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showInkAnnotation="0" codeName="ThisWorkbook" hidePivotFieldList="1"/>
  <xr:revisionPtr revIDLastSave="0" documentId="13_ncr:1_{335C0F57-3483-4F99-97C0-384EB64A4C1E}" xr6:coauthVersionLast="47" xr6:coauthVersionMax="47" xr10:uidLastSave="{00000000-0000-0000-0000-000000000000}"/>
  <bookViews>
    <workbookView xWindow="-108" yWindow="-108" windowWidth="23256" windowHeight="12576" tabRatio="911" firstSheet="2" activeTab="6" xr2:uid="{00000000-000D-0000-FFFF-FFFF00000000}"/>
  </bookViews>
  <sheets>
    <sheet name="Chart of Accounts" sheetId="6" state="hidden" r:id="rId1"/>
    <sheet name="INVESTORS_LIST" sheetId="56" state="hidden" r:id="rId2"/>
    <sheet name="Journals" sheetId="7" r:id="rId3"/>
    <sheet name="TB-C" sheetId="8" r:id="rId4"/>
    <sheet name="TB-P" sheetId="27" r:id="rId5"/>
    <sheet name="IS" sheetId="3" r:id="rId6"/>
    <sheet name="BS" sheetId="2" r:id="rId7"/>
    <sheet name="E" sheetId="4" r:id="rId8"/>
    <sheet name="CF" sheetId="5" r:id="rId9"/>
    <sheet name="W C &amp; I" sheetId="9" r:id="rId10"/>
    <sheet name="Bank Interest" sheetId="57" r:id="rId11"/>
    <sheet name="Notes" sheetId="17" state="hidden" r:id="rId12"/>
    <sheet name="Policy Notes" sheetId="43" state="hidden" r:id="rId13"/>
    <sheet name="Trade-2021" sheetId="51" state="hidden" r:id="rId14"/>
  </sheets>
  <externalReferences>
    <externalReference r:id="rId15"/>
    <externalReference r:id="rId16"/>
    <externalReference r:id="rId17"/>
  </externalReferences>
  <definedNames>
    <definedName name="_xlnm._FilterDatabase" localSheetId="2" hidden="1">Journals!$A$7:$L$12660</definedName>
    <definedName name="_xlnm._FilterDatabase" localSheetId="3" hidden="1">'TB-C'!$G$6:$O$6</definedName>
    <definedName name="CURRENT_NAV">BS!$C$45</definedName>
    <definedName name="ExternalData_2" localSheetId="1" hidden="1">INVESTORS_LIST!$A$1:$B$500</definedName>
    <definedName name="NAV">BS!$C$43</definedName>
    <definedName name="NAV_MKT">Journals!$T$1</definedName>
    <definedName name="_xlnm.Print_Area" localSheetId="8">CF!$A$1:$F$49</definedName>
    <definedName name="_xlnm.Print_Area" localSheetId="7">E!$A$1:$F$31</definedName>
    <definedName name="_xlnm.Print_Area" localSheetId="5">IS!$A$1:$G$40</definedName>
    <definedName name="_xlnm.Print_Titles" localSheetId="11">Notes!$1:$1</definedName>
    <definedName name="TCV_STOCKS">#REF!</definedName>
    <definedName name="TMV_STOCK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640" i="57" l="1"/>
  <c r="P640" i="57"/>
  <c r="N640" i="57"/>
  <c r="L640" i="57"/>
  <c r="J640" i="57"/>
  <c r="H640" i="57"/>
  <c r="F640" i="57"/>
  <c r="D640" i="57"/>
  <c r="B640" i="57"/>
  <c r="E12233" i="7"/>
  <c r="D12233" i="7"/>
  <c r="E12232" i="7"/>
  <c r="D12232" i="7"/>
  <c r="E12231" i="7"/>
  <c r="D12231" i="7"/>
  <c r="A640" i="57" l="1"/>
  <c r="L12229" i="7"/>
  <c r="D12229" i="7"/>
  <c r="E12229" i="7"/>
  <c r="E12230" i="7"/>
  <c r="D12230" i="7"/>
  <c r="E12228" i="7"/>
  <c r="D12228" i="7"/>
  <c r="E12227" i="7"/>
  <c r="D12227" i="7"/>
  <c r="E12226" i="7"/>
  <c r="D12226" i="7"/>
  <c r="E12225" i="7"/>
  <c r="D12225" i="7"/>
  <c r="E12224" i="7"/>
  <c r="D12224" i="7"/>
  <c r="E12223" i="7"/>
  <c r="D12223" i="7"/>
  <c r="L12247" i="7" l="1"/>
  <c r="E12247" i="7"/>
  <c r="D12247" i="7"/>
  <c r="E12246" i="7"/>
  <c r="D12246" i="7"/>
  <c r="L12245" i="7"/>
  <c r="E12245" i="7"/>
  <c r="D12245" i="7"/>
  <c r="E12244" i="7"/>
  <c r="D12244" i="7"/>
  <c r="L12243" i="7"/>
  <c r="E12243" i="7"/>
  <c r="D12243" i="7"/>
  <c r="E12242" i="7"/>
  <c r="D12242" i="7"/>
  <c r="L12241" i="7"/>
  <c r="E12241" i="7"/>
  <c r="D12241" i="7"/>
  <c r="E12240" i="7"/>
  <c r="D12240" i="7"/>
  <c r="L12239" i="7"/>
  <c r="E12239" i="7"/>
  <c r="D12239" i="7"/>
  <c r="E12238" i="7"/>
  <c r="D12238" i="7"/>
  <c r="L12237" i="7"/>
  <c r="E12237" i="7"/>
  <c r="D12237" i="7"/>
  <c r="E12236" i="7"/>
  <c r="D12236" i="7"/>
  <c r="L12235" i="7"/>
  <c r="E12235" i="7"/>
  <c r="D12235" i="7"/>
  <c r="E12234" i="7"/>
  <c r="D12234" i="7"/>
  <c r="K12221" i="7"/>
  <c r="L12222" i="7" s="1"/>
  <c r="K12219" i="7"/>
  <c r="R639" i="57"/>
  <c r="P639" i="57"/>
  <c r="N639" i="57"/>
  <c r="L639" i="57"/>
  <c r="J639" i="57"/>
  <c r="H639" i="57"/>
  <c r="F639" i="57"/>
  <c r="D639" i="57"/>
  <c r="A639" i="57" s="1"/>
  <c r="B639" i="57"/>
  <c r="R638" i="57"/>
  <c r="P638" i="57"/>
  <c r="N638" i="57"/>
  <c r="L638" i="57"/>
  <c r="J638" i="57"/>
  <c r="H638" i="57"/>
  <c r="F638" i="57"/>
  <c r="D638" i="57"/>
  <c r="A638" i="57" s="1"/>
  <c r="B638" i="57"/>
  <c r="R637" i="57"/>
  <c r="P637" i="57"/>
  <c r="N637" i="57"/>
  <c r="L637" i="57"/>
  <c r="J637" i="57"/>
  <c r="H637" i="57"/>
  <c r="F637" i="57"/>
  <c r="D637" i="57"/>
  <c r="A637" i="57" s="1"/>
  <c r="B637" i="57"/>
  <c r="R636" i="57"/>
  <c r="P636" i="57"/>
  <c r="N636" i="57"/>
  <c r="L636" i="57"/>
  <c r="J636" i="57"/>
  <c r="H636" i="57"/>
  <c r="F636" i="57"/>
  <c r="D636" i="57"/>
  <c r="A636" i="57" s="1"/>
  <c r="B636" i="57"/>
  <c r="R635" i="57"/>
  <c r="P635" i="57"/>
  <c r="N635" i="57"/>
  <c r="L635" i="57"/>
  <c r="J635" i="57"/>
  <c r="H635" i="57"/>
  <c r="F635" i="57"/>
  <c r="D635" i="57"/>
  <c r="A635" i="57" s="1"/>
  <c r="B635" i="57"/>
  <c r="R634" i="57"/>
  <c r="P634" i="57"/>
  <c r="N634" i="57"/>
  <c r="L634" i="57"/>
  <c r="J634" i="57"/>
  <c r="H634" i="57"/>
  <c r="F634" i="57"/>
  <c r="D634" i="57"/>
  <c r="A634" i="57" s="1"/>
  <c r="B634" i="57"/>
  <c r="R633" i="57"/>
  <c r="P633" i="57"/>
  <c r="N633" i="57"/>
  <c r="L633" i="57"/>
  <c r="J633" i="57"/>
  <c r="H633" i="57"/>
  <c r="F633" i="57"/>
  <c r="D633" i="57"/>
  <c r="A633" i="57" s="1"/>
  <c r="B633" i="57"/>
  <c r="R632" i="57"/>
  <c r="P632" i="57"/>
  <c r="N632" i="57"/>
  <c r="L632" i="57"/>
  <c r="J632" i="57"/>
  <c r="H632" i="57"/>
  <c r="F632" i="57"/>
  <c r="D632" i="57"/>
  <c r="A632" i="57" s="1"/>
  <c r="B632" i="57"/>
  <c r="E12208" i="7"/>
  <c r="D12208" i="7"/>
  <c r="E12207" i="7"/>
  <c r="D12207" i="7"/>
  <c r="E12206" i="7"/>
  <c r="D12206" i="7"/>
  <c r="E12205" i="7"/>
  <c r="D12205" i="7"/>
  <c r="E12204" i="7"/>
  <c r="D12204" i="7"/>
  <c r="L12203" i="7"/>
  <c r="E12203" i="7"/>
  <c r="D12203" i="7"/>
  <c r="E12202" i="7"/>
  <c r="D12202" i="7"/>
  <c r="K12217" i="7"/>
  <c r="L12218" i="7" s="1"/>
  <c r="K12211" i="7"/>
  <c r="L12212" i="7" s="1"/>
  <c r="K12209" i="7"/>
  <c r="L12210" i="7" s="1"/>
  <c r="E12222" i="7"/>
  <c r="D12222" i="7"/>
  <c r="E12221" i="7"/>
  <c r="D12221" i="7"/>
  <c r="L12220" i="7"/>
  <c r="E12220" i="7"/>
  <c r="D12220" i="7"/>
  <c r="E12219" i="7"/>
  <c r="D12219" i="7"/>
  <c r="E12218" i="7"/>
  <c r="D12218" i="7"/>
  <c r="E12217" i="7"/>
  <c r="D12217" i="7"/>
  <c r="L12216" i="7"/>
  <c r="E12216" i="7"/>
  <c r="D12216" i="7"/>
  <c r="E12215" i="7"/>
  <c r="D12215" i="7"/>
  <c r="L12214" i="7"/>
  <c r="E12214" i="7"/>
  <c r="D12214" i="7"/>
  <c r="E12213" i="7"/>
  <c r="D12213" i="7"/>
  <c r="E12212" i="7"/>
  <c r="D12212" i="7"/>
  <c r="E12211" i="7"/>
  <c r="D12211" i="7"/>
  <c r="E12210" i="7"/>
  <c r="D12210" i="7"/>
  <c r="E12209" i="7"/>
  <c r="D12209" i="7"/>
  <c r="R631" i="57"/>
  <c r="P631" i="57"/>
  <c r="N631" i="57"/>
  <c r="L631" i="57"/>
  <c r="J631" i="57"/>
  <c r="H631" i="57"/>
  <c r="F631" i="57"/>
  <c r="D631" i="57"/>
  <c r="B631" i="57"/>
  <c r="E12145" i="7"/>
  <c r="D12145" i="7"/>
  <c r="E12144" i="7"/>
  <c r="D12144" i="7"/>
  <c r="E12143" i="7"/>
  <c r="D12143" i="7"/>
  <c r="A631" i="57" l="1"/>
  <c r="E12187" i="7" l="1"/>
  <c r="D12187" i="7"/>
  <c r="E12186" i="7"/>
  <c r="D12186" i="7"/>
  <c r="E12185" i="7"/>
  <c r="D12185" i="7"/>
  <c r="E12184" i="7"/>
  <c r="D12184" i="7"/>
  <c r="E12183" i="7"/>
  <c r="D12183" i="7"/>
  <c r="E12181" i="7"/>
  <c r="D12181" i="7"/>
  <c r="H12182" i="7" a="1"/>
  <c r="H12182" i="7" s="1"/>
  <c r="E12182" i="7"/>
  <c r="D12182" i="7"/>
  <c r="H12180" i="7" a="1"/>
  <c r="H12180" i="7" s="1"/>
  <c r="E12180" i="7"/>
  <c r="D12180" i="7"/>
  <c r="E12179" i="7"/>
  <c r="D12179" i="7"/>
  <c r="E12178" i="7"/>
  <c r="D12178" i="7"/>
  <c r="E12177" i="7"/>
  <c r="D12177" i="7"/>
  <c r="L12176" i="7"/>
  <c r="E12176" i="7"/>
  <c r="D12176" i="7"/>
  <c r="E12175" i="7"/>
  <c r="D12175" i="7"/>
  <c r="L12174" i="7"/>
  <c r="E12174" i="7"/>
  <c r="D12174" i="7"/>
  <c r="E12173" i="7"/>
  <c r="D12173" i="7"/>
  <c r="L12172" i="7"/>
  <c r="E12172" i="7"/>
  <c r="D12172" i="7"/>
  <c r="E12171" i="7"/>
  <c r="D12171" i="7"/>
  <c r="E12170" i="7"/>
  <c r="D12170" i="7"/>
  <c r="E12169" i="7"/>
  <c r="D12169" i="7"/>
  <c r="E12168" i="7"/>
  <c r="D12168" i="7"/>
  <c r="E12201" i="7" l="1"/>
  <c r="D12201" i="7"/>
  <c r="L12201" i="7"/>
  <c r="E12200" i="7"/>
  <c r="D12200" i="7"/>
  <c r="E12199" i="7"/>
  <c r="D12199" i="7"/>
  <c r="L12199" i="7"/>
  <c r="E12198" i="7"/>
  <c r="D12198" i="7"/>
  <c r="E12197" i="7"/>
  <c r="D12197" i="7"/>
  <c r="L12197" i="7"/>
  <c r="E12196" i="7"/>
  <c r="D12196" i="7"/>
  <c r="L12195" i="7"/>
  <c r="E12195" i="7"/>
  <c r="D12195" i="7"/>
  <c r="E12194" i="7"/>
  <c r="D12194" i="7"/>
  <c r="L12193" i="7"/>
  <c r="E12193" i="7"/>
  <c r="D12193" i="7"/>
  <c r="E12192" i="7"/>
  <c r="D12192" i="7"/>
  <c r="E12191" i="7"/>
  <c r="D12191" i="7"/>
  <c r="L12191" i="7"/>
  <c r="E12190" i="7"/>
  <c r="D12190" i="7"/>
  <c r="E12189" i="7"/>
  <c r="D12189" i="7"/>
  <c r="L12189" i="7"/>
  <c r="E12188" i="7"/>
  <c r="D12188" i="7"/>
  <c r="K12166" i="7"/>
  <c r="L12167" i="7" s="1"/>
  <c r="K12164" i="7"/>
  <c r="L12165" i="7" s="1"/>
  <c r="K12156" i="7"/>
  <c r="L12157" i="7" s="1"/>
  <c r="R630" i="57"/>
  <c r="P630" i="57"/>
  <c r="N630" i="57"/>
  <c r="L630" i="57"/>
  <c r="J630" i="57"/>
  <c r="H630" i="57"/>
  <c r="F630" i="57"/>
  <c r="D630" i="57"/>
  <c r="B630" i="57"/>
  <c r="R629" i="57"/>
  <c r="P629" i="57"/>
  <c r="N629" i="57"/>
  <c r="L629" i="57"/>
  <c r="J629" i="57"/>
  <c r="H629" i="57"/>
  <c r="F629" i="57"/>
  <c r="D629" i="57"/>
  <c r="A629" i="57" s="1"/>
  <c r="B629" i="57"/>
  <c r="R628" i="57"/>
  <c r="P628" i="57"/>
  <c r="N628" i="57"/>
  <c r="L628" i="57"/>
  <c r="J628" i="57"/>
  <c r="H628" i="57"/>
  <c r="F628" i="57"/>
  <c r="D628" i="57"/>
  <c r="A628" i="57" s="1"/>
  <c r="B628" i="57"/>
  <c r="K12162" i="7"/>
  <c r="L12163" i="7" s="1"/>
  <c r="K12154" i="7"/>
  <c r="L12155" i="7" s="1"/>
  <c r="E12167" i="7"/>
  <c r="D12167" i="7"/>
  <c r="E12166" i="7"/>
  <c r="D12166" i="7"/>
  <c r="E12165" i="7"/>
  <c r="D12165" i="7"/>
  <c r="E12164" i="7"/>
  <c r="D12164" i="7"/>
  <c r="E12163" i="7"/>
  <c r="D12163" i="7"/>
  <c r="E12162" i="7"/>
  <c r="D12162" i="7"/>
  <c r="L12161" i="7"/>
  <c r="E12161" i="7"/>
  <c r="D12161" i="7"/>
  <c r="E12160" i="7"/>
  <c r="D12160" i="7"/>
  <c r="L12159" i="7"/>
  <c r="E12159" i="7"/>
  <c r="D12159" i="7"/>
  <c r="E12158" i="7"/>
  <c r="D12158" i="7"/>
  <c r="E12157" i="7"/>
  <c r="D12157" i="7"/>
  <c r="E12156" i="7"/>
  <c r="D12156" i="7"/>
  <c r="E12155" i="7"/>
  <c r="D12155" i="7"/>
  <c r="E12154" i="7"/>
  <c r="D12154" i="7"/>
  <c r="E12153" i="7"/>
  <c r="D12153" i="7"/>
  <c r="E12152" i="7"/>
  <c r="D12152" i="7"/>
  <c r="E12151" i="7"/>
  <c r="D12151" i="7"/>
  <c r="E12150" i="7"/>
  <c r="D12150" i="7"/>
  <c r="E12149" i="7"/>
  <c r="D12149" i="7"/>
  <c r="E12148" i="7"/>
  <c r="D12148" i="7"/>
  <c r="E12147" i="7"/>
  <c r="D12147" i="7"/>
  <c r="E12146" i="7"/>
  <c r="D12146" i="7"/>
  <c r="A630" i="57" l="1"/>
  <c r="E12142" i="7"/>
  <c r="D12142" i="7"/>
  <c r="E12141" i="7"/>
  <c r="D12141" i="7"/>
  <c r="E12140" i="7"/>
  <c r="D12140" i="7"/>
  <c r="E12125" i="7" l="1"/>
  <c r="D12125" i="7"/>
  <c r="E12124" i="7"/>
  <c r="D12124" i="7"/>
  <c r="E12123" i="7"/>
  <c r="D12123" i="7"/>
  <c r="E12122" i="7"/>
  <c r="D12122" i="7"/>
  <c r="E12121" i="7"/>
  <c r="D12121" i="7"/>
  <c r="L12139" i="7"/>
  <c r="E12139" i="7"/>
  <c r="D12139" i="7"/>
  <c r="E12138" i="7"/>
  <c r="D12138" i="7"/>
  <c r="L12137" i="7"/>
  <c r="E12137" i="7"/>
  <c r="D12137" i="7"/>
  <c r="E12136" i="7"/>
  <c r="D12136" i="7"/>
  <c r="L12135" i="7"/>
  <c r="E12135" i="7"/>
  <c r="D12135" i="7"/>
  <c r="E12134" i="7"/>
  <c r="D12134" i="7"/>
  <c r="L12133" i="7"/>
  <c r="E12133" i="7"/>
  <c r="D12133" i="7"/>
  <c r="E12132" i="7"/>
  <c r="D12132" i="7"/>
  <c r="L12131" i="7"/>
  <c r="E12131" i="7"/>
  <c r="D12131" i="7"/>
  <c r="E12130" i="7"/>
  <c r="D12130" i="7"/>
  <c r="L12129" i="7"/>
  <c r="E12129" i="7"/>
  <c r="D12129" i="7"/>
  <c r="E12128" i="7"/>
  <c r="D12128" i="7"/>
  <c r="L12127" i="7"/>
  <c r="E12127" i="7"/>
  <c r="D12127" i="7"/>
  <c r="E12126" i="7"/>
  <c r="D12126" i="7"/>
  <c r="E12120" i="7"/>
  <c r="D12120" i="7"/>
  <c r="E12119" i="7"/>
  <c r="D12119" i="7"/>
  <c r="E12118" i="7"/>
  <c r="D12118" i="7"/>
  <c r="R627" i="57" l="1"/>
  <c r="P627" i="57"/>
  <c r="N627" i="57"/>
  <c r="L627" i="57"/>
  <c r="J627" i="57"/>
  <c r="H627" i="57"/>
  <c r="F627" i="57"/>
  <c r="D627" i="57"/>
  <c r="L12092" i="7"/>
  <c r="E12092" i="7"/>
  <c r="D12092" i="7"/>
  <c r="E12091" i="7"/>
  <c r="D12091" i="7"/>
  <c r="L12117" i="7"/>
  <c r="E12117" i="7"/>
  <c r="D12117" i="7"/>
  <c r="E12116" i="7"/>
  <c r="D12116" i="7"/>
  <c r="L12115" i="7"/>
  <c r="E12115" i="7"/>
  <c r="D12115" i="7"/>
  <c r="E12114" i="7"/>
  <c r="D12114" i="7"/>
  <c r="L12113" i="7"/>
  <c r="E12113" i="7"/>
  <c r="D12113" i="7"/>
  <c r="E12112" i="7"/>
  <c r="D12112" i="7"/>
  <c r="L12111" i="7"/>
  <c r="E12111" i="7"/>
  <c r="D12111" i="7"/>
  <c r="E12110" i="7"/>
  <c r="D12110" i="7"/>
  <c r="E12109" i="7"/>
  <c r="D12109" i="7"/>
  <c r="E12108" i="7"/>
  <c r="D12108" i="7"/>
  <c r="L12108" i="7"/>
  <c r="E12107" i="7"/>
  <c r="D12107" i="7"/>
  <c r="E12090" i="7"/>
  <c r="D12090" i="7"/>
  <c r="E12089" i="7"/>
  <c r="D12089" i="7"/>
  <c r="E12088" i="7"/>
  <c r="D12088" i="7"/>
  <c r="E12087" i="7"/>
  <c r="D12087" i="7"/>
  <c r="E12086" i="7"/>
  <c r="D12086" i="7"/>
  <c r="A627" i="57" l="1"/>
  <c r="L12106" i="7"/>
  <c r="E12106" i="7"/>
  <c r="D12106" i="7"/>
  <c r="E12105" i="7"/>
  <c r="D12105" i="7"/>
  <c r="L12104" i="7"/>
  <c r="E12104" i="7"/>
  <c r="D12104" i="7"/>
  <c r="E12103" i="7"/>
  <c r="D12103" i="7"/>
  <c r="L12102" i="7"/>
  <c r="E12102" i="7"/>
  <c r="D12102" i="7"/>
  <c r="E12101" i="7"/>
  <c r="D12101" i="7"/>
  <c r="L12100" i="7"/>
  <c r="E12100" i="7"/>
  <c r="D12100" i="7"/>
  <c r="E12099" i="7"/>
  <c r="D12099" i="7"/>
  <c r="L12098" i="7"/>
  <c r="E12098" i="7"/>
  <c r="D12098" i="7"/>
  <c r="E12097" i="7"/>
  <c r="D12097" i="7"/>
  <c r="L12096" i="7"/>
  <c r="E12096" i="7"/>
  <c r="D12096" i="7"/>
  <c r="E12095" i="7"/>
  <c r="D12095" i="7"/>
  <c r="L12094" i="7"/>
  <c r="E12094" i="7"/>
  <c r="D12094" i="7"/>
  <c r="E12093" i="7"/>
  <c r="D12093" i="7"/>
  <c r="R626" i="57"/>
  <c r="P626" i="57"/>
  <c r="N626" i="57"/>
  <c r="L626" i="57"/>
  <c r="J626" i="57"/>
  <c r="H626" i="57"/>
  <c r="F626" i="57"/>
  <c r="D626" i="57"/>
  <c r="R625" i="57"/>
  <c r="P625" i="57"/>
  <c r="N625" i="57"/>
  <c r="L625" i="57"/>
  <c r="J625" i="57"/>
  <c r="H625" i="57"/>
  <c r="F625" i="57"/>
  <c r="D625" i="57"/>
  <c r="E12063" i="7"/>
  <c r="D12063" i="7"/>
  <c r="E12062" i="7"/>
  <c r="D12062" i="7"/>
  <c r="E12061" i="7"/>
  <c r="D12061" i="7"/>
  <c r="A626" i="57" l="1"/>
  <c r="A625" i="57"/>
  <c r="L12085" i="7"/>
  <c r="E12085" i="7"/>
  <c r="D12085" i="7"/>
  <c r="E12084" i="7"/>
  <c r="D12084" i="7"/>
  <c r="L12083" i="7"/>
  <c r="E12083" i="7"/>
  <c r="D12083" i="7"/>
  <c r="E12082" i="7"/>
  <c r="D12082" i="7"/>
  <c r="L12081" i="7"/>
  <c r="E12081" i="7"/>
  <c r="D12081" i="7"/>
  <c r="E12080" i="7"/>
  <c r="D12080" i="7"/>
  <c r="L12079" i="7"/>
  <c r="E12079" i="7"/>
  <c r="D12079" i="7"/>
  <c r="E12078" i="7"/>
  <c r="D12078" i="7"/>
  <c r="E11980" i="7"/>
  <c r="D11980" i="7"/>
  <c r="E11979" i="7"/>
  <c r="D11979" i="7"/>
  <c r="E11978" i="7"/>
  <c r="D11978" i="7"/>
  <c r="L11977" i="7"/>
  <c r="E11977" i="7"/>
  <c r="D11977" i="7"/>
  <c r="E11976" i="7"/>
  <c r="D11976" i="7"/>
  <c r="K12058" i="7" l="1"/>
  <c r="L12059" i="7" s="1"/>
  <c r="E12060" i="7"/>
  <c r="D12060" i="7"/>
  <c r="E12059" i="7"/>
  <c r="D12059" i="7"/>
  <c r="E12058" i="7"/>
  <c r="D12058" i="7"/>
  <c r="L12057" i="7" l="1"/>
  <c r="E12057" i="7"/>
  <c r="D12057" i="7"/>
  <c r="E12056" i="7"/>
  <c r="D12056" i="7"/>
  <c r="E12055" i="7" l="1"/>
  <c r="D12055" i="7"/>
  <c r="E12054" i="7"/>
  <c r="D12054" i="7"/>
  <c r="E12053" i="7"/>
  <c r="D12053" i="7"/>
  <c r="L12077" i="7"/>
  <c r="E12077" i="7"/>
  <c r="D12077" i="7"/>
  <c r="E12076" i="7"/>
  <c r="D12076" i="7"/>
  <c r="L12075" i="7"/>
  <c r="E12075" i="7"/>
  <c r="D12075" i="7"/>
  <c r="E12074" i="7"/>
  <c r="D12074" i="7"/>
  <c r="L12073" i="7"/>
  <c r="E12073" i="7"/>
  <c r="D12073" i="7"/>
  <c r="E12072" i="7"/>
  <c r="D12072" i="7"/>
  <c r="L12071" i="7"/>
  <c r="E12071" i="7"/>
  <c r="D12071" i="7"/>
  <c r="E12070" i="7"/>
  <c r="D12070" i="7"/>
  <c r="L12069" i="7"/>
  <c r="E12069" i="7"/>
  <c r="D12069" i="7"/>
  <c r="E12068" i="7"/>
  <c r="D12068" i="7"/>
  <c r="L12067" i="7"/>
  <c r="E12067" i="7"/>
  <c r="D12067" i="7"/>
  <c r="E12066" i="7"/>
  <c r="D12066" i="7"/>
  <c r="L12065" i="7"/>
  <c r="E12065" i="7"/>
  <c r="D12065" i="7"/>
  <c r="E12064" i="7"/>
  <c r="D12064" i="7"/>
  <c r="E12052" i="7"/>
  <c r="D12052" i="7"/>
  <c r="E12051" i="7"/>
  <c r="D12051" i="7"/>
  <c r="E12050" i="7"/>
  <c r="D12050" i="7"/>
  <c r="E12049" i="7"/>
  <c r="D12049" i="7"/>
  <c r="E12048" i="7"/>
  <c r="D12048" i="7"/>
  <c r="R624" i="57" l="1"/>
  <c r="P624" i="57"/>
  <c r="N624" i="57"/>
  <c r="L624" i="57"/>
  <c r="J624" i="57"/>
  <c r="H624" i="57"/>
  <c r="F624" i="57"/>
  <c r="D624" i="57"/>
  <c r="E12006" i="7"/>
  <c r="D12006" i="7"/>
  <c r="E12005" i="7"/>
  <c r="D12005" i="7"/>
  <c r="E12004" i="7"/>
  <c r="D12004" i="7"/>
  <c r="E12033" i="7"/>
  <c r="D12033" i="7"/>
  <c r="E12032" i="7"/>
  <c r="D12032" i="7"/>
  <c r="E12031" i="7"/>
  <c r="D12031" i="7"/>
  <c r="E12030" i="7"/>
  <c r="D12030" i="7"/>
  <c r="E12029" i="7"/>
  <c r="D12029" i="7"/>
  <c r="A624" i="57" l="1"/>
  <c r="E12047" i="7"/>
  <c r="D12047" i="7"/>
  <c r="L12047" i="7"/>
  <c r="E12046" i="7"/>
  <c r="D12046" i="7"/>
  <c r="E12045" i="7"/>
  <c r="D12045" i="7"/>
  <c r="L12045" i="7"/>
  <c r="E12044" i="7"/>
  <c r="D12044" i="7"/>
  <c r="L12043" i="7"/>
  <c r="E12043" i="7"/>
  <c r="D12043" i="7"/>
  <c r="E12042" i="7"/>
  <c r="D12042" i="7"/>
  <c r="L12041" i="7"/>
  <c r="E12041" i="7"/>
  <c r="D12041" i="7"/>
  <c r="E12040" i="7"/>
  <c r="D12040" i="7"/>
  <c r="L12039" i="7"/>
  <c r="E12039" i="7"/>
  <c r="D12039" i="7"/>
  <c r="E12038" i="7"/>
  <c r="D12038" i="7"/>
  <c r="L12037" i="7"/>
  <c r="E12037" i="7"/>
  <c r="D12037" i="7"/>
  <c r="E12036" i="7"/>
  <c r="D12036" i="7"/>
  <c r="L12035" i="7"/>
  <c r="E12035" i="7"/>
  <c r="D12035" i="7"/>
  <c r="E12034" i="7"/>
  <c r="D12034" i="7"/>
  <c r="L12028" i="7"/>
  <c r="E12028" i="7"/>
  <c r="D12028" i="7"/>
  <c r="E12027" i="7"/>
  <c r="D12027" i="7"/>
  <c r="E12026" i="7" l="1"/>
  <c r="D12026" i="7"/>
  <c r="E12025" i="7"/>
  <c r="D12025" i="7"/>
  <c r="E12024" i="7"/>
  <c r="D12024" i="7"/>
  <c r="E12023" i="7"/>
  <c r="D12023" i="7"/>
  <c r="E12022" i="7"/>
  <c r="D12022" i="7"/>
  <c r="E12021" i="7"/>
  <c r="D12021" i="7"/>
  <c r="K12019" i="7" l="1"/>
  <c r="K12017" i="7"/>
  <c r="E12003" i="7"/>
  <c r="D12003" i="7"/>
  <c r="E12002" i="7"/>
  <c r="D12002" i="7"/>
  <c r="E12001" i="7"/>
  <c r="D12001" i="7"/>
  <c r="E12000" i="7"/>
  <c r="D12000" i="7"/>
  <c r="E11999" i="7"/>
  <c r="D11999" i="7"/>
  <c r="E11998" i="7"/>
  <c r="D11998" i="7"/>
  <c r="E11997" i="7"/>
  <c r="D11997" i="7"/>
  <c r="E11996" i="7"/>
  <c r="D11996" i="7"/>
  <c r="E11995" i="7"/>
  <c r="D11995" i="7"/>
  <c r="K12015" i="7" l="1"/>
  <c r="L12016" i="7" s="1"/>
  <c r="K12009" i="7"/>
  <c r="L12010" i="7" s="1"/>
  <c r="K12007" i="7"/>
  <c r="L12008" i="7" s="1"/>
  <c r="L12020" i="7"/>
  <c r="E12020" i="7"/>
  <c r="D12020" i="7"/>
  <c r="E12019" i="7"/>
  <c r="D12019" i="7"/>
  <c r="E12018" i="7"/>
  <c r="D12018" i="7"/>
  <c r="L12018" i="7"/>
  <c r="E12017" i="7"/>
  <c r="D12017" i="7"/>
  <c r="E12016" i="7"/>
  <c r="D12016" i="7"/>
  <c r="E12015" i="7"/>
  <c r="D12015" i="7"/>
  <c r="L12014" i="7"/>
  <c r="E12014" i="7"/>
  <c r="D12014" i="7"/>
  <c r="E12013" i="7"/>
  <c r="D12013" i="7"/>
  <c r="L12012" i="7"/>
  <c r="E12012" i="7"/>
  <c r="D12012" i="7"/>
  <c r="E12011" i="7"/>
  <c r="D12011" i="7"/>
  <c r="E12010" i="7"/>
  <c r="D12010" i="7"/>
  <c r="E12009" i="7"/>
  <c r="D12009" i="7"/>
  <c r="E12008" i="7"/>
  <c r="D12008" i="7"/>
  <c r="E12007" i="7"/>
  <c r="D12007" i="7"/>
  <c r="R623" i="57"/>
  <c r="P623" i="57"/>
  <c r="N623" i="57"/>
  <c r="L623" i="57"/>
  <c r="J623" i="57"/>
  <c r="H623" i="57"/>
  <c r="F623" i="57"/>
  <c r="D623" i="57"/>
  <c r="R622" i="57"/>
  <c r="P622" i="57"/>
  <c r="N622" i="57"/>
  <c r="L622" i="57"/>
  <c r="J622" i="57"/>
  <c r="H622" i="57"/>
  <c r="F622" i="57"/>
  <c r="D622" i="57"/>
  <c r="R621" i="57"/>
  <c r="P621" i="57"/>
  <c r="N621" i="57"/>
  <c r="L621" i="57"/>
  <c r="J621" i="57"/>
  <c r="H621" i="57"/>
  <c r="F621" i="57"/>
  <c r="D621" i="57"/>
  <c r="E11975" i="7"/>
  <c r="D11975" i="7"/>
  <c r="E11974" i="7"/>
  <c r="D11974" i="7"/>
  <c r="E11973" i="7"/>
  <c r="D11973" i="7"/>
  <c r="K11991" i="7"/>
  <c r="K11993" i="7"/>
  <c r="A621" i="57" l="1"/>
  <c r="A622" i="57"/>
  <c r="A623" i="57"/>
  <c r="R620" i="57"/>
  <c r="P620" i="57"/>
  <c r="N620" i="57"/>
  <c r="L620" i="57"/>
  <c r="J620" i="57"/>
  <c r="H620" i="57"/>
  <c r="F620" i="57"/>
  <c r="D620" i="57"/>
  <c r="E11972" i="7"/>
  <c r="D11972" i="7"/>
  <c r="E11971" i="7"/>
  <c r="D11971" i="7"/>
  <c r="E11970" i="7"/>
  <c r="D11970" i="7"/>
  <c r="E11969" i="7"/>
  <c r="D11969" i="7"/>
  <c r="E11968" i="7"/>
  <c r="D11968" i="7"/>
  <c r="A620" i="57" l="1"/>
  <c r="L11994" i="7"/>
  <c r="E11994" i="7"/>
  <c r="D11994" i="7"/>
  <c r="E11993" i="7"/>
  <c r="D11993" i="7"/>
  <c r="L11992" i="7"/>
  <c r="E11992" i="7"/>
  <c r="D11992" i="7"/>
  <c r="E11991" i="7"/>
  <c r="D11991" i="7"/>
  <c r="L11990" i="7"/>
  <c r="E11990" i="7"/>
  <c r="D11990" i="7"/>
  <c r="E11989" i="7"/>
  <c r="D11989" i="7"/>
  <c r="L11988" i="7"/>
  <c r="E11988" i="7"/>
  <c r="D11988" i="7"/>
  <c r="E11987" i="7"/>
  <c r="D11987" i="7"/>
  <c r="L11986" i="7"/>
  <c r="E11986" i="7"/>
  <c r="D11986" i="7"/>
  <c r="E11985" i="7"/>
  <c r="D11985" i="7"/>
  <c r="L11984" i="7"/>
  <c r="E11984" i="7"/>
  <c r="D11984" i="7"/>
  <c r="E11983" i="7"/>
  <c r="D11983" i="7"/>
  <c r="L11982" i="7"/>
  <c r="E11982" i="7"/>
  <c r="D11982" i="7"/>
  <c r="E11981" i="7"/>
  <c r="D11981" i="7"/>
  <c r="R619" i="57"/>
  <c r="P619" i="57"/>
  <c r="N619" i="57"/>
  <c r="L619" i="57"/>
  <c r="J619" i="57"/>
  <c r="H619" i="57"/>
  <c r="F619" i="57"/>
  <c r="D619" i="57"/>
  <c r="E11967" i="7"/>
  <c r="D11967" i="7"/>
  <c r="E11966" i="7"/>
  <c r="D11966" i="7"/>
  <c r="L11965" i="7"/>
  <c r="E11965" i="7"/>
  <c r="D11965" i="7"/>
  <c r="E11964" i="7"/>
  <c r="D11964" i="7"/>
  <c r="L11963" i="7"/>
  <c r="E11963" i="7"/>
  <c r="D11963" i="7"/>
  <c r="E11962" i="7"/>
  <c r="D11962" i="7"/>
  <c r="L11944" i="7"/>
  <c r="E11944" i="7"/>
  <c r="D11944" i="7"/>
  <c r="E11943" i="7"/>
  <c r="D11943" i="7"/>
  <c r="E11961" i="7"/>
  <c r="D11961" i="7"/>
  <c r="E11960" i="7"/>
  <c r="D11960" i="7"/>
  <c r="E11959" i="7"/>
  <c r="D11959" i="7"/>
  <c r="A619" i="57" l="1"/>
  <c r="E11942" i="7"/>
  <c r="D11942" i="7"/>
  <c r="E11941" i="7"/>
  <c r="D11941" i="7"/>
  <c r="E11940" i="7"/>
  <c r="D11940" i="7"/>
  <c r="E11939" i="7"/>
  <c r="D11939" i="7"/>
  <c r="E11938" i="7"/>
  <c r="D11938" i="7"/>
  <c r="R618" i="57"/>
  <c r="P618" i="57"/>
  <c r="N618" i="57"/>
  <c r="L618" i="57"/>
  <c r="J618" i="57"/>
  <c r="H618" i="57"/>
  <c r="F618" i="57"/>
  <c r="D618" i="57"/>
  <c r="L11958" i="7"/>
  <c r="E11958" i="7"/>
  <c r="D11958" i="7"/>
  <c r="E11957" i="7"/>
  <c r="D11957" i="7"/>
  <c r="L11956" i="7"/>
  <c r="E11956" i="7"/>
  <c r="D11956" i="7"/>
  <c r="E11955" i="7"/>
  <c r="D11955" i="7"/>
  <c r="L11954" i="7"/>
  <c r="E11954" i="7"/>
  <c r="D11954" i="7"/>
  <c r="E11953" i="7"/>
  <c r="D11953" i="7"/>
  <c r="L11952" i="7"/>
  <c r="E11952" i="7"/>
  <c r="D11952" i="7"/>
  <c r="E11951" i="7"/>
  <c r="D11951" i="7"/>
  <c r="L11950" i="7"/>
  <c r="E11950" i="7"/>
  <c r="D11950" i="7"/>
  <c r="E11949" i="7"/>
  <c r="D11949" i="7"/>
  <c r="L11948" i="7"/>
  <c r="E11948" i="7"/>
  <c r="D11948" i="7"/>
  <c r="E11947" i="7"/>
  <c r="D11947" i="7"/>
  <c r="L11946" i="7"/>
  <c r="E11946" i="7"/>
  <c r="D11946" i="7"/>
  <c r="E11945" i="7"/>
  <c r="D11945" i="7"/>
  <c r="L11937" i="7"/>
  <c r="E11937" i="7"/>
  <c r="D11937" i="7"/>
  <c r="E11936" i="7"/>
  <c r="D11936" i="7"/>
  <c r="L11935" i="7"/>
  <c r="E11935" i="7"/>
  <c r="D11935" i="7"/>
  <c r="E11934" i="7"/>
  <c r="D11934" i="7"/>
  <c r="L11933" i="7"/>
  <c r="L11931" i="7"/>
  <c r="E11933" i="7"/>
  <c r="D11933" i="7"/>
  <c r="E11932" i="7"/>
  <c r="D11932" i="7"/>
  <c r="E11931" i="7"/>
  <c r="D11931" i="7"/>
  <c r="E11930" i="7"/>
  <c r="D11930" i="7"/>
  <c r="L11929" i="7"/>
  <c r="E11929" i="7"/>
  <c r="D11929" i="7"/>
  <c r="E11928" i="7"/>
  <c r="D11928" i="7"/>
  <c r="L11927" i="7"/>
  <c r="E11927" i="7"/>
  <c r="D11927" i="7"/>
  <c r="E11926" i="7"/>
  <c r="D11926" i="7"/>
  <c r="L11925" i="7"/>
  <c r="E11925" i="7"/>
  <c r="D11925" i="7"/>
  <c r="E11924" i="7"/>
  <c r="D11924" i="7"/>
  <c r="L11923" i="7"/>
  <c r="E11923" i="7"/>
  <c r="D11923" i="7"/>
  <c r="E11922" i="7"/>
  <c r="D11922" i="7"/>
  <c r="L11921" i="7"/>
  <c r="E11921" i="7"/>
  <c r="D11921" i="7"/>
  <c r="E11920" i="7"/>
  <c r="D11920" i="7"/>
  <c r="E11919" i="7"/>
  <c r="D11919" i="7"/>
  <c r="E11918" i="7"/>
  <c r="D11918" i="7"/>
  <c r="E11917" i="7"/>
  <c r="D11917" i="7"/>
  <c r="E11916" i="7"/>
  <c r="D11916" i="7"/>
  <c r="E11915" i="7"/>
  <c r="D11915" i="7"/>
  <c r="A618" i="57" l="1"/>
  <c r="E11914" i="7"/>
  <c r="D11914" i="7"/>
  <c r="E11913" i="7"/>
  <c r="D11913" i="7"/>
  <c r="E11912" i="7"/>
  <c r="D11912" i="7"/>
  <c r="L11911" i="7" l="1"/>
  <c r="E11911" i="7"/>
  <c r="D11911" i="7"/>
  <c r="E11910" i="7"/>
  <c r="D11910" i="7"/>
  <c r="L11909" i="7"/>
  <c r="E11909" i="7"/>
  <c r="D11909" i="7"/>
  <c r="E11908" i="7"/>
  <c r="D11908" i="7"/>
  <c r="L11907" i="7" l="1"/>
  <c r="R617" i="57"/>
  <c r="P617" i="57"/>
  <c r="N617" i="57"/>
  <c r="L617" i="57"/>
  <c r="J617" i="57"/>
  <c r="H617" i="57"/>
  <c r="F617" i="57"/>
  <c r="D617" i="57"/>
  <c r="E11907" i="7"/>
  <c r="D11907" i="7"/>
  <c r="E11906" i="7"/>
  <c r="D11906" i="7"/>
  <c r="L11905" i="7"/>
  <c r="E11905" i="7"/>
  <c r="D11905" i="7"/>
  <c r="E11904" i="7"/>
  <c r="D11904" i="7"/>
  <c r="L11903" i="7"/>
  <c r="E11903" i="7"/>
  <c r="D11903" i="7"/>
  <c r="E11902" i="7"/>
  <c r="D11902" i="7"/>
  <c r="L11901" i="7"/>
  <c r="E11901" i="7"/>
  <c r="D11901" i="7"/>
  <c r="E11900" i="7"/>
  <c r="D11900" i="7"/>
  <c r="L11899" i="7"/>
  <c r="E11899" i="7"/>
  <c r="D11899" i="7"/>
  <c r="E11898" i="7"/>
  <c r="D11898" i="7"/>
  <c r="L11897" i="7"/>
  <c r="E11897" i="7"/>
  <c r="D11897" i="7"/>
  <c r="E11896" i="7"/>
  <c r="D11896" i="7"/>
  <c r="L11895" i="7"/>
  <c r="E11895" i="7"/>
  <c r="D11895" i="7"/>
  <c r="E11894" i="7"/>
  <c r="D11894" i="7"/>
  <c r="E11893" i="7"/>
  <c r="D11893" i="7"/>
  <c r="E11892" i="7"/>
  <c r="D11892" i="7"/>
  <c r="E11891" i="7"/>
  <c r="D11891" i="7"/>
  <c r="E11890" i="7"/>
  <c r="D11890" i="7"/>
  <c r="E11889" i="7"/>
  <c r="D11889" i="7"/>
  <c r="L11888" i="7"/>
  <c r="E11888" i="7"/>
  <c r="D11888" i="7"/>
  <c r="E11887" i="7"/>
  <c r="D11887" i="7"/>
  <c r="L11886" i="7"/>
  <c r="E11886" i="7"/>
  <c r="D11886" i="7"/>
  <c r="E11885" i="7"/>
  <c r="D11885" i="7"/>
  <c r="L11884" i="7"/>
  <c r="E11884" i="7"/>
  <c r="D11884" i="7"/>
  <c r="E11883" i="7"/>
  <c r="D11883" i="7"/>
  <c r="E11882" i="7"/>
  <c r="D11882" i="7"/>
  <c r="E11881" i="7"/>
  <c r="D11881" i="7"/>
  <c r="E11880" i="7"/>
  <c r="D11880" i="7"/>
  <c r="A617" i="57" l="1"/>
  <c r="L11879" i="7" l="1"/>
  <c r="L11877" i="7"/>
  <c r="R616" i="57"/>
  <c r="P616" i="57"/>
  <c r="N616" i="57"/>
  <c r="L616" i="57"/>
  <c r="J616" i="57"/>
  <c r="H616" i="57"/>
  <c r="F616" i="57"/>
  <c r="D616" i="57"/>
  <c r="R615" i="57"/>
  <c r="P615" i="57"/>
  <c r="N615" i="57"/>
  <c r="L615" i="57"/>
  <c r="J615" i="57"/>
  <c r="H615" i="57"/>
  <c r="F615" i="57"/>
  <c r="D615" i="57"/>
  <c r="R614" i="57"/>
  <c r="P614" i="57"/>
  <c r="N614" i="57"/>
  <c r="L614" i="57"/>
  <c r="J614" i="57"/>
  <c r="H614" i="57"/>
  <c r="F614" i="57"/>
  <c r="D614" i="57"/>
  <c r="E11879" i="7"/>
  <c r="D11879" i="7"/>
  <c r="E11878" i="7"/>
  <c r="D11878" i="7"/>
  <c r="E11877" i="7"/>
  <c r="D11877" i="7"/>
  <c r="E11876" i="7"/>
  <c r="D11876" i="7"/>
  <c r="L11875" i="7"/>
  <c r="E11875" i="7"/>
  <c r="D11875" i="7"/>
  <c r="E11874" i="7"/>
  <c r="D11874" i="7"/>
  <c r="L11873" i="7"/>
  <c r="E11873" i="7"/>
  <c r="D11873" i="7"/>
  <c r="E11872" i="7"/>
  <c r="D11872" i="7"/>
  <c r="L11871" i="7"/>
  <c r="E11871" i="7"/>
  <c r="D11871" i="7"/>
  <c r="E11870" i="7"/>
  <c r="D11870" i="7"/>
  <c r="L11869" i="7"/>
  <c r="E11869" i="7"/>
  <c r="D11869" i="7"/>
  <c r="E11868" i="7"/>
  <c r="D11868" i="7"/>
  <c r="L11867" i="7"/>
  <c r="E11867" i="7"/>
  <c r="D11867" i="7"/>
  <c r="E11866" i="7"/>
  <c r="D11866" i="7"/>
  <c r="E11865" i="7"/>
  <c r="D11865" i="7"/>
  <c r="E11864" i="7"/>
  <c r="D11864" i="7"/>
  <c r="E11863" i="7"/>
  <c r="D11863" i="7"/>
  <c r="E11862" i="7"/>
  <c r="D11862" i="7"/>
  <c r="E11861" i="7"/>
  <c r="D11861" i="7"/>
  <c r="A615" i="57" l="1"/>
  <c r="A616" i="57"/>
  <c r="A614" i="57"/>
  <c r="E11860" i="7"/>
  <c r="D11860" i="7"/>
  <c r="E11859" i="7"/>
  <c r="D11859" i="7"/>
  <c r="E11858" i="7"/>
  <c r="D11858" i="7"/>
  <c r="E11857" i="7"/>
  <c r="D11857" i="7"/>
  <c r="E11856" i="7"/>
  <c r="D11856" i="7"/>
  <c r="E11855" i="7"/>
  <c r="D11855" i="7"/>
  <c r="E11833" i="7"/>
  <c r="D11833" i="7"/>
  <c r="E11832" i="7"/>
  <c r="D11832" i="7"/>
  <c r="E11831" i="7"/>
  <c r="D11831" i="7"/>
  <c r="E11854" i="7" l="1"/>
  <c r="D11854" i="7"/>
  <c r="E11853" i="7"/>
  <c r="D11853" i="7"/>
  <c r="E11852" i="7"/>
  <c r="D11852" i="7"/>
  <c r="L11851" i="7" l="1"/>
  <c r="E11851" i="7"/>
  <c r="D11851" i="7"/>
  <c r="E11850" i="7"/>
  <c r="D11850" i="7"/>
  <c r="L11849" i="7"/>
  <c r="E11849" i="7"/>
  <c r="D11849" i="7"/>
  <c r="E11848" i="7"/>
  <c r="D11848" i="7"/>
  <c r="L11845" i="7" l="1"/>
  <c r="L11847" i="7"/>
  <c r="E11847" i="7"/>
  <c r="D11847" i="7"/>
  <c r="E11846" i="7"/>
  <c r="D11846" i="7"/>
  <c r="E11845" i="7"/>
  <c r="D11845" i="7"/>
  <c r="E11844" i="7"/>
  <c r="D11844" i="7"/>
  <c r="L11843" i="7"/>
  <c r="E11843" i="7"/>
  <c r="D11843" i="7"/>
  <c r="E11842" i="7"/>
  <c r="D11842" i="7"/>
  <c r="L11841" i="7"/>
  <c r="E11841" i="7"/>
  <c r="D11841" i="7"/>
  <c r="E11840" i="7"/>
  <c r="D11840" i="7"/>
  <c r="L11839" i="7"/>
  <c r="E11839" i="7"/>
  <c r="D11839" i="7"/>
  <c r="E11838" i="7"/>
  <c r="D11838" i="7"/>
  <c r="L11837" i="7"/>
  <c r="E11837" i="7"/>
  <c r="D11837" i="7"/>
  <c r="E11836" i="7"/>
  <c r="D11836" i="7"/>
  <c r="L11835" i="7"/>
  <c r="E11835" i="7"/>
  <c r="D11835" i="7"/>
  <c r="E11834" i="7"/>
  <c r="D11834" i="7"/>
  <c r="E11830" i="7"/>
  <c r="D11830" i="7"/>
  <c r="E11829" i="7"/>
  <c r="D11829" i="7"/>
  <c r="E11828" i="7"/>
  <c r="D11828" i="7"/>
  <c r="E11827" i="7"/>
  <c r="D11827" i="7"/>
  <c r="E11826" i="7"/>
  <c r="D11826" i="7"/>
  <c r="E11825" i="7"/>
  <c r="D11825" i="7"/>
  <c r="E11824" i="7"/>
  <c r="D11824" i="7"/>
  <c r="E11823" i="7"/>
  <c r="D11823" i="7"/>
  <c r="R613" i="57" l="1"/>
  <c r="P613" i="57"/>
  <c r="N613" i="57"/>
  <c r="L613" i="57"/>
  <c r="J613" i="57"/>
  <c r="H613" i="57"/>
  <c r="F613" i="57"/>
  <c r="D613" i="57"/>
  <c r="L11816" i="7"/>
  <c r="L11822" i="7"/>
  <c r="E11822" i="7"/>
  <c r="D11822" i="7"/>
  <c r="E11821" i="7"/>
  <c r="D11821" i="7"/>
  <c r="E11820" i="7"/>
  <c r="D11820" i="7"/>
  <c r="L11820" i="7"/>
  <c r="E11819" i="7"/>
  <c r="D11819" i="7"/>
  <c r="L11818" i="7"/>
  <c r="E11818" i="7"/>
  <c r="D11818" i="7"/>
  <c r="E11817" i="7"/>
  <c r="D11817" i="7"/>
  <c r="R612" i="57"/>
  <c r="P612" i="57"/>
  <c r="N612" i="57"/>
  <c r="L612" i="57"/>
  <c r="J612" i="57"/>
  <c r="H612" i="57"/>
  <c r="F612" i="57"/>
  <c r="D612" i="57"/>
  <c r="E11816" i="7"/>
  <c r="D11816" i="7"/>
  <c r="E11815" i="7"/>
  <c r="D11815" i="7"/>
  <c r="L11814" i="7"/>
  <c r="E11814" i="7"/>
  <c r="D11814" i="7"/>
  <c r="E11813" i="7"/>
  <c r="D11813" i="7"/>
  <c r="L11812" i="7"/>
  <c r="E11812" i="7"/>
  <c r="D11812" i="7"/>
  <c r="E11811" i="7"/>
  <c r="D11811" i="7"/>
  <c r="L11810" i="7"/>
  <c r="E11810" i="7"/>
  <c r="D11810" i="7"/>
  <c r="E11809" i="7"/>
  <c r="D11809" i="7"/>
  <c r="L11808" i="7"/>
  <c r="E11808" i="7"/>
  <c r="D11808" i="7"/>
  <c r="E11807" i="7"/>
  <c r="D11807" i="7"/>
  <c r="L11806" i="7"/>
  <c r="E11806" i="7"/>
  <c r="D11806" i="7"/>
  <c r="E11805" i="7"/>
  <c r="D11805" i="7"/>
  <c r="L11804" i="7"/>
  <c r="E11804" i="7"/>
  <c r="D11804" i="7"/>
  <c r="E11803" i="7"/>
  <c r="D11803" i="7"/>
  <c r="E11802" i="7"/>
  <c r="D11802" i="7"/>
  <c r="E11801" i="7"/>
  <c r="D11801" i="7"/>
  <c r="E11800" i="7"/>
  <c r="D11800" i="7"/>
  <c r="K11651" i="7"/>
  <c r="E11799" i="7"/>
  <c r="D11799" i="7"/>
  <c r="E11797" i="7"/>
  <c r="D11797" i="7"/>
  <c r="K11795" i="7"/>
  <c r="L11796" i="7" s="1"/>
  <c r="E11796" i="7"/>
  <c r="D11796" i="7"/>
  <c r="E11795" i="7"/>
  <c r="D11795" i="7"/>
  <c r="L11794" i="7"/>
  <c r="H11794" i="7" a="1"/>
  <c r="H11794" i="7" s="1"/>
  <c r="E11794" i="7"/>
  <c r="D11794" i="7"/>
  <c r="H11793" i="7" a="1"/>
  <c r="H11793" i="7" s="1"/>
  <c r="E11793" i="7"/>
  <c r="D11793" i="7"/>
  <c r="E11778" i="7"/>
  <c r="D11778" i="7"/>
  <c r="E11777" i="7"/>
  <c r="D11777" i="7"/>
  <c r="E11776" i="7"/>
  <c r="D11776" i="7"/>
  <c r="A613" i="57" l="1"/>
  <c r="A612" i="57"/>
  <c r="R611" i="57" l="1"/>
  <c r="P611" i="57"/>
  <c r="N611" i="57"/>
  <c r="L611" i="57"/>
  <c r="J611" i="57"/>
  <c r="H611" i="57"/>
  <c r="F611" i="57"/>
  <c r="D611" i="57"/>
  <c r="L11792" i="7"/>
  <c r="E11792" i="7"/>
  <c r="D11792" i="7"/>
  <c r="E11791" i="7"/>
  <c r="D11791" i="7"/>
  <c r="E11790" i="7"/>
  <c r="D11790" i="7"/>
  <c r="L11790" i="7"/>
  <c r="E11789" i="7"/>
  <c r="D11789" i="7"/>
  <c r="L11788" i="7"/>
  <c r="E11788" i="7"/>
  <c r="D11788" i="7"/>
  <c r="E11787" i="7"/>
  <c r="D11787" i="7"/>
  <c r="L11786" i="7"/>
  <c r="E11786" i="7"/>
  <c r="D11786" i="7"/>
  <c r="E11785" i="7"/>
  <c r="D11785" i="7"/>
  <c r="L11784" i="7"/>
  <c r="E11784" i="7"/>
  <c r="D11784" i="7"/>
  <c r="E11783" i="7"/>
  <c r="D11783" i="7"/>
  <c r="L11782" i="7"/>
  <c r="E11782" i="7"/>
  <c r="D11782" i="7"/>
  <c r="E11781" i="7"/>
  <c r="D11781" i="7"/>
  <c r="L11780" i="7"/>
  <c r="E11780" i="7"/>
  <c r="D11780" i="7"/>
  <c r="E11779" i="7"/>
  <c r="D11779" i="7"/>
  <c r="E11775" i="7"/>
  <c r="D11775" i="7"/>
  <c r="E11774" i="7"/>
  <c r="D11774" i="7"/>
  <c r="E11773" i="7"/>
  <c r="D11773" i="7"/>
  <c r="E11772" i="7"/>
  <c r="D11772" i="7"/>
  <c r="E11771" i="7"/>
  <c r="D11771" i="7"/>
  <c r="E11770" i="7"/>
  <c r="D11770" i="7"/>
  <c r="E11769" i="7"/>
  <c r="D11769" i="7"/>
  <c r="E11768" i="7"/>
  <c r="D11768" i="7"/>
  <c r="L11767" i="7"/>
  <c r="H11767" i="7" a="1"/>
  <c r="H11767" i="7" s="1"/>
  <c r="E11767" i="7"/>
  <c r="D11767" i="7"/>
  <c r="H11766" i="7" a="1"/>
  <c r="H11766" i="7" s="1"/>
  <c r="E11766" i="7"/>
  <c r="D11766" i="7"/>
  <c r="K11763" i="7"/>
  <c r="L11764" i="7" s="1"/>
  <c r="E11765" i="7"/>
  <c r="D11765" i="7"/>
  <c r="E11764" i="7"/>
  <c r="D11764" i="7"/>
  <c r="E11763" i="7"/>
  <c r="D11763" i="7"/>
  <c r="A611" i="57" l="1"/>
  <c r="K11459" i="7"/>
  <c r="L11460" i="7" s="1"/>
  <c r="D10703" i="7" l="1"/>
  <c r="E10703" i="7"/>
  <c r="D10704" i="7"/>
  <c r="E10704" i="7"/>
  <c r="E11460" i="7" l="1"/>
  <c r="D11460" i="7"/>
  <c r="E11459" i="7"/>
  <c r="D11459" i="7"/>
  <c r="D11461" i="7"/>
  <c r="E11461" i="7"/>
  <c r="D11462" i="7"/>
  <c r="E11462" i="7"/>
  <c r="L11462" i="7"/>
  <c r="L11490" i="7"/>
  <c r="E11490" i="7"/>
  <c r="D11490" i="7"/>
  <c r="E11489" i="7"/>
  <c r="D11489" i="7"/>
  <c r="E11488" i="7"/>
  <c r="D11488" i="7"/>
  <c r="E11487" i="7"/>
  <c r="D11487" i="7"/>
  <c r="E11486" i="7"/>
  <c r="D11486" i="7"/>
  <c r="E11485" i="7"/>
  <c r="D11485" i="7"/>
  <c r="E11458" i="7"/>
  <c r="D11458" i="7"/>
  <c r="E11457" i="7"/>
  <c r="D11457" i="7"/>
  <c r="E11456" i="7"/>
  <c r="D11456" i="7"/>
  <c r="E11455" i="7"/>
  <c r="D11455" i="7"/>
  <c r="K11761" i="7"/>
  <c r="L11762" i="7" s="1"/>
  <c r="K11759" i="7"/>
  <c r="L11760" i="7" s="1"/>
  <c r="R610" i="57"/>
  <c r="P610" i="57"/>
  <c r="N610" i="57"/>
  <c r="L610" i="57"/>
  <c r="J610" i="57"/>
  <c r="H610" i="57"/>
  <c r="F610" i="57"/>
  <c r="D610" i="57"/>
  <c r="E11762" i="7"/>
  <c r="D11762" i="7"/>
  <c r="E11761" i="7"/>
  <c r="D11761" i="7"/>
  <c r="E11760" i="7"/>
  <c r="D11760" i="7"/>
  <c r="E11759" i="7"/>
  <c r="D11759" i="7"/>
  <c r="L11758" i="7"/>
  <c r="E11758" i="7"/>
  <c r="D11758" i="7"/>
  <c r="E11757" i="7"/>
  <c r="D11757" i="7"/>
  <c r="L11756" i="7"/>
  <c r="E11756" i="7"/>
  <c r="D11756" i="7"/>
  <c r="E11755" i="7"/>
  <c r="D11755" i="7"/>
  <c r="L11754" i="7"/>
  <c r="E11754" i="7"/>
  <c r="D11754" i="7"/>
  <c r="E11753" i="7"/>
  <c r="D11753" i="7"/>
  <c r="L11752" i="7"/>
  <c r="E11752" i="7"/>
  <c r="D11752" i="7"/>
  <c r="E11751" i="7"/>
  <c r="D11751" i="7"/>
  <c r="L11750" i="7"/>
  <c r="E11750" i="7"/>
  <c r="D11750" i="7"/>
  <c r="E11749" i="7"/>
  <c r="D11749" i="7"/>
  <c r="E11748" i="7"/>
  <c r="D11748" i="7"/>
  <c r="E11747" i="7"/>
  <c r="D11747" i="7"/>
  <c r="E11746" i="7"/>
  <c r="D11746" i="7"/>
  <c r="E11745" i="7"/>
  <c r="D11745" i="7"/>
  <c r="E11744" i="7"/>
  <c r="D11744" i="7"/>
  <c r="A610" i="57" l="1"/>
  <c r="L11737" i="7"/>
  <c r="R609" i="57"/>
  <c r="P609" i="57"/>
  <c r="N609" i="57"/>
  <c r="L609" i="57"/>
  <c r="J609" i="57"/>
  <c r="H609" i="57"/>
  <c r="F609" i="57"/>
  <c r="D609" i="57"/>
  <c r="R608" i="57"/>
  <c r="P608" i="57"/>
  <c r="N608" i="57"/>
  <c r="L608" i="57"/>
  <c r="J608" i="57"/>
  <c r="H608" i="57"/>
  <c r="F608" i="57"/>
  <c r="D608" i="57"/>
  <c r="R607" i="57"/>
  <c r="P607" i="57"/>
  <c r="N607" i="57"/>
  <c r="L607" i="57"/>
  <c r="J607" i="57"/>
  <c r="H607" i="57"/>
  <c r="F607" i="57"/>
  <c r="D607" i="57"/>
  <c r="L11743" i="7"/>
  <c r="E11743" i="7"/>
  <c r="D11743" i="7"/>
  <c r="E11742" i="7"/>
  <c r="D11742" i="7"/>
  <c r="L11741" i="7"/>
  <c r="E11741" i="7"/>
  <c r="D11741" i="7"/>
  <c r="E11740" i="7"/>
  <c r="D11740" i="7"/>
  <c r="L11739" i="7"/>
  <c r="E11739" i="7"/>
  <c r="D11739" i="7"/>
  <c r="E11738" i="7"/>
  <c r="D11738" i="7"/>
  <c r="E11737" i="7"/>
  <c r="D11737" i="7"/>
  <c r="E11736" i="7"/>
  <c r="D11736" i="7"/>
  <c r="L11735" i="7"/>
  <c r="E11735" i="7"/>
  <c r="D11735" i="7"/>
  <c r="E11734" i="7"/>
  <c r="D11734" i="7"/>
  <c r="L11733" i="7"/>
  <c r="E11733" i="7"/>
  <c r="D11733" i="7"/>
  <c r="E11732" i="7"/>
  <c r="D11732" i="7"/>
  <c r="L11731" i="7"/>
  <c r="E11731" i="7"/>
  <c r="D11731" i="7"/>
  <c r="E11730" i="7"/>
  <c r="D11730" i="7"/>
  <c r="E11729" i="7"/>
  <c r="D11729" i="7"/>
  <c r="E11728" i="7"/>
  <c r="D11728" i="7"/>
  <c r="E11727" i="7"/>
  <c r="D11727" i="7"/>
  <c r="E11726" i="7"/>
  <c r="D11726" i="7"/>
  <c r="E11725" i="7"/>
  <c r="D11725" i="7"/>
  <c r="E11724" i="7"/>
  <c r="D11724" i="7"/>
  <c r="E11723" i="7"/>
  <c r="D11723" i="7"/>
  <c r="E11722" i="7"/>
  <c r="D11722" i="7"/>
  <c r="E11721" i="7"/>
  <c r="D11721" i="7"/>
  <c r="E11720" i="7"/>
  <c r="D11720" i="7"/>
  <c r="A608" i="57" l="1"/>
  <c r="A607" i="57"/>
  <c r="A609" i="57"/>
  <c r="E11719" i="7"/>
  <c r="D11719" i="7"/>
  <c r="E11718" i="7"/>
  <c r="D11718" i="7"/>
  <c r="E11717" i="7"/>
  <c r="D11717" i="7"/>
  <c r="L11716" i="7"/>
  <c r="E11716" i="7"/>
  <c r="D11716" i="7"/>
  <c r="E11715" i="7"/>
  <c r="D11715" i="7"/>
  <c r="L11714" i="7"/>
  <c r="H11714" i="7" a="1"/>
  <c r="H11714" i="7" s="1"/>
  <c r="E11714" i="7"/>
  <c r="D11714" i="7"/>
  <c r="H11713" i="7" a="1"/>
  <c r="H11713" i="7" s="1"/>
  <c r="E11713" i="7"/>
  <c r="D11713" i="7"/>
  <c r="E11712" i="7"/>
  <c r="D11712" i="7"/>
  <c r="E11711" i="7"/>
  <c r="D11711" i="7"/>
  <c r="E11710" i="7"/>
  <c r="D11710" i="7"/>
  <c r="R606" i="57" l="1"/>
  <c r="P606" i="57"/>
  <c r="N606" i="57"/>
  <c r="L606" i="57"/>
  <c r="J606" i="57"/>
  <c r="H606" i="57"/>
  <c r="F606" i="57"/>
  <c r="D606" i="57"/>
  <c r="R605" i="57"/>
  <c r="P605" i="57"/>
  <c r="N605" i="57"/>
  <c r="L605" i="57"/>
  <c r="J605" i="57"/>
  <c r="H605" i="57"/>
  <c r="F605" i="57"/>
  <c r="D605" i="57"/>
  <c r="L11709" i="7"/>
  <c r="E11709" i="7"/>
  <c r="D11709" i="7"/>
  <c r="E11708" i="7"/>
  <c r="D11708" i="7"/>
  <c r="L11707" i="7"/>
  <c r="E11707" i="7"/>
  <c r="D11707" i="7"/>
  <c r="E11706" i="7"/>
  <c r="D11706" i="7"/>
  <c r="L11705" i="7"/>
  <c r="E11705" i="7"/>
  <c r="D11705" i="7"/>
  <c r="E11704" i="7"/>
  <c r="D11704" i="7"/>
  <c r="L11703" i="7"/>
  <c r="E11703" i="7"/>
  <c r="D11703" i="7"/>
  <c r="E11702" i="7"/>
  <c r="D11702" i="7"/>
  <c r="L11701" i="7"/>
  <c r="E11701" i="7"/>
  <c r="D11701" i="7"/>
  <c r="E11700" i="7"/>
  <c r="D11700" i="7"/>
  <c r="L11699" i="7"/>
  <c r="E11699" i="7"/>
  <c r="D11699" i="7"/>
  <c r="E11698" i="7"/>
  <c r="D11698" i="7"/>
  <c r="L11697" i="7"/>
  <c r="E11697" i="7"/>
  <c r="D11697" i="7"/>
  <c r="E11696" i="7"/>
  <c r="D11696" i="7"/>
  <c r="L11695" i="7"/>
  <c r="E11695" i="7"/>
  <c r="D11695" i="7"/>
  <c r="E11694" i="7"/>
  <c r="D11694" i="7"/>
  <c r="L11693" i="7"/>
  <c r="H11693" i="7" a="1"/>
  <c r="H11693" i="7" s="1"/>
  <c r="E11693" i="7"/>
  <c r="D11693" i="7"/>
  <c r="H11692" i="7" a="1"/>
  <c r="H11692" i="7" s="1"/>
  <c r="E11692" i="7"/>
  <c r="D11692" i="7"/>
  <c r="E11691" i="7"/>
  <c r="D11691" i="7"/>
  <c r="E11690" i="7"/>
  <c r="D11690" i="7"/>
  <c r="E11689" i="7"/>
  <c r="D11689" i="7"/>
  <c r="E11688" i="7"/>
  <c r="D11688" i="7"/>
  <c r="E11687" i="7"/>
  <c r="D11687" i="7"/>
  <c r="E11686" i="7"/>
  <c r="D11686" i="7"/>
  <c r="A605" i="57" l="1"/>
  <c r="A606" i="57"/>
  <c r="E11685" i="7"/>
  <c r="D11685" i="7"/>
  <c r="E11684" i="7"/>
  <c r="D11684" i="7"/>
  <c r="E11683" i="7"/>
  <c r="D11683" i="7"/>
  <c r="E11682" i="7"/>
  <c r="D11682" i="7"/>
  <c r="E11681" i="7"/>
  <c r="D11681" i="7"/>
  <c r="L11666" i="7" l="1"/>
  <c r="E11666" i="7"/>
  <c r="D11666" i="7"/>
  <c r="E11665" i="7"/>
  <c r="D11665" i="7"/>
  <c r="L11680" i="7" l="1"/>
  <c r="L11678" i="7"/>
  <c r="R604" i="57"/>
  <c r="P604" i="57"/>
  <c r="N604" i="57"/>
  <c r="L604" i="57"/>
  <c r="J604" i="57"/>
  <c r="H604" i="57"/>
  <c r="F604" i="57"/>
  <c r="D604" i="57"/>
  <c r="E11664" i="7"/>
  <c r="D11664" i="7"/>
  <c r="E11663" i="7"/>
  <c r="D11663" i="7"/>
  <c r="E11662" i="7"/>
  <c r="D11662" i="7"/>
  <c r="E11661" i="7"/>
  <c r="D11661" i="7"/>
  <c r="E11660" i="7"/>
  <c r="D11660" i="7"/>
  <c r="E11659" i="7"/>
  <c r="D11659" i="7"/>
  <c r="E11658" i="7"/>
  <c r="D11658" i="7"/>
  <c r="E11657" i="7"/>
  <c r="D11657" i="7"/>
  <c r="E11656" i="7"/>
  <c r="D11656" i="7"/>
  <c r="E11655" i="7"/>
  <c r="D11655" i="7"/>
  <c r="E11680" i="7"/>
  <c r="D11680" i="7"/>
  <c r="E11679" i="7"/>
  <c r="D11679" i="7"/>
  <c r="E11678" i="7"/>
  <c r="D11678" i="7"/>
  <c r="E11677" i="7"/>
  <c r="D11677" i="7"/>
  <c r="L11676" i="7"/>
  <c r="E11676" i="7"/>
  <c r="D11676" i="7"/>
  <c r="E11675" i="7"/>
  <c r="D11675" i="7"/>
  <c r="L11674" i="7"/>
  <c r="E11674" i="7"/>
  <c r="D11674" i="7"/>
  <c r="E11673" i="7"/>
  <c r="D11673" i="7"/>
  <c r="L11672" i="7"/>
  <c r="E11672" i="7"/>
  <c r="D11672" i="7"/>
  <c r="E11671" i="7"/>
  <c r="D11671" i="7"/>
  <c r="L11670" i="7"/>
  <c r="E11670" i="7"/>
  <c r="D11670" i="7"/>
  <c r="E11669" i="7"/>
  <c r="D11669" i="7"/>
  <c r="L11668" i="7"/>
  <c r="E11668" i="7"/>
  <c r="D11668" i="7"/>
  <c r="E11667" i="7"/>
  <c r="D11667" i="7"/>
  <c r="L11654" i="7"/>
  <c r="E11654" i="7"/>
  <c r="D11654" i="7"/>
  <c r="E11653" i="7"/>
  <c r="D11653" i="7"/>
  <c r="A604" i="57" l="1"/>
  <c r="L11652" i="7"/>
  <c r="E11652" i="7"/>
  <c r="D11652" i="7"/>
  <c r="E11651" i="7"/>
  <c r="D11651" i="7"/>
  <c r="E11650" i="7"/>
  <c r="D11650" i="7"/>
  <c r="E11649" i="7"/>
  <c r="D11649" i="7"/>
  <c r="E11648" i="7"/>
  <c r="D11648" i="7"/>
  <c r="R603" i="57" l="1"/>
  <c r="P603" i="57"/>
  <c r="N603" i="57"/>
  <c r="L603" i="57"/>
  <c r="J603" i="57"/>
  <c r="H603" i="57"/>
  <c r="F603" i="57"/>
  <c r="D603" i="57"/>
  <c r="L11647" i="7"/>
  <c r="E11647" i="7"/>
  <c r="D11647" i="7"/>
  <c r="E11646" i="7"/>
  <c r="D11646" i="7"/>
  <c r="L11645" i="7"/>
  <c r="E11645" i="7"/>
  <c r="D11645" i="7"/>
  <c r="E11644" i="7"/>
  <c r="D11644" i="7"/>
  <c r="L11643" i="7"/>
  <c r="E11643" i="7"/>
  <c r="D11643" i="7"/>
  <c r="E11642" i="7"/>
  <c r="D11642" i="7"/>
  <c r="L11641" i="7"/>
  <c r="E11641" i="7"/>
  <c r="D11641" i="7"/>
  <c r="E11640" i="7"/>
  <c r="D11640" i="7"/>
  <c r="L11639" i="7"/>
  <c r="E11639" i="7"/>
  <c r="D11639" i="7"/>
  <c r="E11638" i="7"/>
  <c r="D11638" i="7"/>
  <c r="L11637" i="7"/>
  <c r="E11637" i="7"/>
  <c r="D11637" i="7"/>
  <c r="E11636" i="7"/>
  <c r="D11636" i="7"/>
  <c r="L11635" i="7"/>
  <c r="E11635" i="7"/>
  <c r="D11635" i="7"/>
  <c r="E11634" i="7"/>
  <c r="D11634" i="7"/>
  <c r="L11633" i="7"/>
  <c r="E11633" i="7"/>
  <c r="D11633" i="7"/>
  <c r="E11632" i="7"/>
  <c r="D11632" i="7"/>
  <c r="L11623" i="7"/>
  <c r="E11623" i="7"/>
  <c r="D11623" i="7"/>
  <c r="E11622" i="7"/>
  <c r="D11622" i="7"/>
  <c r="A603" i="57" l="1"/>
  <c r="L11631" i="7"/>
  <c r="L11621" i="7"/>
  <c r="H11633" i="7" l="1" a="1"/>
  <c r="H11633" i="7" s="1"/>
  <c r="H11632" i="7" a="1"/>
  <c r="H11632" i="7" s="1"/>
  <c r="E11631" i="7"/>
  <c r="D11631" i="7"/>
  <c r="E11630" i="7"/>
  <c r="D11630" i="7"/>
  <c r="E11629" i="7"/>
  <c r="D11629" i="7"/>
  <c r="E11628" i="7"/>
  <c r="D11628" i="7"/>
  <c r="E11627" i="7"/>
  <c r="D11627" i="7"/>
  <c r="E11626" i="7"/>
  <c r="D11626" i="7"/>
  <c r="E11625" i="7"/>
  <c r="D11625" i="7"/>
  <c r="E11624" i="7"/>
  <c r="D11624" i="7"/>
  <c r="E11621" i="7"/>
  <c r="D11621" i="7"/>
  <c r="E11620" i="7"/>
  <c r="D11620" i="7"/>
  <c r="E11619" i="7"/>
  <c r="D11619" i="7"/>
  <c r="E11618" i="7"/>
  <c r="D11618" i="7"/>
  <c r="E11617" i="7"/>
  <c r="D11617" i="7"/>
  <c r="E11616" i="7"/>
  <c r="D11616" i="7"/>
  <c r="E11615" i="7"/>
  <c r="D11615" i="7"/>
  <c r="L11565" i="7" l="1"/>
  <c r="E11565" i="7"/>
  <c r="D11565" i="7"/>
  <c r="E11564" i="7"/>
  <c r="D11564" i="7"/>
  <c r="L11563" i="7"/>
  <c r="E11563" i="7"/>
  <c r="D11563" i="7"/>
  <c r="E11562" i="7"/>
  <c r="D11562" i="7"/>
  <c r="D11614" i="7"/>
  <c r="D11613" i="7"/>
  <c r="D11612" i="7"/>
  <c r="D11611" i="7"/>
  <c r="D11610" i="7"/>
  <c r="D11609" i="7"/>
  <c r="D11608" i="7"/>
  <c r="D11607" i="7"/>
  <c r="D11606" i="7"/>
  <c r="D11605" i="7"/>
  <c r="D11604" i="7"/>
  <c r="D11603" i="7"/>
  <c r="D11602" i="7"/>
  <c r="D11601" i="7"/>
  <c r="D11600" i="7"/>
  <c r="D11599" i="7"/>
  <c r="D11598" i="7"/>
  <c r="D11597" i="7"/>
  <c r="D11596" i="7"/>
  <c r="D11595" i="7"/>
  <c r="D11594" i="7"/>
  <c r="D11593" i="7"/>
  <c r="D11592" i="7"/>
  <c r="D11591" i="7"/>
  <c r="D11590" i="7"/>
  <c r="D11589" i="7"/>
  <c r="D11588" i="7"/>
  <c r="D11587" i="7"/>
  <c r="D11586" i="7"/>
  <c r="D11585" i="7"/>
  <c r="D11584" i="7"/>
  <c r="D11583" i="7"/>
  <c r="D11582" i="7"/>
  <c r="D11581" i="7"/>
  <c r="D11580" i="7"/>
  <c r="D11579" i="7"/>
  <c r="D11578" i="7"/>
  <c r="D11577" i="7"/>
  <c r="D11576" i="7"/>
  <c r="D11575" i="7"/>
  <c r="D11574" i="7"/>
  <c r="D11573" i="7"/>
  <c r="D11572" i="7"/>
  <c r="D11571" i="7"/>
  <c r="D11570" i="7"/>
  <c r="D11569" i="7"/>
  <c r="D11568" i="7"/>
  <c r="D11567" i="7"/>
  <c r="D11566" i="7"/>
  <c r="D11561" i="7"/>
  <c r="D11560" i="7"/>
  <c r="D11559" i="7"/>
  <c r="D11558" i="7"/>
  <c r="D11557" i="7"/>
  <c r="D11556" i="7"/>
  <c r="D11555" i="7"/>
  <c r="D11554" i="7"/>
  <c r="D11553" i="7"/>
  <c r="D11552" i="7"/>
  <c r="D11551" i="7"/>
  <c r="D11550" i="7"/>
  <c r="D11549" i="7"/>
  <c r="D11548" i="7"/>
  <c r="D11547" i="7"/>
  <c r="D11546" i="7"/>
  <c r="D11545" i="7"/>
  <c r="D11544" i="7"/>
  <c r="D11543" i="7"/>
  <c r="D11542" i="7"/>
  <c r="D11541" i="7"/>
  <c r="D11540" i="7"/>
  <c r="D11539" i="7"/>
  <c r="D11538" i="7"/>
  <c r="D11537" i="7"/>
  <c r="D11536" i="7"/>
  <c r="D11535" i="7"/>
  <c r="D11534" i="7"/>
  <c r="D11533" i="7"/>
  <c r="D11532" i="7"/>
  <c r="D11531" i="7"/>
  <c r="D11530" i="7"/>
  <c r="D11529" i="7"/>
  <c r="D11528" i="7"/>
  <c r="D11527" i="7"/>
  <c r="D11526" i="7"/>
  <c r="D11525" i="7"/>
  <c r="D11524" i="7"/>
  <c r="D11523" i="7"/>
  <c r="D11522" i="7"/>
  <c r="D11521" i="7"/>
  <c r="D11520" i="7"/>
  <c r="D11519" i="7"/>
  <c r="D11518" i="7"/>
  <c r="D11517" i="7"/>
  <c r="D11516" i="7"/>
  <c r="D11515" i="7"/>
  <c r="D11514" i="7"/>
  <c r="D11513" i="7"/>
  <c r="D11512" i="7"/>
  <c r="D11511" i="7"/>
  <c r="D11510" i="7"/>
  <c r="D11509" i="7"/>
  <c r="D11508" i="7"/>
  <c r="D11507" i="7"/>
  <c r="D11506" i="7"/>
  <c r="D11505" i="7"/>
  <c r="D11504" i="7"/>
  <c r="D11503" i="7"/>
  <c r="D11502" i="7"/>
  <c r="D11501" i="7"/>
  <c r="D11500" i="7"/>
  <c r="D11499" i="7"/>
  <c r="D11498" i="7"/>
  <c r="D11497" i="7"/>
  <c r="D11496" i="7"/>
  <c r="D11495" i="7"/>
  <c r="D11494" i="7"/>
  <c r="D11493" i="7"/>
  <c r="D11492" i="7"/>
  <c r="D11491" i="7"/>
  <c r="D11484" i="7"/>
  <c r="D11483" i="7"/>
  <c r="D11482" i="7"/>
  <c r="D11481" i="7"/>
  <c r="D11480" i="7"/>
  <c r="D11479" i="7"/>
  <c r="D11478" i="7"/>
  <c r="D11477" i="7"/>
  <c r="D11476" i="7"/>
  <c r="D11475" i="7"/>
  <c r="D11474" i="7"/>
  <c r="D11473" i="7"/>
  <c r="D11472" i="7"/>
  <c r="D11471" i="7"/>
  <c r="D11470" i="7"/>
  <c r="D11469" i="7"/>
  <c r="D11468" i="7"/>
  <c r="D11467" i="7"/>
  <c r="D11466" i="7"/>
  <c r="D11465" i="7"/>
  <c r="D11464" i="7"/>
  <c r="D11463" i="7"/>
  <c r="D11454" i="7"/>
  <c r="D11453" i="7"/>
  <c r="D11452" i="7"/>
  <c r="D11451" i="7"/>
  <c r="D11450" i="7"/>
  <c r="D11449" i="7"/>
  <c r="D11448" i="7"/>
  <c r="D11447" i="7"/>
  <c r="D11446" i="7"/>
  <c r="D11445" i="7"/>
  <c r="D11444" i="7"/>
  <c r="D11443" i="7"/>
  <c r="D11442" i="7"/>
  <c r="D11441" i="7"/>
  <c r="D11440" i="7"/>
  <c r="D11439" i="7"/>
  <c r="D11438" i="7"/>
  <c r="D11437" i="7"/>
  <c r="D11436" i="7"/>
  <c r="D11435" i="7"/>
  <c r="D11434" i="7"/>
  <c r="D11433" i="7"/>
  <c r="D11432" i="7"/>
  <c r="D11431" i="7"/>
  <c r="D11430" i="7"/>
  <c r="D11429" i="7"/>
  <c r="D11428" i="7"/>
  <c r="D11427" i="7"/>
  <c r="D11426" i="7"/>
  <c r="D11425" i="7"/>
  <c r="D11424" i="7"/>
  <c r="D11423" i="7"/>
  <c r="D11422" i="7"/>
  <c r="D11421" i="7"/>
  <c r="D11420" i="7"/>
  <c r="D11419" i="7"/>
  <c r="D11418" i="7"/>
  <c r="D11417" i="7"/>
  <c r="D11416" i="7"/>
  <c r="D11415" i="7"/>
  <c r="D11414" i="7"/>
  <c r="D11413" i="7"/>
  <c r="D11412" i="7"/>
  <c r="D11411" i="7"/>
  <c r="D11410" i="7"/>
  <c r="D11409" i="7"/>
  <c r="D11408" i="7"/>
  <c r="D11407" i="7"/>
  <c r="D11406" i="7"/>
  <c r="D11405" i="7"/>
  <c r="D11404" i="7"/>
  <c r="D11403" i="7"/>
  <c r="D11402" i="7"/>
  <c r="D11401" i="7"/>
  <c r="D11400" i="7"/>
  <c r="D11399" i="7"/>
  <c r="D11398" i="7"/>
  <c r="D11397" i="7"/>
  <c r="D11396" i="7"/>
  <c r="D11395" i="7"/>
  <c r="D11394" i="7"/>
  <c r="D11393" i="7"/>
  <c r="D11392" i="7"/>
  <c r="D11391" i="7"/>
  <c r="D11390" i="7"/>
  <c r="D11389" i="7"/>
  <c r="D11388" i="7"/>
  <c r="D11387" i="7"/>
  <c r="D11386" i="7"/>
  <c r="D11385" i="7"/>
  <c r="D11384" i="7"/>
  <c r="D11383" i="7"/>
  <c r="D11382" i="7"/>
  <c r="D11381" i="7"/>
  <c r="D11380" i="7"/>
  <c r="D11379" i="7"/>
  <c r="D11378" i="7"/>
  <c r="D11377" i="7"/>
  <c r="D11376" i="7"/>
  <c r="D11375" i="7"/>
  <c r="D11374" i="7"/>
  <c r="D11373" i="7"/>
  <c r="D11372" i="7"/>
  <c r="D11371" i="7"/>
  <c r="D11370" i="7"/>
  <c r="D11369" i="7"/>
  <c r="D11368" i="7"/>
  <c r="D11367" i="7"/>
  <c r="D11366" i="7"/>
  <c r="D11365" i="7"/>
  <c r="D11364" i="7"/>
  <c r="D11363" i="7"/>
  <c r="D11362" i="7"/>
  <c r="D11361" i="7"/>
  <c r="D11360" i="7"/>
  <c r="D11359" i="7"/>
  <c r="D11358" i="7"/>
  <c r="D11357" i="7"/>
  <c r="D11356" i="7"/>
  <c r="D11355" i="7"/>
  <c r="D11354" i="7"/>
  <c r="D11353" i="7"/>
  <c r="D11352" i="7"/>
  <c r="D11351" i="7"/>
  <c r="D11350" i="7"/>
  <c r="D11349" i="7"/>
  <c r="D11348" i="7"/>
  <c r="D11347" i="7"/>
  <c r="D11346" i="7"/>
  <c r="D11345" i="7"/>
  <c r="D11344" i="7"/>
  <c r="D11343" i="7"/>
  <c r="D11342" i="7"/>
  <c r="D11341" i="7"/>
  <c r="D11340" i="7"/>
  <c r="D11339" i="7"/>
  <c r="D11338" i="7"/>
  <c r="D11337" i="7"/>
  <c r="D11336" i="7"/>
  <c r="D11335" i="7"/>
  <c r="D11334" i="7"/>
  <c r="D11333" i="7"/>
  <c r="D11332" i="7"/>
  <c r="D11331" i="7"/>
  <c r="D11330" i="7"/>
  <c r="D11329" i="7"/>
  <c r="D11328" i="7"/>
  <c r="D11327" i="7"/>
  <c r="D11326" i="7"/>
  <c r="D11325" i="7"/>
  <c r="D11324" i="7"/>
  <c r="D11323" i="7"/>
  <c r="D11322" i="7"/>
  <c r="D11321" i="7"/>
  <c r="D11320" i="7"/>
  <c r="D11319" i="7"/>
  <c r="D11318" i="7"/>
  <c r="D11317" i="7"/>
  <c r="D11316" i="7"/>
  <c r="D11315" i="7"/>
  <c r="D11314" i="7"/>
  <c r="D11313" i="7"/>
  <c r="D11312" i="7"/>
  <c r="D11311" i="7"/>
  <c r="D11310" i="7"/>
  <c r="D11309" i="7"/>
  <c r="D11308" i="7"/>
  <c r="D11307" i="7"/>
  <c r="D11306" i="7"/>
  <c r="D11305" i="7"/>
  <c r="D11304" i="7"/>
  <c r="D11303" i="7"/>
  <c r="D11302" i="7"/>
  <c r="D11301" i="7"/>
  <c r="D11300" i="7"/>
  <c r="D11299" i="7"/>
  <c r="D11298" i="7"/>
  <c r="D11297" i="7"/>
  <c r="D11296" i="7"/>
  <c r="D11295" i="7"/>
  <c r="D11294" i="7"/>
  <c r="D11293" i="7"/>
  <c r="D11292" i="7"/>
  <c r="D11291" i="7"/>
  <c r="D11290" i="7"/>
  <c r="D11289" i="7"/>
  <c r="D11288" i="7"/>
  <c r="D11287" i="7"/>
  <c r="D11286" i="7"/>
  <c r="D11285" i="7"/>
  <c r="D11284" i="7"/>
  <c r="D11283" i="7"/>
  <c r="D11282" i="7"/>
  <c r="D11281" i="7"/>
  <c r="D11280" i="7"/>
  <c r="D11279" i="7"/>
  <c r="D11278" i="7"/>
  <c r="D11277" i="7"/>
  <c r="D11276" i="7"/>
  <c r="D11275" i="7"/>
  <c r="D11274" i="7"/>
  <c r="D11273" i="7"/>
  <c r="D11272" i="7"/>
  <c r="D11271" i="7"/>
  <c r="D11270" i="7"/>
  <c r="D11269" i="7"/>
  <c r="D11268" i="7"/>
  <c r="D11267" i="7"/>
  <c r="D11266" i="7"/>
  <c r="D11265" i="7"/>
  <c r="D11264" i="7"/>
  <c r="D11263" i="7"/>
  <c r="D11262" i="7"/>
  <c r="D11261" i="7"/>
  <c r="D11260" i="7"/>
  <c r="D11259" i="7"/>
  <c r="D11258" i="7"/>
  <c r="D11257" i="7"/>
  <c r="D11256" i="7"/>
  <c r="D11255" i="7"/>
  <c r="D11254" i="7"/>
  <c r="D11253" i="7"/>
  <c r="D11252" i="7"/>
  <c r="D11251" i="7"/>
  <c r="D11250" i="7"/>
  <c r="D11249" i="7"/>
  <c r="D11248" i="7"/>
  <c r="D11247" i="7"/>
  <c r="D11246" i="7"/>
  <c r="D11245" i="7"/>
  <c r="D11244" i="7"/>
  <c r="D11243" i="7"/>
  <c r="D11242" i="7"/>
  <c r="D11241" i="7"/>
  <c r="D11240" i="7"/>
  <c r="D11239" i="7"/>
  <c r="D11238" i="7"/>
  <c r="D11237" i="7"/>
  <c r="D11236" i="7"/>
  <c r="D11235" i="7"/>
  <c r="D11234" i="7"/>
  <c r="D11233" i="7"/>
  <c r="D11232" i="7"/>
  <c r="D11231" i="7"/>
  <c r="D11230" i="7"/>
  <c r="D11229" i="7"/>
  <c r="D11228" i="7"/>
  <c r="D11227" i="7"/>
  <c r="D11226" i="7"/>
  <c r="D11225" i="7"/>
  <c r="D11224" i="7"/>
  <c r="D11223" i="7"/>
  <c r="D11222" i="7"/>
  <c r="D11221" i="7"/>
  <c r="D11220" i="7"/>
  <c r="D11219" i="7"/>
  <c r="D11218" i="7"/>
  <c r="D11217" i="7"/>
  <c r="D11216" i="7"/>
  <c r="D11215" i="7"/>
  <c r="D11214" i="7"/>
  <c r="D11213" i="7"/>
  <c r="D11212" i="7"/>
  <c r="D11211" i="7"/>
  <c r="D11210" i="7"/>
  <c r="D11209" i="7"/>
  <c r="D11208" i="7"/>
  <c r="D11207" i="7"/>
  <c r="D11206" i="7"/>
  <c r="D11205" i="7"/>
  <c r="D11204" i="7"/>
  <c r="D11203" i="7"/>
  <c r="D11202" i="7"/>
  <c r="D11201" i="7"/>
  <c r="D11200" i="7"/>
  <c r="D11199" i="7"/>
  <c r="D11198" i="7"/>
  <c r="D11197" i="7"/>
  <c r="D11196" i="7"/>
  <c r="D11195" i="7"/>
  <c r="D11194" i="7"/>
  <c r="D11193" i="7"/>
  <c r="D11192" i="7"/>
  <c r="D11191" i="7"/>
  <c r="D11190" i="7"/>
  <c r="D11189" i="7"/>
  <c r="D11188" i="7"/>
  <c r="D11187" i="7"/>
  <c r="D11186" i="7"/>
  <c r="D11185" i="7"/>
  <c r="D11184" i="7"/>
  <c r="D11183" i="7"/>
  <c r="D11182" i="7"/>
  <c r="D11181" i="7"/>
  <c r="D11180" i="7"/>
  <c r="D11179" i="7"/>
  <c r="D11178" i="7"/>
  <c r="D11177" i="7"/>
  <c r="D11176" i="7"/>
  <c r="D11175" i="7"/>
  <c r="D11174" i="7"/>
  <c r="D11173" i="7"/>
  <c r="D11172" i="7"/>
  <c r="D11171" i="7"/>
  <c r="D11170" i="7"/>
  <c r="D11169" i="7"/>
  <c r="D11168" i="7"/>
  <c r="D11167" i="7"/>
  <c r="D11166" i="7"/>
  <c r="D11165" i="7"/>
  <c r="D11164" i="7"/>
  <c r="D11163" i="7"/>
  <c r="D11162" i="7"/>
  <c r="D11161" i="7"/>
  <c r="D11160" i="7"/>
  <c r="D11159" i="7"/>
  <c r="D11158" i="7"/>
  <c r="D11157" i="7"/>
  <c r="D11156" i="7"/>
  <c r="D11155" i="7"/>
  <c r="D11154" i="7"/>
  <c r="D11153" i="7"/>
  <c r="D11152" i="7"/>
  <c r="D11151" i="7"/>
  <c r="D11150" i="7"/>
  <c r="D11149" i="7"/>
  <c r="D11148" i="7"/>
  <c r="D11147" i="7"/>
  <c r="D11146" i="7"/>
  <c r="D11145" i="7"/>
  <c r="D11144" i="7"/>
  <c r="D11143" i="7"/>
  <c r="D11142" i="7"/>
  <c r="D11141" i="7"/>
  <c r="D11140" i="7"/>
  <c r="D11139" i="7"/>
  <c r="D11138" i="7"/>
  <c r="D11137" i="7"/>
  <c r="D11136" i="7"/>
  <c r="D11135" i="7"/>
  <c r="D11134" i="7"/>
  <c r="D11133" i="7"/>
  <c r="D11132" i="7"/>
  <c r="D11131" i="7"/>
  <c r="D11130" i="7"/>
  <c r="D11129" i="7"/>
  <c r="D11128" i="7"/>
  <c r="D11127" i="7"/>
  <c r="D11126" i="7"/>
  <c r="D11125" i="7"/>
  <c r="D11124" i="7"/>
  <c r="D11123" i="7"/>
  <c r="D11122" i="7"/>
  <c r="D11121" i="7"/>
  <c r="D11120" i="7"/>
  <c r="D11119" i="7"/>
  <c r="D11118" i="7"/>
  <c r="D11117" i="7"/>
  <c r="D11116" i="7"/>
  <c r="D11115" i="7"/>
  <c r="D11114" i="7"/>
  <c r="D11113" i="7"/>
  <c r="D11112" i="7"/>
  <c r="D11111" i="7"/>
  <c r="D11110" i="7"/>
  <c r="D11109" i="7"/>
  <c r="D11108" i="7"/>
  <c r="D11107" i="7"/>
  <c r="D11106" i="7"/>
  <c r="D11105" i="7"/>
  <c r="D11104" i="7"/>
  <c r="D11103" i="7"/>
  <c r="D11102" i="7"/>
  <c r="D11101" i="7"/>
  <c r="D11100" i="7"/>
  <c r="D11099" i="7"/>
  <c r="D11098" i="7"/>
  <c r="D11097" i="7"/>
  <c r="D11096" i="7"/>
  <c r="D11095" i="7"/>
  <c r="D11094" i="7"/>
  <c r="D11093" i="7"/>
  <c r="D11092" i="7"/>
  <c r="D11091" i="7"/>
  <c r="D11090" i="7"/>
  <c r="D11089" i="7"/>
  <c r="D11088" i="7"/>
  <c r="D11087" i="7"/>
  <c r="D11086" i="7"/>
  <c r="D11085" i="7"/>
  <c r="D11084" i="7"/>
  <c r="D11083" i="7"/>
  <c r="D11082" i="7"/>
  <c r="D11081" i="7"/>
  <c r="D11080" i="7"/>
  <c r="D11079" i="7"/>
  <c r="D11078" i="7"/>
  <c r="D11077" i="7"/>
  <c r="D11076" i="7"/>
  <c r="D11075" i="7"/>
  <c r="D11074" i="7"/>
  <c r="D11073" i="7"/>
  <c r="D11072" i="7"/>
  <c r="D11071" i="7"/>
  <c r="D11070" i="7"/>
  <c r="D11069" i="7"/>
  <c r="D11068" i="7"/>
  <c r="D11067" i="7"/>
  <c r="D11066" i="7"/>
  <c r="D11065" i="7"/>
  <c r="D11064" i="7"/>
  <c r="D11063" i="7"/>
  <c r="D11062" i="7"/>
  <c r="D11061" i="7"/>
  <c r="D11060" i="7"/>
  <c r="D11059" i="7"/>
  <c r="D11058" i="7"/>
  <c r="D11057" i="7"/>
  <c r="D11056" i="7"/>
  <c r="D11055" i="7"/>
  <c r="D11054" i="7"/>
  <c r="D11053" i="7"/>
  <c r="D11052" i="7"/>
  <c r="D11051" i="7"/>
  <c r="D11050" i="7"/>
  <c r="D11049" i="7"/>
  <c r="D11048" i="7"/>
  <c r="D11047" i="7"/>
  <c r="D11046" i="7"/>
  <c r="D11045" i="7"/>
  <c r="D11044" i="7"/>
  <c r="D11043" i="7"/>
  <c r="D11042" i="7"/>
  <c r="D11041" i="7"/>
  <c r="D11040" i="7"/>
  <c r="D11039" i="7"/>
  <c r="D11038" i="7"/>
  <c r="D11037" i="7"/>
  <c r="D11036" i="7"/>
  <c r="D11035" i="7"/>
  <c r="D11034" i="7"/>
  <c r="D11033" i="7"/>
  <c r="D11032" i="7"/>
  <c r="D11031" i="7"/>
  <c r="D11030" i="7"/>
  <c r="D11029" i="7"/>
  <c r="D11028" i="7"/>
  <c r="D11027" i="7"/>
  <c r="D11026" i="7"/>
  <c r="D11025" i="7"/>
  <c r="D11024" i="7"/>
  <c r="D11023" i="7"/>
  <c r="D11022" i="7"/>
  <c r="D11021" i="7"/>
  <c r="D11020" i="7"/>
  <c r="D11019" i="7"/>
  <c r="D11018" i="7"/>
  <c r="D11017" i="7"/>
  <c r="D11016" i="7"/>
  <c r="D11015" i="7"/>
  <c r="D11014" i="7"/>
  <c r="D11013" i="7"/>
  <c r="D11012" i="7"/>
  <c r="D11011" i="7"/>
  <c r="D11010" i="7"/>
  <c r="D11009" i="7"/>
  <c r="D11008" i="7"/>
  <c r="D11007" i="7"/>
  <c r="D11006" i="7"/>
  <c r="D11005" i="7"/>
  <c r="D11004" i="7"/>
  <c r="D11003" i="7"/>
  <c r="D11002" i="7"/>
  <c r="D11001" i="7"/>
  <c r="D11000" i="7"/>
  <c r="D10999" i="7"/>
  <c r="D10998" i="7"/>
  <c r="D10997" i="7"/>
  <c r="D10996" i="7"/>
  <c r="D10995" i="7"/>
  <c r="D10994" i="7"/>
  <c r="D10993" i="7"/>
  <c r="D10992" i="7"/>
  <c r="D10991" i="7"/>
  <c r="D10990" i="7"/>
  <c r="D10989" i="7"/>
  <c r="D10988" i="7"/>
  <c r="D10987" i="7"/>
  <c r="D10986" i="7"/>
  <c r="D10985" i="7"/>
  <c r="D10984" i="7"/>
  <c r="D10983" i="7"/>
  <c r="D10982" i="7"/>
  <c r="D10981" i="7"/>
  <c r="D10980" i="7"/>
  <c r="D10979" i="7"/>
  <c r="D10978" i="7"/>
  <c r="D10977" i="7"/>
  <c r="D10976" i="7"/>
  <c r="D10975" i="7"/>
  <c r="D10974" i="7"/>
  <c r="D10973" i="7"/>
  <c r="D10972" i="7"/>
  <c r="D10971" i="7"/>
  <c r="D10970" i="7"/>
  <c r="D10969" i="7"/>
  <c r="D10968" i="7"/>
  <c r="D10967" i="7"/>
  <c r="D10966" i="7"/>
  <c r="D10965" i="7"/>
  <c r="D10964" i="7"/>
  <c r="D10963" i="7"/>
  <c r="D10962" i="7"/>
  <c r="D10961" i="7"/>
  <c r="D10960" i="7"/>
  <c r="D10959" i="7"/>
  <c r="D10958" i="7"/>
  <c r="D10957" i="7"/>
  <c r="D10956" i="7"/>
  <c r="D10955" i="7"/>
  <c r="D10954" i="7"/>
  <c r="D10953" i="7"/>
  <c r="D10952" i="7"/>
  <c r="D10951" i="7"/>
  <c r="D10950" i="7"/>
  <c r="D10949" i="7"/>
  <c r="D10948" i="7"/>
  <c r="D10947" i="7"/>
  <c r="D10946" i="7"/>
  <c r="D10945" i="7"/>
  <c r="D10944" i="7"/>
  <c r="D10943" i="7"/>
  <c r="D10942" i="7"/>
  <c r="D10941" i="7"/>
  <c r="D10940" i="7"/>
  <c r="D10939" i="7"/>
  <c r="D10938" i="7"/>
  <c r="D10937" i="7"/>
  <c r="D10936" i="7"/>
  <c r="D10935" i="7"/>
  <c r="D10934" i="7"/>
  <c r="D10933" i="7"/>
  <c r="D10932" i="7"/>
  <c r="D10931" i="7"/>
  <c r="D10930" i="7"/>
  <c r="D10929" i="7"/>
  <c r="D10928" i="7"/>
  <c r="D10927" i="7"/>
  <c r="D10926" i="7"/>
  <c r="D10925" i="7"/>
  <c r="D10924" i="7"/>
  <c r="D10923" i="7"/>
  <c r="D10922" i="7"/>
  <c r="D10921" i="7"/>
  <c r="D10920" i="7"/>
  <c r="D10919" i="7"/>
  <c r="D10918" i="7"/>
  <c r="D10917" i="7"/>
  <c r="D10916" i="7"/>
  <c r="D10915" i="7"/>
  <c r="D10914" i="7"/>
  <c r="D10913" i="7"/>
  <c r="D10912" i="7"/>
  <c r="D10911" i="7"/>
  <c r="D10910" i="7"/>
  <c r="D10909" i="7"/>
  <c r="D10908" i="7"/>
  <c r="D10907" i="7"/>
  <c r="D10906" i="7"/>
  <c r="D10905" i="7"/>
  <c r="D10904" i="7"/>
  <c r="D10903" i="7"/>
  <c r="D10902" i="7"/>
  <c r="D10901" i="7"/>
  <c r="D10900" i="7"/>
  <c r="D10899" i="7"/>
  <c r="D10898" i="7"/>
  <c r="D10897" i="7"/>
  <c r="D10896" i="7"/>
  <c r="D10895" i="7"/>
  <c r="D10894" i="7"/>
  <c r="D10893" i="7"/>
  <c r="D10892" i="7"/>
  <c r="D10891" i="7"/>
  <c r="D10890" i="7"/>
  <c r="D10889" i="7"/>
  <c r="D10888" i="7"/>
  <c r="D10887" i="7"/>
  <c r="D10886" i="7"/>
  <c r="D10885" i="7"/>
  <c r="D10884" i="7"/>
  <c r="D10883" i="7"/>
  <c r="D10882" i="7"/>
  <c r="D10881" i="7"/>
  <c r="D10880" i="7"/>
  <c r="D10879" i="7"/>
  <c r="D10878" i="7"/>
  <c r="D10877" i="7"/>
  <c r="D10876" i="7"/>
  <c r="D10875" i="7"/>
  <c r="D10874" i="7"/>
  <c r="D10873" i="7"/>
  <c r="D10872" i="7"/>
  <c r="D10871" i="7"/>
  <c r="D10870" i="7"/>
  <c r="D10869" i="7"/>
  <c r="D10868" i="7"/>
  <c r="D10867" i="7"/>
  <c r="D10866" i="7"/>
  <c r="D10865" i="7"/>
  <c r="D10864" i="7"/>
  <c r="D10863" i="7"/>
  <c r="D10862" i="7"/>
  <c r="D10861" i="7"/>
  <c r="D10860" i="7"/>
  <c r="D10859" i="7"/>
  <c r="D10858" i="7"/>
  <c r="D10857" i="7"/>
  <c r="D10856" i="7"/>
  <c r="D10855" i="7"/>
  <c r="D10854" i="7"/>
  <c r="D10853" i="7"/>
  <c r="D10852" i="7"/>
  <c r="D10851" i="7"/>
  <c r="D10850" i="7"/>
  <c r="D10849" i="7"/>
  <c r="D10848" i="7"/>
  <c r="D10847" i="7"/>
  <c r="D10846" i="7"/>
  <c r="D10845" i="7"/>
  <c r="D10844" i="7"/>
  <c r="D10843" i="7"/>
  <c r="D10842" i="7"/>
  <c r="D10841" i="7"/>
  <c r="D10840" i="7"/>
  <c r="D10839" i="7"/>
  <c r="D10838" i="7"/>
  <c r="D10837" i="7"/>
  <c r="D10836" i="7"/>
  <c r="D10835" i="7"/>
  <c r="D10834" i="7"/>
  <c r="D10833" i="7"/>
  <c r="D10832" i="7"/>
  <c r="D10831" i="7"/>
  <c r="D10830" i="7"/>
  <c r="D10829" i="7"/>
  <c r="D10828" i="7"/>
  <c r="D10827" i="7"/>
  <c r="D10826" i="7"/>
  <c r="D10825" i="7"/>
  <c r="D10824" i="7"/>
  <c r="D10823" i="7"/>
  <c r="D10822" i="7"/>
  <c r="D10821" i="7"/>
  <c r="D10820" i="7"/>
  <c r="D10819" i="7"/>
  <c r="D10818" i="7"/>
  <c r="D10817" i="7"/>
  <c r="D10816" i="7"/>
  <c r="D10815" i="7"/>
  <c r="D10814" i="7"/>
  <c r="D10813" i="7"/>
  <c r="D10812" i="7"/>
  <c r="D10811" i="7"/>
  <c r="D10810" i="7"/>
  <c r="D10809" i="7"/>
  <c r="D10808" i="7"/>
  <c r="D10807" i="7"/>
  <c r="D10806" i="7"/>
  <c r="D10805" i="7"/>
  <c r="D10804" i="7"/>
  <c r="D10803" i="7"/>
  <c r="D10802" i="7"/>
  <c r="D10801" i="7"/>
  <c r="D10800" i="7"/>
  <c r="D10799" i="7"/>
  <c r="D10798" i="7"/>
  <c r="D10797" i="7"/>
  <c r="D10796" i="7"/>
  <c r="D10795" i="7"/>
  <c r="D10794" i="7"/>
  <c r="D10793" i="7"/>
  <c r="D10792" i="7"/>
  <c r="D10791" i="7"/>
  <c r="D10790" i="7"/>
  <c r="D10789" i="7"/>
  <c r="D10788" i="7"/>
  <c r="D10787" i="7"/>
  <c r="D10786" i="7"/>
  <c r="D10785" i="7"/>
  <c r="D10784" i="7"/>
  <c r="D10783" i="7"/>
  <c r="D10782" i="7"/>
  <c r="D10781" i="7"/>
  <c r="D10780" i="7"/>
  <c r="D10779" i="7"/>
  <c r="D10778" i="7"/>
  <c r="D10777" i="7"/>
  <c r="D10776" i="7"/>
  <c r="D10775" i="7"/>
  <c r="D10774" i="7"/>
  <c r="D10773" i="7"/>
  <c r="D10772" i="7"/>
  <c r="D10771" i="7"/>
  <c r="D10770" i="7"/>
  <c r="D10769" i="7"/>
  <c r="D10768" i="7"/>
  <c r="D10767" i="7"/>
  <c r="D10766" i="7"/>
  <c r="D10765" i="7"/>
  <c r="D10764" i="7"/>
  <c r="D10763" i="7"/>
  <c r="D10762" i="7"/>
  <c r="D10761" i="7"/>
  <c r="D10760" i="7"/>
  <c r="D10759" i="7"/>
  <c r="D10758" i="7"/>
  <c r="D10757" i="7"/>
  <c r="D10756" i="7"/>
  <c r="D10755" i="7"/>
  <c r="D10754" i="7"/>
  <c r="D10753" i="7"/>
  <c r="D10752" i="7"/>
  <c r="D10751" i="7"/>
  <c r="D10750" i="7"/>
  <c r="D10749" i="7"/>
  <c r="D10748" i="7"/>
  <c r="D10747" i="7"/>
  <c r="D10746" i="7"/>
  <c r="D10745" i="7"/>
  <c r="D10744" i="7"/>
  <c r="D10743" i="7"/>
  <c r="D10742" i="7"/>
  <c r="D10741" i="7"/>
  <c r="D10740" i="7"/>
  <c r="D10739" i="7"/>
  <c r="D10738" i="7"/>
  <c r="D10737" i="7"/>
  <c r="D10736" i="7"/>
  <c r="D10735" i="7"/>
  <c r="D10734" i="7"/>
  <c r="D10733" i="7"/>
  <c r="D10732" i="7"/>
  <c r="D10731" i="7"/>
  <c r="D10730" i="7"/>
  <c r="D10729" i="7"/>
  <c r="D10728" i="7"/>
  <c r="D10727" i="7"/>
  <c r="D10726" i="7"/>
  <c r="D10725" i="7"/>
  <c r="D10724" i="7"/>
  <c r="D10723" i="7"/>
  <c r="D10722" i="7"/>
  <c r="D10721" i="7"/>
  <c r="D10720" i="7"/>
  <c r="D10719" i="7"/>
  <c r="D10718" i="7"/>
  <c r="D10717" i="7"/>
  <c r="D10716" i="7"/>
  <c r="D10715" i="7"/>
  <c r="D10714" i="7"/>
  <c r="D10713" i="7"/>
  <c r="D10712" i="7"/>
  <c r="D10711" i="7"/>
  <c r="D10710" i="7"/>
  <c r="D10709" i="7"/>
  <c r="D10708" i="7"/>
  <c r="D10707" i="7"/>
  <c r="D10706" i="7"/>
  <c r="D10705" i="7"/>
  <c r="D10702" i="7"/>
  <c r="D10701" i="7"/>
  <c r="D10700" i="7"/>
  <c r="D10699" i="7"/>
  <c r="D10698" i="7"/>
  <c r="D10697" i="7"/>
  <c r="D10696" i="7"/>
  <c r="D10695" i="7"/>
  <c r="D10694" i="7"/>
  <c r="D10693" i="7"/>
  <c r="D10692" i="7"/>
  <c r="D10691" i="7"/>
  <c r="D10690" i="7"/>
  <c r="D10689" i="7"/>
  <c r="D10688" i="7"/>
  <c r="D10687" i="7"/>
  <c r="D10686" i="7"/>
  <c r="D10685" i="7"/>
  <c r="D10684" i="7"/>
  <c r="D10683" i="7"/>
  <c r="D10682" i="7"/>
  <c r="D10681" i="7"/>
  <c r="D10680" i="7"/>
  <c r="D10679" i="7"/>
  <c r="D10678" i="7"/>
  <c r="D10677" i="7"/>
  <c r="D10676" i="7"/>
  <c r="D10675" i="7"/>
  <c r="D10674" i="7"/>
  <c r="D10673" i="7"/>
  <c r="D10672" i="7"/>
  <c r="D10671" i="7"/>
  <c r="D10670" i="7"/>
  <c r="D10669" i="7"/>
  <c r="D10668" i="7"/>
  <c r="D10667" i="7"/>
  <c r="D10666" i="7"/>
  <c r="D10665" i="7"/>
  <c r="D10664" i="7"/>
  <c r="D10663" i="7"/>
  <c r="D10662" i="7"/>
  <c r="D10661" i="7"/>
  <c r="D10660" i="7"/>
  <c r="D10659" i="7"/>
  <c r="D10658" i="7"/>
  <c r="D10657" i="7"/>
  <c r="D10656" i="7"/>
  <c r="D10655" i="7"/>
  <c r="D10654" i="7"/>
  <c r="D10653" i="7"/>
  <c r="D10652" i="7"/>
  <c r="D10651" i="7"/>
  <c r="D10650" i="7"/>
  <c r="D10649" i="7"/>
  <c r="D10648" i="7"/>
  <c r="D10647" i="7"/>
  <c r="D10646" i="7"/>
  <c r="D10645" i="7"/>
  <c r="D10644" i="7"/>
  <c r="D10643" i="7"/>
  <c r="D10642" i="7"/>
  <c r="D10641" i="7"/>
  <c r="D10640" i="7"/>
  <c r="D10639" i="7"/>
  <c r="D10638" i="7"/>
  <c r="D10637" i="7"/>
  <c r="D10636" i="7"/>
  <c r="D10635" i="7"/>
  <c r="D10634" i="7"/>
  <c r="D10633" i="7"/>
  <c r="D10632" i="7"/>
  <c r="D10631" i="7"/>
  <c r="D10630" i="7"/>
  <c r="D10629" i="7"/>
  <c r="D10628" i="7"/>
  <c r="D10627" i="7"/>
  <c r="D10626" i="7"/>
  <c r="D10625" i="7"/>
  <c r="D10624" i="7"/>
  <c r="D10623" i="7"/>
  <c r="D10622" i="7"/>
  <c r="D10621" i="7"/>
  <c r="D10620" i="7"/>
  <c r="D10619" i="7"/>
  <c r="D10618" i="7"/>
  <c r="D10617" i="7"/>
  <c r="D10616" i="7"/>
  <c r="D10615" i="7"/>
  <c r="D10614" i="7"/>
  <c r="D10613" i="7"/>
  <c r="D10612" i="7"/>
  <c r="D10611" i="7"/>
  <c r="D10610" i="7"/>
  <c r="D10609" i="7"/>
  <c r="D10608" i="7"/>
  <c r="D10607" i="7"/>
  <c r="D10606" i="7"/>
  <c r="D10605" i="7"/>
  <c r="D10604" i="7"/>
  <c r="D10603" i="7"/>
  <c r="D10602" i="7"/>
  <c r="D10601" i="7"/>
  <c r="D10600" i="7"/>
  <c r="D10599" i="7"/>
  <c r="D10598" i="7"/>
  <c r="D10597" i="7"/>
  <c r="D10596" i="7"/>
  <c r="D10595" i="7"/>
  <c r="D10594" i="7"/>
  <c r="D10593" i="7"/>
  <c r="D10592" i="7"/>
  <c r="D10591" i="7"/>
  <c r="D10590" i="7"/>
  <c r="D10589" i="7"/>
  <c r="D10588" i="7"/>
  <c r="D10587" i="7"/>
  <c r="D10586" i="7"/>
  <c r="D10585" i="7"/>
  <c r="D10584" i="7"/>
  <c r="D10583" i="7"/>
  <c r="D10582" i="7"/>
  <c r="D10581" i="7"/>
  <c r="D10580" i="7"/>
  <c r="D10579" i="7"/>
  <c r="D10578" i="7"/>
  <c r="D10577" i="7"/>
  <c r="D10576" i="7"/>
  <c r="D10575" i="7"/>
  <c r="D10574" i="7"/>
  <c r="D10573" i="7"/>
  <c r="D10572" i="7"/>
  <c r="D10571" i="7"/>
  <c r="D10570" i="7"/>
  <c r="D10569" i="7"/>
  <c r="D10568" i="7"/>
  <c r="D10567" i="7"/>
  <c r="D10566" i="7"/>
  <c r="D10565" i="7"/>
  <c r="D10564" i="7"/>
  <c r="D10563" i="7"/>
  <c r="D10562" i="7"/>
  <c r="D10561" i="7"/>
  <c r="D10560" i="7"/>
  <c r="D10559" i="7"/>
  <c r="D10558" i="7"/>
  <c r="D10557" i="7"/>
  <c r="D10556" i="7"/>
  <c r="D10555" i="7"/>
  <c r="D10554" i="7"/>
  <c r="D10553" i="7"/>
  <c r="D10552" i="7"/>
  <c r="D10551" i="7"/>
  <c r="D10550" i="7"/>
  <c r="D10549" i="7"/>
  <c r="D10548" i="7"/>
  <c r="D10547" i="7"/>
  <c r="D10546" i="7"/>
  <c r="D10545" i="7"/>
  <c r="D10544" i="7"/>
  <c r="D10543" i="7"/>
  <c r="D10542" i="7"/>
  <c r="D10541" i="7"/>
  <c r="D10540" i="7"/>
  <c r="D10539" i="7"/>
  <c r="D10538" i="7"/>
  <c r="D10537" i="7"/>
  <c r="D10536" i="7"/>
  <c r="D10535" i="7"/>
  <c r="D10534" i="7"/>
  <c r="D10533" i="7"/>
  <c r="D10532" i="7"/>
  <c r="D10531" i="7"/>
  <c r="D10530" i="7"/>
  <c r="D10529" i="7"/>
  <c r="D10528" i="7"/>
  <c r="D10527" i="7"/>
  <c r="D10526" i="7"/>
  <c r="D10525" i="7"/>
  <c r="D10524" i="7"/>
  <c r="D10523" i="7"/>
  <c r="D10522" i="7"/>
  <c r="D10521" i="7"/>
  <c r="D10520" i="7"/>
  <c r="D10519" i="7"/>
  <c r="D10518" i="7"/>
  <c r="D10517" i="7"/>
  <c r="D10516" i="7"/>
  <c r="D10515" i="7"/>
  <c r="D10514" i="7"/>
  <c r="D10513" i="7"/>
  <c r="D10512" i="7"/>
  <c r="D10511" i="7"/>
  <c r="D10510" i="7"/>
  <c r="D10509" i="7"/>
  <c r="D10508" i="7"/>
  <c r="D10507" i="7"/>
  <c r="D10506" i="7"/>
  <c r="D10505" i="7"/>
  <c r="D10504" i="7"/>
  <c r="D10503" i="7"/>
  <c r="D10502" i="7"/>
  <c r="D10501" i="7"/>
  <c r="D10500" i="7"/>
  <c r="D10499" i="7"/>
  <c r="D10498" i="7"/>
  <c r="D10497" i="7"/>
  <c r="D10496" i="7"/>
  <c r="D10495" i="7"/>
  <c r="D10494" i="7"/>
  <c r="D10493" i="7"/>
  <c r="D10492" i="7"/>
  <c r="D10491" i="7"/>
  <c r="D10490" i="7"/>
  <c r="D10489" i="7"/>
  <c r="D10488" i="7"/>
  <c r="D10487" i="7"/>
  <c r="D10486" i="7"/>
  <c r="D10485" i="7"/>
  <c r="D10484" i="7"/>
  <c r="D10483" i="7"/>
  <c r="D10482" i="7"/>
  <c r="D10481" i="7"/>
  <c r="D10480" i="7"/>
  <c r="D10479" i="7"/>
  <c r="D10478" i="7"/>
  <c r="D10477" i="7"/>
  <c r="D10476" i="7"/>
  <c r="D10475" i="7"/>
  <c r="D10474" i="7"/>
  <c r="D10473" i="7"/>
  <c r="D10472" i="7"/>
  <c r="D10471" i="7"/>
  <c r="D10470" i="7"/>
  <c r="D10469" i="7"/>
  <c r="D10468" i="7"/>
  <c r="D10467" i="7"/>
  <c r="D10466" i="7"/>
  <c r="D10465" i="7"/>
  <c r="D10464" i="7"/>
  <c r="D10463" i="7"/>
  <c r="D10462" i="7"/>
  <c r="D10461" i="7"/>
  <c r="D10460" i="7"/>
  <c r="D10459" i="7"/>
  <c r="D10458" i="7"/>
  <c r="D10457" i="7"/>
  <c r="D10456" i="7"/>
  <c r="D10455" i="7"/>
  <c r="D10454" i="7"/>
  <c r="D10453" i="7"/>
  <c r="D10452" i="7"/>
  <c r="D10451" i="7"/>
  <c r="D10450" i="7"/>
  <c r="D10449" i="7"/>
  <c r="D10448" i="7"/>
  <c r="D10447" i="7"/>
  <c r="D10446" i="7"/>
  <c r="D10445" i="7"/>
  <c r="D10444" i="7"/>
  <c r="D10443" i="7"/>
  <c r="D10442" i="7"/>
  <c r="D10441" i="7"/>
  <c r="D10440" i="7"/>
  <c r="D10439" i="7"/>
  <c r="D10438" i="7"/>
  <c r="D10437" i="7"/>
  <c r="D10436" i="7"/>
  <c r="D10435" i="7"/>
  <c r="D10434" i="7"/>
  <c r="D10433" i="7"/>
  <c r="D10432" i="7"/>
  <c r="D10431" i="7"/>
  <c r="D10430" i="7"/>
  <c r="D10429" i="7"/>
  <c r="D10428" i="7"/>
  <c r="D10427" i="7"/>
  <c r="D10426" i="7"/>
  <c r="D10425" i="7"/>
  <c r="D10424" i="7"/>
  <c r="D10423" i="7"/>
  <c r="D10422" i="7"/>
  <c r="D10421" i="7"/>
  <c r="D10420" i="7"/>
  <c r="D10419" i="7"/>
  <c r="D10418" i="7"/>
  <c r="D10417" i="7"/>
  <c r="D10416" i="7"/>
  <c r="D10415" i="7"/>
  <c r="D10414" i="7"/>
  <c r="D10413" i="7"/>
  <c r="D10412" i="7"/>
  <c r="D10411" i="7"/>
  <c r="D10410" i="7"/>
  <c r="D10409" i="7"/>
  <c r="D10408" i="7"/>
  <c r="D10407" i="7"/>
  <c r="D10406" i="7"/>
  <c r="D10405" i="7"/>
  <c r="D10404" i="7"/>
  <c r="D10403" i="7"/>
  <c r="D10402" i="7"/>
  <c r="D10401" i="7"/>
  <c r="D10400" i="7"/>
  <c r="D10399" i="7"/>
  <c r="D10398" i="7"/>
  <c r="D10397" i="7"/>
  <c r="D10396" i="7"/>
  <c r="D10395" i="7"/>
  <c r="D10394" i="7"/>
  <c r="D10393" i="7"/>
  <c r="D10392" i="7"/>
  <c r="D10391" i="7"/>
  <c r="D10390" i="7"/>
  <c r="D10389" i="7"/>
  <c r="D10388" i="7"/>
  <c r="D10387" i="7"/>
  <c r="D10386" i="7"/>
  <c r="D10385" i="7"/>
  <c r="D10384" i="7"/>
  <c r="D10383" i="7"/>
  <c r="D10382" i="7"/>
  <c r="D10381" i="7"/>
  <c r="D10380" i="7"/>
  <c r="D10379" i="7"/>
  <c r="D10378" i="7"/>
  <c r="D10377" i="7"/>
  <c r="D10376" i="7"/>
  <c r="D10375" i="7"/>
  <c r="D10374" i="7"/>
  <c r="D10373" i="7"/>
  <c r="D10372" i="7"/>
  <c r="D10371" i="7"/>
  <c r="D10370" i="7"/>
  <c r="D10369" i="7"/>
  <c r="D10368" i="7"/>
  <c r="D10367" i="7"/>
  <c r="D10366" i="7"/>
  <c r="D10365" i="7"/>
  <c r="D10364" i="7"/>
  <c r="D10363" i="7"/>
  <c r="D10362" i="7"/>
  <c r="D10361" i="7"/>
  <c r="D10360" i="7"/>
  <c r="D10359" i="7"/>
  <c r="D10358" i="7"/>
  <c r="D10357" i="7"/>
  <c r="D10356" i="7"/>
  <c r="D10355" i="7"/>
  <c r="D10354" i="7"/>
  <c r="D10353" i="7"/>
  <c r="D10352" i="7"/>
  <c r="D10351" i="7"/>
  <c r="D10350" i="7"/>
  <c r="D10349" i="7"/>
  <c r="D10348" i="7"/>
  <c r="D10347" i="7"/>
  <c r="D10346" i="7"/>
  <c r="D10345" i="7"/>
  <c r="D10344" i="7"/>
  <c r="D10343" i="7"/>
  <c r="D10342" i="7"/>
  <c r="D10341" i="7"/>
  <c r="D10340" i="7"/>
  <c r="D10339" i="7"/>
  <c r="D10338" i="7"/>
  <c r="D10337" i="7"/>
  <c r="D10336" i="7"/>
  <c r="D10335" i="7"/>
  <c r="D10334" i="7"/>
  <c r="D10333" i="7"/>
  <c r="D10332" i="7"/>
  <c r="D10331" i="7"/>
  <c r="D10330" i="7"/>
  <c r="D10329" i="7"/>
  <c r="D10328" i="7"/>
  <c r="D10327" i="7"/>
  <c r="D10326" i="7"/>
  <c r="D10325" i="7"/>
  <c r="D10324" i="7"/>
  <c r="D10323" i="7"/>
  <c r="D10322" i="7"/>
  <c r="D10321" i="7"/>
  <c r="D10320" i="7"/>
  <c r="D10319" i="7"/>
  <c r="D10318" i="7"/>
  <c r="D10317" i="7"/>
  <c r="D10316" i="7"/>
  <c r="D10315" i="7"/>
  <c r="D10314" i="7"/>
  <c r="D10313" i="7"/>
  <c r="D10312" i="7"/>
  <c r="D10311" i="7"/>
  <c r="D10310" i="7"/>
  <c r="D10309" i="7"/>
  <c r="D10308" i="7"/>
  <c r="D10307" i="7"/>
  <c r="D10306" i="7"/>
  <c r="D10305" i="7"/>
  <c r="D10304" i="7"/>
  <c r="D10303" i="7"/>
  <c r="D10302" i="7"/>
  <c r="D10301" i="7"/>
  <c r="D10300" i="7"/>
  <c r="D10299" i="7"/>
  <c r="D10298" i="7"/>
  <c r="D10297" i="7"/>
  <c r="D10296" i="7"/>
  <c r="D10295" i="7"/>
  <c r="D10294" i="7"/>
  <c r="D10293" i="7"/>
  <c r="D10292" i="7"/>
  <c r="D10291" i="7"/>
  <c r="D10290" i="7"/>
  <c r="D10289" i="7"/>
  <c r="D10288" i="7"/>
  <c r="D10287" i="7"/>
  <c r="D10286" i="7"/>
  <c r="D10285" i="7"/>
  <c r="D10284" i="7"/>
  <c r="D10283" i="7"/>
  <c r="D10282" i="7"/>
  <c r="D10281" i="7"/>
  <c r="D10280" i="7"/>
  <c r="D10279" i="7"/>
  <c r="D10278" i="7"/>
  <c r="D10277" i="7"/>
  <c r="D10276" i="7"/>
  <c r="D10275" i="7"/>
  <c r="D10274" i="7"/>
  <c r="D10273" i="7"/>
  <c r="D10272" i="7"/>
  <c r="D10271" i="7"/>
  <c r="D10270" i="7"/>
  <c r="D10269" i="7"/>
  <c r="D10268" i="7"/>
  <c r="D10267" i="7"/>
  <c r="D10266" i="7"/>
  <c r="D10265" i="7"/>
  <c r="D10264" i="7"/>
  <c r="D10263" i="7"/>
  <c r="D10262" i="7"/>
  <c r="D10261" i="7"/>
  <c r="D10260" i="7"/>
  <c r="D10259" i="7"/>
  <c r="D10258" i="7"/>
  <c r="D10257" i="7"/>
  <c r="D10256" i="7"/>
  <c r="D10255" i="7"/>
  <c r="D10254" i="7"/>
  <c r="D10253" i="7"/>
  <c r="D10252" i="7"/>
  <c r="D10251" i="7"/>
  <c r="D10250" i="7"/>
  <c r="D10249" i="7"/>
  <c r="D10248" i="7"/>
  <c r="D10247" i="7"/>
  <c r="D10246" i="7"/>
  <c r="D10245" i="7"/>
  <c r="D10244" i="7"/>
  <c r="D10243" i="7"/>
  <c r="D10242" i="7"/>
  <c r="D10241" i="7"/>
  <c r="D10240" i="7"/>
  <c r="D10239" i="7"/>
  <c r="D10238" i="7"/>
  <c r="D10237" i="7"/>
  <c r="D10236" i="7"/>
  <c r="D10235" i="7"/>
  <c r="D10234" i="7"/>
  <c r="D10233" i="7"/>
  <c r="D10232" i="7"/>
  <c r="D10231" i="7"/>
  <c r="D10230" i="7"/>
  <c r="D10229" i="7"/>
  <c r="D10228" i="7"/>
  <c r="D10227" i="7"/>
  <c r="D10226" i="7"/>
  <c r="D10225" i="7"/>
  <c r="D10224" i="7"/>
  <c r="D10223" i="7"/>
  <c r="D10222" i="7"/>
  <c r="D10221" i="7"/>
  <c r="D10220" i="7"/>
  <c r="D10219" i="7"/>
  <c r="D10218" i="7"/>
  <c r="D10217" i="7"/>
  <c r="D10216" i="7"/>
  <c r="D10215" i="7"/>
  <c r="D10214" i="7"/>
  <c r="D10213" i="7"/>
  <c r="D10212" i="7"/>
  <c r="D10211" i="7"/>
  <c r="D10210" i="7"/>
  <c r="D10209" i="7"/>
  <c r="D10208" i="7"/>
  <c r="D10207" i="7"/>
  <c r="D10206" i="7"/>
  <c r="D10205" i="7"/>
  <c r="D10204" i="7"/>
  <c r="D10203" i="7"/>
  <c r="D10202" i="7"/>
  <c r="D10201" i="7"/>
  <c r="D10200" i="7"/>
  <c r="D10199" i="7"/>
  <c r="D10198" i="7"/>
  <c r="D10197" i="7"/>
  <c r="D10196" i="7"/>
  <c r="D10195" i="7"/>
  <c r="D10194" i="7"/>
  <c r="D10193" i="7"/>
  <c r="D10192" i="7"/>
  <c r="D10191" i="7"/>
  <c r="D10190" i="7"/>
  <c r="D10189" i="7"/>
  <c r="D10188" i="7"/>
  <c r="D10187" i="7"/>
  <c r="D10186" i="7"/>
  <c r="D10185" i="7"/>
  <c r="D10184" i="7"/>
  <c r="D10183" i="7"/>
  <c r="D10182" i="7"/>
  <c r="D10181" i="7"/>
  <c r="D10180" i="7"/>
  <c r="D10179" i="7"/>
  <c r="D10178" i="7"/>
  <c r="D10177" i="7"/>
  <c r="D10176" i="7"/>
  <c r="D10175" i="7"/>
  <c r="D10174" i="7"/>
  <c r="D10173" i="7"/>
  <c r="D10172" i="7"/>
  <c r="D10171" i="7"/>
  <c r="D10170" i="7"/>
  <c r="D10169" i="7"/>
  <c r="D10168" i="7"/>
  <c r="D10167" i="7"/>
  <c r="D10166" i="7"/>
  <c r="D10165" i="7"/>
  <c r="D10164" i="7"/>
  <c r="D10163" i="7"/>
  <c r="D10162" i="7"/>
  <c r="D10161" i="7"/>
  <c r="D10160" i="7"/>
  <c r="D10159" i="7"/>
  <c r="D10158" i="7"/>
  <c r="D10157" i="7"/>
  <c r="D10156" i="7"/>
  <c r="D10155" i="7"/>
  <c r="D10154" i="7"/>
  <c r="D10153" i="7"/>
  <c r="D10152" i="7"/>
  <c r="D10151" i="7"/>
  <c r="D10150" i="7"/>
  <c r="D10149" i="7"/>
  <c r="D10148" i="7"/>
  <c r="D10147" i="7"/>
  <c r="D10146" i="7"/>
  <c r="D10145" i="7"/>
  <c r="D10144" i="7"/>
  <c r="D10143" i="7"/>
  <c r="D10142" i="7"/>
  <c r="D10141" i="7"/>
  <c r="D10140" i="7"/>
  <c r="D10139" i="7"/>
  <c r="D10138" i="7"/>
  <c r="D10137" i="7"/>
  <c r="D10136" i="7"/>
  <c r="D10135" i="7"/>
  <c r="D10134" i="7"/>
  <c r="D10133" i="7"/>
  <c r="D10132" i="7"/>
  <c r="D10131" i="7"/>
  <c r="D10130" i="7"/>
  <c r="D10129" i="7"/>
  <c r="D10128" i="7"/>
  <c r="D10127" i="7"/>
  <c r="D10126" i="7"/>
  <c r="D10125" i="7"/>
  <c r="D10124" i="7"/>
  <c r="D10123" i="7"/>
  <c r="D10122" i="7"/>
  <c r="D10121" i="7"/>
  <c r="D10120" i="7"/>
  <c r="D10119" i="7"/>
  <c r="D10118" i="7"/>
  <c r="D10117" i="7"/>
  <c r="D10116" i="7"/>
  <c r="D10115" i="7"/>
  <c r="D10114" i="7"/>
  <c r="D10113" i="7"/>
  <c r="D10112" i="7"/>
  <c r="D10111" i="7"/>
  <c r="D10110" i="7"/>
  <c r="D10109" i="7"/>
  <c r="D10108" i="7"/>
  <c r="D10107" i="7"/>
  <c r="D10106" i="7"/>
  <c r="D10105" i="7"/>
  <c r="D10104" i="7"/>
  <c r="D10103" i="7"/>
  <c r="D10102" i="7"/>
  <c r="D10101" i="7"/>
  <c r="D10100" i="7"/>
  <c r="D10099" i="7"/>
  <c r="D10098" i="7"/>
  <c r="D10097" i="7"/>
  <c r="D10096" i="7"/>
  <c r="D10095" i="7"/>
  <c r="D10094" i="7"/>
  <c r="D10093" i="7"/>
  <c r="D10092" i="7"/>
  <c r="D10091" i="7"/>
  <c r="D10090" i="7"/>
  <c r="D10089" i="7"/>
  <c r="D10088" i="7"/>
  <c r="D10087" i="7"/>
  <c r="D10086" i="7"/>
  <c r="D10085" i="7"/>
  <c r="D10084" i="7"/>
  <c r="D10083" i="7"/>
  <c r="D10082" i="7"/>
  <c r="D10081" i="7"/>
  <c r="D10080" i="7"/>
  <c r="D10079" i="7"/>
  <c r="D10078" i="7"/>
  <c r="D10077" i="7"/>
  <c r="D10076" i="7"/>
  <c r="D10075" i="7"/>
  <c r="D10074" i="7"/>
  <c r="D10073" i="7"/>
  <c r="D10072" i="7"/>
  <c r="D10071" i="7"/>
  <c r="D10070" i="7"/>
  <c r="D10069" i="7"/>
  <c r="D10068" i="7"/>
  <c r="D10067" i="7"/>
  <c r="D10066" i="7"/>
  <c r="D10065" i="7"/>
  <c r="D10064" i="7"/>
  <c r="D10063" i="7"/>
  <c r="D10062" i="7"/>
  <c r="D10061" i="7"/>
  <c r="D10060" i="7"/>
  <c r="D10059" i="7"/>
  <c r="D10058" i="7"/>
  <c r="D10057" i="7"/>
  <c r="D10056" i="7"/>
  <c r="D10055" i="7"/>
  <c r="D10054" i="7"/>
  <c r="D10053" i="7"/>
  <c r="D10052" i="7"/>
  <c r="D10051" i="7"/>
  <c r="D10050" i="7"/>
  <c r="D10049" i="7"/>
  <c r="D10048" i="7"/>
  <c r="D10047" i="7"/>
  <c r="D10046" i="7"/>
  <c r="D10045" i="7"/>
  <c r="D10044" i="7"/>
  <c r="D10043" i="7"/>
  <c r="D10042" i="7"/>
  <c r="D10041" i="7"/>
  <c r="D10040" i="7"/>
  <c r="D10039" i="7"/>
  <c r="D10038" i="7"/>
  <c r="D10037" i="7"/>
  <c r="D10036" i="7"/>
  <c r="D10035" i="7"/>
  <c r="D10034" i="7"/>
  <c r="D10033" i="7"/>
  <c r="D10032" i="7"/>
  <c r="D10031" i="7"/>
  <c r="D10030" i="7"/>
  <c r="D10029" i="7"/>
  <c r="D10028" i="7"/>
  <c r="D10027" i="7"/>
  <c r="D10026" i="7"/>
  <c r="D10025" i="7"/>
  <c r="D10024" i="7"/>
  <c r="D10023" i="7"/>
  <c r="D10022" i="7"/>
  <c r="D10021" i="7"/>
  <c r="D10020" i="7"/>
  <c r="D10019" i="7"/>
  <c r="D10018" i="7"/>
  <c r="D10017" i="7"/>
  <c r="D10016" i="7"/>
  <c r="D10015" i="7"/>
  <c r="D10014" i="7"/>
  <c r="D10013" i="7"/>
  <c r="D10012" i="7"/>
  <c r="D10011" i="7"/>
  <c r="D10010" i="7"/>
  <c r="D10009" i="7"/>
  <c r="D10008" i="7"/>
  <c r="D10007" i="7"/>
  <c r="D10006" i="7"/>
  <c r="D10005" i="7"/>
  <c r="D10004" i="7"/>
  <c r="D10003" i="7"/>
  <c r="D10002" i="7"/>
  <c r="D10001" i="7"/>
  <c r="D10000" i="7"/>
  <c r="D9999" i="7"/>
  <c r="D9998" i="7"/>
  <c r="D9997" i="7"/>
  <c r="D9996" i="7"/>
  <c r="D9995" i="7"/>
  <c r="D9994" i="7"/>
  <c r="D9993" i="7"/>
  <c r="D9992" i="7"/>
  <c r="D9991" i="7"/>
  <c r="D9990" i="7"/>
  <c r="D9989" i="7"/>
  <c r="D9988" i="7"/>
  <c r="D9987" i="7"/>
  <c r="D9986" i="7"/>
  <c r="D9985" i="7"/>
  <c r="D9984" i="7"/>
  <c r="D9983" i="7"/>
  <c r="D9982" i="7"/>
  <c r="D9981" i="7"/>
  <c r="D9980" i="7"/>
  <c r="D9979" i="7"/>
  <c r="D9978" i="7"/>
  <c r="D9977" i="7"/>
  <c r="D9976" i="7"/>
  <c r="D9975" i="7"/>
  <c r="D9974" i="7"/>
  <c r="D9973" i="7"/>
  <c r="D9972" i="7"/>
  <c r="D9971" i="7"/>
  <c r="D9970" i="7"/>
  <c r="D9969" i="7"/>
  <c r="D9968" i="7"/>
  <c r="D9967" i="7"/>
  <c r="D9966" i="7"/>
  <c r="D9965" i="7"/>
  <c r="D9964" i="7"/>
  <c r="D9963" i="7"/>
  <c r="D9962" i="7"/>
  <c r="D9961" i="7"/>
  <c r="D9960" i="7"/>
  <c r="D9959" i="7"/>
  <c r="D9958" i="7"/>
  <c r="D9957" i="7"/>
  <c r="D9956" i="7"/>
  <c r="D9955" i="7"/>
  <c r="D9954" i="7"/>
  <c r="D9953" i="7"/>
  <c r="D9952" i="7"/>
  <c r="D9951" i="7"/>
  <c r="D9950" i="7"/>
  <c r="D9949" i="7"/>
  <c r="D9948" i="7"/>
  <c r="D9947" i="7"/>
  <c r="D9946" i="7"/>
  <c r="D9945" i="7"/>
  <c r="D9944" i="7"/>
  <c r="D9943" i="7"/>
  <c r="D9942" i="7"/>
  <c r="D9941" i="7"/>
  <c r="D9940" i="7"/>
  <c r="D9939" i="7"/>
  <c r="D9938" i="7"/>
  <c r="D9937" i="7"/>
  <c r="D9936" i="7"/>
  <c r="D9935" i="7"/>
  <c r="D9934" i="7"/>
  <c r="D9933" i="7"/>
  <c r="D9932" i="7"/>
  <c r="D9931" i="7"/>
  <c r="D9930" i="7"/>
  <c r="D9929" i="7"/>
  <c r="D9928" i="7"/>
  <c r="D9927" i="7"/>
  <c r="D9926" i="7"/>
  <c r="D9925" i="7"/>
  <c r="D9924" i="7"/>
  <c r="D9923" i="7"/>
  <c r="D9922" i="7"/>
  <c r="D9921" i="7"/>
  <c r="D9920" i="7"/>
  <c r="D9919" i="7"/>
  <c r="D9918" i="7"/>
  <c r="D9917" i="7"/>
  <c r="D9916" i="7"/>
  <c r="D9915" i="7"/>
  <c r="D9914" i="7"/>
  <c r="D9913" i="7"/>
  <c r="D9912" i="7"/>
  <c r="D9911" i="7"/>
  <c r="D9910" i="7"/>
  <c r="D9909" i="7"/>
  <c r="D9908" i="7"/>
  <c r="D9907" i="7"/>
  <c r="D9906" i="7"/>
  <c r="D9905" i="7"/>
  <c r="D9904" i="7"/>
  <c r="D9903" i="7"/>
  <c r="D9902" i="7"/>
  <c r="D9901" i="7"/>
  <c r="D9900" i="7"/>
  <c r="D9899" i="7"/>
  <c r="D9898" i="7"/>
  <c r="D9897" i="7"/>
  <c r="D9896" i="7"/>
  <c r="D9895" i="7"/>
  <c r="D9894" i="7"/>
  <c r="D9893" i="7"/>
  <c r="D9892" i="7"/>
  <c r="D9891" i="7"/>
  <c r="D9890" i="7"/>
  <c r="D9889" i="7"/>
  <c r="D9888" i="7"/>
  <c r="D9887" i="7"/>
  <c r="D9886" i="7"/>
  <c r="D9885" i="7"/>
  <c r="D9884" i="7"/>
  <c r="D9883" i="7"/>
  <c r="D9882" i="7"/>
  <c r="D9881" i="7"/>
  <c r="D9880" i="7"/>
  <c r="D9879" i="7"/>
  <c r="D9878" i="7"/>
  <c r="D9877" i="7"/>
  <c r="D9876" i="7"/>
  <c r="D9875" i="7"/>
  <c r="D9874" i="7"/>
  <c r="D9873" i="7"/>
  <c r="D9872" i="7"/>
  <c r="D9871" i="7"/>
  <c r="D9870" i="7"/>
  <c r="D9869" i="7"/>
  <c r="D9868" i="7"/>
  <c r="D9867" i="7"/>
  <c r="D9866" i="7"/>
  <c r="D9865" i="7"/>
  <c r="D9864" i="7"/>
  <c r="D9863" i="7"/>
  <c r="D9862" i="7"/>
  <c r="D9861" i="7"/>
  <c r="D9860" i="7"/>
  <c r="D9859" i="7"/>
  <c r="D9858" i="7"/>
  <c r="D9857" i="7"/>
  <c r="D9856" i="7"/>
  <c r="D9855" i="7"/>
  <c r="D9854" i="7"/>
  <c r="D9853" i="7"/>
  <c r="D9852" i="7"/>
  <c r="D9851" i="7"/>
  <c r="D9850" i="7"/>
  <c r="D9849" i="7"/>
  <c r="D9848" i="7"/>
  <c r="D9847" i="7"/>
  <c r="D9846" i="7"/>
  <c r="D9845" i="7"/>
  <c r="D9844" i="7"/>
  <c r="D9843" i="7"/>
  <c r="D9842" i="7"/>
  <c r="D9841" i="7"/>
  <c r="D9840" i="7"/>
  <c r="D9839" i="7"/>
  <c r="D9838" i="7"/>
  <c r="D9837" i="7"/>
  <c r="D9836" i="7"/>
  <c r="D9835" i="7"/>
  <c r="D9834" i="7"/>
  <c r="D9833" i="7"/>
  <c r="D9832" i="7"/>
  <c r="D9831" i="7"/>
  <c r="D9830" i="7"/>
  <c r="D9829" i="7"/>
  <c r="D9828" i="7"/>
  <c r="D9827" i="7"/>
  <c r="D9826" i="7"/>
  <c r="D9825" i="7"/>
  <c r="D9824" i="7"/>
  <c r="D9823" i="7"/>
  <c r="D9822" i="7"/>
  <c r="D9821" i="7"/>
  <c r="D9820" i="7"/>
  <c r="D9819" i="7"/>
  <c r="D9818" i="7"/>
  <c r="D9817" i="7"/>
  <c r="D9816" i="7"/>
  <c r="D9815" i="7"/>
  <c r="D9814" i="7"/>
  <c r="D9813" i="7"/>
  <c r="D9812" i="7"/>
  <c r="D9811" i="7"/>
  <c r="D9810" i="7"/>
  <c r="D9809" i="7"/>
  <c r="D9808" i="7"/>
  <c r="D9807" i="7"/>
  <c r="D9806" i="7"/>
  <c r="D9805" i="7"/>
  <c r="D9804" i="7"/>
  <c r="D9803" i="7"/>
  <c r="D9802" i="7"/>
  <c r="D9801" i="7"/>
  <c r="D9800" i="7"/>
  <c r="D9799" i="7"/>
  <c r="D9798" i="7"/>
  <c r="D9797" i="7"/>
  <c r="D9796" i="7"/>
  <c r="D9795" i="7"/>
  <c r="D9794" i="7"/>
  <c r="D9793" i="7"/>
  <c r="D9792" i="7"/>
  <c r="D9791" i="7"/>
  <c r="D9790" i="7"/>
  <c r="D9789" i="7"/>
  <c r="D9788" i="7"/>
  <c r="D9787" i="7"/>
  <c r="D9786" i="7"/>
  <c r="D9785" i="7"/>
  <c r="D9784" i="7"/>
  <c r="D9783" i="7"/>
  <c r="D9782" i="7"/>
  <c r="D9781" i="7"/>
  <c r="D9780" i="7"/>
  <c r="D9779" i="7"/>
  <c r="D9778" i="7"/>
  <c r="D9777" i="7"/>
  <c r="D9776" i="7"/>
  <c r="D9775" i="7"/>
  <c r="D9774" i="7"/>
  <c r="D9773" i="7"/>
  <c r="D9772" i="7"/>
  <c r="D9771" i="7"/>
  <c r="D9770" i="7"/>
  <c r="D9769" i="7"/>
  <c r="D9768" i="7"/>
  <c r="D9767" i="7"/>
  <c r="D9766" i="7"/>
  <c r="D9765" i="7"/>
  <c r="D9764" i="7"/>
  <c r="D9763" i="7"/>
  <c r="D9762" i="7"/>
  <c r="D9761" i="7"/>
  <c r="D9760" i="7"/>
  <c r="D9759" i="7"/>
  <c r="D9758" i="7"/>
  <c r="D9757" i="7"/>
  <c r="D9756" i="7"/>
  <c r="D9755" i="7"/>
  <c r="D9754" i="7"/>
  <c r="D9753" i="7"/>
  <c r="D9752" i="7"/>
  <c r="D9751" i="7"/>
  <c r="D9750" i="7"/>
  <c r="D9749" i="7"/>
  <c r="D9748" i="7"/>
  <c r="D9747" i="7"/>
  <c r="D9746" i="7"/>
  <c r="D9745" i="7"/>
  <c r="D9744" i="7"/>
  <c r="D9743" i="7"/>
  <c r="D9742" i="7"/>
  <c r="D9741" i="7"/>
  <c r="D9740" i="7"/>
  <c r="D9739" i="7"/>
  <c r="D9738" i="7"/>
  <c r="D9737" i="7"/>
  <c r="D9736" i="7"/>
  <c r="D9735" i="7"/>
  <c r="D9734" i="7"/>
  <c r="D9733" i="7"/>
  <c r="D9732" i="7"/>
  <c r="D9731" i="7"/>
  <c r="D9730" i="7"/>
  <c r="D9729" i="7"/>
  <c r="D9728" i="7"/>
  <c r="D9727" i="7"/>
  <c r="D9726" i="7"/>
  <c r="D9725" i="7"/>
  <c r="D9724" i="7"/>
  <c r="D9723" i="7"/>
  <c r="D9722" i="7"/>
  <c r="D9721" i="7"/>
  <c r="D9720" i="7"/>
  <c r="D9719" i="7"/>
  <c r="D9718" i="7"/>
  <c r="D9717" i="7"/>
  <c r="D9716" i="7"/>
  <c r="D9715" i="7"/>
  <c r="D9714" i="7"/>
  <c r="D9713" i="7"/>
  <c r="D9712" i="7"/>
  <c r="D9711" i="7"/>
  <c r="D9710" i="7"/>
  <c r="D9709" i="7"/>
  <c r="D9708" i="7"/>
  <c r="D9707" i="7"/>
  <c r="D9706" i="7"/>
  <c r="D9705" i="7"/>
  <c r="D9704" i="7"/>
  <c r="D9703" i="7"/>
  <c r="D9702" i="7"/>
  <c r="D9701" i="7"/>
  <c r="D9700" i="7"/>
  <c r="D9699" i="7"/>
  <c r="D9698" i="7"/>
  <c r="D9697" i="7"/>
  <c r="D9696" i="7"/>
  <c r="D9695" i="7"/>
  <c r="D9694" i="7"/>
  <c r="D9693" i="7"/>
  <c r="D9692" i="7"/>
  <c r="D9691" i="7"/>
  <c r="D9690" i="7"/>
  <c r="D9689" i="7"/>
  <c r="D9688" i="7"/>
  <c r="D9687" i="7"/>
  <c r="D9686" i="7"/>
  <c r="D9685" i="7"/>
  <c r="D9684" i="7"/>
  <c r="D9683" i="7"/>
  <c r="D9682" i="7"/>
  <c r="D9681" i="7"/>
  <c r="D9680" i="7"/>
  <c r="D9679" i="7"/>
  <c r="D9678" i="7"/>
  <c r="D9677" i="7"/>
  <c r="D9676" i="7"/>
  <c r="D9675" i="7"/>
  <c r="D9674" i="7"/>
  <c r="D9673" i="7"/>
  <c r="D9672" i="7"/>
  <c r="D9671" i="7"/>
  <c r="D9670" i="7"/>
  <c r="D9669" i="7"/>
  <c r="D9668" i="7"/>
  <c r="D9667" i="7"/>
  <c r="D9666" i="7"/>
  <c r="D9665" i="7"/>
  <c r="D9664" i="7"/>
  <c r="D9663" i="7"/>
  <c r="D9662" i="7"/>
  <c r="D9661" i="7"/>
  <c r="D9660" i="7"/>
  <c r="D9659" i="7"/>
  <c r="D9658" i="7"/>
  <c r="D9657" i="7"/>
  <c r="D9656" i="7"/>
  <c r="D9655" i="7"/>
  <c r="D9654" i="7"/>
  <c r="D9653" i="7"/>
  <c r="D9652" i="7"/>
  <c r="D9651" i="7"/>
  <c r="D9650" i="7"/>
  <c r="D9649" i="7"/>
  <c r="D9648" i="7"/>
  <c r="D9647" i="7"/>
  <c r="D9646" i="7"/>
  <c r="D9645" i="7"/>
  <c r="D9644" i="7"/>
  <c r="D9643" i="7"/>
  <c r="D9642" i="7"/>
  <c r="D9641" i="7"/>
  <c r="D9640" i="7"/>
  <c r="D9639" i="7"/>
  <c r="D9638" i="7"/>
  <c r="D9637" i="7"/>
  <c r="D9636" i="7"/>
  <c r="D9635" i="7"/>
  <c r="D9634" i="7"/>
  <c r="D9633" i="7"/>
  <c r="D9632" i="7"/>
  <c r="D9631" i="7"/>
  <c r="D9630" i="7"/>
  <c r="D9629" i="7"/>
  <c r="D9628" i="7"/>
  <c r="D9627" i="7"/>
  <c r="D9626" i="7"/>
  <c r="D9625" i="7"/>
  <c r="D9624" i="7"/>
  <c r="D9623" i="7"/>
  <c r="D9622" i="7"/>
  <c r="D9621" i="7"/>
  <c r="D9620" i="7"/>
  <c r="D9619" i="7"/>
  <c r="D9618" i="7"/>
  <c r="D9617" i="7"/>
  <c r="D9616" i="7"/>
  <c r="D9615" i="7"/>
  <c r="D9614" i="7"/>
  <c r="D9613" i="7"/>
  <c r="D9612" i="7"/>
  <c r="D9611" i="7"/>
  <c r="D9610" i="7"/>
  <c r="D9609" i="7"/>
  <c r="D9608" i="7"/>
  <c r="D9607" i="7"/>
  <c r="D9606" i="7"/>
  <c r="D9605" i="7"/>
  <c r="D9604" i="7"/>
  <c r="D9603" i="7"/>
  <c r="D9602" i="7"/>
  <c r="D9601" i="7"/>
  <c r="D9600" i="7"/>
  <c r="D9599" i="7"/>
  <c r="D9598" i="7"/>
  <c r="D9597" i="7"/>
  <c r="D9596" i="7"/>
  <c r="D9595" i="7"/>
  <c r="D9594" i="7"/>
  <c r="D9593" i="7"/>
  <c r="D9592" i="7"/>
  <c r="D9591" i="7"/>
  <c r="D9590" i="7"/>
  <c r="D9589" i="7"/>
  <c r="D9588" i="7"/>
  <c r="D9587" i="7"/>
  <c r="D9586" i="7"/>
  <c r="D9585" i="7"/>
  <c r="D9584" i="7"/>
  <c r="D9583" i="7"/>
  <c r="D9582" i="7"/>
  <c r="D9581" i="7"/>
  <c r="D9580" i="7"/>
  <c r="D9579" i="7"/>
  <c r="D9578" i="7"/>
  <c r="D9577" i="7"/>
  <c r="D9576" i="7"/>
  <c r="D9575" i="7"/>
  <c r="D9574" i="7"/>
  <c r="D9573" i="7"/>
  <c r="D9572" i="7"/>
  <c r="D9571" i="7"/>
  <c r="D9570" i="7"/>
  <c r="D9569" i="7"/>
  <c r="D9568" i="7"/>
  <c r="D9567" i="7"/>
  <c r="D9566" i="7"/>
  <c r="D9565" i="7"/>
  <c r="D9564" i="7"/>
  <c r="D9563" i="7"/>
  <c r="D9562" i="7"/>
  <c r="D9561" i="7"/>
  <c r="D9560" i="7"/>
  <c r="D9559" i="7"/>
  <c r="D9558" i="7"/>
  <c r="D9557" i="7"/>
  <c r="D9556" i="7"/>
  <c r="D9555" i="7"/>
  <c r="D9554" i="7"/>
  <c r="D9553" i="7"/>
  <c r="D9552" i="7"/>
  <c r="D9551" i="7"/>
  <c r="D9550" i="7"/>
  <c r="D9549" i="7"/>
  <c r="D9548" i="7"/>
  <c r="D9547" i="7"/>
  <c r="D9546" i="7"/>
  <c r="D9545" i="7"/>
  <c r="D9544" i="7"/>
  <c r="D9543" i="7"/>
  <c r="D9542" i="7"/>
  <c r="D9541" i="7"/>
  <c r="D9540" i="7"/>
  <c r="D9539" i="7"/>
  <c r="D9538" i="7"/>
  <c r="D9537" i="7"/>
  <c r="D9536" i="7"/>
  <c r="D9535" i="7"/>
  <c r="D9534" i="7"/>
  <c r="D9533" i="7"/>
  <c r="D9532" i="7"/>
  <c r="D9531" i="7"/>
  <c r="D9530" i="7"/>
  <c r="D9529" i="7"/>
  <c r="D9528" i="7"/>
  <c r="D9527" i="7"/>
  <c r="D9526" i="7"/>
  <c r="D9525" i="7"/>
  <c r="D9524" i="7"/>
  <c r="D9523" i="7"/>
  <c r="D9522" i="7"/>
  <c r="D9521" i="7"/>
  <c r="D9520" i="7"/>
  <c r="D9519" i="7"/>
  <c r="D9518" i="7"/>
  <c r="D9517" i="7"/>
  <c r="D9516" i="7"/>
  <c r="D9515" i="7"/>
  <c r="D9514" i="7"/>
  <c r="D9513" i="7"/>
  <c r="D9512" i="7"/>
  <c r="D9511" i="7"/>
  <c r="D9510" i="7"/>
  <c r="D9509" i="7"/>
  <c r="D9508" i="7"/>
  <c r="D9507" i="7"/>
  <c r="D9506" i="7"/>
  <c r="D9505" i="7"/>
  <c r="D9504" i="7"/>
  <c r="D9503" i="7"/>
  <c r="D9502" i="7"/>
  <c r="D9501" i="7"/>
  <c r="D9500" i="7"/>
  <c r="D9499" i="7"/>
  <c r="D9498" i="7"/>
  <c r="D9497" i="7"/>
  <c r="D9496" i="7"/>
  <c r="D9495" i="7"/>
  <c r="D9494" i="7"/>
  <c r="D9493" i="7"/>
  <c r="D9492" i="7"/>
  <c r="D9491" i="7"/>
  <c r="D9490" i="7"/>
  <c r="D9489" i="7"/>
  <c r="D9488" i="7"/>
  <c r="D9487" i="7"/>
  <c r="D9486" i="7"/>
  <c r="D9485" i="7"/>
  <c r="D9484" i="7"/>
  <c r="D9483" i="7"/>
  <c r="D9482" i="7"/>
  <c r="D9481" i="7"/>
  <c r="D9480" i="7"/>
  <c r="D9479" i="7"/>
  <c r="D9478" i="7"/>
  <c r="D9477" i="7"/>
  <c r="D9476" i="7"/>
  <c r="D9475" i="7"/>
  <c r="D9474" i="7"/>
  <c r="D9473" i="7"/>
  <c r="D9472" i="7"/>
  <c r="D9471" i="7"/>
  <c r="D9470" i="7"/>
  <c r="D9469" i="7"/>
  <c r="D9468" i="7"/>
  <c r="D9467" i="7"/>
  <c r="D9466" i="7"/>
  <c r="D9465" i="7"/>
  <c r="D9464" i="7"/>
  <c r="D9463" i="7"/>
  <c r="D9462" i="7"/>
  <c r="D9461" i="7"/>
  <c r="D9460" i="7"/>
  <c r="D9459" i="7"/>
  <c r="D9458" i="7"/>
  <c r="D9457" i="7"/>
  <c r="D9456" i="7"/>
  <c r="D9455" i="7"/>
  <c r="D9454" i="7"/>
  <c r="D9453" i="7"/>
  <c r="D9452" i="7"/>
  <c r="D9451" i="7"/>
  <c r="D9450" i="7"/>
  <c r="D9449" i="7"/>
  <c r="D9448" i="7"/>
  <c r="D9447" i="7"/>
  <c r="D9446" i="7"/>
  <c r="D9445" i="7"/>
  <c r="D9444" i="7"/>
  <c r="D9443" i="7"/>
  <c r="D9442" i="7"/>
  <c r="D9441" i="7"/>
  <c r="D9440" i="7"/>
  <c r="D9439" i="7"/>
  <c r="D9438" i="7"/>
  <c r="D9437" i="7"/>
  <c r="D9436" i="7"/>
  <c r="D9435" i="7"/>
  <c r="D9434" i="7"/>
  <c r="D9433" i="7"/>
  <c r="D9432" i="7"/>
  <c r="D9431" i="7"/>
  <c r="D9430" i="7"/>
  <c r="D9429" i="7"/>
  <c r="D9428" i="7"/>
  <c r="D9427" i="7"/>
  <c r="D9426" i="7"/>
  <c r="D9425" i="7"/>
  <c r="D9424" i="7"/>
  <c r="D9423" i="7"/>
  <c r="D9422" i="7"/>
  <c r="D9421" i="7"/>
  <c r="D9420" i="7"/>
  <c r="D9419" i="7"/>
  <c r="D9418" i="7"/>
  <c r="D9417" i="7"/>
  <c r="D9416" i="7"/>
  <c r="D9415" i="7"/>
  <c r="D9414" i="7"/>
  <c r="D9413" i="7"/>
  <c r="D9412" i="7"/>
  <c r="D9411" i="7"/>
  <c r="D9410" i="7"/>
  <c r="D9409" i="7"/>
  <c r="D9408" i="7"/>
  <c r="D9407" i="7"/>
  <c r="D9406" i="7"/>
  <c r="D9405" i="7"/>
  <c r="D9404" i="7"/>
  <c r="D9403" i="7"/>
  <c r="D9402" i="7"/>
  <c r="D9401" i="7"/>
  <c r="D9400" i="7"/>
  <c r="D9399" i="7"/>
  <c r="D9398" i="7"/>
  <c r="D9397" i="7"/>
  <c r="D9396" i="7"/>
  <c r="D9395" i="7"/>
  <c r="D9394" i="7"/>
  <c r="D9393" i="7"/>
  <c r="D9392" i="7"/>
  <c r="D9391" i="7"/>
  <c r="D9390" i="7"/>
  <c r="D9389" i="7"/>
  <c r="D9388" i="7"/>
  <c r="D9387" i="7"/>
  <c r="D9386" i="7"/>
  <c r="D9385" i="7"/>
  <c r="D9384" i="7"/>
  <c r="D9383" i="7"/>
  <c r="D9382" i="7"/>
  <c r="D9381" i="7"/>
  <c r="D9380" i="7"/>
  <c r="D9379" i="7"/>
  <c r="D9378" i="7"/>
  <c r="D9377" i="7"/>
  <c r="D9376" i="7"/>
  <c r="D9375" i="7"/>
  <c r="D9374" i="7"/>
  <c r="D9373" i="7"/>
  <c r="D9372" i="7"/>
  <c r="D9371" i="7"/>
  <c r="D9370" i="7"/>
  <c r="D9369" i="7"/>
  <c r="D9368" i="7"/>
  <c r="D9367" i="7"/>
  <c r="D9366" i="7"/>
  <c r="D9365" i="7"/>
  <c r="D9364" i="7"/>
  <c r="D9363" i="7"/>
  <c r="D9362" i="7"/>
  <c r="D9361" i="7"/>
  <c r="D9360" i="7"/>
  <c r="D9359" i="7"/>
  <c r="D9358" i="7"/>
  <c r="D9357" i="7"/>
  <c r="D9356" i="7"/>
  <c r="D9355" i="7"/>
  <c r="D9354" i="7"/>
  <c r="D9353" i="7"/>
  <c r="D9352" i="7"/>
  <c r="D9351" i="7"/>
  <c r="D9350" i="7"/>
  <c r="D9349" i="7"/>
  <c r="D9348" i="7"/>
  <c r="D9347" i="7"/>
  <c r="D9346" i="7"/>
  <c r="D9345" i="7"/>
  <c r="D9344" i="7"/>
  <c r="D9343" i="7"/>
  <c r="D9342" i="7"/>
  <c r="D9341" i="7"/>
  <c r="D9340" i="7"/>
  <c r="D9339" i="7"/>
  <c r="D9338" i="7"/>
  <c r="D9337" i="7"/>
  <c r="D9336" i="7"/>
  <c r="D9335" i="7"/>
  <c r="D9334" i="7"/>
  <c r="D9333" i="7"/>
  <c r="D9332" i="7"/>
  <c r="D9331" i="7"/>
  <c r="D9330" i="7"/>
  <c r="D9329" i="7"/>
  <c r="D9328" i="7"/>
  <c r="D9327" i="7"/>
  <c r="D9326" i="7"/>
  <c r="D9325" i="7"/>
  <c r="D9324" i="7"/>
  <c r="D9323" i="7"/>
  <c r="D9322" i="7"/>
  <c r="D9321" i="7"/>
  <c r="D9320" i="7"/>
  <c r="D9319" i="7"/>
  <c r="D9318" i="7"/>
  <c r="D9317" i="7"/>
  <c r="D9316" i="7"/>
  <c r="D9315" i="7"/>
  <c r="D9314" i="7"/>
  <c r="D9313" i="7"/>
  <c r="D9312" i="7"/>
  <c r="D9311" i="7"/>
  <c r="D9310" i="7"/>
  <c r="D9309" i="7"/>
  <c r="D9308" i="7"/>
  <c r="D9307" i="7"/>
  <c r="D9306" i="7"/>
  <c r="D9305" i="7"/>
  <c r="D9304" i="7"/>
  <c r="D9303" i="7"/>
  <c r="D9302" i="7"/>
  <c r="D9301" i="7"/>
  <c r="D9300" i="7"/>
  <c r="D9299" i="7"/>
  <c r="D9298" i="7"/>
  <c r="D9297" i="7"/>
  <c r="D9296" i="7"/>
  <c r="D9295" i="7"/>
  <c r="D9294" i="7"/>
  <c r="D9293" i="7"/>
  <c r="D9292" i="7"/>
  <c r="D9291" i="7"/>
  <c r="D9290" i="7"/>
  <c r="D9289" i="7"/>
  <c r="D9288" i="7"/>
  <c r="D9287" i="7"/>
  <c r="D9286" i="7"/>
  <c r="D9285" i="7"/>
  <c r="D9284" i="7"/>
  <c r="D9283" i="7"/>
  <c r="D9282" i="7"/>
  <c r="D9281" i="7"/>
  <c r="D9280" i="7"/>
  <c r="D9279" i="7"/>
  <c r="D9278" i="7"/>
  <c r="D9277" i="7"/>
  <c r="D9276" i="7"/>
  <c r="D9275" i="7"/>
  <c r="D9274" i="7"/>
  <c r="D9273" i="7"/>
  <c r="D9272" i="7"/>
  <c r="D9271" i="7"/>
  <c r="D9270" i="7"/>
  <c r="D9269" i="7"/>
  <c r="D9268" i="7"/>
  <c r="D9267" i="7"/>
  <c r="D9266" i="7"/>
  <c r="D9265" i="7"/>
  <c r="D9264" i="7"/>
  <c r="D9263" i="7"/>
  <c r="D9262" i="7"/>
  <c r="D9261" i="7"/>
  <c r="D9260" i="7"/>
  <c r="D9259" i="7"/>
  <c r="D9258" i="7"/>
  <c r="D9257" i="7"/>
  <c r="D9256" i="7"/>
  <c r="D9255" i="7"/>
  <c r="D9254" i="7"/>
  <c r="D9253" i="7"/>
  <c r="D9252" i="7"/>
  <c r="D9251" i="7"/>
  <c r="D9250" i="7"/>
  <c r="D9249" i="7"/>
  <c r="D9248" i="7"/>
  <c r="D9247" i="7"/>
  <c r="D9246" i="7"/>
  <c r="D9245" i="7"/>
  <c r="D9244" i="7"/>
  <c r="D9243" i="7"/>
  <c r="D9242" i="7"/>
  <c r="D9241" i="7"/>
  <c r="D9240" i="7"/>
  <c r="D9239" i="7"/>
  <c r="D9238" i="7"/>
  <c r="D9237" i="7"/>
  <c r="D9236" i="7"/>
  <c r="D9235" i="7"/>
  <c r="D9234" i="7"/>
  <c r="D9233" i="7"/>
  <c r="D9232" i="7"/>
  <c r="D9231" i="7"/>
  <c r="D9230" i="7"/>
  <c r="D9229" i="7"/>
  <c r="D9228" i="7"/>
  <c r="D9227" i="7"/>
  <c r="D9226" i="7"/>
  <c r="D9225" i="7"/>
  <c r="D9224" i="7"/>
  <c r="D9223" i="7"/>
  <c r="D9222" i="7"/>
  <c r="D9221" i="7"/>
  <c r="D9220" i="7"/>
  <c r="D9219" i="7"/>
  <c r="D9218" i="7"/>
  <c r="D9217" i="7"/>
  <c r="D9216" i="7"/>
  <c r="D9215" i="7"/>
  <c r="D9214" i="7"/>
  <c r="D9213" i="7"/>
  <c r="D9212" i="7"/>
  <c r="D9211" i="7"/>
  <c r="D9210" i="7"/>
  <c r="D9209" i="7"/>
  <c r="D9208" i="7"/>
  <c r="D9207" i="7"/>
  <c r="D9206" i="7"/>
  <c r="D9205" i="7"/>
  <c r="D9204" i="7"/>
  <c r="D9203" i="7"/>
  <c r="D9202" i="7"/>
  <c r="D9201" i="7"/>
  <c r="D9200" i="7"/>
  <c r="D9199" i="7"/>
  <c r="D9198" i="7"/>
  <c r="D9197" i="7"/>
  <c r="D9196" i="7"/>
  <c r="D9195" i="7"/>
  <c r="D9194" i="7"/>
  <c r="D9193" i="7"/>
  <c r="D9192" i="7"/>
  <c r="D9191" i="7"/>
  <c r="D9190" i="7"/>
  <c r="D9189" i="7"/>
  <c r="D9188" i="7"/>
  <c r="D9187" i="7"/>
  <c r="D9186" i="7"/>
  <c r="D9185" i="7"/>
  <c r="D9184" i="7"/>
  <c r="D9183" i="7"/>
  <c r="D9182" i="7"/>
  <c r="D9181" i="7"/>
  <c r="D9180" i="7"/>
  <c r="D9179" i="7"/>
  <c r="D9178" i="7"/>
  <c r="D9177" i="7"/>
  <c r="D9176" i="7"/>
  <c r="D9175" i="7"/>
  <c r="D9174" i="7"/>
  <c r="D9173" i="7"/>
  <c r="D9172" i="7"/>
  <c r="D9171" i="7"/>
  <c r="D9170" i="7"/>
  <c r="D9169" i="7"/>
  <c r="D9168" i="7"/>
  <c r="D9167" i="7"/>
  <c r="D9166" i="7"/>
  <c r="D9165" i="7"/>
  <c r="D9164" i="7"/>
  <c r="D9163" i="7"/>
  <c r="D9162" i="7"/>
  <c r="D9161" i="7"/>
  <c r="D9160" i="7"/>
  <c r="D9159" i="7"/>
  <c r="D9158" i="7"/>
  <c r="D9157" i="7"/>
  <c r="D9156" i="7"/>
  <c r="D9155" i="7"/>
  <c r="D9154" i="7"/>
  <c r="D9153" i="7"/>
  <c r="D9152" i="7"/>
  <c r="D9151" i="7"/>
  <c r="D9150" i="7"/>
  <c r="D9149" i="7"/>
  <c r="D9148" i="7"/>
  <c r="D9147" i="7"/>
  <c r="D9146" i="7"/>
  <c r="D9145" i="7"/>
  <c r="D9144" i="7"/>
  <c r="D9143" i="7"/>
  <c r="D9142" i="7"/>
  <c r="D9141" i="7"/>
  <c r="D9140" i="7"/>
  <c r="D9139" i="7"/>
  <c r="D9138" i="7"/>
  <c r="D9137" i="7"/>
  <c r="D9136" i="7"/>
  <c r="D9135" i="7"/>
  <c r="D9134" i="7"/>
  <c r="D9133" i="7"/>
  <c r="D9132" i="7"/>
  <c r="D9131" i="7"/>
  <c r="D9130" i="7"/>
  <c r="D9129" i="7"/>
  <c r="D9128" i="7"/>
  <c r="D9127" i="7"/>
  <c r="D9126" i="7"/>
  <c r="D9125" i="7"/>
  <c r="D9124" i="7"/>
  <c r="D9123" i="7"/>
  <c r="D9122" i="7"/>
  <c r="D9121" i="7"/>
  <c r="D9120" i="7"/>
  <c r="D9119" i="7"/>
  <c r="D9118" i="7"/>
  <c r="D9117" i="7"/>
  <c r="D9116" i="7"/>
  <c r="D9115" i="7"/>
  <c r="D9114" i="7"/>
  <c r="D9113" i="7"/>
  <c r="D9112" i="7"/>
  <c r="D9111" i="7"/>
  <c r="D9110" i="7"/>
  <c r="D9109" i="7"/>
  <c r="D9108" i="7"/>
  <c r="D9107" i="7"/>
  <c r="D9106" i="7"/>
  <c r="D9105" i="7"/>
  <c r="D9104" i="7"/>
  <c r="D9103" i="7"/>
  <c r="D9102" i="7"/>
  <c r="D9101" i="7"/>
  <c r="D9100" i="7"/>
  <c r="D9099" i="7"/>
  <c r="D9098" i="7"/>
  <c r="D9097" i="7"/>
  <c r="D9096" i="7"/>
  <c r="D9095" i="7"/>
  <c r="D9094" i="7"/>
  <c r="D9093" i="7"/>
  <c r="D9092" i="7"/>
  <c r="D9091" i="7"/>
  <c r="D9090" i="7"/>
  <c r="D9089" i="7"/>
  <c r="D9088" i="7"/>
  <c r="D9087" i="7"/>
  <c r="D9086" i="7"/>
  <c r="D9085" i="7"/>
  <c r="D9084" i="7"/>
  <c r="D9083" i="7"/>
  <c r="D9082" i="7"/>
  <c r="D9081" i="7"/>
  <c r="D9080" i="7"/>
  <c r="D9079" i="7"/>
  <c r="D9078" i="7"/>
  <c r="D9077" i="7"/>
  <c r="D9076" i="7"/>
  <c r="D9075" i="7"/>
  <c r="D9074" i="7"/>
  <c r="D9073" i="7"/>
  <c r="D9072" i="7"/>
  <c r="D9071" i="7"/>
  <c r="D9070" i="7"/>
  <c r="D9069" i="7"/>
  <c r="D9068" i="7"/>
  <c r="D9067" i="7"/>
  <c r="D9066" i="7"/>
  <c r="D9065" i="7"/>
  <c r="D9064" i="7"/>
  <c r="D9063" i="7"/>
  <c r="D9062" i="7"/>
  <c r="D9061" i="7"/>
  <c r="D9060" i="7"/>
  <c r="D9059" i="7"/>
  <c r="D9058" i="7"/>
  <c r="D9057" i="7"/>
  <c r="D9056" i="7"/>
  <c r="D9055" i="7"/>
  <c r="D9054" i="7"/>
  <c r="D9053" i="7"/>
  <c r="D9052" i="7"/>
  <c r="D9051" i="7"/>
  <c r="D9050" i="7"/>
  <c r="D9049" i="7"/>
  <c r="D9048" i="7"/>
  <c r="D9047" i="7"/>
  <c r="D9046" i="7"/>
  <c r="D9045" i="7"/>
  <c r="D9044" i="7"/>
  <c r="D9043" i="7"/>
  <c r="D9042" i="7"/>
  <c r="D9041" i="7"/>
  <c r="D9040" i="7"/>
  <c r="D9039" i="7"/>
  <c r="D9038" i="7"/>
  <c r="D9037" i="7"/>
  <c r="D9036" i="7"/>
  <c r="D9035" i="7"/>
  <c r="D9034" i="7"/>
  <c r="D9033" i="7"/>
  <c r="D9032" i="7"/>
  <c r="D9031" i="7"/>
  <c r="D9030" i="7"/>
  <c r="D9029" i="7"/>
  <c r="D9028" i="7"/>
  <c r="D9027" i="7"/>
  <c r="D9026" i="7"/>
  <c r="D9025" i="7"/>
  <c r="D9024" i="7"/>
  <c r="D9023" i="7"/>
  <c r="D9022" i="7"/>
  <c r="D9021" i="7"/>
  <c r="D9020" i="7"/>
  <c r="D9019" i="7"/>
  <c r="D9018" i="7"/>
  <c r="D9017" i="7"/>
  <c r="D9016" i="7"/>
  <c r="D9015" i="7"/>
  <c r="D9014" i="7"/>
  <c r="D9013" i="7"/>
  <c r="D9012" i="7"/>
  <c r="D9011" i="7"/>
  <c r="D9010" i="7"/>
  <c r="D9009" i="7"/>
  <c r="D9008" i="7"/>
  <c r="D9007" i="7"/>
  <c r="D9006" i="7"/>
  <c r="D9005" i="7"/>
  <c r="D9004" i="7"/>
  <c r="D9003" i="7"/>
  <c r="D9002" i="7"/>
  <c r="D9001" i="7"/>
  <c r="D9000" i="7"/>
  <c r="D8999" i="7"/>
  <c r="D8998" i="7"/>
  <c r="D8997" i="7"/>
  <c r="D8996" i="7"/>
  <c r="D8995" i="7"/>
  <c r="D8994" i="7"/>
  <c r="D8993" i="7"/>
  <c r="D8992" i="7"/>
  <c r="D8991" i="7"/>
  <c r="D8990" i="7"/>
  <c r="D8989" i="7"/>
  <c r="D8988" i="7"/>
  <c r="D8987" i="7"/>
  <c r="D8986" i="7"/>
  <c r="D8985" i="7"/>
  <c r="D8984" i="7"/>
  <c r="D8983" i="7"/>
  <c r="D8982" i="7"/>
  <c r="D8981" i="7"/>
  <c r="D8980" i="7"/>
  <c r="D8979" i="7"/>
  <c r="D8978" i="7"/>
  <c r="D8977" i="7"/>
  <c r="D8976" i="7"/>
  <c r="D8975" i="7"/>
  <c r="D8974" i="7"/>
  <c r="D8973" i="7"/>
  <c r="D8972" i="7"/>
  <c r="D8971" i="7"/>
  <c r="D8970" i="7"/>
  <c r="D8969" i="7"/>
  <c r="D8968" i="7"/>
  <c r="D8967" i="7"/>
  <c r="D8966" i="7"/>
  <c r="D8965" i="7"/>
  <c r="D8964" i="7"/>
  <c r="D8963" i="7"/>
  <c r="D8962" i="7"/>
  <c r="D8961" i="7"/>
  <c r="D8960" i="7"/>
  <c r="D8959" i="7"/>
  <c r="D8958" i="7"/>
  <c r="D8957" i="7"/>
  <c r="D8956" i="7"/>
  <c r="D8955" i="7"/>
  <c r="D8954" i="7"/>
  <c r="D8953" i="7"/>
  <c r="D8952" i="7"/>
  <c r="D8951" i="7"/>
  <c r="D8950" i="7"/>
  <c r="D8949" i="7"/>
  <c r="D8948" i="7"/>
  <c r="D8947" i="7"/>
  <c r="D8946" i="7"/>
  <c r="D8945" i="7"/>
  <c r="D8944" i="7"/>
  <c r="D8943" i="7"/>
  <c r="D8942" i="7"/>
  <c r="D8941" i="7"/>
  <c r="D8940" i="7"/>
  <c r="D8939" i="7"/>
  <c r="D8938" i="7"/>
  <c r="D8937" i="7"/>
  <c r="D8936" i="7"/>
  <c r="D8935" i="7"/>
  <c r="D8934" i="7"/>
  <c r="D8933" i="7"/>
  <c r="D8932" i="7"/>
  <c r="D8931" i="7"/>
  <c r="D8930" i="7"/>
  <c r="D8929" i="7"/>
  <c r="D8928" i="7"/>
  <c r="D8927" i="7"/>
  <c r="D8926" i="7"/>
  <c r="D8925" i="7"/>
  <c r="D8924" i="7"/>
  <c r="D8923" i="7"/>
  <c r="D8922" i="7"/>
  <c r="D8921" i="7"/>
  <c r="D8920" i="7"/>
  <c r="D8919" i="7"/>
  <c r="D8918" i="7"/>
  <c r="D8917" i="7"/>
  <c r="D8916" i="7"/>
  <c r="D8915" i="7"/>
  <c r="D8914" i="7"/>
  <c r="D8913" i="7"/>
  <c r="D8912" i="7"/>
  <c r="D8911" i="7"/>
  <c r="D8910" i="7"/>
  <c r="D8909" i="7"/>
  <c r="D8908" i="7"/>
  <c r="D8907" i="7"/>
  <c r="D8906" i="7"/>
  <c r="D8905" i="7"/>
  <c r="D8904" i="7"/>
  <c r="D8903" i="7"/>
  <c r="D8902" i="7"/>
  <c r="D8901" i="7"/>
  <c r="D8900" i="7"/>
  <c r="D8899" i="7"/>
  <c r="D8898" i="7"/>
  <c r="D8897" i="7"/>
  <c r="D8896" i="7"/>
  <c r="D8895" i="7"/>
  <c r="D8894" i="7"/>
  <c r="D8893" i="7"/>
  <c r="D8892" i="7"/>
  <c r="D8891" i="7"/>
  <c r="D8890" i="7"/>
  <c r="D8889" i="7"/>
  <c r="D8888" i="7"/>
  <c r="D8887" i="7"/>
  <c r="D8886" i="7"/>
  <c r="D8885" i="7"/>
  <c r="D8884" i="7"/>
  <c r="D8883" i="7"/>
  <c r="D8882" i="7"/>
  <c r="D8881" i="7"/>
  <c r="D8880" i="7"/>
  <c r="D8879" i="7"/>
  <c r="D8878" i="7"/>
  <c r="D8877" i="7"/>
  <c r="D8876" i="7"/>
  <c r="D8875" i="7"/>
  <c r="D8874" i="7"/>
  <c r="D8873" i="7"/>
  <c r="D8872" i="7"/>
  <c r="D8871" i="7"/>
  <c r="D8870" i="7"/>
  <c r="D8869" i="7"/>
  <c r="D8868" i="7"/>
  <c r="D8867" i="7"/>
  <c r="D8866" i="7"/>
  <c r="D8865" i="7"/>
  <c r="D8864" i="7"/>
  <c r="D8863" i="7"/>
  <c r="D8862" i="7"/>
  <c r="D8861" i="7"/>
  <c r="D8860" i="7"/>
  <c r="D8859" i="7"/>
  <c r="D8858" i="7"/>
  <c r="D8857" i="7"/>
  <c r="D8856" i="7"/>
  <c r="D8855" i="7"/>
  <c r="D8854" i="7"/>
  <c r="D8853" i="7"/>
  <c r="D8852" i="7"/>
  <c r="D8851" i="7"/>
  <c r="D8850" i="7"/>
  <c r="D8849" i="7"/>
  <c r="D8848" i="7"/>
  <c r="D8847" i="7"/>
  <c r="D8846" i="7"/>
  <c r="D8845" i="7"/>
  <c r="D8844" i="7"/>
  <c r="D8843" i="7"/>
  <c r="D8842" i="7"/>
  <c r="D8841" i="7"/>
  <c r="D8840" i="7"/>
  <c r="D8839" i="7"/>
  <c r="D8838" i="7"/>
  <c r="D8837" i="7"/>
  <c r="D8836" i="7"/>
  <c r="D8835" i="7"/>
  <c r="D8834" i="7"/>
  <c r="D8833" i="7"/>
  <c r="D8832" i="7"/>
  <c r="D8831" i="7"/>
  <c r="D8830" i="7"/>
  <c r="D8829" i="7"/>
  <c r="D8828" i="7"/>
  <c r="D8827" i="7"/>
  <c r="D8826" i="7"/>
  <c r="D8825" i="7"/>
  <c r="D8824" i="7"/>
  <c r="D8823" i="7"/>
  <c r="D8822" i="7"/>
  <c r="D8821" i="7"/>
  <c r="D8820" i="7"/>
  <c r="D8819" i="7"/>
  <c r="D8818" i="7"/>
  <c r="D8817" i="7"/>
  <c r="D8816" i="7"/>
  <c r="D8815" i="7"/>
  <c r="D8814" i="7"/>
  <c r="D8813" i="7"/>
  <c r="D8812" i="7"/>
  <c r="D8811" i="7"/>
  <c r="D8810" i="7"/>
  <c r="D8809" i="7"/>
  <c r="D8808" i="7"/>
  <c r="D8807" i="7"/>
  <c r="D8806" i="7"/>
  <c r="D8805" i="7"/>
  <c r="D8804" i="7"/>
  <c r="D8803" i="7"/>
  <c r="D8802" i="7"/>
  <c r="D8801" i="7"/>
  <c r="D8800" i="7"/>
  <c r="D8799" i="7"/>
  <c r="D8798" i="7"/>
  <c r="D8797" i="7"/>
  <c r="D8796" i="7"/>
  <c r="D8795" i="7"/>
  <c r="D8794" i="7"/>
  <c r="D8793" i="7"/>
  <c r="D8792" i="7"/>
  <c r="D8791" i="7"/>
  <c r="D8790" i="7"/>
  <c r="D8789" i="7"/>
  <c r="D8788" i="7"/>
  <c r="D8787" i="7"/>
  <c r="D8786" i="7"/>
  <c r="D8785" i="7"/>
  <c r="D8784" i="7"/>
  <c r="D8783" i="7"/>
  <c r="D8782" i="7"/>
  <c r="D8781" i="7"/>
  <c r="D8780" i="7"/>
  <c r="D8779" i="7"/>
  <c r="D8778" i="7"/>
  <c r="D8777" i="7"/>
  <c r="D8776" i="7"/>
  <c r="D8775" i="7"/>
  <c r="D8774" i="7"/>
  <c r="D8773" i="7"/>
  <c r="D8772" i="7"/>
  <c r="D8771" i="7"/>
  <c r="D8770" i="7"/>
  <c r="D8769" i="7"/>
  <c r="D8768" i="7"/>
  <c r="D8767" i="7"/>
  <c r="D8766" i="7"/>
  <c r="D8765" i="7"/>
  <c r="D8764" i="7"/>
  <c r="D8763" i="7"/>
  <c r="D8762" i="7"/>
  <c r="D8761" i="7"/>
  <c r="D8760" i="7"/>
  <c r="D8759" i="7"/>
  <c r="D8758" i="7"/>
  <c r="D8757" i="7"/>
  <c r="D8756" i="7"/>
  <c r="D8755" i="7"/>
  <c r="D8754" i="7"/>
  <c r="D8753" i="7"/>
  <c r="D8752" i="7"/>
  <c r="D8751" i="7"/>
  <c r="D8750" i="7"/>
  <c r="D8749" i="7"/>
  <c r="D8748" i="7"/>
  <c r="D8747" i="7"/>
  <c r="D8746" i="7"/>
  <c r="D8745" i="7"/>
  <c r="D8744" i="7"/>
  <c r="D8743" i="7"/>
  <c r="D8742" i="7"/>
  <c r="D8741" i="7"/>
  <c r="D8740" i="7"/>
  <c r="D8739" i="7"/>
  <c r="D8738" i="7"/>
  <c r="D8737" i="7"/>
  <c r="D8736" i="7"/>
  <c r="D8735" i="7"/>
  <c r="D8734" i="7"/>
  <c r="D8733" i="7"/>
  <c r="D8732" i="7"/>
  <c r="D8731" i="7"/>
  <c r="D8730" i="7"/>
  <c r="D8729" i="7"/>
  <c r="D8728" i="7"/>
  <c r="D8727" i="7"/>
  <c r="D8726" i="7"/>
  <c r="D8725" i="7"/>
  <c r="D8724" i="7"/>
  <c r="D8723" i="7"/>
  <c r="D8722" i="7"/>
  <c r="D8721" i="7"/>
  <c r="D8720" i="7"/>
  <c r="D8719" i="7"/>
  <c r="D8718" i="7"/>
  <c r="D8717" i="7"/>
  <c r="D8716" i="7"/>
  <c r="D8715" i="7"/>
  <c r="D8714" i="7"/>
  <c r="D8713" i="7"/>
  <c r="D8712" i="7"/>
  <c r="D8711" i="7"/>
  <c r="D8710" i="7"/>
  <c r="D8709" i="7"/>
  <c r="D8708" i="7"/>
  <c r="D8707" i="7"/>
  <c r="D8706" i="7"/>
  <c r="D8705" i="7"/>
  <c r="D8704" i="7"/>
  <c r="D8703" i="7"/>
  <c r="D8702" i="7"/>
  <c r="D8701" i="7"/>
  <c r="D8700" i="7"/>
  <c r="D8699" i="7"/>
  <c r="D8698" i="7"/>
  <c r="D8697" i="7"/>
  <c r="D8696" i="7"/>
  <c r="D8695" i="7"/>
  <c r="D8694" i="7"/>
  <c r="D8693" i="7"/>
  <c r="D8692" i="7"/>
  <c r="D8691" i="7"/>
  <c r="D8690" i="7"/>
  <c r="D8689" i="7"/>
  <c r="D8688" i="7"/>
  <c r="D8687" i="7"/>
  <c r="D8686" i="7"/>
  <c r="D8685" i="7"/>
  <c r="D8684" i="7"/>
  <c r="D8683" i="7"/>
  <c r="D8682" i="7"/>
  <c r="D8681" i="7"/>
  <c r="D8680" i="7"/>
  <c r="D8679" i="7"/>
  <c r="D8678" i="7"/>
  <c r="D8677" i="7"/>
  <c r="D8676" i="7"/>
  <c r="D8675" i="7"/>
  <c r="D8674" i="7"/>
  <c r="D8673" i="7"/>
  <c r="D8672" i="7"/>
  <c r="D8671" i="7"/>
  <c r="D8670" i="7"/>
  <c r="D8669" i="7"/>
  <c r="D8668" i="7"/>
  <c r="D8667" i="7"/>
  <c r="D8666" i="7"/>
  <c r="D8665" i="7"/>
  <c r="D8664" i="7"/>
  <c r="D8663" i="7"/>
  <c r="D8662" i="7"/>
  <c r="D8661" i="7"/>
  <c r="D8660" i="7"/>
  <c r="D8659" i="7"/>
  <c r="D8658" i="7"/>
  <c r="D8657" i="7"/>
  <c r="D8656" i="7"/>
  <c r="D8655" i="7"/>
  <c r="D8654" i="7"/>
  <c r="D8653" i="7"/>
  <c r="D8652" i="7"/>
  <c r="D8651" i="7"/>
  <c r="D8650" i="7"/>
  <c r="D8649" i="7"/>
  <c r="D8648" i="7"/>
  <c r="D8647" i="7"/>
  <c r="D8646" i="7"/>
  <c r="D8645" i="7"/>
  <c r="D8644" i="7"/>
  <c r="D8643" i="7"/>
  <c r="D8642" i="7"/>
  <c r="D8641" i="7"/>
  <c r="D8640" i="7"/>
  <c r="D8639" i="7"/>
  <c r="D8638" i="7"/>
  <c r="D8637" i="7"/>
  <c r="D8636" i="7"/>
  <c r="D8635" i="7"/>
  <c r="D8634" i="7"/>
  <c r="D8633" i="7"/>
  <c r="D8632" i="7"/>
  <c r="D8631" i="7"/>
  <c r="D8630" i="7"/>
  <c r="D8629" i="7"/>
  <c r="D8628" i="7"/>
  <c r="D8627" i="7"/>
  <c r="D8626" i="7"/>
  <c r="D8625" i="7"/>
  <c r="D8624" i="7"/>
  <c r="D8623" i="7"/>
  <c r="D8622" i="7"/>
  <c r="D8621" i="7"/>
  <c r="D8620" i="7"/>
  <c r="D8619" i="7"/>
  <c r="D8618" i="7"/>
  <c r="D8617" i="7"/>
  <c r="D8616" i="7"/>
  <c r="D8615" i="7"/>
  <c r="D8614" i="7"/>
  <c r="D8613" i="7"/>
  <c r="D8612" i="7"/>
  <c r="D8611" i="7"/>
  <c r="D8610" i="7"/>
  <c r="D8609" i="7"/>
  <c r="D8608" i="7"/>
  <c r="D8607" i="7"/>
  <c r="D8606" i="7"/>
  <c r="D8605" i="7"/>
  <c r="D8604" i="7"/>
  <c r="D8603" i="7"/>
  <c r="D8602" i="7"/>
  <c r="D8601" i="7"/>
  <c r="D8600" i="7"/>
  <c r="D8599" i="7"/>
  <c r="D8598" i="7"/>
  <c r="D8597" i="7"/>
  <c r="D8596" i="7"/>
  <c r="D8595" i="7"/>
  <c r="D8594" i="7"/>
  <c r="D8593" i="7"/>
  <c r="D8592" i="7"/>
  <c r="D8591" i="7"/>
  <c r="D8590" i="7"/>
  <c r="D8589" i="7"/>
  <c r="D8588" i="7"/>
  <c r="D8587" i="7"/>
  <c r="D8586" i="7"/>
  <c r="D8585" i="7"/>
  <c r="D8584" i="7"/>
  <c r="D8583" i="7"/>
  <c r="D8582" i="7"/>
  <c r="D8581" i="7"/>
  <c r="D8580" i="7"/>
  <c r="D8579" i="7"/>
  <c r="D8578" i="7"/>
  <c r="D8577" i="7"/>
  <c r="D8576" i="7"/>
  <c r="D8575" i="7"/>
  <c r="D8574" i="7"/>
  <c r="D8573" i="7"/>
  <c r="D8572" i="7"/>
  <c r="D8571" i="7"/>
  <c r="D8570" i="7"/>
  <c r="D8569" i="7"/>
  <c r="D8568" i="7"/>
  <c r="D8567" i="7"/>
  <c r="D8566" i="7"/>
  <c r="D8565" i="7"/>
  <c r="D8564" i="7"/>
  <c r="D8563" i="7"/>
  <c r="D8562" i="7"/>
  <c r="D8561" i="7"/>
  <c r="D8560" i="7"/>
  <c r="D8559" i="7"/>
  <c r="D8558" i="7"/>
  <c r="D8557" i="7"/>
  <c r="D8556" i="7"/>
  <c r="D8555" i="7"/>
  <c r="D8554" i="7"/>
  <c r="D8553" i="7"/>
  <c r="D8552" i="7"/>
  <c r="D8551" i="7"/>
  <c r="D8550" i="7"/>
  <c r="D8549" i="7"/>
  <c r="D8548" i="7"/>
  <c r="D8547" i="7"/>
  <c r="D8546" i="7"/>
  <c r="D8545" i="7"/>
  <c r="D8544" i="7"/>
  <c r="D8543" i="7"/>
  <c r="D8542" i="7"/>
  <c r="D8541" i="7"/>
  <c r="D8540" i="7"/>
  <c r="D8539" i="7"/>
  <c r="D8538" i="7"/>
  <c r="D8537" i="7"/>
  <c r="D8536" i="7"/>
  <c r="D8535" i="7"/>
  <c r="D8534" i="7"/>
  <c r="D8533" i="7"/>
  <c r="D8532" i="7"/>
  <c r="D8531" i="7"/>
  <c r="D8530" i="7"/>
  <c r="D8529" i="7"/>
  <c r="D8528" i="7"/>
  <c r="D8527" i="7"/>
  <c r="D8526" i="7"/>
  <c r="D8525" i="7"/>
  <c r="D8524" i="7"/>
  <c r="D8523" i="7"/>
  <c r="D8522" i="7"/>
  <c r="D8521" i="7"/>
  <c r="D8520" i="7"/>
  <c r="D8519" i="7"/>
  <c r="D8518" i="7"/>
  <c r="D8517" i="7"/>
  <c r="D8516" i="7"/>
  <c r="D8515" i="7"/>
  <c r="D8514" i="7"/>
  <c r="D8513" i="7"/>
  <c r="D8512" i="7"/>
  <c r="D8511" i="7"/>
  <c r="D8510" i="7"/>
  <c r="D8509" i="7"/>
  <c r="D8508" i="7"/>
  <c r="D8507" i="7"/>
  <c r="D8506" i="7"/>
  <c r="D8505" i="7"/>
  <c r="D8504" i="7"/>
  <c r="D8503" i="7"/>
  <c r="D8502" i="7"/>
  <c r="D8501" i="7"/>
  <c r="D8500" i="7"/>
  <c r="D8499" i="7"/>
  <c r="D8498" i="7"/>
  <c r="D8497" i="7"/>
  <c r="D8496" i="7"/>
  <c r="D8495" i="7"/>
  <c r="D8494" i="7"/>
  <c r="D8493" i="7"/>
  <c r="D8492" i="7"/>
  <c r="D8491" i="7"/>
  <c r="D8490" i="7"/>
  <c r="D8489" i="7"/>
  <c r="D8488" i="7"/>
  <c r="D8487" i="7"/>
  <c r="D8486" i="7"/>
  <c r="D8485" i="7"/>
  <c r="D8484" i="7"/>
  <c r="D8483" i="7"/>
  <c r="D8482" i="7"/>
  <c r="D8481" i="7"/>
  <c r="D8480" i="7"/>
  <c r="D8479" i="7"/>
  <c r="D8478" i="7"/>
  <c r="D8477" i="7"/>
  <c r="D8476" i="7"/>
  <c r="D8475" i="7"/>
  <c r="D8474" i="7"/>
  <c r="D8473" i="7"/>
  <c r="D8472" i="7"/>
  <c r="D8471" i="7"/>
  <c r="D8470" i="7"/>
  <c r="D8469" i="7"/>
  <c r="D8468" i="7"/>
  <c r="D8467" i="7"/>
  <c r="D8466" i="7"/>
  <c r="D8465" i="7"/>
  <c r="D8464" i="7"/>
  <c r="D8463" i="7"/>
  <c r="D8462" i="7"/>
  <c r="D8461" i="7"/>
  <c r="D8460" i="7"/>
  <c r="D8459" i="7"/>
  <c r="D8458" i="7"/>
  <c r="D8457" i="7"/>
  <c r="D8456" i="7"/>
  <c r="D8455" i="7"/>
  <c r="D8454" i="7"/>
  <c r="D8453" i="7"/>
  <c r="D8452" i="7"/>
  <c r="D8451" i="7"/>
  <c r="D8450" i="7"/>
  <c r="D8449" i="7"/>
  <c r="D8448" i="7"/>
  <c r="D8447" i="7"/>
  <c r="D8446" i="7"/>
  <c r="D8445" i="7"/>
  <c r="D8444" i="7"/>
  <c r="D8443" i="7"/>
  <c r="D8442" i="7"/>
  <c r="D8441" i="7"/>
  <c r="D8440" i="7"/>
  <c r="D8439" i="7"/>
  <c r="D8438" i="7"/>
  <c r="D8437" i="7"/>
  <c r="D8436" i="7"/>
  <c r="D8435" i="7"/>
  <c r="D8434" i="7"/>
  <c r="D8433" i="7"/>
  <c r="D8432" i="7"/>
  <c r="D8431" i="7"/>
  <c r="D8430" i="7"/>
  <c r="D8429" i="7"/>
  <c r="D8428" i="7"/>
  <c r="D8427" i="7"/>
  <c r="D8426" i="7"/>
  <c r="D8425" i="7"/>
  <c r="D8424" i="7"/>
  <c r="D8423" i="7"/>
  <c r="D8422" i="7"/>
  <c r="D8421" i="7"/>
  <c r="D8420" i="7"/>
  <c r="D8419" i="7"/>
  <c r="D8418" i="7"/>
  <c r="D8417" i="7"/>
  <c r="D8416" i="7"/>
  <c r="D8415" i="7"/>
  <c r="D8414" i="7"/>
  <c r="D8413" i="7"/>
  <c r="D8412" i="7"/>
  <c r="D8411" i="7"/>
  <c r="D8410" i="7"/>
  <c r="D8409" i="7"/>
  <c r="D8408" i="7"/>
  <c r="D8407" i="7"/>
  <c r="D8406" i="7"/>
  <c r="D8405" i="7"/>
  <c r="D8404" i="7"/>
  <c r="D8403" i="7"/>
  <c r="D8402" i="7"/>
  <c r="D8401" i="7"/>
  <c r="D8400" i="7"/>
  <c r="D8399" i="7"/>
  <c r="D8398" i="7"/>
  <c r="D8397" i="7"/>
  <c r="D8396" i="7"/>
  <c r="D8395" i="7"/>
  <c r="D8394" i="7"/>
  <c r="D8393" i="7"/>
  <c r="D8392" i="7"/>
  <c r="D8391" i="7"/>
  <c r="D8390" i="7"/>
  <c r="D8389" i="7"/>
  <c r="D8388" i="7"/>
  <c r="D8387" i="7"/>
  <c r="D8386" i="7"/>
  <c r="D8385" i="7"/>
  <c r="D8384" i="7"/>
  <c r="D8383" i="7"/>
  <c r="D8382" i="7"/>
  <c r="D8381" i="7"/>
  <c r="D8380" i="7"/>
  <c r="D8379" i="7"/>
  <c r="D8378" i="7"/>
  <c r="D8377" i="7"/>
  <c r="D8376" i="7"/>
  <c r="D8375" i="7"/>
  <c r="D8374" i="7"/>
  <c r="D8373" i="7"/>
  <c r="D8372" i="7"/>
  <c r="D8371" i="7"/>
  <c r="D8370" i="7"/>
  <c r="D8369" i="7"/>
  <c r="D8368" i="7"/>
  <c r="D8367" i="7"/>
  <c r="D8366" i="7"/>
  <c r="D8365" i="7"/>
  <c r="D8364" i="7"/>
  <c r="D8363" i="7"/>
  <c r="D8362" i="7"/>
  <c r="D8361" i="7"/>
  <c r="D8360" i="7"/>
  <c r="D8359" i="7"/>
  <c r="D8358" i="7"/>
  <c r="D8357" i="7"/>
  <c r="D8356" i="7"/>
  <c r="D8355" i="7"/>
  <c r="D8354" i="7"/>
  <c r="D8353" i="7"/>
  <c r="D8352" i="7"/>
  <c r="D8351" i="7"/>
  <c r="D8350" i="7"/>
  <c r="D8349" i="7"/>
  <c r="D8348" i="7"/>
  <c r="D8347" i="7"/>
  <c r="D8346" i="7"/>
  <c r="D8345" i="7"/>
  <c r="D8344" i="7"/>
  <c r="D8343" i="7"/>
  <c r="D8342" i="7"/>
  <c r="D8341" i="7"/>
  <c r="D8340" i="7"/>
  <c r="D8339" i="7"/>
  <c r="D8338" i="7"/>
  <c r="D8337" i="7"/>
  <c r="D8336" i="7"/>
  <c r="D8335" i="7"/>
  <c r="D8334" i="7"/>
  <c r="D8333" i="7"/>
  <c r="D8332" i="7"/>
  <c r="D8331" i="7"/>
  <c r="D8330" i="7"/>
  <c r="D8329" i="7"/>
  <c r="D8328" i="7"/>
  <c r="D8327" i="7"/>
  <c r="D8326" i="7"/>
  <c r="D8325" i="7"/>
  <c r="D8324" i="7"/>
  <c r="D8323" i="7"/>
  <c r="D8322" i="7"/>
  <c r="D8321" i="7"/>
  <c r="D8320" i="7"/>
  <c r="D8319" i="7"/>
  <c r="D8318" i="7"/>
  <c r="D8317" i="7"/>
  <c r="D8316" i="7"/>
  <c r="D8315" i="7"/>
  <c r="D8314" i="7"/>
  <c r="D8313" i="7"/>
  <c r="D8312" i="7"/>
  <c r="D8311" i="7"/>
  <c r="D8310" i="7"/>
  <c r="D8309" i="7"/>
  <c r="D8308" i="7"/>
  <c r="D8307" i="7"/>
  <c r="D8306" i="7"/>
  <c r="D8305" i="7"/>
  <c r="D8304" i="7"/>
  <c r="D8303" i="7"/>
  <c r="D8302" i="7"/>
  <c r="D8301" i="7"/>
  <c r="D8300" i="7"/>
  <c r="D8299" i="7"/>
  <c r="D8298" i="7"/>
  <c r="D8297" i="7"/>
  <c r="D8296" i="7"/>
  <c r="D8295" i="7"/>
  <c r="D8294" i="7"/>
  <c r="D8293" i="7"/>
  <c r="D8292" i="7"/>
  <c r="D8291" i="7"/>
  <c r="D8290" i="7"/>
  <c r="D8289" i="7"/>
  <c r="D8288" i="7"/>
  <c r="D8287" i="7"/>
  <c r="D8286" i="7"/>
  <c r="D8285" i="7"/>
  <c r="D8284" i="7"/>
  <c r="D8283" i="7"/>
  <c r="D8282" i="7"/>
  <c r="D8281" i="7"/>
  <c r="D8280" i="7"/>
  <c r="D8279" i="7"/>
  <c r="D8278" i="7"/>
  <c r="D8277" i="7"/>
  <c r="D8276" i="7"/>
  <c r="D8275" i="7"/>
  <c r="D8274" i="7"/>
  <c r="D8273" i="7"/>
  <c r="D8272" i="7"/>
  <c r="D8271" i="7"/>
  <c r="D8270" i="7"/>
  <c r="D8269" i="7"/>
  <c r="D8268" i="7"/>
  <c r="D8267" i="7"/>
  <c r="D8266" i="7"/>
  <c r="D8265" i="7"/>
  <c r="D8264" i="7"/>
  <c r="D8263" i="7"/>
  <c r="D8262" i="7"/>
  <c r="D8261" i="7"/>
  <c r="D8260" i="7"/>
  <c r="D8259" i="7"/>
  <c r="D8258" i="7"/>
  <c r="D8257" i="7"/>
  <c r="D8256" i="7"/>
  <c r="D8255" i="7"/>
  <c r="D8254" i="7"/>
  <c r="D8253" i="7"/>
  <c r="D8252" i="7"/>
  <c r="D8251" i="7"/>
  <c r="D8250" i="7"/>
  <c r="D8249" i="7"/>
  <c r="D8248" i="7"/>
  <c r="D8247" i="7"/>
  <c r="D8246" i="7"/>
  <c r="D8245" i="7"/>
  <c r="D8244" i="7"/>
  <c r="D8243" i="7"/>
  <c r="D8242" i="7"/>
  <c r="D8241" i="7"/>
  <c r="D8240" i="7"/>
  <c r="D8239" i="7"/>
  <c r="D8238" i="7"/>
  <c r="D8237" i="7"/>
  <c r="D8236" i="7"/>
  <c r="D8235" i="7"/>
  <c r="D8234" i="7"/>
  <c r="D8233" i="7"/>
  <c r="D8232" i="7"/>
  <c r="D8231" i="7"/>
  <c r="D8230" i="7"/>
  <c r="D8229" i="7"/>
  <c r="D8228" i="7"/>
  <c r="D8227" i="7"/>
  <c r="D8226" i="7"/>
  <c r="D8225" i="7"/>
  <c r="D8224" i="7"/>
  <c r="D8223" i="7"/>
  <c r="D8222" i="7"/>
  <c r="D8221" i="7"/>
  <c r="D8220" i="7"/>
  <c r="D8219" i="7"/>
  <c r="D8218" i="7"/>
  <c r="D8217" i="7"/>
  <c r="D8216" i="7"/>
  <c r="D8215" i="7"/>
  <c r="D8214" i="7"/>
  <c r="D8213" i="7"/>
  <c r="D8212" i="7"/>
  <c r="D8211" i="7"/>
  <c r="D8210" i="7"/>
  <c r="D8209" i="7"/>
  <c r="D8208" i="7"/>
  <c r="D8207" i="7"/>
  <c r="D8206" i="7"/>
  <c r="D8205" i="7"/>
  <c r="D8204" i="7"/>
  <c r="D8203" i="7"/>
  <c r="D8202" i="7"/>
  <c r="D8201" i="7"/>
  <c r="D8200" i="7"/>
  <c r="D8199" i="7"/>
  <c r="D8198" i="7"/>
  <c r="D8197" i="7"/>
  <c r="D8196" i="7"/>
  <c r="D8195" i="7"/>
  <c r="D8194" i="7"/>
  <c r="D8193" i="7"/>
  <c r="D8192" i="7"/>
  <c r="D8191" i="7"/>
  <c r="D8190" i="7"/>
  <c r="D8189" i="7"/>
  <c r="D8188" i="7"/>
  <c r="D8187" i="7"/>
  <c r="D8186" i="7"/>
  <c r="D8185" i="7"/>
  <c r="D8184" i="7"/>
  <c r="D8183" i="7"/>
  <c r="D8182" i="7"/>
  <c r="D8181" i="7"/>
  <c r="D8180" i="7"/>
  <c r="D8179" i="7"/>
  <c r="D8178" i="7"/>
  <c r="D8177" i="7"/>
  <c r="D8176" i="7"/>
  <c r="D8175" i="7"/>
  <c r="D8174" i="7"/>
  <c r="D8173" i="7"/>
  <c r="D8172" i="7"/>
  <c r="D8171" i="7"/>
  <c r="D8170" i="7"/>
  <c r="D8169" i="7"/>
  <c r="D8168" i="7"/>
  <c r="D8167" i="7"/>
  <c r="D8166" i="7"/>
  <c r="D8165" i="7"/>
  <c r="D8164" i="7"/>
  <c r="D8163" i="7"/>
  <c r="D8162" i="7"/>
  <c r="D8161" i="7"/>
  <c r="D8160" i="7"/>
  <c r="D8159" i="7"/>
  <c r="D8158" i="7"/>
  <c r="D8157" i="7"/>
  <c r="D8156" i="7"/>
  <c r="D8155" i="7"/>
  <c r="D8154" i="7"/>
  <c r="D8153" i="7"/>
  <c r="D8152" i="7"/>
  <c r="D8151" i="7"/>
  <c r="D8150" i="7"/>
  <c r="D8149" i="7"/>
  <c r="D8148" i="7"/>
  <c r="D8147" i="7"/>
  <c r="D8146" i="7"/>
  <c r="D8145" i="7"/>
  <c r="D8144" i="7"/>
  <c r="D8143" i="7"/>
  <c r="D8142" i="7"/>
  <c r="D8141" i="7"/>
  <c r="D8140" i="7"/>
  <c r="D8139" i="7"/>
  <c r="D8138" i="7"/>
  <c r="D8137" i="7"/>
  <c r="D8136" i="7"/>
  <c r="D8135" i="7"/>
  <c r="D8134" i="7"/>
  <c r="D8133" i="7"/>
  <c r="D8132" i="7"/>
  <c r="D8131" i="7"/>
  <c r="D8130" i="7"/>
  <c r="D8129" i="7"/>
  <c r="D8128" i="7"/>
  <c r="D8127" i="7"/>
  <c r="D8126" i="7"/>
  <c r="D8125" i="7"/>
  <c r="D8124" i="7"/>
  <c r="D8123" i="7"/>
  <c r="D8122" i="7"/>
  <c r="D8121" i="7"/>
  <c r="D8120" i="7"/>
  <c r="D8119" i="7"/>
  <c r="D8118" i="7"/>
  <c r="D8117" i="7"/>
  <c r="D8116" i="7"/>
  <c r="D8115" i="7"/>
  <c r="D8114" i="7"/>
  <c r="D8113" i="7"/>
  <c r="D8112" i="7"/>
  <c r="D8111" i="7"/>
  <c r="D8110" i="7"/>
  <c r="D8109" i="7"/>
  <c r="D8108" i="7"/>
  <c r="D8107" i="7"/>
  <c r="D8106" i="7"/>
  <c r="D8105" i="7"/>
  <c r="D8104" i="7"/>
  <c r="D8103" i="7"/>
  <c r="D8102" i="7"/>
  <c r="D8101" i="7"/>
  <c r="D8100" i="7"/>
  <c r="D8099" i="7"/>
  <c r="D8098" i="7"/>
  <c r="D8097" i="7"/>
  <c r="D8096" i="7"/>
  <c r="D8095" i="7"/>
  <c r="D8094" i="7"/>
  <c r="D8093" i="7"/>
  <c r="D8092" i="7"/>
  <c r="D8091" i="7"/>
  <c r="D8090" i="7"/>
  <c r="D8089" i="7"/>
  <c r="D8088" i="7"/>
  <c r="D8087" i="7"/>
  <c r="D8086" i="7"/>
  <c r="D8085" i="7"/>
  <c r="D8084" i="7"/>
  <c r="D8083" i="7"/>
  <c r="D8082" i="7"/>
  <c r="D8081" i="7"/>
  <c r="D8080" i="7"/>
  <c r="D8079" i="7"/>
  <c r="D8078" i="7"/>
  <c r="D8077" i="7"/>
  <c r="D8076" i="7"/>
  <c r="D8075" i="7"/>
  <c r="D8074" i="7"/>
  <c r="D8073" i="7"/>
  <c r="D8072" i="7"/>
  <c r="D8071" i="7"/>
  <c r="D8070" i="7"/>
  <c r="D8069" i="7"/>
  <c r="D8068" i="7"/>
  <c r="D8067" i="7"/>
  <c r="D8066" i="7"/>
  <c r="D8065" i="7"/>
  <c r="D8064" i="7"/>
  <c r="D8063" i="7"/>
  <c r="D8062" i="7"/>
  <c r="D8061" i="7"/>
  <c r="D8060" i="7"/>
  <c r="D8059" i="7"/>
  <c r="D8058" i="7"/>
  <c r="D8057" i="7"/>
  <c r="D8056" i="7"/>
  <c r="D8055" i="7"/>
  <c r="D8054" i="7"/>
  <c r="D8053" i="7"/>
  <c r="D8052" i="7"/>
  <c r="D8051" i="7"/>
  <c r="D8050" i="7"/>
  <c r="D8049" i="7"/>
  <c r="D8048" i="7"/>
  <c r="D8047" i="7"/>
  <c r="D8046" i="7"/>
  <c r="D8045" i="7"/>
  <c r="D8044" i="7"/>
  <c r="D8043" i="7"/>
  <c r="D8042" i="7"/>
  <c r="D8041" i="7"/>
  <c r="D8040" i="7"/>
  <c r="D8039" i="7"/>
  <c r="D8038" i="7"/>
  <c r="D8037" i="7"/>
  <c r="D8036" i="7"/>
  <c r="D8035" i="7"/>
  <c r="D8034" i="7"/>
  <c r="D8033" i="7"/>
  <c r="D8032" i="7"/>
  <c r="D8031" i="7"/>
  <c r="D8030" i="7"/>
  <c r="D8029" i="7"/>
  <c r="D8028" i="7"/>
  <c r="D8027" i="7"/>
  <c r="D8026" i="7"/>
  <c r="D8025" i="7"/>
  <c r="D8024" i="7"/>
  <c r="D8023" i="7"/>
  <c r="D8022" i="7"/>
  <c r="D8021" i="7"/>
  <c r="D8020" i="7"/>
  <c r="D8019" i="7"/>
  <c r="D8018" i="7"/>
  <c r="D8017" i="7"/>
  <c r="D8016" i="7"/>
  <c r="D8015" i="7"/>
  <c r="D8014" i="7"/>
  <c r="D8013" i="7"/>
  <c r="D8012" i="7"/>
  <c r="D8011" i="7"/>
  <c r="D8010" i="7"/>
  <c r="D8009" i="7"/>
  <c r="D8008" i="7"/>
  <c r="D8007" i="7"/>
  <c r="D8006" i="7"/>
  <c r="D8005" i="7"/>
  <c r="D8004" i="7"/>
  <c r="D8003" i="7"/>
  <c r="D8002" i="7"/>
  <c r="D8001" i="7"/>
  <c r="D8000" i="7"/>
  <c r="D7999" i="7"/>
  <c r="D7998" i="7"/>
  <c r="D7997" i="7"/>
  <c r="D7996" i="7"/>
  <c r="D7995" i="7"/>
  <c r="D7994" i="7"/>
  <c r="D7993" i="7"/>
  <c r="D7992" i="7"/>
  <c r="D7991" i="7"/>
  <c r="D7990" i="7"/>
  <c r="D7989" i="7"/>
  <c r="D7988" i="7"/>
  <c r="D7987" i="7"/>
  <c r="D7986" i="7"/>
  <c r="D7985" i="7"/>
  <c r="D7984" i="7"/>
  <c r="D7983" i="7"/>
  <c r="D7982" i="7"/>
  <c r="D7981" i="7"/>
  <c r="D7980" i="7"/>
  <c r="D7979" i="7"/>
  <c r="D7978" i="7"/>
  <c r="D7977" i="7"/>
  <c r="D7976" i="7"/>
  <c r="D7975" i="7"/>
  <c r="D7974" i="7"/>
  <c r="D7973" i="7"/>
  <c r="D7972" i="7"/>
  <c r="D7971" i="7"/>
  <c r="D7970" i="7"/>
  <c r="D7969" i="7"/>
  <c r="D7968" i="7"/>
  <c r="D7967" i="7"/>
  <c r="D7966" i="7"/>
  <c r="D7965" i="7"/>
  <c r="D7964" i="7"/>
  <c r="D7963" i="7"/>
  <c r="D7962" i="7"/>
  <c r="D7961" i="7"/>
  <c r="D7960" i="7"/>
  <c r="D7959" i="7"/>
  <c r="D7958" i="7"/>
  <c r="D7957" i="7"/>
  <c r="D7956" i="7"/>
  <c r="D7955" i="7"/>
  <c r="D7954" i="7"/>
  <c r="D7953" i="7"/>
  <c r="D7952" i="7"/>
  <c r="D7951" i="7"/>
  <c r="D7950" i="7"/>
  <c r="D7949" i="7"/>
  <c r="D7948" i="7"/>
  <c r="D7947" i="7"/>
  <c r="D7946" i="7"/>
  <c r="D7945" i="7"/>
  <c r="D7944" i="7"/>
  <c r="D7943" i="7"/>
  <c r="D7942" i="7"/>
  <c r="D7941" i="7"/>
  <c r="D7940" i="7"/>
  <c r="D7939" i="7"/>
  <c r="D7938" i="7"/>
  <c r="D7937" i="7"/>
  <c r="D7936" i="7"/>
  <c r="D7935" i="7"/>
  <c r="D7934" i="7"/>
  <c r="D7933" i="7"/>
  <c r="D7932" i="7"/>
  <c r="D7931" i="7"/>
  <c r="D7930" i="7"/>
  <c r="D7929" i="7"/>
  <c r="D7928" i="7"/>
  <c r="D7927" i="7"/>
  <c r="D7926" i="7"/>
  <c r="D7925" i="7"/>
  <c r="D7924" i="7"/>
  <c r="D7923" i="7"/>
  <c r="D7922" i="7"/>
  <c r="D7921" i="7"/>
  <c r="D7920" i="7"/>
  <c r="D7919" i="7"/>
  <c r="D7918" i="7"/>
  <c r="D7917" i="7"/>
  <c r="D7916" i="7"/>
  <c r="D7915" i="7"/>
  <c r="D7914" i="7"/>
  <c r="D7913" i="7"/>
  <c r="D7912" i="7"/>
  <c r="D7911" i="7"/>
  <c r="D7910" i="7"/>
  <c r="D7909" i="7"/>
  <c r="D7908" i="7"/>
  <c r="D7907" i="7"/>
  <c r="D7906" i="7"/>
  <c r="D7905" i="7"/>
  <c r="D7904" i="7"/>
  <c r="D7903" i="7"/>
  <c r="D7902" i="7"/>
  <c r="D7901" i="7"/>
  <c r="D7900" i="7"/>
  <c r="D7899" i="7"/>
  <c r="D7898" i="7"/>
  <c r="D7897" i="7"/>
  <c r="D7896" i="7"/>
  <c r="D7895" i="7"/>
  <c r="D7894" i="7"/>
  <c r="D7893" i="7"/>
  <c r="D7892" i="7"/>
  <c r="D7891" i="7"/>
  <c r="D7890" i="7"/>
  <c r="D7889" i="7"/>
  <c r="D7888" i="7"/>
  <c r="D7887" i="7"/>
  <c r="D7886" i="7"/>
  <c r="D7885" i="7"/>
  <c r="D7884" i="7"/>
  <c r="D7883" i="7"/>
  <c r="D7882" i="7"/>
  <c r="D7881" i="7"/>
  <c r="D7880" i="7"/>
  <c r="D7879" i="7"/>
  <c r="D7878" i="7"/>
  <c r="D7877" i="7"/>
  <c r="D7876" i="7"/>
  <c r="D7875" i="7"/>
  <c r="D7874" i="7"/>
  <c r="D7873" i="7"/>
  <c r="D7872" i="7"/>
  <c r="D7871" i="7"/>
  <c r="D7870" i="7"/>
  <c r="D7869" i="7"/>
  <c r="D7868" i="7"/>
  <c r="D7867" i="7"/>
  <c r="D7866" i="7"/>
  <c r="D7865" i="7"/>
  <c r="D7864" i="7"/>
  <c r="D7863" i="7"/>
  <c r="D7862" i="7"/>
  <c r="D7861" i="7"/>
  <c r="D7860" i="7"/>
  <c r="D7859" i="7"/>
  <c r="D7858" i="7"/>
  <c r="D7857" i="7"/>
  <c r="D7856" i="7"/>
  <c r="D7855" i="7"/>
  <c r="D7854" i="7"/>
  <c r="D7853" i="7"/>
  <c r="D7852" i="7"/>
  <c r="D7851" i="7"/>
  <c r="D7850" i="7"/>
  <c r="D7849" i="7"/>
  <c r="D7848" i="7"/>
  <c r="D7847" i="7"/>
  <c r="D7846" i="7"/>
  <c r="D7845" i="7"/>
  <c r="D7844" i="7"/>
  <c r="D7843" i="7"/>
  <c r="D7842" i="7"/>
  <c r="D7841" i="7"/>
  <c r="D7840" i="7"/>
  <c r="D7839" i="7"/>
  <c r="D7838" i="7"/>
  <c r="D7837" i="7"/>
  <c r="D7836" i="7"/>
  <c r="D7835" i="7"/>
  <c r="D7834" i="7"/>
  <c r="D7833" i="7"/>
  <c r="D7832" i="7"/>
  <c r="D7831" i="7"/>
  <c r="D7830" i="7"/>
  <c r="D7829" i="7"/>
  <c r="D7828" i="7"/>
  <c r="D7827" i="7"/>
  <c r="D7826" i="7"/>
  <c r="D7825" i="7"/>
  <c r="D7824" i="7"/>
  <c r="D7823" i="7"/>
  <c r="D7822" i="7"/>
  <c r="D7821" i="7"/>
  <c r="D7820" i="7"/>
  <c r="D7819" i="7"/>
  <c r="D7818" i="7"/>
  <c r="D7817" i="7"/>
  <c r="D7816" i="7"/>
  <c r="D7815" i="7"/>
  <c r="D7814" i="7"/>
  <c r="D7813" i="7"/>
  <c r="D7812" i="7"/>
  <c r="D7811" i="7"/>
  <c r="D7810" i="7"/>
  <c r="D7809" i="7"/>
  <c r="D7808" i="7"/>
  <c r="D7807" i="7"/>
  <c r="D7806" i="7"/>
  <c r="D7805" i="7"/>
  <c r="D7804" i="7"/>
  <c r="D7803" i="7"/>
  <c r="D7802" i="7"/>
  <c r="D7801" i="7"/>
  <c r="D7800" i="7"/>
  <c r="D7799" i="7"/>
  <c r="D7798" i="7"/>
  <c r="D7797" i="7"/>
  <c r="D7796" i="7"/>
  <c r="D7795" i="7"/>
  <c r="D7794" i="7"/>
  <c r="D7793" i="7"/>
  <c r="D7792" i="7"/>
  <c r="D7791" i="7"/>
  <c r="D7790" i="7"/>
  <c r="D7789" i="7"/>
  <c r="D7788" i="7"/>
  <c r="D7787" i="7"/>
  <c r="D7786" i="7"/>
  <c r="D7785" i="7"/>
  <c r="D7784" i="7"/>
  <c r="D7783" i="7"/>
  <c r="D7782" i="7"/>
  <c r="D7781" i="7"/>
  <c r="D7780" i="7"/>
  <c r="D7779" i="7"/>
  <c r="D7778" i="7"/>
  <c r="D7777" i="7"/>
  <c r="D7776" i="7"/>
  <c r="D7775" i="7"/>
  <c r="D7774" i="7"/>
  <c r="D7773" i="7"/>
  <c r="D7772" i="7"/>
  <c r="D7771" i="7"/>
  <c r="D7770" i="7"/>
  <c r="D7769" i="7"/>
  <c r="D7768" i="7"/>
  <c r="D7767" i="7"/>
  <c r="D7766" i="7"/>
  <c r="D7765" i="7"/>
  <c r="D7764" i="7"/>
  <c r="D7763" i="7"/>
  <c r="D7762" i="7"/>
  <c r="D7761" i="7"/>
  <c r="D7760" i="7"/>
  <c r="D7759" i="7"/>
  <c r="D7758" i="7"/>
  <c r="D7757" i="7"/>
  <c r="D7756" i="7"/>
  <c r="D7755" i="7"/>
  <c r="D7754" i="7"/>
  <c r="D7753" i="7"/>
  <c r="D7752" i="7"/>
  <c r="D7751" i="7"/>
  <c r="D7750" i="7"/>
  <c r="D7749" i="7"/>
  <c r="D7748" i="7"/>
  <c r="D7747" i="7"/>
  <c r="D7746" i="7"/>
  <c r="D7745" i="7"/>
  <c r="D7744" i="7"/>
  <c r="D7743" i="7"/>
  <c r="D7742" i="7"/>
  <c r="D7741" i="7"/>
  <c r="D7740" i="7"/>
  <c r="D7739" i="7"/>
  <c r="D7738" i="7"/>
  <c r="D7737" i="7"/>
  <c r="D7736" i="7"/>
  <c r="D7735" i="7"/>
  <c r="D7734" i="7"/>
  <c r="D7733" i="7"/>
  <c r="D7732" i="7"/>
  <c r="D7731" i="7"/>
  <c r="D7730" i="7"/>
  <c r="D7729" i="7"/>
  <c r="D7728" i="7"/>
  <c r="D7727" i="7"/>
  <c r="D7726" i="7"/>
  <c r="D7725" i="7"/>
  <c r="D7724" i="7"/>
  <c r="D7723" i="7"/>
  <c r="D7722" i="7"/>
  <c r="D7721" i="7"/>
  <c r="D7720" i="7"/>
  <c r="D7719" i="7"/>
  <c r="D7718" i="7"/>
  <c r="D7717" i="7"/>
  <c r="D7716" i="7"/>
  <c r="D7715" i="7"/>
  <c r="D7714" i="7"/>
  <c r="D7713" i="7"/>
  <c r="D7712" i="7"/>
  <c r="D7711" i="7"/>
  <c r="D7710" i="7"/>
  <c r="D7709" i="7"/>
  <c r="D7708" i="7"/>
  <c r="D7707" i="7"/>
  <c r="D7706" i="7"/>
  <c r="D7705" i="7"/>
  <c r="D7704" i="7"/>
  <c r="D7703" i="7"/>
  <c r="D7702" i="7"/>
  <c r="D7701" i="7"/>
  <c r="D7700" i="7"/>
  <c r="D7699" i="7"/>
  <c r="D7698" i="7"/>
  <c r="D7697" i="7"/>
  <c r="D7696" i="7"/>
  <c r="D7695" i="7"/>
  <c r="D7694" i="7"/>
  <c r="D7693" i="7"/>
  <c r="D7692" i="7"/>
  <c r="D7691" i="7"/>
  <c r="D7690" i="7"/>
  <c r="D7689" i="7"/>
  <c r="D7688" i="7"/>
  <c r="D7687" i="7"/>
  <c r="D7686" i="7"/>
  <c r="D7685" i="7"/>
  <c r="D7684" i="7"/>
  <c r="D7683" i="7"/>
  <c r="D7682" i="7"/>
  <c r="D7681" i="7"/>
  <c r="D7680" i="7"/>
  <c r="D7679" i="7"/>
  <c r="D7678" i="7"/>
  <c r="D7677" i="7"/>
  <c r="D7676" i="7"/>
  <c r="D7675" i="7"/>
  <c r="D7674" i="7"/>
  <c r="D7673" i="7"/>
  <c r="D7672" i="7"/>
  <c r="D7671" i="7"/>
  <c r="D7670" i="7"/>
  <c r="D7669" i="7"/>
  <c r="D7668" i="7"/>
  <c r="D7667" i="7"/>
  <c r="D7666" i="7"/>
  <c r="D7665" i="7"/>
  <c r="D7664" i="7"/>
  <c r="D7663" i="7"/>
  <c r="D7662" i="7"/>
  <c r="D7661" i="7"/>
  <c r="D7660" i="7"/>
  <c r="D7659" i="7"/>
  <c r="D7658" i="7"/>
  <c r="D7657" i="7"/>
  <c r="D7656" i="7"/>
  <c r="D7655" i="7"/>
  <c r="D7654" i="7"/>
  <c r="D7653" i="7"/>
  <c r="D7652" i="7"/>
  <c r="D7651" i="7"/>
  <c r="D7650" i="7"/>
  <c r="D7649" i="7"/>
  <c r="D7648" i="7"/>
  <c r="D7647" i="7"/>
  <c r="D7646" i="7"/>
  <c r="D7645" i="7"/>
  <c r="D7644" i="7"/>
  <c r="D7643" i="7"/>
  <c r="D7642" i="7"/>
  <c r="D7641" i="7"/>
  <c r="D7640" i="7"/>
  <c r="D7639" i="7"/>
  <c r="D7638" i="7"/>
  <c r="D7637" i="7"/>
  <c r="D7636" i="7"/>
  <c r="D7635" i="7"/>
  <c r="D7634" i="7"/>
  <c r="D7633" i="7"/>
  <c r="D7632" i="7"/>
  <c r="D7631" i="7"/>
  <c r="D7630" i="7"/>
  <c r="D7629" i="7"/>
  <c r="D7628" i="7"/>
  <c r="D7627" i="7"/>
  <c r="D7626" i="7"/>
  <c r="D7625" i="7"/>
  <c r="D7624" i="7"/>
  <c r="D7623" i="7"/>
  <c r="D7622" i="7"/>
  <c r="D7621" i="7"/>
  <c r="D7620" i="7"/>
  <c r="D7619" i="7"/>
  <c r="D7618" i="7"/>
  <c r="D7617" i="7"/>
  <c r="D7616" i="7"/>
  <c r="D7615" i="7"/>
  <c r="D7614" i="7"/>
  <c r="D7613" i="7"/>
  <c r="D7612" i="7"/>
  <c r="D7611" i="7"/>
  <c r="D7610" i="7"/>
  <c r="D7609" i="7"/>
  <c r="D7608" i="7"/>
  <c r="D7607" i="7"/>
  <c r="D7606" i="7"/>
  <c r="D7605" i="7"/>
  <c r="D7604" i="7"/>
  <c r="D7603" i="7"/>
  <c r="D7602" i="7"/>
  <c r="D7601" i="7"/>
  <c r="D7600" i="7"/>
  <c r="D7599" i="7"/>
  <c r="D7598" i="7"/>
  <c r="D7597" i="7"/>
  <c r="D7596" i="7"/>
  <c r="D7595" i="7"/>
  <c r="D7594" i="7"/>
  <c r="D7593" i="7"/>
  <c r="D7592" i="7"/>
  <c r="D7591" i="7"/>
  <c r="D7590" i="7"/>
  <c r="D7589" i="7"/>
  <c r="D7588" i="7"/>
  <c r="D7587" i="7"/>
  <c r="D7586" i="7"/>
  <c r="D7585" i="7"/>
  <c r="D7584" i="7"/>
  <c r="D7583" i="7"/>
  <c r="D7582" i="7"/>
  <c r="D7581" i="7"/>
  <c r="D7580" i="7"/>
  <c r="D7579" i="7"/>
  <c r="D7578" i="7"/>
  <c r="D7577" i="7"/>
  <c r="D7576" i="7"/>
  <c r="D7575" i="7"/>
  <c r="D7574" i="7"/>
  <c r="D7573" i="7"/>
  <c r="D7572" i="7"/>
  <c r="D7571" i="7"/>
  <c r="D7570" i="7"/>
  <c r="D7569" i="7"/>
  <c r="D7568" i="7"/>
  <c r="D7567" i="7"/>
  <c r="D7566" i="7"/>
  <c r="D7565" i="7"/>
  <c r="D7564" i="7"/>
  <c r="D7563" i="7"/>
  <c r="D7562" i="7"/>
  <c r="D7561" i="7"/>
  <c r="D7560" i="7"/>
  <c r="D7559" i="7"/>
  <c r="D7558" i="7"/>
  <c r="D7557" i="7"/>
  <c r="D7556" i="7"/>
  <c r="D7555" i="7"/>
  <c r="D7554" i="7"/>
  <c r="D7553" i="7"/>
  <c r="D7552" i="7"/>
  <c r="D7551" i="7"/>
  <c r="D7550" i="7"/>
  <c r="D7549" i="7"/>
  <c r="D7548" i="7"/>
  <c r="D7547" i="7"/>
  <c r="D7546" i="7"/>
  <c r="D7545" i="7"/>
  <c r="D7544" i="7"/>
  <c r="D7543" i="7"/>
  <c r="D7542" i="7"/>
  <c r="D7541" i="7"/>
  <c r="D7540" i="7"/>
  <c r="D7539" i="7"/>
  <c r="D7538" i="7"/>
  <c r="D7537" i="7"/>
  <c r="D7536" i="7"/>
  <c r="D7535" i="7"/>
  <c r="D7534" i="7"/>
  <c r="D7533" i="7"/>
  <c r="D7532" i="7"/>
  <c r="D7531" i="7"/>
  <c r="D7530" i="7"/>
  <c r="D7529" i="7"/>
  <c r="D7528" i="7"/>
  <c r="D7527" i="7"/>
  <c r="D7526" i="7"/>
  <c r="D7525" i="7"/>
  <c r="D7524" i="7"/>
  <c r="D7523" i="7"/>
  <c r="D7522" i="7"/>
  <c r="D7521" i="7"/>
  <c r="D7520" i="7"/>
  <c r="D7519" i="7"/>
  <c r="D7518" i="7"/>
  <c r="D7517" i="7"/>
  <c r="D7516" i="7"/>
  <c r="D7515" i="7"/>
  <c r="D7514" i="7"/>
  <c r="D7513" i="7"/>
  <c r="D7512" i="7"/>
  <c r="D7511" i="7"/>
  <c r="D7510" i="7"/>
  <c r="D7509" i="7"/>
  <c r="D7508" i="7"/>
  <c r="D7507" i="7"/>
  <c r="D7506" i="7"/>
  <c r="D7505" i="7"/>
  <c r="D7504" i="7"/>
  <c r="D7503" i="7"/>
  <c r="D7502" i="7"/>
  <c r="D7501" i="7"/>
  <c r="D7500" i="7"/>
  <c r="D7499" i="7"/>
  <c r="D7498" i="7"/>
  <c r="D7497" i="7"/>
  <c r="D7496" i="7"/>
  <c r="D7495" i="7"/>
  <c r="D7494" i="7"/>
  <c r="D7493" i="7"/>
  <c r="D7492" i="7"/>
  <c r="D7491" i="7"/>
  <c r="D7490" i="7"/>
  <c r="D7489" i="7"/>
  <c r="D7488" i="7"/>
  <c r="D7487" i="7"/>
  <c r="D7486" i="7"/>
  <c r="D7485" i="7"/>
  <c r="D7484" i="7"/>
  <c r="D7483" i="7"/>
  <c r="D7482" i="7"/>
  <c r="D7481" i="7"/>
  <c r="D7480" i="7"/>
  <c r="D7479" i="7"/>
  <c r="D7478" i="7"/>
  <c r="D7477" i="7"/>
  <c r="D7476" i="7"/>
  <c r="D7475" i="7"/>
  <c r="D7474" i="7"/>
  <c r="D7473" i="7"/>
  <c r="D7472" i="7"/>
  <c r="D7471" i="7"/>
  <c r="D7470" i="7"/>
  <c r="D7469" i="7"/>
  <c r="D7468" i="7"/>
  <c r="D7467" i="7"/>
  <c r="D7466" i="7"/>
  <c r="D7465" i="7"/>
  <c r="D7464" i="7"/>
  <c r="D7463" i="7"/>
  <c r="D7462" i="7"/>
  <c r="D7461" i="7"/>
  <c r="D7460" i="7"/>
  <c r="D7459" i="7"/>
  <c r="D7458" i="7"/>
  <c r="D7457" i="7"/>
  <c r="D7456" i="7"/>
  <c r="D7455" i="7"/>
  <c r="D7454" i="7"/>
  <c r="D7453" i="7"/>
  <c r="D7452" i="7"/>
  <c r="D7451" i="7"/>
  <c r="D7450" i="7"/>
  <c r="D7449" i="7"/>
  <c r="D7448" i="7"/>
  <c r="D7447" i="7"/>
  <c r="D7446" i="7"/>
  <c r="D7445" i="7"/>
  <c r="D7444" i="7"/>
  <c r="D7443" i="7"/>
  <c r="D7442" i="7"/>
  <c r="D7441" i="7"/>
  <c r="D7440" i="7"/>
  <c r="D7439" i="7"/>
  <c r="D7438" i="7"/>
  <c r="D7437" i="7"/>
  <c r="D7436" i="7"/>
  <c r="D7435" i="7"/>
  <c r="D7434" i="7"/>
  <c r="D7433" i="7"/>
  <c r="D7432" i="7"/>
  <c r="D7431" i="7"/>
  <c r="D7430" i="7"/>
  <c r="D7429" i="7"/>
  <c r="D7428" i="7"/>
  <c r="D7427" i="7"/>
  <c r="D7426" i="7"/>
  <c r="D7425" i="7"/>
  <c r="D7424" i="7"/>
  <c r="D7423" i="7"/>
  <c r="D7422" i="7"/>
  <c r="D7421" i="7"/>
  <c r="D7420" i="7"/>
  <c r="D7419" i="7"/>
  <c r="D7418" i="7"/>
  <c r="D7417" i="7"/>
  <c r="D7416" i="7"/>
  <c r="D7415" i="7"/>
  <c r="D7414" i="7"/>
  <c r="D7413" i="7"/>
  <c r="D7412" i="7"/>
  <c r="D7411" i="7"/>
  <c r="D7410" i="7"/>
  <c r="D7409" i="7"/>
  <c r="D7408" i="7"/>
  <c r="D7407" i="7"/>
  <c r="D7406" i="7"/>
  <c r="D7405" i="7"/>
  <c r="D7404" i="7"/>
  <c r="D7403" i="7"/>
  <c r="D7402" i="7"/>
  <c r="D7401" i="7"/>
  <c r="D7400" i="7"/>
  <c r="D7399" i="7"/>
  <c r="D7398" i="7"/>
  <c r="D7397" i="7"/>
  <c r="D7396" i="7"/>
  <c r="D7395" i="7"/>
  <c r="D7394" i="7"/>
  <c r="D7393" i="7"/>
  <c r="D7392" i="7"/>
  <c r="D7391" i="7"/>
  <c r="D7390" i="7"/>
  <c r="D7389" i="7"/>
  <c r="D7388" i="7"/>
  <c r="D7387" i="7"/>
  <c r="D7386" i="7"/>
  <c r="D7385" i="7"/>
  <c r="D7384" i="7"/>
  <c r="D7383" i="7"/>
  <c r="D7382" i="7"/>
  <c r="D7381" i="7"/>
  <c r="D7380" i="7"/>
  <c r="D7379" i="7"/>
  <c r="D7378" i="7"/>
  <c r="D7377" i="7"/>
  <c r="D7376" i="7"/>
  <c r="D7375" i="7"/>
  <c r="D7374" i="7"/>
  <c r="D7373" i="7"/>
  <c r="D7372" i="7"/>
  <c r="D7371" i="7"/>
  <c r="D7370" i="7"/>
  <c r="D7369" i="7"/>
  <c r="D7368" i="7"/>
  <c r="D7367" i="7"/>
  <c r="D7366" i="7"/>
  <c r="D7365" i="7"/>
  <c r="D7364" i="7"/>
  <c r="D7363" i="7"/>
  <c r="D7362" i="7"/>
  <c r="D7361" i="7"/>
  <c r="D7360" i="7"/>
  <c r="D7359" i="7"/>
  <c r="D7358" i="7"/>
  <c r="D7357" i="7"/>
  <c r="D7356" i="7"/>
  <c r="D7355" i="7"/>
  <c r="D7354" i="7"/>
  <c r="D7353" i="7"/>
  <c r="D7352" i="7"/>
  <c r="D7351" i="7"/>
  <c r="D7350" i="7"/>
  <c r="D7349" i="7"/>
  <c r="D7348" i="7"/>
  <c r="D7347" i="7"/>
  <c r="D7346" i="7"/>
  <c r="D7345" i="7"/>
  <c r="D7344" i="7"/>
  <c r="D7343" i="7"/>
  <c r="D7342" i="7"/>
  <c r="D7341" i="7"/>
  <c r="D7340" i="7"/>
  <c r="D7339" i="7"/>
  <c r="D7338" i="7"/>
  <c r="D7337" i="7"/>
  <c r="D7336" i="7"/>
  <c r="D7335" i="7"/>
  <c r="D7334" i="7"/>
  <c r="D7333" i="7"/>
  <c r="D7332" i="7"/>
  <c r="D7331" i="7"/>
  <c r="D7330" i="7"/>
  <c r="D7329" i="7"/>
  <c r="D7328" i="7"/>
  <c r="D7327" i="7"/>
  <c r="D7326" i="7"/>
  <c r="D7325" i="7"/>
  <c r="D7324" i="7"/>
  <c r="D7323" i="7"/>
  <c r="D7322" i="7"/>
  <c r="D7321" i="7"/>
  <c r="D7320" i="7"/>
  <c r="D7319" i="7"/>
  <c r="D7318" i="7"/>
  <c r="D7317" i="7"/>
  <c r="D7316" i="7"/>
  <c r="D7315" i="7"/>
  <c r="D7314" i="7"/>
  <c r="D7313" i="7"/>
  <c r="D7312" i="7"/>
  <c r="D7311" i="7"/>
  <c r="D7310" i="7"/>
  <c r="D7309" i="7"/>
  <c r="D7308" i="7"/>
  <c r="D7307" i="7"/>
  <c r="D7306" i="7"/>
  <c r="D7305" i="7"/>
  <c r="D7304" i="7"/>
  <c r="D7303" i="7"/>
  <c r="D7302" i="7"/>
  <c r="D7301" i="7"/>
  <c r="D7300" i="7"/>
  <c r="D7299" i="7"/>
  <c r="D7298" i="7"/>
  <c r="D7297" i="7"/>
  <c r="D7296" i="7"/>
  <c r="D7295" i="7"/>
  <c r="D7294" i="7"/>
  <c r="D7293" i="7"/>
  <c r="D7292" i="7"/>
  <c r="D7291" i="7"/>
  <c r="D7290" i="7"/>
  <c r="D7289" i="7"/>
  <c r="D7288" i="7"/>
  <c r="D7287" i="7"/>
  <c r="D7286" i="7"/>
  <c r="D7285" i="7"/>
  <c r="D7284" i="7"/>
  <c r="D7283" i="7"/>
  <c r="D7282" i="7"/>
  <c r="D7281" i="7"/>
  <c r="D7280" i="7"/>
  <c r="D7279" i="7"/>
  <c r="D7278" i="7"/>
  <c r="D7277" i="7"/>
  <c r="D7276" i="7"/>
  <c r="D7275" i="7"/>
  <c r="D7274" i="7"/>
  <c r="D7273" i="7"/>
  <c r="D7272" i="7"/>
  <c r="D7271" i="7"/>
  <c r="D7270" i="7"/>
  <c r="D7269" i="7"/>
  <c r="D7268" i="7"/>
  <c r="D7267" i="7"/>
  <c r="D7266" i="7"/>
  <c r="D7265" i="7"/>
  <c r="D7264" i="7"/>
  <c r="D7263" i="7"/>
  <c r="D7262" i="7"/>
  <c r="D7261" i="7"/>
  <c r="D7260" i="7"/>
  <c r="D7259" i="7"/>
  <c r="D7258" i="7"/>
  <c r="D7257" i="7"/>
  <c r="D7256" i="7"/>
  <c r="D7255" i="7"/>
  <c r="D7254" i="7"/>
  <c r="D7253" i="7"/>
  <c r="D7252" i="7"/>
  <c r="D7251" i="7"/>
  <c r="D7250" i="7"/>
  <c r="D7249" i="7"/>
  <c r="D7248" i="7"/>
  <c r="D7247" i="7"/>
  <c r="D7246" i="7"/>
  <c r="D7245" i="7"/>
  <c r="D7244" i="7"/>
  <c r="D7243" i="7"/>
  <c r="D7242" i="7"/>
  <c r="D7241" i="7"/>
  <c r="D7240" i="7"/>
  <c r="D7239" i="7"/>
  <c r="D7238" i="7"/>
  <c r="D7237" i="7"/>
  <c r="D7236" i="7"/>
  <c r="D7235" i="7"/>
  <c r="D7234" i="7"/>
  <c r="D7233" i="7"/>
  <c r="D7232" i="7"/>
  <c r="D7231" i="7"/>
  <c r="D7230" i="7"/>
  <c r="D7229" i="7"/>
  <c r="D7228" i="7"/>
  <c r="D7227" i="7"/>
  <c r="D7226" i="7"/>
  <c r="D7225" i="7"/>
  <c r="D7224" i="7"/>
  <c r="D7223" i="7"/>
  <c r="D7222" i="7"/>
  <c r="D7221" i="7"/>
  <c r="D7220" i="7"/>
  <c r="D7219" i="7"/>
  <c r="D7218" i="7"/>
  <c r="D7217" i="7"/>
  <c r="D7216" i="7"/>
  <c r="D7215" i="7"/>
  <c r="D7214" i="7"/>
  <c r="D7213" i="7"/>
  <c r="D7212" i="7"/>
  <c r="D7211" i="7"/>
  <c r="D7210" i="7"/>
  <c r="D7209" i="7"/>
  <c r="D7208" i="7"/>
  <c r="D7207" i="7"/>
  <c r="D7206" i="7"/>
  <c r="D7205" i="7"/>
  <c r="D7204" i="7"/>
  <c r="D7203" i="7"/>
  <c r="D7202" i="7"/>
  <c r="D7201" i="7"/>
  <c r="D7200" i="7"/>
  <c r="D7199" i="7"/>
  <c r="D7198" i="7"/>
  <c r="D7197" i="7"/>
  <c r="D7196" i="7"/>
  <c r="D7195" i="7"/>
  <c r="D7194" i="7"/>
  <c r="D7193" i="7"/>
  <c r="D7192" i="7"/>
  <c r="D7191" i="7"/>
  <c r="D7190" i="7"/>
  <c r="D7189" i="7"/>
  <c r="D7188" i="7"/>
  <c r="D7187" i="7"/>
  <c r="D7186" i="7"/>
  <c r="D7185" i="7"/>
  <c r="D7184" i="7"/>
  <c r="D7183" i="7"/>
  <c r="D7182" i="7"/>
  <c r="D7181" i="7"/>
  <c r="D7180" i="7"/>
  <c r="D7179" i="7"/>
  <c r="D7178" i="7"/>
  <c r="D7177" i="7"/>
  <c r="D7176" i="7"/>
  <c r="D7175" i="7"/>
  <c r="D7174" i="7"/>
  <c r="D7173" i="7"/>
  <c r="D7172" i="7"/>
  <c r="D7171" i="7"/>
  <c r="D7170" i="7"/>
  <c r="D7169" i="7"/>
  <c r="D7168" i="7"/>
  <c r="D7167" i="7"/>
  <c r="D7166" i="7"/>
  <c r="D7165" i="7"/>
  <c r="D7164" i="7"/>
  <c r="D7163" i="7"/>
  <c r="D7162" i="7"/>
  <c r="D7161" i="7"/>
  <c r="D7160" i="7"/>
  <c r="D7159" i="7"/>
  <c r="D7158" i="7"/>
  <c r="D7157" i="7"/>
  <c r="D7156" i="7"/>
  <c r="D7155" i="7"/>
  <c r="D7154" i="7"/>
  <c r="D7153" i="7"/>
  <c r="D7152" i="7"/>
  <c r="D7151" i="7"/>
  <c r="D7150" i="7"/>
  <c r="D7149" i="7"/>
  <c r="D7148" i="7"/>
  <c r="D7147" i="7"/>
  <c r="D7146" i="7"/>
  <c r="D7145" i="7"/>
  <c r="D7144" i="7"/>
  <c r="D7143" i="7"/>
  <c r="D7142" i="7"/>
  <c r="D7141" i="7"/>
  <c r="D7140" i="7"/>
  <c r="D7139" i="7"/>
  <c r="D7138" i="7"/>
  <c r="D7137" i="7"/>
  <c r="D7136" i="7"/>
  <c r="D7135" i="7"/>
  <c r="D7134" i="7"/>
  <c r="D7133" i="7"/>
  <c r="D7132" i="7"/>
  <c r="D7131" i="7"/>
  <c r="D7130" i="7"/>
  <c r="D7129" i="7"/>
  <c r="D7128" i="7"/>
  <c r="D7127" i="7"/>
  <c r="D7126" i="7"/>
  <c r="D7125" i="7"/>
  <c r="D7124" i="7"/>
  <c r="D7123" i="7"/>
  <c r="D7122" i="7"/>
  <c r="D7121" i="7"/>
  <c r="D7120" i="7"/>
  <c r="D7119" i="7"/>
  <c r="D7118" i="7"/>
  <c r="D7117" i="7"/>
  <c r="D7116" i="7"/>
  <c r="D7115" i="7"/>
  <c r="D7114" i="7"/>
  <c r="D7113" i="7"/>
  <c r="D7112" i="7"/>
  <c r="D7111" i="7"/>
  <c r="D7110" i="7"/>
  <c r="D7109" i="7"/>
  <c r="D7108" i="7"/>
  <c r="D7107" i="7"/>
  <c r="D7106" i="7"/>
  <c r="D7105" i="7"/>
  <c r="D7104" i="7"/>
  <c r="D7103" i="7"/>
  <c r="D7102" i="7"/>
  <c r="D7101" i="7"/>
  <c r="D7100" i="7"/>
  <c r="D7099" i="7"/>
  <c r="D7098" i="7"/>
  <c r="D7097" i="7"/>
  <c r="D7096" i="7"/>
  <c r="D7095" i="7"/>
  <c r="D7094" i="7"/>
  <c r="D7093" i="7"/>
  <c r="D7092" i="7"/>
  <c r="D7091" i="7"/>
  <c r="D7090" i="7"/>
  <c r="D7089" i="7"/>
  <c r="D7088" i="7"/>
  <c r="D7087" i="7"/>
  <c r="D7086" i="7"/>
  <c r="D7085" i="7"/>
  <c r="D7084" i="7"/>
  <c r="D7083" i="7"/>
  <c r="D7082" i="7"/>
  <c r="D7081" i="7"/>
  <c r="D7080" i="7"/>
  <c r="D7079" i="7"/>
  <c r="D7078" i="7"/>
  <c r="D7077" i="7"/>
  <c r="D7076" i="7"/>
  <c r="D7075" i="7"/>
  <c r="D7074" i="7"/>
  <c r="D7073" i="7"/>
  <c r="D7072" i="7"/>
  <c r="D7071" i="7"/>
  <c r="D7070" i="7"/>
  <c r="D7069" i="7"/>
  <c r="D7068" i="7"/>
  <c r="D7067" i="7"/>
  <c r="D7066" i="7"/>
  <c r="D7065" i="7"/>
  <c r="D7064" i="7"/>
  <c r="D7063" i="7"/>
  <c r="D7062" i="7"/>
  <c r="D7061" i="7"/>
  <c r="D7060" i="7"/>
  <c r="D7059" i="7"/>
  <c r="D7058" i="7"/>
  <c r="D7057" i="7"/>
  <c r="D7056" i="7"/>
  <c r="D7055" i="7"/>
  <c r="D7054" i="7"/>
  <c r="D7053" i="7"/>
  <c r="D7052" i="7"/>
  <c r="D7051" i="7"/>
  <c r="D7050" i="7"/>
  <c r="D7049" i="7"/>
  <c r="D7048" i="7"/>
  <c r="D7047" i="7"/>
  <c r="D7046" i="7"/>
  <c r="D7045" i="7"/>
  <c r="D7044" i="7"/>
  <c r="D7043" i="7"/>
  <c r="D7042" i="7"/>
  <c r="D7041" i="7"/>
  <c r="D7040" i="7"/>
  <c r="D7039" i="7"/>
  <c r="D7038" i="7"/>
  <c r="D7037" i="7"/>
  <c r="D7036" i="7"/>
  <c r="D7035" i="7"/>
  <c r="D7034" i="7"/>
  <c r="D7033" i="7"/>
  <c r="D7032" i="7"/>
  <c r="D7031" i="7"/>
  <c r="D7030" i="7"/>
  <c r="D7029" i="7"/>
  <c r="D7028" i="7"/>
  <c r="D7027" i="7"/>
  <c r="D7026" i="7"/>
  <c r="D7025" i="7"/>
  <c r="D7024" i="7"/>
  <c r="D7023" i="7"/>
  <c r="D7022" i="7"/>
  <c r="D7021" i="7"/>
  <c r="D7020" i="7"/>
  <c r="D7019" i="7"/>
  <c r="D7018" i="7"/>
  <c r="D7017" i="7"/>
  <c r="D7016" i="7"/>
  <c r="D7015" i="7"/>
  <c r="D7014" i="7"/>
  <c r="D7013" i="7"/>
  <c r="D7012" i="7"/>
  <c r="D7011" i="7"/>
  <c r="D7010" i="7"/>
  <c r="D7009" i="7"/>
  <c r="D7008" i="7"/>
  <c r="D7007" i="7"/>
  <c r="D7006" i="7"/>
  <c r="D7005" i="7"/>
  <c r="D7004" i="7"/>
  <c r="D7003" i="7"/>
  <c r="D7002" i="7"/>
  <c r="D7001" i="7"/>
  <c r="D7000" i="7"/>
  <c r="D6999" i="7"/>
  <c r="D6998" i="7"/>
  <c r="D6997" i="7"/>
  <c r="D6996" i="7"/>
  <c r="D6995" i="7"/>
  <c r="D6994" i="7"/>
  <c r="D6993" i="7"/>
  <c r="D6992" i="7"/>
  <c r="D6991" i="7"/>
  <c r="D6990" i="7"/>
  <c r="D6989" i="7"/>
  <c r="D6988" i="7"/>
  <c r="D6987" i="7"/>
  <c r="D6986" i="7"/>
  <c r="D6985" i="7"/>
  <c r="D6984" i="7"/>
  <c r="D6983" i="7"/>
  <c r="D6982" i="7"/>
  <c r="D6981" i="7"/>
  <c r="D6980" i="7"/>
  <c r="D6979" i="7"/>
  <c r="D6978" i="7"/>
  <c r="D6977" i="7"/>
  <c r="D6976" i="7"/>
  <c r="D6975" i="7"/>
  <c r="D6974" i="7"/>
  <c r="D6973" i="7"/>
  <c r="D6972" i="7"/>
  <c r="D6971" i="7"/>
  <c r="D6970" i="7"/>
  <c r="D6969" i="7"/>
  <c r="D6968" i="7"/>
  <c r="D6967" i="7"/>
  <c r="D6966" i="7"/>
  <c r="D6965" i="7"/>
  <c r="D6964" i="7"/>
  <c r="D6963" i="7"/>
  <c r="D6962" i="7"/>
  <c r="D6961" i="7"/>
  <c r="D6960" i="7"/>
  <c r="D6959" i="7"/>
  <c r="D6958" i="7"/>
  <c r="D6957" i="7"/>
  <c r="D6956" i="7"/>
  <c r="D6955" i="7"/>
  <c r="D6954" i="7"/>
  <c r="D6953" i="7"/>
  <c r="D6952" i="7"/>
  <c r="D6951" i="7"/>
  <c r="D6950" i="7"/>
  <c r="D6949" i="7"/>
  <c r="D6948" i="7"/>
  <c r="D6947" i="7"/>
  <c r="D6946" i="7"/>
  <c r="D6945" i="7"/>
  <c r="D6944" i="7"/>
  <c r="D6943" i="7"/>
  <c r="D6942" i="7"/>
  <c r="D6941" i="7"/>
  <c r="D6940" i="7"/>
  <c r="D6939" i="7"/>
  <c r="D6938" i="7"/>
  <c r="D6937" i="7"/>
  <c r="D6936" i="7"/>
  <c r="D6935" i="7"/>
  <c r="D6934" i="7"/>
  <c r="D6933" i="7"/>
  <c r="D6932" i="7"/>
  <c r="D6931" i="7"/>
  <c r="D6930" i="7"/>
  <c r="D6929" i="7"/>
  <c r="D6928" i="7"/>
  <c r="D6927" i="7"/>
  <c r="D6926" i="7"/>
  <c r="D6925" i="7"/>
  <c r="D6924" i="7"/>
  <c r="D6923" i="7"/>
  <c r="D6922" i="7"/>
  <c r="D6921" i="7"/>
  <c r="D6920" i="7"/>
  <c r="D6919" i="7"/>
  <c r="D6918" i="7"/>
  <c r="D6917" i="7"/>
  <c r="D6916" i="7"/>
  <c r="D6915" i="7"/>
  <c r="D6914" i="7"/>
  <c r="D6913" i="7"/>
  <c r="D6912" i="7"/>
  <c r="D6911" i="7"/>
  <c r="D6910" i="7"/>
  <c r="D6909" i="7"/>
  <c r="D6908" i="7"/>
  <c r="D6907" i="7"/>
  <c r="D6906" i="7"/>
  <c r="D6905" i="7"/>
  <c r="D6904" i="7"/>
  <c r="D6903" i="7"/>
  <c r="D6902" i="7"/>
  <c r="D6901" i="7"/>
  <c r="D6900" i="7"/>
  <c r="D6899" i="7"/>
  <c r="D6898" i="7"/>
  <c r="D6897" i="7"/>
  <c r="D6896" i="7"/>
  <c r="D6895" i="7"/>
  <c r="D6894" i="7"/>
  <c r="D6893" i="7"/>
  <c r="D6892" i="7"/>
  <c r="D6891" i="7"/>
  <c r="D6890" i="7"/>
  <c r="D6889" i="7"/>
  <c r="D6888" i="7"/>
  <c r="D6887" i="7"/>
  <c r="D6886" i="7"/>
  <c r="D6885" i="7"/>
  <c r="D6884" i="7"/>
  <c r="D6883" i="7"/>
  <c r="D6882" i="7"/>
  <c r="D6881" i="7"/>
  <c r="D6880" i="7"/>
  <c r="D6879" i="7"/>
  <c r="D6878" i="7"/>
  <c r="D6877" i="7"/>
  <c r="D6876" i="7"/>
  <c r="D6875" i="7"/>
  <c r="D6874" i="7"/>
  <c r="D6873" i="7"/>
  <c r="D6872" i="7"/>
  <c r="D6871" i="7"/>
  <c r="D6870" i="7"/>
  <c r="D6869" i="7"/>
  <c r="D6868" i="7"/>
  <c r="D6867" i="7"/>
  <c r="D6866" i="7"/>
  <c r="D6865" i="7"/>
  <c r="D6864" i="7"/>
  <c r="D6863" i="7"/>
  <c r="D6862" i="7"/>
  <c r="D6861" i="7"/>
  <c r="D6860" i="7"/>
  <c r="D6859" i="7"/>
  <c r="D6858" i="7"/>
  <c r="D6857" i="7"/>
  <c r="D6856" i="7"/>
  <c r="D6855" i="7"/>
  <c r="D6854" i="7"/>
  <c r="D6853" i="7"/>
  <c r="D6852" i="7"/>
  <c r="D6851" i="7"/>
  <c r="D6850" i="7"/>
  <c r="D6849" i="7"/>
  <c r="D6848" i="7"/>
  <c r="D6847" i="7"/>
  <c r="D6846" i="7"/>
  <c r="D6845" i="7"/>
  <c r="D6844" i="7"/>
  <c r="D6843" i="7"/>
  <c r="D6842" i="7"/>
  <c r="D6841" i="7"/>
  <c r="D6840" i="7"/>
  <c r="D6839" i="7"/>
  <c r="D6838" i="7"/>
  <c r="D6837" i="7"/>
  <c r="D6836" i="7"/>
  <c r="D6835" i="7"/>
  <c r="D6834" i="7"/>
  <c r="D6833" i="7"/>
  <c r="D6832" i="7"/>
  <c r="D6831" i="7"/>
  <c r="D6830" i="7"/>
  <c r="D6829" i="7"/>
  <c r="D6828" i="7"/>
  <c r="D6827" i="7"/>
  <c r="D6826" i="7"/>
  <c r="D6825" i="7"/>
  <c r="D6824" i="7"/>
  <c r="D6823" i="7"/>
  <c r="D6822" i="7"/>
  <c r="D6821" i="7"/>
  <c r="D6820" i="7"/>
  <c r="D6819" i="7"/>
  <c r="D6818" i="7"/>
  <c r="D6817" i="7"/>
  <c r="D6816" i="7"/>
  <c r="D6815" i="7"/>
  <c r="D6814" i="7"/>
  <c r="D6813" i="7"/>
  <c r="D6812" i="7"/>
  <c r="D6811" i="7"/>
  <c r="D6810" i="7"/>
  <c r="D6809" i="7"/>
  <c r="D6808" i="7"/>
  <c r="D6807" i="7"/>
  <c r="D6806" i="7"/>
  <c r="D6805" i="7"/>
  <c r="D6804" i="7"/>
  <c r="D6803" i="7"/>
  <c r="D6802" i="7"/>
  <c r="D6801" i="7"/>
  <c r="D6800" i="7"/>
  <c r="D6799" i="7"/>
  <c r="D6798" i="7"/>
  <c r="D6797" i="7"/>
  <c r="D6796" i="7"/>
  <c r="D6795" i="7"/>
  <c r="D6794" i="7"/>
  <c r="D6793" i="7"/>
  <c r="D6792" i="7"/>
  <c r="D6791" i="7"/>
  <c r="D6790" i="7"/>
  <c r="D6789" i="7"/>
  <c r="D6788" i="7"/>
  <c r="D6787" i="7"/>
  <c r="D6786" i="7"/>
  <c r="D6785" i="7"/>
  <c r="D6784" i="7"/>
  <c r="D6783" i="7"/>
  <c r="D6782" i="7"/>
  <c r="D6781" i="7"/>
  <c r="D6780" i="7"/>
  <c r="D6779" i="7"/>
  <c r="D6778" i="7"/>
  <c r="D6777" i="7"/>
  <c r="D6776" i="7"/>
  <c r="D6775" i="7"/>
  <c r="D6774" i="7"/>
  <c r="D6773" i="7"/>
  <c r="D6772" i="7"/>
  <c r="D6771" i="7"/>
  <c r="D6770" i="7"/>
  <c r="D6769" i="7"/>
  <c r="D6768" i="7"/>
  <c r="D6767" i="7"/>
  <c r="D6766" i="7"/>
  <c r="D6765" i="7"/>
  <c r="D6764" i="7"/>
  <c r="D6763" i="7"/>
  <c r="D6762" i="7"/>
  <c r="D6761" i="7"/>
  <c r="D6760" i="7"/>
  <c r="D6759" i="7"/>
  <c r="D6758" i="7"/>
  <c r="D6757" i="7"/>
  <c r="D6756" i="7"/>
  <c r="D6755" i="7"/>
  <c r="D6754" i="7"/>
  <c r="D6753" i="7"/>
  <c r="D6752" i="7"/>
  <c r="D6751" i="7"/>
  <c r="D6750" i="7"/>
  <c r="D6749" i="7"/>
  <c r="D6748" i="7"/>
  <c r="D6747" i="7"/>
  <c r="D6746" i="7"/>
  <c r="D6745" i="7"/>
  <c r="D6744" i="7"/>
  <c r="D6743" i="7"/>
  <c r="D6742" i="7"/>
  <c r="D6741" i="7"/>
  <c r="D6740" i="7"/>
  <c r="D6739" i="7"/>
  <c r="D6738" i="7"/>
  <c r="D6737" i="7"/>
  <c r="D6736" i="7"/>
  <c r="D6735" i="7"/>
  <c r="D6734" i="7"/>
  <c r="D6733" i="7"/>
  <c r="D6732" i="7"/>
  <c r="D6731" i="7"/>
  <c r="D6730" i="7"/>
  <c r="D6729" i="7"/>
  <c r="D6728" i="7"/>
  <c r="D6727" i="7"/>
  <c r="D6726" i="7"/>
  <c r="D6725" i="7"/>
  <c r="D6724" i="7"/>
  <c r="D6723" i="7"/>
  <c r="D6722" i="7"/>
  <c r="D6721" i="7"/>
  <c r="D6720" i="7"/>
  <c r="D6719" i="7"/>
  <c r="D6718" i="7"/>
  <c r="D6717" i="7"/>
  <c r="D6716" i="7"/>
  <c r="D6715" i="7"/>
  <c r="D6714" i="7"/>
  <c r="D6713" i="7"/>
  <c r="D6712" i="7"/>
  <c r="D6711" i="7"/>
  <c r="D6710" i="7"/>
  <c r="D6709" i="7"/>
  <c r="D6708" i="7"/>
  <c r="D6707" i="7"/>
  <c r="D6706" i="7"/>
  <c r="D6705" i="7"/>
  <c r="D6704" i="7"/>
  <c r="D6703" i="7"/>
  <c r="D6702" i="7"/>
  <c r="D6701" i="7"/>
  <c r="D6700" i="7"/>
  <c r="D6699" i="7"/>
  <c r="D6698" i="7"/>
  <c r="D6697" i="7"/>
  <c r="D6696" i="7"/>
  <c r="D6695" i="7"/>
  <c r="D6694" i="7"/>
  <c r="D6693" i="7"/>
  <c r="D6692" i="7"/>
  <c r="D6691" i="7"/>
  <c r="D6690" i="7"/>
  <c r="D6689" i="7"/>
  <c r="D6688" i="7"/>
  <c r="D6687" i="7"/>
  <c r="D6686" i="7"/>
  <c r="D6685" i="7"/>
  <c r="D6684" i="7"/>
  <c r="D6683" i="7"/>
  <c r="D6682" i="7"/>
  <c r="D6681" i="7"/>
  <c r="D6680" i="7"/>
  <c r="D6679" i="7"/>
  <c r="D6678" i="7"/>
  <c r="D6677" i="7"/>
  <c r="D6676" i="7"/>
  <c r="D6675" i="7"/>
  <c r="D6674" i="7"/>
  <c r="D6673" i="7"/>
  <c r="D6672" i="7"/>
  <c r="D6671" i="7"/>
  <c r="D6670" i="7"/>
  <c r="D6669" i="7"/>
  <c r="D6668" i="7"/>
  <c r="D6667" i="7"/>
  <c r="D6666" i="7"/>
  <c r="D6665" i="7"/>
  <c r="D6664" i="7"/>
  <c r="D6663" i="7"/>
  <c r="D6662" i="7"/>
  <c r="D6661" i="7"/>
  <c r="D6660" i="7"/>
  <c r="D6659" i="7"/>
  <c r="D6658" i="7"/>
  <c r="D6657" i="7"/>
  <c r="D6656" i="7"/>
  <c r="D6655" i="7"/>
  <c r="D6654" i="7"/>
  <c r="D6653" i="7"/>
  <c r="D6652" i="7"/>
  <c r="D6651" i="7"/>
  <c r="D6650" i="7"/>
  <c r="D6649" i="7"/>
  <c r="D6648" i="7"/>
  <c r="D6647" i="7"/>
  <c r="D6646" i="7"/>
  <c r="D6645" i="7"/>
  <c r="D6644" i="7"/>
  <c r="D6643" i="7"/>
  <c r="D6642" i="7"/>
  <c r="D6641" i="7"/>
  <c r="D6640" i="7"/>
  <c r="D6639" i="7"/>
  <c r="D6638" i="7"/>
  <c r="D6637" i="7"/>
  <c r="D6636" i="7"/>
  <c r="D6635" i="7"/>
  <c r="D6634" i="7"/>
  <c r="D6633" i="7"/>
  <c r="D6632" i="7"/>
  <c r="D6631" i="7"/>
  <c r="D6630" i="7"/>
  <c r="D6629" i="7"/>
  <c r="D6628" i="7"/>
  <c r="D6627" i="7"/>
  <c r="D6626" i="7"/>
  <c r="D6625" i="7"/>
  <c r="D6624" i="7"/>
  <c r="D6623" i="7"/>
  <c r="D6622" i="7"/>
  <c r="D6621" i="7"/>
  <c r="D6620" i="7"/>
  <c r="D6619" i="7"/>
  <c r="D6618" i="7"/>
  <c r="D6617" i="7"/>
  <c r="D6616" i="7"/>
  <c r="D6615" i="7"/>
  <c r="D6614" i="7"/>
  <c r="D6613" i="7"/>
  <c r="D6612" i="7"/>
  <c r="D6611" i="7"/>
  <c r="D6610" i="7"/>
  <c r="D6609" i="7"/>
  <c r="D6608" i="7"/>
  <c r="D6607" i="7"/>
  <c r="D6606" i="7"/>
  <c r="D6605" i="7"/>
  <c r="D6604" i="7"/>
  <c r="D6603" i="7"/>
  <c r="D6602" i="7"/>
  <c r="D6601" i="7"/>
  <c r="D6600" i="7"/>
  <c r="D6599" i="7"/>
  <c r="D6598" i="7"/>
  <c r="D6597" i="7"/>
  <c r="D6596" i="7"/>
  <c r="D6595" i="7"/>
  <c r="D6594" i="7"/>
  <c r="D6593" i="7"/>
  <c r="D6592" i="7"/>
  <c r="D6591" i="7"/>
  <c r="D6590" i="7"/>
  <c r="D6589" i="7"/>
  <c r="D6588" i="7"/>
  <c r="D6587" i="7"/>
  <c r="D6586" i="7"/>
  <c r="D6585" i="7"/>
  <c r="D6584" i="7"/>
  <c r="D6583" i="7"/>
  <c r="D6582" i="7"/>
  <c r="D6581" i="7"/>
  <c r="D6580" i="7"/>
  <c r="D6579" i="7"/>
  <c r="D6578" i="7"/>
  <c r="D6577" i="7"/>
  <c r="D6576" i="7"/>
  <c r="D6575" i="7"/>
  <c r="D6574" i="7"/>
  <c r="D6573" i="7"/>
  <c r="D6572" i="7"/>
  <c r="D6571" i="7"/>
  <c r="D6570" i="7"/>
  <c r="D6569" i="7"/>
  <c r="D6568" i="7"/>
  <c r="D6567" i="7"/>
  <c r="D6566" i="7"/>
  <c r="D6565" i="7"/>
  <c r="D6564" i="7"/>
  <c r="D6563" i="7"/>
  <c r="D6562" i="7"/>
  <c r="D6561" i="7"/>
  <c r="D6560" i="7"/>
  <c r="D6559" i="7"/>
  <c r="D6558" i="7"/>
  <c r="D6557" i="7"/>
  <c r="D6556" i="7"/>
  <c r="D6555" i="7"/>
  <c r="D6554" i="7"/>
  <c r="D6553" i="7"/>
  <c r="D6552" i="7"/>
  <c r="D6551" i="7"/>
  <c r="D6550" i="7"/>
  <c r="D6549" i="7"/>
  <c r="D6548" i="7"/>
  <c r="D6547" i="7"/>
  <c r="D6546" i="7"/>
  <c r="D6545" i="7"/>
  <c r="D6544" i="7"/>
  <c r="D6543" i="7"/>
  <c r="D6542" i="7"/>
  <c r="D6541" i="7"/>
  <c r="D6540" i="7"/>
  <c r="D6539" i="7"/>
  <c r="D6538" i="7"/>
  <c r="D6537" i="7"/>
  <c r="D6536" i="7"/>
  <c r="D6535" i="7"/>
  <c r="D6534" i="7"/>
  <c r="D6533" i="7"/>
  <c r="D6532" i="7"/>
  <c r="D6531" i="7"/>
  <c r="D6530" i="7"/>
  <c r="D6529" i="7"/>
  <c r="D6528" i="7"/>
  <c r="D6527" i="7"/>
  <c r="D6526" i="7"/>
  <c r="D6525" i="7"/>
  <c r="D6524" i="7"/>
  <c r="D6523" i="7"/>
  <c r="D6522" i="7"/>
  <c r="D6521" i="7"/>
  <c r="D6520" i="7"/>
  <c r="D6519" i="7"/>
  <c r="D6518" i="7"/>
  <c r="D6517" i="7"/>
  <c r="D6516" i="7"/>
  <c r="D6515" i="7"/>
  <c r="D6514" i="7"/>
  <c r="D6513" i="7"/>
  <c r="D6512" i="7"/>
  <c r="D6511" i="7"/>
  <c r="D6510" i="7"/>
  <c r="D6509" i="7"/>
  <c r="D6508" i="7"/>
  <c r="D6507" i="7"/>
  <c r="D6506" i="7"/>
  <c r="D6505" i="7"/>
  <c r="D6504" i="7"/>
  <c r="D6503" i="7"/>
  <c r="D6502" i="7"/>
  <c r="D6501" i="7"/>
  <c r="D6500" i="7"/>
  <c r="D6499" i="7"/>
  <c r="D6498" i="7"/>
  <c r="D6497" i="7"/>
  <c r="D6496" i="7"/>
  <c r="D6495" i="7"/>
  <c r="D6494" i="7"/>
  <c r="D6493" i="7"/>
  <c r="D6492" i="7"/>
  <c r="D6491" i="7"/>
  <c r="D6490" i="7"/>
  <c r="D6489" i="7"/>
  <c r="D6488" i="7"/>
  <c r="D6487" i="7"/>
  <c r="D6486" i="7"/>
  <c r="D6485" i="7"/>
  <c r="D6484" i="7"/>
  <c r="D6483" i="7"/>
  <c r="D6482" i="7"/>
  <c r="D6481" i="7"/>
  <c r="D6480" i="7"/>
  <c r="D6479" i="7"/>
  <c r="D6478" i="7"/>
  <c r="D6477" i="7"/>
  <c r="D6476" i="7"/>
  <c r="D6475" i="7"/>
  <c r="D6474" i="7"/>
  <c r="D6473" i="7"/>
  <c r="D6472" i="7"/>
  <c r="D6471" i="7"/>
  <c r="D6470" i="7"/>
  <c r="D6469" i="7"/>
  <c r="D6468" i="7"/>
  <c r="D6467" i="7"/>
  <c r="D6466" i="7"/>
  <c r="D6465" i="7"/>
  <c r="D6464" i="7"/>
  <c r="D6463" i="7"/>
  <c r="D6462" i="7"/>
  <c r="D6461" i="7"/>
  <c r="D6460" i="7"/>
  <c r="D6459" i="7"/>
  <c r="D6458" i="7"/>
  <c r="D6457" i="7"/>
  <c r="D6456" i="7"/>
  <c r="D6455" i="7"/>
  <c r="D6454" i="7"/>
  <c r="D6453" i="7"/>
  <c r="D6452" i="7"/>
  <c r="D6451" i="7"/>
  <c r="D6450" i="7"/>
  <c r="D6449" i="7"/>
  <c r="D6448" i="7"/>
  <c r="D6447" i="7"/>
  <c r="D6446" i="7"/>
  <c r="D6445" i="7"/>
  <c r="D6444" i="7"/>
  <c r="D6443" i="7"/>
  <c r="D6442" i="7"/>
  <c r="D6441" i="7"/>
  <c r="D6440" i="7"/>
  <c r="D6439" i="7"/>
  <c r="D6438" i="7"/>
  <c r="D6437" i="7"/>
  <c r="D6436" i="7"/>
  <c r="D6435" i="7"/>
  <c r="D6434" i="7"/>
  <c r="D6433" i="7"/>
  <c r="D6432" i="7"/>
  <c r="D6431" i="7"/>
  <c r="D6430" i="7"/>
  <c r="D6429" i="7"/>
  <c r="D6428" i="7"/>
  <c r="D6427" i="7"/>
  <c r="D6426" i="7"/>
  <c r="D6425" i="7"/>
  <c r="D6424" i="7"/>
  <c r="D6423" i="7"/>
  <c r="D6422" i="7"/>
  <c r="D6421" i="7"/>
  <c r="D6420" i="7"/>
  <c r="D6419" i="7"/>
  <c r="D6418" i="7"/>
  <c r="D6417" i="7"/>
  <c r="D6416" i="7"/>
  <c r="D6415" i="7"/>
  <c r="D6414" i="7"/>
  <c r="D6413" i="7"/>
  <c r="D6412" i="7"/>
  <c r="D6411" i="7"/>
  <c r="D6410" i="7"/>
  <c r="D6409" i="7"/>
  <c r="D6408" i="7"/>
  <c r="D6407" i="7"/>
  <c r="D6406" i="7"/>
  <c r="D6405" i="7"/>
  <c r="D6404" i="7"/>
  <c r="D6403" i="7"/>
  <c r="D6402" i="7"/>
  <c r="D6401" i="7"/>
  <c r="D6400" i="7"/>
  <c r="D6399" i="7"/>
  <c r="D6398" i="7"/>
  <c r="D6397" i="7"/>
  <c r="D6396" i="7"/>
  <c r="D6395" i="7"/>
  <c r="D6394" i="7"/>
  <c r="D6393" i="7"/>
  <c r="D6392" i="7"/>
  <c r="D6391" i="7"/>
  <c r="D6390" i="7"/>
  <c r="D6389" i="7"/>
  <c r="D6388" i="7"/>
  <c r="D6387" i="7"/>
  <c r="D6386" i="7"/>
  <c r="D6385" i="7"/>
  <c r="D6384" i="7"/>
  <c r="D6383" i="7"/>
  <c r="D6382" i="7"/>
  <c r="D6381" i="7"/>
  <c r="D6380" i="7"/>
  <c r="D6379" i="7"/>
  <c r="D6378" i="7"/>
  <c r="D6377" i="7"/>
  <c r="D6376" i="7"/>
  <c r="D6375" i="7"/>
  <c r="D6374" i="7"/>
  <c r="D6373" i="7"/>
  <c r="D6372" i="7"/>
  <c r="D6371" i="7"/>
  <c r="D6370" i="7"/>
  <c r="D6369" i="7"/>
  <c r="D6368" i="7"/>
  <c r="D6367" i="7"/>
  <c r="D6366" i="7"/>
  <c r="D6365" i="7"/>
  <c r="D6364" i="7"/>
  <c r="D6363" i="7"/>
  <c r="D6362" i="7"/>
  <c r="D6361" i="7"/>
  <c r="D6360" i="7"/>
  <c r="D6359" i="7"/>
  <c r="D6358" i="7"/>
  <c r="D6357" i="7"/>
  <c r="D6356" i="7"/>
  <c r="D6355" i="7"/>
  <c r="D6354" i="7"/>
  <c r="D6353" i="7"/>
  <c r="D6352" i="7"/>
  <c r="D6351" i="7"/>
  <c r="D6350" i="7"/>
  <c r="D6349" i="7"/>
  <c r="D6348" i="7"/>
  <c r="D6347" i="7"/>
  <c r="D6346" i="7"/>
  <c r="D6345" i="7"/>
  <c r="D6344" i="7"/>
  <c r="D6343" i="7"/>
  <c r="D6342" i="7"/>
  <c r="D6341" i="7"/>
  <c r="D6340" i="7"/>
  <c r="D6339" i="7"/>
  <c r="D6338" i="7"/>
  <c r="D6337" i="7"/>
  <c r="D6336" i="7"/>
  <c r="D6335" i="7"/>
  <c r="D6334" i="7"/>
  <c r="D6333" i="7"/>
  <c r="D6332" i="7"/>
  <c r="D6331" i="7"/>
  <c r="D6330" i="7"/>
  <c r="D6329" i="7"/>
  <c r="D6328" i="7"/>
  <c r="D6327" i="7"/>
  <c r="D6326" i="7"/>
  <c r="D6325" i="7"/>
  <c r="D6324" i="7"/>
  <c r="D6323" i="7"/>
  <c r="D6322" i="7"/>
  <c r="D6321" i="7"/>
  <c r="D6320" i="7"/>
  <c r="D6319" i="7"/>
  <c r="D6318" i="7"/>
  <c r="D6317" i="7"/>
  <c r="D6316" i="7"/>
  <c r="D6315" i="7"/>
  <c r="D6314" i="7"/>
  <c r="D6313" i="7"/>
  <c r="D6312" i="7"/>
  <c r="D6311" i="7"/>
  <c r="D6310" i="7"/>
  <c r="D6309" i="7"/>
  <c r="D6308" i="7"/>
  <c r="D6307" i="7"/>
  <c r="D6306" i="7"/>
  <c r="D6305" i="7"/>
  <c r="D6304" i="7"/>
  <c r="D6303" i="7"/>
  <c r="D6302" i="7"/>
  <c r="D6301" i="7"/>
  <c r="D6300" i="7"/>
  <c r="D6299" i="7"/>
  <c r="D6298" i="7"/>
  <c r="D6297" i="7"/>
  <c r="D6296" i="7"/>
  <c r="D6295" i="7"/>
  <c r="D6294" i="7"/>
  <c r="D6293" i="7"/>
  <c r="D6292" i="7"/>
  <c r="D6291" i="7"/>
  <c r="D6290" i="7"/>
  <c r="D6289" i="7"/>
  <c r="D6288" i="7"/>
  <c r="D6287" i="7"/>
  <c r="D6286" i="7"/>
  <c r="D6285" i="7"/>
  <c r="D6284" i="7"/>
  <c r="D6283" i="7"/>
  <c r="D6282" i="7"/>
  <c r="D6281" i="7"/>
  <c r="D6280" i="7"/>
  <c r="D6279" i="7"/>
  <c r="D6278" i="7"/>
  <c r="D6277" i="7"/>
  <c r="D6276" i="7"/>
  <c r="D6275" i="7"/>
  <c r="D6274" i="7"/>
  <c r="D6273" i="7"/>
  <c r="D6272" i="7"/>
  <c r="D6271" i="7"/>
  <c r="D6270" i="7"/>
  <c r="D6269" i="7"/>
  <c r="D6268" i="7"/>
  <c r="D6267" i="7"/>
  <c r="D6266" i="7"/>
  <c r="D6265" i="7"/>
  <c r="D6264" i="7"/>
  <c r="D6263" i="7"/>
  <c r="D6262" i="7"/>
  <c r="D6261" i="7"/>
  <c r="D6260" i="7"/>
  <c r="D6259" i="7"/>
  <c r="D6258" i="7"/>
  <c r="D6257" i="7"/>
  <c r="D6256" i="7"/>
  <c r="D6255" i="7"/>
  <c r="D6254" i="7"/>
  <c r="D6253" i="7"/>
  <c r="D6252" i="7"/>
  <c r="D6251" i="7"/>
  <c r="D6250" i="7"/>
  <c r="D6249" i="7"/>
  <c r="D6248" i="7"/>
  <c r="D6247" i="7"/>
  <c r="D6246" i="7"/>
  <c r="D6245" i="7"/>
  <c r="D6244" i="7"/>
  <c r="D6243" i="7"/>
  <c r="D6242" i="7"/>
  <c r="D6241" i="7"/>
  <c r="D6240" i="7"/>
  <c r="D6239" i="7"/>
  <c r="D6238" i="7"/>
  <c r="D6237" i="7"/>
  <c r="D6236" i="7"/>
  <c r="D6235" i="7"/>
  <c r="D6234" i="7"/>
  <c r="D6233" i="7"/>
  <c r="D6232" i="7"/>
  <c r="D6231" i="7"/>
  <c r="D6230" i="7"/>
  <c r="D6229" i="7"/>
  <c r="D6228" i="7"/>
  <c r="D6227" i="7"/>
  <c r="D6226" i="7"/>
  <c r="D6225" i="7"/>
  <c r="D6224" i="7"/>
  <c r="D6223" i="7"/>
  <c r="D6222" i="7"/>
  <c r="D6221" i="7"/>
  <c r="D6220" i="7"/>
  <c r="D6219" i="7"/>
  <c r="D6218" i="7"/>
  <c r="D6217" i="7"/>
  <c r="D6216" i="7"/>
  <c r="D6215" i="7"/>
  <c r="D6214" i="7"/>
  <c r="D6213" i="7"/>
  <c r="D6212" i="7"/>
  <c r="D6211" i="7"/>
  <c r="D6210" i="7"/>
  <c r="D6209" i="7"/>
  <c r="D6208" i="7"/>
  <c r="D6207" i="7"/>
  <c r="D6206" i="7"/>
  <c r="D6205" i="7"/>
  <c r="D6204" i="7"/>
  <c r="D6203" i="7"/>
  <c r="D6202" i="7"/>
  <c r="D6201" i="7"/>
  <c r="D6200" i="7"/>
  <c r="D6199" i="7"/>
  <c r="D6198" i="7"/>
  <c r="D6197" i="7"/>
  <c r="D6196" i="7"/>
  <c r="D6195" i="7"/>
  <c r="D6194" i="7"/>
  <c r="D6193" i="7"/>
  <c r="D6192" i="7"/>
  <c r="D6191" i="7"/>
  <c r="D6190" i="7"/>
  <c r="D6189" i="7"/>
  <c r="D6188" i="7"/>
  <c r="D6187" i="7"/>
  <c r="D6186" i="7"/>
  <c r="D6185" i="7"/>
  <c r="D6184" i="7"/>
  <c r="D6183" i="7"/>
  <c r="D6182" i="7"/>
  <c r="D6181" i="7"/>
  <c r="D6180" i="7"/>
  <c r="D6179" i="7"/>
  <c r="D6178" i="7"/>
  <c r="D6177" i="7"/>
  <c r="D6176" i="7"/>
  <c r="D6175" i="7"/>
  <c r="D6174" i="7"/>
  <c r="D6173" i="7"/>
  <c r="D6172" i="7"/>
  <c r="D6171" i="7"/>
  <c r="D6170" i="7"/>
  <c r="D6169" i="7"/>
  <c r="D6168" i="7"/>
  <c r="D6167" i="7"/>
  <c r="D6166" i="7"/>
  <c r="D6165" i="7"/>
  <c r="D6164" i="7"/>
  <c r="D6163" i="7"/>
  <c r="D6162" i="7"/>
  <c r="D6161" i="7"/>
  <c r="D6160" i="7"/>
  <c r="D6159" i="7"/>
  <c r="D6158" i="7"/>
  <c r="D6157" i="7"/>
  <c r="D6156" i="7"/>
  <c r="D6155" i="7"/>
  <c r="D6154" i="7"/>
  <c r="D6153" i="7"/>
  <c r="D6152" i="7"/>
  <c r="D6151" i="7"/>
  <c r="D6150" i="7"/>
  <c r="D6149" i="7"/>
  <c r="D6148" i="7"/>
  <c r="D6147" i="7"/>
  <c r="D6146" i="7"/>
  <c r="D6145" i="7"/>
  <c r="D6144" i="7"/>
  <c r="D6143" i="7"/>
  <c r="D6142" i="7"/>
  <c r="D6141" i="7"/>
  <c r="D6140" i="7"/>
  <c r="D6139" i="7"/>
  <c r="D6138" i="7"/>
  <c r="D6137" i="7"/>
  <c r="D6136" i="7"/>
  <c r="D6135" i="7"/>
  <c r="D6134" i="7"/>
  <c r="D6133" i="7"/>
  <c r="D6132" i="7"/>
  <c r="D6131" i="7"/>
  <c r="D6130" i="7"/>
  <c r="D6129" i="7"/>
  <c r="D6128" i="7"/>
  <c r="D6127" i="7"/>
  <c r="D6126" i="7"/>
  <c r="D6125" i="7"/>
  <c r="D6124" i="7"/>
  <c r="D6123" i="7"/>
  <c r="D6122" i="7"/>
  <c r="D6121" i="7"/>
  <c r="D6120" i="7"/>
  <c r="D6119" i="7"/>
  <c r="D6118" i="7"/>
  <c r="D6117" i="7"/>
  <c r="D6116" i="7"/>
  <c r="D6115" i="7"/>
  <c r="D6114" i="7"/>
  <c r="D6113" i="7"/>
  <c r="D6112" i="7"/>
  <c r="D6111" i="7"/>
  <c r="D6110" i="7"/>
  <c r="D6109" i="7"/>
  <c r="D6108" i="7"/>
  <c r="D6107" i="7"/>
  <c r="D6106" i="7"/>
  <c r="D6105" i="7"/>
  <c r="D6104" i="7"/>
  <c r="D6103" i="7"/>
  <c r="D6102" i="7"/>
  <c r="D6101" i="7"/>
  <c r="D6100" i="7"/>
  <c r="D6099" i="7"/>
  <c r="D6098" i="7"/>
  <c r="D6097" i="7"/>
  <c r="D6096" i="7"/>
  <c r="D6095" i="7"/>
  <c r="D6094" i="7"/>
  <c r="D6093" i="7"/>
  <c r="D6092" i="7"/>
  <c r="D6091" i="7"/>
  <c r="D6090" i="7"/>
  <c r="D6089" i="7"/>
  <c r="D6088" i="7"/>
  <c r="D6087" i="7"/>
  <c r="D6086" i="7"/>
  <c r="D6085" i="7"/>
  <c r="D6084" i="7"/>
  <c r="D6083" i="7"/>
  <c r="D6082" i="7"/>
  <c r="D6081" i="7"/>
  <c r="D6080" i="7"/>
  <c r="D6079" i="7"/>
  <c r="D6078" i="7"/>
  <c r="D6077" i="7"/>
  <c r="D6076" i="7"/>
  <c r="D6075" i="7"/>
  <c r="D6074" i="7"/>
  <c r="D6073" i="7"/>
  <c r="D6072" i="7"/>
  <c r="D6071" i="7"/>
  <c r="D6070" i="7"/>
  <c r="D6069" i="7"/>
  <c r="D6068" i="7"/>
  <c r="D6067" i="7"/>
  <c r="D6066" i="7"/>
  <c r="D6065" i="7"/>
  <c r="D6064" i="7"/>
  <c r="D6063" i="7"/>
  <c r="D6062" i="7"/>
  <c r="D6061" i="7"/>
  <c r="D6060" i="7"/>
  <c r="D6059" i="7"/>
  <c r="D6058" i="7"/>
  <c r="D6057" i="7"/>
  <c r="D6056" i="7"/>
  <c r="D6055" i="7"/>
  <c r="D6054" i="7"/>
  <c r="D6053" i="7"/>
  <c r="D6052" i="7"/>
  <c r="D6051" i="7"/>
  <c r="D6050" i="7"/>
  <c r="D6049" i="7"/>
  <c r="D6048" i="7"/>
  <c r="D6047" i="7"/>
  <c r="D6046" i="7"/>
  <c r="D6045" i="7"/>
  <c r="D6044" i="7"/>
  <c r="D6043" i="7"/>
  <c r="D6042" i="7"/>
  <c r="D6041" i="7"/>
  <c r="D6040" i="7"/>
  <c r="D6039" i="7"/>
  <c r="D6038" i="7"/>
  <c r="D6037" i="7"/>
  <c r="D6036" i="7"/>
  <c r="D6035" i="7"/>
  <c r="D6034" i="7"/>
  <c r="D6033" i="7"/>
  <c r="D6032" i="7"/>
  <c r="D6031" i="7"/>
  <c r="D6030" i="7"/>
  <c r="D6029" i="7"/>
  <c r="D6028" i="7"/>
  <c r="D6027" i="7"/>
  <c r="D6026" i="7"/>
  <c r="D6025" i="7"/>
  <c r="D6024" i="7"/>
  <c r="D6023" i="7"/>
  <c r="D6022" i="7"/>
  <c r="D6021" i="7"/>
  <c r="D6020" i="7"/>
  <c r="D6019" i="7"/>
  <c r="D6018" i="7"/>
  <c r="D6017" i="7"/>
  <c r="D6016" i="7"/>
  <c r="D6015" i="7"/>
  <c r="D6014" i="7"/>
  <c r="D6013" i="7"/>
  <c r="D6012" i="7"/>
  <c r="D6011" i="7"/>
  <c r="D6010" i="7"/>
  <c r="D6009" i="7"/>
  <c r="D6008" i="7"/>
  <c r="D6007" i="7"/>
  <c r="D6006" i="7"/>
  <c r="D6005" i="7"/>
  <c r="D6004" i="7"/>
  <c r="D6003" i="7"/>
  <c r="D6002" i="7"/>
  <c r="D6001" i="7"/>
  <c r="D6000" i="7"/>
  <c r="D5999" i="7"/>
  <c r="D5998" i="7"/>
  <c r="D5997" i="7"/>
  <c r="D5996" i="7"/>
  <c r="D5995" i="7"/>
  <c r="D5994" i="7"/>
  <c r="D5993" i="7"/>
  <c r="D5992" i="7"/>
  <c r="D5991" i="7"/>
  <c r="D5990" i="7"/>
  <c r="D5989" i="7"/>
  <c r="D5988" i="7"/>
  <c r="D5987" i="7"/>
  <c r="D5986" i="7"/>
  <c r="D5985" i="7"/>
  <c r="D5984" i="7"/>
  <c r="D5983" i="7"/>
  <c r="D5982" i="7"/>
  <c r="D5981" i="7"/>
  <c r="D5980" i="7"/>
  <c r="D5979" i="7"/>
  <c r="D5978" i="7"/>
  <c r="D5977" i="7"/>
  <c r="D5976" i="7"/>
  <c r="D5975" i="7"/>
  <c r="D5974" i="7"/>
  <c r="D5973" i="7"/>
  <c r="D5972" i="7"/>
  <c r="D5971" i="7"/>
  <c r="D5970" i="7"/>
  <c r="D5969" i="7"/>
  <c r="D5968" i="7"/>
  <c r="D5967" i="7"/>
  <c r="D5966" i="7"/>
  <c r="D5965" i="7"/>
  <c r="D5964" i="7"/>
  <c r="D5963" i="7"/>
  <c r="D5962" i="7"/>
  <c r="D5961" i="7"/>
  <c r="D5960" i="7"/>
  <c r="D5959" i="7"/>
  <c r="D5958" i="7"/>
  <c r="D5957" i="7"/>
  <c r="D5956" i="7"/>
  <c r="D5955" i="7"/>
  <c r="D5954" i="7"/>
  <c r="D5953" i="7"/>
  <c r="D5952" i="7"/>
  <c r="D5951" i="7"/>
  <c r="D5950" i="7"/>
  <c r="D5949" i="7"/>
  <c r="D5948" i="7"/>
  <c r="D5947" i="7"/>
  <c r="D5946" i="7"/>
  <c r="D5945" i="7"/>
  <c r="D5944" i="7"/>
  <c r="D5943" i="7"/>
  <c r="D5942" i="7"/>
  <c r="D5941" i="7"/>
  <c r="D5940" i="7"/>
  <c r="D5939" i="7"/>
  <c r="D5938" i="7"/>
  <c r="D5937" i="7"/>
  <c r="D5936" i="7"/>
  <c r="D5935" i="7"/>
  <c r="D5934" i="7"/>
  <c r="D5933" i="7"/>
  <c r="D5932" i="7"/>
  <c r="D5931" i="7"/>
  <c r="D5930" i="7"/>
  <c r="D5929" i="7"/>
  <c r="D5928" i="7"/>
  <c r="D5927" i="7"/>
  <c r="D5926" i="7"/>
  <c r="D5925" i="7"/>
  <c r="D5924" i="7"/>
  <c r="D5923" i="7"/>
  <c r="D5922" i="7"/>
  <c r="D5921" i="7"/>
  <c r="D5920" i="7"/>
  <c r="D5919" i="7"/>
  <c r="D5918" i="7"/>
  <c r="D5917" i="7"/>
  <c r="D5916" i="7"/>
  <c r="D5915" i="7"/>
  <c r="D5914" i="7"/>
  <c r="D5913" i="7"/>
  <c r="D5912" i="7"/>
  <c r="D5911" i="7"/>
  <c r="D5910" i="7"/>
  <c r="D5909" i="7"/>
  <c r="D5908" i="7"/>
  <c r="D5907" i="7"/>
  <c r="D5906" i="7"/>
  <c r="D5905" i="7"/>
  <c r="D5904" i="7"/>
  <c r="D5903" i="7"/>
  <c r="D5902" i="7"/>
  <c r="D5901" i="7"/>
  <c r="D5900" i="7"/>
  <c r="D5899" i="7"/>
  <c r="D5898" i="7"/>
  <c r="D5897" i="7"/>
  <c r="D5896" i="7"/>
  <c r="D5895" i="7"/>
  <c r="D5894" i="7"/>
  <c r="D5893" i="7"/>
  <c r="D5892" i="7"/>
  <c r="D5891" i="7"/>
  <c r="D5890" i="7"/>
  <c r="D5889" i="7"/>
  <c r="D5888" i="7"/>
  <c r="D5887" i="7"/>
  <c r="D5886" i="7"/>
  <c r="D5885" i="7"/>
  <c r="D5884" i="7"/>
  <c r="D5883" i="7"/>
  <c r="D5882" i="7"/>
  <c r="D5881" i="7"/>
  <c r="D5880" i="7"/>
  <c r="D5879" i="7"/>
  <c r="D5878" i="7"/>
  <c r="D5877" i="7"/>
  <c r="D5876" i="7"/>
  <c r="D5875" i="7"/>
  <c r="D5874" i="7"/>
  <c r="D5873" i="7"/>
  <c r="D5872" i="7"/>
  <c r="D5871" i="7"/>
  <c r="D5870" i="7"/>
  <c r="D5869" i="7"/>
  <c r="D5868" i="7"/>
  <c r="D5867" i="7"/>
  <c r="D5866" i="7"/>
  <c r="D5865" i="7"/>
  <c r="D5864" i="7"/>
  <c r="D5863" i="7"/>
  <c r="D5862" i="7"/>
  <c r="D5861" i="7"/>
  <c r="D5860" i="7"/>
  <c r="D5859" i="7"/>
  <c r="D5858" i="7"/>
  <c r="D5857" i="7"/>
  <c r="D5856" i="7"/>
  <c r="D5855" i="7"/>
  <c r="D5854" i="7"/>
  <c r="D5853" i="7"/>
  <c r="D5852" i="7"/>
  <c r="D5851" i="7"/>
  <c r="D5850" i="7"/>
  <c r="D5849" i="7"/>
  <c r="D5848" i="7"/>
  <c r="D5847" i="7"/>
  <c r="D5846" i="7"/>
  <c r="D5845" i="7"/>
  <c r="D5844" i="7"/>
  <c r="D5843" i="7"/>
  <c r="D5842" i="7"/>
  <c r="D5841" i="7"/>
  <c r="D5840" i="7"/>
  <c r="D5839" i="7"/>
  <c r="D5838" i="7"/>
  <c r="D5837" i="7"/>
  <c r="D5836" i="7"/>
  <c r="D5835" i="7"/>
  <c r="D5834" i="7"/>
  <c r="D5833" i="7"/>
  <c r="D5832" i="7"/>
  <c r="D5831" i="7"/>
  <c r="D5830" i="7"/>
  <c r="D5829" i="7"/>
  <c r="D5828" i="7"/>
  <c r="D5827" i="7"/>
  <c r="D5826" i="7"/>
  <c r="D5825" i="7"/>
  <c r="D5824" i="7"/>
  <c r="D5823" i="7"/>
  <c r="D5822" i="7"/>
  <c r="D5821" i="7"/>
  <c r="D5820" i="7"/>
  <c r="D5819" i="7"/>
  <c r="D5818" i="7"/>
  <c r="D5817" i="7"/>
  <c r="D5816" i="7"/>
  <c r="D5815" i="7"/>
  <c r="D5814" i="7"/>
  <c r="D5813" i="7"/>
  <c r="D5812" i="7"/>
  <c r="D5811" i="7"/>
  <c r="D5810" i="7"/>
  <c r="D5809" i="7"/>
  <c r="D5808" i="7"/>
  <c r="D5807" i="7"/>
  <c r="D5806" i="7"/>
  <c r="D5805" i="7"/>
  <c r="D5804" i="7"/>
  <c r="D5803" i="7"/>
  <c r="D5802" i="7"/>
  <c r="D5801" i="7"/>
  <c r="D5800" i="7"/>
  <c r="D5799" i="7"/>
  <c r="D5798" i="7"/>
  <c r="D5797" i="7"/>
  <c r="D5796" i="7"/>
  <c r="D5795" i="7"/>
  <c r="D5794" i="7"/>
  <c r="D5793" i="7"/>
  <c r="D5792" i="7"/>
  <c r="D5791" i="7"/>
  <c r="D5790" i="7"/>
  <c r="D5789" i="7"/>
  <c r="D5788" i="7"/>
  <c r="D5787" i="7"/>
  <c r="D5786" i="7"/>
  <c r="D5785" i="7"/>
  <c r="D5784" i="7"/>
  <c r="D5783" i="7"/>
  <c r="D5782" i="7"/>
  <c r="D5781" i="7"/>
  <c r="D5780" i="7"/>
  <c r="D5779" i="7"/>
  <c r="D5778" i="7"/>
  <c r="D5777" i="7"/>
  <c r="D5776" i="7"/>
  <c r="D5775" i="7"/>
  <c r="D5774" i="7"/>
  <c r="D5773" i="7"/>
  <c r="D5772" i="7"/>
  <c r="D5771" i="7"/>
  <c r="D5770" i="7"/>
  <c r="D5769" i="7"/>
  <c r="D5768" i="7"/>
  <c r="D5767" i="7"/>
  <c r="D5766" i="7"/>
  <c r="D5765" i="7"/>
  <c r="D5764" i="7"/>
  <c r="D5763" i="7"/>
  <c r="D5762" i="7"/>
  <c r="D5761" i="7"/>
  <c r="D5760" i="7"/>
  <c r="D5759" i="7"/>
  <c r="D5758" i="7"/>
  <c r="D5757" i="7"/>
  <c r="D5756" i="7"/>
  <c r="D5755" i="7"/>
  <c r="D5754" i="7"/>
  <c r="D5753" i="7"/>
  <c r="D5752" i="7"/>
  <c r="D5751" i="7"/>
  <c r="D5750" i="7"/>
  <c r="D5749" i="7"/>
  <c r="D5748" i="7"/>
  <c r="D5747" i="7"/>
  <c r="D5746" i="7"/>
  <c r="D5745" i="7"/>
  <c r="D5744" i="7"/>
  <c r="D5743" i="7"/>
  <c r="D5742" i="7"/>
  <c r="D5741" i="7"/>
  <c r="D5740" i="7"/>
  <c r="D5739" i="7"/>
  <c r="D5738" i="7"/>
  <c r="D5737" i="7"/>
  <c r="D5736" i="7"/>
  <c r="D5735" i="7"/>
  <c r="D5734" i="7"/>
  <c r="D5733" i="7"/>
  <c r="D5732" i="7"/>
  <c r="D5731" i="7"/>
  <c r="D5730" i="7"/>
  <c r="D5729" i="7"/>
  <c r="D5728" i="7"/>
  <c r="D5727" i="7"/>
  <c r="D5726" i="7"/>
  <c r="D5725" i="7"/>
  <c r="D5724" i="7"/>
  <c r="D5723" i="7"/>
  <c r="D5722" i="7"/>
  <c r="D5721" i="7"/>
  <c r="D5720" i="7"/>
  <c r="D5719" i="7"/>
  <c r="D5718" i="7"/>
  <c r="D5717" i="7"/>
  <c r="D5716" i="7"/>
  <c r="D5715" i="7"/>
  <c r="D5714" i="7"/>
  <c r="D5713" i="7"/>
  <c r="D5712" i="7"/>
  <c r="D5711" i="7"/>
  <c r="D5710" i="7"/>
  <c r="D5709" i="7"/>
  <c r="D5708" i="7"/>
  <c r="D5707" i="7"/>
  <c r="D5706" i="7"/>
  <c r="D5705" i="7"/>
  <c r="D5704" i="7"/>
  <c r="D5703" i="7"/>
  <c r="D5702" i="7"/>
  <c r="D5701" i="7"/>
  <c r="D5700" i="7"/>
  <c r="D5699" i="7"/>
  <c r="D5698" i="7"/>
  <c r="D5697" i="7"/>
  <c r="D5696" i="7"/>
  <c r="D5695" i="7"/>
  <c r="D5694" i="7"/>
  <c r="D5693" i="7"/>
  <c r="D5692" i="7"/>
  <c r="D5691" i="7"/>
  <c r="D5690" i="7"/>
  <c r="D5689" i="7"/>
  <c r="D5688" i="7"/>
  <c r="D5687" i="7"/>
  <c r="D5686" i="7"/>
  <c r="D5685" i="7"/>
  <c r="D5684" i="7"/>
  <c r="D5683" i="7"/>
  <c r="D5682" i="7"/>
  <c r="D5681" i="7"/>
  <c r="D5680" i="7"/>
  <c r="D5679" i="7"/>
  <c r="D5678" i="7"/>
  <c r="D5677" i="7"/>
  <c r="D5676" i="7"/>
  <c r="D5675" i="7"/>
  <c r="D5674" i="7"/>
  <c r="D5673" i="7"/>
  <c r="D5672" i="7"/>
  <c r="D5671" i="7"/>
  <c r="D5670" i="7"/>
  <c r="D5669" i="7"/>
  <c r="D5668" i="7"/>
  <c r="D5667" i="7"/>
  <c r="D5666" i="7"/>
  <c r="D5665" i="7"/>
  <c r="D5664" i="7"/>
  <c r="D5663" i="7"/>
  <c r="D5662" i="7"/>
  <c r="D5661" i="7"/>
  <c r="D5660" i="7"/>
  <c r="D5659" i="7"/>
  <c r="D5658" i="7"/>
  <c r="D5657" i="7"/>
  <c r="D5656" i="7"/>
  <c r="D5655" i="7"/>
  <c r="D5654" i="7"/>
  <c r="D5653" i="7"/>
  <c r="D5652" i="7"/>
  <c r="D5651" i="7"/>
  <c r="D5650" i="7"/>
  <c r="D5649" i="7"/>
  <c r="D5648" i="7"/>
  <c r="D5647" i="7"/>
  <c r="D5646" i="7"/>
  <c r="D5645" i="7"/>
  <c r="D5644" i="7"/>
  <c r="D5643" i="7"/>
  <c r="D5642" i="7"/>
  <c r="D5641" i="7"/>
  <c r="D5640" i="7"/>
  <c r="D5639" i="7"/>
  <c r="D5638" i="7"/>
  <c r="D5637" i="7"/>
  <c r="D5636" i="7"/>
  <c r="D5635" i="7"/>
  <c r="D5634" i="7"/>
  <c r="D5633" i="7"/>
  <c r="D5632" i="7"/>
  <c r="D5631" i="7"/>
  <c r="D5630" i="7"/>
  <c r="D5629" i="7"/>
  <c r="D5628" i="7"/>
  <c r="D5627" i="7"/>
  <c r="D5626" i="7"/>
  <c r="D5625" i="7"/>
  <c r="D5624" i="7"/>
  <c r="D5623" i="7"/>
  <c r="D5622" i="7"/>
  <c r="D5621" i="7"/>
  <c r="D5620" i="7"/>
  <c r="D5619" i="7"/>
  <c r="D5618" i="7"/>
  <c r="D5617" i="7"/>
  <c r="D5616" i="7"/>
  <c r="D5615" i="7"/>
  <c r="D5614" i="7"/>
  <c r="D5613" i="7"/>
  <c r="D5612" i="7"/>
  <c r="D5611" i="7"/>
  <c r="D5610" i="7"/>
  <c r="D5609" i="7"/>
  <c r="D5608" i="7"/>
  <c r="D5607" i="7"/>
  <c r="D5606" i="7"/>
  <c r="D5605" i="7"/>
  <c r="D5604" i="7"/>
  <c r="D5603" i="7"/>
  <c r="D5602" i="7"/>
  <c r="D5601" i="7"/>
  <c r="D5600" i="7"/>
  <c r="D5599" i="7"/>
  <c r="D5598" i="7"/>
  <c r="D5597" i="7"/>
  <c r="D5596" i="7"/>
  <c r="D5595" i="7"/>
  <c r="D5594" i="7"/>
  <c r="D5593" i="7"/>
  <c r="D5592" i="7"/>
  <c r="D5591" i="7"/>
  <c r="D5590" i="7"/>
  <c r="D5589" i="7"/>
  <c r="D5588" i="7"/>
  <c r="D5587" i="7"/>
  <c r="D5586" i="7"/>
  <c r="D5585" i="7"/>
  <c r="D5584" i="7"/>
  <c r="D5583" i="7"/>
  <c r="D5582" i="7"/>
  <c r="D5581" i="7"/>
  <c r="D5580" i="7"/>
  <c r="D5579" i="7"/>
  <c r="D5578" i="7"/>
  <c r="D5577" i="7"/>
  <c r="D5576" i="7"/>
  <c r="D5575" i="7"/>
  <c r="D5574" i="7"/>
  <c r="D5573" i="7"/>
  <c r="D5572" i="7"/>
  <c r="D5571" i="7"/>
  <c r="D5570" i="7"/>
  <c r="D5569" i="7"/>
  <c r="D5568" i="7"/>
  <c r="D5567" i="7"/>
  <c r="D5566" i="7"/>
  <c r="D5565" i="7"/>
  <c r="D5564" i="7"/>
  <c r="D5563" i="7"/>
  <c r="D5562" i="7"/>
  <c r="D5561" i="7"/>
  <c r="D5560" i="7"/>
  <c r="D5559" i="7"/>
  <c r="D5558" i="7"/>
  <c r="D5557" i="7"/>
  <c r="D5556" i="7"/>
  <c r="D5555" i="7"/>
  <c r="D5554" i="7"/>
  <c r="D5553" i="7"/>
  <c r="D5552" i="7"/>
  <c r="D5551" i="7"/>
  <c r="D5550" i="7"/>
  <c r="D5549" i="7"/>
  <c r="D5548" i="7"/>
  <c r="D5547" i="7"/>
  <c r="D5546" i="7"/>
  <c r="D5545" i="7"/>
  <c r="D5544" i="7"/>
  <c r="D5543" i="7"/>
  <c r="D5542" i="7"/>
  <c r="D5541" i="7"/>
  <c r="D5540" i="7"/>
  <c r="D5539" i="7"/>
  <c r="D5538" i="7"/>
  <c r="D5537" i="7"/>
  <c r="D5536" i="7"/>
  <c r="D5535" i="7"/>
  <c r="D5534" i="7"/>
  <c r="D5533" i="7"/>
  <c r="D5532" i="7"/>
  <c r="D5531" i="7"/>
  <c r="D5530" i="7"/>
  <c r="D5529" i="7"/>
  <c r="D5528" i="7"/>
  <c r="D5527" i="7"/>
  <c r="D5526" i="7"/>
  <c r="D5525" i="7"/>
  <c r="D5524" i="7"/>
  <c r="D5523" i="7"/>
  <c r="D5522" i="7"/>
  <c r="D5521" i="7"/>
  <c r="D5520" i="7"/>
  <c r="D5519" i="7"/>
  <c r="D5518" i="7"/>
  <c r="D5517" i="7"/>
  <c r="D5516" i="7"/>
  <c r="D5515" i="7"/>
  <c r="D5514" i="7"/>
  <c r="D5513" i="7"/>
  <c r="D5512" i="7"/>
  <c r="D5511" i="7"/>
  <c r="D5510" i="7"/>
  <c r="D5509" i="7"/>
  <c r="D5508" i="7"/>
  <c r="D5507" i="7"/>
  <c r="D5506" i="7"/>
  <c r="D5505" i="7"/>
  <c r="D5504" i="7"/>
  <c r="D5503" i="7"/>
  <c r="D5502" i="7"/>
  <c r="D5501" i="7"/>
  <c r="D5500" i="7"/>
  <c r="D5499" i="7"/>
  <c r="D5498" i="7"/>
  <c r="D5497" i="7"/>
  <c r="D5496" i="7"/>
  <c r="D5495" i="7"/>
  <c r="D5494" i="7"/>
  <c r="D5493" i="7"/>
  <c r="D5492" i="7"/>
  <c r="D5491" i="7"/>
  <c r="D5490" i="7"/>
  <c r="D5489" i="7"/>
  <c r="D5488" i="7"/>
  <c r="D5487" i="7"/>
  <c r="D5486" i="7"/>
  <c r="D5485" i="7"/>
  <c r="D5484" i="7"/>
  <c r="D5483" i="7"/>
  <c r="D5482" i="7"/>
  <c r="D5481" i="7"/>
  <c r="D5480" i="7"/>
  <c r="D5479" i="7"/>
  <c r="D5478" i="7"/>
  <c r="D5477" i="7"/>
  <c r="D5476" i="7"/>
  <c r="D5475" i="7"/>
  <c r="D5474" i="7"/>
  <c r="D5473" i="7"/>
  <c r="D5472" i="7"/>
  <c r="D5471" i="7"/>
  <c r="D5470" i="7"/>
  <c r="D5469" i="7"/>
  <c r="D5468" i="7"/>
  <c r="D5467" i="7"/>
  <c r="D5466" i="7"/>
  <c r="D5465" i="7"/>
  <c r="D5464" i="7"/>
  <c r="D5463" i="7"/>
  <c r="D5462" i="7"/>
  <c r="D5461" i="7"/>
  <c r="D5460" i="7"/>
  <c r="D5459" i="7"/>
  <c r="D5458" i="7"/>
  <c r="D5457" i="7"/>
  <c r="D5456" i="7"/>
  <c r="D5455" i="7"/>
  <c r="D5454" i="7"/>
  <c r="D5453" i="7"/>
  <c r="D5452" i="7"/>
  <c r="D5451" i="7"/>
  <c r="D5450" i="7"/>
  <c r="D5449" i="7"/>
  <c r="D5448" i="7"/>
  <c r="D5447" i="7"/>
  <c r="D5446" i="7"/>
  <c r="D5445" i="7"/>
  <c r="D5444" i="7"/>
  <c r="D5443" i="7"/>
  <c r="D5442" i="7"/>
  <c r="D5441" i="7"/>
  <c r="D5440" i="7"/>
  <c r="D5439" i="7"/>
  <c r="D5438" i="7"/>
  <c r="D5437" i="7"/>
  <c r="D5436" i="7"/>
  <c r="D5435" i="7"/>
  <c r="D5434" i="7"/>
  <c r="D5433" i="7"/>
  <c r="D5432" i="7"/>
  <c r="D5431" i="7"/>
  <c r="D5430" i="7"/>
  <c r="D5429" i="7"/>
  <c r="D5428" i="7"/>
  <c r="D5427" i="7"/>
  <c r="D5426" i="7"/>
  <c r="D5425" i="7"/>
  <c r="D5424" i="7"/>
  <c r="D5423" i="7"/>
  <c r="D5422" i="7"/>
  <c r="D5421" i="7"/>
  <c r="D5420" i="7"/>
  <c r="D5419" i="7"/>
  <c r="D5418" i="7"/>
  <c r="D5417" i="7"/>
  <c r="D5416" i="7"/>
  <c r="D5415" i="7"/>
  <c r="D5414" i="7"/>
  <c r="D5413" i="7"/>
  <c r="D5412" i="7"/>
  <c r="D5411" i="7"/>
  <c r="D5410" i="7"/>
  <c r="D5409" i="7"/>
  <c r="D5408" i="7"/>
  <c r="D5407" i="7"/>
  <c r="D5406" i="7"/>
  <c r="D5405" i="7"/>
  <c r="D5404" i="7"/>
  <c r="D5403" i="7"/>
  <c r="D5402" i="7"/>
  <c r="D5401" i="7"/>
  <c r="D5400" i="7"/>
  <c r="D5399" i="7"/>
  <c r="D5398" i="7"/>
  <c r="D5397" i="7"/>
  <c r="D5396" i="7"/>
  <c r="D5395" i="7"/>
  <c r="D5394" i="7"/>
  <c r="D5393" i="7"/>
  <c r="D5392" i="7"/>
  <c r="D5391" i="7"/>
  <c r="D5390" i="7"/>
  <c r="D5389" i="7"/>
  <c r="D5388" i="7"/>
  <c r="D5387" i="7"/>
  <c r="D5386" i="7"/>
  <c r="D5385" i="7"/>
  <c r="D5384" i="7"/>
  <c r="D5383" i="7"/>
  <c r="D5382" i="7"/>
  <c r="D5381" i="7"/>
  <c r="D5380" i="7"/>
  <c r="D5379" i="7"/>
  <c r="D5378" i="7"/>
  <c r="D5377" i="7"/>
  <c r="D5376" i="7"/>
  <c r="D5375" i="7"/>
  <c r="D5374" i="7"/>
  <c r="D5373" i="7"/>
  <c r="D5372" i="7"/>
  <c r="D5371" i="7"/>
  <c r="D5370" i="7"/>
  <c r="D5369" i="7"/>
  <c r="D5368" i="7"/>
  <c r="D5367" i="7"/>
  <c r="D5366" i="7"/>
  <c r="D5365" i="7"/>
  <c r="D5364" i="7"/>
  <c r="D5363" i="7"/>
  <c r="D5362" i="7"/>
  <c r="D5361" i="7"/>
  <c r="D5360" i="7"/>
  <c r="D5359" i="7"/>
  <c r="D5358" i="7"/>
  <c r="D5357" i="7"/>
  <c r="D5356" i="7"/>
  <c r="D5355" i="7"/>
  <c r="D5354" i="7"/>
  <c r="D5353" i="7"/>
  <c r="D5352" i="7"/>
  <c r="D5351" i="7"/>
  <c r="D5350" i="7"/>
  <c r="D5349" i="7"/>
  <c r="D5348" i="7"/>
  <c r="D5347" i="7"/>
  <c r="D5346" i="7"/>
  <c r="D5345" i="7"/>
  <c r="D5344" i="7"/>
  <c r="D5343" i="7"/>
  <c r="D5342" i="7"/>
  <c r="D5341" i="7"/>
  <c r="D5340" i="7"/>
  <c r="D5339" i="7"/>
  <c r="D5338" i="7"/>
  <c r="D5337" i="7"/>
  <c r="D5336" i="7"/>
  <c r="D5335" i="7"/>
  <c r="D5334" i="7"/>
  <c r="D5333" i="7"/>
  <c r="D5332" i="7"/>
  <c r="D5331" i="7"/>
  <c r="D5330" i="7"/>
  <c r="D5329" i="7"/>
  <c r="D5328" i="7"/>
  <c r="D5327" i="7"/>
  <c r="D5326" i="7"/>
  <c r="D5325" i="7"/>
  <c r="D5324" i="7"/>
  <c r="D5323" i="7"/>
  <c r="D5322" i="7"/>
  <c r="D5321" i="7"/>
  <c r="D5320" i="7"/>
  <c r="D5319" i="7"/>
  <c r="D5318" i="7"/>
  <c r="D5317" i="7"/>
  <c r="D5316" i="7"/>
  <c r="D5315" i="7"/>
  <c r="D5314" i="7"/>
  <c r="D5313" i="7"/>
  <c r="D5312" i="7"/>
  <c r="D5311" i="7"/>
  <c r="D5310" i="7"/>
  <c r="D5309" i="7"/>
  <c r="D5308" i="7"/>
  <c r="D5307" i="7"/>
  <c r="D5306" i="7"/>
  <c r="D5305" i="7"/>
  <c r="D5304" i="7"/>
  <c r="D5303" i="7"/>
  <c r="D5302" i="7"/>
  <c r="D5301" i="7"/>
  <c r="D5300" i="7"/>
  <c r="D5299" i="7"/>
  <c r="D5298" i="7"/>
  <c r="D5297" i="7"/>
  <c r="D5296" i="7"/>
  <c r="D5295" i="7"/>
  <c r="D5294" i="7"/>
  <c r="D5293" i="7"/>
  <c r="D5292" i="7"/>
  <c r="D5291" i="7"/>
  <c r="D5290" i="7"/>
  <c r="D5289" i="7"/>
  <c r="D5288" i="7"/>
  <c r="D5287" i="7"/>
  <c r="D5286" i="7"/>
  <c r="D5285" i="7"/>
  <c r="D5284" i="7"/>
  <c r="D5283" i="7"/>
  <c r="D5282" i="7"/>
  <c r="D5281" i="7"/>
  <c r="D5280" i="7"/>
  <c r="D5279" i="7"/>
  <c r="D5278" i="7"/>
  <c r="D5277" i="7"/>
  <c r="D5276" i="7"/>
  <c r="D5275" i="7"/>
  <c r="D5274" i="7"/>
  <c r="D5273" i="7"/>
  <c r="D5272" i="7"/>
  <c r="D5271" i="7"/>
  <c r="D5270" i="7"/>
  <c r="D5269" i="7"/>
  <c r="D5268" i="7"/>
  <c r="D5267" i="7"/>
  <c r="D5266" i="7"/>
  <c r="D5265" i="7"/>
  <c r="D5264" i="7"/>
  <c r="D5263" i="7"/>
  <c r="D5262" i="7"/>
  <c r="D5261" i="7"/>
  <c r="D5260" i="7"/>
  <c r="D5259" i="7"/>
  <c r="D5258" i="7"/>
  <c r="D5257" i="7"/>
  <c r="D5256" i="7"/>
  <c r="D5255" i="7"/>
  <c r="D5254" i="7"/>
  <c r="D5253" i="7"/>
  <c r="D5252" i="7"/>
  <c r="D5251" i="7"/>
  <c r="D5250" i="7"/>
  <c r="D5249" i="7"/>
  <c r="D5248" i="7"/>
  <c r="D5247" i="7"/>
  <c r="D5246" i="7"/>
  <c r="D5245" i="7"/>
  <c r="D5244" i="7"/>
  <c r="D5243" i="7"/>
  <c r="D5242" i="7"/>
  <c r="D5241" i="7"/>
  <c r="D5240" i="7"/>
  <c r="D5239" i="7"/>
  <c r="D5238" i="7"/>
  <c r="D5237" i="7"/>
  <c r="D5236" i="7"/>
  <c r="D5235" i="7"/>
  <c r="D5234" i="7"/>
  <c r="D5233" i="7"/>
  <c r="D5232" i="7"/>
  <c r="D5231" i="7"/>
  <c r="D5230" i="7"/>
  <c r="D5229" i="7"/>
  <c r="D5228" i="7"/>
  <c r="D5227" i="7"/>
  <c r="D5226" i="7"/>
  <c r="D5225" i="7"/>
  <c r="D5224" i="7"/>
  <c r="D5223" i="7"/>
  <c r="D5222" i="7"/>
  <c r="D5221" i="7"/>
  <c r="D5220" i="7"/>
  <c r="D5219" i="7"/>
  <c r="D5218" i="7"/>
  <c r="D5217" i="7"/>
  <c r="D5216" i="7"/>
  <c r="D5215" i="7"/>
  <c r="D5214" i="7"/>
  <c r="D5213" i="7"/>
  <c r="D5212" i="7"/>
  <c r="D5211" i="7"/>
  <c r="D5210" i="7"/>
  <c r="D5209" i="7"/>
  <c r="D5208" i="7"/>
  <c r="D5207" i="7"/>
  <c r="D5206" i="7"/>
  <c r="D5205" i="7"/>
  <c r="D5204" i="7"/>
  <c r="D5203" i="7"/>
  <c r="D5202" i="7"/>
  <c r="D5201" i="7"/>
  <c r="D5200" i="7"/>
  <c r="D5199" i="7"/>
  <c r="D5198" i="7"/>
  <c r="D5197" i="7"/>
  <c r="D5196" i="7"/>
  <c r="D5195" i="7"/>
  <c r="D5194" i="7"/>
  <c r="D5193" i="7"/>
  <c r="D5192" i="7"/>
  <c r="D5191" i="7"/>
  <c r="D5190" i="7"/>
  <c r="D5189" i="7"/>
  <c r="D5188" i="7"/>
  <c r="D5187" i="7"/>
  <c r="D5186" i="7"/>
  <c r="D5185" i="7"/>
  <c r="D5184" i="7"/>
  <c r="D5183" i="7"/>
  <c r="D5182" i="7"/>
  <c r="D5181" i="7"/>
  <c r="D5180" i="7"/>
  <c r="D5179" i="7"/>
  <c r="D5178" i="7"/>
  <c r="D5177" i="7"/>
  <c r="D5176" i="7"/>
  <c r="D5175" i="7"/>
  <c r="D5174" i="7"/>
  <c r="D5173" i="7"/>
  <c r="D5172" i="7"/>
  <c r="D5171" i="7"/>
  <c r="D5170" i="7"/>
  <c r="D5169" i="7"/>
  <c r="D5168" i="7"/>
  <c r="D5167" i="7"/>
  <c r="D5166" i="7"/>
  <c r="D5165" i="7"/>
  <c r="D5164" i="7"/>
  <c r="D5163" i="7"/>
  <c r="D5162" i="7"/>
  <c r="D5161" i="7"/>
  <c r="D5160" i="7"/>
  <c r="D5159" i="7"/>
  <c r="D5158" i="7"/>
  <c r="D5157" i="7"/>
  <c r="D5156" i="7"/>
  <c r="D5155" i="7"/>
  <c r="D5154" i="7"/>
  <c r="D5153" i="7"/>
  <c r="D5152" i="7"/>
  <c r="D5151" i="7"/>
  <c r="D5150" i="7"/>
  <c r="D5149" i="7"/>
  <c r="D5148" i="7"/>
  <c r="D5147" i="7"/>
  <c r="D5146" i="7"/>
  <c r="D5145" i="7"/>
  <c r="D5144" i="7"/>
  <c r="D5143" i="7"/>
  <c r="D5142" i="7"/>
  <c r="D5141" i="7"/>
  <c r="D5140" i="7"/>
  <c r="D5139" i="7"/>
  <c r="D5138" i="7"/>
  <c r="D5137" i="7"/>
  <c r="D5136" i="7"/>
  <c r="D5135" i="7"/>
  <c r="D5134" i="7"/>
  <c r="D5133" i="7"/>
  <c r="D5132" i="7"/>
  <c r="D5131" i="7"/>
  <c r="D5130" i="7"/>
  <c r="D5129" i="7"/>
  <c r="D5128" i="7"/>
  <c r="D5127" i="7"/>
  <c r="D5126" i="7"/>
  <c r="D5125" i="7"/>
  <c r="D5124" i="7"/>
  <c r="D5123" i="7"/>
  <c r="D5122" i="7"/>
  <c r="D5121" i="7"/>
  <c r="D5120" i="7"/>
  <c r="D5119" i="7"/>
  <c r="D5118" i="7"/>
  <c r="D5117" i="7"/>
  <c r="D5116" i="7"/>
  <c r="D5115" i="7"/>
  <c r="D5114" i="7"/>
  <c r="D5113" i="7"/>
  <c r="D5112" i="7"/>
  <c r="D5111" i="7"/>
  <c r="D5110" i="7"/>
  <c r="D5109" i="7"/>
  <c r="D5108" i="7"/>
  <c r="D5107" i="7"/>
  <c r="D5106" i="7"/>
  <c r="D5105" i="7"/>
  <c r="D5104" i="7"/>
  <c r="D5103" i="7"/>
  <c r="D5102" i="7"/>
  <c r="D5101" i="7"/>
  <c r="D5100" i="7"/>
  <c r="D5099" i="7"/>
  <c r="D5098" i="7"/>
  <c r="D5097" i="7"/>
  <c r="D5096" i="7"/>
  <c r="D5095" i="7"/>
  <c r="D5094" i="7"/>
  <c r="D5093" i="7"/>
  <c r="D5092" i="7"/>
  <c r="D5091" i="7"/>
  <c r="D5090" i="7"/>
  <c r="D5089" i="7"/>
  <c r="D5088" i="7"/>
  <c r="D5087" i="7"/>
  <c r="D5086" i="7"/>
  <c r="D5085" i="7"/>
  <c r="D5084" i="7"/>
  <c r="D5083" i="7"/>
  <c r="D5082" i="7"/>
  <c r="D5081" i="7"/>
  <c r="D5080" i="7"/>
  <c r="D5079" i="7"/>
  <c r="D5078" i="7"/>
  <c r="D5077" i="7"/>
  <c r="D5076" i="7"/>
  <c r="D5075" i="7"/>
  <c r="D5074" i="7"/>
  <c r="D5073" i="7"/>
  <c r="D5072" i="7"/>
  <c r="D5071" i="7"/>
  <c r="D5070" i="7"/>
  <c r="D5069" i="7"/>
  <c r="D5068" i="7"/>
  <c r="D5067" i="7"/>
  <c r="D5066" i="7"/>
  <c r="D5065" i="7"/>
  <c r="D5064" i="7"/>
  <c r="D5063" i="7"/>
  <c r="D5062" i="7"/>
  <c r="D5061" i="7"/>
  <c r="D5060" i="7"/>
  <c r="D5059" i="7"/>
  <c r="D5058" i="7"/>
  <c r="D5057" i="7"/>
  <c r="D5056" i="7"/>
  <c r="D5055" i="7"/>
  <c r="D5054" i="7"/>
  <c r="D5053" i="7"/>
  <c r="D5052" i="7"/>
  <c r="D5051" i="7"/>
  <c r="D5050" i="7"/>
  <c r="D5049" i="7"/>
  <c r="D5048" i="7"/>
  <c r="D5047" i="7"/>
  <c r="D5046" i="7"/>
  <c r="D5045" i="7"/>
  <c r="D5044" i="7"/>
  <c r="D5043" i="7"/>
  <c r="D5042" i="7"/>
  <c r="D5041" i="7"/>
  <c r="D5040" i="7"/>
  <c r="D5039" i="7"/>
  <c r="D5038" i="7"/>
  <c r="D5037" i="7"/>
  <c r="D5036" i="7"/>
  <c r="D5035" i="7"/>
  <c r="D5034" i="7"/>
  <c r="D5033" i="7"/>
  <c r="D5032" i="7"/>
  <c r="D5031" i="7"/>
  <c r="D5030" i="7"/>
  <c r="D5029" i="7"/>
  <c r="D5028" i="7"/>
  <c r="D5027" i="7"/>
  <c r="D5026" i="7"/>
  <c r="D5025" i="7"/>
  <c r="D5024" i="7"/>
  <c r="D5023" i="7"/>
  <c r="D5022" i="7"/>
  <c r="D5021" i="7"/>
  <c r="D5020" i="7"/>
  <c r="D5019" i="7"/>
  <c r="D5018" i="7"/>
  <c r="D5017" i="7"/>
  <c r="D5016" i="7"/>
  <c r="D5015" i="7"/>
  <c r="D5014" i="7"/>
  <c r="D5013" i="7"/>
  <c r="D5012" i="7"/>
  <c r="D5011" i="7"/>
  <c r="D5010" i="7"/>
  <c r="D5009" i="7"/>
  <c r="D5008" i="7"/>
  <c r="D5007" i="7"/>
  <c r="D5006" i="7"/>
  <c r="D5005" i="7"/>
  <c r="D5004" i="7"/>
  <c r="D5003" i="7"/>
  <c r="D5002" i="7"/>
  <c r="D5001" i="7"/>
  <c r="D5000" i="7"/>
  <c r="D4999" i="7"/>
  <c r="D4998" i="7"/>
  <c r="D4997" i="7"/>
  <c r="D4996" i="7"/>
  <c r="D4995" i="7"/>
  <c r="D4994" i="7"/>
  <c r="D4993" i="7"/>
  <c r="D4992" i="7"/>
  <c r="D4991" i="7"/>
  <c r="D4990" i="7"/>
  <c r="D4989" i="7"/>
  <c r="D4988" i="7"/>
  <c r="D4987" i="7"/>
  <c r="D4986" i="7"/>
  <c r="D4985" i="7"/>
  <c r="D4984" i="7"/>
  <c r="D4983" i="7"/>
  <c r="D4982" i="7"/>
  <c r="D4981" i="7"/>
  <c r="D4980" i="7"/>
  <c r="D4979" i="7"/>
  <c r="D4978" i="7"/>
  <c r="D4977" i="7"/>
  <c r="D4976" i="7"/>
  <c r="D4975" i="7"/>
  <c r="D4974" i="7"/>
  <c r="D4973" i="7"/>
  <c r="D4972" i="7"/>
  <c r="D4971" i="7"/>
  <c r="D4970" i="7"/>
  <c r="D4969" i="7"/>
  <c r="D4968" i="7"/>
  <c r="D4967" i="7"/>
  <c r="D4966" i="7"/>
  <c r="D4965" i="7"/>
  <c r="D4964" i="7"/>
  <c r="D4963" i="7"/>
  <c r="D4962" i="7"/>
  <c r="D4961" i="7"/>
  <c r="D4960" i="7"/>
  <c r="D4959" i="7"/>
  <c r="D4958" i="7"/>
  <c r="D4957" i="7"/>
  <c r="D4956" i="7"/>
  <c r="D4955" i="7"/>
  <c r="D4954" i="7"/>
  <c r="D4953" i="7"/>
  <c r="D4952" i="7"/>
  <c r="D4951" i="7"/>
  <c r="D4950" i="7"/>
  <c r="D4949" i="7"/>
  <c r="D4948" i="7"/>
  <c r="D4947" i="7"/>
  <c r="D4946" i="7"/>
  <c r="D4945" i="7"/>
  <c r="D4944" i="7"/>
  <c r="D4943" i="7"/>
  <c r="D4942" i="7"/>
  <c r="D4941" i="7"/>
  <c r="D4940" i="7"/>
  <c r="D4939" i="7"/>
  <c r="D4938" i="7"/>
  <c r="D4937" i="7"/>
  <c r="D4936" i="7"/>
  <c r="D4935" i="7"/>
  <c r="D4934" i="7"/>
  <c r="D4933" i="7"/>
  <c r="D4932" i="7"/>
  <c r="D4931" i="7"/>
  <c r="D4930" i="7"/>
  <c r="D4929" i="7"/>
  <c r="D4928" i="7"/>
  <c r="D4927" i="7"/>
  <c r="D4926" i="7"/>
  <c r="D4925" i="7"/>
  <c r="D4924" i="7"/>
  <c r="D4923" i="7"/>
  <c r="D4922" i="7"/>
  <c r="D4921" i="7"/>
  <c r="D4920" i="7"/>
  <c r="D4919" i="7"/>
  <c r="D4918" i="7"/>
  <c r="D4917" i="7"/>
  <c r="D4916" i="7"/>
  <c r="D4915" i="7"/>
  <c r="D4914" i="7"/>
  <c r="D4913" i="7"/>
  <c r="D4912" i="7"/>
  <c r="D4911" i="7"/>
  <c r="D4910" i="7"/>
  <c r="D4909" i="7"/>
  <c r="D4908" i="7"/>
  <c r="D4907" i="7"/>
  <c r="D4906" i="7"/>
  <c r="D4905" i="7"/>
  <c r="D4904" i="7"/>
  <c r="D4903" i="7"/>
  <c r="D4902" i="7"/>
  <c r="D4901" i="7"/>
  <c r="D4900" i="7"/>
  <c r="D4899" i="7"/>
  <c r="D4898" i="7"/>
  <c r="D4897" i="7"/>
  <c r="D4896" i="7"/>
  <c r="D4895" i="7"/>
  <c r="D4894" i="7"/>
  <c r="D4893" i="7"/>
  <c r="D4892" i="7"/>
  <c r="D4891" i="7"/>
  <c r="D4890" i="7"/>
  <c r="D4889" i="7"/>
  <c r="D4888" i="7"/>
  <c r="D4887" i="7"/>
  <c r="D4886" i="7"/>
  <c r="D4885" i="7"/>
  <c r="D4884" i="7"/>
  <c r="D4883" i="7"/>
  <c r="D4882" i="7"/>
  <c r="D4881" i="7"/>
  <c r="D4880" i="7"/>
  <c r="D4879" i="7"/>
  <c r="D4878" i="7"/>
  <c r="D4877" i="7"/>
  <c r="D4876" i="7"/>
  <c r="D4875" i="7"/>
  <c r="D4874" i="7"/>
  <c r="D4873" i="7"/>
  <c r="D4872" i="7"/>
  <c r="D4871" i="7"/>
  <c r="D4870" i="7"/>
  <c r="D4869" i="7"/>
  <c r="D4868" i="7"/>
  <c r="D4867" i="7"/>
  <c r="D4866" i="7"/>
  <c r="D4865" i="7"/>
  <c r="D4864" i="7"/>
  <c r="D4863" i="7"/>
  <c r="D4862" i="7"/>
  <c r="D4861" i="7"/>
  <c r="D4860" i="7"/>
  <c r="D4859" i="7"/>
  <c r="D4858" i="7"/>
  <c r="D4857" i="7"/>
  <c r="D4856" i="7"/>
  <c r="D4855" i="7"/>
  <c r="D4854" i="7"/>
  <c r="D4853" i="7"/>
  <c r="D4852" i="7"/>
  <c r="D4851" i="7"/>
  <c r="D4850" i="7"/>
  <c r="D4849" i="7"/>
  <c r="D4848" i="7"/>
  <c r="D4847" i="7"/>
  <c r="D4846" i="7"/>
  <c r="D4845" i="7"/>
  <c r="D4844" i="7"/>
  <c r="D4843" i="7"/>
  <c r="D4842" i="7"/>
  <c r="D4841" i="7"/>
  <c r="D4840" i="7"/>
  <c r="D4839" i="7"/>
  <c r="D4838" i="7"/>
  <c r="D4837" i="7"/>
  <c r="D4836" i="7"/>
  <c r="D4835" i="7"/>
  <c r="D4834" i="7"/>
  <c r="D4833" i="7"/>
  <c r="D4832" i="7"/>
  <c r="D4831" i="7"/>
  <c r="D4830" i="7"/>
  <c r="D4829" i="7"/>
  <c r="D4828" i="7"/>
  <c r="D4827" i="7"/>
  <c r="D4826" i="7"/>
  <c r="D4825" i="7"/>
  <c r="D4824" i="7"/>
  <c r="D4823" i="7"/>
  <c r="D4822" i="7"/>
  <c r="D4821" i="7"/>
  <c r="D4820" i="7"/>
  <c r="D4819" i="7"/>
  <c r="D4818" i="7"/>
  <c r="D4817" i="7"/>
  <c r="D4816" i="7"/>
  <c r="D4815" i="7"/>
  <c r="D4814" i="7"/>
  <c r="D4813" i="7"/>
  <c r="D4812" i="7"/>
  <c r="D4811" i="7"/>
  <c r="D4810" i="7"/>
  <c r="D4809" i="7"/>
  <c r="D4808" i="7"/>
  <c r="D4807" i="7"/>
  <c r="D4806" i="7"/>
  <c r="D4805" i="7"/>
  <c r="D4804" i="7"/>
  <c r="D4803" i="7"/>
  <c r="D4802" i="7"/>
  <c r="D4801" i="7"/>
  <c r="D4800" i="7"/>
  <c r="D4799" i="7"/>
  <c r="D4798" i="7"/>
  <c r="D4797" i="7"/>
  <c r="D4796" i="7"/>
  <c r="D4795" i="7"/>
  <c r="D4794" i="7"/>
  <c r="D4793" i="7"/>
  <c r="D4792" i="7"/>
  <c r="D4791" i="7"/>
  <c r="D4790" i="7"/>
  <c r="D4789" i="7"/>
  <c r="D4788" i="7"/>
  <c r="D4787" i="7"/>
  <c r="D4786" i="7"/>
  <c r="D4785" i="7"/>
  <c r="D4784" i="7"/>
  <c r="D4783" i="7"/>
  <c r="D4782" i="7"/>
  <c r="D4781" i="7"/>
  <c r="D4780" i="7"/>
  <c r="D4779" i="7"/>
  <c r="D4778" i="7"/>
  <c r="D4777" i="7"/>
  <c r="D4776" i="7"/>
  <c r="D4775" i="7"/>
  <c r="D4774" i="7"/>
  <c r="D4773" i="7"/>
  <c r="D4772" i="7"/>
  <c r="D4771" i="7"/>
  <c r="D4770" i="7"/>
  <c r="D4769" i="7"/>
  <c r="D4768" i="7"/>
  <c r="D4767" i="7"/>
  <c r="D4766" i="7"/>
  <c r="D4765" i="7"/>
  <c r="D4764" i="7"/>
  <c r="D4763" i="7"/>
  <c r="D4762" i="7"/>
  <c r="D4761" i="7"/>
  <c r="D4760" i="7"/>
  <c r="D4759" i="7"/>
  <c r="D4758" i="7"/>
  <c r="D4757" i="7"/>
  <c r="D4756" i="7"/>
  <c r="D4755" i="7"/>
  <c r="D4754" i="7"/>
  <c r="D4753" i="7"/>
  <c r="D4752" i="7"/>
  <c r="D4751" i="7"/>
  <c r="D4750" i="7"/>
  <c r="D4749" i="7"/>
  <c r="D4748" i="7"/>
  <c r="D4747" i="7"/>
  <c r="D4746" i="7"/>
  <c r="D4745" i="7"/>
  <c r="D4744" i="7"/>
  <c r="D4743" i="7"/>
  <c r="D4742" i="7"/>
  <c r="D4741" i="7"/>
  <c r="D4740" i="7"/>
  <c r="D4739" i="7"/>
  <c r="D4738" i="7"/>
  <c r="D4737" i="7"/>
  <c r="D4736" i="7"/>
  <c r="D4735" i="7"/>
  <c r="D4734" i="7"/>
  <c r="D4733" i="7"/>
  <c r="D4732" i="7"/>
  <c r="D4731" i="7"/>
  <c r="D4730" i="7"/>
  <c r="D4729" i="7"/>
  <c r="D4728" i="7"/>
  <c r="D4727" i="7"/>
  <c r="D4726" i="7"/>
  <c r="D4725" i="7"/>
  <c r="D4724" i="7"/>
  <c r="D4723" i="7"/>
  <c r="D4722" i="7"/>
  <c r="D4721" i="7"/>
  <c r="D4720" i="7"/>
  <c r="D4719" i="7"/>
  <c r="D4718" i="7"/>
  <c r="D4717" i="7"/>
  <c r="D4716" i="7"/>
  <c r="D4715" i="7"/>
  <c r="D4714" i="7"/>
  <c r="D4713" i="7"/>
  <c r="D4712" i="7"/>
  <c r="D4711" i="7"/>
  <c r="D4710" i="7"/>
  <c r="D4709" i="7"/>
  <c r="D4708" i="7"/>
  <c r="D4707" i="7"/>
  <c r="D4706" i="7"/>
  <c r="D4705" i="7"/>
  <c r="D4704" i="7"/>
  <c r="D4703" i="7"/>
  <c r="D4702" i="7"/>
  <c r="D4701" i="7"/>
  <c r="D4700" i="7"/>
  <c r="D4699" i="7"/>
  <c r="D4698" i="7"/>
  <c r="D4697" i="7"/>
  <c r="D4696" i="7"/>
  <c r="D4695" i="7"/>
  <c r="D4694" i="7"/>
  <c r="D4693" i="7"/>
  <c r="D4692" i="7"/>
  <c r="D4691" i="7"/>
  <c r="D4690" i="7"/>
  <c r="D4689" i="7"/>
  <c r="D4688" i="7"/>
  <c r="D4687" i="7"/>
  <c r="D4686" i="7"/>
  <c r="D4685" i="7"/>
  <c r="D4684" i="7"/>
  <c r="D4683" i="7"/>
  <c r="D4682" i="7"/>
  <c r="D4681" i="7"/>
  <c r="D4680" i="7"/>
  <c r="D4679" i="7"/>
  <c r="D4678" i="7"/>
  <c r="D4677" i="7"/>
  <c r="D4676" i="7"/>
  <c r="D4675" i="7"/>
  <c r="D4674" i="7"/>
  <c r="D4673" i="7"/>
  <c r="D4672" i="7"/>
  <c r="D4671" i="7"/>
  <c r="D4670" i="7"/>
  <c r="D4669" i="7"/>
  <c r="D4668" i="7"/>
  <c r="D4667" i="7"/>
  <c r="D4666" i="7"/>
  <c r="D4665" i="7"/>
  <c r="D4664" i="7"/>
  <c r="D4663" i="7"/>
  <c r="D4662" i="7"/>
  <c r="D4661" i="7"/>
  <c r="D4660" i="7"/>
  <c r="D4659" i="7"/>
  <c r="D4658" i="7"/>
  <c r="D4657" i="7"/>
  <c r="D4656" i="7"/>
  <c r="D4655" i="7"/>
  <c r="D4654" i="7"/>
  <c r="D4653" i="7"/>
  <c r="D4652" i="7"/>
  <c r="D4651" i="7"/>
  <c r="D4650" i="7"/>
  <c r="D4649" i="7"/>
  <c r="D4648" i="7"/>
  <c r="D4647" i="7"/>
  <c r="D4646" i="7"/>
  <c r="D4645" i="7"/>
  <c r="D4644" i="7"/>
  <c r="D4643" i="7"/>
  <c r="D4642" i="7"/>
  <c r="D4641" i="7"/>
  <c r="D4640" i="7"/>
  <c r="D4639" i="7"/>
  <c r="D4638" i="7"/>
  <c r="D4637" i="7"/>
  <c r="D4636" i="7"/>
  <c r="D4635" i="7"/>
  <c r="D4634" i="7"/>
  <c r="D4633" i="7"/>
  <c r="D4632" i="7"/>
  <c r="D4631" i="7"/>
  <c r="D4630" i="7"/>
  <c r="D4629" i="7"/>
  <c r="D4628" i="7"/>
  <c r="D4627" i="7"/>
  <c r="D4626" i="7"/>
  <c r="D4625" i="7"/>
  <c r="D4624" i="7"/>
  <c r="D4623" i="7"/>
  <c r="D4622" i="7"/>
  <c r="D4621" i="7"/>
  <c r="D4620" i="7"/>
  <c r="D4619" i="7"/>
  <c r="D4618" i="7"/>
  <c r="D4617" i="7"/>
  <c r="D4616" i="7"/>
  <c r="D4615" i="7"/>
  <c r="D4614" i="7"/>
  <c r="D4613" i="7"/>
  <c r="D4612" i="7"/>
  <c r="D4611" i="7"/>
  <c r="D4610" i="7"/>
  <c r="D4609" i="7"/>
  <c r="D4608" i="7"/>
  <c r="D4607" i="7"/>
  <c r="D4606" i="7"/>
  <c r="D4605" i="7"/>
  <c r="D4604" i="7"/>
  <c r="D4603" i="7"/>
  <c r="D4602" i="7"/>
  <c r="D4601" i="7"/>
  <c r="D4600" i="7"/>
  <c r="D4599" i="7"/>
  <c r="D4598" i="7"/>
  <c r="D4597" i="7"/>
  <c r="D4596" i="7"/>
  <c r="D4595" i="7"/>
  <c r="D4594" i="7"/>
  <c r="D4593" i="7"/>
  <c r="D4592" i="7"/>
  <c r="D4591" i="7"/>
  <c r="D4590" i="7"/>
  <c r="D4589" i="7"/>
  <c r="D4588" i="7"/>
  <c r="D4587" i="7"/>
  <c r="D4586" i="7"/>
  <c r="D4585" i="7"/>
  <c r="D4584" i="7"/>
  <c r="D4583" i="7"/>
  <c r="D4582" i="7"/>
  <c r="D4581" i="7"/>
  <c r="D4580" i="7"/>
  <c r="D4579" i="7"/>
  <c r="D4578" i="7"/>
  <c r="D4577" i="7"/>
  <c r="D4576" i="7"/>
  <c r="D4575" i="7"/>
  <c r="D4574" i="7"/>
  <c r="D4573" i="7"/>
  <c r="D4572" i="7"/>
  <c r="D4571" i="7"/>
  <c r="D4570" i="7"/>
  <c r="D4569" i="7"/>
  <c r="D4568" i="7"/>
  <c r="D4567" i="7"/>
  <c r="D4566" i="7"/>
  <c r="D4565" i="7"/>
  <c r="D4564" i="7"/>
  <c r="D4563" i="7"/>
  <c r="D4562" i="7"/>
  <c r="D4561" i="7"/>
  <c r="D4560" i="7"/>
  <c r="D4559" i="7"/>
  <c r="D4558" i="7"/>
  <c r="D4557" i="7"/>
  <c r="D4556" i="7"/>
  <c r="D4555" i="7"/>
  <c r="D4554" i="7"/>
  <c r="D4553" i="7"/>
  <c r="D4552" i="7"/>
  <c r="D4551" i="7"/>
  <c r="D4550" i="7"/>
  <c r="D4549" i="7"/>
  <c r="D4548" i="7"/>
  <c r="D4547" i="7"/>
  <c r="D4546" i="7"/>
  <c r="D4545" i="7"/>
  <c r="D4544" i="7"/>
  <c r="D4543" i="7"/>
  <c r="D4542" i="7"/>
  <c r="D4541" i="7"/>
  <c r="D4540" i="7"/>
  <c r="D4539" i="7"/>
  <c r="D4538" i="7"/>
  <c r="D4537" i="7"/>
  <c r="D4536" i="7"/>
  <c r="D4535" i="7"/>
  <c r="D4534" i="7"/>
  <c r="D4533" i="7"/>
  <c r="D4532" i="7"/>
  <c r="D4531" i="7"/>
  <c r="D4530" i="7"/>
  <c r="D4529" i="7"/>
  <c r="D4528" i="7"/>
  <c r="D4527" i="7"/>
  <c r="D4526" i="7"/>
  <c r="D4525" i="7"/>
  <c r="D4524" i="7"/>
  <c r="D4523" i="7"/>
  <c r="D4522" i="7"/>
  <c r="D4521" i="7"/>
  <c r="D4520" i="7"/>
  <c r="D4519" i="7"/>
  <c r="D4518" i="7"/>
  <c r="D4517" i="7"/>
  <c r="D4516" i="7"/>
  <c r="D4515" i="7"/>
  <c r="D4514" i="7"/>
  <c r="D4513" i="7"/>
  <c r="D4512" i="7"/>
  <c r="D4511" i="7"/>
  <c r="D4510" i="7"/>
  <c r="D4509" i="7"/>
  <c r="D4508" i="7"/>
  <c r="D4507" i="7"/>
  <c r="D4506" i="7"/>
  <c r="D4505" i="7"/>
  <c r="D4504" i="7"/>
  <c r="D4503" i="7"/>
  <c r="D4502" i="7"/>
  <c r="D4501" i="7"/>
  <c r="D4500" i="7"/>
  <c r="D4499" i="7"/>
  <c r="D4498" i="7"/>
  <c r="D4497" i="7"/>
  <c r="D4496" i="7"/>
  <c r="D4495" i="7"/>
  <c r="D4494" i="7"/>
  <c r="D4493" i="7"/>
  <c r="D4492" i="7"/>
  <c r="D4491" i="7"/>
  <c r="D4490" i="7"/>
  <c r="D4489" i="7"/>
  <c r="D4488" i="7"/>
  <c r="D4487" i="7"/>
  <c r="D4486" i="7"/>
  <c r="D4485" i="7"/>
  <c r="D4484" i="7"/>
  <c r="D4483" i="7"/>
  <c r="D4482" i="7"/>
  <c r="D4481" i="7"/>
  <c r="D4480" i="7"/>
  <c r="D4479" i="7"/>
  <c r="D4478" i="7"/>
  <c r="D4477" i="7"/>
  <c r="D4476" i="7"/>
  <c r="D4475" i="7"/>
  <c r="D4474" i="7"/>
  <c r="D4473" i="7"/>
  <c r="D4472" i="7"/>
  <c r="D4471" i="7"/>
  <c r="D4470" i="7"/>
  <c r="D4469" i="7"/>
  <c r="D4468" i="7"/>
  <c r="D4467" i="7"/>
  <c r="D4466" i="7"/>
  <c r="D4465" i="7"/>
  <c r="D4464" i="7"/>
  <c r="D4463" i="7"/>
  <c r="D4462" i="7"/>
  <c r="D4461" i="7"/>
  <c r="D4460" i="7"/>
  <c r="D4459" i="7"/>
  <c r="D4458" i="7"/>
  <c r="D4457" i="7"/>
  <c r="D4456" i="7"/>
  <c r="D4455" i="7"/>
  <c r="D4454" i="7"/>
  <c r="D4453" i="7"/>
  <c r="D4452" i="7"/>
  <c r="D4451" i="7"/>
  <c r="D4450" i="7"/>
  <c r="D4449" i="7"/>
  <c r="D4448" i="7"/>
  <c r="D4447" i="7"/>
  <c r="D4446" i="7"/>
  <c r="D4445" i="7"/>
  <c r="D4444" i="7"/>
  <c r="D4443" i="7"/>
  <c r="D4442" i="7"/>
  <c r="D4441" i="7"/>
  <c r="D4440" i="7"/>
  <c r="D4439" i="7"/>
  <c r="D4438" i="7"/>
  <c r="D4437" i="7"/>
  <c r="D4436" i="7"/>
  <c r="D4435" i="7"/>
  <c r="D4434" i="7"/>
  <c r="D4433" i="7"/>
  <c r="D4432" i="7"/>
  <c r="D4431" i="7"/>
  <c r="D4430" i="7"/>
  <c r="D4429" i="7"/>
  <c r="D4428" i="7"/>
  <c r="D4427" i="7"/>
  <c r="D4426" i="7"/>
  <c r="D4425" i="7"/>
  <c r="D4424" i="7"/>
  <c r="D4423" i="7"/>
  <c r="D4422" i="7"/>
  <c r="D4421" i="7"/>
  <c r="D4420" i="7"/>
  <c r="D4419" i="7"/>
  <c r="D4418" i="7"/>
  <c r="D4417" i="7"/>
  <c r="D4416" i="7"/>
  <c r="D4415" i="7"/>
  <c r="D4414" i="7"/>
  <c r="D4413" i="7"/>
  <c r="D4412" i="7"/>
  <c r="D4411" i="7"/>
  <c r="D4410" i="7"/>
  <c r="D4409" i="7"/>
  <c r="D4408" i="7"/>
  <c r="D4407" i="7"/>
  <c r="D4406" i="7"/>
  <c r="D4405" i="7"/>
  <c r="D4404" i="7"/>
  <c r="D4403" i="7"/>
  <c r="D4402" i="7"/>
  <c r="D4401" i="7"/>
  <c r="D4400" i="7"/>
  <c r="D4399" i="7"/>
  <c r="D4398" i="7"/>
  <c r="D4397" i="7"/>
  <c r="D4396" i="7"/>
  <c r="D4395" i="7"/>
  <c r="D4394" i="7"/>
  <c r="D4393" i="7"/>
  <c r="D4392" i="7"/>
  <c r="D4391" i="7"/>
  <c r="D4390" i="7"/>
  <c r="D4389" i="7"/>
  <c r="D4388" i="7"/>
  <c r="D4387" i="7"/>
  <c r="D4386" i="7"/>
  <c r="D4385" i="7"/>
  <c r="D4384" i="7"/>
  <c r="D4383" i="7"/>
  <c r="D4382" i="7"/>
  <c r="D4381" i="7"/>
  <c r="D4380" i="7"/>
  <c r="D4379" i="7"/>
  <c r="D4378" i="7"/>
  <c r="D4377" i="7"/>
  <c r="D4376" i="7"/>
  <c r="D4375" i="7"/>
  <c r="D4374" i="7"/>
  <c r="D4373" i="7"/>
  <c r="D4372" i="7"/>
  <c r="D4371" i="7"/>
  <c r="D4370" i="7"/>
  <c r="D4369" i="7"/>
  <c r="D4368" i="7"/>
  <c r="D4367" i="7"/>
  <c r="D4366" i="7"/>
  <c r="D4365" i="7"/>
  <c r="D4364" i="7"/>
  <c r="D4363" i="7"/>
  <c r="D4362" i="7"/>
  <c r="D4361" i="7"/>
  <c r="D4360" i="7"/>
  <c r="D4359" i="7"/>
  <c r="D4358" i="7"/>
  <c r="D4357" i="7"/>
  <c r="D4356" i="7"/>
  <c r="D4355" i="7"/>
  <c r="D4354" i="7"/>
  <c r="D4353" i="7"/>
  <c r="D4352" i="7"/>
  <c r="D4351" i="7"/>
  <c r="D4350" i="7"/>
  <c r="D4349" i="7"/>
  <c r="D4348" i="7"/>
  <c r="D4347" i="7"/>
  <c r="D4346" i="7"/>
  <c r="D4345" i="7"/>
  <c r="D4344" i="7"/>
  <c r="D4343" i="7"/>
  <c r="D4342" i="7"/>
  <c r="D4341" i="7"/>
  <c r="D4340" i="7"/>
  <c r="D4339" i="7"/>
  <c r="D4338" i="7"/>
  <c r="D4337" i="7"/>
  <c r="D4336" i="7"/>
  <c r="D4335" i="7"/>
  <c r="D4334" i="7"/>
  <c r="D4333" i="7"/>
  <c r="D4332" i="7"/>
  <c r="D4331" i="7"/>
  <c r="D4330" i="7"/>
  <c r="D4329" i="7"/>
  <c r="D4328" i="7"/>
  <c r="D4327" i="7"/>
  <c r="D4326" i="7"/>
  <c r="D4325" i="7"/>
  <c r="D4324" i="7"/>
  <c r="D4323" i="7"/>
  <c r="D4322" i="7"/>
  <c r="D4321" i="7"/>
  <c r="D4320" i="7"/>
  <c r="D4319" i="7"/>
  <c r="D4318" i="7"/>
  <c r="D4317" i="7"/>
  <c r="D4316" i="7"/>
  <c r="D4315" i="7"/>
  <c r="D4314" i="7"/>
  <c r="D4313" i="7"/>
  <c r="D4312" i="7"/>
  <c r="D4311" i="7"/>
  <c r="D4310" i="7"/>
  <c r="D4309" i="7"/>
  <c r="D4308" i="7"/>
  <c r="D4307" i="7"/>
  <c r="D4306" i="7"/>
  <c r="D4305" i="7"/>
  <c r="D4304" i="7"/>
  <c r="D4303" i="7"/>
  <c r="D4302" i="7"/>
  <c r="D4301" i="7"/>
  <c r="D4300" i="7"/>
  <c r="D4299" i="7"/>
  <c r="D4298" i="7"/>
  <c r="D4297" i="7"/>
  <c r="D4296" i="7"/>
  <c r="D4295" i="7"/>
  <c r="D4294" i="7"/>
  <c r="D4293" i="7"/>
  <c r="D4292" i="7"/>
  <c r="D4291" i="7"/>
  <c r="D4290" i="7"/>
  <c r="D4289" i="7"/>
  <c r="D4288" i="7"/>
  <c r="D4287" i="7"/>
  <c r="D4286" i="7"/>
  <c r="D4285" i="7"/>
  <c r="D4284" i="7"/>
  <c r="D4283" i="7"/>
  <c r="D4282" i="7"/>
  <c r="D4281" i="7"/>
  <c r="D4280" i="7"/>
  <c r="D4279" i="7"/>
  <c r="D4278" i="7"/>
  <c r="D4277" i="7"/>
  <c r="D4276" i="7"/>
  <c r="D4275" i="7"/>
  <c r="D4274" i="7"/>
  <c r="D4273" i="7"/>
  <c r="D4272" i="7"/>
  <c r="D4271" i="7"/>
  <c r="D4270" i="7"/>
  <c r="D4269" i="7"/>
  <c r="D4268" i="7"/>
  <c r="D4267" i="7"/>
  <c r="D4266" i="7"/>
  <c r="D4265" i="7"/>
  <c r="D4264" i="7"/>
  <c r="D4263" i="7"/>
  <c r="D4262" i="7"/>
  <c r="D4261" i="7"/>
  <c r="D4260" i="7"/>
  <c r="D4259" i="7"/>
  <c r="D4258" i="7"/>
  <c r="D4257" i="7"/>
  <c r="D4256" i="7"/>
  <c r="D4255" i="7"/>
  <c r="D4254" i="7"/>
  <c r="D4253" i="7"/>
  <c r="D4252" i="7"/>
  <c r="D4251" i="7"/>
  <c r="D4250" i="7"/>
  <c r="D4249" i="7"/>
  <c r="D4248" i="7"/>
  <c r="D4247" i="7"/>
  <c r="D4246" i="7"/>
  <c r="D4245" i="7"/>
  <c r="D4244" i="7"/>
  <c r="D4243" i="7"/>
  <c r="D4242" i="7"/>
  <c r="D4241" i="7"/>
  <c r="D4240" i="7"/>
  <c r="D4239" i="7"/>
  <c r="D4238" i="7"/>
  <c r="D4237" i="7"/>
  <c r="D4236" i="7"/>
  <c r="D4235" i="7"/>
  <c r="D4234" i="7"/>
  <c r="D4233" i="7"/>
  <c r="D4232" i="7"/>
  <c r="D4231" i="7"/>
  <c r="D4230" i="7"/>
  <c r="D4229" i="7"/>
  <c r="D4228" i="7"/>
  <c r="D4227" i="7"/>
  <c r="D4226" i="7"/>
  <c r="D4225" i="7"/>
  <c r="D4224" i="7"/>
  <c r="D4223" i="7"/>
  <c r="D4222" i="7"/>
  <c r="D4221" i="7"/>
  <c r="D4220" i="7"/>
  <c r="D4219" i="7"/>
  <c r="D4218" i="7"/>
  <c r="D4217" i="7"/>
  <c r="D4216" i="7"/>
  <c r="D4215" i="7"/>
  <c r="D4214" i="7"/>
  <c r="D4213" i="7"/>
  <c r="D4212" i="7"/>
  <c r="D4211" i="7"/>
  <c r="D4210" i="7"/>
  <c r="D4209" i="7"/>
  <c r="D4208" i="7"/>
  <c r="D4207" i="7"/>
  <c r="D4206" i="7"/>
  <c r="D4205" i="7"/>
  <c r="D4204" i="7"/>
  <c r="D4203" i="7"/>
  <c r="D4202" i="7"/>
  <c r="D4201" i="7"/>
  <c r="D4200" i="7"/>
  <c r="D4199" i="7"/>
  <c r="D4198" i="7"/>
  <c r="D4197" i="7"/>
  <c r="D4196" i="7"/>
  <c r="D4195" i="7"/>
  <c r="D4194" i="7"/>
  <c r="D4193" i="7"/>
  <c r="D4192" i="7"/>
  <c r="D4191" i="7"/>
  <c r="D4190" i="7"/>
  <c r="D4189" i="7"/>
  <c r="D4188" i="7"/>
  <c r="D4187" i="7"/>
  <c r="D4186" i="7"/>
  <c r="D4185" i="7"/>
  <c r="D4184" i="7"/>
  <c r="D4183" i="7"/>
  <c r="D4182" i="7"/>
  <c r="D4181" i="7"/>
  <c r="D4180" i="7"/>
  <c r="D4179" i="7"/>
  <c r="D4178" i="7"/>
  <c r="D4177" i="7"/>
  <c r="D4176" i="7"/>
  <c r="D4175" i="7"/>
  <c r="D4174" i="7"/>
  <c r="D4173" i="7"/>
  <c r="D4172" i="7"/>
  <c r="D4171" i="7"/>
  <c r="D4170" i="7"/>
  <c r="D4169" i="7"/>
  <c r="D4168" i="7"/>
  <c r="D4167" i="7"/>
  <c r="D4166" i="7"/>
  <c r="D4165" i="7"/>
  <c r="D4164" i="7"/>
  <c r="D4163" i="7"/>
  <c r="D4162" i="7"/>
  <c r="D4161" i="7"/>
  <c r="D4160" i="7"/>
  <c r="D4159" i="7"/>
  <c r="D4158" i="7"/>
  <c r="D4157" i="7"/>
  <c r="D4156" i="7"/>
  <c r="D4155" i="7"/>
  <c r="D4154" i="7"/>
  <c r="D4153" i="7"/>
  <c r="D4152" i="7"/>
  <c r="D4151" i="7"/>
  <c r="D4150" i="7"/>
  <c r="D4149" i="7"/>
  <c r="D4148" i="7"/>
  <c r="D4147" i="7"/>
  <c r="D4146" i="7"/>
  <c r="D4145" i="7"/>
  <c r="D4144" i="7"/>
  <c r="D4143" i="7"/>
  <c r="D4142" i="7"/>
  <c r="D4141" i="7"/>
  <c r="D4140" i="7"/>
  <c r="D4139" i="7"/>
  <c r="D4138" i="7"/>
  <c r="D4137" i="7"/>
  <c r="D4136" i="7"/>
  <c r="D4135" i="7"/>
  <c r="D4134" i="7"/>
  <c r="D4133" i="7"/>
  <c r="D4132" i="7"/>
  <c r="D4131" i="7"/>
  <c r="D4130" i="7"/>
  <c r="D4129" i="7"/>
  <c r="D4128" i="7"/>
  <c r="D4127" i="7"/>
  <c r="D4126" i="7"/>
  <c r="D4125" i="7"/>
  <c r="D4124" i="7"/>
  <c r="D4123" i="7"/>
  <c r="D4122" i="7"/>
  <c r="D4121" i="7"/>
  <c r="D4120" i="7"/>
  <c r="D4119" i="7"/>
  <c r="D4118" i="7"/>
  <c r="D4117" i="7"/>
  <c r="D4116" i="7"/>
  <c r="D4115" i="7"/>
  <c r="D4114" i="7"/>
  <c r="D4113" i="7"/>
  <c r="D4112" i="7"/>
  <c r="D4111" i="7"/>
  <c r="D4110" i="7"/>
  <c r="D4109" i="7"/>
  <c r="D4108" i="7"/>
  <c r="D4107" i="7"/>
  <c r="D4106" i="7"/>
  <c r="D4105" i="7"/>
  <c r="D4104" i="7"/>
  <c r="D4103" i="7"/>
  <c r="D4102" i="7"/>
  <c r="D4101" i="7"/>
  <c r="D4100" i="7"/>
  <c r="D4099" i="7"/>
  <c r="D4098" i="7"/>
  <c r="D4097" i="7"/>
  <c r="D4096" i="7"/>
  <c r="D4095" i="7"/>
  <c r="D4094" i="7"/>
  <c r="D4093" i="7"/>
  <c r="D4092" i="7"/>
  <c r="D4091" i="7"/>
  <c r="D4090" i="7"/>
  <c r="D4089" i="7"/>
  <c r="D4088" i="7"/>
  <c r="D4087" i="7"/>
  <c r="D4086" i="7"/>
  <c r="D4085" i="7"/>
  <c r="D4084" i="7"/>
  <c r="D4083" i="7"/>
  <c r="D4082" i="7"/>
  <c r="D4081" i="7"/>
  <c r="D4080" i="7"/>
  <c r="D4079" i="7"/>
  <c r="D4078" i="7"/>
  <c r="D4077" i="7"/>
  <c r="D4076" i="7"/>
  <c r="D4075" i="7"/>
  <c r="D4074" i="7"/>
  <c r="D4073" i="7"/>
  <c r="D4072" i="7"/>
  <c r="D4071" i="7"/>
  <c r="D4070" i="7"/>
  <c r="D4069" i="7"/>
  <c r="D4068" i="7"/>
  <c r="D4067" i="7"/>
  <c r="D4066" i="7"/>
  <c r="D4065" i="7"/>
  <c r="D4064" i="7"/>
  <c r="D4063" i="7"/>
  <c r="D4062" i="7"/>
  <c r="D4061" i="7"/>
  <c r="D4060" i="7"/>
  <c r="D4059" i="7"/>
  <c r="D4058" i="7"/>
  <c r="D4057" i="7"/>
  <c r="D4056" i="7"/>
  <c r="D4055" i="7"/>
  <c r="D4054" i="7"/>
  <c r="D4053" i="7"/>
  <c r="D4052" i="7"/>
  <c r="D4051" i="7"/>
  <c r="D4050" i="7"/>
  <c r="D4049" i="7"/>
  <c r="D4048" i="7"/>
  <c r="D4047" i="7"/>
  <c r="D4046" i="7"/>
  <c r="D4045" i="7"/>
  <c r="D4044" i="7"/>
  <c r="D4043" i="7"/>
  <c r="D4042" i="7"/>
  <c r="D4041" i="7"/>
  <c r="D4040" i="7"/>
  <c r="D4039" i="7"/>
  <c r="D4038" i="7"/>
  <c r="D4037" i="7"/>
  <c r="D4036" i="7"/>
  <c r="D4035" i="7"/>
  <c r="D4034" i="7"/>
  <c r="D4033" i="7"/>
  <c r="D4032" i="7"/>
  <c r="D4031" i="7"/>
  <c r="D4030" i="7"/>
  <c r="D4029" i="7"/>
  <c r="D4028" i="7"/>
  <c r="D4027" i="7"/>
  <c r="D4026" i="7"/>
  <c r="D4025" i="7"/>
  <c r="D4024" i="7"/>
  <c r="D4023" i="7"/>
  <c r="D4022" i="7"/>
  <c r="D4021" i="7"/>
  <c r="D4020" i="7"/>
  <c r="D4019" i="7"/>
  <c r="D4018" i="7"/>
  <c r="D4017" i="7"/>
  <c r="D4016" i="7"/>
  <c r="D4015" i="7"/>
  <c r="D4014" i="7"/>
  <c r="D4013" i="7"/>
  <c r="D4012" i="7"/>
  <c r="D4011" i="7"/>
  <c r="D4010" i="7"/>
  <c r="D4009" i="7"/>
  <c r="D4008" i="7"/>
  <c r="D4007" i="7"/>
  <c r="D4006" i="7"/>
  <c r="D4005" i="7"/>
  <c r="D4004" i="7"/>
  <c r="D4003" i="7"/>
  <c r="D4002" i="7"/>
  <c r="D4001" i="7"/>
  <c r="D4000" i="7"/>
  <c r="D3999" i="7"/>
  <c r="D3998" i="7"/>
  <c r="D3997" i="7"/>
  <c r="D3996" i="7"/>
  <c r="D3995" i="7"/>
  <c r="D3994" i="7"/>
  <c r="D3993" i="7"/>
  <c r="D3992" i="7"/>
  <c r="D3991" i="7"/>
  <c r="D3990" i="7"/>
  <c r="D3989" i="7"/>
  <c r="D3988" i="7"/>
  <c r="D3987" i="7"/>
  <c r="D3986" i="7"/>
  <c r="D3985" i="7"/>
  <c r="D3984" i="7"/>
  <c r="D3983" i="7"/>
  <c r="D3982" i="7"/>
  <c r="D3981" i="7"/>
  <c r="D3980" i="7"/>
  <c r="D3979" i="7"/>
  <c r="D3978" i="7"/>
  <c r="D3977" i="7"/>
  <c r="D3976" i="7"/>
  <c r="D3975" i="7"/>
  <c r="D3974" i="7"/>
  <c r="D3973" i="7"/>
  <c r="D3972" i="7"/>
  <c r="D3971" i="7"/>
  <c r="D3970" i="7"/>
  <c r="D3969" i="7"/>
  <c r="D3968" i="7"/>
  <c r="D3967" i="7"/>
  <c r="D3966" i="7"/>
  <c r="D3965" i="7"/>
  <c r="D3964" i="7"/>
  <c r="D3963" i="7"/>
  <c r="D3962" i="7"/>
  <c r="D3961" i="7"/>
  <c r="D3960" i="7"/>
  <c r="D3959" i="7"/>
  <c r="D3958" i="7"/>
  <c r="D3957" i="7"/>
  <c r="D3956" i="7"/>
  <c r="D3955" i="7"/>
  <c r="D3954" i="7"/>
  <c r="D3953" i="7"/>
  <c r="D3952" i="7"/>
  <c r="D3951" i="7"/>
  <c r="D3950" i="7"/>
  <c r="D3949" i="7"/>
  <c r="D3948" i="7"/>
  <c r="D3947" i="7"/>
  <c r="D3946" i="7"/>
  <c r="D3945" i="7"/>
  <c r="D3944" i="7"/>
  <c r="D3943" i="7"/>
  <c r="D3942" i="7"/>
  <c r="D3941" i="7"/>
  <c r="D3940" i="7"/>
  <c r="D3939" i="7"/>
  <c r="D3938" i="7"/>
  <c r="D3937" i="7"/>
  <c r="D3936" i="7"/>
  <c r="D3935" i="7"/>
  <c r="D3934" i="7"/>
  <c r="D3933" i="7"/>
  <c r="D3932" i="7"/>
  <c r="D3931" i="7"/>
  <c r="D3930" i="7"/>
  <c r="D3929" i="7"/>
  <c r="D3928" i="7"/>
  <c r="D3927" i="7"/>
  <c r="D3926" i="7"/>
  <c r="D3925" i="7"/>
  <c r="D3924" i="7"/>
  <c r="D3923" i="7"/>
  <c r="D3922" i="7"/>
  <c r="D3921" i="7"/>
  <c r="D3920" i="7"/>
  <c r="D3919" i="7"/>
  <c r="D3918" i="7"/>
  <c r="D3917" i="7"/>
  <c r="D3916" i="7"/>
  <c r="D3915" i="7"/>
  <c r="D3914" i="7"/>
  <c r="D3913" i="7"/>
  <c r="D3912" i="7"/>
  <c r="D3911" i="7"/>
  <c r="D3910" i="7"/>
  <c r="D3909" i="7"/>
  <c r="D3908" i="7"/>
  <c r="D3907" i="7"/>
  <c r="D3906" i="7"/>
  <c r="D3905" i="7"/>
  <c r="D3904" i="7"/>
  <c r="D3903" i="7"/>
  <c r="D3902" i="7"/>
  <c r="D3901" i="7"/>
  <c r="D3900" i="7"/>
  <c r="D3899" i="7"/>
  <c r="D3898" i="7"/>
  <c r="D3897" i="7"/>
  <c r="D3896" i="7"/>
  <c r="D3895" i="7"/>
  <c r="D3894" i="7"/>
  <c r="D3893" i="7"/>
  <c r="D3892" i="7"/>
  <c r="D3891" i="7"/>
  <c r="D3890" i="7"/>
  <c r="D3889" i="7"/>
  <c r="D3888" i="7"/>
  <c r="D3887" i="7"/>
  <c r="D3886" i="7"/>
  <c r="D3885" i="7"/>
  <c r="D3884" i="7"/>
  <c r="D3883" i="7"/>
  <c r="D3882" i="7"/>
  <c r="D3881" i="7"/>
  <c r="D3880" i="7"/>
  <c r="D3879" i="7"/>
  <c r="D3878" i="7"/>
  <c r="D3877" i="7"/>
  <c r="D3876" i="7"/>
  <c r="D3875" i="7"/>
  <c r="D3874" i="7"/>
  <c r="D3873" i="7"/>
  <c r="D3872" i="7"/>
  <c r="D3871" i="7"/>
  <c r="D3870" i="7"/>
  <c r="D3869" i="7"/>
  <c r="D3868" i="7"/>
  <c r="D3867" i="7"/>
  <c r="D3866" i="7"/>
  <c r="D3865" i="7"/>
  <c r="D3864" i="7"/>
  <c r="D3863" i="7"/>
  <c r="D3862" i="7"/>
  <c r="D3861" i="7"/>
  <c r="D3860" i="7"/>
  <c r="D3859" i="7"/>
  <c r="D3858" i="7"/>
  <c r="D3857" i="7"/>
  <c r="D3856" i="7"/>
  <c r="D3855" i="7"/>
  <c r="D3854" i="7"/>
  <c r="D3853" i="7"/>
  <c r="D3852" i="7"/>
  <c r="D3851" i="7"/>
  <c r="D3850" i="7"/>
  <c r="D3849" i="7"/>
  <c r="D3848" i="7"/>
  <c r="D3847" i="7"/>
  <c r="D3846" i="7"/>
  <c r="D3845" i="7"/>
  <c r="D3844" i="7"/>
  <c r="D3843" i="7"/>
  <c r="D3842" i="7"/>
  <c r="D3841" i="7"/>
  <c r="D3840" i="7"/>
  <c r="D3839" i="7"/>
  <c r="D3838" i="7"/>
  <c r="D3837" i="7"/>
  <c r="D3836" i="7"/>
  <c r="D3835" i="7"/>
  <c r="D3834" i="7"/>
  <c r="D3833" i="7"/>
  <c r="D3832" i="7"/>
  <c r="D3831" i="7"/>
  <c r="D3830" i="7"/>
  <c r="D3829" i="7"/>
  <c r="D3828" i="7"/>
  <c r="D3827" i="7"/>
  <c r="D3826" i="7"/>
  <c r="D3825" i="7"/>
  <c r="D3824" i="7"/>
  <c r="D3823" i="7"/>
  <c r="D3822" i="7"/>
  <c r="D3821" i="7"/>
  <c r="D3820" i="7"/>
  <c r="D3819" i="7"/>
  <c r="D3818" i="7"/>
  <c r="D3817" i="7"/>
  <c r="D3816" i="7"/>
  <c r="D3815" i="7"/>
  <c r="D3814" i="7"/>
  <c r="D3813" i="7"/>
  <c r="D3812" i="7"/>
  <c r="D3811" i="7"/>
  <c r="D3810" i="7"/>
  <c r="D3809" i="7"/>
  <c r="D3808" i="7"/>
  <c r="D3807" i="7"/>
  <c r="D3806" i="7"/>
  <c r="D3805" i="7"/>
  <c r="D3804" i="7"/>
  <c r="D3803" i="7"/>
  <c r="D3802" i="7"/>
  <c r="D3801" i="7"/>
  <c r="D3800" i="7"/>
  <c r="D3799" i="7"/>
  <c r="D3798" i="7"/>
  <c r="D3797" i="7"/>
  <c r="D3796" i="7"/>
  <c r="D3795" i="7"/>
  <c r="D3794" i="7"/>
  <c r="D3793" i="7"/>
  <c r="D3792" i="7"/>
  <c r="D3791" i="7"/>
  <c r="D3790" i="7"/>
  <c r="D3789" i="7"/>
  <c r="D3788" i="7"/>
  <c r="D3787" i="7"/>
  <c r="D3786" i="7"/>
  <c r="D3785" i="7"/>
  <c r="D3784" i="7"/>
  <c r="D3783" i="7"/>
  <c r="D3782" i="7"/>
  <c r="D3781" i="7"/>
  <c r="D3780" i="7"/>
  <c r="D3779" i="7"/>
  <c r="D3778" i="7"/>
  <c r="D3777" i="7"/>
  <c r="D3776" i="7"/>
  <c r="D3775" i="7"/>
  <c r="D3774" i="7"/>
  <c r="D3773" i="7"/>
  <c r="D3772" i="7"/>
  <c r="D3771" i="7"/>
  <c r="D3770" i="7"/>
  <c r="D3769" i="7"/>
  <c r="D3768" i="7"/>
  <c r="D3767" i="7"/>
  <c r="D3766" i="7"/>
  <c r="D3765" i="7"/>
  <c r="D3764" i="7"/>
  <c r="D3763" i="7"/>
  <c r="D3762" i="7"/>
  <c r="D3761" i="7"/>
  <c r="D3760" i="7"/>
  <c r="D3759" i="7"/>
  <c r="D3758" i="7"/>
  <c r="D3757" i="7"/>
  <c r="D3756" i="7"/>
  <c r="D3755" i="7"/>
  <c r="D3754" i="7"/>
  <c r="D3753" i="7"/>
  <c r="D3752" i="7"/>
  <c r="D3751" i="7"/>
  <c r="D3750" i="7"/>
  <c r="D3749" i="7"/>
  <c r="D3748" i="7"/>
  <c r="D3747" i="7"/>
  <c r="D3746" i="7"/>
  <c r="D3745" i="7"/>
  <c r="D3744" i="7"/>
  <c r="D3743" i="7"/>
  <c r="D3742" i="7"/>
  <c r="D3741" i="7"/>
  <c r="D3740" i="7"/>
  <c r="D3739" i="7"/>
  <c r="D3738" i="7"/>
  <c r="D3737" i="7"/>
  <c r="D3736" i="7"/>
  <c r="D3735" i="7"/>
  <c r="D3734" i="7"/>
  <c r="D3733" i="7"/>
  <c r="D3732" i="7"/>
  <c r="D3731" i="7"/>
  <c r="D3730" i="7"/>
  <c r="D3729" i="7"/>
  <c r="D3728" i="7"/>
  <c r="D3727" i="7"/>
  <c r="D3726" i="7"/>
  <c r="D3725" i="7"/>
  <c r="D3724" i="7"/>
  <c r="D3723" i="7"/>
  <c r="D3722" i="7"/>
  <c r="D3721" i="7"/>
  <c r="D3720" i="7"/>
  <c r="D3719" i="7"/>
  <c r="D3718" i="7"/>
  <c r="D3717" i="7"/>
  <c r="D3716" i="7"/>
  <c r="D3715" i="7"/>
  <c r="D3714" i="7"/>
  <c r="D3713" i="7"/>
  <c r="D3712" i="7"/>
  <c r="D3711" i="7"/>
  <c r="D3710" i="7"/>
  <c r="D3709" i="7"/>
  <c r="D3708" i="7"/>
  <c r="D3707" i="7"/>
  <c r="D3706" i="7"/>
  <c r="D3705" i="7"/>
  <c r="D3704" i="7"/>
  <c r="D3703" i="7"/>
  <c r="D3702" i="7"/>
  <c r="D3701" i="7"/>
  <c r="D3700" i="7"/>
  <c r="D3699" i="7"/>
  <c r="D3698" i="7"/>
  <c r="D3697" i="7"/>
  <c r="D3696" i="7"/>
  <c r="D3695" i="7"/>
  <c r="D3694" i="7"/>
  <c r="D3693" i="7"/>
  <c r="D3692" i="7"/>
  <c r="D3691" i="7"/>
  <c r="D3690" i="7"/>
  <c r="D3689" i="7"/>
  <c r="D3688" i="7"/>
  <c r="D3687" i="7"/>
  <c r="D3686" i="7"/>
  <c r="D3685" i="7"/>
  <c r="D3684" i="7"/>
  <c r="D3683" i="7"/>
  <c r="D3682" i="7"/>
  <c r="D3681" i="7"/>
  <c r="D3680" i="7"/>
  <c r="D3679" i="7"/>
  <c r="D3678" i="7"/>
  <c r="D3677" i="7"/>
  <c r="D3676" i="7"/>
  <c r="D3675" i="7"/>
  <c r="D3674" i="7"/>
  <c r="D3673" i="7"/>
  <c r="D3672" i="7"/>
  <c r="D3671" i="7"/>
  <c r="D3670" i="7"/>
  <c r="D3669" i="7"/>
  <c r="D3668" i="7"/>
  <c r="D3667" i="7"/>
  <c r="D3666" i="7"/>
  <c r="D3665" i="7"/>
  <c r="D3664" i="7"/>
  <c r="D3663" i="7"/>
  <c r="D3662" i="7"/>
  <c r="D3661" i="7"/>
  <c r="D3660" i="7"/>
  <c r="D3659" i="7"/>
  <c r="D3658" i="7"/>
  <c r="D3657" i="7"/>
  <c r="D3656" i="7"/>
  <c r="D3655" i="7"/>
  <c r="D3654" i="7"/>
  <c r="D3653" i="7"/>
  <c r="D3652" i="7"/>
  <c r="D3651" i="7"/>
  <c r="D3650" i="7"/>
  <c r="D3649" i="7"/>
  <c r="D3648" i="7"/>
  <c r="D3647" i="7"/>
  <c r="D3646" i="7"/>
  <c r="D3645" i="7"/>
  <c r="D3644" i="7"/>
  <c r="D3643" i="7"/>
  <c r="D3642" i="7"/>
  <c r="D3641" i="7"/>
  <c r="D3640" i="7"/>
  <c r="D3639" i="7"/>
  <c r="D3638" i="7"/>
  <c r="D3637" i="7"/>
  <c r="D3636" i="7"/>
  <c r="D3635" i="7"/>
  <c r="D3634" i="7"/>
  <c r="D3633" i="7"/>
  <c r="D3632" i="7"/>
  <c r="D3631" i="7"/>
  <c r="D3630" i="7"/>
  <c r="D3629" i="7"/>
  <c r="D3628" i="7"/>
  <c r="D3627" i="7"/>
  <c r="D3626" i="7"/>
  <c r="D3625" i="7"/>
  <c r="D3624" i="7"/>
  <c r="D3623" i="7"/>
  <c r="D3622" i="7"/>
  <c r="D3621" i="7"/>
  <c r="D3620" i="7"/>
  <c r="D3619" i="7"/>
  <c r="D3618" i="7"/>
  <c r="D3617" i="7"/>
  <c r="D3616" i="7"/>
  <c r="D3615" i="7"/>
  <c r="D3614" i="7"/>
  <c r="D3613" i="7"/>
  <c r="D3612" i="7"/>
  <c r="D3611" i="7"/>
  <c r="D3610" i="7"/>
  <c r="D3609" i="7"/>
  <c r="D3608" i="7"/>
  <c r="D3607" i="7"/>
  <c r="D3606" i="7"/>
  <c r="D3605" i="7"/>
  <c r="D3604" i="7"/>
  <c r="D3603" i="7"/>
  <c r="D3602" i="7"/>
  <c r="D3601" i="7"/>
  <c r="D3600" i="7"/>
  <c r="D3599" i="7"/>
  <c r="D3598" i="7"/>
  <c r="D3597" i="7"/>
  <c r="D3596" i="7"/>
  <c r="D3595" i="7"/>
  <c r="D3594" i="7"/>
  <c r="D3593" i="7"/>
  <c r="D3592" i="7"/>
  <c r="D3591" i="7"/>
  <c r="D3590" i="7"/>
  <c r="D3589" i="7"/>
  <c r="D3588" i="7"/>
  <c r="D3587" i="7"/>
  <c r="D3586" i="7"/>
  <c r="D3585" i="7"/>
  <c r="D3584" i="7"/>
  <c r="D3583" i="7"/>
  <c r="D3582" i="7"/>
  <c r="D3581" i="7"/>
  <c r="D3580" i="7"/>
  <c r="D3579" i="7"/>
  <c r="D3578" i="7"/>
  <c r="D3577" i="7"/>
  <c r="D3576" i="7"/>
  <c r="D3575" i="7"/>
  <c r="D3574" i="7"/>
  <c r="D3573" i="7"/>
  <c r="D3572" i="7"/>
  <c r="D3571" i="7"/>
  <c r="D3570" i="7"/>
  <c r="D3569" i="7"/>
  <c r="D3568" i="7"/>
  <c r="D3567" i="7"/>
  <c r="D3566" i="7"/>
  <c r="D3565" i="7"/>
  <c r="D3564" i="7"/>
  <c r="D3563" i="7"/>
  <c r="D3562" i="7"/>
  <c r="D3561" i="7"/>
  <c r="D3560" i="7"/>
  <c r="D3559" i="7"/>
  <c r="D3558" i="7"/>
  <c r="D3557" i="7"/>
  <c r="D3556" i="7"/>
  <c r="D3555" i="7"/>
  <c r="D3554" i="7"/>
  <c r="D3553" i="7"/>
  <c r="D3552" i="7"/>
  <c r="D3551" i="7"/>
  <c r="D3550" i="7"/>
  <c r="D3549" i="7"/>
  <c r="D3548" i="7"/>
  <c r="D3547" i="7"/>
  <c r="D3546" i="7"/>
  <c r="D3545" i="7"/>
  <c r="D3544" i="7"/>
  <c r="D3543" i="7"/>
  <c r="D3542" i="7"/>
  <c r="D3541" i="7"/>
  <c r="D3540" i="7"/>
  <c r="D3539" i="7"/>
  <c r="D3538" i="7"/>
  <c r="D3537" i="7"/>
  <c r="D3536" i="7"/>
  <c r="D3535" i="7"/>
  <c r="D3534" i="7"/>
  <c r="D3533" i="7"/>
  <c r="D3532" i="7"/>
  <c r="D3531" i="7"/>
  <c r="D3530" i="7"/>
  <c r="D3529" i="7"/>
  <c r="D3528" i="7"/>
  <c r="D3527" i="7"/>
  <c r="D3526" i="7"/>
  <c r="D3525" i="7"/>
  <c r="D3524" i="7"/>
  <c r="D3523" i="7"/>
  <c r="D3522" i="7"/>
  <c r="D3521" i="7"/>
  <c r="D3520" i="7"/>
  <c r="D3519" i="7"/>
  <c r="D3518" i="7"/>
  <c r="D3517" i="7"/>
  <c r="D3516" i="7"/>
  <c r="D3515" i="7"/>
  <c r="D3514" i="7"/>
  <c r="D3513" i="7"/>
  <c r="D3512" i="7"/>
  <c r="D3511" i="7"/>
  <c r="D3510" i="7"/>
  <c r="D3509" i="7"/>
  <c r="D3508" i="7"/>
  <c r="D3507" i="7"/>
  <c r="D3506" i="7"/>
  <c r="D3505" i="7"/>
  <c r="D3504" i="7"/>
  <c r="D3503" i="7"/>
  <c r="D3502" i="7"/>
  <c r="D3501" i="7"/>
  <c r="D3500" i="7"/>
  <c r="D3499" i="7"/>
  <c r="D3498" i="7"/>
  <c r="D3497" i="7"/>
  <c r="D3496" i="7"/>
  <c r="D3495" i="7"/>
  <c r="D3494" i="7"/>
  <c r="D3493" i="7"/>
  <c r="D3492" i="7"/>
  <c r="D3491" i="7"/>
  <c r="D3490" i="7"/>
  <c r="D3489" i="7"/>
  <c r="D3488" i="7"/>
  <c r="D3487" i="7"/>
  <c r="D3486" i="7"/>
  <c r="D3485" i="7"/>
  <c r="D3484" i="7"/>
  <c r="D3483" i="7"/>
  <c r="D3482" i="7"/>
  <c r="D3481" i="7"/>
  <c r="D3480" i="7"/>
  <c r="D3479" i="7"/>
  <c r="D3478" i="7"/>
  <c r="D3477" i="7"/>
  <c r="D3476" i="7"/>
  <c r="D3475" i="7"/>
  <c r="D3474" i="7"/>
  <c r="D3473" i="7"/>
  <c r="D3472" i="7"/>
  <c r="D3471" i="7"/>
  <c r="D3470" i="7"/>
  <c r="D3469" i="7"/>
  <c r="D3468" i="7"/>
  <c r="D3467" i="7"/>
  <c r="D3466" i="7"/>
  <c r="D3465" i="7"/>
  <c r="D3464" i="7"/>
  <c r="D3463" i="7"/>
  <c r="D3462" i="7"/>
  <c r="D3461" i="7"/>
  <c r="D3460" i="7"/>
  <c r="D3459" i="7"/>
  <c r="D3458" i="7"/>
  <c r="D3457" i="7"/>
  <c r="D3456" i="7"/>
  <c r="D3455" i="7"/>
  <c r="D3454" i="7"/>
  <c r="D3453" i="7"/>
  <c r="D3452" i="7"/>
  <c r="D3451" i="7"/>
  <c r="D3450" i="7"/>
  <c r="D3449" i="7"/>
  <c r="D3448" i="7"/>
  <c r="D3447" i="7"/>
  <c r="D3446" i="7"/>
  <c r="D3445" i="7"/>
  <c r="D3444" i="7"/>
  <c r="D3443" i="7"/>
  <c r="D3442" i="7"/>
  <c r="D3441" i="7"/>
  <c r="D3440" i="7"/>
  <c r="D3439" i="7"/>
  <c r="D3438" i="7"/>
  <c r="D3437" i="7"/>
  <c r="D3436" i="7"/>
  <c r="D3435" i="7"/>
  <c r="D3434" i="7"/>
  <c r="D3433" i="7"/>
  <c r="D3432" i="7"/>
  <c r="D3431" i="7"/>
  <c r="D3430" i="7"/>
  <c r="D3429" i="7"/>
  <c r="D3428" i="7"/>
  <c r="D3427" i="7"/>
  <c r="D3426" i="7"/>
  <c r="D3425" i="7"/>
  <c r="D3424" i="7"/>
  <c r="D3423" i="7"/>
  <c r="D3422" i="7"/>
  <c r="D3421" i="7"/>
  <c r="D3420" i="7"/>
  <c r="D3419" i="7"/>
  <c r="D3418" i="7"/>
  <c r="D3417" i="7"/>
  <c r="D3416" i="7"/>
  <c r="D3415" i="7"/>
  <c r="D3414" i="7"/>
  <c r="D3413" i="7"/>
  <c r="D3412" i="7"/>
  <c r="D3411" i="7"/>
  <c r="D3410" i="7"/>
  <c r="D3409" i="7"/>
  <c r="D3408" i="7"/>
  <c r="D3407" i="7"/>
  <c r="D3406" i="7"/>
  <c r="D3405" i="7"/>
  <c r="D3404" i="7"/>
  <c r="D3403" i="7"/>
  <c r="D3402" i="7"/>
  <c r="D3401" i="7"/>
  <c r="D3400" i="7"/>
  <c r="D3399" i="7"/>
  <c r="D3398" i="7"/>
  <c r="D3397" i="7"/>
  <c r="D3396" i="7"/>
  <c r="D3395" i="7"/>
  <c r="D3394" i="7"/>
  <c r="D3393" i="7"/>
  <c r="D3392" i="7"/>
  <c r="D3391" i="7"/>
  <c r="D3390" i="7"/>
  <c r="D3389" i="7"/>
  <c r="D3388" i="7"/>
  <c r="D3387" i="7"/>
  <c r="D3386" i="7"/>
  <c r="D3385" i="7"/>
  <c r="D3384" i="7"/>
  <c r="D3383" i="7"/>
  <c r="D3382" i="7"/>
  <c r="D3381" i="7"/>
  <c r="D3380" i="7"/>
  <c r="D3379" i="7"/>
  <c r="D3378" i="7"/>
  <c r="D3377" i="7"/>
  <c r="D3376" i="7"/>
  <c r="D3375" i="7"/>
  <c r="D3374" i="7"/>
  <c r="D3373" i="7"/>
  <c r="D3372" i="7"/>
  <c r="D3371" i="7"/>
  <c r="D3370" i="7"/>
  <c r="D3369" i="7"/>
  <c r="D3368" i="7"/>
  <c r="D3367" i="7"/>
  <c r="D3366" i="7"/>
  <c r="D3365" i="7"/>
  <c r="D3364" i="7"/>
  <c r="D3363" i="7"/>
  <c r="D3362" i="7"/>
  <c r="D3361" i="7"/>
  <c r="D3360" i="7"/>
  <c r="D3359" i="7"/>
  <c r="D3358" i="7"/>
  <c r="D3357" i="7"/>
  <c r="D3356" i="7"/>
  <c r="D3355" i="7"/>
  <c r="D3354" i="7"/>
  <c r="D3353" i="7"/>
  <c r="D3352" i="7"/>
  <c r="D3351" i="7"/>
  <c r="D3350" i="7"/>
  <c r="D3349" i="7"/>
  <c r="D3348" i="7"/>
  <c r="D3347" i="7"/>
  <c r="D3346" i="7"/>
  <c r="D3345" i="7"/>
  <c r="D3344" i="7"/>
  <c r="D3343" i="7"/>
  <c r="D3342" i="7"/>
  <c r="D3341" i="7"/>
  <c r="D3340" i="7"/>
  <c r="D3339" i="7"/>
  <c r="D3338" i="7"/>
  <c r="D3337" i="7"/>
  <c r="D3336" i="7"/>
  <c r="D3335" i="7"/>
  <c r="D3334" i="7"/>
  <c r="D3333" i="7"/>
  <c r="D3332" i="7"/>
  <c r="D3331" i="7"/>
  <c r="D3330" i="7"/>
  <c r="D3329" i="7"/>
  <c r="D3328" i="7"/>
  <c r="D3327" i="7"/>
  <c r="D3326" i="7"/>
  <c r="D3325" i="7"/>
  <c r="D3324" i="7"/>
  <c r="D3323" i="7"/>
  <c r="D3322" i="7"/>
  <c r="D3321" i="7"/>
  <c r="D3320" i="7"/>
  <c r="D3319" i="7"/>
  <c r="D3318" i="7"/>
  <c r="D3317" i="7"/>
  <c r="D3316" i="7"/>
  <c r="D3315" i="7"/>
  <c r="D3314" i="7"/>
  <c r="D3313" i="7"/>
  <c r="D3312" i="7"/>
  <c r="D3311" i="7"/>
  <c r="D3310" i="7"/>
  <c r="D3309" i="7"/>
  <c r="D3308" i="7"/>
  <c r="D3307" i="7"/>
  <c r="D3306" i="7"/>
  <c r="D3305" i="7"/>
  <c r="D3304" i="7"/>
  <c r="D3303" i="7"/>
  <c r="D3302" i="7"/>
  <c r="D3301" i="7"/>
  <c r="D3300" i="7"/>
  <c r="D3299" i="7"/>
  <c r="D3298" i="7"/>
  <c r="D3297" i="7"/>
  <c r="D3296" i="7"/>
  <c r="D3295" i="7"/>
  <c r="D3294" i="7"/>
  <c r="D3293" i="7"/>
  <c r="D3292" i="7"/>
  <c r="D3291" i="7"/>
  <c r="D3290" i="7"/>
  <c r="D3289" i="7"/>
  <c r="D3288" i="7"/>
  <c r="D3287" i="7"/>
  <c r="D3286" i="7"/>
  <c r="D3285" i="7"/>
  <c r="D3284" i="7"/>
  <c r="D3283" i="7"/>
  <c r="D3282" i="7"/>
  <c r="D3281" i="7"/>
  <c r="D3280" i="7"/>
  <c r="D3279" i="7"/>
  <c r="D3278" i="7"/>
  <c r="D3277" i="7"/>
  <c r="D3276" i="7"/>
  <c r="D3275" i="7"/>
  <c r="D3274" i="7"/>
  <c r="D3273" i="7"/>
  <c r="D3272" i="7"/>
  <c r="D3271" i="7"/>
  <c r="D3270" i="7"/>
  <c r="D3269" i="7"/>
  <c r="D3268" i="7"/>
  <c r="D3267" i="7"/>
  <c r="D3266" i="7"/>
  <c r="D3265" i="7"/>
  <c r="D3264" i="7"/>
  <c r="D3263" i="7"/>
  <c r="D3262" i="7"/>
  <c r="D3261" i="7"/>
  <c r="D3260" i="7"/>
  <c r="D3259" i="7"/>
  <c r="D3258" i="7"/>
  <c r="D3257" i="7"/>
  <c r="D3256" i="7"/>
  <c r="D3255" i="7"/>
  <c r="D3254" i="7"/>
  <c r="D3253" i="7"/>
  <c r="D3252" i="7"/>
  <c r="D3251" i="7"/>
  <c r="D3250" i="7"/>
  <c r="D3249" i="7"/>
  <c r="D3248" i="7"/>
  <c r="D3247" i="7"/>
  <c r="D3246" i="7"/>
  <c r="D3245" i="7"/>
  <c r="D3244" i="7"/>
  <c r="D3243" i="7"/>
  <c r="D3242" i="7"/>
  <c r="D3241" i="7"/>
  <c r="D3240" i="7"/>
  <c r="D3239" i="7"/>
  <c r="D3238" i="7"/>
  <c r="D3237" i="7"/>
  <c r="D3236" i="7"/>
  <c r="D3235" i="7"/>
  <c r="D3234" i="7"/>
  <c r="D3233" i="7"/>
  <c r="D3232" i="7"/>
  <c r="D3231" i="7"/>
  <c r="D3230" i="7"/>
  <c r="D3229" i="7"/>
  <c r="D3228" i="7"/>
  <c r="D3227" i="7"/>
  <c r="D3226" i="7"/>
  <c r="D3225" i="7"/>
  <c r="D3224" i="7"/>
  <c r="D3223" i="7"/>
  <c r="D3222" i="7"/>
  <c r="D3221" i="7"/>
  <c r="D3220" i="7"/>
  <c r="D3219" i="7"/>
  <c r="D3218" i="7"/>
  <c r="D3217" i="7"/>
  <c r="D3216" i="7"/>
  <c r="D3215" i="7"/>
  <c r="D3214" i="7"/>
  <c r="D3213" i="7"/>
  <c r="D3212" i="7"/>
  <c r="D3211" i="7"/>
  <c r="D3210" i="7"/>
  <c r="D3209" i="7"/>
  <c r="D3208" i="7"/>
  <c r="D3207" i="7"/>
  <c r="D3206" i="7"/>
  <c r="D3205" i="7"/>
  <c r="D3204" i="7"/>
  <c r="D3203" i="7"/>
  <c r="D3202" i="7"/>
  <c r="D3201" i="7"/>
  <c r="D3200" i="7"/>
  <c r="D3199" i="7"/>
  <c r="D3198" i="7"/>
  <c r="D3197" i="7"/>
  <c r="D3196" i="7"/>
  <c r="D3195" i="7"/>
  <c r="D3194" i="7"/>
  <c r="D3193" i="7"/>
  <c r="D3192" i="7"/>
  <c r="D3191" i="7"/>
  <c r="D3190" i="7"/>
  <c r="D3189" i="7"/>
  <c r="D3188" i="7"/>
  <c r="D3187" i="7"/>
  <c r="D3186" i="7"/>
  <c r="D3185" i="7"/>
  <c r="D3184" i="7"/>
  <c r="D3183" i="7"/>
  <c r="D3182" i="7"/>
  <c r="D3181" i="7"/>
  <c r="D3180" i="7"/>
  <c r="D3179" i="7"/>
  <c r="D3178" i="7"/>
  <c r="D3177" i="7"/>
  <c r="D3176" i="7"/>
  <c r="D3175" i="7"/>
  <c r="D3174" i="7"/>
  <c r="D3173" i="7"/>
  <c r="D3172" i="7"/>
  <c r="D3171" i="7"/>
  <c r="D3170" i="7"/>
  <c r="D3169" i="7"/>
  <c r="D3168" i="7"/>
  <c r="D3167" i="7"/>
  <c r="D3166" i="7"/>
  <c r="D3165" i="7"/>
  <c r="D3164" i="7"/>
  <c r="D3163" i="7"/>
  <c r="D3162" i="7"/>
  <c r="D3161" i="7"/>
  <c r="D3160" i="7"/>
  <c r="D3159" i="7"/>
  <c r="D3158" i="7"/>
  <c r="D3157" i="7"/>
  <c r="D3156" i="7"/>
  <c r="D3155" i="7"/>
  <c r="D3154" i="7"/>
  <c r="D3153" i="7"/>
  <c r="D3152" i="7"/>
  <c r="D3151" i="7"/>
  <c r="D3150" i="7"/>
  <c r="D3149" i="7"/>
  <c r="D3148" i="7"/>
  <c r="D3147" i="7"/>
  <c r="D3146" i="7"/>
  <c r="D3145" i="7"/>
  <c r="D3144" i="7"/>
  <c r="D3143" i="7"/>
  <c r="D3142" i="7"/>
  <c r="D3141" i="7"/>
  <c r="D3140" i="7"/>
  <c r="D3139" i="7"/>
  <c r="D3138" i="7"/>
  <c r="D3137" i="7"/>
  <c r="D3136" i="7"/>
  <c r="D3135" i="7"/>
  <c r="D3134" i="7"/>
  <c r="D3133" i="7"/>
  <c r="D3132" i="7"/>
  <c r="D3131" i="7"/>
  <c r="D3130" i="7"/>
  <c r="D3129" i="7"/>
  <c r="D3128" i="7"/>
  <c r="D3127" i="7"/>
  <c r="D3126" i="7"/>
  <c r="D3125" i="7"/>
  <c r="D3124" i="7"/>
  <c r="D3123" i="7"/>
  <c r="D3122" i="7"/>
  <c r="D3121" i="7"/>
  <c r="D3120" i="7"/>
  <c r="D3119" i="7"/>
  <c r="D3118" i="7"/>
  <c r="D3117" i="7"/>
  <c r="D3116" i="7"/>
  <c r="D3115" i="7"/>
  <c r="D3114" i="7"/>
  <c r="D3113" i="7"/>
  <c r="D3112" i="7"/>
  <c r="D3111" i="7"/>
  <c r="D3110" i="7"/>
  <c r="D3109" i="7"/>
  <c r="D3108" i="7"/>
  <c r="D3107" i="7"/>
  <c r="D3106" i="7"/>
  <c r="D3105" i="7"/>
  <c r="D3104" i="7"/>
  <c r="D3103" i="7"/>
  <c r="D3102" i="7"/>
  <c r="D3101" i="7"/>
  <c r="D3100" i="7"/>
  <c r="D3099" i="7"/>
  <c r="D3098" i="7"/>
  <c r="D3097" i="7"/>
  <c r="D3096" i="7"/>
  <c r="D3095" i="7"/>
  <c r="D3094" i="7"/>
  <c r="D3093" i="7"/>
  <c r="D3092" i="7"/>
  <c r="D3091" i="7"/>
  <c r="D3090" i="7"/>
  <c r="D3089" i="7"/>
  <c r="D3088" i="7"/>
  <c r="D3087" i="7"/>
  <c r="D3086" i="7"/>
  <c r="D3085" i="7"/>
  <c r="D3084" i="7"/>
  <c r="D3083" i="7"/>
  <c r="D3082" i="7"/>
  <c r="D3081" i="7"/>
  <c r="D3080" i="7"/>
  <c r="D3079" i="7"/>
  <c r="D3078" i="7"/>
  <c r="D3077" i="7"/>
  <c r="D3076" i="7"/>
  <c r="D3075" i="7"/>
  <c r="D3074" i="7"/>
  <c r="D3073" i="7"/>
  <c r="D3072" i="7"/>
  <c r="D3071" i="7"/>
  <c r="D3070" i="7"/>
  <c r="D3069" i="7"/>
  <c r="D3068" i="7"/>
  <c r="D3067" i="7"/>
  <c r="D3066" i="7"/>
  <c r="D3065" i="7"/>
  <c r="D3064" i="7"/>
  <c r="D3063" i="7"/>
  <c r="D3062" i="7"/>
  <c r="D3061" i="7"/>
  <c r="D3060" i="7"/>
  <c r="D3059" i="7"/>
  <c r="D3058" i="7"/>
  <c r="D3057" i="7"/>
  <c r="D3056" i="7"/>
  <c r="D3055" i="7"/>
  <c r="D3054" i="7"/>
  <c r="D3053" i="7"/>
  <c r="D3052" i="7"/>
  <c r="D3051" i="7"/>
  <c r="D3050" i="7"/>
  <c r="D3049" i="7"/>
  <c r="D3048" i="7"/>
  <c r="D3047" i="7"/>
  <c r="D3046" i="7"/>
  <c r="D3045" i="7"/>
  <c r="D3044" i="7"/>
  <c r="D3043" i="7"/>
  <c r="D3042" i="7"/>
  <c r="D3041" i="7"/>
  <c r="D3040" i="7"/>
  <c r="D3039" i="7"/>
  <c r="D3038" i="7"/>
  <c r="D3037" i="7"/>
  <c r="D3036" i="7"/>
  <c r="D3035" i="7"/>
  <c r="D3034" i="7"/>
  <c r="D3033" i="7"/>
  <c r="D3032" i="7"/>
  <c r="D3031" i="7"/>
  <c r="D3030" i="7"/>
  <c r="D3029" i="7"/>
  <c r="D3028" i="7"/>
  <c r="D3027" i="7"/>
  <c r="D3026" i="7"/>
  <c r="D3025" i="7"/>
  <c r="D3024" i="7"/>
  <c r="D3023" i="7"/>
  <c r="D3022" i="7"/>
  <c r="D3021" i="7"/>
  <c r="D3020" i="7"/>
  <c r="D3019" i="7"/>
  <c r="D3018" i="7"/>
  <c r="D3017" i="7"/>
  <c r="D3016" i="7"/>
  <c r="D3015" i="7"/>
  <c r="D3014" i="7"/>
  <c r="D3013" i="7"/>
  <c r="D3012" i="7"/>
  <c r="D3011" i="7"/>
  <c r="D3010" i="7"/>
  <c r="D3009" i="7"/>
  <c r="D3008" i="7"/>
  <c r="D3007" i="7"/>
  <c r="D3006" i="7"/>
  <c r="D3005" i="7"/>
  <c r="D3004" i="7"/>
  <c r="D3003" i="7"/>
  <c r="D3002" i="7"/>
  <c r="D3001" i="7"/>
  <c r="D3000" i="7"/>
  <c r="D2999" i="7"/>
  <c r="D2998" i="7"/>
  <c r="D2997" i="7"/>
  <c r="D2996" i="7"/>
  <c r="D2995" i="7"/>
  <c r="D2994" i="7"/>
  <c r="D2993" i="7"/>
  <c r="D2992" i="7"/>
  <c r="D2991" i="7"/>
  <c r="D2990" i="7"/>
  <c r="D2989" i="7"/>
  <c r="D2988" i="7"/>
  <c r="D2987" i="7"/>
  <c r="D2986" i="7"/>
  <c r="D2985" i="7"/>
  <c r="D2984" i="7"/>
  <c r="D2983" i="7"/>
  <c r="D2982" i="7"/>
  <c r="D2981" i="7"/>
  <c r="D2980" i="7"/>
  <c r="D2979" i="7"/>
  <c r="D2978" i="7"/>
  <c r="D2977" i="7"/>
  <c r="D2976" i="7"/>
  <c r="D2975" i="7"/>
  <c r="D2974" i="7"/>
  <c r="D2973" i="7"/>
  <c r="D2972" i="7"/>
  <c r="D2971" i="7"/>
  <c r="D2970" i="7"/>
  <c r="D2969" i="7"/>
  <c r="D2968" i="7"/>
  <c r="D2967" i="7"/>
  <c r="D2966" i="7"/>
  <c r="D2965" i="7"/>
  <c r="D2964" i="7"/>
  <c r="D2963" i="7"/>
  <c r="D2962" i="7"/>
  <c r="D2961" i="7"/>
  <c r="D2960" i="7"/>
  <c r="D2959" i="7"/>
  <c r="D2958" i="7"/>
  <c r="D2957" i="7"/>
  <c r="D2956" i="7"/>
  <c r="D2955" i="7"/>
  <c r="D2954" i="7"/>
  <c r="D2953" i="7"/>
  <c r="D2952" i="7"/>
  <c r="D2951" i="7"/>
  <c r="D2950" i="7"/>
  <c r="D2949" i="7"/>
  <c r="D2948" i="7"/>
  <c r="D2947" i="7"/>
  <c r="D2946" i="7"/>
  <c r="D2945" i="7"/>
  <c r="D2944" i="7"/>
  <c r="D2943" i="7"/>
  <c r="D2942" i="7"/>
  <c r="D2941" i="7"/>
  <c r="D2940" i="7"/>
  <c r="D2939" i="7"/>
  <c r="D2938" i="7"/>
  <c r="D2937" i="7"/>
  <c r="D2936" i="7"/>
  <c r="D2935" i="7"/>
  <c r="D2934" i="7"/>
  <c r="D2933" i="7"/>
  <c r="D2932" i="7"/>
  <c r="D2931" i="7"/>
  <c r="D2930" i="7"/>
  <c r="D2929" i="7"/>
  <c r="D2928" i="7"/>
  <c r="D2927" i="7"/>
  <c r="D2926" i="7"/>
  <c r="D2925" i="7"/>
  <c r="D2924" i="7"/>
  <c r="D2923" i="7"/>
  <c r="D2922" i="7"/>
  <c r="D2921" i="7"/>
  <c r="D2920" i="7"/>
  <c r="D2919" i="7"/>
  <c r="D2918" i="7"/>
  <c r="D2917" i="7"/>
  <c r="D2916" i="7"/>
  <c r="D2915" i="7"/>
  <c r="D2914" i="7"/>
  <c r="D2913" i="7"/>
  <c r="D2912" i="7"/>
  <c r="D2911" i="7"/>
  <c r="D2910" i="7"/>
  <c r="D2909" i="7"/>
  <c r="D2908" i="7"/>
  <c r="D2907" i="7"/>
  <c r="D2906" i="7"/>
  <c r="D2905" i="7"/>
  <c r="D2904" i="7"/>
  <c r="D2903" i="7"/>
  <c r="D2902" i="7"/>
  <c r="D2901" i="7"/>
  <c r="D2900" i="7"/>
  <c r="D2899" i="7"/>
  <c r="D2898" i="7"/>
  <c r="D2897" i="7"/>
  <c r="D2896" i="7"/>
  <c r="D2895" i="7"/>
  <c r="D2894" i="7"/>
  <c r="D2893" i="7"/>
  <c r="D2892" i="7"/>
  <c r="D2891" i="7"/>
  <c r="D2890" i="7"/>
  <c r="D2889" i="7"/>
  <c r="D2888" i="7"/>
  <c r="D2887" i="7"/>
  <c r="D2886" i="7"/>
  <c r="D2885" i="7"/>
  <c r="D2884" i="7"/>
  <c r="D2883" i="7"/>
  <c r="D2882" i="7"/>
  <c r="D2881" i="7"/>
  <c r="D2880" i="7"/>
  <c r="D2879" i="7"/>
  <c r="D2878" i="7"/>
  <c r="D2877" i="7"/>
  <c r="D2876" i="7"/>
  <c r="D2875" i="7"/>
  <c r="D2874" i="7"/>
  <c r="D2873" i="7"/>
  <c r="D2872" i="7"/>
  <c r="D2871" i="7"/>
  <c r="D2870" i="7"/>
  <c r="D2869" i="7"/>
  <c r="D2868" i="7"/>
  <c r="D2867" i="7"/>
  <c r="D2866" i="7"/>
  <c r="D2865" i="7"/>
  <c r="D2864" i="7"/>
  <c r="D2863" i="7"/>
  <c r="D2862" i="7"/>
  <c r="D2861" i="7"/>
  <c r="D2860" i="7"/>
  <c r="D2859" i="7"/>
  <c r="D2858" i="7"/>
  <c r="D2857" i="7"/>
  <c r="D2856" i="7"/>
  <c r="D2855" i="7"/>
  <c r="D2854" i="7"/>
  <c r="D2853" i="7"/>
  <c r="D2852" i="7"/>
  <c r="D2851" i="7"/>
  <c r="D2850" i="7"/>
  <c r="D2849" i="7"/>
  <c r="D2848" i="7"/>
  <c r="D2847" i="7"/>
  <c r="D2846" i="7"/>
  <c r="D2845" i="7"/>
  <c r="D2844" i="7"/>
  <c r="D2843" i="7"/>
  <c r="D2842" i="7"/>
  <c r="D2841" i="7"/>
  <c r="D2840" i="7"/>
  <c r="D2839" i="7"/>
  <c r="D2838" i="7"/>
  <c r="D2837" i="7"/>
  <c r="D2836" i="7"/>
  <c r="D2835" i="7"/>
  <c r="D2834" i="7"/>
  <c r="D2833" i="7"/>
  <c r="D2832" i="7"/>
  <c r="D2831" i="7"/>
  <c r="D2830" i="7"/>
  <c r="D2829" i="7"/>
  <c r="D2828" i="7"/>
  <c r="D2827" i="7"/>
  <c r="D2826" i="7"/>
  <c r="D2825" i="7"/>
  <c r="D2824" i="7"/>
  <c r="D2823" i="7"/>
  <c r="D2822" i="7"/>
  <c r="D2821" i="7"/>
  <c r="D2820" i="7"/>
  <c r="D2819" i="7"/>
  <c r="D2818" i="7"/>
  <c r="D2817" i="7"/>
  <c r="D2816" i="7"/>
  <c r="D2815" i="7"/>
  <c r="D2814" i="7"/>
  <c r="D2813" i="7"/>
  <c r="D2812" i="7"/>
  <c r="D2811" i="7"/>
  <c r="D2810" i="7"/>
  <c r="D2809" i="7"/>
  <c r="D2808" i="7"/>
  <c r="D2807" i="7"/>
  <c r="D2806" i="7"/>
  <c r="D2805" i="7"/>
  <c r="D2804" i="7"/>
  <c r="D2803" i="7"/>
  <c r="D2802" i="7"/>
  <c r="D2801" i="7"/>
  <c r="D2800" i="7"/>
  <c r="D2799" i="7"/>
  <c r="D2798" i="7"/>
  <c r="D2797" i="7"/>
  <c r="D2796" i="7"/>
  <c r="D2795" i="7"/>
  <c r="D2794" i="7"/>
  <c r="D2793" i="7"/>
  <c r="D2792" i="7"/>
  <c r="D2791" i="7"/>
  <c r="D2790" i="7"/>
  <c r="D2789" i="7"/>
  <c r="D2788" i="7"/>
  <c r="D2787" i="7"/>
  <c r="D2786" i="7"/>
  <c r="D2785" i="7"/>
  <c r="D2784" i="7"/>
  <c r="D2783" i="7"/>
  <c r="D2782" i="7"/>
  <c r="D2781" i="7"/>
  <c r="D2780" i="7"/>
  <c r="D2779" i="7"/>
  <c r="D2778" i="7"/>
  <c r="D2777" i="7"/>
  <c r="D2776" i="7"/>
  <c r="D2775" i="7"/>
  <c r="D2774" i="7"/>
  <c r="D2773" i="7"/>
  <c r="D2772" i="7"/>
  <c r="D2771" i="7"/>
  <c r="D2770" i="7"/>
  <c r="D2769" i="7"/>
  <c r="D2768" i="7"/>
  <c r="D2767" i="7"/>
  <c r="D2766" i="7"/>
  <c r="D2765" i="7"/>
  <c r="D2764" i="7"/>
  <c r="D2763" i="7"/>
  <c r="D2762" i="7"/>
  <c r="D2761" i="7"/>
  <c r="D2760" i="7"/>
  <c r="D2759" i="7"/>
  <c r="D2758" i="7"/>
  <c r="D2757" i="7"/>
  <c r="D2756" i="7"/>
  <c r="D2755" i="7"/>
  <c r="D2754" i="7"/>
  <c r="D2753" i="7"/>
  <c r="D2752" i="7"/>
  <c r="D2751" i="7"/>
  <c r="D2750" i="7"/>
  <c r="D2749" i="7"/>
  <c r="D2748" i="7"/>
  <c r="D2747" i="7"/>
  <c r="D2746" i="7"/>
  <c r="D2745" i="7"/>
  <c r="D2744" i="7"/>
  <c r="D2743" i="7"/>
  <c r="D2742" i="7"/>
  <c r="D2741" i="7"/>
  <c r="D2740" i="7"/>
  <c r="D2739" i="7"/>
  <c r="D2738" i="7"/>
  <c r="D2737" i="7"/>
  <c r="D2736" i="7"/>
  <c r="D2735" i="7"/>
  <c r="D2734" i="7"/>
  <c r="D2733" i="7"/>
  <c r="D2732" i="7"/>
  <c r="D2731" i="7"/>
  <c r="D2730" i="7"/>
  <c r="D2729" i="7"/>
  <c r="D2728" i="7"/>
  <c r="D2727" i="7"/>
  <c r="D2726" i="7"/>
  <c r="D2725" i="7"/>
  <c r="D2724" i="7"/>
  <c r="D2723" i="7"/>
  <c r="D2722" i="7"/>
  <c r="D2721" i="7"/>
  <c r="D2720" i="7"/>
  <c r="D2719" i="7"/>
  <c r="D2718" i="7"/>
  <c r="D2717" i="7"/>
  <c r="D2716" i="7"/>
  <c r="D2715" i="7"/>
  <c r="D2714" i="7"/>
  <c r="D2713" i="7"/>
  <c r="D2712" i="7"/>
  <c r="D2711" i="7"/>
  <c r="D2710" i="7"/>
  <c r="D2709" i="7"/>
  <c r="D2708" i="7"/>
  <c r="D2707" i="7"/>
  <c r="D2706" i="7"/>
  <c r="D2705" i="7"/>
  <c r="D2704" i="7"/>
  <c r="D2703" i="7"/>
  <c r="D2702" i="7"/>
  <c r="D2701" i="7"/>
  <c r="D2700" i="7"/>
  <c r="D2699" i="7"/>
  <c r="D2698" i="7"/>
  <c r="D2697" i="7"/>
  <c r="D2696" i="7"/>
  <c r="D2695" i="7"/>
  <c r="D2694" i="7"/>
  <c r="D2693" i="7"/>
  <c r="D2692" i="7"/>
  <c r="D2691" i="7"/>
  <c r="D2690" i="7"/>
  <c r="D2689" i="7"/>
  <c r="D2688" i="7"/>
  <c r="D2687" i="7"/>
  <c r="D2686" i="7"/>
  <c r="D2685" i="7"/>
  <c r="D2684" i="7"/>
  <c r="D2683" i="7"/>
  <c r="D2682" i="7"/>
  <c r="D2681" i="7"/>
  <c r="D2680" i="7"/>
  <c r="D2679" i="7"/>
  <c r="D2678" i="7"/>
  <c r="D2677" i="7"/>
  <c r="D2676" i="7"/>
  <c r="D2675" i="7"/>
  <c r="D2674" i="7"/>
  <c r="D2673" i="7"/>
  <c r="D2672" i="7"/>
  <c r="D2671" i="7"/>
  <c r="D2670" i="7"/>
  <c r="D2669" i="7"/>
  <c r="D2668" i="7"/>
  <c r="D2667" i="7"/>
  <c r="D2666" i="7"/>
  <c r="D2665" i="7"/>
  <c r="D2664" i="7"/>
  <c r="D2663" i="7"/>
  <c r="D2662" i="7"/>
  <c r="D2661" i="7"/>
  <c r="D2660" i="7"/>
  <c r="D2659" i="7"/>
  <c r="D2658" i="7"/>
  <c r="D2657" i="7"/>
  <c r="D2656" i="7"/>
  <c r="D2655" i="7"/>
  <c r="D2654" i="7"/>
  <c r="D2653" i="7"/>
  <c r="D2652" i="7"/>
  <c r="D2651" i="7"/>
  <c r="D2650" i="7"/>
  <c r="D2649" i="7"/>
  <c r="D2648" i="7"/>
  <c r="D2647" i="7"/>
  <c r="D2646" i="7"/>
  <c r="D2645" i="7"/>
  <c r="D2644" i="7"/>
  <c r="D2643" i="7"/>
  <c r="D2642" i="7"/>
  <c r="D2641" i="7"/>
  <c r="D2640" i="7"/>
  <c r="D2639" i="7"/>
  <c r="D2638" i="7"/>
  <c r="D2637" i="7"/>
  <c r="D2636" i="7"/>
  <c r="D2635" i="7"/>
  <c r="D2634" i="7"/>
  <c r="D2633" i="7"/>
  <c r="D2632" i="7"/>
  <c r="D2631" i="7"/>
  <c r="D2630" i="7"/>
  <c r="D2629" i="7"/>
  <c r="D2628" i="7"/>
  <c r="D2627" i="7"/>
  <c r="D2626" i="7"/>
  <c r="D2625" i="7"/>
  <c r="D2624" i="7"/>
  <c r="D2623" i="7"/>
  <c r="D2622" i="7"/>
  <c r="D2621" i="7"/>
  <c r="D2620" i="7"/>
  <c r="D2619" i="7"/>
  <c r="D2618" i="7"/>
  <c r="D2617" i="7"/>
  <c r="D2616" i="7"/>
  <c r="D2615" i="7"/>
  <c r="D2614" i="7"/>
  <c r="D2613" i="7"/>
  <c r="D2612" i="7"/>
  <c r="D2611" i="7"/>
  <c r="D2610" i="7"/>
  <c r="D2609" i="7"/>
  <c r="D2608" i="7"/>
  <c r="D2607" i="7"/>
  <c r="D2606" i="7"/>
  <c r="D2605" i="7"/>
  <c r="D2604" i="7"/>
  <c r="D2603" i="7"/>
  <c r="D2602" i="7"/>
  <c r="D2601" i="7"/>
  <c r="D2600" i="7"/>
  <c r="D2599" i="7"/>
  <c r="D2598" i="7"/>
  <c r="D2597" i="7"/>
  <c r="D2596" i="7"/>
  <c r="D2595" i="7"/>
  <c r="D2594" i="7"/>
  <c r="D2593" i="7"/>
  <c r="D2592" i="7"/>
  <c r="D2591" i="7"/>
  <c r="D2590" i="7"/>
  <c r="D2589" i="7"/>
  <c r="D2588" i="7"/>
  <c r="D2587" i="7"/>
  <c r="D2586" i="7"/>
  <c r="D2585" i="7"/>
  <c r="D2584" i="7"/>
  <c r="D2583" i="7"/>
  <c r="D2582" i="7"/>
  <c r="D2581" i="7"/>
  <c r="D2580" i="7"/>
  <c r="D2579" i="7"/>
  <c r="D2578" i="7"/>
  <c r="D2577" i="7"/>
  <c r="D2576" i="7"/>
  <c r="D2575" i="7"/>
  <c r="D2574" i="7"/>
  <c r="D2573" i="7"/>
  <c r="D2572" i="7"/>
  <c r="D2571" i="7"/>
  <c r="D2570" i="7"/>
  <c r="D2569" i="7"/>
  <c r="D2568" i="7"/>
  <c r="D2567" i="7"/>
  <c r="D2566" i="7"/>
  <c r="D2565" i="7"/>
  <c r="D2564" i="7"/>
  <c r="D2563" i="7"/>
  <c r="D2562" i="7"/>
  <c r="D2561" i="7"/>
  <c r="D2560" i="7"/>
  <c r="D2559" i="7"/>
  <c r="D2558" i="7"/>
  <c r="D2557" i="7"/>
  <c r="D2556" i="7"/>
  <c r="D2555" i="7"/>
  <c r="D2554" i="7"/>
  <c r="D2553" i="7"/>
  <c r="D2552" i="7"/>
  <c r="D2551" i="7"/>
  <c r="D2550" i="7"/>
  <c r="D2549" i="7"/>
  <c r="D2548" i="7"/>
  <c r="D2547" i="7"/>
  <c r="D2546" i="7"/>
  <c r="D2545" i="7"/>
  <c r="D2544" i="7"/>
  <c r="D2543" i="7"/>
  <c r="D2542" i="7"/>
  <c r="D2541" i="7"/>
  <c r="D2540" i="7"/>
  <c r="D2539" i="7"/>
  <c r="D2538" i="7"/>
  <c r="D2537" i="7"/>
  <c r="D2536" i="7"/>
  <c r="D2535" i="7"/>
  <c r="D2534" i="7"/>
  <c r="D2533" i="7"/>
  <c r="D2532" i="7"/>
  <c r="D2531" i="7"/>
  <c r="D2530" i="7"/>
  <c r="D2529" i="7"/>
  <c r="D2528" i="7"/>
  <c r="D2527" i="7"/>
  <c r="D2526" i="7"/>
  <c r="D2525" i="7"/>
  <c r="D2524" i="7"/>
  <c r="D2523" i="7"/>
  <c r="D2522" i="7"/>
  <c r="D2521" i="7"/>
  <c r="D2520" i="7"/>
  <c r="D2519" i="7"/>
  <c r="D2518" i="7"/>
  <c r="D2517" i="7"/>
  <c r="D2516" i="7"/>
  <c r="D2515" i="7"/>
  <c r="D2514" i="7"/>
  <c r="D2513" i="7"/>
  <c r="D2512" i="7"/>
  <c r="D2511" i="7"/>
  <c r="D2510" i="7"/>
  <c r="D2509" i="7"/>
  <c r="D2508" i="7"/>
  <c r="D2507" i="7"/>
  <c r="D2506" i="7"/>
  <c r="D2505" i="7"/>
  <c r="D2504" i="7"/>
  <c r="D2503" i="7"/>
  <c r="D2502" i="7"/>
  <c r="D2501" i="7"/>
  <c r="D2500" i="7"/>
  <c r="D2499" i="7"/>
  <c r="D2498" i="7"/>
  <c r="D2497" i="7"/>
  <c r="D2496" i="7"/>
  <c r="D2495" i="7"/>
  <c r="D2494" i="7"/>
  <c r="D2493" i="7"/>
  <c r="D2492" i="7"/>
  <c r="D2491" i="7"/>
  <c r="D2490" i="7"/>
  <c r="D2489" i="7"/>
  <c r="D2488" i="7"/>
  <c r="D2487" i="7"/>
  <c r="D2486" i="7"/>
  <c r="D2485" i="7"/>
  <c r="D2484" i="7"/>
  <c r="D2483" i="7"/>
  <c r="D2482" i="7"/>
  <c r="D2481" i="7"/>
  <c r="D2480" i="7"/>
  <c r="D2479" i="7"/>
  <c r="D2478" i="7"/>
  <c r="D2477" i="7"/>
  <c r="D2476" i="7"/>
  <c r="D2475" i="7"/>
  <c r="D2474" i="7"/>
  <c r="D2473" i="7"/>
  <c r="D2472" i="7"/>
  <c r="D2471" i="7"/>
  <c r="D2470" i="7"/>
  <c r="D2469" i="7"/>
  <c r="D2468" i="7"/>
  <c r="D2467" i="7"/>
  <c r="D2466" i="7"/>
  <c r="D2465" i="7"/>
  <c r="D2464" i="7"/>
  <c r="D2463" i="7"/>
  <c r="D2462" i="7"/>
  <c r="D2461" i="7"/>
  <c r="D2460" i="7"/>
  <c r="D2459" i="7"/>
  <c r="D2458" i="7"/>
  <c r="D2457" i="7"/>
  <c r="D2456" i="7"/>
  <c r="D2455" i="7"/>
  <c r="D2454" i="7"/>
  <c r="D2453" i="7"/>
  <c r="D2452" i="7"/>
  <c r="D2451" i="7"/>
  <c r="D2450" i="7"/>
  <c r="D2449" i="7"/>
  <c r="D2448" i="7"/>
  <c r="D2447" i="7"/>
  <c r="D2446" i="7"/>
  <c r="D2445" i="7"/>
  <c r="D2444" i="7"/>
  <c r="D2443" i="7"/>
  <c r="D2442" i="7"/>
  <c r="D2441" i="7"/>
  <c r="D2440" i="7"/>
  <c r="D2439" i="7"/>
  <c r="D2438" i="7"/>
  <c r="D2437" i="7"/>
  <c r="D2436" i="7"/>
  <c r="D2435" i="7"/>
  <c r="D2434" i="7"/>
  <c r="D2433" i="7"/>
  <c r="D2432" i="7"/>
  <c r="D2431" i="7"/>
  <c r="D2430" i="7"/>
  <c r="D2429" i="7"/>
  <c r="D2428" i="7"/>
  <c r="D2427" i="7"/>
  <c r="D2426" i="7"/>
  <c r="D2425" i="7"/>
  <c r="D2424" i="7"/>
  <c r="D2423" i="7"/>
  <c r="D2422" i="7"/>
  <c r="D2421" i="7"/>
  <c r="D2420" i="7"/>
  <c r="D2419" i="7"/>
  <c r="D2418" i="7"/>
  <c r="D2417" i="7"/>
  <c r="D2416" i="7"/>
  <c r="D2415" i="7"/>
  <c r="D2414" i="7"/>
  <c r="D2413" i="7"/>
  <c r="D2412" i="7"/>
  <c r="D2411" i="7"/>
  <c r="D2410" i="7"/>
  <c r="D2409" i="7"/>
  <c r="D2408" i="7"/>
  <c r="D2407" i="7"/>
  <c r="D2406" i="7"/>
  <c r="D2405" i="7"/>
  <c r="D2404" i="7"/>
  <c r="D2403" i="7"/>
  <c r="D2402" i="7"/>
  <c r="D2401" i="7"/>
  <c r="D2400" i="7"/>
  <c r="D2399" i="7"/>
  <c r="D2398" i="7"/>
  <c r="D2397" i="7"/>
  <c r="D2396" i="7"/>
  <c r="D2395" i="7"/>
  <c r="D2394" i="7"/>
  <c r="D2393" i="7"/>
  <c r="D2392" i="7"/>
  <c r="D2391" i="7"/>
  <c r="D2390" i="7"/>
  <c r="D2389" i="7"/>
  <c r="D2388" i="7"/>
  <c r="D2387" i="7"/>
  <c r="D2386" i="7"/>
  <c r="D2385" i="7"/>
  <c r="D2384" i="7"/>
  <c r="D2383" i="7"/>
  <c r="D2382" i="7"/>
  <c r="D2381" i="7"/>
  <c r="D2380" i="7"/>
  <c r="D2379" i="7"/>
  <c r="D2378" i="7"/>
  <c r="D2377" i="7"/>
  <c r="D2376" i="7"/>
  <c r="D2375" i="7"/>
  <c r="D2374" i="7"/>
  <c r="D2373" i="7"/>
  <c r="D2372" i="7"/>
  <c r="D2371" i="7"/>
  <c r="D2370" i="7"/>
  <c r="D2369" i="7"/>
  <c r="D2368" i="7"/>
  <c r="D2367" i="7"/>
  <c r="D2366" i="7"/>
  <c r="D2365" i="7"/>
  <c r="D2364" i="7"/>
  <c r="D2363" i="7"/>
  <c r="D2362" i="7"/>
  <c r="D2361" i="7"/>
  <c r="D2360" i="7"/>
  <c r="D2359" i="7"/>
  <c r="D2358" i="7"/>
  <c r="D2357" i="7"/>
  <c r="D2356" i="7"/>
  <c r="D2355" i="7"/>
  <c r="D2354" i="7"/>
  <c r="D2353" i="7"/>
  <c r="D2352" i="7"/>
  <c r="D2351" i="7"/>
  <c r="D2350" i="7"/>
  <c r="D2349" i="7"/>
  <c r="D2348" i="7"/>
  <c r="D2347" i="7"/>
  <c r="D2346" i="7"/>
  <c r="D2345" i="7"/>
  <c r="D2344" i="7"/>
  <c r="D2343" i="7"/>
  <c r="D2342" i="7"/>
  <c r="D2341" i="7"/>
  <c r="D2340" i="7"/>
  <c r="D2339" i="7"/>
  <c r="D2338" i="7"/>
  <c r="D2337" i="7"/>
  <c r="D2336" i="7"/>
  <c r="D2335" i="7"/>
  <c r="D2334" i="7"/>
  <c r="D2333" i="7"/>
  <c r="D2332" i="7"/>
  <c r="D2331" i="7"/>
  <c r="D2330" i="7"/>
  <c r="D2329" i="7"/>
  <c r="D2328" i="7"/>
  <c r="D2327" i="7"/>
  <c r="D2326" i="7"/>
  <c r="D2325" i="7"/>
  <c r="D2324" i="7"/>
  <c r="D2323" i="7"/>
  <c r="D2322" i="7"/>
  <c r="D2321" i="7"/>
  <c r="D2320" i="7"/>
  <c r="D2319" i="7"/>
  <c r="D2318" i="7"/>
  <c r="D2317" i="7"/>
  <c r="D2316" i="7"/>
  <c r="D2315" i="7"/>
  <c r="D2314" i="7"/>
  <c r="D2313" i="7"/>
  <c r="D2312" i="7"/>
  <c r="D2311" i="7"/>
  <c r="D2310" i="7"/>
  <c r="D2309" i="7"/>
  <c r="D2308" i="7"/>
  <c r="D2307" i="7"/>
  <c r="D2306" i="7"/>
  <c r="D2305" i="7"/>
  <c r="D2304" i="7"/>
  <c r="D2303" i="7"/>
  <c r="D2302" i="7"/>
  <c r="D2301" i="7"/>
  <c r="D2300" i="7"/>
  <c r="D2299" i="7"/>
  <c r="D2298" i="7"/>
  <c r="D2297" i="7"/>
  <c r="D2296" i="7"/>
  <c r="D2295" i="7"/>
  <c r="D2294" i="7"/>
  <c r="D2293" i="7"/>
  <c r="D2292" i="7"/>
  <c r="D2291" i="7"/>
  <c r="D2290" i="7"/>
  <c r="D2289" i="7"/>
  <c r="D2288" i="7"/>
  <c r="D2287" i="7"/>
  <c r="D2286" i="7"/>
  <c r="D2285" i="7"/>
  <c r="D2284" i="7"/>
  <c r="D2283" i="7"/>
  <c r="D2282" i="7"/>
  <c r="D2281" i="7"/>
  <c r="D2280" i="7"/>
  <c r="D2279" i="7"/>
  <c r="D2278" i="7"/>
  <c r="D2277" i="7"/>
  <c r="D2276" i="7"/>
  <c r="D2275" i="7"/>
  <c r="D2274" i="7"/>
  <c r="D2273" i="7"/>
  <c r="D2272" i="7"/>
  <c r="D2271" i="7"/>
  <c r="D2270" i="7"/>
  <c r="D2269" i="7"/>
  <c r="D2268" i="7"/>
  <c r="D2267" i="7"/>
  <c r="D2266" i="7"/>
  <c r="D2265" i="7"/>
  <c r="D2264" i="7"/>
  <c r="D2263" i="7"/>
  <c r="D2262" i="7"/>
  <c r="D2261" i="7"/>
  <c r="D2260" i="7"/>
  <c r="D2259" i="7"/>
  <c r="D2258" i="7"/>
  <c r="D2257" i="7"/>
  <c r="D2256" i="7"/>
  <c r="D2255" i="7"/>
  <c r="D2254" i="7"/>
  <c r="D2253" i="7"/>
  <c r="D2252" i="7"/>
  <c r="D2251" i="7"/>
  <c r="D2250" i="7"/>
  <c r="D2249" i="7"/>
  <c r="D2248" i="7"/>
  <c r="D2247" i="7"/>
  <c r="D2246" i="7"/>
  <c r="D2245" i="7"/>
  <c r="D2244" i="7"/>
  <c r="D2243" i="7"/>
  <c r="D2242" i="7"/>
  <c r="D2241" i="7"/>
  <c r="D2240" i="7"/>
  <c r="D2239" i="7"/>
  <c r="D2238" i="7"/>
  <c r="D2237" i="7"/>
  <c r="D2236" i="7"/>
  <c r="D2235" i="7"/>
  <c r="D2234" i="7"/>
  <c r="D2233" i="7"/>
  <c r="D2232" i="7"/>
  <c r="D2231" i="7"/>
  <c r="D2230" i="7"/>
  <c r="D2229" i="7"/>
  <c r="D2228" i="7"/>
  <c r="D2227" i="7"/>
  <c r="D2226" i="7"/>
  <c r="D2225" i="7"/>
  <c r="D2224" i="7"/>
  <c r="D2223" i="7"/>
  <c r="D2222" i="7"/>
  <c r="D2221" i="7"/>
  <c r="D2220" i="7"/>
  <c r="D2219" i="7"/>
  <c r="D2218" i="7"/>
  <c r="D2217" i="7"/>
  <c r="D2216" i="7"/>
  <c r="D2215" i="7"/>
  <c r="D2214" i="7"/>
  <c r="D2213" i="7"/>
  <c r="D2212" i="7"/>
  <c r="D2211" i="7"/>
  <c r="D2210" i="7"/>
  <c r="D2209" i="7"/>
  <c r="D2208" i="7"/>
  <c r="D2207" i="7"/>
  <c r="D2206" i="7"/>
  <c r="D2205" i="7"/>
  <c r="D2204" i="7"/>
  <c r="D2203" i="7"/>
  <c r="D2202" i="7"/>
  <c r="D2201" i="7"/>
  <c r="D2200" i="7"/>
  <c r="D2199" i="7"/>
  <c r="D2198" i="7"/>
  <c r="D2197" i="7"/>
  <c r="D2196" i="7"/>
  <c r="D2195" i="7"/>
  <c r="D2194" i="7"/>
  <c r="D2193" i="7"/>
  <c r="D2192" i="7"/>
  <c r="D2191" i="7"/>
  <c r="D2190" i="7"/>
  <c r="D2189" i="7"/>
  <c r="D2188" i="7"/>
  <c r="D2187" i="7"/>
  <c r="D2186" i="7"/>
  <c r="D2185" i="7"/>
  <c r="D2184" i="7"/>
  <c r="D2183" i="7"/>
  <c r="D2182" i="7"/>
  <c r="D2181" i="7"/>
  <c r="D2180" i="7"/>
  <c r="D2179" i="7"/>
  <c r="D2178" i="7"/>
  <c r="D2177" i="7"/>
  <c r="D2176" i="7"/>
  <c r="D2175" i="7"/>
  <c r="D2174" i="7"/>
  <c r="D2173" i="7"/>
  <c r="D2172" i="7"/>
  <c r="D2171" i="7"/>
  <c r="D2170" i="7"/>
  <c r="D2169" i="7"/>
  <c r="D2168" i="7"/>
  <c r="D2167" i="7"/>
  <c r="D2166" i="7"/>
  <c r="D2165" i="7"/>
  <c r="D2164" i="7"/>
  <c r="D2163" i="7"/>
  <c r="D2162" i="7"/>
  <c r="D2161" i="7"/>
  <c r="D2160" i="7"/>
  <c r="D2159" i="7"/>
  <c r="D2158" i="7"/>
  <c r="D2157" i="7"/>
  <c r="D2156" i="7"/>
  <c r="D2155" i="7"/>
  <c r="D2154" i="7"/>
  <c r="D2153" i="7"/>
  <c r="D2152" i="7"/>
  <c r="D2151" i="7"/>
  <c r="D2150" i="7"/>
  <c r="D2149" i="7"/>
  <c r="D2148" i="7"/>
  <c r="D2147" i="7"/>
  <c r="D2146" i="7"/>
  <c r="D2145" i="7"/>
  <c r="D2144" i="7"/>
  <c r="D2143" i="7"/>
  <c r="D2142" i="7"/>
  <c r="D2141" i="7"/>
  <c r="D2140" i="7"/>
  <c r="D2139" i="7"/>
  <c r="D2138" i="7"/>
  <c r="D2137" i="7"/>
  <c r="D2136" i="7"/>
  <c r="D2135" i="7"/>
  <c r="D2134" i="7"/>
  <c r="D2133" i="7"/>
  <c r="D2132" i="7"/>
  <c r="D2131" i="7"/>
  <c r="D2130" i="7"/>
  <c r="D2129" i="7"/>
  <c r="D2128" i="7"/>
  <c r="D2127" i="7"/>
  <c r="D2126" i="7"/>
  <c r="D2125" i="7"/>
  <c r="D2124" i="7"/>
  <c r="D2123" i="7"/>
  <c r="D2122" i="7"/>
  <c r="D2121" i="7"/>
  <c r="D2120" i="7"/>
  <c r="D2119" i="7"/>
  <c r="D2118" i="7"/>
  <c r="D2117" i="7"/>
  <c r="D2116" i="7"/>
  <c r="D2115" i="7"/>
  <c r="D2114" i="7"/>
  <c r="D2113" i="7"/>
  <c r="D2112" i="7"/>
  <c r="D2111" i="7"/>
  <c r="D2110" i="7"/>
  <c r="D2109" i="7"/>
  <c r="D2108" i="7"/>
  <c r="D2107" i="7"/>
  <c r="D2106" i="7"/>
  <c r="D2105" i="7"/>
  <c r="D2104" i="7"/>
  <c r="D2103" i="7"/>
  <c r="D2102" i="7"/>
  <c r="D2101" i="7"/>
  <c r="D2100" i="7"/>
  <c r="D2099" i="7"/>
  <c r="D2098" i="7"/>
  <c r="D2097" i="7"/>
  <c r="D2096" i="7"/>
  <c r="D2095" i="7"/>
  <c r="D2094" i="7"/>
  <c r="D2093" i="7"/>
  <c r="D2092" i="7"/>
  <c r="D2091" i="7"/>
  <c r="D2090" i="7"/>
  <c r="D2089" i="7"/>
  <c r="D2088" i="7"/>
  <c r="D2087" i="7"/>
  <c r="D2086" i="7"/>
  <c r="D2085" i="7"/>
  <c r="D2084" i="7"/>
  <c r="D2083" i="7"/>
  <c r="D2082" i="7"/>
  <c r="D2081" i="7"/>
  <c r="D2080" i="7"/>
  <c r="D2079" i="7"/>
  <c r="D2078" i="7"/>
  <c r="D2077" i="7"/>
  <c r="D2076" i="7"/>
  <c r="D2075" i="7"/>
  <c r="D2074" i="7"/>
  <c r="D2073" i="7"/>
  <c r="D2072" i="7"/>
  <c r="D2071" i="7"/>
  <c r="D2070" i="7"/>
  <c r="D2069" i="7"/>
  <c r="D2068" i="7"/>
  <c r="D2067" i="7"/>
  <c r="D2066" i="7"/>
  <c r="D2065" i="7"/>
  <c r="D2064" i="7"/>
  <c r="D2063" i="7"/>
  <c r="D2062" i="7"/>
  <c r="D2061" i="7"/>
  <c r="D2060" i="7"/>
  <c r="D2059" i="7"/>
  <c r="D2058" i="7"/>
  <c r="D2057" i="7"/>
  <c r="D2056" i="7"/>
  <c r="D2055" i="7"/>
  <c r="D2054" i="7"/>
  <c r="D2053" i="7"/>
  <c r="D2052" i="7"/>
  <c r="D2051" i="7"/>
  <c r="D2050" i="7"/>
  <c r="D2049" i="7"/>
  <c r="D2048" i="7"/>
  <c r="D2047" i="7"/>
  <c r="D2046" i="7"/>
  <c r="D2045" i="7"/>
  <c r="D2044" i="7"/>
  <c r="D2043" i="7"/>
  <c r="D2042" i="7"/>
  <c r="D2041" i="7"/>
  <c r="D2040" i="7"/>
  <c r="D2039" i="7"/>
  <c r="D2038" i="7"/>
  <c r="D2037" i="7"/>
  <c r="D2036" i="7"/>
  <c r="D2035" i="7"/>
  <c r="D2034" i="7"/>
  <c r="D2033" i="7"/>
  <c r="D2032" i="7"/>
  <c r="D2031" i="7"/>
  <c r="D2030" i="7"/>
  <c r="D2029" i="7"/>
  <c r="D2028" i="7"/>
  <c r="D2027" i="7"/>
  <c r="D2026" i="7"/>
  <c r="D2025" i="7"/>
  <c r="D2024" i="7"/>
  <c r="D2023" i="7"/>
  <c r="D2022" i="7"/>
  <c r="D2021" i="7"/>
  <c r="D2020" i="7"/>
  <c r="D2019" i="7"/>
  <c r="D2018" i="7"/>
  <c r="D2017" i="7"/>
  <c r="D2016" i="7"/>
  <c r="D2015" i="7"/>
  <c r="D2014" i="7"/>
  <c r="D2013" i="7"/>
  <c r="D2012" i="7"/>
  <c r="D2011" i="7"/>
  <c r="D2010" i="7"/>
  <c r="D2009" i="7"/>
  <c r="D2008" i="7"/>
  <c r="D2007" i="7"/>
  <c r="D2006" i="7"/>
  <c r="D2005" i="7"/>
  <c r="D2004" i="7"/>
  <c r="D2003" i="7"/>
  <c r="D2002" i="7"/>
  <c r="D2001" i="7"/>
  <c r="D2000" i="7"/>
  <c r="D1999" i="7"/>
  <c r="D1998" i="7"/>
  <c r="D1997" i="7"/>
  <c r="D1996" i="7"/>
  <c r="D1995" i="7"/>
  <c r="D1994" i="7"/>
  <c r="D1993" i="7"/>
  <c r="D1992" i="7"/>
  <c r="D1991" i="7"/>
  <c r="D1990" i="7"/>
  <c r="D1989" i="7"/>
  <c r="D1988" i="7"/>
  <c r="D1987" i="7"/>
  <c r="D1986" i="7"/>
  <c r="D1985" i="7"/>
  <c r="D1984" i="7"/>
  <c r="D1983" i="7"/>
  <c r="D1982" i="7"/>
  <c r="D1981" i="7"/>
  <c r="D1980" i="7"/>
  <c r="D1979" i="7"/>
  <c r="D1978" i="7"/>
  <c r="D1977" i="7"/>
  <c r="D1976" i="7"/>
  <c r="D1975" i="7"/>
  <c r="D1974" i="7"/>
  <c r="D1973" i="7"/>
  <c r="D1972" i="7"/>
  <c r="D1971" i="7"/>
  <c r="D1970" i="7"/>
  <c r="D1969" i="7"/>
  <c r="D1968" i="7"/>
  <c r="D1967" i="7"/>
  <c r="D1966" i="7"/>
  <c r="D1965" i="7"/>
  <c r="D1964" i="7"/>
  <c r="D1963" i="7"/>
  <c r="D1962" i="7"/>
  <c r="D1961" i="7"/>
  <c r="D1960" i="7"/>
  <c r="D1959" i="7"/>
  <c r="D1958" i="7"/>
  <c r="D1957" i="7"/>
  <c r="D1956" i="7"/>
  <c r="D1955" i="7"/>
  <c r="D1954" i="7"/>
  <c r="D1953" i="7"/>
  <c r="D1952" i="7"/>
  <c r="D1951" i="7"/>
  <c r="D1950" i="7"/>
  <c r="D1949" i="7"/>
  <c r="D1948" i="7"/>
  <c r="D1947" i="7"/>
  <c r="D1946" i="7"/>
  <c r="D1945" i="7"/>
  <c r="D1944" i="7"/>
  <c r="D1943" i="7"/>
  <c r="D1942" i="7"/>
  <c r="D1941" i="7"/>
  <c r="D1940" i="7"/>
  <c r="D1939" i="7"/>
  <c r="D1938" i="7"/>
  <c r="D1937" i="7"/>
  <c r="D1936" i="7"/>
  <c r="D1935" i="7"/>
  <c r="D1934" i="7"/>
  <c r="D1933" i="7"/>
  <c r="D1932" i="7"/>
  <c r="D1931" i="7"/>
  <c r="D1930" i="7"/>
  <c r="D1929" i="7"/>
  <c r="D1928" i="7"/>
  <c r="D1927" i="7"/>
  <c r="D1926" i="7"/>
  <c r="D1925" i="7"/>
  <c r="D1924" i="7"/>
  <c r="D1923" i="7"/>
  <c r="D1922" i="7"/>
  <c r="D1921" i="7"/>
  <c r="D1920" i="7"/>
  <c r="D1919" i="7"/>
  <c r="D1918" i="7"/>
  <c r="D1917" i="7"/>
  <c r="D1916" i="7"/>
  <c r="D1915" i="7"/>
  <c r="D1914" i="7"/>
  <c r="D1913" i="7"/>
  <c r="D1912" i="7"/>
  <c r="D1911" i="7"/>
  <c r="D1910" i="7"/>
  <c r="D1909" i="7"/>
  <c r="D1908" i="7"/>
  <c r="D1907" i="7"/>
  <c r="D1906" i="7"/>
  <c r="D1905" i="7"/>
  <c r="D1904" i="7"/>
  <c r="D1903" i="7"/>
  <c r="D1902" i="7"/>
  <c r="D1901" i="7"/>
  <c r="D1900" i="7"/>
  <c r="D1899" i="7"/>
  <c r="D1898" i="7"/>
  <c r="D1897" i="7"/>
  <c r="D1896" i="7"/>
  <c r="D1895" i="7"/>
  <c r="D1894" i="7"/>
  <c r="D1893" i="7"/>
  <c r="D1892" i="7"/>
  <c r="D1891" i="7"/>
  <c r="D1890" i="7"/>
  <c r="D1889" i="7"/>
  <c r="D1888" i="7"/>
  <c r="D1887" i="7"/>
  <c r="D1886" i="7"/>
  <c r="D1885" i="7"/>
  <c r="D1884" i="7"/>
  <c r="D1883" i="7"/>
  <c r="D1882" i="7"/>
  <c r="D1881" i="7"/>
  <c r="D1880" i="7"/>
  <c r="D1879" i="7"/>
  <c r="D1878" i="7"/>
  <c r="D1877" i="7"/>
  <c r="D1876" i="7"/>
  <c r="D1875" i="7"/>
  <c r="D1874" i="7"/>
  <c r="D1873" i="7"/>
  <c r="D1872" i="7"/>
  <c r="D1871" i="7"/>
  <c r="D1870" i="7"/>
  <c r="D1869" i="7"/>
  <c r="D1868" i="7"/>
  <c r="D1867" i="7"/>
  <c r="D1866" i="7"/>
  <c r="D1865" i="7"/>
  <c r="D1864" i="7"/>
  <c r="D1863" i="7"/>
  <c r="D1862" i="7"/>
  <c r="D1861" i="7"/>
  <c r="D1860" i="7"/>
  <c r="D1859" i="7"/>
  <c r="D1858" i="7"/>
  <c r="D1857" i="7"/>
  <c r="D1856" i="7"/>
  <c r="D1855" i="7"/>
  <c r="D1854" i="7"/>
  <c r="D1853" i="7"/>
  <c r="D1852" i="7"/>
  <c r="D1851" i="7"/>
  <c r="D1850" i="7"/>
  <c r="D1849" i="7"/>
  <c r="D1848" i="7"/>
  <c r="D1847" i="7"/>
  <c r="D1846" i="7"/>
  <c r="D1845" i="7"/>
  <c r="D1844" i="7"/>
  <c r="D1843" i="7"/>
  <c r="D1842" i="7"/>
  <c r="D1841" i="7"/>
  <c r="D1840" i="7"/>
  <c r="D1839" i="7"/>
  <c r="D1838" i="7"/>
  <c r="D1837" i="7"/>
  <c r="D1836" i="7"/>
  <c r="D1835" i="7"/>
  <c r="D1834" i="7"/>
  <c r="D1833" i="7"/>
  <c r="D1832" i="7"/>
  <c r="D1831" i="7"/>
  <c r="D1830" i="7"/>
  <c r="D1829" i="7"/>
  <c r="D1828" i="7"/>
  <c r="D1827" i="7"/>
  <c r="D1826" i="7"/>
  <c r="D1825" i="7"/>
  <c r="D1824" i="7"/>
  <c r="D1823" i="7"/>
  <c r="D1822" i="7"/>
  <c r="D1821" i="7"/>
  <c r="D1820" i="7"/>
  <c r="D1819" i="7"/>
  <c r="D1818" i="7"/>
  <c r="D1817" i="7"/>
  <c r="D1816" i="7"/>
  <c r="D1815" i="7"/>
  <c r="D1814" i="7"/>
  <c r="D1813" i="7"/>
  <c r="D1812" i="7"/>
  <c r="D1811" i="7"/>
  <c r="D1810" i="7"/>
  <c r="D1809" i="7"/>
  <c r="D1808" i="7"/>
  <c r="D1807" i="7"/>
  <c r="D1806" i="7"/>
  <c r="D1805" i="7"/>
  <c r="D1804" i="7"/>
  <c r="D1803" i="7"/>
  <c r="D1802" i="7"/>
  <c r="D1801" i="7"/>
  <c r="D1800" i="7"/>
  <c r="D1799" i="7"/>
  <c r="D1798" i="7"/>
  <c r="D1797" i="7"/>
  <c r="D1796" i="7"/>
  <c r="D1795" i="7"/>
  <c r="D1794" i="7"/>
  <c r="D1793" i="7"/>
  <c r="D1792" i="7"/>
  <c r="D1791" i="7"/>
  <c r="D1790" i="7"/>
  <c r="D1789" i="7"/>
  <c r="D1788" i="7"/>
  <c r="D1787" i="7"/>
  <c r="D1786" i="7"/>
  <c r="D1785" i="7"/>
  <c r="D1784" i="7"/>
  <c r="D1783" i="7"/>
  <c r="D1782" i="7"/>
  <c r="D1781" i="7"/>
  <c r="D1780" i="7"/>
  <c r="D1779" i="7"/>
  <c r="D1778" i="7"/>
  <c r="D1777" i="7"/>
  <c r="D1776" i="7"/>
  <c r="D1775" i="7"/>
  <c r="D1774" i="7"/>
  <c r="D1773" i="7"/>
  <c r="D1772" i="7"/>
  <c r="D1771" i="7"/>
  <c r="D1770" i="7"/>
  <c r="D1769" i="7"/>
  <c r="D1768" i="7"/>
  <c r="D1767" i="7"/>
  <c r="D1766" i="7"/>
  <c r="D1765" i="7"/>
  <c r="D1764" i="7"/>
  <c r="D1763" i="7"/>
  <c r="D1762" i="7"/>
  <c r="D1761" i="7"/>
  <c r="D1760" i="7"/>
  <c r="D1759" i="7"/>
  <c r="D1758" i="7"/>
  <c r="D1757" i="7"/>
  <c r="D1756" i="7"/>
  <c r="D1755" i="7"/>
  <c r="D1754" i="7"/>
  <c r="D1753" i="7"/>
  <c r="D1752" i="7"/>
  <c r="D1751" i="7"/>
  <c r="D1750" i="7"/>
  <c r="D1749" i="7"/>
  <c r="D1748" i="7"/>
  <c r="D1747" i="7"/>
  <c r="D1746" i="7"/>
  <c r="D1745" i="7"/>
  <c r="D1744" i="7"/>
  <c r="D1743" i="7"/>
  <c r="D1742" i="7"/>
  <c r="D1741" i="7"/>
  <c r="D1740" i="7"/>
  <c r="D1739" i="7"/>
  <c r="D1738" i="7"/>
  <c r="D1737" i="7"/>
  <c r="D1736" i="7"/>
  <c r="D1735" i="7"/>
  <c r="D1734" i="7"/>
  <c r="D1733" i="7"/>
  <c r="D1732" i="7"/>
  <c r="D1731" i="7"/>
  <c r="D1730" i="7"/>
  <c r="D1729" i="7"/>
  <c r="D1728" i="7"/>
  <c r="D1727" i="7"/>
  <c r="D1726" i="7"/>
  <c r="D1725" i="7"/>
  <c r="D1724" i="7"/>
  <c r="D1723" i="7"/>
  <c r="D1722" i="7"/>
  <c r="D1721" i="7"/>
  <c r="D1720" i="7"/>
  <c r="D1719" i="7"/>
  <c r="D1718" i="7"/>
  <c r="D1717" i="7"/>
  <c r="D1716" i="7"/>
  <c r="D1715" i="7"/>
  <c r="D1714" i="7"/>
  <c r="D1713" i="7"/>
  <c r="D1712" i="7"/>
  <c r="D1711" i="7"/>
  <c r="D1710" i="7"/>
  <c r="D1709" i="7"/>
  <c r="D1708" i="7"/>
  <c r="D1707" i="7"/>
  <c r="D1706" i="7"/>
  <c r="D1705" i="7"/>
  <c r="D1704" i="7"/>
  <c r="D1703" i="7"/>
  <c r="D1702" i="7"/>
  <c r="D1701" i="7"/>
  <c r="D1700" i="7"/>
  <c r="D1699" i="7"/>
  <c r="D1698" i="7"/>
  <c r="D1697" i="7"/>
  <c r="D1696" i="7"/>
  <c r="D1695" i="7"/>
  <c r="D1694" i="7"/>
  <c r="D1693" i="7"/>
  <c r="D1692" i="7"/>
  <c r="D1691" i="7"/>
  <c r="D1690" i="7"/>
  <c r="D1689" i="7"/>
  <c r="D1688" i="7"/>
  <c r="D1687" i="7"/>
  <c r="D1686" i="7"/>
  <c r="D1685" i="7"/>
  <c r="D1684" i="7"/>
  <c r="D1683" i="7"/>
  <c r="D1682" i="7"/>
  <c r="D1681" i="7"/>
  <c r="D1680" i="7"/>
  <c r="D1679" i="7"/>
  <c r="D1678" i="7"/>
  <c r="D1677" i="7"/>
  <c r="D1676" i="7"/>
  <c r="D1675" i="7"/>
  <c r="D1674" i="7"/>
  <c r="D1673" i="7"/>
  <c r="D1672" i="7"/>
  <c r="D1671" i="7"/>
  <c r="D1670" i="7"/>
  <c r="D1669" i="7"/>
  <c r="D1668" i="7"/>
  <c r="D1667" i="7"/>
  <c r="D1666" i="7"/>
  <c r="D1665" i="7"/>
  <c r="D1664" i="7"/>
  <c r="D1663" i="7"/>
  <c r="D1662" i="7"/>
  <c r="D1661" i="7"/>
  <c r="D1660" i="7"/>
  <c r="D1659" i="7"/>
  <c r="D1658" i="7"/>
  <c r="D1657" i="7"/>
  <c r="D1656" i="7"/>
  <c r="D1655" i="7"/>
  <c r="D1654" i="7"/>
  <c r="D1653" i="7"/>
  <c r="D1652" i="7"/>
  <c r="D1651" i="7"/>
  <c r="D1650" i="7"/>
  <c r="D1649" i="7"/>
  <c r="D1648" i="7"/>
  <c r="D1647" i="7"/>
  <c r="D1646" i="7"/>
  <c r="D1645" i="7"/>
  <c r="D1644" i="7"/>
  <c r="D1643" i="7"/>
  <c r="D1642" i="7"/>
  <c r="D1641" i="7"/>
  <c r="D1640" i="7"/>
  <c r="D1639" i="7"/>
  <c r="D1638" i="7"/>
  <c r="D1637" i="7"/>
  <c r="D1636" i="7"/>
  <c r="D1635" i="7"/>
  <c r="D1634" i="7"/>
  <c r="D1633" i="7"/>
  <c r="D1632" i="7"/>
  <c r="D1631" i="7"/>
  <c r="D1630" i="7"/>
  <c r="D1629" i="7"/>
  <c r="D1628" i="7"/>
  <c r="D1627" i="7"/>
  <c r="D1626" i="7"/>
  <c r="D1625" i="7"/>
  <c r="D1624" i="7"/>
  <c r="D1623" i="7"/>
  <c r="D1622" i="7"/>
  <c r="D1621" i="7"/>
  <c r="D1620" i="7"/>
  <c r="D1619" i="7"/>
  <c r="D1618" i="7"/>
  <c r="D1617" i="7"/>
  <c r="D1616" i="7"/>
  <c r="D1615" i="7"/>
  <c r="D1614" i="7"/>
  <c r="D1613" i="7"/>
  <c r="D1612" i="7"/>
  <c r="D1611" i="7"/>
  <c r="D1610" i="7"/>
  <c r="D1609" i="7"/>
  <c r="D1608" i="7"/>
  <c r="D1607" i="7"/>
  <c r="D1606" i="7"/>
  <c r="D1605" i="7"/>
  <c r="D1604" i="7"/>
  <c r="D1603" i="7"/>
  <c r="D1602" i="7"/>
  <c r="D1601" i="7"/>
  <c r="D1600" i="7"/>
  <c r="D1599" i="7"/>
  <c r="D1598" i="7"/>
  <c r="D1597" i="7"/>
  <c r="D1596" i="7"/>
  <c r="D1595" i="7"/>
  <c r="D1594" i="7"/>
  <c r="D1593" i="7"/>
  <c r="D1592" i="7"/>
  <c r="D1591" i="7"/>
  <c r="D1590" i="7"/>
  <c r="D1589" i="7"/>
  <c r="D1588" i="7"/>
  <c r="D1587" i="7"/>
  <c r="D1586" i="7"/>
  <c r="D1585" i="7"/>
  <c r="D1584" i="7"/>
  <c r="D1583" i="7"/>
  <c r="D1582" i="7"/>
  <c r="D1581" i="7"/>
  <c r="D1580" i="7"/>
  <c r="D1579" i="7"/>
  <c r="D1578" i="7"/>
  <c r="D1577" i="7"/>
  <c r="D1576" i="7"/>
  <c r="D1575" i="7"/>
  <c r="D1574" i="7"/>
  <c r="D1573" i="7"/>
  <c r="D1572" i="7"/>
  <c r="D1571" i="7"/>
  <c r="D1570" i="7"/>
  <c r="D1569" i="7"/>
  <c r="D1568" i="7"/>
  <c r="D1567" i="7"/>
  <c r="D1566" i="7"/>
  <c r="D1565" i="7"/>
  <c r="D1564" i="7"/>
  <c r="D1563" i="7"/>
  <c r="D1562" i="7"/>
  <c r="D1561" i="7"/>
  <c r="D1560" i="7"/>
  <c r="D1559" i="7"/>
  <c r="D1558" i="7"/>
  <c r="D1557" i="7"/>
  <c r="D1556" i="7"/>
  <c r="D1555" i="7"/>
  <c r="D1554" i="7"/>
  <c r="D1553" i="7"/>
  <c r="D1552" i="7"/>
  <c r="D1551" i="7"/>
  <c r="D1550" i="7"/>
  <c r="D1549" i="7"/>
  <c r="D1548" i="7"/>
  <c r="D1547" i="7"/>
  <c r="D1546" i="7"/>
  <c r="D1545" i="7"/>
  <c r="D1544" i="7"/>
  <c r="D1543" i="7"/>
  <c r="D1542" i="7"/>
  <c r="D1541" i="7"/>
  <c r="D1540" i="7"/>
  <c r="D1539" i="7"/>
  <c r="D1538" i="7"/>
  <c r="D1537" i="7"/>
  <c r="D1536" i="7"/>
  <c r="D1535" i="7"/>
  <c r="D1534" i="7"/>
  <c r="D1533" i="7"/>
  <c r="D1532" i="7"/>
  <c r="D1531" i="7"/>
  <c r="D1530" i="7"/>
  <c r="D1529" i="7"/>
  <c r="D1528" i="7"/>
  <c r="D1527" i="7"/>
  <c r="D1526" i="7"/>
  <c r="D1525" i="7"/>
  <c r="D1524" i="7"/>
  <c r="D1523" i="7"/>
  <c r="D1522" i="7"/>
  <c r="D1521" i="7"/>
  <c r="D1520" i="7"/>
  <c r="D1519" i="7"/>
  <c r="D1518" i="7"/>
  <c r="D1517" i="7"/>
  <c r="D1516" i="7"/>
  <c r="D1515" i="7"/>
  <c r="D1514" i="7"/>
  <c r="D1513" i="7"/>
  <c r="D1512" i="7"/>
  <c r="D1511" i="7"/>
  <c r="D1510" i="7"/>
  <c r="D1509" i="7"/>
  <c r="D1508" i="7"/>
  <c r="D1507" i="7"/>
  <c r="D1506" i="7"/>
  <c r="D1505" i="7"/>
  <c r="D1504" i="7"/>
  <c r="D1503" i="7"/>
  <c r="D1502" i="7"/>
  <c r="D1501" i="7"/>
  <c r="D1500" i="7"/>
  <c r="D1499" i="7"/>
  <c r="D1498" i="7"/>
  <c r="D1497" i="7"/>
  <c r="D1496" i="7"/>
  <c r="D1495" i="7"/>
  <c r="D1494" i="7"/>
  <c r="D1493" i="7"/>
  <c r="D1492" i="7"/>
  <c r="D1491" i="7"/>
  <c r="D1490" i="7"/>
  <c r="D1489" i="7"/>
  <c r="D1488" i="7"/>
  <c r="D1487" i="7"/>
  <c r="D1486" i="7"/>
  <c r="D1485" i="7"/>
  <c r="D1484" i="7"/>
  <c r="D1483" i="7"/>
  <c r="D1482" i="7"/>
  <c r="D1481" i="7"/>
  <c r="D1480" i="7"/>
  <c r="D1479" i="7"/>
  <c r="D1478" i="7"/>
  <c r="D1477" i="7"/>
  <c r="D1476" i="7"/>
  <c r="D1475" i="7"/>
  <c r="D1474" i="7"/>
  <c r="D1473" i="7"/>
  <c r="D1472" i="7"/>
  <c r="D1471" i="7"/>
  <c r="D1470" i="7"/>
  <c r="D1469" i="7"/>
  <c r="D1468" i="7"/>
  <c r="D1467" i="7"/>
  <c r="D1466" i="7"/>
  <c r="D1465" i="7"/>
  <c r="D1464" i="7"/>
  <c r="D1463" i="7"/>
  <c r="D1462" i="7"/>
  <c r="D1461" i="7"/>
  <c r="D1460" i="7"/>
  <c r="D1459" i="7"/>
  <c r="D1458" i="7"/>
  <c r="D1457" i="7"/>
  <c r="D1456" i="7"/>
  <c r="D1455" i="7"/>
  <c r="D1454" i="7"/>
  <c r="D1453" i="7"/>
  <c r="D1452" i="7"/>
  <c r="D1451" i="7"/>
  <c r="D1450" i="7"/>
  <c r="D1449" i="7"/>
  <c r="D1448" i="7"/>
  <c r="D1447" i="7"/>
  <c r="D1446" i="7"/>
  <c r="D1445" i="7"/>
  <c r="D1444" i="7"/>
  <c r="D1443" i="7"/>
  <c r="D1442" i="7"/>
  <c r="D1441" i="7"/>
  <c r="D1440" i="7"/>
  <c r="D1439" i="7"/>
  <c r="D1438" i="7"/>
  <c r="D1437" i="7"/>
  <c r="D1436" i="7"/>
  <c r="D1435" i="7"/>
  <c r="D1434" i="7"/>
  <c r="D1433" i="7"/>
  <c r="D1432" i="7"/>
  <c r="D1431" i="7"/>
  <c r="D1430" i="7"/>
  <c r="D1429" i="7"/>
  <c r="D1428" i="7"/>
  <c r="D1427" i="7"/>
  <c r="D1426" i="7"/>
  <c r="D1425" i="7"/>
  <c r="D1424" i="7"/>
  <c r="D1423" i="7"/>
  <c r="D1422" i="7"/>
  <c r="D1421" i="7"/>
  <c r="D1420" i="7"/>
  <c r="D1419" i="7"/>
  <c r="D1418" i="7"/>
  <c r="D1417" i="7"/>
  <c r="D1416" i="7"/>
  <c r="D1415" i="7"/>
  <c r="D1414" i="7"/>
  <c r="D1413" i="7"/>
  <c r="D1412" i="7"/>
  <c r="D1411" i="7"/>
  <c r="D1410" i="7"/>
  <c r="D1409" i="7"/>
  <c r="D1408" i="7"/>
  <c r="D1407" i="7"/>
  <c r="D1406" i="7"/>
  <c r="D1405" i="7"/>
  <c r="D1404" i="7"/>
  <c r="D1403" i="7"/>
  <c r="D1402" i="7"/>
  <c r="D1401" i="7"/>
  <c r="D1400" i="7"/>
  <c r="D1399" i="7"/>
  <c r="D1398" i="7"/>
  <c r="D1397" i="7"/>
  <c r="D1396" i="7"/>
  <c r="D1395" i="7"/>
  <c r="D1394" i="7"/>
  <c r="D1393" i="7"/>
  <c r="D1392" i="7"/>
  <c r="D1391" i="7"/>
  <c r="D1390" i="7"/>
  <c r="D1389" i="7"/>
  <c r="D1388" i="7"/>
  <c r="D1387" i="7"/>
  <c r="D1386" i="7"/>
  <c r="D1385" i="7"/>
  <c r="D1384" i="7"/>
  <c r="D1383" i="7"/>
  <c r="D1382" i="7"/>
  <c r="D1381" i="7"/>
  <c r="D1380" i="7"/>
  <c r="D1379" i="7"/>
  <c r="D1378" i="7"/>
  <c r="D1377" i="7"/>
  <c r="D1376" i="7"/>
  <c r="D1375" i="7"/>
  <c r="D1374" i="7"/>
  <c r="D1373" i="7"/>
  <c r="D1372" i="7"/>
  <c r="D1371" i="7"/>
  <c r="D1370" i="7"/>
  <c r="D1369" i="7"/>
  <c r="D1368" i="7"/>
  <c r="D1367" i="7"/>
  <c r="D1366" i="7"/>
  <c r="D1365" i="7"/>
  <c r="D1364" i="7"/>
  <c r="D1363" i="7"/>
  <c r="D1362" i="7"/>
  <c r="D1361" i="7"/>
  <c r="D1360" i="7"/>
  <c r="D1359" i="7"/>
  <c r="D1358" i="7"/>
  <c r="D1357" i="7"/>
  <c r="D1356" i="7"/>
  <c r="D1355" i="7"/>
  <c r="D1354" i="7"/>
  <c r="D1353" i="7"/>
  <c r="D1352" i="7"/>
  <c r="D1351" i="7"/>
  <c r="D1350" i="7"/>
  <c r="D1349" i="7"/>
  <c r="D1348" i="7"/>
  <c r="D1347" i="7"/>
  <c r="D1346" i="7"/>
  <c r="D1345" i="7"/>
  <c r="D1344" i="7"/>
  <c r="D1343" i="7"/>
  <c r="D1342" i="7"/>
  <c r="D1341" i="7"/>
  <c r="D1340" i="7"/>
  <c r="D1339" i="7"/>
  <c r="D1338" i="7"/>
  <c r="D1337" i="7"/>
  <c r="D1336" i="7"/>
  <c r="D1335" i="7"/>
  <c r="D1334" i="7"/>
  <c r="D1333" i="7"/>
  <c r="D1332" i="7"/>
  <c r="D1331" i="7"/>
  <c r="D1330" i="7"/>
  <c r="D1329" i="7"/>
  <c r="D1328" i="7"/>
  <c r="D1327" i="7"/>
  <c r="D1326" i="7"/>
  <c r="D1325" i="7"/>
  <c r="D1324" i="7"/>
  <c r="D1323" i="7"/>
  <c r="D1322" i="7"/>
  <c r="D1321" i="7"/>
  <c r="D1320" i="7"/>
  <c r="D1319" i="7"/>
  <c r="D1318" i="7"/>
  <c r="D1317" i="7"/>
  <c r="D1316" i="7"/>
  <c r="D1315" i="7"/>
  <c r="D1314" i="7"/>
  <c r="D1313" i="7"/>
  <c r="D1312" i="7"/>
  <c r="D1311" i="7"/>
  <c r="D1310" i="7"/>
  <c r="D1309" i="7"/>
  <c r="D1308" i="7"/>
  <c r="D1307" i="7"/>
  <c r="D1306" i="7"/>
  <c r="D1305" i="7"/>
  <c r="D1304" i="7"/>
  <c r="D1303" i="7"/>
  <c r="D1302" i="7"/>
  <c r="D1301" i="7"/>
  <c r="D1300" i="7"/>
  <c r="D1299" i="7"/>
  <c r="D1298" i="7"/>
  <c r="D1297" i="7"/>
  <c r="D1296" i="7"/>
  <c r="D1295" i="7"/>
  <c r="D1294" i="7"/>
  <c r="D1293" i="7"/>
  <c r="D1292" i="7"/>
  <c r="D1291" i="7"/>
  <c r="D1290" i="7"/>
  <c r="D1289" i="7"/>
  <c r="D1288" i="7"/>
  <c r="D1287" i="7"/>
  <c r="D1286" i="7"/>
  <c r="D1285" i="7"/>
  <c r="D1284" i="7"/>
  <c r="D1283" i="7"/>
  <c r="D1282" i="7"/>
  <c r="D1281" i="7"/>
  <c r="D1280" i="7"/>
  <c r="D1279" i="7"/>
  <c r="D1278" i="7"/>
  <c r="D1277" i="7"/>
  <c r="D1276" i="7"/>
  <c r="D1275" i="7"/>
  <c r="D1274" i="7"/>
  <c r="D1273" i="7"/>
  <c r="D1272" i="7"/>
  <c r="D1271" i="7"/>
  <c r="D1270" i="7"/>
  <c r="D1269" i="7"/>
  <c r="D1268" i="7"/>
  <c r="D1267" i="7"/>
  <c r="D1266" i="7"/>
  <c r="D1265" i="7"/>
  <c r="D1264" i="7"/>
  <c r="D1263" i="7"/>
  <c r="D1262" i="7"/>
  <c r="D1261" i="7"/>
  <c r="D1260" i="7"/>
  <c r="D1259" i="7"/>
  <c r="D1258" i="7"/>
  <c r="D1257" i="7"/>
  <c r="D1256" i="7"/>
  <c r="D1255" i="7"/>
  <c r="D1254" i="7"/>
  <c r="D1253" i="7"/>
  <c r="D1252" i="7"/>
  <c r="D1251" i="7"/>
  <c r="D1250" i="7"/>
  <c r="D1249" i="7"/>
  <c r="D1248" i="7"/>
  <c r="D1247" i="7"/>
  <c r="D1246" i="7"/>
  <c r="D1245" i="7"/>
  <c r="D1244" i="7"/>
  <c r="D1243" i="7"/>
  <c r="D1242" i="7"/>
  <c r="D1241" i="7"/>
  <c r="D1240" i="7"/>
  <c r="D1239" i="7"/>
  <c r="D1238" i="7"/>
  <c r="D1237" i="7"/>
  <c r="D1236" i="7"/>
  <c r="D1235" i="7"/>
  <c r="D1234" i="7"/>
  <c r="D1233" i="7"/>
  <c r="D1232" i="7"/>
  <c r="D1231" i="7"/>
  <c r="D1230" i="7"/>
  <c r="D1229" i="7"/>
  <c r="D1228" i="7"/>
  <c r="D1227" i="7"/>
  <c r="D1226" i="7"/>
  <c r="D1225" i="7"/>
  <c r="D1224" i="7"/>
  <c r="D1223" i="7"/>
  <c r="D1222" i="7"/>
  <c r="D1221" i="7"/>
  <c r="D1220" i="7"/>
  <c r="D1219" i="7"/>
  <c r="D1218" i="7"/>
  <c r="D1217" i="7"/>
  <c r="D1216" i="7"/>
  <c r="D1215" i="7"/>
  <c r="D1214" i="7"/>
  <c r="D1213" i="7"/>
  <c r="D1212" i="7"/>
  <c r="D1211" i="7"/>
  <c r="D1210" i="7"/>
  <c r="D1209" i="7"/>
  <c r="D1208" i="7"/>
  <c r="D1207" i="7"/>
  <c r="D1206" i="7"/>
  <c r="D1205" i="7"/>
  <c r="D1204" i="7"/>
  <c r="D1203" i="7"/>
  <c r="D1202" i="7"/>
  <c r="D1201" i="7"/>
  <c r="D1200" i="7"/>
  <c r="D1199" i="7"/>
  <c r="D1198" i="7"/>
  <c r="D1197" i="7"/>
  <c r="D1196" i="7"/>
  <c r="D1195" i="7"/>
  <c r="D1194" i="7"/>
  <c r="D1193" i="7"/>
  <c r="D1192" i="7"/>
  <c r="D1191" i="7"/>
  <c r="D1190" i="7"/>
  <c r="D1189" i="7"/>
  <c r="D1188" i="7"/>
  <c r="D1187" i="7"/>
  <c r="D1186" i="7"/>
  <c r="D1185" i="7"/>
  <c r="D1184" i="7"/>
  <c r="D1183" i="7"/>
  <c r="D1182" i="7"/>
  <c r="D1181" i="7"/>
  <c r="D1180" i="7"/>
  <c r="D1179" i="7"/>
  <c r="D1178" i="7"/>
  <c r="D1177" i="7"/>
  <c r="D1176" i="7"/>
  <c r="D1175" i="7"/>
  <c r="D1174" i="7"/>
  <c r="D1173" i="7"/>
  <c r="D1172" i="7"/>
  <c r="D1171" i="7"/>
  <c r="D1170" i="7"/>
  <c r="D1169" i="7"/>
  <c r="D1168" i="7"/>
  <c r="D1167" i="7"/>
  <c r="D1166" i="7"/>
  <c r="D1165" i="7"/>
  <c r="D1164" i="7"/>
  <c r="D1163" i="7"/>
  <c r="D1162" i="7"/>
  <c r="D1161" i="7"/>
  <c r="D1160" i="7"/>
  <c r="D1159" i="7"/>
  <c r="D1158" i="7"/>
  <c r="D1157" i="7"/>
  <c r="D1156" i="7"/>
  <c r="D1155" i="7"/>
  <c r="D1154" i="7"/>
  <c r="D1153" i="7"/>
  <c r="D1152" i="7"/>
  <c r="D1151" i="7"/>
  <c r="D1150" i="7"/>
  <c r="D1149" i="7"/>
  <c r="D1148" i="7"/>
  <c r="D1147" i="7"/>
  <c r="D1146" i="7"/>
  <c r="D1145" i="7"/>
  <c r="D1144" i="7"/>
  <c r="D1143" i="7"/>
  <c r="D1142" i="7"/>
  <c r="D1141" i="7"/>
  <c r="D1140" i="7"/>
  <c r="D1139" i="7"/>
  <c r="D1138" i="7"/>
  <c r="D1137" i="7"/>
  <c r="D1136" i="7"/>
  <c r="D1135" i="7"/>
  <c r="D1134" i="7"/>
  <c r="D1133" i="7"/>
  <c r="D1132" i="7"/>
  <c r="D1131" i="7"/>
  <c r="D1130" i="7"/>
  <c r="D1129" i="7"/>
  <c r="D1128" i="7"/>
  <c r="D1127" i="7"/>
  <c r="D1126" i="7"/>
  <c r="D1125" i="7"/>
  <c r="D1124" i="7"/>
  <c r="D1123" i="7"/>
  <c r="D1122" i="7"/>
  <c r="D1121" i="7"/>
  <c r="D1120" i="7"/>
  <c r="D1119" i="7"/>
  <c r="D1118" i="7"/>
  <c r="D1117" i="7"/>
  <c r="D1116" i="7"/>
  <c r="D1115" i="7"/>
  <c r="D1114" i="7"/>
  <c r="D1113" i="7"/>
  <c r="D1112" i="7"/>
  <c r="D1111" i="7"/>
  <c r="D1110" i="7"/>
  <c r="D1109" i="7"/>
  <c r="D1108" i="7"/>
  <c r="D1107" i="7"/>
  <c r="D1106" i="7"/>
  <c r="D1105" i="7"/>
  <c r="D1104" i="7"/>
  <c r="D1103" i="7"/>
  <c r="D1102" i="7"/>
  <c r="D1101" i="7"/>
  <c r="D1100" i="7"/>
  <c r="D1099" i="7"/>
  <c r="D1098" i="7"/>
  <c r="D1097" i="7"/>
  <c r="D1096" i="7"/>
  <c r="D1095" i="7"/>
  <c r="D1094" i="7"/>
  <c r="D1093" i="7"/>
  <c r="D1092" i="7"/>
  <c r="D1091" i="7"/>
  <c r="D1090" i="7"/>
  <c r="D1089" i="7"/>
  <c r="D1088" i="7"/>
  <c r="D1087" i="7"/>
  <c r="D1086" i="7"/>
  <c r="D1085" i="7"/>
  <c r="D1084" i="7"/>
  <c r="D1083" i="7"/>
  <c r="D1082" i="7"/>
  <c r="D1081" i="7"/>
  <c r="D1080" i="7"/>
  <c r="D1079" i="7"/>
  <c r="D1078" i="7"/>
  <c r="D1077" i="7"/>
  <c r="D1076" i="7"/>
  <c r="D1075" i="7"/>
  <c r="D1074" i="7"/>
  <c r="D1073" i="7"/>
  <c r="D1072" i="7"/>
  <c r="D1071" i="7"/>
  <c r="D1070" i="7"/>
  <c r="D1069" i="7"/>
  <c r="D1068" i="7"/>
  <c r="D1067" i="7"/>
  <c r="D1066" i="7"/>
  <c r="D1065" i="7"/>
  <c r="D1064" i="7"/>
  <c r="D1063" i="7"/>
  <c r="D1062" i="7"/>
  <c r="D1061" i="7"/>
  <c r="D1060" i="7"/>
  <c r="D1059" i="7"/>
  <c r="D1058" i="7"/>
  <c r="D1057" i="7"/>
  <c r="D1056" i="7"/>
  <c r="D1055" i="7"/>
  <c r="D1054" i="7"/>
  <c r="D1053" i="7"/>
  <c r="D1052" i="7"/>
  <c r="D1051" i="7"/>
  <c r="D1050" i="7"/>
  <c r="D1049" i="7"/>
  <c r="D1048" i="7"/>
  <c r="D1047" i="7"/>
  <c r="D1046" i="7"/>
  <c r="D1045" i="7"/>
  <c r="D1044" i="7"/>
  <c r="D1043" i="7"/>
  <c r="D1042" i="7"/>
  <c r="D1041" i="7"/>
  <c r="D1040" i="7"/>
  <c r="D1039" i="7"/>
  <c r="D1038" i="7"/>
  <c r="D1037" i="7"/>
  <c r="D1036" i="7"/>
  <c r="D1035" i="7"/>
  <c r="D1034" i="7"/>
  <c r="D1033" i="7"/>
  <c r="D1032" i="7"/>
  <c r="D1031" i="7"/>
  <c r="D1030" i="7"/>
  <c r="D1029" i="7"/>
  <c r="D1028" i="7"/>
  <c r="D1027" i="7"/>
  <c r="D1026" i="7"/>
  <c r="D1025" i="7"/>
  <c r="D1024" i="7"/>
  <c r="D1023" i="7"/>
  <c r="D1022" i="7"/>
  <c r="D1021" i="7"/>
  <c r="D1020" i="7"/>
  <c r="D1019" i="7"/>
  <c r="D1018" i="7"/>
  <c r="D1017" i="7"/>
  <c r="D1016" i="7"/>
  <c r="D1015" i="7"/>
  <c r="D1014" i="7"/>
  <c r="D1013" i="7"/>
  <c r="D1012" i="7"/>
  <c r="D1011" i="7"/>
  <c r="D1010" i="7"/>
  <c r="D1009" i="7"/>
  <c r="D1008" i="7"/>
  <c r="D1007" i="7"/>
  <c r="D1006" i="7"/>
  <c r="D1005" i="7"/>
  <c r="D1004" i="7"/>
  <c r="D1003" i="7"/>
  <c r="D1002" i="7"/>
  <c r="D1001" i="7"/>
  <c r="D1000" i="7"/>
  <c r="D999" i="7"/>
  <c r="D998" i="7"/>
  <c r="D997" i="7"/>
  <c r="D996" i="7"/>
  <c r="D995" i="7"/>
  <c r="D994" i="7"/>
  <c r="D993" i="7"/>
  <c r="D992" i="7"/>
  <c r="D991" i="7"/>
  <c r="D990" i="7"/>
  <c r="D989" i="7"/>
  <c r="D988" i="7"/>
  <c r="D987" i="7"/>
  <c r="D986" i="7"/>
  <c r="D985" i="7"/>
  <c r="D984" i="7"/>
  <c r="D983" i="7"/>
  <c r="D982" i="7"/>
  <c r="D981" i="7"/>
  <c r="D980" i="7"/>
  <c r="D979" i="7"/>
  <c r="D978" i="7"/>
  <c r="D977" i="7"/>
  <c r="D976" i="7"/>
  <c r="D975" i="7"/>
  <c r="D974" i="7"/>
  <c r="D973" i="7"/>
  <c r="D972" i="7"/>
  <c r="D971" i="7"/>
  <c r="D970" i="7"/>
  <c r="D969" i="7"/>
  <c r="D968" i="7"/>
  <c r="D967" i="7"/>
  <c r="D966" i="7"/>
  <c r="D965" i="7"/>
  <c r="D964" i="7"/>
  <c r="D963" i="7"/>
  <c r="D962" i="7"/>
  <c r="D961" i="7"/>
  <c r="D960" i="7"/>
  <c r="D959" i="7"/>
  <c r="D958" i="7"/>
  <c r="D957" i="7"/>
  <c r="D956" i="7"/>
  <c r="D955" i="7"/>
  <c r="D954" i="7"/>
  <c r="D953" i="7"/>
  <c r="D952" i="7"/>
  <c r="D951" i="7"/>
  <c r="D950" i="7"/>
  <c r="D949" i="7"/>
  <c r="D948" i="7"/>
  <c r="D947" i="7"/>
  <c r="D946" i="7"/>
  <c r="D945" i="7"/>
  <c r="D944" i="7"/>
  <c r="D943" i="7"/>
  <c r="D942" i="7"/>
  <c r="D941" i="7"/>
  <c r="D940" i="7"/>
  <c r="D939" i="7"/>
  <c r="D938" i="7"/>
  <c r="D937" i="7"/>
  <c r="D936" i="7"/>
  <c r="D935" i="7"/>
  <c r="D934" i="7"/>
  <c r="D933" i="7"/>
  <c r="D932" i="7"/>
  <c r="D931" i="7"/>
  <c r="D930" i="7"/>
  <c r="D929" i="7"/>
  <c r="D928" i="7"/>
  <c r="D927" i="7"/>
  <c r="D926" i="7"/>
  <c r="D925" i="7"/>
  <c r="D924" i="7"/>
  <c r="D923" i="7"/>
  <c r="D922" i="7"/>
  <c r="D921" i="7"/>
  <c r="D920" i="7"/>
  <c r="D919" i="7"/>
  <c r="D918" i="7"/>
  <c r="D917" i="7"/>
  <c r="D916" i="7"/>
  <c r="D915" i="7"/>
  <c r="D914" i="7"/>
  <c r="D913" i="7"/>
  <c r="D912" i="7"/>
  <c r="D911" i="7"/>
  <c r="D910" i="7"/>
  <c r="D909" i="7"/>
  <c r="D908" i="7"/>
  <c r="D907" i="7"/>
  <c r="D906" i="7"/>
  <c r="D905" i="7"/>
  <c r="D904" i="7"/>
  <c r="D903" i="7"/>
  <c r="D902" i="7"/>
  <c r="D901" i="7"/>
  <c r="D900" i="7"/>
  <c r="D899" i="7"/>
  <c r="D898" i="7"/>
  <c r="D897" i="7"/>
  <c r="D896" i="7"/>
  <c r="D895" i="7"/>
  <c r="D894" i="7"/>
  <c r="D893" i="7"/>
  <c r="D892" i="7"/>
  <c r="D891" i="7"/>
  <c r="D890" i="7"/>
  <c r="D889" i="7"/>
  <c r="D888" i="7"/>
  <c r="D887" i="7"/>
  <c r="D886" i="7"/>
  <c r="D885" i="7"/>
  <c r="D884" i="7"/>
  <c r="D883" i="7"/>
  <c r="D882" i="7"/>
  <c r="D881" i="7"/>
  <c r="D880" i="7"/>
  <c r="D879" i="7"/>
  <c r="D878" i="7"/>
  <c r="D877" i="7"/>
  <c r="D876" i="7"/>
  <c r="D875" i="7"/>
  <c r="D874" i="7"/>
  <c r="D873" i="7"/>
  <c r="D872" i="7"/>
  <c r="D871" i="7"/>
  <c r="D870" i="7"/>
  <c r="D869" i="7"/>
  <c r="D868" i="7"/>
  <c r="D867" i="7"/>
  <c r="D866" i="7"/>
  <c r="D865" i="7"/>
  <c r="D864" i="7"/>
  <c r="D863" i="7"/>
  <c r="D862" i="7"/>
  <c r="D861" i="7"/>
  <c r="D860" i="7"/>
  <c r="D859" i="7"/>
  <c r="D858" i="7"/>
  <c r="D857" i="7"/>
  <c r="D856" i="7"/>
  <c r="D855" i="7"/>
  <c r="D854" i="7"/>
  <c r="D853" i="7"/>
  <c r="D852" i="7"/>
  <c r="D851" i="7"/>
  <c r="D850" i="7"/>
  <c r="D849" i="7"/>
  <c r="D848" i="7"/>
  <c r="D847" i="7"/>
  <c r="D846" i="7"/>
  <c r="D845" i="7"/>
  <c r="D844" i="7"/>
  <c r="D843" i="7"/>
  <c r="D842" i="7"/>
  <c r="D841" i="7"/>
  <c r="D840" i="7"/>
  <c r="D839" i="7"/>
  <c r="D838" i="7"/>
  <c r="D837" i="7"/>
  <c r="D836" i="7"/>
  <c r="D835" i="7"/>
  <c r="D834" i="7"/>
  <c r="D833" i="7"/>
  <c r="D832" i="7"/>
  <c r="D831" i="7"/>
  <c r="D830" i="7"/>
  <c r="D829" i="7"/>
  <c r="D828" i="7"/>
  <c r="D827" i="7"/>
  <c r="D826" i="7"/>
  <c r="D825" i="7"/>
  <c r="D824" i="7"/>
  <c r="D823" i="7"/>
  <c r="D822" i="7"/>
  <c r="D821" i="7"/>
  <c r="D820" i="7"/>
  <c r="D819" i="7"/>
  <c r="D818" i="7"/>
  <c r="D817" i="7"/>
  <c r="D816" i="7"/>
  <c r="D815" i="7"/>
  <c r="D814" i="7"/>
  <c r="D813" i="7"/>
  <c r="D812" i="7"/>
  <c r="D811" i="7"/>
  <c r="D810" i="7"/>
  <c r="D809" i="7"/>
  <c r="D808" i="7"/>
  <c r="D807" i="7"/>
  <c r="D806" i="7"/>
  <c r="D805" i="7"/>
  <c r="D804" i="7"/>
  <c r="D803" i="7"/>
  <c r="D802" i="7"/>
  <c r="D801" i="7"/>
  <c r="D800" i="7"/>
  <c r="D799" i="7"/>
  <c r="D798" i="7"/>
  <c r="D797" i="7"/>
  <c r="D796" i="7"/>
  <c r="D795" i="7"/>
  <c r="D794" i="7"/>
  <c r="D793" i="7"/>
  <c r="D792" i="7"/>
  <c r="D791" i="7"/>
  <c r="D790" i="7"/>
  <c r="D789" i="7"/>
  <c r="D788" i="7"/>
  <c r="D787" i="7"/>
  <c r="D786" i="7"/>
  <c r="D785" i="7"/>
  <c r="D784" i="7"/>
  <c r="D783" i="7"/>
  <c r="D782" i="7"/>
  <c r="D781" i="7"/>
  <c r="D780" i="7"/>
  <c r="D779" i="7"/>
  <c r="D778" i="7"/>
  <c r="D777" i="7"/>
  <c r="D776" i="7"/>
  <c r="D775" i="7"/>
  <c r="D774" i="7"/>
  <c r="D773" i="7"/>
  <c r="D772" i="7"/>
  <c r="D771" i="7"/>
  <c r="D770" i="7"/>
  <c r="D769" i="7"/>
  <c r="D768" i="7"/>
  <c r="D767" i="7"/>
  <c r="D766" i="7"/>
  <c r="D765" i="7"/>
  <c r="D764" i="7"/>
  <c r="D763" i="7"/>
  <c r="D762" i="7"/>
  <c r="D761" i="7"/>
  <c r="D760" i="7"/>
  <c r="D759" i="7"/>
  <c r="D758" i="7"/>
  <c r="D757" i="7"/>
  <c r="D756" i="7"/>
  <c r="D755" i="7"/>
  <c r="D754" i="7"/>
  <c r="D753" i="7"/>
  <c r="D752" i="7"/>
  <c r="D751" i="7"/>
  <c r="D750" i="7"/>
  <c r="D749" i="7"/>
  <c r="D748" i="7"/>
  <c r="D747" i="7"/>
  <c r="D746" i="7"/>
  <c r="D745" i="7"/>
  <c r="D744" i="7"/>
  <c r="D743" i="7"/>
  <c r="D742" i="7"/>
  <c r="D741" i="7"/>
  <c r="D740" i="7"/>
  <c r="D739" i="7"/>
  <c r="D738" i="7"/>
  <c r="D737" i="7"/>
  <c r="D736" i="7"/>
  <c r="D735" i="7"/>
  <c r="D734" i="7"/>
  <c r="D733" i="7"/>
  <c r="D732" i="7"/>
  <c r="D731" i="7"/>
  <c r="D730" i="7"/>
  <c r="D729" i="7"/>
  <c r="D728" i="7"/>
  <c r="D727" i="7"/>
  <c r="D726" i="7"/>
  <c r="D725" i="7"/>
  <c r="D724" i="7"/>
  <c r="D723" i="7"/>
  <c r="D722" i="7"/>
  <c r="D721" i="7"/>
  <c r="D720" i="7"/>
  <c r="D719" i="7"/>
  <c r="D718" i="7"/>
  <c r="D717" i="7"/>
  <c r="D716" i="7"/>
  <c r="D715" i="7"/>
  <c r="D714" i="7"/>
  <c r="D713" i="7"/>
  <c r="D712" i="7"/>
  <c r="D711" i="7"/>
  <c r="D710" i="7"/>
  <c r="D709" i="7"/>
  <c r="D708" i="7"/>
  <c r="D707" i="7"/>
  <c r="D706" i="7"/>
  <c r="D705" i="7"/>
  <c r="D704" i="7"/>
  <c r="D703" i="7"/>
  <c r="D702" i="7"/>
  <c r="D701" i="7"/>
  <c r="D700" i="7"/>
  <c r="D699" i="7"/>
  <c r="D698" i="7"/>
  <c r="D697" i="7"/>
  <c r="D696" i="7"/>
  <c r="D695" i="7"/>
  <c r="D694" i="7"/>
  <c r="D693" i="7"/>
  <c r="D692" i="7"/>
  <c r="D691" i="7"/>
  <c r="D690" i="7"/>
  <c r="D689" i="7"/>
  <c r="D688" i="7"/>
  <c r="D687" i="7"/>
  <c r="D686" i="7"/>
  <c r="D685" i="7"/>
  <c r="D684" i="7"/>
  <c r="D683" i="7"/>
  <c r="D682" i="7"/>
  <c r="D681" i="7"/>
  <c r="D680" i="7"/>
  <c r="D679" i="7"/>
  <c r="D678" i="7"/>
  <c r="D677" i="7"/>
  <c r="D676" i="7"/>
  <c r="D675" i="7"/>
  <c r="D674" i="7"/>
  <c r="D673" i="7"/>
  <c r="D672" i="7"/>
  <c r="D671" i="7"/>
  <c r="D670" i="7"/>
  <c r="D669" i="7"/>
  <c r="D668" i="7"/>
  <c r="D667" i="7"/>
  <c r="D666" i="7"/>
  <c r="D665" i="7"/>
  <c r="D664" i="7"/>
  <c r="D663" i="7"/>
  <c r="D662" i="7"/>
  <c r="D661" i="7"/>
  <c r="D660" i="7"/>
  <c r="D659" i="7"/>
  <c r="D658" i="7"/>
  <c r="D657" i="7"/>
  <c r="D656" i="7"/>
  <c r="D655" i="7"/>
  <c r="D654" i="7"/>
  <c r="D653" i="7"/>
  <c r="D652" i="7"/>
  <c r="D651" i="7"/>
  <c r="D650" i="7"/>
  <c r="D649" i="7"/>
  <c r="D648" i="7"/>
  <c r="D647" i="7"/>
  <c r="D646" i="7"/>
  <c r="D645" i="7"/>
  <c r="D644" i="7"/>
  <c r="D643" i="7"/>
  <c r="D642" i="7"/>
  <c r="D641" i="7"/>
  <c r="D640" i="7"/>
  <c r="D639" i="7"/>
  <c r="D638" i="7"/>
  <c r="D637" i="7"/>
  <c r="D636" i="7"/>
  <c r="D635" i="7"/>
  <c r="D634" i="7"/>
  <c r="D633" i="7"/>
  <c r="D632" i="7"/>
  <c r="D631" i="7"/>
  <c r="D630" i="7"/>
  <c r="D629" i="7"/>
  <c r="D628" i="7"/>
  <c r="D627" i="7"/>
  <c r="D626" i="7"/>
  <c r="D625" i="7"/>
  <c r="D624" i="7"/>
  <c r="D623" i="7"/>
  <c r="D622" i="7"/>
  <c r="D621" i="7"/>
  <c r="D620" i="7"/>
  <c r="D619" i="7"/>
  <c r="D618" i="7"/>
  <c r="D617" i="7"/>
  <c r="D616" i="7"/>
  <c r="D615" i="7"/>
  <c r="D614" i="7"/>
  <c r="D613" i="7"/>
  <c r="D612" i="7"/>
  <c r="D611" i="7"/>
  <c r="D610" i="7"/>
  <c r="D609" i="7"/>
  <c r="D608" i="7"/>
  <c r="D607" i="7"/>
  <c r="D606" i="7"/>
  <c r="D605" i="7"/>
  <c r="D604" i="7"/>
  <c r="D603" i="7"/>
  <c r="D602" i="7"/>
  <c r="D601" i="7"/>
  <c r="D600" i="7"/>
  <c r="D599" i="7"/>
  <c r="D598" i="7"/>
  <c r="D597" i="7"/>
  <c r="D596" i="7"/>
  <c r="D595" i="7"/>
  <c r="D594" i="7"/>
  <c r="D593" i="7"/>
  <c r="D592" i="7"/>
  <c r="D591" i="7"/>
  <c r="D590" i="7"/>
  <c r="D589" i="7"/>
  <c r="D588" i="7"/>
  <c r="D587" i="7"/>
  <c r="D586" i="7"/>
  <c r="D585" i="7"/>
  <c r="D584" i="7"/>
  <c r="D583" i="7"/>
  <c r="D582" i="7"/>
  <c r="D581" i="7"/>
  <c r="D580" i="7"/>
  <c r="D579" i="7"/>
  <c r="D578" i="7"/>
  <c r="D577" i="7"/>
  <c r="D576" i="7"/>
  <c r="D575" i="7"/>
  <c r="D574" i="7"/>
  <c r="D573" i="7"/>
  <c r="D572" i="7"/>
  <c r="D571" i="7"/>
  <c r="D570" i="7"/>
  <c r="D569" i="7"/>
  <c r="D568" i="7"/>
  <c r="D567" i="7"/>
  <c r="D566" i="7"/>
  <c r="D565" i="7"/>
  <c r="D564" i="7"/>
  <c r="D563" i="7"/>
  <c r="D562" i="7"/>
  <c r="D561" i="7"/>
  <c r="D560" i="7"/>
  <c r="D559" i="7"/>
  <c r="D558" i="7"/>
  <c r="D557" i="7"/>
  <c r="D556" i="7"/>
  <c r="D555" i="7"/>
  <c r="D554" i="7"/>
  <c r="D553" i="7"/>
  <c r="D552" i="7"/>
  <c r="D551" i="7"/>
  <c r="D550" i="7"/>
  <c r="D549" i="7"/>
  <c r="D548" i="7"/>
  <c r="D547" i="7"/>
  <c r="D546" i="7"/>
  <c r="D545" i="7"/>
  <c r="D544" i="7"/>
  <c r="D543" i="7"/>
  <c r="D542" i="7"/>
  <c r="D541" i="7"/>
  <c r="D540" i="7"/>
  <c r="D539" i="7"/>
  <c r="D538" i="7"/>
  <c r="D537" i="7"/>
  <c r="D536" i="7"/>
  <c r="D535" i="7"/>
  <c r="D534" i="7"/>
  <c r="D533" i="7"/>
  <c r="D532" i="7"/>
  <c r="D531" i="7"/>
  <c r="D530" i="7"/>
  <c r="D529" i="7"/>
  <c r="D528" i="7"/>
  <c r="D527" i="7"/>
  <c r="D526" i="7"/>
  <c r="D525" i="7"/>
  <c r="D524" i="7"/>
  <c r="D523" i="7"/>
  <c r="D522" i="7"/>
  <c r="D521" i="7"/>
  <c r="D520" i="7"/>
  <c r="D519" i="7"/>
  <c r="D518" i="7"/>
  <c r="D517" i="7"/>
  <c r="D516" i="7"/>
  <c r="D515" i="7"/>
  <c r="D514" i="7"/>
  <c r="D513" i="7"/>
  <c r="D512" i="7"/>
  <c r="D511" i="7"/>
  <c r="D510" i="7"/>
  <c r="D509" i="7"/>
  <c r="D508" i="7"/>
  <c r="D507" i="7"/>
  <c r="D506" i="7"/>
  <c r="D505" i="7"/>
  <c r="D504" i="7"/>
  <c r="D503" i="7"/>
  <c r="D502" i="7"/>
  <c r="D501" i="7"/>
  <c r="D500" i="7"/>
  <c r="D499" i="7"/>
  <c r="D498" i="7"/>
  <c r="D497" i="7"/>
  <c r="D496" i="7"/>
  <c r="D495" i="7"/>
  <c r="D494" i="7"/>
  <c r="D493" i="7"/>
  <c r="D492" i="7"/>
  <c r="D491" i="7"/>
  <c r="D490" i="7"/>
  <c r="D489" i="7"/>
  <c r="D488" i="7"/>
  <c r="D487" i="7"/>
  <c r="D486" i="7"/>
  <c r="D485" i="7"/>
  <c r="D484" i="7"/>
  <c r="D483" i="7"/>
  <c r="D482" i="7"/>
  <c r="D481" i="7"/>
  <c r="D480" i="7"/>
  <c r="D479" i="7"/>
  <c r="D478" i="7"/>
  <c r="D477" i="7"/>
  <c r="D476" i="7"/>
  <c r="D475" i="7"/>
  <c r="D474" i="7"/>
  <c r="D473" i="7"/>
  <c r="D472" i="7"/>
  <c r="D471" i="7"/>
  <c r="D470" i="7"/>
  <c r="D469" i="7"/>
  <c r="D468" i="7"/>
  <c r="D467" i="7"/>
  <c r="D466" i="7"/>
  <c r="D465" i="7"/>
  <c r="D464" i="7"/>
  <c r="D463" i="7"/>
  <c r="D462" i="7"/>
  <c r="D461" i="7"/>
  <c r="D460" i="7"/>
  <c r="D459" i="7"/>
  <c r="D458" i="7"/>
  <c r="D457" i="7"/>
  <c r="D456" i="7"/>
  <c r="D455" i="7"/>
  <c r="D454" i="7"/>
  <c r="D453" i="7"/>
  <c r="D452" i="7"/>
  <c r="D451" i="7"/>
  <c r="D450" i="7"/>
  <c r="D449" i="7"/>
  <c r="D448" i="7"/>
  <c r="D447" i="7"/>
  <c r="D446" i="7"/>
  <c r="D445" i="7"/>
  <c r="D444" i="7"/>
  <c r="D443" i="7"/>
  <c r="D442" i="7"/>
  <c r="D441" i="7"/>
  <c r="D440" i="7"/>
  <c r="D439" i="7"/>
  <c r="D438" i="7"/>
  <c r="D437" i="7"/>
  <c r="D436" i="7"/>
  <c r="D435" i="7"/>
  <c r="D434" i="7"/>
  <c r="D433" i="7"/>
  <c r="D432" i="7"/>
  <c r="D431" i="7"/>
  <c r="D430" i="7"/>
  <c r="D429" i="7"/>
  <c r="D428" i="7"/>
  <c r="D427" i="7"/>
  <c r="D426" i="7"/>
  <c r="D425" i="7"/>
  <c r="D424" i="7"/>
  <c r="D423" i="7"/>
  <c r="D422" i="7"/>
  <c r="D421" i="7"/>
  <c r="D420" i="7"/>
  <c r="D419" i="7"/>
  <c r="D418" i="7"/>
  <c r="D417" i="7"/>
  <c r="D416" i="7"/>
  <c r="D415" i="7"/>
  <c r="D414" i="7"/>
  <c r="D413" i="7"/>
  <c r="D412" i="7"/>
  <c r="D411" i="7"/>
  <c r="D410" i="7"/>
  <c r="D409" i="7"/>
  <c r="D408" i="7"/>
  <c r="D407" i="7"/>
  <c r="D406" i="7"/>
  <c r="D405" i="7"/>
  <c r="D404" i="7"/>
  <c r="D403" i="7"/>
  <c r="D402" i="7"/>
  <c r="D401" i="7"/>
  <c r="D400" i="7"/>
  <c r="D399" i="7"/>
  <c r="D398" i="7"/>
  <c r="D397" i="7"/>
  <c r="D396" i="7"/>
  <c r="D395" i="7"/>
  <c r="D394" i="7"/>
  <c r="D393" i="7"/>
  <c r="D392" i="7"/>
  <c r="D391" i="7"/>
  <c r="D390" i="7"/>
  <c r="D389" i="7"/>
  <c r="D388" i="7"/>
  <c r="D387" i="7"/>
  <c r="D386" i="7"/>
  <c r="D385" i="7"/>
  <c r="D384" i="7"/>
  <c r="D383" i="7"/>
  <c r="D382" i="7"/>
  <c r="D381" i="7"/>
  <c r="D380" i="7"/>
  <c r="D379" i="7"/>
  <c r="D378" i="7"/>
  <c r="D377" i="7"/>
  <c r="D376" i="7"/>
  <c r="D375" i="7"/>
  <c r="D374" i="7"/>
  <c r="D373" i="7"/>
  <c r="D372" i="7"/>
  <c r="D371" i="7"/>
  <c r="D370" i="7"/>
  <c r="D369" i="7"/>
  <c r="D368" i="7"/>
  <c r="D367" i="7"/>
  <c r="D366" i="7"/>
  <c r="D365" i="7"/>
  <c r="D364" i="7"/>
  <c r="D363" i="7"/>
  <c r="D362" i="7"/>
  <c r="D361" i="7"/>
  <c r="D360" i="7"/>
  <c r="D359" i="7"/>
  <c r="D358" i="7"/>
  <c r="D357" i="7"/>
  <c r="D356" i="7"/>
  <c r="D355" i="7"/>
  <c r="D354" i="7"/>
  <c r="D353" i="7"/>
  <c r="D352" i="7"/>
  <c r="D351" i="7"/>
  <c r="D350" i="7"/>
  <c r="D349" i="7"/>
  <c r="D348" i="7"/>
  <c r="D347" i="7"/>
  <c r="D346" i="7"/>
  <c r="D345" i="7"/>
  <c r="D344" i="7"/>
  <c r="D343" i="7"/>
  <c r="D342" i="7"/>
  <c r="D341" i="7"/>
  <c r="D340" i="7"/>
  <c r="D339" i="7"/>
  <c r="D338" i="7"/>
  <c r="D337" i="7"/>
  <c r="D336" i="7"/>
  <c r="D335" i="7"/>
  <c r="D334" i="7"/>
  <c r="D333" i="7"/>
  <c r="D332" i="7"/>
  <c r="D331" i="7"/>
  <c r="D330" i="7"/>
  <c r="D329" i="7"/>
  <c r="D328" i="7"/>
  <c r="D327" i="7"/>
  <c r="D326" i="7"/>
  <c r="D325" i="7"/>
  <c r="D324" i="7"/>
  <c r="D323" i="7"/>
  <c r="D322" i="7"/>
  <c r="D321" i="7"/>
  <c r="D320" i="7"/>
  <c r="D319" i="7"/>
  <c r="D318" i="7"/>
  <c r="D317" i="7"/>
  <c r="D316" i="7"/>
  <c r="D315" i="7"/>
  <c r="D314" i="7"/>
  <c r="D313" i="7"/>
  <c r="D312" i="7"/>
  <c r="D311" i="7"/>
  <c r="D310" i="7"/>
  <c r="D309" i="7"/>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L11614" i="7" l="1"/>
  <c r="E11614" i="7"/>
  <c r="E11613" i="7"/>
  <c r="L11612" i="7"/>
  <c r="E11612" i="7"/>
  <c r="E11611" i="7"/>
  <c r="L11610" i="7"/>
  <c r="E11610" i="7"/>
  <c r="E11609" i="7"/>
  <c r="L11608" i="7"/>
  <c r="E11608" i="7"/>
  <c r="E11607" i="7"/>
  <c r="L11606" i="7"/>
  <c r="E11606" i="7"/>
  <c r="E11605" i="7"/>
  <c r="L11604" i="7"/>
  <c r="E11604" i="7"/>
  <c r="E11603" i="7"/>
  <c r="L11602" i="7"/>
  <c r="E11602" i="7"/>
  <c r="E11601" i="7"/>
  <c r="L11600" i="7"/>
  <c r="E11600" i="7"/>
  <c r="E11599" i="7"/>
  <c r="E11598" i="7"/>
  <c r="E11597" i="7"/>
  <c r="E11596" i="7"/>
  <c r="E11595" i="7"/>
  <c r="E11594" i="7"/>
  <c r="E11593" i="7"/>
  <c r="L11592" i="7"/>
  <c r="E11592" i="7"/>
  <c r="E11591" i="7"/>
  <c r="E11590" i="7"/>
  <c r="E11589" i="7"/>
  <c r="E11588" i="7"/>
  <c r="E11587" i="7"/>
  <c r="E11586" i="7"/>
  <c r="E11585" i="7"/>
  <c r="E11584" i="7"/>
  <c r="E11583" i="7"/>
  <c r="E11582" i="7" l="1"/>
  <c r="E11581" i="7"/>
  <c r="E11580" i="7"/>
  <c r="E10696" i="7" l="1"/>
  <c r="E10695" i="7"/>
  <c r="L11579" i="7" l="1"/>
  <c r="L11577" i="7"/>
  <c r="K11574" i="7"/>
  <c r="L11575" i="7" s="1"/>
  <c r="K11568" i="7"/>
  <c r="L11569" i="7" s="1"/>
  <c r="K11566" i="7"/>
  <c r="L11567" i="7" s="1"/>
  <c r="E11579" i="7"/>
  <c r="E11578" i="7"/>
  <c r="E11577" i="7"/>
  <c r="E11576" i="7"/>
  <c r="E11575" i="7"/>
  <c r="E11574" i="7"/>
  <c r="L11573" i="7"/>
  <c r="E11573" i="7"/>
  <c r="E11572" i="7"/>
  <c r="L11571" i="7"/>
  <c r="E11571" i="7"/>
  <c r="E11570" i="7"/>
  <c r="E11569" i="7"/>
  <c r="E11568" i="7"/>
  <c r="E11567" i="7"/>
  <c r="E11566" i="7"/>
  <c r="R602" i="57"/>
  <c r="P602" i="57"/>
  <c r="N602" i="57"/>
  <c r="L602" i="57"/>
  <c r="J602" i="57"/>
  <c r="H602" i="57"/>
  <c r="F602" i="57"/>
  <c r="D602" i="57"/>
  <c r="R601" i="57"/>
  <c r="P601" i="57"/>
  <c r="N601" i="57"/>
  <c r="L601" i="57"/>
  <c r="J601" i="57"/>
  <c r="H601" i="57"/>
  <c r="F601" i="57"/>
  <c r="D601" i="57"/>
  <c r="R600" i="57"/>
  <c r="P600" i="57"/>
  <c r="N600" i="57"/>
  <c r="L600" i="57"/>
  <c r="J600" i="57"/>
  <c r="H600" i="57"/>
  <c r="F600" i="57"/>
  <c r="D600" i="57"/>
  <c r="R599" i="57"/>
  <c r="P599" i="57"/>
  <c r="N599" i="57"/>
  <c r="L599" i="57"/>
  <c r="J599" i="57"/>
  <c r="H599" i="57"/>
  <c r="F599" i="57"/>
  <c r="D599" i="57"/>
  <c r="R598" i="57"/>
  <c r="P598" i="57"/>
  <c r="N598" i="57"/>
  <c r="L598" i="57"/>
  <c r="J598" i="57"/>
  <c r="H598" i="57"/>
  <c r="F598" i="57"/>
  <c r="D598" i="57"/>
  <c r="L11561" i="7"/>
  <c r="E11561" i="7"/>
  <c r="E11560" i="7"/>
  <c r="A599" i="57" l="1"/>
  <c r="A600" i="57"/>
  <c r="A601" i="57"/>
  <c r="A598" i="57"/>
  <c r="A602" i="57"/>
  <c r="E11559" i="7"/>
  <c r="E11558" i="7"/>
  <c r="E11557" i="7"/>
  <c r="E11556" i="7"/>
  <c r="E11555" i="7"/>
  <c r="E11554" i="7"/>
  <c r="E11553" i="7"/>
  <c r="E11552" i="7"/>
  <c r="E11551" i="7"/>
  <c r="E11506" i="7"/>
  <c r="E11507" i="7"/>
  <c r="E11505" i="7"/>
  <c r="E11549" i="7" l="1"/>
  <c r="E11550" i="7"/>
  <c r="E11548" i="7"/>
  <c r="E11547" i="7"/>
  <c r="E11546" i="7"/>
  <c r="E11545" i="7"/>
  <c r="E11544" i="7"/>
  <c r="E11543" i="7"/>
  <c r="E11542" i="7"/>
  <c r="E11541" i="7"/>
  <c r="E11526" i="7"/>
  <c r="E11525" i="7"/>
  <c r="E11524" i="7"/>
  <c r="E11523" i="7"/>
  <c r="E11522" i="7"/>
  <c r="E11521" i="7"/>
  <c r="E11520" i="7"/>
  <c r="E11519" i="7"/>
  <c r="E11518" i="7"/>
  <c r="L11540" i="7" l="1"/>
  <c r="E11540" i="7"/>
  <c r="E11539" i="7"/>
  <c r="L11538" i="7"/>
  <c r="E11538" i="7"/>
  <c r="E11537" i="7"/>
  <c r="L11536" i="7"/>
  <c r="E11536" i="7"/>
  <c r="E11535" i="7"/>
  <c r="L11534" i="7"/>
  <c r="E11534" i="7"/>
  <c r="E11533" i="7"/>
  <c r="L11532" i="7"/>
  <c r="E11532" i="7"/>
  <c r="E11531" i="7"/>
  <c r="L11530" i="7"/>
  <c r="E11530" i="7"/>
  <c r="E11529" i="7"/>
  <c r="L11528" i="7"/>
  <c r="E11528" i="7"/>
  <c r="E11527" i="7"/>
  <c r="R597" i="57"/>
  <c r="P597" i="57"/>
  <c r="N597" i="57"/>
  <c r="L597" i="57"/>
  <c r="J597" i="57"/>
  <c r="H597" i="57"/>
  <c r="F597" i="57"/>
  <c r="D597" i="57"/>
  <c r="L11517" i="7"/>
  <c r="E11517" i="7"/>
  <c r="E11516" i="7"/>
  <c r="L11515" i="7"/>
  <c r="E11515" i="7"/>
  <c r="E11514" i="7"/>
  <c r="L11511" i="7"/>
  <c r="H11511" i="7" a="1"/>
  <c r="H11511" i="7" s="1"/>
  <c r="E11511" i="7"/>
  <c r="H11510" i="7" a="1"/>
  <c r="H11510" i="7" s="1"/>
  <c r="E11510" i="7"/>
  <c r="L11509" i="7"/>
  <c r="H11509" i="7" a="1"/>
  <c r="H11509" i="7" s="1"/>
  <c r="E11509" i="7"/>
  <c r="H11508" i="7" a="1"/>
  <c r="H11508" i="7" s="1"/>
  <c r="E11508" i="7"/>
  <c r="L11513" i="7"/>
  <c r="H11513" i="7" a="1"/>
  <c r="H11513" i="7" s="1"/>
  <c r="E11513" i="7"/>
  <c r="H11512" i="7" a="1"/>
  <c r="H11512" i="7" s="1"/>
  <c r="E11512" i="7"/>
  <c r="E11484" i="7"/>
  <c r="E11483" i="7"/>
  <c r="E11482" i="7"/>
  <c r="E11491" i="7"/>
  <c r="A597" i="57" l="1"/>
  <c r="E11451" i="7" l="1"/>
  <c r="E11450" i="7"/>
  <c r="E11449" i="7"/>
  <c r="R596" i="57" l="1"/>
  <c r="P596" i="57"/>
  <c r="N596" i="57"/>
  <c r="L596" i="57"/>
  <c r="J596" i="57"/>
  <c r="H596" i="57"/>
  <c r="F596" i="57"/>
  <c r="D596" i="57"/>
  <c r="L11504" i="7"/>
  <c r="E11504" i="7"/>
  <c r="E11503" i="7"/>
  <c r="L11502" i="7"/>
  <c r="E11502" i="7"/>
  <c r="E11501" i="7"/>
  <c r="L11500" i="7"/>
  <c r="E11500" i="7"/>
  <c r="E11499" i="7"/>
  <c r="L11498" i="7"/>
  <c r="E11498" i="7"/>
  <c r="E11497" i="7"/>
  <c r="L11496" i="7"/>
  <c r="E11496" i="7"/>
  <c r="E11495" i="7"/>
  <c r="L11494" i="7"/>
  <c r="E11494" i="7"/>
  <c r="E11493" i="7"/>
  <c r="L11492" i="7"/>
  <c r="E11492" i="7"/>
  <c r="E11481" i="7"/>
  <c r="E11480" i="7"/>
  <c r="E11479" i="7"/>
  <c r="E11478" i="7"/>
  <c r="E11477" i="7"/>
  <c r="E11454" i="7"/>
  <c r="E11453" i="7"/>
  <c r="E11452" i="7"/>
  <c r="L11476" i="7"/>
  <c r="R595" i="57"/>
  <c r="P595" i="57"/>
  <c r="N595" i="57"/>
  <c r="L595" i="57"/>
  <c r="J595" i="57"/>
  <c r="H595" i="57"/>
  <c r="F595" i="57"/>
  <c r="D595" i="57"/>
  <c r="R594" i="57"/>
  <c r="P594" i="57"/>
  <c r="N594" i="57"/>
  <c r="L594" i="57"/>
  <c r="J594" i="57"/>
  <c r="H594" i="57"/>
  <c r="F594" i="57"/>
  <c r="D594" i="57"/>
  <c r="R593" i="57"/>
  <c r="P593" i="57"/>
  <c r="N593" i="57"/>
  <c r="L593" i="57"/>
  <c r="J593" i="57"/>
  <c r="H593" i="57"/>
  <c r="F593" i="57"/>
  <c r="D593" i="57"/>
  <c r="E11476" i="7"/>
  <c r="E11475" i="7"/>
  <c r="L11474" i="7"/>
  <c r="E11474" i="7"/>
  <c r="E11473" i="7"/>
  <c r="L11472" i="7"/>
  <c r="E11472" i="7"/>
  <c r="E11471" i="7"/>
  <c r="L11470" i="7"/>
  <c r="E11470" i="7"/>
  <c r="E11469" i="7"/>
  <c r="L11468" i="7"/>
  <c r="E11468" i="7"/>
  <c r="E11467" i="7"/>
  <c r="L11466" i="7"/>
  <c r="E11466" i="7"/>
  <c r="E11465" i="7"/>
  <c r="L11464" i="7"/>
  <c r="E11464" i="7"/>
  <c r="E11463" i="7"/>
  <c r="E11448" i="7"/>
  <c r="E11447" i="7"/>
  <c r="E11446" i="7"/>
  <c r="E11423" i="7"/>
  <c r="E11422" i="7"/>
  <c r="E11421" i="7"/>
  <c r="L11445" i="7"/>
  <c r="E11445" i="7"/>
  <c r="E11444" i="7"/>
  <c r="L11443" i="7"/>
  <c r="E11443" i="7"/>
  <c r="E11442" i="7"/>
  <c r="L11441" i="7"/>
  <c r="H11441" i="7" a="1"/>
  <c r="H11441" i="7" s="1"/>
  <c r="E11441" i="7"/>
  <c r="H11440" i="7" a="1"/>
  <c r="H11440" i="7" s="1"/>
  <c r="E11440" i="7"/>
  <c r="R592" i="57"/>
  <c r="P592" i="57"/>
  <c r="N592" i="57"/>
  <c r="L592" i="57"/>
  <c r="J592" i="57"/>
  <c r="H592" i="57"/>
  <c r="F592" i="57"/>
  <c r="D592" i="57"/>
  <c r="R591" i="57"/>
  <c r="P591" i="57"/>
  <c r="N591" i="57"/>
  <c r="L591" i="57"/>
  <c r="J591" i="57"/>
  <c r="H591" i="57"/>
  <c r="F591" i="57"/>
  <c r="D591" i="57"/>
  <c r="L11439" i="7"/>
  <c r="E11439" i="7"/>
  <c r="E11438" i="7"/>
  <c r="L11437" i="7"/>
  <c r="E11437" i="7"/>
  <c r="E11436" i="7"/>
  <c r="L11435" i="7"/>
  <c r="E11435" i="7"/>
  <c r="E11434" i="7"/>
  <c r="L11433" i="7"/>
  <c r="E11433" i="7"/>
  <c r="E11432" i="7"/>
  <c r="L11431" i="7"/>
  <c r="E11431" i="7"/>
  <c r="E11430" i="7"/>
  <c r="L11429" i="7"/>
  <c r="E11429" i="7"/>
  <c r="E11428" i="7"/>
  <c r="L11427" i="7"/>
  <c r="E11427" i="7"/>
  <c r="E11426" i="7"/>
  <c r="L11425" i="7"/>
  <c r="E11425" i="7"/>
  <c r="E11424" i="7"/>
  <c r="E11420" i="7"/>
  <c r="E11419" i="7"/>
  <c r="E11418" i="7"/>
  <c r="E11417" i="7"/>
  <c r="E11416" i="7"/>
  <c r="E11415" i="7"/>
  <c r="E11414" i="7"/>
  <c r="E11413" i="7"/>
  <c r="A591" i="57" l="1"/>
  <c r="A596" i="57"/>
  <c r="A593" i="57"/>
  <c r="A594" i="57"/>
  <c r="A595" i="57"/>
  <c r="A592" i="57"/>
  <c r="L11412" i="7" l="1"/>
  <c r="E11412" i="7"/>
  <c r="E11411" i="7"/>
  <c r="L11410" i="7"/>
  <c r="L11408" i="7"/>
  <c r="L11406" i="7"/>
  <c r="L11404" i="7"/>
  <c r="E11408" i="7"/>
  <c r="E11407" i="7"/>
  <c r="E11410" i="7"/>
  <c r="E11409" i="7"/>
  <c r="E11406" i="7"/>
  <c r="E11405" i="7"/>
  <c r="H11404" i="7" a="1"/>
  <c r="H11404" i="7" s="1"/>
  <c r="E11404" i="7"/>
  <c r="H11403" i="7" a="1"/>
  <c r="H11403" i="7" s="1"/>
  <c r="E11403" i="7"/>
  <c r="E11402" i="7"/>
  <c r="E11401" i="7"/>
  <c r="E11400" i="7"/>
  <c r="D590" i="57" l="1"/>
  <c r="F590" i="57"/>
  <c r="H590" i="57"/>
  <c r="J590" i="57"/>
  <c r="R590" i="57"/>
  <c r="P590" i="57"/>
  <c r="N590" i="57"/>
  <c r="L590" i="57"/>
  <c r="E11383" i="7"/>
  <c r="E11382" i="7"/>
  <c r="E11381" i="7"/>
  <c r="E11380" i="7"/>
  <c r="E11379" i="7"/>
  <c r="E11378" i="7"/>
  <c r="E11377" i="7"/>
  <c r="E11376" i="7"/>
  <c r="L11399" i="7"/>
  <c r="E11399" i="7"/>
  <c r="E11398" i="7"/>
  <c r="L11397" i="7"/>
  <c r="E11397" i="7"/>
  <c r="E11396" i="7"/>
  <c r="L11395" i="7"/>
  <c r="E11395" i="7"/>
  <c r="E11394" i="7"/>
  <c r="L11393" i="7"/>
  <c r="E11393" i="7"/>
  <c r="E11392" i="7"/>
  <c r="L11391" i="7"/>
  <c r="E11391" i="7"/>
  <c r="E11390" i="7"/>
  <c r="L11389" i="7"/>
  <c r="E11389" i="7"/>
  <c r="E11388" i="7"/>
  <c r="L11387" i="7"/>
  <c r="E11387" i="7"/>
  <c r="E11386" i="7"/>
  <c r="L11385" i="7"/>
  <c r="E11385" i="7"/>
  <c r="E11384" i="7"/>
  <c r="L11375" i="7"/>
  <c r="E11375" i="7"/>
  <c r="E11374" i="7"/>
  <c r="A590" i="57" l="1"/>
  <c r="E11373" i="7"/>
  <c r="E11372" i="7"/>
  <c r="E11371" i="7"/>
  <c r="E11351" i="7"/>
  <c r="E11354" i="7" l="1"/>
  <c r="E11353" i="7"/>
  <c r="E11352" i="7"/>
  <c r="E11350" i="7"/>
  <c r="E11349" i="7"/>
  <c r="E11348" i="7"/>
  <c r="E11347" i="7"/>
  <c r="E11346" i="7"/>
  <c r="L589" i="57"/>
  <c r="N589" i="57"/>
  <c r="P589" i="57"/>
  <c r="R589" i="57"/>
  <c r="J589" i="57"/>
  <c r="H589" i="57"/>
  <c r="F589" i="57"/>
  <c r="D589" i="57"/>
  <c r="L11370" i="7"/>
  <c r="E11370" i="7"/>
  <c r="E11369" i="7"/>
  <c r="L11368" i="7"/>
  <c r="E11368" i="7"/>
  <c r="E11367" i="7"/>
  <c r="L11366" i="7"/>
  <c r="E11366" i="7"/>
  <c r="E11365" i="7"/>
  <c r="L11364" i="7"/>
  <c r="E11364" i="7"/>
  <c r="E11363" i="7"/>
  <c r="L11362" i="7"/>
  <c r="E11362" i="7"/>
  <c r="E11361" i="7"/>
  <c r="L11360" i="7"/>
  <c r="E11360" i="7"/>
  <c r="E11359" i="7"/>
  <c r="L11358" i="7"/>
  <c r="E11358" i="7"/>
  <c r="E11357" i="7"/>
  <c r="L11356" i="7"/>
  <c r="E11356" i="7"/>
  <c r="E11355" i="7"/>
  <c r="L11345" i="7"/>
  <c r="E11345" i="7"/>
  <c r="E11344" i="7"/>
  <c r="L11343" i="7"/>
  <c r="E11343" i="7"/>
  <c r="E11342" i="7"/>
  <c r="L11341" i="7"/>
  <c r="H11341" i="7" a="1"/>
  <c r="H11341" i="7" s="1"/>
  <c r="E11341" i="7"/>
  <c r="H11340" i="7" a="1"/>
  <c r="H11340" i="7" s="1"/>
  <c r="E11340" i="7"/>
  <c r="E11339" i="7"/>
  <c r="E11338" i="7"/>
  <c r="E11337" i="7"/>
  <c r="A589" i="57" l="1"/>
  <c r="E11304" i="7"/>
  <c r="E11303" i="7"/>
  <c r="E11302" i="7"/>
  <c r="L11336" i="7"/>
  <c r="J588" i="57"/>
  <c r="L588" i="57"/>
  <c r="N588" i="57"/>
  <c r="P588" i="57"/>
  <c r="R588" i="57"/>
  <c r="H588" i="57"/>
  <c r="F588" i="57"/>
  <c r="D588" i="57"/>
  <c r="D586" i="57"/>
  <c r="F586" i="57"/>
  <c r="H586" i="57"/>
  <c r="J586" i="57"/>
  <c r="L586" i="57"/>
  <c r="N586" i="57"/>
  <c r="P586" i="57"/>
  <c r="R586" i="57"/>
  <c r="D587" i="57"/>
  <c r="F587" i="57"/>
  <c r="H587" i="57"/>
  <c r="J587" i="57"/>
  <c r="L587" i="57"/>
  <c r="N587" i="57"/>
  <c r="P587" i="57"/>
  <c r="R587" i="57"/>
  <c r="E11336" i="7"/>
  <c r="E11335" i="7"/>
  <c r="L11334" i="7"/>
  <c r="E11334" i="7"/>
  <c r="E11333" i="7"/>
  <c r="L11332" i="7"/>
  <c r="E11332" i="7"/>
  <c r="E11331" i="7"/>
  <c r="L11330" i="7"/>
  <c r="E11330" i="7"/>
  <c r="E11329" i="7"/>
  <c r="L11328" i="7"/>
  <c r="E11328" i="7"/>
  <c r="E11327" i="7"/>
  <c r="L11326" i="7"/>
  <c r="E11326" i="7"/>
  <c r="E11325" i="7"/>
  <c r="L11324" i="7"/>
  <c r="E11324" i="7"/>
  <c r="E11323" i="7"/>
  <c r="L11322" i="7"/>
  <c r="E11322" i="7"/>
  <c r="E11321" i="7"/>
  <c r="E11320" i="7"/>
  <c r="E11319" i="7"/>
  <c r="E11318" i="7"/>
  <c r="E11317" i="7"/>
  <c r="E11316" i="7"/>
  <c r="E11315" i="7"/>
  <c r="E11314" i="7"/>
  <c r="E11313" i="7"/>
  <c r="E11312" i="7"/>
  <c r="E11311" i="7"/>
  <c r="L11310" i="7"/>
  <c r="E11310" i="7"/>
  <c r="E11309" i="7"/>
  <c r="L11308" i="7"/>
  <c r="E11308" i="7"/>
  <c r="E11307" i="7"/>
  <c r="L11306" i="7"/>
  <c r="H11306" i="7" a="1"/>
  <c r="H11306" i="7" s="1"/>
  <c r="E11306" i="7"/>
  <c r="H11305" i="7" a="1"/>
  <c r="H11305" i="7" s="1"/>
  <c r="E11305" i="7"/>
  <c r="E11301" i="7"/>
  <c r="E11300" i="7"/>
  <c r="E11299" i="7"/>
  <c r="L11298" i="7"/>
  <c r="L11296" i="7"/>
  <c r="E11298" i="7"/>
  <c r="E11297" i="7"/>
  <c r="E11296" i="7"/>
  <c r="E11295" i="7"/>
  <c r="L11294" i="7"/>
  <c r="E11294" i="7"/>
  <c r="E11293" i="7"/>
  <c r="L11292" i="7"/>
  <c r="E11292" i="7"/>
  <c r="E11291" i="7"/>
  <c r="L11290" i="7"/>
  <c r="E11290" i="7"/>
  <c r="E11289" i="7"/>
  <c r="L11288" i="7"/>
  <c r="E11288" i="7"/>
  <c r="E11287" i="7"/>
  <c r="L11286" i="7"/>
  <c r="E11286" i="7"/>
  <c r="E11285" i="7"/>
  <c r="L11284" i="7"/>
  <c r="E11284" i="7"/>
  <c r="E11283" i="7"/>
  <c r="E11282" i="7"/>
  <c r="E11281" i="7"/>
  <c r="E11280" i="7"/>
  <c r="E11279" i="7"/>
  <c r="E11278" i="7"/>
  <c r="E11277" i="7"/>
  <c r="E11276" i="7"/>
  <c r="E11275" i="7"/>
  <c r="E11274" i="7"/>
  <c r="E11273" i="7"/>
  <c r="A587" i="57" l="1"/>
  <c r="A586" i="57"/>
  <c r="A588" i="57"/>
  <c r="R585" i="57"/>
  <c r="P585" i="57"/>
  <c r="N585" i="57"/>
  <c r="L585" i="57"/>
  <c r="J585" i="57"/>
  <c r="H585" i="57"/>
  <c r="F585" i="57"/>
  <c r="D585" i="57"/>
  <c r="L11272" i="7"/>
  <c r="E11272" i="7"/>
  <c r="E11271" i="7"/>
  <c r="L11270" i="7"/>
  <c r="E11270" i="7"/>
  <c r="E11269" i="7"/>
  <c r="L11268" i="7"/>
  <c r="H11268" i="7" a="1"/>
  <c r="H11268" i="7" s="1"/>
  <c r="E11268" i="7"/>
  <c r="H11267" i="7" a="1"/>
  <c r="H11267" i="7" s="1"/>
  <c r="E11267" i="7"/>
  <c r="L584" i="57"/>
  <c r="N584" i="57"/>
  <c r="P584" i="57"/>
  <c r="R584" i="57"/>
  <c r="J584" i="57"/>
  <c r="H584" i="57"/>
  <c r="H11250" i="7" a="1"/>
  <c r="H11250" i="7" s="1"/>
  <c r="E11250" i="7"/>
  <c r="H11249" i="7" a="1"/>
  <c r="H11249" i="7" s="1"/>
  <c r="E11249" i="7"/>
  <c r="H11248" i="7" a="1"/>
  <c r="H11248" i="7" s="1"/>
  <c r="E11248" i="7"/>
  <c r="K11245" i="7"/>
  <c r="L11246" i="7" s="1"/>
  <c r="E11247" i="7"/>
  <c r="E11246" i="7"/>
  <c r="E11245" i="7"/>
  <c r="F584" i="57"/>
  <c r="D584" i="57"/>
  <c r="L11266" i="7"/>
  <c r="E11266" i="7"/>
  <c r="E11265" i="7"/>
  <c r="L11264" i="7"/>
  <c r="E11264" i="7"/>
  <c r="E11263" i="7"/>
  <c r="L11262" i="7"/>
  <c r="E11262" i="7"/>
  <c r="E11261" i="7"/>
  <c r="L11260" i="7"/>
  <c r="E11260" i="7"/>
  <c r="E11259" i="7"/>
  <c r="L11258" i="7"/>
  <c r="E11258" i="7"/>
  <c r="E11257" i="7"/>
  <c r="L11256" i="7"/>
  <c r="E11256" i="7"/>
  <c r="E11255" i="7"/>
  <c r="L11254" i="7"/>
  <c r="E11254" i="7"/>
  <c r="E11253" i="7"/>
  <c r="L11252" i="7"/>
  <c r="E11252" i="7"/>
  <c r="E11251" i="7"/>
  <c r="E11244" i="7"/>
  <c r="E11243" i="7"/>
  <c r="E11242" i="7"/>
  <c r="E11241" i="7"/>
  <c r="E11240" i="7"/>
  <c r="E11239" i="7"/>
  <c r="E11238" i="7"/>
  <c r="E11237" i="7"/>
  <c r="E11236" i="7"/>
  <c r="E11235" i="7"/>
  <c r="L11234" i="7"/>
  <c r="H11234" i="7" a="1"/>
  <c r="H11234" i="7" s="1"/>
  <c r="E11234" i="7"/>
  <c r="H11233" i="7" a="1"/>
  <c r="H11233" i="7" s="1"/>
  <c r="E11233" i="7"/>
  <c r="L11232" i="7"/>
  <c r="E11232" i="7"/>
  <c r="E11231" i="7"/>
  <c r="L11230" i="7"/>
  <c r="E11230" i="7"/>
  <c r="E11229" i="7"/>
  <c r="H11212" i="7" a="1"/>
  <c r="H11212" i="7" s="1"/>
  <c r="E11212" i="7"/>
  <c r="H11211" i="7" a="1"/>
  <c r="H11211" i="7" s="1"/>
  <c r="E11211" i="7"/>
  <c r="H11210" i="7" a="1"/>
  <c r="H11210" i="7" s="1"/>
  <c r="E11210" i="7"/>
  <c r="L11209" i="7"/>
  <c r="H11209" i="7" a="1"/>
  <c r="H11209" i="7" s="1"/>
  <c r="E11209" i="7"/>
  <c r="H11208" i="7" a="1"/>
  <c r="H11208" i="7" s="1"/>
  <c r="E11208" i="7"/>
  <c r="A585" i="57" l="1"/>
  <c r="A584" i="57"/>
  <c r="D583" i="57"/>
  <c r="F583" i="57"/>
  <c r="H583" i="57"/>
  <c r="J583" i="57"/>
  <c r="L583" i="57"/>
  <c r="N583" i="57"/>
  <c r="P583" i="57"/>
  <c r="R583" i="57"/>
  <c r="L11228" i="7"/>
  <c r="E11228" i="7"/>
  <c r="E11227" i="7"/>
  <c r="L11226" i="7"/>
  <c r="E11226" i="7"/>
  <c r="E11225" i="7"/>
  <c r="L11224" i="7"/>
  <c r="E11224" i="7"/>
  <c r="E11223" i="7"/>
  <c r="L11222" i="7"/>
  <c r="E11222" i="7"/>
  <c r="E11221" i="7"/>
  <c r="L11220" i="7"/>
  <c r="E11220" i="7"/>
  <c r="E11219" i="7"/>
  <c r="L11218" i="7"/>
  <c r="E11218" i="7"/>
  <c r="E11217" i="7"/>
  <c r="L11216" i="7"/>
  <c r="E11216" i="7"/>
  <c r="E11215" i="7"/>
  <c r="L11214" i="7"/>
  <c r="E11214" i="7"/>
  <c r="E11213" i="7"/>
  <c r="L11207" i="7"/>
  <c r="E11207" i="7"/>
  <c r="E11206" i="7"/>
  <c r="L11205" i="7"/>
  <c r="E11205" i="7"/>
  <c r="E11204" i="7"/>
  <c r="E11203" i="7"/>
  <c r="E11202" i="7"/>
  <c r="H11201" i="7" a="1"/>
  <c r="H11201" i="7" s="1"/>
  <c r="E11201" i="7"/>
  <c r="E11200" i="7"/>
  <c r="E11199" i="7"/>
  <c r="E11198" i="7"/>
  <c r="E11197" i="7"/>
  <c r="E11196" i="7"/>
  <c r="E11179" i="7"/>
  <c r="E11178" i="7"/>
  <c r="E11177" i="7"/>
  <c r="A583" i="57" l="1"/>
  <c r="H582" i="57"/>
  <c r="J582" i="57"/>
  <c r="L582" i="57"/>
  <c r="N582" i="57"/>
  <c r="P582" i="57"/>
  <c r="R582" i="57"/>
  <c r="F582" i="57"/>
  <c r="D582" i="57"/>
  <c r="L11195" i="7"/>
  <c r="E11195" i="7"/>
  <c r="E11194" i="7"/>
  <c r="L11193" i="7"/>
  <c r="E11193" i="7"/>
  <c r="E11192" i="7"/>
  <c r="L11191" i="7"/>
  <c r="E11191" i="7"/>
  <c r="E11190" i="7"/>
  <c r="L11189" i="7"/>
  <c r="E11189" i="7"/>
  <c r="E11188" i="7"/>
  <c r="L11187" i="7"/>
  <c r="E11187" i="7"/>
  <c r="E11186" i="7"/>
  <c r="L11185" i="7"/>
  <c r="E11185" i="7"/>
  <c r="E11184" i="7"/>
  <c r="L11183" i="7"/>
  <c r="E11183" i="7"/>
  <c r="E11182" i="7"/>
  <c r="L11181" i="7"/>
  <c r="E11181" i="7"/>
  <c r="E11180" i="7"/>
  <c r="E11176" i="7"/>
  <c r="E11175" i="7"/>
  <c r="E11174" i="7"/>
  <c r="E11173" i="7"/>
  <c r="E11172" i="7"/>
  <c r="L11171" i="7"/>
  <c r="E11171" i="7"/>
  <c r="E11170" i="7"/>
  <c r="L11169" i="7"/>
  <c r="E11169" i="7"/>
  <c r="E11168" i="7"/>
  <c r="L11165" i="7"/>
  <c r="D579" i="57"/>
  <c r="F579" i="57"/>
  <c r="H579" i="57"/>
  <c r="J579" i="57"/>
  <c r="L579" i="57"/>
  <c r="N579" i="57"/>
  <c r="P579" i="57"/>
  <c r="R579" i="57"/>
  <c r="D580" i="57"/>
  <c r="F580" i="57"/>
  <c r="H580" i="57"/>
  <c r="J580" i="57"/>
  <c r="L580" i="57"/>
  <c r="N580" i="57"/>
  <c r="P580" i="57"/>
  <c r="R580" i="57"/>
  <c r="D581" i="57"/>
  <c r="F581" i="57"/>
  <c r="H581" i="57"/>
  <c r="J581" i="57"/>
  <c r="L581" i="57"/>
  <c r="N581" i="57"/>
  <c r="P581" i="57"/>
  <c r="R581" i="57"/>
  <c r="L11167" i="7"/>
  <c r="E11167" i="7"/>
  <c r="E11166" i="7"/>
  <c r="E11165" i="7"/>
  <c r="E11164" i="7"/>
  <c r="L11163" i="7"/>
  <c r="E11163" i="7"/>
  <c r="E11162" i="7"/>
  <c r="L11161" i="7"/>
  <c r="E11161" i="7"/>
  <c r="E11160" i="7"/>
  <c r="L11159" i="7"/>
  <c r="E11159" i="7"/>
  <c r="E11158" i="7"/>
  <c r="L11157" i="7"/>
  <c r="E11157" i="7"/>
  <c r="E11156" i="7"/>
  <c r="L11155" i="7"/>
  <c r="E11155" i="7"/>
  <c r="E11154" i="7"/>
  <c r="L11153" i="7"/>
  <c r="E11153" i="7"/>
  <c r="E11152" i="7"/>
  <c r="E11151" i="7"/>
  <c r="E11150" i="7"/>
  <c r="E11149" i="7"/>
  <c r="E11148" i="7"/>
  <c r="E11147" i="7"/>
  <c r="L11146" i="7"/>
  <c r="E11146" i="7"/>
  <c r="E11145" i="7"/>
  <c r="L11144" i="7"/>
  <c r="E11144" i="7"/>
  <c r="E11143" i="7"/>
  <c r="E11142" i="7"/>
  <c r="E11141" i="7"/>
  <c r="E11140" i="7"/>
  <c r="L11139" i="7"/>
  <c r="L11137" i="7"/>
  <c r="R578" i="57"/>
  <c r="P578" i="57"/>
  <c r="N578" i="57"/>
  <c r="L578" i="57"/>
  <c r="J578" i="57"/>
  <c r="H578" i="57"/>
  <c r="F578" i="57"/>
  <c r="D578" i="57"/>
  <c r="E11139" i="7"/>
  <c r="E11138" i="7"/>
  <c r="E11137" i="7"/>
  <c r="E11136" i="7"/>
  <c r="L11135" i="7"/>
  <c r="E11135" i="7"/>
  <c r="E11134" i="7"/>
  <c r="L11133" i="7"/>
  <c r="E11133" i="7"/>
  <c r="E11132" i="7"/>
  <c r="L11131" i="7"/>
  <c r="E11131" i="7"/>
  <c r="E11130" i="7"/>
  <c r="L11129" i="7"/>
  <c r="E11129" i="7"/>
  <c r="E11128" i="7"/>
  <c r="L11127" i="7"/>
  <c r="E11127" i="7"/>
  <c r="E11126" i="7"/>
  <c r="L11125" i="7"/>
  <c r="E11125" i="7"/>
  <c r="E11124" i="7"/>
  <c r="E11123" i="7"/>
  <c r="E11122" i="7"/>
  <c r="E11121" i="7"/>
  <c r="A582" i="57" l="1"/>
  <c r="A581" i="57"/>
  <c r="A579" i="57"/>
  <c r="A578" i="57"/>
  <c r="A580" i="57"/>
  <c r="L11120" i="7"/>
  <c r="E11120" i="7"/>
  <c r="E11119" i="7"/>
  <c r="L11118" i="7"/>
  <c r="E11118" i="7"/>
  <c r="E11117" i="7"/>
  <c r="L11116" i="7"/>
  <c r="E11116" i="7"/>
  <c r="E11115" i="7"/>
  <c r="L11098" i="7"/>
  <c r="E11098" i="7"/>
  <c r="E11097" i="7"/>
  <c r="L11096" i="7"/>
  <c r="E11096" i="7"/>
  <c r="E11095" i="7"/>
  <c r="H577" i="57"/>
  <c r="J577" i="57"/>
  <c r="L577" i="57"/>
  <c r="N577" i="57"/>
  <c r="P577" i="57"/>
  <c r="R577" i="57"/>
  <c r="F577" i="57"/>
  <c r="D577" i="57"/>
  <c r="E11114" i="7"/>
  <c r="L11114" i="7"/>
  <c r="E11113" i="7"/>
  <c r="E11112" i="7"/>
  <c r="L11112" i="7"/>
  <c r="E11111" i="7"/>
  <c r="L11110" i="7"/>
  <c r="E11110" i="7"/>
  <c r="E11109" i="7"/>
  <c r="L11108" i="7"/>
  <c r="E11108" i="7"/>
  <c r="E11107" i="7"/>
  <c r="L11106" i="7"/>
  <c r="E11106" i="7"/>
  <c r="E11105" i="7"/>
  <c r="L11104" i="7"/>
  <c r="E11104" i="7"/>
  <c r="E11103" i="7"/>
  <c r="L11102" i="7"/>
  <c r="E11102" i="7"/>
  <c r="E11101" i="7"/>
  <c r="L11100" i="7"/>
  <c r="E11100" i="7"/>
  <c r="E11099" i="7"/>
  <c r="E11091" i="7"/>
  <c r="E11090" i="7"/>
  <c r="E11089" i="7"/>
  <c r="E11088" i="7"/>
  <c r="E11087" i="7"/>
  <c r="L11086" i="7"/>
  <c r="E11086" i="7"/>
  <c r="E11085" i="7"/>
  <c r="E11094" i="7"/>
  <c r="E11093" i="7"/>
  <c r="E11092" i="7"/>
  <c r="K11083" i="7"/>
  <c r="L11084" i="7" s="1"/>
  <c r="K11081" i="7"/>
  <c r="L11082" i="7" s="1"/>
  <c r="R576" i="57"/>
  <c r="P576" i="57"/>
  <c r="N576" i="57"/>
  <c r="L576" i="57"/>
  <c r="J576" i="57"/>
  <c r="H576" i="57"/>
  <c r="F576" i="57"/>
  <c r="D576" i="57"/>
  <c r="E11084" i="7"/>
  <c r="E11083" i="7"/>
  <c r="E11082" i="7"/>
  <c r="E11081" i="7"/>
  <c r="L11080" i="7"/>
  <c r="E11080" i="7"/>
  <c r="E11079" i="7"/>
  <c r="L11078" i="7"/>
  <c r="E11078" i="7"/>
  <c r="E11077" i="7"/>
  <c r="L11076" i="7"/>
  <c r="E11076" i="7"/>
  <c r="E11075" i="7"/>
  <c r="L11074" i="7"/>
  <c r="E11074" i="7"/>
  <c r="E11073" i="7"/>
  <c r="L11072" i="7"/>
  <c r="E11072" i="7"/>
  <c r="E11071" i="7"/>
  <c r="L11070" i="7"/>
  <c r="E11070" i="7"/>
  <c r="E11069" i="7"/>
  <c r="E11068" i="7"/>
  <c r="E11067" i="7"/>
  <c r="E11066" i="7"/>
  <c r="E11065" i="7"/>
  <c r="E11064" i="7"/>
  <c r="A577" i="57" l="1"/>
  <c r="A576" i="57"/>
  <c r="L11063" i="7" l="1"/>
  <c r="E11063" i="7"/>
  <c r="E11062" i="7"/>
  <c r="L11045" i="7"/>
  <c r="E11045" i="7"/>
  <c r="E11044" i="7"/>
  <c r="E11035" i="7"/>
  <c r="E11036" i="7"/>
  <c r="E11037" i="7"/>
  <c r="E11038" i="7"/>
  <c r="E11039" i="7"/>
  <c r="E11040" i="7"/>
  <c r="E11041" i="7"/>
  <c r="E11042" i="7"/>
  <c r="E11043" i="7"/>
  <c r="E11046" i="7"/>
  <c r="E11047" i="7"/>
  <c r="E11048" i="7"/>
  <c r="E11049" i="7"/>
  <c r="E11050" i="7"/>
  <c r="E11051" i="7"/>
  <c r="E11052" i="7"/>
  <c r="E11053" i="7"/>
  <c r="E11054" i="7"/>
  <c r="E11055" i="7"/>
  <c r="E11056" i="7"/>
  <c r="E11057" i="7"/>
  <c r="E11058" i="7"/>
  <c r="E11059" i="7"/>
  <c r="E11060" i="7"/>
  <c r="E11061" i="7"/>
  <c r="L575" i="57"/>
  <c r="N575" i="57"/>
  <c r="P575" i="57"/>
  <c r="R575" i="57"/>
  <c r="J575" i="57"/>
  <c r="H575" i="57"/>
  <c r="F575" i="57"/>
  <c r="D575" i="57"/>
  <c r="L11061" i="7"/>
  <c r="L11059" i="7"/>
  <c r="L11057" i="7"/>
  <c r="L11055" i="7"/>
  <c r="L11053" i="7"/>
  <c r="L11051" i="7"/>
  <c r="L11049" i="7"/>
  <c r="L11047" i="7"/>
  <c r="E11034" i="7"/>
  <c r="L11033" i="7"/>
  <c r="E11033" i="7"/>
  <c r="E11032" i="7"/>
  <c r="E11015" i="7"/>
  <c r="E11014" i="7"/>
  <c r="E11013" i="7"/>
  <c r="L10985" i="7"/>
  <c r="E10985" i="7"/>
  <c r="E10984" i="7"/>
  <c r="A575" i="57" l="1"/>
  <c r="E11012" i="7"/>
  <c r="E11011" i="7"/>
  <c r="E11010" i="7"/>
  <c r="E11009" i="7"/>
  <c r="E11008" i="7"/>
  <c r="J574" i="57" l="1"/>
  <c r="L574" i="57"/>
  <c r="N574" i="57"/>
  <c r="P574" i="57"/>
  <c r="R574" i="57"/>
  <c r="H574" i="57"/>
  <c r="F574" i="57"/>
  <c r="D574" i="57"/>
  <c r="D572" i="57"/>
  <c r="F572" i="57"/>
  <c r="H572" i="57"/>
  <c r="J572" i="57"/>
  <c r="L572" i="57"/>
  <c r="N572" i="57"/>
  <c r="P572" i="57"/>
  <c r="R572" i="57"/>
  <c r="D573" i="57"/>
  <c r="F573" i="57"/>
  <c r="H573" i="57"/>
  <c r="J573" i="57"/>
  <c r="L573" i="57"/>
  <c r="N573" i="57"/>
  <c r="P573" i="57"/>
  <c r="R573" i="57"/>
  <c r="L11031" i="7"/>
  <c r="E11031" i="7"/>
  <c r="E11030" i="7"/>
  <c r="E11029" i="7"/>
  <c r="L11029" i="7"/>
  <c r="E11028" i="7"/>
  <c r="L11027" i="7"/>
  <c r="E11027" i="7"/>
  <c r="E11026" i="7"/>
  <c r="L11025" i="7"/>
  <c r="E11025" i="7"/>
  <c r="E11024" i="7"/>
  <c r="L11023" i="7"/>
  <c r="E11023" i="7"/>
  <c r="E11022" i="7"/>
  <c r="L11021" i="7"/>
  <c r="E11021" i="7"/>
  <c r="E11020" i="7"/>
  <c r="L11019" i="7"/>
  <c r="E11019" i="7"/>
  <c r="E11018" i="7"/>
  <c r="L11017" i="7"/>
  <c r="E11017" i="7"/>
  <c r="E11016" i="7"/>
  <c r="L11007" i="7"/>
  <c r="E11007" i="7"/>
  <c r="E11006" i="7"/>
  <c r="L11005" i="7"/>
  <c r="E11005" i="7"/>
  <c r="E11004" i="7"/>
  <c r="L11003" i="7"/>
  <c r="E11003" i="7"/>
  <c r="E11002" i="7"/>
  <c r="E11001" i="7"/>
  <c r="K11000" i="7"/>
  <c r="L11001" i="7" s="1"/>
  <c r="E11000" i="7"/>
  <c r="E10999" i="7"/>
  <c r="K10998" i="7"/>
  <c r="L10999" i="7" s="1"/>
  <c r="E10998" i="7"/>
  <c r="L10997" i="7"/>
  <c r="E10997" i="7"/>
  <c r="E10996" i="7"/>
  <c r="L10995" i="7"/>
  <c r="E10995" i="7"/>
  <c r="E10994" i="7"/>
  <c r="L10993" i="7"/>
  <c r="E10993" i="7"/>
  <c r="E10992" i="7"/>
  <c r="L10991" i="7"/>
  <c r="E10991" i="7"/>
  <c r="E10990" i="7"/>
  <c r="L10989" i="7"/>
  <c r="E10989" i="7"/>
  <c r="E10988" i="7"/>
  <c r="L10987" i="7"/>
  <c r="E10987" i="7"/>
  <c r="E10986" i="7"/>
  <c r="A573" i="57" l="1"/>
  <c r="A572" i="57"/>
  <c r="A574" i="57"/>
  <c r="E10983" i="7"/>
  <c r="E10982" i="7"/>
  <c r="E10981" i="7"/>
  <c r="E10980" i="7"/>
  <c r="E10979" i="7"/>
  <c r="R571" i="57"/>
  <c r="P571" i="57"/>
  <c r="N571" i="57"/>
  <c r="L571" i="57"/>
  <c r="J571" i="57"/>
  <c r="H571" i="57"/>
  <c r="F571" i="57"/>
  <c r="D571" i="57"/>
  <c r="R570" i="57"/>
  <c r="P570" i="57"/>
  <c r="N570" i="57"/>
  <c r="L570" i="57"/>
  <c r="J570" i="57"/>
  <c r="H570" i="57"/>
  <c r="F570" i="57"/>
  <c r="D570" i="57"/>
  <c r="L10959" i="7"/>
  <c r="E10959" i="7"/>
  <c r="E10958" i="7"/>
  <c r="L10957" i="7"/>
  <c r="E10957" i="7"/>
  <c r="E10956" i="7"/>
  <c r="E10975" i="7"/>
  <c r="K10974" i="7"/>
  <c r="L10975" i="7" s="1"/>
  <c r="E10974" i="7"/>
  <c r="E10973" i="7"/>
  <c r="K10972" i="7"/>
  <c r="L10973" i="7" s="1"/>
  <c r="E10972" i="7"/>
  <c r="L10971" i="7"/>
  <c r="E10971" i="7"/>
  <c r="E10970" i="7"/>
  <c r="L10969" i="7"/>
  <c r="E10969" i="7"/>
  <c r="E10968" i="7"/>
  <c r="L10967" i="7"/>
  <c r="E10967" i="7"/>
  <c r="E10966" i="7"/>
  <c r="L10965" i="7"/>
  <c r="E10965" i="7"/>
  <c r="E10964" i="7"/>
  <c r="L10963" i="7"/>
  <c r="E10963" i="7"/>
  <c r="E10962" i="7"/>
  <c r="L10961" i="7"/>
  <c r="E10961" i="7"/>
  <c r="E10960" i="7"/>
  <c r="E10955" i="7"/>
  <c r="E10954" i="7"/>
  <c r="E10953" i="7"/>
  <c r="E10952" i="7"/>
  <c r="E10951" i="7"/>
  <c r="A571" i="57" l="1"/>
  <c r="A570" i="57"/>
  <c r="E10978" i="7" l="1"/>
  <c r="E10977" i="7"/>
  <c r="E10976" i="7"/>
  <c r="E10950" i="7"/>
  <c r="E10949" i="7"/>
  <c r="E10948" i="7"/>
  <c r="E10947" i="7"/>
  <c r="E10946" i="7"/>
  <c r="E10945" i="7"/>
  <c r="E10944" i="7" l="1"/>
  <c r="K10943" i="7"/>
  <c r="L10944" i="7" s="1"/>
  <c r="E10943" i="7"/>
  <c r="E10942" i="7"/>
  <c r="K10941" i="7"/>
  <c r="L10942" i="7" s="1"/>
  <c r="E10941" i="7"/>
  <c r="L10940" i="7"/>
  <c r="E10940" i="7"/>
  <c r="E10939" i="7"/>
  <c r="L10938" i="7"/>
  <c r="E10938" i="7"/>
  <c r="E10937" i="7"/>
  <c r="L10936" i="7"/>
  <c r="E10936" i="7"/>
  <c r="E10935" i="7"/>
  <c r="L10934" i="7"/>
  <c r="E10934" i="7"/>
  <c r="E10933" i="7"/>
  <c r="L10932" i="7"/>
  <c r="E10932" i="7"/>
  <c r="E10931" i="7"/>
  <c r="L10930" i="7"/>
  <c r="E10930" i="7"/>
  <c r="E10929" i="7"/>
  <c r="E10928" i="7"/>
  <c r="E10927" i="7"/>
  <c r="E10926" i="7"/>
  <c r="E10925" i="7"/>
  <c r="E10924" i="7"/>
  <c r="E10923" i="7"/>
  <c r="K10922" i="7"/>
  <c r="L10923" i="7" s="1"/>
  <c r="E10922" i="7"/>
  <c r="E10921" i="7"/>
  <c r="K10920" i="7"/>
  <c r="L10921" i="7" s="1"/>
  <c r="E10920" i="7"/>
  <c r="L10919" i="7"/>
  <c r="E10919" i="7"/>
  <c r="E10918" i="7"/>
  <c r="L10917" i="7"/>
  <c r="E10917" i="7"/>
  <c r="E10916" i="7"/>
  <c r="L10915" i="7"/>
  <c r="E10915" i="7"/>
  <c r="E10914" i="7"/>
  <c r="L10913" i="7"/>
  <c r="E10913" i="7"/>
  <c r="E10912" i="7"/>
  <c r="L10911" i="7"/>
  <c r="E10911" i="7"/>
  <c r="E10910" i="7"/>
  <c r="L10909" i="7"/>
  <c r="E10909" i="7"/>
  <c r="E10908" i="7"/>
  <c r="E10907" i="7"/>
  <c r="E10906" i="7"/>
  <c r="E10905" i="7"/>
  <c r="E10904" i="7"/>
  <c r="E10903" i="7"/>
  <c r="L10902" i="7"/>
  <c r="E10902" i="7"/>
  <c r="E10901" i="7"/>
  <c r="L10900" i="7"/>
  <c r="E10900" i="7"/>
  <c r="E10899" i="7"/>
  <c r="E10898" i="7"/>
  <c r="K10897" i="7"/>
  <c r="L10898" i="7" s="1"/>
  <c r="E10897" i="7"/>
  <c r="E10896" i="7"/>
  <c r="K10895" i="7"/>
  <c r="L10896" i="7" s="1"/>
  <c r="E10895" i="7"/>
  <c r="L10894" i="7"/>
  <c r="E10894" i="7"/>
  <c r="E10893" i="7"/>
  <c r="L10892" i="7"/>
  <c r="E10892" i="7"/>
  <c r="E10891" i="7"/>
  <c r="L10890" i="7"/>
  <c r="E10890" i="7"/>
  <c r="E10889" i="7"/>
  <c r="L10888" i="7"/>
  <c r="E10888" i="7"/>
  <c r="E10887" i="7"/>
  <c r="L10886" i="7"/>
  <c r="E10886" i="7"/>
  <c r="E10885" i="7"/>
  <c r="L10884" i="7"/>
  <c r="E10884" i="7"/>
  <c r="E10883" i="7"/>
  <c r="E10882" i="7"/>
  <c r="E10881" i="7"/>
  <c r="E10880" i="7"/>
  <c r="E10879" i="7"/>
  <c r="E10878" i="7"/>
  <c r="L10877" i="7"/>
  <c r="E10877" i="7"/>
  <c r="E10876" i="7"/>
  <c r="L10875" i="7"/>
  <c r="E10875" i="7"/>
  <c r="E10874" i="7"/>
  <c r="E10873" i="7"/>
  <c r="E10872" i="7"/>
  <c r="E10871" i="7"/>
  <c r="E10870" i="7"/>
  <c r="E10869" i="7"/>
  <c r="E10868" i="7"/>
  <c r="E10867" i="7"/>
  <c r="K10866" i="7"/>
  <c r="L10867" i="7" s="1"/>
  <c r="E10866" i="7"/>
  <c r="E10865" i="7"/>
  <c r="K10864" i="7"/>
  <c r="L10865" i="7" s="1"/>
  <c r="E10864" i="7"/>
  <c r="L10863" i="7"/>
  <c r="E10863" i="7"/>
  <c r="E10862" i="7"/>
  <c r="L10861" i="7"/>
  <c r="E10861" i="7"/>
  <c r="E10860" i="7"/>
  <c r="L10859" i="7"/>
  <c r="E10859" i="7"/>
  <c r="E10858" i="7"/>
  <c r="L10857" i="7"/>
  <c r="E10857" i="7"/>
  <c r="E10856" i="7"/>
  <c r="L10855" i="7"/>
  <c r="E10855" i="7"/>
  <c r="E10854" i="7"/>
  <c r="L10853" i="7"/>
  <c r="E10853" i="7"/>
  <c r="E10852" i="7"/>
  <c r="E10851" i="7"/>
  <c r="E10850" i="7"/>
  <c r="E10849" i="7"/>
  <c r="E10848" i="7"/>
  <c r="E10847" i="7"/>
  <c r="L10846" i="7"/>
  <c r="E10846" i="7"/>
  <c r="E10845" i="7"/>
  <c r="L10844" i="7"/>
  <c r="E10844" i="7"/>
  <c r="E10843" i="7"/>
  <c r="L10842" i="7"/>
  <c r="E10842" i="7"/>
  <c r="E10841" i="7"/>
  <c r="L10840" i="7"/>
  <c r="E10840" i="7"/>
  <c r="E10839" i="7"/>
  <c r="E10838" i="7"/>
  <c r="K10837" i="7"/>
  <c r="L10838" i="7" s="1"/>
  <c r="E10837" i="7"/>
  <c r="E10836" i="7"/>
  <c r="K10835" i="7"/>
  <c r="L10836" i="7" s="1"/>
  <c r="E10835" i="7"/>
  <c r="L10834" i="7"/>
  <c r="E10834" i="7"/>
  <c r="E10833" i="7"/>
  <c r="L10832" i="7"/>
  <c r="E10832" i="7"/>
  <c r="E10831" i="7"/>
  <c r="L10830" i="7"/>
  <c r="E10830" i="7"/>
  <c r="E10829" i="7"/>
  <c r="L10828" i="7"/>
  <c r="E10828" i="7"/>
  <c r="E10827" i="7"/>
  <c r="L10826" i="7"/>
  <c r="E10826" i="7"/>
  <c r="E10825" i="7"/>
  <c r="L10824" i="7"/>
  <c r="E10824" i="7"/>
  <c r="E10823" i="7"/>
  <c r="E10822" i="7"/>
  <c r="E10821" i="7"/>
  <c r="E10820" i="7"/>
  <c r="E10819" i="7"/>
  <c r="E10818" i="7"/>
  <c r="L10817" i="7"/>
  <c r="E10817" i="7"/>
  <c r="E10816" i="7"/>
  <c r="E10815" i="7"/>
  <c r="K10814" i="7"/>
  <c r="L10815" i="7" s="1"/>
  <c r="E10814" i="7"/>
  <c r="E10813" i="7"/>
  <c r="K10812" i="7"/>
  <c r="L10813" i="7" s="1"/>
  <c r="E10812" i="7"/>
  <c r="L10811" i="7"/>
  <c r="E10811" i="7"/>
  <c r="E10810" i="7"/>
  <c r="L10809" i="7"/>
  <c r="E10809" i="7"/>
  <c r="E10808" i="7"/>
  <c r="L10807" i="7"/>
  <c r="E10807" i="7"/>
  <c r="E10806" i="7"/>
  <c r="L10805" i="7"/>
  <c r="E10805" i="7"/>
  <c r="E10804" i="7"/>
  <c r="L10803" i="7"/>
  <c r="E10803" i="7"/>
  <c r="E10802" i="7"/>
  <c r="L10801" i="7"/>
  <c r="E10801" i="7"/>
  <c r="E10800" i="7"/>
  <c r="L10799" i="7"/>
  <c r="E10799" i="7"/>
  <c r="E10798" i="7"/>
  <c r="E10797" i="7"/>
  <c r="E10796" i="7"/>
  <c r="E10795" i="7"/>
  <c r="E10794" i="7"/>
  <c r="E10793" i="7"/>
  <c r="E10792" i="7"/>
  <c r="E10791" i="7"/>
  <c r="E10790" i="7"/>
  <c r="L10789" i="7"/>
  <c r="E10789" i="7"/>
  <c r="E10788" i="7"/>
  <c r="E10787" i="7"/>
  <c r="K10786" i="7"/>
  <c r="L10787" i="7" s="1"/>
  <c r="E10786" i="7"/>
  <c r="E10785" i="7"/>
  <c r="K10784" i="7"/>
  <c r="L10785" i="7" s="1"/>
  <c r="E10784" i="7"/>
  <c r="L10783" i="7"/>
  <c r="E10783" i="7"/>
  <c r="E10782" i="7"/>
  <c r="L10781" i="7"/>
  <c r="E10781" i="7"/>
  <c r="E10780" i="7"/>
  <c r="L10779" i="7"/>
  <c r="E10779" i="7"/>
  <c r="E10778" i="7"/>
  <c r="L10777" i="7"/>
  <c r="E10777" i="7"/>
  <c r="E10776" i="7"/>
  <c r="L10775" i="7"/>
  <c r="E10775" i="7"/>
  <c r="E10774" i="7"/>
  <c r="L10773" i="7"/>
  <c r="E10773" i="7"/>
  <c r="E10772" i="7"/>
  <c r="E10771" i="7"/>
  <c r="E10770" i="7"/>
  <c r="E10769" i="7"/>
  <c r="E10768" i="7"/>
  <c r="E10767" i="7"/>
  <c r="L10766" i="7"/>
  <c r="E10766" i="7"/>
  <c r="E10765" i="7"/>
  <c r="L10764" i="7"/>
  <c r="E10764" i="7"/>
  <c r="E10763" i="7"/>
  <c r="E10762" i="7"/>
  <c r="E10761" i="7"/>
  <c r="E10760" i="7"/>
  <c r="E10759" i="7"/>
  <c r="E10758" i="7"/>
  <c r="E10757" i="7"/>
  <c r="E10756" i="7"/>
  <c r="K10755" i="7"/>
  <c r="L10756" i="7" s="1"/>
  <c r="E10755" i="7"/>
  <c r="E10754" i="7"/>
  <c r="K10753" i="7"/>
  <c r="L10754" i="7" s="1"/>
  <c r="E10753" i="7"/>
  <c r="L10752" i="7"/>
  <c r="E10752" i="7"/>
  <c r="E10751" i="7"/>
  <c r="L10750" i="7"/>
  <c r="E10750" i="7"/>
  <c r="E10749" i="7"/>
  <c r="L10748" i="7"/>
  <c r="E10748" i="7"/>
  <c r="E10747" i="7"/>
  <c r="L10746" i="7"/>
  <c r="E10746" i="7"/>
  <c r="E10745" i="7"/>
  <c r="L10744" i="7"/>
  <c r="E10744" i="7"/>
  <c r="E10743" i="7"/>
  <c r="L10742" i="7"/>
  <c r="E10742" i="7"/>
  <c r="E10741" i="7"/>
  <c r="E10740" i="7"/>
  <c r="E10739" i="7"/>
  <c r="E10738" i="7"/>
  <c r="E10737" i="7"/>
  <c r="E10736" i="7"/>
  <c r="E10735" i="7"/>
  <c r="E10734" i="7"/>
  <c r="E10733" i="7"/>
  <c r="L10732" i="7"/>
  <c r="E10732" i="7"/>
  <c r="E10731" i="7"/>
  <c r="L10730" i="7"/>
  <c r="E10730" i="7"/>
  <c r="E10729" i="7"/>
  <c r="E10728" i="7"/>
  <c r="K10727" i="7"/>
  <c r="L10728" i="7" s="1"/>
  <c r="E10727" i="7"/>
  <c r="E10726" i="7"/>
  <c r="K10725" i="7"/>
  <c r="L10726" i="7" s="1"/>
  <c r="E10725" i="7"/>
  <c r="L10724" i="7"/>
  <c r="E10724" i="7"/>
  <c r="E10723" i="7"/>
  <c r="L10722" i="7"/>
  <c r="E10722" i="7"/>
  <c r="E10721" i="7"/>
  <c r="L10720" i="7"/>
  <c r="E10720" i="7"/>
  <c r="E10719" i="7"/>
  <c r="L10718" i="7"/>
  <c r="E10718" i="7"/>
  <c r="E10717" i="7"/>
  <c r="L10716" i="7"/>
  <c r="E10716" i="7"/>
  <c r="E10715" i="7"/>
  <c r="L10714" i="7"/>
  <c r="E10714" i="7"/>
  <c r="E10713" i="7"/>
  <c r="E10712" i="7"/>
  <c r="E10711" i="7"/>
  <c r="E10710" i="7"/>
  <c r="E10709" i="7"/>
  <c r="E10708" i="7"/>
  <c r="E10707" i="7"/>
  <c r="E10706" i="7"/>
  <c r="E10705" i="7"/>
  <c r="L10702" i="7"/>
  <c r="E10702" i="7"/>
  <c r="E10701" i="7"/>
  <c r="L10700" i="7"/>
  <c r="E10700" i="7"/>
  <c r="E10699" i="7"/>
  <c r="L10698" i="7"/>
  <c r="E10698" i="7"/>
  <c r="E10697" i="7"/>
  <c r="R569" i="57"/>
  <c r="P569" i="57"/>
  <c r="N569" i="57"/>
  <c r="L569" i="57"/>
  <c r="J569" i="57"/>
  <c r="H569" i="57"/>
  <c r="F569" i="57"/>
  <c r="D569" i="57"/>
  <c r="A569" i="57" l="1"/>
  <c r="N558" i="57"/>
  <c r="N559" i="57"/>
  <c r="N560" i="57"/>
  <c r="N561" i="57"/>
  <c r="N562" i="57"/>
  <c r="N563" i="57"/>
  <c r="N564" i="57"/>
  <c r="N565" i="57"/>
  <c r="N566" i="57"/>
  <c r="N567" i="57"/>
  <c r="N568" i="57"/>
  <c r="N557" i="57"/>
  <c r="L558" i="57"/>
  <c r="L559" i="57"/>
  <c r="L560" i="57"/>
  <c r="L561" i="57"/>
  <c r="L562" i="57"/>
  <c r="L563" i="57"/>
  <c r="L564" i="57"/>
  <c r="L565" i="57"/>
  <c r="L566" i="57"/>
  <c r="L567" i="57"/>
  <c r="L568" i="57"/>
  <c r="L557" i="57"/>
  <c r="P557" i="57" l="1"/>
  <c r="D557" i="57"/>
  <c r="F557" i="57"/>
  <c r="H557" i="57"/>
  <c r="J557" i="57"/>
  <c r="R557" i="57"/>
  <c r="B558" i="57"/>
  <c r="B559" i="57" s="1"/>
  <c r="B560" i="57" s="1"/>
  <c r="B561" i="57" s="1"/>
  <c r="B562" i="57" s="1"/>
  <c r="B563" i="57" s="1"/>
  <c r="B564" i="57" s="1"/>
  <c r="B565" i="57" s="1"/>
  <c r="B566" i="57" s="1"/>
  <c r="B567" i="57" s="1"/>
  <c r="B568" i="57" s="1"/>
  <c r="B569" i="57" s="1"/>
  <c r="B570" i="57" s="1"/>
  <c r="B571" i="57" s="1"/>
  <c r="B572" i="57" s="1"/>
  <c r="B573" i="57" s="1"/>
  <c r="B574" i="57" s="1"/>
  <c r="B575" i="57" s="1"/>
  <c r="B576" i="57" s="1"/>
  <c r="B577" i="57" s="1"/>
  <c r="B578" i="57" s="1"/>
  <c r="B579" i="57" s="1"/>
  <c r="B580" i="57" s="1"/>
  <c r="B581" i="57" s="1"/>
  <c r="B582" i="57" s="1"/>
  <c r="B583" i="57" s="1"/>
  <c r="B584" i="57" s="1"/>
  <c r="B585" i="57" s="1"/>
  <c r="B586" i="57" s="1"/>
  <c r="B587" i="57" s="1"/>
  <c r="B588" i="57" s="1"/>
  <c r="B589" i="57" s="1"/>
  <c r="B590" i="57" s="1"/>
  <c r="B591" i="57" s="1"/>
  <c r="B592" i="57" s="1"/>
  <c r="B593" i="57" s="1"/>
  <c r="B594" i="57" s="1"/>
  <c r="B595" i="57" s="1"/>
  <c r="B596" i="57" s="1"/>
  <c r="B597" i="57" s="1"/>
  <c r="B598" i="57" s="1"/>
  <c r="B599" i="57" s="1"/>
  <c r="B600" i="57" s="1"/>
  <c r="B601" i="57" s="1"/>
  <c r="B602" i="57" s="1"/>
  <c r="B603" i="57" s="1"/>
  <c r="B604" i="57" s="1"/>
  <c r="B605" i="57" s="1"/>
  <c r="B606" i="57" s="1"/>
  <c r="B607" i="57" s="1"/>
  <c r="B608" i="57" s="1"/>
  <c r="B609" i="57" s="1"/>
  <c r="B610" i="57" s="1"/>
  <c r="B611" i="57" s="1"/>
  <c r="B612" i="57" s="1"/>
  <c r="B613" i="57" s="1"/>
  <c r="B614" i="57" s="1"/>
  <c r="B615" i="57" s="1"/>
  <c r="B616" i="57" s="1"/>
  <c r="B617" i="57" s="1"/>
  <c r="B618" i="57" s="1"/>
  <c r="B619" i="57" s="1"/>
  <c r="B620" i="57" s="1"/>
  <c r="B621" i="57" s="1"/>
  <c r="B622" i="57" s="1"/>
  <c r="B623" i="57" s="1"/>
  <c r="B624" i="57" s="1"/>
  <c r="B625" i="57" s="1"/>
  <c r="B626" i="57" s="1"/>
  <c r="B627" i="57" s="1"/>
  <c r="D558" i="57"/>
  <c r="F558" i="57"/>
  <c r="H558" i="57"/>
  <c r="J558" i="57"/>
  <c r="P558" i="57"/>
  <c r="R558" i="57"/>
  <c r="D559" i="57"/>
  <c r="F559" i="57"/>
  <c r="H559" i="57"/>
  <c r="J559" i="57"/>
  <c r="P559" i="57"/>
  <c r="R559" i="57"/>
  <c r="D560" i="57"/>
  <c r="F560" i="57"/>
  <c r="H560" i="57"/>
  <c r="J560" i="57"/>
  <c r="P560" i="57"/>
  <c r="R560" i="57"/>
  <c r="D561" i="57"/>
  <c r="F561" i="57"/>
  <c r="H561" i="57"/>
  <c r="J561" i="57"/>
  <c r="P561" i="57"/>
  <c r="R561" i="57"/>
  <c r="D562" i="57"/>
  <c r="F562" i="57"/>
  <c r="H562" i="57"/>
  <c r="J562" i="57"/>
  <c r="P562" i="57"/>
  <c r="R562" i="57"/>
  <c r="D563" i="57"/>
  <c r="F563" i="57"/>
  <c r="H563" i="57"/>
  <c r="J563" i="57"/>
  <c r="P563" i="57"/>
  <c r="R563" i="57"/>
  <c r="D564" i="57"/>
  <c r="F564" i="57"/>
  <c r="H564" i="57"/>
  <c r="J564" i="57"/>
  <c r="P564" i="57"/>
  <c r="R564" i="57"/>
  <c r="D565" i="57"/>
  <c r="F565" i="57"/>
  <c r="H565" i="57"/>
  <c r="J565" i="57"/>
  <c r="P565" i="57"/>
  <c r="R565" i="57"/>
  <c r="D566" i="57"/>
  <c r="F566" i="57"/>
  <c r="H566" i="57"/>
  <c r="J566" i="57"/>
  <c r="P566" i="57"/>
  <c r="R566" i="57"/>
  <c r="D567" i="57"/>
  <c r="F567" i="57"/>
  <c r="H567" i="57"/>
  <c r="J567" i="57"/>
  <c r="P567" i="57"/>
  <c r="R567" i="57"/>
  <c r="D568" i="57"/>
  <c r="F568" i="57"/>
  <c r="H568" i="57"/>
  <c r="J568" i="57"/>
  <c r="P568" i="57"/>
  <c r="R568" i="57"/>
  <c r="A558" i="57" l="1"/>
  <c r="A559" i="57"/>
  <c r="A568" i="57"/>
  <c r="A567" i="57"/>
  <c r="A566" i="57"/>
  <c r="A565" i="57"/>
  <c r="A564" i="57"/>
  <c r="A563" i="57"/>
  <c r="A562" i="57"/>
  <c r="A561" i="57"/>
  <c r="A560" i="57"/>
  <c r="A557" i="57"/>
  <c r="L10682" i="7" l="1"/>
  <c r="E10682" i="7"/>
  <c r="E10681" i="7"/>
  <c r="E7624" i="7"/>
  <c r="L10664" i="7" l="1"/>
  <c r="E10694" i="7"/>
  <c r="K10693" i="7"/>
  <c r="L10694" i="7" s="1"/>
  <c r="E10693" i="7"/>
  <c r="E10692" i="7"/>
  <c r="K10691" i="7"/>
  <c r="L10692" i="7" s="1"/>
  <c r="E10691" i="7"/>
  <c r="L10690" i="7"/>
  <c r="E10690" i="7"/>
  <c r="E10689" i="7"/>
  <c r="L10688" i="7"/>
  <c r="E10688" i="7"/>
  <c r="E10687" i="7"/>
  <c r="L10686" i="7"/>
  <c r="E10686" i="7"/>
  <c r="E10685" i="7"/>
  <c r="L10684" i="7"/>
  <c r="E10684" i="7"/>
  <c r="E10683" i="7"/>
  <c r="L10330" i="7"/>
  <c r="E10330" i="7"/>
  <c r="E10329" i="7"/>
  <c r="L10657" i="7"/>
  <c r="E10657" i="7"/>
  <c r="E10656" i="7"/>
  <c r="L10655" i="7"/>
  <c r="E10655" i="7"/>
  <c r="E10654" i="7"/>
  <c r="E10653" i="7"/>
  <c r="E10652" i="7"/>
  <c r="E10651" i="7"/>
  <c r="L10662" i="7"/>
  <c r="E10662" i="7"/>
  <c r="E10661" i="7"/>
  <c r="E10660" i="7"/>
  <c r="E10659" i="7"/>
  <c r="E10658" i="7"/>
  <c r="L10604" i="7"/>
  <c r="E10604" i="7"/>
  <c r="E10603" i="7"/>
  <c r="E10664" i="7"/>
  <c r="E10663" i="7"/>
  <c r="L10602" i="7" l="1"/>
  <c r="E10602" i="7"/>
  <c r="E10601" i="7"/>
  <c r="L10511" i="7"/>
  <c r="E10511" i="7"/>
  <c r="E10510" i="7"/>
  <c r="L10650" i="7"/>
  <c r="E10650" i="7"/>
  <c r="E10649" i="7"/>
  <c r="E10648" i="7"/>
  <c r="E10647" i="7"/>
  <c r="E10646" i="7"/>
  <c r="L10645" i="7" l="1"/>
  <c r="E10645" i="7"/>
  <c r="E10644" i="7"/>
  <c r="E10643" i="7"/>
  <c r="E10642" i="7"/>
  <c r="E10641" i="7"/>
  <c r="L10640" i="7"/>
  <c r="E10640" i="7"/>
  <c r="E10639" i="7"/>
  <c r="E10638" i="7"/>
  <c r="E10637" i="7"/>
  <c r="E10636" i="7"/>
  <c r="R554" i="57" l="1"/>
  <c r="P554" i="57"/>
  <c r="N554" i="57"/>
  <c r="L554" i="57"/>
  <c r="J554" i="57"/>
  <c r="H554" i="57"/>
  <c r="F554" i="57"/>
  <c r="D554" i="57"/>
  <c r="R553" i="57"/>
  <c r="P553" i="57"/>
  <c r="N553" i="57"/>
  <c r="L553" i="57"/>
  <c r="J553" i="57"/>
  <c r="H553" i="57"/>
  <c r="F553" i="57"/>
  <c r="D553" i="57"/>
  <c r="E10680" i="7"/>
  <c r="K10679" i="7"/>
  <c r="L10680" i="7" s="1"/>
  <c r="E10679" i="7"/>
  <c r="E10678" i="7"/>
  <c r="K10677" i="7"/>
  <c r="L10678" i="7" s="1"/>
  <c r="E10677" i="7"/>
  <c r="L10676" i="7"/>
  <c r="E10676" i="7"/>
  <c r="E10675" i="7"/>
  <c r="L10674" i="7"/>
  <c r="E10674" i="7"/>
  <c r="E10673" i="7"/>
  <c r="L10672" i="7"/>
  <c r="E10672" i="7"/>
  <c r="E10671" i="7"/>
  <c r="L10670" i="7"/>
  <c r="E10670" i="7"/>
  <c r="E10669" i="7"/>
  <c r="L10668" i="7"/>
  <c r="E10668" i="7"/>
  <c r="E10667" i="7"/>
  <c r="L10666" i="7"/>
  <c r="E10666" i="7"/>
  <c r="E10665" i="7"/>
  <c r="E10635" i="7"/>
  <c r="E10634" i="7"/>
  <c r="E10633" i="7"/>
  <c r="E10632" i="7"/>
  <c r="E10631" i="7"/>
  <c r="A554" i="57" l="1"/>
  <c r="A553" i="57"/>
  <c r="L10630" i="7" l="1"/>
  <c r="E10630" i="7"/>
  <c r="E10629" i="7"/>
  <c r="L10628" i="7"/>
  <c r="E10628" i="7"/>
  <c r="E10627" i="7"/>
  <c r="E10623" i="7"/>
  <c r="E10622" i="7"/>
  <c r="E10621" i="7"/>
  <c r="E10626" i="7"/>
  <c r="E10625" i="7"/>
  <c r="E10624" i="7"/>
  <c r="E10620" i="7" l="1"/>
  <c r="K10619" i="7"/>
  <c r="L10620" i="7" s="1"/>
  <c r="E10619" i="7"/>
  <c r="E10618" i="7"/>
  <c r="K10617" i="7"/>
  <c r="L10618" i="7" s="1"/>
  <c r="E10617" i="7"/>
  <c r="L10616" i="7"/>
  <c r="E10616" i="7"/>
  <c r="E10615" i="7"/>
  <c r="L10614" i="7"/>
  <c r="E10614" i="7"/>
  <c r="E10613" i="7"/>
  <c r="L10612" i="7"/>
  <c r="E10612" i="7"/>
  <c r="E10611" i="7"/>
  <c r="L10610" i="7"/>
  <c r="E10610" i="7"/>
  <c r="E10609" i="7"/>
  <c r="L10608" i="7"/>
  <c r="E10608" i="7"/>
  <c r="E10607" i="7"/>
  <c r="L10606" i="7"/>
  <c r="E10606" i="7"/>
  <c r="E10605" i="7"/>
  <c r="L10600" i="7"/>
  <c r="E10600" i="7"/>
  <c r="E10599" i="7"/>
  <c r="L10598" i="7"/>
  <c r="E10598" i="7"/>
  <c r="E10597" i="7"/>
  <c r="E10596" i="7" l="1"/>
  <c r="E10595" i="7"/>
  <c r="E10594" i="7"/>
  <c r="E10593" i="7"/>
  <c r="E10592" i="7"/>
  <c r="E10591" i="7"/>
  <c r="E10590" i="7"/>
  <c r="E10589" i="7"/>
  <c r="K10587" i="7" l="1"/>
  <c r="L10588" i="7" s="1"/>
  <c r="E10588" i="7"/>
  <c r="E10587" i="7"/>
  <c r="E10586" i="7"/>
  <c r="K10585" i="7"/>
  <c r="L10586" i="7" s="1"/>
  <c r="E10585" i="7"/>
  <c r="L10584" i="7"/>
  <c r="E10584" i="7"/>
  <c r="E10583" i="7"/>
  <c r="L10582" i="7"/>
  <c r="E10582" i="7"/>
  <c r="E10581" i="7"/>
  <c r="L10580" i="7"/>
  <c r="E10580" i="7"/>
  <c r="E10579" i="7"/>
  <c r="L10578" i="7"/>
  <c r="E10578" i="7"/>
  <c r="E10577" i="7"/>
  <c r="L10576" i="7"/>
  <c r="E10576" i="7"/>
  <c r="E10575" i="7"/>
  <c r="L10574" i="7"/>
  <c r="E10574" i="7"/>
  <c r="E10573" i="7"/>
  <c r="E10572" i="7"/>
  <c r="E10571" i="7"/>
  <c r="E10570" i="7"/>
  <c r="E10569" i="7"/>
  <c r="E10568" i="7"/>
  <c r="R552" i="57" l="1"/>
  <c r="P552" i="57"/>
  <c r="N552" i="57"/>
  <c r="L552" i="57"/>
  <c r="J552" i="57"/>
  <c r="H552" i="57"/>
  <c r="F552" i="57"/>
  <c r="D552" i="57"/>
  <c r="R551" i="57"/>
  <c r="P551" i="57"/>
  <c r="N551" i="57"/>
  <c r="L551" i="57"/>
  <c r="J551" i="57"/>
  <c r="H551" i="57"/>
  <c r="F551" i="57"/>
  <c r="D551" i="57"/>
  <c r="R550" i="57"/>
  <c r="P550" i="57"/>
  <c r="N550" i="57"/>
  <c r="L550" i="57"/>
  <c r="J550" i="57"/>
  <c r="H550" i="57"/>
  <c r="F550" i="57"/>
  <c r="D550" i="57"/>
  <c r="R549" i="57"/>
  <c r="P549" i="57"/>
  <c r="N549" i="57"/>
  <c r="L549" i="57"/>
  <c r="J549" i="57"/>
  <c r="H549" i="57"/>
  <c r="F549" i="57"/>
  <c r="D549" i="57"/>
  <c r="L10567" i="7"/>
  <c r="E10567" i="7"/>
  <c r="E10566" i="7"/>
  <c r="L10272" i="7"/>
  <c r="E10272" i="7"/>
  <c r="E10271" i="7"/>
  <c r="E9629" i="7"/>
  <c r="E9628" i="7"/>
  <c r="E9627" i="7"/>
  <c r="E9626" i="7"/>
  <c r="E10539" i="7"/>
  <c r="E10538" i="7"/>
  <c r="E10537" i="7"/>
  <c r="E10565" i="7"/>
  <c r="E10564" i="7"/>
  <c r="E10563" i="7"/>
  <c r="E10562" i="7"/>
  <c r="E10561" i="7"/>
  <c r="E10560" i="7"/>
  <c r="A550" i="57" l="1"/>
  <c r="A551" i="57"/>
  <c r="A549" i="57"/>
  <c r="A552" i="57"/>
  <c r="R548" i="57"/>
  <c r="P548" i="57"/>
  <c r="N548" i="57"/>
  <c r="L548" i="57"/>
  <c r="J548" i="57"/>
  <c r="H548" i="57"/>
  <c r="F548" i="57"/>
  <c r="D548" i="57"/>
  <c r="E10559" i="7"/>
  <c r="K10558" i="7"/>
  <c r="L10559" i="7" s="1"/>
  <c r="E10558" i="7"/>
  <c r="E10557" i="7"/>
  <c r="K10556" i="7"/>
  <c r="L10557" i="7" s="1"/>
  <c r="E10556" i="7"/>
  <c r="L10555" i="7"/>
  <c r="E10555" i="7"/>
  <c r="E10554" i="7"/>
  <c r="L10553" i="7"/>
  <c r="E10553" i="7"/>
  <c r="E10552" i="7"/>
  <c r="L10551" i="7"/>
  <c r="E10551" i="7"/>
  <c r="E10550" i="7"/>
  <c r="L10549" i="7"/>
  <c r="E10549" i="7"/>
  <c r="E10548" i="7"/>
  <c r="L10547" i="7"/>
  <c r="E10547" i="7"/>
  <c r="E10546" i="7"/>
  <c r="L10545" i="7"/>
  <c r="E10545" i="7"/>
  <c r="E10544" i="7"/>
  <c r="L10543" i="7"/>
  <c r="E10543" i="7"/>
  <c r="E10542" i="7"/>
  <c r="L10541" i="7"/>
  <c r="E10541" i="7"/>
  <c r="E10540" i="7"/>
  <c r="E10536" i="7"/>
  <c r="E10535" i="7"/>
  <c r="E10534" i="7"/>
  <c r="E10533" i="7"/>
  <c r="E10532" i="7"/>
  <c r="A548" i="57" l="1"/>
  <c r="L10509" i="7"/>
  <c r="E10509" i="7"/>
  <c r="E10508" i="7"/>
  <c r="R547" i="57" l="1"/>
  <c r="P547" i="57"/>
  <c r="N547" i="57"/>
  <c r="L547" i="57"/>
  <c r="J547" i="57"/>
  <c r="H547" i="57"/>
  <c r="F547" i="57"/>
  <c r="D547" i="57"/>
  <c r="E10531" i="7"/>
  <c r="K10530" i="7"/>
  <c r="L10531" i="7" s="1"/>
  <c r="E10530" i="7"/>
  <c r="E10529" i="7"/>
  <c r="K10528" i="7"/>
  <c r="L10529" i="7" s="1"/>
  <c r="E10528" i="7"/>
  <c r="L10527" i="7"/>
  <c r="E10527" i="7"/>
  <c r="E10526" i="7"/>
  <c r="L10525" i="7"/>
  <c r="E10525" i="7"/>
  <c r="E10524" i="7"/>
  <c r="L10523" i="7"/>
  <c r="E10523" i="7"/>
  <c r="E10522" i="7"/>
  <c r="L10521" i="7"/>
  <c r="E10521" i="7"/>
  <c r="E10520" i="7"/>
  <c r="L10519" i="7"/>
  <c r="E10519" i="7"/>
  <c r="E10518" i="7"/>
  <c r="L10517" i="7"/>
  <c r="E10517" i="7"/>
  <c r="E10516" i="7"/>
  <c r="L10515" i="7"/>
  <c r="E10515" i="7"/>
  <c r="E10514" i="7"/>
  <c r="L10513" i="7"/>
  <c r="E10513" i="7"/>
  <c r="E10512" i="7"/>
  <c r="E10507" i="7"/>
  <c r="E10506" i="7"/>
  <c r="E10505" i="7"/>
  <c r="E10504" i="7"/>
  <c r="E10503" i="7"/>
  <c r="A547" i="57" l="1"/>
  <c r="E10502" i="7"/>
  <c r="E10501" i="7"/>
  <c r="E10500" i="7"/>
  <c r="E10499" i="7" l="1"/>
  <c r="E10498" i="7"/>
  <c r="E10497" i="7"/>
  <c r="R546" i="57"/>
  <c r="P546" i="57"/>
  <c r="N546" i="57"/>
  <c r="L546" i="57"/>
  <c r="J546" i="57"/>
  <c r="H546" i="57"/>
  <c r="F546" i="57"/>
  <c r="D546" i="57"/>
  <c r="A546" i="57" l="1"/>
  <c r="E10476" i="7"/>
  <c r="E10475" i="7"/>
  <c r="E10474" i="7"/>
  <c r="E10473" i="7"/>
  <c r="E10472" i="7"/>
  <c r="E10496" i="7"/>
  <c r="K10495" i="7"/>
  <c r="L10496" i="7" s="1"/>
  <c r="E10495" i="7"/>
  <c r="E10494" i="7"/>
  <c r="K10493" i="7"/>
  <c r="L10494" i="7" s="1"/>
  <c r="E10493" i="7"/>
  <c r="L10492" i="7"/>
  <c r="E10492" i="7"/>
  <c r="E10491" i="7"/>
  <c r="L10490" i="7"/>
  <c r="E10490" i="7"/>
  <c r="E10489" i="7"/>
  <c r="L10488" i="7"/>
  <c r="E10488" i="7"/>
  <c r="E10487" i="7"/>
  <c r="L10486" i="7"/>
  <c r="E10486" i="7"/>
  <c r="E10485" i="7"/>
  <c r="L10484" i="7"/>
  <c r="E10484" i="7"/>
  <c r="E10483" i="7"/>
  <c r="L10482" i="7"/>
  <c r="E10482" i="7"/>
  <c r="E10481" i="7"/>
  <c r="L10480" i="7"/>
  <c r="E10480" i="7"/>
  <c r="E10479" i="7"/>
  <c r="L10478" i="7"/>
  <c r="E10478" i="7"/>
  <c r="E10477" i="7"/>
  <c r="E10421" i="7"/>
  <c r="E10420" i="7"/>
  <c r="E10471" i="7"/>
  <c r="E10470" i="7"/>
  <c r="E10469" i="7"/>
  <c r="E10468" i="7"/>
  <c r="E10467" i="7"/>
  <c r="E10466" i="7"/>
  <c r="L10462" i="7"/>
  <c r="E10462" i="7"/>
  <c r="E10461" i="7"/>
  <c r="L10460" i="7"/>
  <c r="E10460" i="7"/>
  <c r="E10459" i="7"/>
  <c r="L10458" i="7"/>
  <c r="E10458" i="7"/>
  <c r="E10457" i="7"/>
  <c r="L10453" i="7"/>
  <c r="E10453" i="7"/>
  <c r="E10452" i="7"/>
  <c r="L10431" i="7"/>
  <c r="E10431" i="7"/>
  <c r="E10430" i="7"/>
  <c r="E10456" i="7"/>
  <c r="E10455" i="7"/>
  <c r="E10454" i="7"/>
  <c r="R545" i="57" l="1"/>
  <c r="P545" i="57"/>
  <c r="N545" i="57"/>
  <c r="L545" i="57"/>
  <c r="J545" i="57"/>
  <c r="H545" i="57"/>
  <c r="F545" i="57"/>
  <c r="D545" i="57"/>
  <c r="R544" i="57"/>
  <c r="P544" i="57"/>
  <c r="N544" i="57"/>
  <c r="L544" i="57"/>
  <c r="J544" i="57"/>
  <c r="H544" i="57"/>
  <c r="F544" i="57"/>
  <c r="D544" i="57"/>
  <c r="R543" i="57"/>
  <c r="P543" i="57"/>
  <c r="N543" i="57"/>
  <c r="L543" i="57"/>
  <c r="J543" i="57"/>
  <c r="H543" i="57"/>
  <c r="F543" i="57"/>
  <c r="D543" i="57"/>
  <c r="A545" i="57" l="1"/>
  <c r="A544" i="57"/>
  <c r="A543" i="57"/>
  <c r="E10451" i="7"/>
  <c r="K10450" i="7"/>
  <c r="L10451" i="7" s="1"/>
  <c r="E10450" i="7"/>
  <c r="E10449" i="7"/>
  <c r="K10448" i="7"/>
  <c r="L10449" i="7" s="1"/>
  <c r="E10448" i="7"/>
  <c r="L10447" i="7"/>
  <c r="E10447" i="7"/>
  <c r="E10446" i="7"/>
  <c r="L10445" i="7"/>
  <c r="E10445" i="7"/>
  <c r="E10444" i="7"/>
  <c r="E10443" i="7"/>
  <c r="E10442" i="7"/>
  <c r="L10441" i="7"/>
  <c r="E10441" i="7"/>
  <c r="E10440" i="7"/>
  <c r="L10439" i="7"/>
  <c r="E10439" i="7"/>
  <c r="E10438" i="7"/>
  <c r="L10437" i="7"/>
  <c r="E10437" i="7"/>
  <c r="E10436" i="7"/>
  <c r="L10435" i="7"/>
  <c r="E10435" i="7"/>
  <c r="E10434" i="7"/>
  <c r="L10433" i="7"/>
  <c r="E10433" i="7"/>
  <c r="E10432" i="7"/>
  <c r="E10429" i="7"/>
  <c r="E10428" i="7"/>
  <c r="E10427" i="7"/>
  <c r="E10426" i="7"/>
  <c r="E10425" i="7"/>
  <c r="E10424" i="7"/>
  <c r="E10423" i="7"/>
  <c r="E10422" i="7"/>
  <c r="L10419" i="7" l="1"/>
  <c r="E10419" i="7"/>
  <c r="E10418" i="7"/>
  <c r="L10397" i="7"/>
  <c r="E10397" i="7"/>
  <c r="E10396" i="7"/>
  <c r="E10395" i="7"/>
  <c r="E10394" i="7"/>
  <c r="E10393" i="7"/>
  <c r="E10392" i="7"/>
  <c r="R542" i="57"/>
  <c r="P542" i="57"/>
  <c r="N542" i="57"/>
  <c r="L542" i="57"/>
  <c r="J542" i="57"/>
  <c r="H542" i="57"/>
  <c r="F542" i="57"/>
  <c r="D542" i="57"/>
  <c r="E10417" i="7"/>
  <c r="K10416" i="7"/>
  <c r="L10417" i="7" s="1"/>
  <c r="E10416" i="7"/>
  <c r="E10415" i="7"/>
  <c r="K10414" i="7"/>
  <c r="L10415" i="7" s="1"/>
  <c r="E10414" i="7"/>
  <c r="L10413" i="7"/>
  <c r="E10413" i="7"/>
  <c r="E10412" i="7"/>
  <c r="L10411" i="7"/>
  <c r="E10411" i="7"/>
  <c r="E10410" i="7"/>
  <c r="L10409" i="7"/>
  <c r="E10409" i="7"/>
  <c r="E10408" i="7"/>
  <c r="L10407" i="7"/>
  <c r="E10407" i="7"/>
  <c r="E10406" i="7"/>
  <c r="L10405" i="7"/>
  <c r="E10405" i="7"/>
  <c r="E10404" i="7"/>
  <c r="L10403" i="7"/>
  <c r="E10403" i="7"/>
  <c r="E10402" i="7"/>
  <c r="L10401" i="7"/>
  <c r="E10401" i="7"/>
  <c r="E10400" i="7"/>
  <c r="L10399" i="7"/>
  <c r="E10399" i="7"/>
  <c r="E10398" i="7"/>
  <c r="E10391" i="7"/>
  <c r="E10390" i="7"/>
  <c r="E10389" i="7"/>
  <c r="E10388" i="7"/>
  <c r="E10387" i="7"/>
  <c r="A542" i="57" l="1"/>
  <c r="L10386" i="7"/>
  <c r="E10386" i="7"/>
  <c r="E10385" i="7"/>
  <c r="E10384" i="7"/>
  <c r="E10383" i="7"/>
  <c r="E10382" i="7"/>
  <c r="E10358" i="7"/>
  <c r="E10357" i="7"/>
  <c r="E10356" i="7"/>
  <c r="E10381" i="7"/>
  <c r="E10380" i="7"/>
  <c r="E10379" i="7"/>
  <c r="R541" i="57" l="1"/>
  <c r="P541" i="57"/>
  <c r="N541" i="57"/>
  <c r="L541" i="57"/>
  <c r="J541" i="57"/>
  <c r="H541" i="57"/>
  <c r="F541" i="57"/>
  <c r="D541" i="57"/>
  <c r="R540" i="57"/>
  <c r="P540" i="57"/>
  <c r="N540" i="57"/>
  <c r="L540" i="57"/>
  <c r="J540" i="57"/>
  <c r="H540" i="57"/>
  <c r="F540" i="57"/>
  <c r="D540" i="57"/>
  <c r="E10378" i="7"/>
  <c r="K10377" i="7"/>
  <c r="L10378" i="7" s="1"/>
  <c r="E10377" i="7"/>
  <c r="E10376" i="7"/>
  <c r="K10375" i="7"/>
  <c r="L10376" i="7" s="1"/>
  <c r="E10375" i="7"/>
  <c r="L10374" i="7"/>
  <c r="E10374" i="7"/>
  <c r="E10373" i="7"/>
  <c r="L10372" i="7"/>
  <c r="E10372" i="7"/>
  <c r="E10371" i="7"/>
  <c r="L10370" i="7"/>
  <c r="E10370" i="7"/>
  <c r="E10369" i="7"/>
  <c r="L10368" i="7"/>
  <c r="E10368" i="7"/>
  <c r="E10367" i="7"/>
  <c r="L10366" i="7"/>
  <c r="E10366" i="7"/>
  <c r="E10365" i="7"/>
  <c r="L10364" i="7"/>
  <c r="E10364" i="7"/>
  <c r="E10363" i="7"/>
  <c r="L10362" i="7"/>
  <c r="E10362" i="7"/>
  <c r="E10361" i="7"/>
  <c r="L10360" i="7"/>
  <c r="E10360" i="7"/>
  <c r="E10359" i="7"/>
  <c r="A541" i="57" l="1"/>
  <c r="A540" i="57"/>
  <c r="E10355" i="7"/>
  <c r="E10354" i="7"/>
  <c r="E10353" i="7"/>
  <c r="E10352" i="7"/>
  <c r="E10351" i="7"/>
  <c r="E10465" i="7"/>
  <c r="E10464" i="7"/>
  <c r="E10463" i="7"/>
  <c r="R539" i="57"/>
  <c r="P539" i="57"/>
  <c r="N539" i="57"/>
  <c r="L539" i="57"/>
  <c r="J539" i="57"/>
  <c r="H539" i="57"/>
  <c r="F539" i="57"/>
  <c r="D539" i="57"/>
  <c r="E10350" i="7"/>
  <c r="K10349" i="7"/>
  <c r="L10350" i="7" s="1"/>
  <c r="E10349" i="7"/>
  <c r="E10348" i="7"/>
  <c r="K10347" i="7"/>
  <c r="L10348" i="7" s="1"/>
  <c r="E10347" i="7"/>
  <c r="L10346" i="7"/>
  <c r="E10346" i="7"/>
  <c r="E10345" i="7"/>
  <c r="L10344" i="7"/>
  <c r="E10344" i="7"/>
  <c r="E10343" i="7"/>
  <c r="L10342" i="7"/>
  <c r="E10342" i="7"/>
  <c r="E10341" i="7"/>
  <c r="L10340" i="7"/>
  <c r="E10340" i="7"/>
  <c r="E10339" i="7"/>
  <c r="L10338" i="7"/>
  <c r="E10338" i="7"/>
  <c r="E10337" i="7"/>
  <c r="L10336" i="7"/>
  <c r="E10336" i="7"/>
  <c r="E10335" i="7"/>
  <c r="L10334" i="7"/>
  <c r="E10334" i="7"/>
  <c r="E10333" i="7"/>
  <c r="L10332" i="7"/>
  <c r="E10332" i="7"/>
  <c r="E10331" i="7"/>
  <c r="A539" i="57" l="1"/>
  <c r="E10328" i="7" l="1"/>
  <c r="E10327" i="7"/>
  <c r="E10326" i="7"/>
  <c r="E10325" i="7"/>
  <c r="E10324" i="7"/>
  <c r="L10323" i="7"/>
  <c r="E10323" i="7"/>
  <c r="E10322" i="7"/>
  <c r="L10321" i="7"/>
  <c r="E10321" i="7"/>
  <c r="E10320" i="7"/>
  <c r="L10319" i="7"/>
  <c r="E10319" i="7"/>
  <c r="E10318" i="7"/>
  <c r="E10317" i="7"/>
  <c r="K10316" i="7"/>
  <c r="L10317" i="7" s="1"/>
  <c r="E10316" i="7"/>
  <c r="E10315" i="7"/>
  <c r="K10314" i="7"/>
  <c r="L10315" i="7" s="1"/>
  <c r="E10314" i="7"/>
  <c r="L10313" i="7"/>
  <c r="E10313" i="7"/>
  <c r="E10312" i="7"/>
  <c r="L10311" i="7"/>
  <c r="E10311" i="7"/>
  <c r="E10310" i="7"/>
  <c r="L10309" i="7"/>
  <c r="E10309" i="7"/>
  <c r="E10308" i="7"/>
  <c r="L10307" i="7"/>
  <c r="E10307" i="7"/>
  <c r="E10306" i="7"/>
  <c r="L10305" i="7"/>
  <c r="E10305" i="7"/>
  <c r="E10304" i="7"/>
  <c r="L10303" i="7"/>
  <c r="E10303" i="7"/>
  <c r="E10302" i="7"/>
  <c r="L10301" i="7"/>
  <c r="E10301" i="7"/>
  <c r="E10300" i="7"/>
  <c r="L10299" i="7"/>
  <c r="E10299" i="7"/>
  <c r="E10298" i="7"/>
  <c r="R538" i="57"/>
  <c r="P538" i="57"/>
  <c r="N538" i="57"/>
  <c r="L538" i="57"/>
  <c r="J538" i="57"/>
  <c r="H538" i="57"/>
  <c r="F538" i="57"/>
  <c r="D538" i="57"/>
  <c r="E10297" i="7"/>
  <c r="E10296" i="7"/>
  <c r="E10295" i="7"/>
  <c r="E10294" i="7"/>
  <c r="E10293" i="7"/>
  <c r="A538" i="57" l="1"/>
  <c r="L10263" i="7" l="1"/>
  <c r="E10263" i="7"/>
  <c r="E10262" i="7"/>
  <c r="K10291" i="7"/>
  <c r="L10292" i="7" s="1"/>
  <c r="R537" i="57"/>
  <c r="P537" i="57"/>
  <c r="N537" i="57"/>
  <c r="L537" i="57"/>
  <c r="J537" i="57"/>
  <c r="H537" i="57"/>
  <c r="F537" i="57"/>
  <c r="D537" i="57"/>
  <c r="R536" i="57"/>
  <c r="P536" i="57"/>
  <c r="N536" i="57"/>
  <c r="L536" i="57"/>
  <c r="J536" i="57"/>
  <c r="H536" i="57"/>
  <c r="F536" i="57"/>
  <c r="D536" i="57"/>
  <c r="R535" i="57"/>
  <c r="P535" i="57"/>
  <c r="N535" i="57"/>
  <c r="L535" i="57"/>
  <c r="J535" i="57"/>
  <c r="H535" i="57"/>
  <c r="F535" i="57"/>
  <c r="D535" i="57"/>
  <c r="E10292" i="7"/>
  <c r="E10291" i="7"/>
  <c r="E10290" i="7"/>
  <c r="K10289" i="7"/>
  <c r="L10290" i="7" s="1"/>
  <c r="E10289" i="7"/>
  <c r="L10288" i="7"/>
  <c r="E10288" i="7"/>
  <c r="E10287" i="7"/>
  <c r="L10286" i="7"/>
  <c r="E10286" i="7"/>
  <c r="E10285" i="7"/>
  <c r="L10284" i="7"/>
  <c r="E10284" i="7"/>
  <c r="E10283" i="7"/>
  <c r="L10282" i="7"/>
  <c r="E10282" i="7"/>
  <c r="E10281" i="7"/>
  <c r="L10280" i="7"/>
  <c r="E10280" i="7"/>
  <c r="E10279" i="7"/>
  <c r="L10278" i="7"/>
  <c r="E10278" i="7"/>
  <c r="E10277" i="7"/>
  <c r="L10276" i="7"/>
  <c r="E10276" i="7"/>
  <c r="E10275" i="7"/>
  <c r="L10274" i="7"/>
  <c r="E10274" i="7"/>
  <c r="E10273" i="7"/>
  <c r="A536" i="57" l="1"/>
  <c r="A537" i="57"/>
  <c r="A535" i="57"/>
  <c r="E10270" i="7" l="1"/>
  <c r="E10269" i="7"/>
  <c r="E10268" i="7"/>
  <c r="E10267" i="7"/>
  <c r="E10266" i="7"/>
  <c r="E10257" i="7" l="1"/>
  <c r="E10256" i="7"/>
  <c r="E10255" i="7"/>
  <c r="L10265" i="7" l="1"/>
  <c r="E10265" i="7"/>
  <c r="E10264" i="7"/>
  <c r="L10234" i="7"/>
  <c r="E10234" i="7"/>
  <c r="E10233" i="7"/>
  <c r="L10261" i="7"/>
  <c r="E10261" i="7"/>
  <c r="E10260" i="7"/>
  <c r="L10259" i="7"/>
  <c r="E10259" i="7"/>
  <c r="E10258" i="7"/>
  <c r="L10227" i="7"/>
  <c r="E10227" i="7"/>
  <c r="E10226" i="7"/>
  <c r="R534" i="57"/>
  <c r="P534" i="57"/>
  <c r="N534" i="57"/>
  <c r="L534" i="57"/>
  <c r="J534" i="57"/>
  <c r="H534" i="57"/>
  <c r="F534" i="57"/>
  <c r="D534" i="57"/>
  <c r="E10254" i="7"/>
  <c r="K10253" i="7"/>
  <c r="L10254" i="7" s="1"/>
  <c r="E10253" i="7"/>
  <c r="E10252" i="7"/>
  <c r="K10251" i="7"/>
  <c r="L10252" i="7" s="1"/>
  <c r="E10251" i="7"/>
  <c r="L10250" i="7"/>
  <c r="E10250" i="7"/>
  <c r="E10249" i="7"/>
  <c r="L10248" i="7"/>
  <c r="E10248" i="7"/>
  <c r="E10247" i="7"/>
  <c r="L10246" i="7"/>
  <c r="E10246" i="7"/>
  <c r="E10245" i="7"/>
  <c r="L10244" i="7"/>
  <c r="E10244" i="7"/>
  <c r="E10243" i="7"/>
  <c r="L10242" i="7"/>
  <c r="E10242" i="7"/>
  <c r="E10241" i="7"/>
  <c r="L10240" i="7"/>
  <c r="E10240" i="7"/>
  <c r="M10239" i="7"/>
  <c r="E10239" i="7"/>
  <c r="L10238" i="7"/>
  <c r="E10238" i="7"/>
  <c r="M10237" i="7"/>
  <c r="E10237" i="7"/>
  <c r="L10236" i="7"/>
  <c r="E10236" i="7"/>
  <c r="M10235" i="7"/>
  <c r="E10235" i="7"/>
  <c r="E10232" i="7"/>
  <c r="E10231" i="7"/>
  <c r="E10230" i="7"/>
  <c r="E10229" i="7"/>
  <c r="E10228" i="7"/>
  <c r="A534" i="57" l="1"/>
  <c r="E10225" i="7"/>
  <c r="E10224" i="7"/>
  <c r="E10223" i="7"/>
  <c r="R533" i="57"/>
  <c r="P533" i="57"/>
  <c r="N533" i="57"/>
  <c r="L533" i="57"/>
  <c r="J533" i="57"/>
  <c r="H533" i="57"/>
  <c r="F533" i="57"/>
  <c r="D533" i="57"/>
  <c r="E10202" i="7"/>
  <c r="E10201" i="7"/>
  <c r="E10200" i="7"/>
  <c r="E10199" i="7"/>
  <c r="E10198" i="7"/>
  <c r="E10197" i="7"/>
  <c r="E10196" i="7"/>
  <c r="E10195" i="7"/>
  <c r="E10194" i="7"/>
  <c r="E10193" i="7"/>
  <c r="A533" i="57" l="1"/>
  <c r="E10222" i="7"/>
  <c r="K10221" i="7"/>
  <c r="L10222" i="7" s="1"/>
  <c r="E10221" i="7"/>
  <c r="E10220" i="7"/>
  <c r="K10219" i="7"/>
  <c r="L10220" i="7" s="1"/>
  <c r="E10219" i="7"/>
  <c r="L10218" i="7"/>
  <c r="E10218" i="7"/>
  <c r="E10217" i="7"/>
  <c r="L10216" i="7"/>
  <c r="E10216" i="7"/>
  <c r="E10215" i="7"/>
  <c r="L10214" i="7"/>
  <c r="E10214" i="7"/>
  <c r="E10213" i="7"/>
  <c r="L10212" i="7"/>
  <c r="E10212" i="7"/>
  <c r="E10211" i="7"/>
  <c r="L10210" i="7"/>
  <c r="E10210" i="7"/>
  <c r="E10209" i="7"/>
  <c r="L10208" i="7"/>
  <c r="E10208" i="7"/>
  <c r="M10207" i="7"/>
  <c r="E10207" i="7"/>
  <c r="L10206" i="7"/>
  <c r="E10206" i="7"/>
  <c r="M10205" i="7"/>
  <c r="E10205" i="7"/>
  <c r="L10204" i="7"/>
  <c r="E10204" i="7"/>
  <c r="M10203" i="7"/>
  <c r="E10203" i="7"/>
  <c r="L10141" i="7"/>
  <c r="E10141" i="7"/>
  <c r="E10140" i="7"/>
  <c r="E10172" i="7"/>
  <c r="E10171" i="7"/>
  <c r="E10170" i="7"/>
  <c r="E10169" i="7"/>
  <c r="E10168" i="7"/>
  <c r="R532" i="57" l="1"/>
  <c r="P532" i="57"/>
  <c r="N532" i="57"/>
  <c r="L532" i="57"/>
  <c r="J532" i="57"/>
  <c r="H532" i="57"/>
  <c r="F532" i="57"/>
  <c r="D532" i="57"/>
  <c r="E10192" i="7"/>
  <c r="K10191" i="7"/>
  <c r="L10192" i="7" s="1"/>
  <c r="E10191" i="7"/>
  <c r="E10190" i="7"/>
  <c r="K10189" i="7"/>
  <c r="L10190" i="7" s="1"/>
  <c r="E10189" i="7"/>
  <c r="L10188" i="7"/>
  <c r="E10188" i="7"/>
  <c r="E10187" i="7"/>
  <c r="E10186" i="7"/>
  <c r="E10185" i="7"/>
  <c r="L10184" i="7"/>
  <c r="E10184" i="7"/>
  <c r="E10183" i="7"/>
  <c r="L10182" i="7"/>
  <c r="E10182" i="7"/>
  <c r="E10181" i="7"/>
  <c r="L10180" i="7"/>
  <c r="E10180" i="7"/>
  <c r="E10179" i="7"/>
  <c r="L10178" i="7"/>
  <c r="E10178" i="7"/>
  <c r="M10177" i="7"/>
  <c r="E10177" i="7"/>
  <c r="L10176" i="7"/>
  <c r="E10176" i="7"/>
  <c r="M10175" i="7"/>
  <c r="E10175" i="7"/>
  <c r="L10174" i="7"/>
  <c r="E10174" i="7"/>
  <c r="M10173" i="7"/>
  <c r="E10173" i="7"/>
  <c r="E10139" i="7"/>
  <c r="E10138" i="7"/>
  <c r="E10137" i="7"/>
  <c r="A532" i="57" l="1"/>
  <c r="L10167" i="7"/>
  <c r="E10167" i="7"/>
  <c r="E10166" i="7"/>
  <c r="L10165" i="7"/>
  <c r="E10165" i="7"/>
  <c r="E10164" i="7"/>
  <c r="L10163" i="7"/>
  <c r="E10163" i="7"/>
  <c r="E10162" i="7"/>
  <c r="E10161" i="7"/>
  <c r="K10160" i="7"/>
  <c r="L10161" i="7" s="1"/>
  <c r="E10160" i="7"/>
  <c r="E10159" i="7"/>
  <c r="K10158" i="7"/>
  <c r="L10159" i="7" s="1"/>
  <c r="E10158" i="7"/>
  <c r="L10157" i="7"/>
  <c r="E10157" i="7"/>
  <c r="E10156" i="7"/>
  <c r="L10155" i="7"/>
  <c r="E10155" i="7"/>
  <c r="E10154" i="7"/>
  <c r="L10153" i="7"/>
  <c r="E10153" i="7"/>
  <c r="E10152" i="7"/>
  <c r="L10151" i="7"/>
  <c r="E10151" i="7"/>
  <c r="E10150" i="7"/>
  <c r="L10149" i="7"/>
  <c r="E10149" i="7"/>
  <c r="E10148" i="7"/>
  <c r="L10147" i="7"/>
  <c r="E10147" i="7"/>
  <c r="E10146" i="7"/>
  <c r="L10145" i="7"/>
  <c r="E10145" i="7"/>
  <c r="E10144" i="7"/>
  <c r="L10143" i="7"/>
  <c r="E10143" i="7"/>
  <c r="E10142" i="7"/>
  <c r="E10136" i="7"/>
  <c r="E10135" i="7"/>
  <c r="E10134" i="7"/>
  <c r="R531" i="57" l="1"/>
  <c r="P531" i="57"/>
  <c r="N531" i="57"/>
  <c r="L531" i="57"/>
  <c r="J531" i="57"/>
  <c r="H531" i="57"/>
  <c r="F531" i="57"/>
  <c r="D531" i="57"/>
  <c r="R530" i="57"/>
  <c r="P530" i="57"/>
  <c r="N530" i="57"/>
  <c r="L530" i="57"/>
  <c r="J530" i="57"/>
  <c r="H530" i="57"/>
  <c r="F530" i="57"/>
  <c r="D530" i="57"/>
  <c r="R529" i="57"/>
  <c r="P529" i="57"/>
  <c r="N529" i="57"/>
  <c r="L529" i="57"/>
  <c r="J529" i="57"/>
  <c r="H529" i="57"/>
  <c r="F529" i="57"/>
  <c r="D529" i="57"/>
  <c r="L10129" i="7"/>
  <c r="E10129" i="7"/>
  <c r="E10128" i="7"/>
  <c r="E10130" i="7"/>
  <c r="L10131" i="7"/>
  <c r="E10131" i="7"/>
  <c r="L10133" i="7"/>
  <c r="E10133" i="7"/>
  <c r="E10132" i="7"/>
  <c r="L10127" i="7"/>
  <c r="E10127" i="7"/>
  <c r="E10126" i="7"/>
  <c r="R528" i="57"/>
  <c r="P528" i="57"/>
  <c r="N528" i="57"/>
  <c r="L528" i="57"/>
  <c r="J528" i="57"/>
  <c r="H528" i="57"/>
  <c r="F528" i="57"/>
  <c r="D528" i="57"/>
  <c r="E10125" i="7"/>
  <c r="K10124" i="7"/>
  <c r="L10125" i="7" s="1"/>
  <c r="E10124" i="7"/>
  <c r="E10123" i="7"/>
  <c r="K10122" i="7"/>
  <c r="L10123" i="7" s="1"/>
  <c r="E10122" i="7"/>
  <c r="L10121" i="7"/>
  <c r="E10121" i="7"/>
  <c r="E10120" i="7"/>
  <c r="L10119" i="7"/>
  <c r="E10119" i="7"/>
  <c r="E10118" i="7"/>
  <c r="L10117" i="7"/>
  <c r="E10117" i="7"/>
  <c r="E10116" i="7"/>
  <c r="L10115" i="7"/>
  <c r="E10115" i="7"/>
  <c r="E10114" i="7"/>
  <c r="L10113" i="7"/>
  <c r="E10113" i="7"/>
  <c r="E10112" i="7"/>
  <c r="L10111" i="7"/>
  <c r="E10111" i="7"/>
  <c r="M10110" i="7"/>
  <c r="E10110" i="7"/>
  <c r="L10109" i="7"/>
  <c r="E10109" i="7"/>
  <c r="M10108" i="7"/>
  <c r="E10108" i="7"/>
  <c r="L10107" i="7"/>
  <c r="E10107" i="7"/>
  <c r="M10106" i="7"/>
  <c r="E10106" i="7"/>
  <c r="E10105" i="7"/>
  <c r="E10104" i="7"/>
  <c r="E10103" i="7"/>
  <c r="E10102" i="7"/>
  <c r="E10101" i="7"/>
  <c r="E10100" i="7"/>
  <c r="E10099" i="7"/>
  <c r="E10098" i="7"/>
  <c r="A531" i="57" l="1"/>
  <c r="A530" i="57"/>
  <c r="A528" i="57"/>
  <c r="A529" i="57"/>
  <c r="L10073" i="7"/>
  <c r="E10073" i="7"/>
  <c r="E10072" i="7"/>
  <c r="L10097" i="7"/>
  <c r="E10097" i="7"/>
  <c r="E10096" i="7"/>
  <c r="L10075" i="7"/>
  <c r="E10075" i="7"/>
  <c r="E10074" i="7"/>
  <c r="R527" i="57"/>
  <c r="P527" i="57"/>
  <c r="N527" i="57"/>
  <c r="L527" i="57"/>
  <c r="J527" i="57"/>
  <c r="H527" i="57"/>
  <c r="F527" i="57"/>
  <c r="D527" i="57"/>
  <c r="E10095" i="7"/>
  <c r="K10094" i="7"/>
  <c r="L10095" i="7" s="1"/>
  <c r="E10094" i="7"/>
  <c r="E10093" i="7"/>
  <c r="K10092" i="7"/>
  <c r="L10093" i="7" s="1"/>
  <c r="E10092" i="7"/>
  <c r="L10091" i="7"/>
  <c r="E10091" i="7"/>
  <c r="E10090" i="7"/>
  <c r="L10089" i="7"/>
  <c r="E10089" i="7"/>
  <c r="E10088" i="7"/>
  <c r="L10087" i="7"/>
  <c r="E10087" i="7"/>
  <c r="E10086" i="7"/>
  <c r="L10085" i="7"/>
  <c r="E10085" i="7"/>
  <c r="E10084" i="7"/>
  <c r="L10083" i="7"/>
  <c r="E10083" i="7"/>
  <c r="E10082" i="7"/>
  <c r="L10081" i="7"/>
  <c r="E10081" i="7"/>
  <c r="M10080" i="7"/>
  <c r="E10080" i="7"/>
  <c r="L10079" i="7"/>
  <c r="E10079" i="7"/>
  <c r="M10078" i="7"/>
  <c r="E10078" i="7"/>
  <c r="L10077" i="7"/>
  <c r="E10077" i="7"/>
  <c r="M10076" i="7"/>
  <c r="E10076" i="7"/>
  <c r="E10071" i="7"/>
  <c r="E10070" i="7"/>
  <c r="E10069" i="7"/>
  <c r="A527" i="57" l="1"/>
  <c r="E10067" i="7"/>
  <c r="E10068" i="7"/>
  <c r="E10066" i="7"/>
  <c r="R526" i="57" l="1"/>
  <c r="P526" i="57"/>
  <c r="N526" i="57"/>
  <c r="L526" i="57"/>
  <c r="J526" i="57"/>
  <c r="H526" i="57"/>
  <c r="F526" i="57"/>
  <c r="D526" i="57"/>
  <c r="E10065" i="7"/>
  <c r="K10064" i="7"/>
  <c r="L10065" i="7" s="1"/>
  <c r="E10064" i="7"/>
  <c r="E10063" i="7"/>
  <c r="K10062" i="7"/>
  <c r="L10063" i="7" s="1"/>
  <c r="E10062" i="7"/>
  <c r="L10061" i="7"/>
  <c r="E10061" i="7"/>
  <c r="E10060" i="7"/>
  <c r="L10059" i="7"/>
  <c r="E10059" i="7"/>
  <c r="E10058" i="7"/>
  <c r="L10057" i="7"/>
  <c r="E10057" i="7"/>
  <c r="E10056" i="7"/>
  <c r="L10055" i="7"/>
  <c r="E10055" i="7"/>
  <c r="E10054" i="7"/>
  <c r="L10053" i="7"/>
  <c r="E10053" i="7"/>
  <c r="E10052" i="7"/>
  <c r="L10051" i="7"/>
  <c r="E10051" i="7"/>
  <c r="M10050" i="7"/>
  <c r="E10050" i="7"/>
  <c r="L10049" i="7"/>
  <c r="E10049" i="7"/>
  <c r="M10048" i="7"/>
  <c r="E10048" i="7"/>
  <c r="L10047" i="7"/>
  <c r="E10047" i="7"/>
  <c r="M10046" i="7"/>
  <c r="E10046" i="7"/>
  <c r="E10045" i="7"/>
  <c r="E10044" i="7"/>
  <c r="E10043" i="7"/>
  <c r="A526" i="57" l="1"/>
  <c r="L10042" i="7"/>
  <c r="E10042" i="7"/>
  <c r="E10041" i="7"/>
  <c r="E10040" i="7"/>
  <c r="K10039" i="7"/>
  <c r="L10040" i="7" s="1"/>
  <c r="E10039" i="7"/>
  <c r="E10038" i="7"/>
  <c r="K10037" i="7"/>
  <c r="L10038" i="7" s="1"/>
  <c r="E10037" i="7"/>
  <c r="L10036" i="7"/>
  <c r="E10036" i="7"/>
  <c r="E10035" i="7"/>
  <c r="L10034" i="7"/>
  <c r="E10034" i="7"/>
  <c r="E10033" i="7"/>
  <c r="L10032" i="7"/>
  <c r="E10032" i="7"/>
  <c r="E10031" i="7"/>
  <c r="L10030" i="7"/>
  <c r="E10030" i="7"/>
  <c r="E10029" i="7"/>
  <c r="L10028" i="7"/>
  <c r="E10028" i="7"/>
  <c r="E10027" i="7"/>
  <c r="L10026" i="7"/>
  <c r="E10026" i="7"/>
  <c r="M10025" i="7"/>
  <c r="E10025" i="7"/>
  <c r="L10024" i="7"/>
  <c r="E10024" i="7"/>
  <c r="M10023" i="7"/>
  <c r="E10023" i="7"/>
  <c r="L10022" i="7"/>
  <c r="E10022" i="7"/>
  <c r="M10021" i="7"/>
  <c r="E10021" i="7"/>
  <c r="E10015" i="7"/>
  <c r="E10014" i="7"/>
  <c r="E10013" i="7"/>
  <c r="E10012" i="7"/>
  <c r="E10011" i="7"/>
  <c r="E10020" i="7"/>
  <c r="E10019" i="7"/>
  <c r="E10018" i="7"/>
  <c r="E10017" i="7"/>
  <c r="E10016" i="7"/>
  <c r="R525" i="57" l="1"/>
  <c r="P525" i="57"/>
  <c r="N525" i="57"/>
  <c r="L525" i="57"/>
  <c r="J525" i="57"/>
  <c r="H525" i="57"/>
  <c r="F525" i="57"/>
  <c r="D525" i="57"/>
  <c r="L10010" i="7"/>
  <c r="E10010" i="7"/>
  <c r="E10009" i="7"/>
  <c r="D524" i="57"/>
  <c r="R524" i="57"/>
  <c r="P524" i="57"/>
  <c r="N524" i="57"/>
  <c r="L524" i="57"/>
  <c r="J524" i="57"/>
  <c r="H524" i="57"/>
  <c r="F524" i="57"/>
  <c r="E34" i="9"/>
  <c r="M9993" i="7"/>
  <c r="M9991" i="7"/>
  <c r="M9989" i="7"/>
  <c r="E10008" i="7"/>
  <c r="K10007" i="7"/>
  <c r="L10008" i="7" s="1"/>
  <c r="E10007" i="7"/>
  <c r="E10006" i="7"/>
  <c r="K10005" i="7"/>
  <c r="L10006" i="7" s="1"/>
  <c r="E10005" i="7"/>
  <c r="L10004" i="7"/>
  <c r="E10004" i="7"/>
  <c r="E10003" i="7"/>
  <c r="L10002" i="7"/>
  <c r="E10002" i="7"/>
  <c r="E10001" i="7"/>
  <c r="L10000" i="7"/>
  <c r="E10000" i="7"/>
  <c r="E9999" i="7"/>
  <c r="L9998" i="7"/>
  <c r="E9998" i="7"/>
  <c r="E9997" i="7"/>
  <c r="L9996" i="7"/>
  <c r="E9996" i="7"/>
  <c r="E9995" i="7"/>
  <c r="L9994" i="7"/>
  <c r="E9994" i="7"/>
  <c r="E9993" i="7"/>
  <c r="L9992" i="7"/>
  <c r="E9992" i="7"/>
  <c r="E9991" i="7"/>
  <c r="L9990" i="7"/>
  <c r="E9990" i="7"/>
  <c r="E9989" i="7"/>
  <c r="E9988" i="7"/>
  <c r="E9987" i="7"/>
  <c r="E9986" i="7"/>
  <c r="E9985" i="7"/>
  <c r="E9984" i="7"/>
  <c r="E9983" i="7" l="1"/>
  <c r="E9982" i="7"/>
  <c r="L9981" i="7"/>
  <c r="E9981" i="7"/>
  <c r="E9980" i="7"/>
  <c r="L9901" i="7"/>
  <c r="E9901" i="7"/>
  <c r="E9900" i="7"/>
  <c r="E9959" i="7"/>
  <c r="E9958" i="7"/>
  <c r="E9957" i="7"/>
  <c r="E9956" i="7"/>
  <c r="E9955" i="7"/>
  <c r="E9979" i="7" l="1"/>
  <c r="K9978" i="7"/>
  <c r="L9979" i="7" s="1"/>
  <c r="E9978" i="7"/>
  <c r="E9977" i="7"/>
  <c r="K9976" i="7"/>
  <c r="L9977" i="7" s="1"/>
  <c r="E9976" i="7"/>
  <c r="L9975" i="7"/>
  <c r="E9975" i="7"/>
  <c r="E9974" i="7"/>
  <c r="L9973" i="7"/>
  <c r="E9973" i="7"/>
  <c r="E9972" i="7"/>
  <c r="L9971" i="7"/>
  <c r="E9971" i="7"/>
  <c r="E9970" i="7"/>
  <c r="L9969" i="7"/>
  <c r="E9969" i="7"/>
  <c r="E9968" i="7"/>
  <c r="L9967" i="7"/>
  <c r="E9967" i="7"/>
  <c r="E9966" i="7"/>
  <c r="L9965" i="7"/>
  <c r="E9965" i="7"/>
  <c r="E9964" i="7"/>
  <c r="L9963" i="7"/>
  <c r="E9963" i="7"/>
  <c r="E9962" i="7"/>
  <c r="L9961" i="7"/>
  <c r="E9961" i="7"/>
  <c r="E9960" i="7"/>
  <c r="D517" i="57"/>
  <c r="D518" i="57"/>
  <c r="D519" i="57"/>
  <c r="D520" i="57"/>
  <c r="D521" i="57"/>
  <c r="D522" i="57"/>
  <c r="D523" i="57"/>
  <c r="R523" i="57"/>
  <c r="P523" i="57"/>
  <c r="N523" i="57"/>
  <c r="L523" i="57"/>
  <c r="J523" i="57"/>
  <c r="H523" i="57"/>
  <c r="F523" i="57"/>
  <c r="R522" i="57"/>
  <c r="P522" i="57"/>
  <c r="N522" i="57"/>
  <c r="L522" i="57"/>
  <c r="J522" i="57"/>
  <c r="H522" i="57"/>
  <c r="F522" i="57"/>
  <c r="R521" i="57"/>
  <c r="P521" i="57"/>
  <c r="N521" i="57"/>
  <c r="L521" i="57"/>
  <c r="J521" i="57"/>
  <c r="H521" i="57"/>
  <c r="F521" i="57"/>
  <c r="R520" i="57"/>
  <c r="P520" i="57"/>
  <c r="N520" i="57"/>
  <c r="L520" i="57"/>
  <c r="J520" i="57"/>
  <c r="H520" i="57"/>
  <c r="F520" i="57"/>
  <c r="R519" i="57"/>
  <c r="P519" i="57"/>
  <c r="N519" i="57"/>
  <c r="L519" i="57"/>
  <c r="J519" i="57"/>
  <c r="H519" i="57"/>
  <c r="F519" i="57"/>
  <c r="R518" i="57"/>
  <c r="P518" i="57"/>
  <c r="N518" i="57"/>
  <c r="L518" i="57"/>
  <c r="J518" i="57"/>
  <c r="H518" i="57"/>
  <c r="F518" i="57"/>
  <c r="R517" i="57"/>
  <c r="P517" i="57"/>
  <c r="N517" i="57"/>
  <c r="L517" i="57"/>
  <c r="J517" i="57"/>
  <c r="H517" i="57"/>
  <c r="F517" i="57"/>
  <c r="L9954" i="7"/>
  <c r="E9954" i="7"/>
  <c r="E9953" i="7"/>
  <c r="L9952" i="7"/>
  <c r="E9952" i="7"/>
  <c r="E9951" i="7"/>
  <c r="L9950" i="7"/>
  <c r="E9950" i="7"/>
  <c r="E9949" i="7"/>
  <c r="E9935" i="7"/>
  <c r="E9934" i="7"/>
  <c r="E9933" i="7"/>
  <c r="E9948" i="7" l="1"/>
  <c r="E9947" i="7"/>
  <c r="E9946" i="7"/>
  <c r="E9945" i="7"/>
  <c r="E9944" i="7"/>
  <c r="E9943" i="7"/>
  <c r="E9942" i="7"/>
  <c r="E9941" i="7"/>
  <c r="E9940" i="7"/>
  <c r="E9939" i="7"/>
  <c r="E9932" i="7"/>
  <c r="E9931" i="7"/>
  <c r="E9930" i="7"/>
  <c r="E9929" i="7"/>
  <c r="E9928" i="7"/>
  <c r="E9925" i="7" l="1"/>
  <c r="E9924" i="7"/>
  <c r="E9923" i="7"/>
  <c r="L9927" i="7"/>
  <c r="E9927" i="7"/>
  <c r="E9926" i="7"/>
  <c r="L9922" i="7"/>
  <c r="E9922" i="7"/>
  <c r="E9921" i="7"/>
  <c r="E9938" i="7"/>
  <c r="E9937" i="7"/>
  <c r="E9936" i="7"/>
  <c r="E9920" i="7" l="1"/>
  <c r="E9919" i="7"/>
  <c r="E9918" i="7"/>
  <c r="E9917" i="7" l="1"/>
  <c r="E9916" i="7"/>
  <c r="E9915" i="7"/>
  <c r="E9914" i="7"/>
  <c r="E9913" i="7"/>
  <c r="E9912" i="7"/>
  <c r="E9911" i="7"/>
  <c r="E9910" i="7"/>
  <c r="E9909" i="7"/>
  <c r="E9908" i="7"/>
  <c r="L9907" i="7" l="1"/>
  <c r="E9907" i="7"/>
  <c r="E9906" i="7"/>
  <c r="L9893" i="7"/>
  <c r="E9893" i="7"/>
  <c r="E9892" i="7"/>
  <c r="L9905" i="7"/>
  <c r="E9905" i="7"/>
  <c r="E9904" i="7"/>
  <c r="L9903" i="7"/>
  <c r="E9903" i="7"/>
  <c r="E9902" i="7"/>
  <c r="E9889" i="7"/>
  <c r="E9888" i="7"/>
  <c r="E9887" i="7"/>
  <c r="L9891" i="7"/>
  <c r="E9891" i="7"/>
  <c r="E9890" i="7"/>
  <c r="L9886" i="7"/>
  <c r="E9886" i="7"/>
  <c r="E9885" i="7"/>
  <c r="L9884" i="7"/>
  <c r="E9884" i="7"/>
  <c r="E9883" i="7"/>
  <c r="E9899" i="7"/>
  <c r="E9898" i="7"/>
  <c r="E9897" i="7"/>
  <c r="E9896" i="7"/>
  <c r="E9895" i="7"/>
  <c r="E9894" i="7"/>
  <c r="E9862" i="7" l="1"/>
  <c r="E9861" i="7"/>
  <c r="E9860" i="7"/>
  <c r="L9743" i="7"/>
  <c r="E9743" i="7"/>
  <c r="E9742" i="7"/>
  <c r="E9844" i="7"/>
  <c r="E9843" i="7"/>
  <c r="E9842" i="7"/>
  <c r="L9809" i="7" l="1"/>
  <c r="E9809" i="7"/>
  <c r="E9808" i="7"/>
  <c r="L9807" i="7"/>
  <c r="E9807" i="7"/>
  <c r="E9806" i="7"/>
  <c r="L9805" i="7"/>
  <c r="E9805" i="7"/>
  <c r="E9804" i="7"/>
  <c r="L9798" i="7"/>
  <c r="E9798" i="7"/>
  <c r="E9797" i="7"/>
  <c r="E9859" i="7"/>
  <c r="E9858" i="7"/>
  <c r="E9857" i="7"/>
  <c r="E9856" i="7"/>
  <c r="E9855" i="7"/>
  <c r="E9854" i="7"/>
  <c r="E9853" i="7"/>
  <c r="E9852" i="7"/>
  <c r="L9851" i="7" l="1"/>
  <c r="E9851" i="7"/>
  <c r="E9850" i="7"/>
  <c r="L9849" i="7"/>
  <c r="E9849" i="7"/>
  <c r="E9848" i="7"/>
  <c r="E9847" i="7"/>
  <c r="E9846" i="7"/>
  <c r="E9845" i="7"/>
  <c r="E9882" i="7"/>
  <c r="K9881" i="7"/>
  <c r="L9882" i="7" s="1"/>
  <c r="E9881" i="7"/>
  <c r="E9880" i="7"/>
  <c r="K9879" i="7"/>
  <c r="L9880" i="7" s="1"/>
  <c r="E9879" i="7"/>
  <c r="L9878" i="7"/>
  <c r="E9878" i="7"/>
  <c r="E9877" i="7"/>
  <c r="L9876" i="7"/>
  <c r="E9876" i="7"/>
  <c r="E9875" i="7"/>
  <c r="L9874" i="7"/>
  <c r="E9874" i="7"/>
  <c r="E9873" i="7"/>
  <c r="L9872" i="7"/>
  <c r="E9872" i="7"/>
  <c r="E9871" i="7"/>
  <c r="L9870" i="7"/>
  <c r="E9870" i="7"/>
  <c r="E9869" i="7"/>
  <c r="L9868" i="7"/>
  <c r="E9868" i="7"/>
  <c r="E9867" i="7"/>
  <c r="L9866" i="7"/>
  <c r="E9866" i="7"/>
  <c r="E9865" i="7"/>
  <c r="L9864" i="7"/>
  <c r="E9864" i="7"/>
  <c r="E9863" i="7"/>
  <c r="D510" i="57"/>
  <c r="D511" i="57"/>
  <c r="D512" i="57"/>
  <c r="D513" i="57"/>
  <c r="D514" i="57"/>
  <c r="D515" i="57"/>
  <c r="D516" i="57"/>
  <c r="R516" i="57"/>
  <c r="P516" i="57"/>
  <c r="N516" i="57"/>
  <c r="L516" i="57"/>
  <c r="J516" i="57"/>
  <c r="H516" i="57"/>
  <c r="F516" i="57"/>
  <c r="R515" i="57"/>
  <c r="P515" i="57"/>
  <c r="N515" i="57"/>
  <c r="L515" i="57"/>
  <c r="J515" i="57"/>
  <c r="H515" i="57"/>
  <c r="F515" i="57"/>
  <c r="R514" i="57"/>
  <c r="P514" i="57"/>
  <c r="N514" i="57"/>
  <c r="L514" i="57"/>
  <c r="J514" i="57"/>
  <c r="H514" i="57"/>
  <c r="F514" i="57"/>
  <c r="R513" i="57"/>
  <c r="P513" i="57"/>
  <c r="N513" i="57"/>
  <c r="L513" i="57"/>
  <c r="J513" i="57"/>
  <c r="H513" i="57"/>
  <c r="F513" i="57"/>
  <c r="R512" i="57"/>
  <c r="P512" i="57"/>
  <c r="N512" i="57"/>
  <c r="L512" i="57"/>
  <c r="J512" i="57"/>
  <c r="H512" i="57"/>
  <c r="F512" i="57"/>
  <c r="R511" i="57"/>
  <c r="P511" i="57"/>
  <c r="N511" i="57"/>
  <c r="L511" i="57"/>
  <c r="J511" i="57"/>
  <c r="H511" i="57"/>
  <c r="F511" i="57"/>
  <c r="R510" i="57"/>
  <c r="P510" i="57"/>
  <c r="N510" i="57"/>
  <c r="L510" i="57"/>
  <c r="J510" i="57"/>
  <c r="H510" i="57"/>
  <c r="F510" i="57"/>
  <c r="L9827" i="7"/>
  <c r="E9827" i="7"/>
  <c r="E9826" i="7"/>
  <c r="E9841" i="7"/>
  <c r="E9840" i="7"/>
  <c r="E9839" i="7"/>
  <c r="E9838" i="7"/>
  <c r="E9837" i="7"/>
  <c r="E9836" i="7"/>
  <c r="L9835" i="7" l="1"/>
  <c r="E9835" i="7"/>
  <c r="E9834" i="7"/>
  <c r="L9833" i="7"/>
  <c r="E9833" i="7"/>
  <c r="E9832" i="7"/>
  <c r="L9831" i="7"/>
  <c r="E9831" i="7"/>
  <c r="E9830" i="7"/>
  <c r="L9829" i="7"/>
  <c r="E9829" i="7"/>
  <c r="E9828" i="7"/>
  <c r="E9825" i="7"/>
  <c r="E9824" i="7"/>
  <c r="E9823" i="7"/>
  <c r="E9822" i="7"/>
  <c r="E9821" i="7"/>
  <c r="L9803" i="7" l="1"/>
  <c r="E9803" i="7"/>
  <c r="E9802" i="7"/>
  <c r="L9796" i="7"/>
  <c r="E9796" i="7"/>
  <c r="E9795" i="7"/>
  <c r="E9814" i="7"/>
  <c r="E9813" i="7"/>
  <c r="E9812" i="7"/>
  <c r="E9811" i="7"/>
  <c r="E9810" i="7"/>
  <c r="E9820" i="7"/>
  <c r="E9819" i="7"/>
  <c r="E9818" i="7"/>
  <c r="E9817" i="7"/>
  <c r="E9816" i="7"/>
  <c r="E9815" i="7"/>
  <c r="E9794" i="7"/>
  <c r="E9793" i="7"/>
  <c r="E9792" i="7"/>
  <c r="E9799" i="7"/>
  <c r="E9801" i="7" l="1"/>
  <c r="E9800" i="7"/>
  <c r="E9791" i="7"/>
  <c r="E9790" i="7"/>
  <c r="E9789" i="7"/>
  <c r="E9788" i="7"/>
  <c r="E9787" i="7"/>
  <c r="L9772" i="7" l="1"/>
  <c r="E9772" i="7"/>
  <c r="E9771" i="7"/>
  <c r="L9698" i="7"/>
  <c r="E9698" i="7"/>
  <c r="E9697" i="7"/>
  <c r="L9635" i="7"/>
  <c r="E9635" i="7"/>
  <c r="E9634" i="7"/>
  <c r="E9581" i="7"/>
  <c r="E9580" i="7"/>
  <c r="E9766" i="7"/>
  <c r="E9765" i="7"/>
  <c r="E9764" i="7"/>
  <c r="E9763" i="7"/>
  <c r="E9762" i="7"/>
  <c r="E9761" i="7"/>
  <c r="E9760" i="7"/>
  <c r="E9759" i="7"/>
  <c r="E9758" i="7"/>
  <c r="E9757" i="7"/>
  <c r="E9786" i="7" l="1"/>
  <c r="K9785" i="7"/>
  <c r="L9786" i="7" s="1"/>
  <c r="E9785" i="7"/>
  <c r="E9784" i="7"/>
  <c r="K9783" i="7"/>
  <c r="L9784" i="7" s="1"/>
  <c r="E9783" i="7"/>
  <c r="L9782" i="7"/>
  <c r="E9782" i="7"/>
  <c r="E9781" i="7"/>
  <c r="L9780" i="7"/>
  <c r="E9780" i="7"/>
  <c r="E9779" i="7"/>
  <c r="L9778" i="7"/>
  <c r="E9778" i="7"/>
  <c r="E9777" i="7"/>
  <c r="L9776" i="7"/>
  <c r="E9776" i="7"/>
  <c r="E9775" i="7"/>
  <c r="L9774" i="7"/>
  <c r="E9774" i="7"/>
  <c r="E9773" i="7"/>
  <c r="L9770" i="7"/>
  <c r="E9770" i="7"/>
  <c r="E9769" i="7"/>
  <c r="L9768" i="7"/>
  <c r="E9768" i="7"/>
  <c r="E9767" i="7"/>
  <c r="E9741" i="7"/>
  <c r="E9740" i="7"/>
  <c r="E9739" i="7"/>
  <c r="D503" i="57" l="1"/>
  <c r="D504" i="57"/>
  <c r="D505" i="57"/>
  <c r="D506" i="57"/>
  <c r="D507" i="57"/>
  <c r="D508" i="57"/>
  <c r="D509" i="57"/>
  <c r="R509" i="57"/>
  <c r="P509" i="57"/>
  <c r="N509" i="57"/>
  <c r="L509" i="57"/>
  <c r="J509" i="57"/>
  <c r="H509" i="57"/>
  <c r="F509" i="57"/>
  <c r="R508" i="57"/>
  <c r="P508" i="57"/>
  <c r="N508" i="57"/>
  <c r="L508" i="57"/>
  <c r="J508" i="57"/>
  <c r="H508" i="57"/>
  <c r="F508" i="57"/>
  <c r="R507" i="57"/>
  <c r="P507" i="57"/>
  <c r="N507" i="57"/>
  <c r="L507" i="57"/>
  <c r="J507" i="57"/>
  <c r="H507" i="57"/>
  <c r="F507" i="57"/>
  <c r="R506" i="57"/>
  <c r="P506" i="57"/>
  <c r="N506" i="57"/>
  <c r="L506" i="57"/>
  <c r="J506" i="57"/>
  <c r="H506" i="57"/>
  <c r="F506" i="57"/>
  <c r="R505" i="57"/>
  <c r="P505" i="57"/>
  <c r="N505" i="57"/>
  <c r="L505" i="57"/>
  <c r="J505" i="57"/>
  <c r="H505" i="57"/>
  <c r="F505" i="57"/>
  <c r="R504" i="57"/>
  <c r="P504" i="57"/>
  <c r="N504" i="57"/>
  <c r="L504" i="57"/>
  <c r="J504" i="57"/>
  <c r="H504" i="57"/>
  <c r="F504" i="57"/>
  <c r="R503" i="57"/>
  <c r="P503" i="57"/>
  <c r="N503" i="57"/>
  <c r="L503" i="57"/>
  <c r="J503" i="57"/>
  <c r="H503" i="57"/>
  <c r="F503" i="57"/>
  <c r="E9753" i="7"/>
  <c r="E9754" i="7"/>
  <c r="E9756" i="7"/>
  <c r="E9755" i="7"/>
  <c r="E9752" i="7"/>
  <c r="E9751" i="7"/>
  <c r="L9750" i="7"/>
  <c r="E9750" i="7"/>
  <c r="E9749" i="7"/>
  <c r="E9748" i="7"/>
  <c r="E9747" i="7"/>
  <c r="E9746" i="7"/>
  <c r="E9745" i="7"/>
  <c r="E9744" i="7"/>
  <c r="E9738" i="7"/>
  <c r="E9737" i="7"/>
  <c r="E9736" i="7"/>
  <c r="E9735" i="7"/>
  <c r="E9734" i="7"/>
  <c r="E9732" i="7" l="1"/>
  <c r="E9733" i="7"/>
  <c r="E9731" i="7"/>
  <c r="L9730" i="7"/>
  <c r="E9730" i="7"/>
  <c r="E9729" i="7"/>
  <c r="L9728" i="7"/>
  <c r="E9728" i="7"/>
  <c r="E9727" i="7"/>
  <c r="E9726" i="7"/>
  <c r="E9725" i="7"/>
  <c r="E9724" i="7"/>
  <c r="E9723" i="7" l="1"/>
  <c r="E9722" i="7"/>
  <c r="E9721" i="7"/>
  <c r="E9720" i="7"/>
  <c r="E9719" i="7"/>
  <c r="E9718" i="7"/>
  <c r="E9717" i="7"/>
  <c r="E9716" i="7"/>
  <c r="E9715" i="7"/>
  <c r="E9714" i="7"/>
  <c r="E9713" i="7"/>
  <c r="E9692" i="7"/>
  <c r="E9691" i="7"/>
  <c r="E9690" i="7"/>
  <c r="E9712" i="7" l="1"/>
  <c r="K9711" i="7"/>
  <c r="L9712" i="7" s="1"/>
  <c r="E9711" i="7"/>
  <c r="E9710" i="7"/>
  <c r="K9709" i="7"/>
  <c r="L9710" i="7" s="1"/>
  <c r="E9709" i="7"/>
  <c r="L9708" i="7"/>
  <c r="E9708" i="7"/>
  <c r="E9707" i="7"/>
  <c r="L9706" i="7"/>
  <c r="E9706" i="7"/>
  <c r="E9705" i="7"/>
  <c r="L9704" i="7"/>
  <c r="E9704" i="7"/>
  <c r="E9703" i="7"/>
  <c r="L9702" i="7"/>
  <c r="E9702" i="7"/>
  <c r="E9701" i="7"/>
  <c r="L9700" i="7"/>
  <c r="E9700" i="7"/>
  <c r="E9699" i="7"/>
  <c r="L9696" i="7"/>
  <c r="E9696" i="7"/>
  <c r="E9695" i="7"/>
  <c r="L9694" i="7"/>
  <c r="E9694" i="7"/>
  <c r="E9693" i="7"/>
  <c r="E9689" i="7" l="1"/>
  <c r="E9688" i="7"/>
  <c r="E9687" i="7"/>
  <c r="E9686" i="7"/>
  <c r="E9685" i="7"/>
  <c r="E9684" i="7"/>
  <c r="D496" i="57" l="1"/>
  <c r="D497" i="57"/>
  <c r="D498" i="57"/>
  <c r="D499" i="57"/>
  <c r="D500" i="57"/>
  <c r="D501" i="57"/>
  <c r="D502" i="57"/>
  <c r="R502" i="57"/>
  <c r="P502" i="57"/>
  <c r="N502" i="57"/>
  <c r="L502" i="57"/>
  <c r="J502" i="57"/>
  <c r="H502" i="57"/>
  <c r="F502" i="57"/>
  <c r="R501" i="57"/>
  <c r="P501" i="57"/>
  <c r="N501" i="57"/>
  <c r="L501" i="57"/>
  <c r="J501" i="57"/>
  <c r="H501" i="57"/>
  <c r="F501" i="57"/>
  <c r="R500" i="57"/>
  <c r="P500" i="57"/>
  <c r="N500" i="57"/>
  <c r="L500" i="57"/>
  <c r="J500" i="57"/>
  <c r="H500" i="57"/>
  <c r="F500" i="57"/>
  <c r="R499" i="57"/>
  <c r="P499" i="57"/>
  <c r="N499" i="57"/>
  <c r="L499" i="57"/>
  <c r="J499" i="57"/>
  <c r="H499" i="57"/>
  <c r="F499" i="57"/>
  <c r="R498" i="57"/>
  <c r="P498" i="57"/>
  <c r="N498" i="57"/>
  <c r="L498" i="57"/>
  <c r="J498" i="57"/>
  <c r="H498" i="57"/>
  <c r="F498" i="57"/>
  <c r="R497" i="57"/>
  <c r="P497" i="57"/>
  <c r="N497" i="57"/>
  <c r="L497" i="57"/>
  <c r="J497" i="57"/>
  <c r="H497" i="57"/>
  <c r="F497" i="57"/>
  <c r="R496" i="57"/>
  <c r="P496" i="57"/>
  <c r="N496" i="57"/>
  <c r="L496" i="57"/>
  <c r="J496" i="57"/>
  <c r="H496" i="57"/>
  <c r="F496" i="57"/>
  <c r="E9683" i="7"/>
  <c r="E9682" i="7"/>
  <c r="E9681" i="7"/>
  <c r="E9680" i="7" l="1"/>
  <c r="E9679" i="7"/>
  <c r="E9678" i="7"/>
  <c r="E9677" i="7"/>
  <c r="E9676" i="7"/>
  <c r="E9670" i="7"/>
  <c r="E9669" i="7"/>
  <c r="E9668" i="7"/>
  <c r="E9667" i="7"/>
  <c r="E9666" i="7"/>
  <c r="E9657" i="7"/>
  <c r="E9656" i="7"/>
  <c r="E9655" i="7"/>
  <c r="E9654" i="7"/>
  <c r="E9653" i="7"/>
  <c r="E9652" i="7"/>
  <c r="E9651" i="7"/>
  <c r="E9650" i="7"/>
  <c r="L9675" i="7" l="1"/>
  <c r="E9675" i="7"/>
  <c r="E9674" i="7"/>
  <c r="L9665" i="7"/>
  <c r="E9665" i="7"/>
  <c r="E9664" i="7"/>
  <c r="L9663" i="7"/>
  <c r="E9663" i="7"/>
  <c r="E9662" i="7"/>
  <c r="L9661" i="7"/>
  <c r="E9661" i="7"/>
  <c r="E9660" i="7"/>
  <c r="L9659" i="7"/>
  <c r="E9659" i="7"/>
  <c r="E9658" i="7"/>
  <c r="E9673" i="7"/>
  <c r="E9672" i="7"/>
  <c r="E9671" i="7"/>
  <c r="D489" i="57" l="1"/>
  <c r="D490" i="57"/>
  <c r="D491" i="57"/>
  <c r="D492" i="57"/>
  <c r="D493" i="57"/>
  <c r="D494" i="57"/>
  <c r="D495" i="57"/>
  <c r="R495" i="57"/>
  <c r="P495" i="57"/>
  <c r="N495" i="57"/>
  <c r="L495" i="57"/>
  <c r="J495" i="57"/>
  <c r="H495" i="57"/>
  <c r="F495" i="57"/>
  <c r="R494" i="57"/>
  <c r="P494" i="57"/>
  <c r="N494" i="57"/>
  <c r="L494" i="57"/>
  <c r="J494" i="57"/>
  <c r="H494" i="57"/>
  <c r="F494" i="57"/>
  <c r="R493" i="57"/>
  <c r="P493" i="57"/>
  <c r="N493" i="57"/>
  <c r="L493" i="57"/>
  <c r="J493" i="57"/>
  <c r="H493" i="57"/>
  <c r="F493" i="57"/>
  <c r="R492" i="57"/>
  <c r="P492" i="57"/>
  <c r="N492" i="57"/>
  <c r="L492" i="57"/>
  <c r="J492" i="57"/>
  <c r="H492" i="57"/>
  <c r="F492" i="57"/>
  <c r="R491" i="57"/>
  <c r="P491" i="57"/>
  <c r="N491" i="57"/>
  <c r="L491" i="57"/>
  <c r="J491" i="57"/>
  <c r="H491" i="57"/>
  <c r="F491" i="57"/>
  <c r="R490" i="57"/>
  <c r="P490" i="57"/>
  <c r="N490" i="57"/>
  <c r="L490" i="57"/>
  <c r="J490" i="57"/>
  <c r="H490" i="57"/>
  <c r="F490" i="57"/>
  <c r="R489" i="57"/>
  <c r="P489" i="57"/>
  <c r="N489" i="57"/>
  <c r="L489" i="57"/>
  <c r="J489" i="57"/>
  <c r="H489" i="57"/>
  <c r="F489" i="57"/>
  <c r="E9649" i="7"/>
  <c r="K9648" i="7"/>
  <c r="L9649" i="7" s="1"/>
  <c r="E9648" i="7"/>
  <c r="E9647" i="7"/>
  <c r="K9646" i="7"/>
  <c r="L9647" i="7" s="1"/>
  <c r="E9646" i="7"/>
  <c r="L9645" i="7"/>
  <c r="E9645" i="7"/>
  <c r="E9644" i="7"/>
  <c r="L9643" i="7"/>
  <c r="E9643" i="7"/>
  <c r="E9642" i="7"/>
  <c r="L9641" i="7"/>
  <c r="E9641" i="7"/>
  <c r="E9640" i="7"/>
  <c r="L9639" i="7"/>
  <c r="E9639" i="7"/>
  <c r="E9638" i="7"/>
  <c r="L9637" i="7"/>
  <c r="E9637" i="7"/>
  <c r="E9636" i="7"/>
  <c r="L9633" i="7"/>
  <c r="E9633" i="7"/>
  <c r="E9632" i="7"/>
  <c r="L9631" i="7"/>
  <c r="E9631" i="7"/>
  <c r="E9630" i="7"/>
  <c r="L9625" i="7"/>
  <c r="E9625" i="7"/>
  <c r="E9624" i="7"/>
  <c r="L9618" i="7" l="1"/>
  <c r="E9618" i="7"/>
  <c r="E9617" i="7"/>
  <c r="L9616" i="7"/>
  <c r="E9616" i="7"/>
  <c r="E9615" i="7"/>
  <c r="E9614" i="7"/>
  <c r="E9613" i="7"/>
  <c r="E9612" i="7"/>
  <c r="L9611" i="7"/>
  <c r="E9611" i="7"/>
  <c r="E9610" i="7"/>
  <c r="E9606" i="7"/>
  <c r="E9607" i="7"/>
  <c r="E9605" i="7"/>
  <c r="L9609" i="7"/>
  <c r="E9609" i="7"/>
  <c r="E9608" i="7"/>
  <c r="E9623" i="7"/>
  <c r="E9622" i="7"/>
  <c r="E9621" i="7"/>
  <c r="E9620" i="7"/>
  <c r="E9619" i="7"/>
  <c r="E9604" i="7"/>
  <c r="E9603" i="7"/>
  <c r="E9602" i="7"/>
  <c r="E9598" i="7"/>
  <c r="E9597" i="7"/>
  <c r="E9596" i="7"/>
  <c r="E9595" i="7"/>
  <c r="E9594" i="7"/>
  <c r="E9593" i="7"/>
  <c r="E9592" i="7"/>
  <c r="E9591" i="7"/>
  <c r="E9590" i="7" l="1"/>
  <c r="E9589" i="7"/>
  <c r="E9588" i="7"/>
  <c r="E9601" i="7" l="1"/>
  <c r="E9600" i="7"/>
  <c r="E9599" i="7"/>
  <c r="E9587" i="7" l="1"/>
  <c r="E9586" i="7"/>
  <c r="E9585" i="7"/>
  <c r="E9584" i="7"/>
  <c r="E9583" i="7"/>
  <c r="E9582" i="7"/>
  <c r="E9579" i="7"/>
  <c r="E9578" i="7"/>
  <c r="E9577" i="7"/>
  <c r="E9576" i="7"/>
  <c r="E9575" i="7"/>
  <c r="L9572" i="7"/>
  <c r="E9572" i="7"/>
  <c r="E9571" i="7"/>
  <c r="L9574" i="7"/>
  <c r="E9574" i="7"/>
  <c r="E9573" i="7"/>
  <c r="E9570" i="7"/>
  <c r="E9569" i="7"/>
  <c r="E9568" i="7"/>
  <c r="E9567" i="7" l="1"/>
  <c r="E9566" i="7"/>
  <c r="E9565" i="7"/>
  <c r="E9546" i="7" l="1"/>
  <c r="E9545" i="7"/>
  <c r="E9544" i="7"/>
  <c r="E9543" i="7"/>
  <c r="E9542" i="7"/>
  <c r="E9532" i="7"/>
  <c r="E9531" i="7"/>
  <c r="E9530" i="7"/>
  <c r="D482" i="57" l="1"/>
  <c r="D483" i="57"/>
  <c r="D484" i="57"/>
  <c r="D485" i="57"/>
  <c r="D486" i="57"/>
  <c r="D487" i="57"/>
  <c r="D488" i="57"/>
  <c r="R488" i="57"/>
  <c r="P488" i="57"/>
  <c r="N488" i="57"/>
  <c r="L488" i="57"/>
  <c r="J488" i="57"/>
  <c r="H488" i="57"/>
  <c r="F488" i="57"/>
  <c r="R487" i="57"/>
  <c r="P487" i="57"/>
  <c r="N487" i="57"/>
  <c r="L487" i="57"/>
  <c r="J487" i="57"/>
  <c r="H487" i="57"/>
  <c r="F487" i="57"/>
  <c r="R486" i="57"/>
  <c r="P486" i="57"/>
  <c r="N486" i="57"/>
  <c r="L486" i="57"/>
  <c r="J486" i="57"/>
  <c r="H486" i="57"/>
  <c r="F486" i="57"/>
  <c r="R485" i="57"/>
  <c r="P485" i="57"/>
  <c r="N485" i="57"/>
  <c r="L485" i="57"/>
  <c r="J485" i="57"/>
  <c r="H485" i="57"/>
  <c r="F485" i="57"/>
  <c r="R484" i="57"/>
  <c r="P484" i="57"/>
  <c r="N484" i="57"/>
  <c r="L484" i="57"/>
  <c r="J484" i="57"/>
  <c r="H484" i="57"/>
  <c r="F484" i="57"/>
  <c r="R483" i="57"/>
  <c r="P483" i="57"/>
  <c r="N483" i="57"/>
  <c r="L483" i="57"/>
  <c r="J483" i="57"/>
  <c r="H483" i="57"/>
  <c r="F483" i="57"/>
  <c r="R482" i="57"/>
  <c r="P482" i="57"/>
  <c r="N482" i="57"/>
  <c r="L482" i="57"/>
  <c r="J482" i="57"/>
  <c r="H482" i="57"/>
  <c r="F482" i="57"/>
  <c r="E9564" i="7"/>
  <c r="K9563" i="7"/>
  <c r="L9564" i="7" s="1"/>
  <c r="E9563" i="7"/>
  <c r="E9562" i="7"/>
  <c r="K9561" i="7"/>
  <c r="L9562" i="7" s="1"/>
  <c r="E9561" i="7"/>
  <c r="L9560" i="7"/>
  <c r="E9560" i="7"/>
  <c r="E9559" i="7"/>
  <c r="L9558" i="7"/>
  <c r="E9558" i="7"/>
  <c r="E9557" i="7"/>
  <c r="L9556" i="7"/>
  <c r="E9556" i="7"/>
  <c r="E9555" i="7"/>
  <c r="L9554" i="7"/>
  <c r="E9554" i="7"/>
  <c r="E9553" i="7"/>
  <c r="L9552" i="7"/>
  <c r="E9552" i="7"/>
  <c r="E9551" i="7"/>
  <c r="L9550" i="7"/>
  <c r="E9550" i="7"/>
  <c r="E9549" i="7"/>
  <c r="L9548" i="7"/>
  <c r="E9548" i="7"/>
  <c r="E9547" i="7"/>
  <c r="L9541" i="7"/>
  <c r="E9541" i="7"/>
  <c r="E9540" i="7"/>
  <c r="L9539" i="7"/>
  <c r="E9539" i="7"/>
  <c r="E9538" i="7"/>
  <c r="L9537" i="7"/>
  <c r="E9537" i="7"/>
  <c r="E9536" i="7"/>
  <c r="E9529" i="7" l="1"/>
  <c r="E9528" i="7"/>
  <c r="E9527" i="7"/>
  <c r="E9526" i="7"/>
  <c r="E9525" i="7"/>
  <c r="E9524" i="7"/>
  <c r="E9535" i="7" l="1"/>
  <c r="E9534" i="7"/>
  <c r="E9533" i="7"/>
  <c r="E9523" i="7" l="1"/>
  <c r="E9522" i="7"/>
  <c r="E9521" i="7"/>
  <c r="E9520" i="7"/>
  <c r="E9519" i="7"/>
  <c r="E9515" i="7"/>
  <c r="E9514" i="7"/>
  <c r="E9513" i="7"/>
  <c r="E9512" i="7"/>
  <c r="E9511" i="7"/>
  <c r="E9508" i="7"/>
  <c r="E9507" i="7"/>
  <c r="E9506" i="7"/>
  <c r="E9505" i="7"/>
  <c r="E9504" i="7"/>
  <c r="E9518" i="7" l="1"/>
  <c r="E9517" i="7"/>
  <c r="E9516" i="7"/>
  <c r="E9510" i="7"/>
  <c r="E9509" i="7"/>
  <c r="D475" i="57" l="1"/>
  <c r="D476" i="57"/>
  <c r="D477" i="57"/>
  <c r="D478" i="57"/>
  <c r="D479" i="57"/>
  <c r="D480" i="57"/>
  <c r="D481" i="57"/>
  <c r="R481" i="57"/>
  <c r="P481" i="57"/>
  <c r="N481" i="57"/>
  <c r="L481" i="57"/>
  <c r="J481" i="57"/>
  <c r="H481" i="57"/>
  <c r="F481" i="57"/>
  <c r="R480" i="57"/>
  <c r="P480" i="57"/>
  <c r="N480" i="57"/>
  <c r="L480" i="57"/>
  <c r="J480" i="57"/>
  <c r="H480" i="57"/>
  <c r="F480" i="57"/>
  <c r="R479" i="57"/>
  <c r="P479" i="57"/>
  <c r="N479" i="57"/>
  <c r="L479" i="57"/>
  <c r="J479" i="57"/>
  <c r="H479" i="57"/>
  <c r="F479" i="57"/>
  <c r="R478" i="57"/>
  <c r="P478" i="57"/>
  <c r="N478" i="57"/>
  <c r="L478" i="57"/>
  <c r="J478" i="57"/>
  <c r="H478" i="57"/>
  <c r="F478" i="57"/>
  <c r="R477" i="57"/>
  <c r="P477" i="57"/>
  <c r="N477" i="57"/>
  <c r="L477" i="57"/>
  <c r="J477" i="57"/>
  <c r="H477" i="57"/>
  <c r="F477" i="57"/>
  <c r="R476" i="57"/>
  <c r="P476" i="57"/>
  <c r="N476" i="57"/>
  <c r="L476" i="57"/>
  <c r="J476" i="57"/>
  <c r="H476" i="57"/>
  <c r="F476" i="57"/>
  <c r="R475" i="57"/>
  <c r="P475" i="57"/>
  <c r="N475" i="57"/>
  <c r="L475" i="57"/>
  <c r="J475" i="57"/>
  <c r="H475" i="57"/>
  <c r="F475" i="57"/>
  <c r="E9503" i="7"/>
  <c r="K9502" i="7"/>
  <c r="L9503" i="7" s="1"/>
  <c r="E9502" i="7"/>
  <c r="E9501" i="7"/>
  <c r="K9500" i="7"/>
  <c r="L9501" i="7" s="1"/>
  <c r="E9500" i="7"/>
  <c r="L9499" i="7"/>
  <c r="E9499" i="7"/>
  <c r="E9498" i="7"/>
  <c r="L9497" i="7"/>
  <c r="E9497" i="7"/>
  <c r="E9496" i="7"/>
  <c r="L9495" i="7"/>
  <c r="E9495" i="7"/>
  <c r="E9494" i="7"/>
  <c r="L9493" i="7"/>
  <c r="E9493" i="7"/>
  <c r="E9492" i="7"/>
  <c r="L9491" i="7"/>
  <c r="E9491" i="7"/>
  <c r="E9490" i="7"/>
  <c r="L9489" i="7"/>
  <c r="E9489" i="7"/>
  <c r="E9488" i="7"/>
  <c r="L9487" i="7"/>
  <c r="E9487" i="7"/>
  <c r="E9486" i="7"/>
  <c r="L9478" i="7"/>
  <c r="E9478" i="7"/>
  <c r="E9477" i="7"/>
  <c r="E9485" i="7"/>
  <c r="E9484" i="7"/>
  <c r="E9483" i="7"/>
  <c r="E9482" i="7"/>
  <c r="E9481" i="7"/>
  <c r="L9480" i="7"/>
  <c r="E9480" i="7"/>
  <c r="E9479" i="7"/>
  <c r="E9476" i="7" l="1"/>
  <c r="E9475" i="7"/>
  <c r="E9474" i="7"/>
  <c r="E9473" i="7"/>
  <c r="E9472" i="7"/>
  <c r="E9467" i="7"/>
  <c r="E9466" i="7"/>
  <c r="E9465" i="7"/>
  <c r="E9464" i="7"/>
  <c r="E9463" i="7"/>
  <c r="E9460" i="7"/>
  <c r="E9459" i="7"/>
  <c r="E9458" i="7"/>
  <c r="E9457" i="7"/>
  <c r="E9456" i="7"/>
  <c r="E9446" i="7"/>
  <c r="E9445" i="7"/>
  <c r="E9444" i="7"/>
  <c r="E9443" i="7"/>
  <c r="E9442" i="7"/>
  <c r="E9471" i="7"/>
  <c r="E9470" i="7"/>
  <c r="L9469" i="7"/>
  <c r="E9469" i="7"/>
  <c r="E9468" i="7"/>
  <c r="L9462" i="7"/>
  <c r="E9462" i="7"/>
  <c r="E9461" i="7"/>
  <c r="E9455" i="7"/>
  <c r="E9454" i="7"/>
  <c r="E9453" i="7"/>
  <c r="L9448" i="7" l="1"/>
  <c r="L9451" i="7"/>
  <c r="E9452" i="7"/>
  <c r="E9451" i="7"/>
  <c r="E9450" i="7"/>
  <c r="E9449" i="7"/>
  <c r="E9448" i="7"/>
  <c r="E9447" i="7"/>
  <c r="E9439" i="7"/>
  <c r="E9440" i="7"/>
  <c r="E9441" i="7"/>
  <c r="E9438" i="7"/>
  <c r="E9437" i="7"/>
  <c r="K9436" i="7"/>
  <c r="L9437" i="7" s="1"/>
  <c r="E9436" i="7"/>
  <c r="E9435" i="7"/>
  <c r="K9434" i="7"/>
  <c r="L9435" i="7" s="1"/>
  <c r="E9434" i="7"/>
  <c r="L9433" i="7"/>
  <c r="E9433" i="7"/>
  <c r="E9432" i="7"/>
  <c r="L9431" i="7"/>
  <c r="E9431" i="7"/>
  <c r="E9430" i="7"/>
  <c r="L9429" i="7"/>
  <c r="E9429" i="7"/>
  <c r="E9428" i="7"/>
  <c r="L9427" i="7"/>
  <c r="E9427" i="7"/>
  <c r="E9426" i="7"/>
  <c r="L9425" i="7"/>
  <c r="E9425" i="7"/>
  <c r="E9424" i="7"/>
  <c r="L9423" i="7"/>
  <c r="E9423" i="7"/>
  <c r="E9422" i="7"/>
  <c r="L9421" i="7"/>
  <c r="E9421" i="7"/>
  <c r="E9420" i="7"/>
  <c r="E9377" i="7"/>
  <c r="E9376" i="7"/>
  <c r="E9375" i="7"/>
  <c r="E9418" i="7" l="1"/>
  <c r="E9417" i="7"/>
  <c r="E9416" i="7"/>
  <c r="D468" i="57"/>
  <c r="D469" i="57"/>
  <c r="D470" i="57"/>
  <c r="D471" i="57"/>
  <c r="D472" i="57"/>
  <c r="D473" i="57"/>
  <c r="D474" i="57"/>
  <c r="R474" i="57"/>
  <c r="P474" i="57"/>
  <c r="N474" i="57"/>
  <c r="L474" i="57"/>
  <c r="J474" i="57"/>
  <c r="H474" i="57"/>
  <c r="F474" i="57"/>
  <c r="R473" i="57"/>
  <c r="P473" i="57"/>
  <c r="N473" i="57"/>
  <c r="L473" i="57"/>
  <c r="J473" i="57"/>
  <c r="H473" i="57"/>
  <c r="F473" i="57"/>
  <c r="R472" i="57"/>
  <c r="P472" i="57"/>
  <c r="N472" i="57"/>
  <c r="L472" i="57"/>
  <c r="J472" i="57"/>
  <c r="H472" i="57"/>
  <c r="F472" i="57"/>
  <c r="R471" i="57"/>
  <c r="P471" i="57"/>
  <c r="N471" i="57"/>
  <c r="L471" i="57"/>
  <c r="J471" i="57"/>
  <c r="H471" i="57"/>
  <c r="F471" i="57"/>
  <c r="R470" i="57"/>
  <c r="P470" i="57"/>
  <c r="N470" i="57"/>
  <c r="L470" i="57"/>
  <c r="J470" i="57"/>
  <c r="H470" i="57"/>
  <c r="F470" i="57"/>
  <c r="R469" i="57"/>
  <c r="P469" i="57"/>
  <c r="N469" i="57"/>
  <c r="L469" i="57"/>
  <c r="J469" i="57"/>
  <c r="H469" i="57"/>
  <c r="F469" i="57"/>
  <c r="R468" i="57"/>
  <c r="P468" i="57"/>
  <c r="N468" i="57"/>
  <c r="L468" i="57"/>
  <c r="J468" i="57"/>
  <c r="H468" i="57"/>
  <c r="F468" i="57"/>
  <c r="L9419" i="7"/>
  <c r="E9419" i="7"/>
  <c r="E9415" i="7"/>
  <c r="L9414" i="7"/>
  <c r="E9414" i="7"/>
  <c r="E9413" i="7"/>
  <c r="E9412" i="7"/>
  <c r="E9411" i="7"/>
  <c r="E9410" i="7"/>
  <c r="E9409" i="7"/>
  <c r="E9408" i="7"/>
  <c r="E9407" i="7"/>
  <c r="E9406" i="7"/>
  <c r="E9401" i="7"/>
  <c r="E9400" i="7"/>
  <c r="E9399" i="7"/>
  <c r="E9398" i="7"/>
  <c r="E9397" i="7"/>
  <c r="E9374" i="7"/>
  <c r="E9373" i="7"/>
  <c r="E9372" i="7"/>
  <c r="E9371" i="7"/>
  <c r="E9370" i="7"/>
  <c r="L9405" i="7"/>
  <c r="E9405" i="7"/>
  <c r="E9404" i="7"/>
  <c r="L9403" i="7"/>
  <c r="E9403" i="7"/>
  <c r="E9402" i="7"/>
  <c r="L9396" i="7"/>
  <c r="E9396" i="7"/>
  <c r="E9395" i="7"/>
  <c r="E9385" i="7"/>
  <c r="E9384" i="7"/>
  <c r="E9383" i="7"/>
  <c r="E9388" i="7"/>
  <c r="E9387" i="7"/>
  <c r="E9386" i="7"/>
  <c r="E9391" i="7"/>
  <c r="E9390" i="7"/>
  <c r="E9389" i="7"/>
  <c r="E9394" i="7"/>
  <c r="E9393" i="7"/>
  <c r="E9392" i="7"/>
  <c r="E9382" i="7"/>
  <c r="E9381" i="7"/>
  <c r="E9380" i="7"/>
  <c r="L9379" i="7" l="1"/>
  <c r="E9379" i="7"/>
  <c r="E9378" i="7"/>
  <c r="E9351" i="7"/>
  <c r="E9350" i="7"/>
  <c r="E9349" i="7"/>
  <c r="E9348" i="7"/>
  <c r="E9369" i="7"/>
  <c r="K9368" i="7"/>
  <c r="L9369" i="7" s="1"/>
  <c r="E9368" i="7"/>
  <c r="E9367" i="7"/>
  <c r="K9366" i="7"/>
  <c r="L9367" i="7" s="1"/>
  <c r="E9366" i="7"/>
  <c r="L9365" i="7"/>
  <c r="E9365" i="7"/>
  <c r="E9364" i="7"/>
  <c r="L9363" i="7"/>
  <c r="E9363" i="7"/>
  <c r="E9362" i="7"/>
  <c r="L9361" i="7"/>
  <c r="E9361" i="7"/>
  <c r="E9360" i="7"/>
  <c r="L9359" i="7"/>
  <c r="E9359" i="7"/>
  <c r="E9358" i="7"/>
  <c r="L9357" i="7"/>
  <c r="E9357" i="7"/>
  <c r="E9356" i="7"/>
  <c r="L9355" i="7"/>
  <c r="E9355" i="7"/>
  <c r="E9354" i="7"/>
  <c r="L9353" i="7"/>
  <c r="E9353" i="7"/>
  <c r="E9352" i="7"/>
  <c r="D461" i="57"/>
  <c r="D462" i="57"/>
  <c r="D463" i="57"/>
  <c r="D464" i="57"/>
  <c r="D465" i="57"/>
  <c r="D466" i="57"/>
  <c r="D467" i="57"/>
  <c r="F461" i="57"/>
  <c r="F462" i="57"/>
  <c r="F463" i="57"/>
  <c r="F464" i="57"/>
  <c r="F465" i="57"/>
  <c r="F466" i="57"/>
  <c r="F467" i="57"/>
  <c r="R467" i="57"/>
  <c r="P467" i="57"/>
  <c r="N467" i="57"/>
  <c r="L467" i="57"/>
  <c r="J467" i="57"/>
  <c r="H467" i="57"/>
  <c r="R466" i="57"/>
  <c r="P466" i="57"/>
  <c r="N466" i="57"/>
  <c r="L466" i="57"/>
  <c r="J466" i="57"/>
  <c r="H466" i="57"/>
  <c r="R465" i="57"/>
  <c r="P465" i="57"/>
  <c r="N465" i="57"/>
  <c r="L465" i="57"/>
  <c r="J465" i="57"/>
  <c r="H465" i="57"/>
  <c r="R464" i="57"/>
  <c r="P464" i="57"/>
  <c r="N464" i="57"/>
  <c r="L464" i="57"/>
  <c r="J464" i="57"/>
  <c r="H464" i="57"/>
  <c r="R463" i="57"/>
  <c r="P463" i="57"/>
  <c r="N463" i="57"/>
  <c r="L463" i="57"/>
  <c r="J463" i="57"/>
  <c r="H463" i="57"/>
  <c r="R462" i="57"/>
  <c r="P462" i="57"/>
  <c r="N462" i="57"/>
  <c r="L462" i="57"/>
  <c r="J462" i="57"/>
  <c r="H462" i="57"/>
  <c r="R461" i="57"/>
  <c r="P461" i="57"/>
  <c r="N461" i="57"/>
  <c r="L461" i="57"/>
  <c r="J461" i="57"/>
  <c r="H461" i="57"/>
  <c r="L9345" i="7"/>
  <c r="E9345" i="7"/>
  <c r="E9344" i="7"/>
  <c r="E9343" i="7" l="1"/>
  <c r="E9342" i="7"/>
  <c r="E9341" i="7"/>
  <c r="E9332" i="7" l="1"/>
  <c r="E9331" i="7"/>
  <c r="E9330" i="7"/>
  <c r="L9347" i="7" l="1"/>
  <c r="E9347" i="7"/>
  <c r="E9346" i="7"/>
  <c r="L9340" i="7"/>
  <c r="E9340" i="7"/>
  <c r="E9339" i="7"/>
  <c r="L9338" i="7"/>
  <c r="E9338" i="7"/>
  <c r="E9337" i="7"/>
  <c r="L9336" i="7"/>
  <c r="E9336" i="7"/>
  <c r="E9335" i="7"/>
  <c r="L9334" i="7"/>
  <c r="E9334" i="7"/>
  <c r="E9333" i="7"/>
  <c r="E9329" i="7" l="1"/>
  <c r="E9328" i="7"/>
  <c r="E9327" i="7"/>
  <c r="L9326" i="7"/>
  <c r="E9326" i="7"/>
  <c r="E9325" i="7"/>
  <c r="E9324" i="7"/>
  <c r="E9323" i="7"/>
  <c r="E9322" i="7"/>
  <c r="E9321" i="7"/>
  <c r="E9320" i="7"/>
  <c r="L9319" i="7"/>
  <c r="E9319" i="7"/>
  <c r="E9318" i="7"/>
  <c r="E9299" i="7" l="1"/>
  <c r="E9298" i="7"/>
  <c r="E9297" i="7"/>
  <c r="E9296" i="7"/>
  <c r="E9295" i="7"/>
  <c r="E8101" i="7"/>
  <c r="E8100" i="7"/>
  <c r="E8097" i="7"/>
  <c r="L8096" i="7"/>
  <c r="E8096" i="7"/>
  <c r="E8095" i="7"/>
  <c r="E8094" i="7"/>
  <c r="E8093" i="7"/>
  <c r="L8092" i="7"/>
  <c r="E8092" i="7"/>
  <c r="E8091" i="7"/>
  <c r="E8090" i="7"/>
  <c r="K8089" i="7"/>
  <c r="E8089" i="7"/>
  <c r="E8088" i="7"/>
  <c r="E8087" i="7"/>
  <c r="E8086" i="7"/>
  <c r="E8085" i="7"/>
  <c r="K8084" i="7"/>
  <c r="E8084" i="7"/>
  <c r="E8083" i="7"/>
  <c r="E8082" i="7"/>
  <c r="E8081" i="7"/>
  <c r="E8080" i="7"/>
  <c r="E8079" i="7"/>
  <c r="E8078" i="7"/>
  <c r="K8077" i="7"/>
  <c r="E8077" i="7"/>
  <c r="E8076" i="7"/>
  <c r="E8075" i="7"/>
  <c r="L8074" i="7"/>
  <c r="E8074" i="7"/>
  <c r="E8073" i="7"/>
  <c r="E8072" i="7"/>
  <c r="E8071" i="7"/>
  <c r="E8070" i="7"/>
  <c r="L8069" i="7"/>
  <c r="E8069" i="7"/>
  <c r="E8068" i="7"/>
  <c r="E8067" i="7"/>
  <c r="E8066" i="7"/>
  <c r="E8065" i="7"/>
  <c r="K8064" i="7"/>
  <c r="E8064" i="7"/>
  <c r="E8063" i="7"/>
  <c r="E8062" i="7"/>
  <c r="E8061" i="7"/>
  <c r="E8060" i="7"/>
  <c r="E8059" i="7"/>
  <c r="E8058" i="7"/>
  <c r="E8057" i="7"/>
  <c r="E8056" i="7"/>
  <c r="E8055" i="7"/>
  <c r="E8054" i="7"/>
  <c r="E8053" i="7"/>
  <c r="E8052" i="7"/>
  <c r="E8051" i="7"/>
  <c r="E8050" i="7"/>
  <c r="E8049" i="7"/>
  <c r="E8048" i="7"/>
  <c r="E8047" i="7"/>
  <c r="E8046" i="7"/>
  <c r="E8045" i="7"/>
  <c r="E8044" i="7"/>
  <c r="E8043" i="7"/>
  <c r="E8042" i="7"/>
  <c r="E8041" i="7"/>
  <c r="E8040" i="7"/>
  <c r="E8039" i="7"/>
  <c r="E8038" i="7"/>
  <c r="E8037" i="7"/>
  <c r="E8036" i="7"/>
  <c r="K8035" i="7"/>
  <c r="L8036" i="7" s="1"/>
  <c r="E8035" i="7"/>
  <c r="E8034" i="7"/>
  <c r="E8033" i="7"/>
  <c r="E8032" i="7"/>
  <c r="E8031" i="7"/>
  <c r="E8030" i="7"/>
  <c r="E8029" i="7"/>
  <c r="E8028" i="7"/>
  <c r="E8027" i="7"/>
  <c r="E8026" i="7"/>
  <c r="E8025" i="7"/>
  <c r="E8024" i="7"/>
  <c r="E8023" i="7"/>
  <c r="E8022" i="7"/>
  <c r="E8021" i="7"/>
  <c r="E8020" i="7"/>
  <c r="E8019" i="7"/>
  <c r="E8018" i="7"/>
  <c r="E8017" i="7"/>
  <c r="E8016" i="7"/>
  <c r="E8015" i="7"/>
  <c r="E8014" i="7"/>
  <c r="E8013" i="7"/>
  <c r="E8012" i="7"/>
  <c r="L8676" i="7" l="1"/>
  <c r="E8676" i="7"/>
  <c r="E8675" i="7"/>
  <c r="L8178" i="7"/>
  <c r="E8178" i="7"/>
  <c r="E8177" i="7"/>
  <c r="E8393" i="7"/>
  <c r="E8392" i="7"/>
  <c r="E8391" i="7"/>
  <c r="E8390" i="7"/>
  <c r="E9290" i="7"/>
  <c r="E9289" i="7"/>
  <c r="E9288" i="7"/>
  <c r="L9294" i="7"/>
  <c r="E9294" i="7"/>
  <c r="E9293" i="7"/>
  <c r="L9292" i="7"/>
  <c r="E9292" i="7"/>
  <c r="E9291" i="7"/>
  <c r="E9287" i="7" l="1"/>
  <c r="E9286" i="7"/>
  <c r="E9285" i="7"/>
  <c r="E9284" i="7"/>
  <c r="E9283" i="7"/>
  <c r="E9317" i="7" l="1"/>
  <c r="K9316" i="7"/>
  <c r="L9317" i="7" s="1"/>
  <c r="E9316" i="7"/>
  <c r="E9315" i="7"/>
  <c r="K9314" i="7"/>
  <c r="L9315" i="7" s="1"/>
  <c r="E9314" i="7"/>
  <c r="L9313" i="7"/>
  <c r="E9313" i="7"/>
  <c r="E9312" i="7"/>
  <c r="L9311" i="7"/>
  <c r="E9311" i="7"/>
  <c r="E9310" i="7"/>
  <c r="L9309" i="7"/>
  <c r="E9309" i="7"/>
  <c r="E9308" i="7"/>
  <c r="L9307" i="7"/>
  <c r="E9307" i="7"/>
  <c r="E9306" i="7"/>
  <c r="L9305" i="7"/>
  <c r="E9305" i="7"/>
  <c r="E9304" i="7"/>
  <c r="L9303" i="7"/>
  <c r="E9303" i="7"/>
  <c r="E9302" i="7"/>
  <c r="L9301" i="7"/>
  <c r="E9301" i="7"/>
  <c r="E9300" i="7"/>
  <c r="D454" i="57"/>
  <c r="D455" i="57"/>
  <c r="D456" i="57"/>
  <c r="D457" i="57"/>
  <c r="D458" i="57"/>
  <c r="D459" i="57"/>
  <c r="D460" i="57"/>
  <c r="R460" i="57"/>
  <c r="P460" i="57"/>
  <c r="N460" i="57"/>
  <c r="L460" i="57"/>
  <c r="J460" i="57"/>
  <c r="H460" i="57"/>
  <c r="F460" i="57"/>
  <c r="R459" i="57"/>
  <c r="P459" i="57"/>
  <c r="N459" i="57"/>
  <c r="L459" i="57"/>
  <c r="J459" i="57"/>
  <c r="H459" i="57"/>
  <c r="F459" i="57"/>
  <c r="R458" i="57"/>
  <c r="P458" i="57"/>
  <c r="N458" i="57"/>
  <c r="L458" i="57"/>
  <c r="J458" i="57"/>
  <c r="H458" i="57"/>
  <c r="F458" i="57"/>
  <c r="R457" i="57"/>
  <c r="P457" i="57"/>
  <c r="N457" i="57"/>
  <c r="L457" i="57"/>
  <c r="J457" i="57"/>
  <c r="H457" i="57"/>
  <c r="F457" i="57"/>
  <c r="R456" i="57"/>
  <c r="P456" i="57"/>
  <c r="N456" i="57"/>
  <c r="L456" i="57"/>
  <c r="J456" i="57"/>
  <c r="H456" i="57"/>
  <c r="F456" i="57"/>
  <c r="R455" i="57"/>
  <c r="P455" i="57"/>
  <c r="N455" i="57"/>
  <c r="L455" i="57"/>
  <c r="J455" i="57"/>
  <c r="H455" i="57"/>
  <c r="F455" i="57"/>
  <c r="R454" i="57"/>
  <c r="P454" i="57"/>
  <c r="N454" i="57"/>
  <c r="L454" i="57"/>
  <c r="J454" i="57"/>
  <c r="H454" i="57"/>
  <c r="F454" i="57"/>
  <c r="L9282" i="7"/>
  <c r="E9282" i="7"/>
  <c r="E9281" i="7"/>
  <c r="L9280" i="7"/>
  <c r="E9280" i="7"/>
  <c r="E9279" i="7"/>
  <c r="L9278" i="7"/>
  <c r="E9278" i="7"/>
  <c r="E9277" i="7"/>
  <c r="E9244" i="7"/>
  <c r="E9243" i="7"/>
  <c r="E9242" i="7"/>
  <c r="E9241" i="7"/>
  <c r="E9240" i="7"/>
  <c r="E9239" i="7"/>
  <c r="E9276" i="7"/>
  <c r="E9275" i="7"/>
  <c r="E9274" i="7"/>
  <c r="L9258" i="7" l="1"/>
  <c r="E9258" i="7"/>
  <c r="E9257" i="7"/>
  <c r="E9256" i="7"/>
  <c r="E9255" i="7"/>
  <c r="E9254" i="7"/>
  <c r="E9220" i="7" l="1"/>
  <c r="E9219" i="7"/>
  <c r="E9273" i="7"/>
  <c r="E9272" i="7"/>
  <c r="E9271" i="7"/>
  <c r="E9270" i="7"/>
  <c r="E9269" i="7"/>
  <c r="L9268" i="7" l="1"/>
  <c r="E9268" i="7"/>
  <c r="E9267" i="7"/>
  <c r="E9261" i="7"/>
  <c r="E9260" i="7"/>
  <c r="E9259" i="7"/>
  <c r="L9248" i="7"/>
  <c r="E9248" i="7"/>
  <c r="E9247" i="7"/>
  <c r="L9246" i="7"/>
  <c r="E9246" i="7"/>
  <c r="E9245" i="7"/>
  <c r="E9266" i="7"/>
  <c r="E9265" i="7"/>
  <c r="E9264" i="7"/>
  <c r="E9263" i="7"/>
  <c r="E9262" i="7"/>
  <c r="E9253" i="7"/>
  <c r="E9252" i="7"/>
  <c r="E9251" i="7"/>
  <c r="E9250" i="7"/>
  <c r="E9249" i="7"/>
  <c r="E9218" i="7" l="1"/>
  <c r="E9217" i="7"/>
  <c r="E9216" i="7"/>
  <c r="D447" i="57" l="1"/>
  <c r="D448" i="57"/>
  <c r="D449" i="57"/>
  <c r="D450" i="57"/>
  <c r="D451" i="57"/>
  <c r="D452" i="57"/>
  <c r="D453" i="57"/>
  <c r="R453" i="57"/>
  <c r="P453" i="57"/>
  <c r="N453" i="57"/>
  <c r="L453" i="57"/>
  <c r="J453" i="57"/>
  <c r="H453" i="57"/>
  <c r="F453" i="57"/>
  <c r="R452" i="57"/>
  <c r="P452" i="57"/>
  <c r="N452" i="57"/>
  <c r="L452" i="57"/>
  <c r="J452" i="57"/>
  <c r="H452" i="57"/>
  <c r="F452" i="57"/>
  <c r="R451" i="57"/>
  <c r="P451" i="57"/>
  <c r="N451" i="57"/>
  <c r="L451" i="57"/>
  <c r="J451" i="57"/>
  <c r="H451" i="57"/>
  <c r="F451" i="57"/>
  <c r="R450" i="57"/>
  <c r="P450" i="57"/>
  <c r="N450" i="57"/>
  <c r="L450" i="57"/>
  <c r="J450" i="57"/>
  <c r="H450" i="57"/>
  <c r="F450" i="57"/>
  <c r="R449" i="57"/>
  <c r="P449" i="57"/>
  <c r="N449" i="57"/>
  <c r="L449" i="57"/>
  <c r="J449" i="57"/>
  <c r="H449" i="57"/>
  <c r="F449" i="57"/>
  <c r="R448" i="57"/>
  <c r="P448" i="57"/>
  <c r="N448" i="57"/>
  <c r="L448" i="57"/>
  <c r="J448" i="57"/>
  <c r="H448" i="57"/>
  <c r="F448" i="57"/>
  <c r="R447" i="57"/>
  <c r="P447" i="57"/>
  <c r="N447" i="57"/>
  <c r="L447" i="57"/>
  <c r="J447" i="57"/>
  <c r="H447" i="57"/>
  <c r="F447" i="57"/>
  <c r="E9238" i="7"/>
  <c r="K9237" i="7"/>
  <c r="L9238" i="7" s="1"/>
  <c r="E9237" i="7"/>
  <c r="E9236" i="7"/>
  <c r="K9235" i="7"/>
  <c r="L9236" i="7" s="1"/>
  <c r="E9235" i="7"/>
  <c r="L9234" i="7"/>
  <c r="E9234" i="7"/>
  <c r="E9233" i="7"/>
  <c r="L9232" i="7"/>
  <c r="E9232" i="7"/>
  <c r="E9231" i="7"/>
  <c r="L9230" i="7"/>
  <c r="E9230" i="7"/>
  <c r="E9229" i="7"/>
  <c r="L9228" i="7"/>
  <c r="E9228" i="7"/>
  <c r="E9227" i="7"/>
  <c r="L9226" i="7"/>
  <c r="E9226" i="7"/>
  <c r="E9225" i="7"/>
  <c r="L9224" i="7"/>
  <c r="E9224" i="7"/>
  <c r="E9223" i="7"/>
  <c r="L9222" i="7"/>
  <c r="E9222" i="7"/>
  <c r="E9221" i="7"/>
  <c r="E9215" i="7"/>
  <c r="E9214" i="7"/>
  <c r="E9213" i="7"/>
  <c r="E9212" i="7"/>
  <c r="E9211" i="7"/>
  <c r="E9210" i="7"/>
  <c r="E9209" i="7"/>
  <c r="E9208" i="7"/>
  <c r="E9207" i="7"/>
  <c r="E9206" i="7"/>
  <c r="L9199" i="7" l="1"/>
  <c r="E9199" i="7"/>
  <c r="E9198" i="7"/>
  <c r="E9205" i="7"/>
  <c r="E9204" i="7"/>
  <c r="E9203" i="7"/>
  <c r="E9202" i="7"/>
  <c r="E9201" i="7"/>
  <c r="E9200" i="7"/>
  <c r="E9197" i="7" l="1"/>
  <c r="E9196" i="7"/>
  <c r="E9195" i="7"/>
  <c r="E9194" i="7"/>
  <c r="E9193" i="7"/>
  <c r="E9188" i="7"/>
  <c r="E9187" i="7"/>
  <c r="E9186" i="7"/>
  <c r="L9192" i="7" l="1"/>
  <c r="E9192" i="7"/>
  <c r="E9191" i="7"/>
  <c r="L9190" i="7"/>
  <c r="E9190" i="7"/>
  <c r="E9189" i="7"/>
  <c r="E9185" i="7"/>
  <c r="K9184" i="7"/>
  <c r="L9185" i="7" s="1"/>
  <c r="E9184" i="7"/>
  <c r="E9183" i="7"/>
  <c r="K9182" i="7"/>
  <c r="L9183" i="7" s="1"/>
  <c r="E9182" i="7"/>
  <c r="L9181" i="7"/>
  <c r="E9181" i="7"/>
  <c r="E9180" i="7"/>
  <c r="L9179" i="7"/>
  <c r="E9179" i="7"/>
  <c r="E9178" i="7"/>
  <c r="L9177" i="7"/>
  <c r="E9177" i="7"/>
  <c r="E9176" i="7"/>
  <c r="L9175" i="7"/>
  <c r="E9175" i="7"/>
  <c r="E9174" i="7"/>
  <c r="L9173" i="7"/>
  <c r="E9173" i="7"/>
  <c r="E9172" i="7"/>
  <c r="L9171" i="7"/>
  <c r="E9171" i="7"/>
  <c r="E9170" i="7"/>
  <c r="L9169" i="7"/>
  <c r="E9169" i="7"/>
  <c r="E9168" i="7"/>
  <c r="L9167" i="7" l="1"/>
  <c r="E9167" i="7"/>
  <c r="E9166" i="7"/>
  <c r="L9165" i="7"/>
  <c r="E9165" i="7"/>
  <c r="E9164" i="7"/>
  <c r="D440" i="57"/>
  <c r="D441" i="57"/>
  <c r="D442" i="57"/>
  <c r="D443" i="57"/>
  <c r="D444" i="57"/>
  <c r="D445" i="57"/>
  <c r="D446" i="57"/>
  <c r="R446" i="57"/>
  <c r="P446" i="57"/>
  <c r="N446" i="57"/>
  <c r="L446" i="57"/>
  <c r="J446" i="57"/>
  <c r="H446" i="57"/>
  <c r="F446" i="57"/>
  <c r="R445" i="57"/>
  <c r="P445" i="57"/>
  <c r="N445" i="57"/>
  <c r="L445" i="57"/>
  <c r="J445" i="57"/>
  <c r="H445" i="57"/>
  <c r="F445" i="57"/>
  <c r="R444" i="57"/>
  <c r="P444" i="57"/>
  <c r="N444" i="57"/>
  <c r="L444" i="57"/>
  <c r="J444" i="57"/>
  <c r="H444" i="57"/>
  <c r="F444" i="57"/>
  <c r="R443" i="57"/>
  <c r="P443" i="57"/>
  <c r="N443" i="57"/>
  <c r="L443" i="57"/>
  <c r="J443" i="57"/>
  <c r="H443" i="57"/>
  <c r="F443" i="57"/>
  <c r="R442" i="57"/>
  <c r="P442" i="57"/>
  <c r="N442" i="57"/>
  <c r="L442" i="57"/>
  <c r="J442" i="57"/>
  <c r="H442" i="57"/>
  <c r="F442" i="57"/>
  <c r="R441" i="57"/>
  <c r="P441" i="57"/>
  <c r="N441" i="57"/>
  <c r="L441" i="57"/>
  <c r="J441" i="57"/>
  <c r="H441" i="57"/>
  <c r="F441" i="57"/>
  <c r="R440" i="57"/>
  <c r="P440" i="57"/>
  <c r="N440" i="57"/>
  <c r="L440" i="57"/>
  <c r="J440" i="57"/>
  <c r="H440" i="57"/>
  <c r="F440" i="57"/>
  <c r="E9163" i="7"/>
  <c r="E9162" i="7"/>
  <c r="E9161" i="7"/>
  <c r="E9160" i="7"/>
  <c r="E9159" i="7"/>
  <c r="E9158" i="7"/>
  <c r="E9113" i="7" l="1"/>
  <c r="E9112" i="7"/>
  <c r="E9111" i="7"/>
  <c r="L9157" i="7" l="1"/>
  <c r="E9157" i="7"/>
  <c r="E9156" i="7"/>
  <c r="L9155" i="7"/>
  <c r="E9155" i="7"/>
  <c r="E9154" i="7"/>
  <c r="E9153" i="7"/>
  <c r="E9152" i="7"/>
  <c r="E9151" i="7"/>
  <c r="E9150" i="7"/>
  <c r="E9149" i="7"/>
  <c r="L9148" i="7" l="1"/>
  <c r="E9148" i="7"/>
  <c r="E9147" i="7"/>
  <c r="L9137" i="7"/>
  <c r="E9137" i="7"/>
  <c r="E9136" i="7"/>
  <c r="E9146" i="7"/>
  <c r="E9145" i="7"/>
  <c r="E9144" i="7"/>
  <c r="E9135" i="7"/>
  <c r="E9134" i="7"/>
  <c r="E9133" i="7"/>
  <c r="L9143" i="7" l="1"/>
  <c r="E9143" i="7"/>
  <c r="E9142" i="7"/>
  <c r="L9129" i="7"/>
  <c r="E9129" i="7"/>
  <c r="E9128" i="7"/>
  <c r="L9100" i="7"/>
  <c r="E9100" i="7"/>
  <c r="E9099" i="7"/>
  <c r="L9141" i="7"/>
  <c r="E9141" i="7"/>
  <c r="E9140" i="7"/>
  <c r="L9139" i="7"/>
  <c r="E9139" i="7"/>
  <c r="E9138" i="7"/>
  <c r="E9132" i="7"/>
  <c r="E9131" i="7"/>
  <c r="E9130" i="7"/>
  <c r="L9127" i="7"/>
  <c r="E9127" i="7"/>
  <c r="E9126" i="7"/>
  <c r="L9125" i="7"/>
  <c r="E9125" i="7"/>
  <c r="E9124" i="7"/>
  <c r="E9123" i="7" l="1"/>
  <c r="E9122" i="7"/>
  <c r="E9121" i="7"/>
  <c r="E9120" i="7"/>
  <c r="E9119" i="7"/>
  <c r="E9118" i="7"/>
  <c r="E9117" i="7"/>
  <c r="E9116" i="7"/>
  <c r="E9115" i="7"/>
  <c r="E9114" i="7"/>
  <c r="E9110" i="7"/>
  <c r="E9109" i="7"/>
  <c r="E9108" i="7"/>
  <c r="E9107" i="7"/>
  <c r="E9106" i="7"/>
  <c r="E9105" i="7"/>
  <c r="E9104" i="7"/>
  <c r="E9103" i="7"/>
  <c r="E9102" i="7"/>
  <c r="E9101" i="7"/>
  <c r="L9098" i="7"/>
  <c r="E9098" i="7"/>
  <c r="E9097" i="7"/>
  <c r="E9096" i="7"/>
  <c r="K9095" i="7"/>
  <c r="L9096" i="7" s="1"/>
  <c r="E9095" i="7"/>
  <c r="E9094" i="7"/>
  <c r="K9093" i="7"/>
  <c r="L9094" i="7" s="1"/>
  <c r="E9093" i="7"/>
  <c r="L9092" i="7"/>
  <c r="E9092" i="7"/>
  <c r="E9091" i="7"/>
  <c r="L9090" i="7"/>
  <c r="E9090" i="7"/>
  <c r="E9089" i="7"/>
  <c r="L9088" i="7"/>
  <c r="E9088" i="7"/>
  <c r="E9087" i="7"/>
  <c r="L9086" i="7"/>
  <c r="E9086" i="7"/>
  <c r="E9085" i="7"/>
  <c r="L9084" i="7"/>
  <c r="E9084" i="7"/>
  <c r="E9083" i="7"/>
  <c r="L9082" i="7"/>
  <c r="E9082" i="7"/>
  <c r="E9081" i="7"/>
  <c r="L9080" i="7"/>
  <c r="E9080" i="7"/>
  <c r="E9079" i="7"/>
  <c r="E9078" i="7"/>
  <c r="E9077" i="7"/>
  <c r="E9076" i="7"/>
  <c r="E9032" i="7"/>
  <c r="E9031" i="7"/>
  <c r="E9030" i="7"/>
  <c r="E9029" i="7"/>
  <c r="E9028" i="7"/>
  <c r="E9027" i="7"/>
  <c r="E9026" i="7"/>
  <c r="E9025" i="7"/>
  <c r="L9075" i="7" l="1"/>
  <c r="E9075" i="7"/>
  <c r="E9074" i="7"/>
  <c r="L9073" i="7"/>
  <c r="E9073" i="7"/>
  <c r="E9072" i="7"/>
  <c r="L9071" i="7"/>
  <c r="E9071" i="7"/>
  <c r="E9070" i="7"/>
  <c r="L9069" i="7"/>
  <c r="E9069" i="7"/>
  <c r="E9068" i="7"/>
  <c r="L9067" i="7"/>
  <c r="E9067" i="7"/>
  <c r="E9066" i="7"/>
  <c r="L9048" i="7"/>
  <c r="E9048" i="7"/>
  <c r="E9047" i="7"/>
  <c r="E9051" i="7"/>
  <c r="E9050" i="7"/>
  <c r="E9049" i="7"/>
  <c r="L9024" i="7"/>
  <c r="E9024" i="7"/>
  <c r="E9023" i="7"/>
  <c r="E9022" i="7"/>
  <c r="E9021" i="7"/>
  <c r="E9020" i="7"/>
  <c r="L9065" i="7"/>
  <c r="E9065" i="7"/>
  <c r="E9064" i="7"/>
  <c r="L9046" i="7"/>
  <c r="E9046" i="7"/>
  <c r="E9045" i="7"/>
  <c r="E9057" i="7"/>
  <c r="E9056" i="7"/>
  <c r="E9055" i="7"/>
  <c r="E9063" i="7"/>
  <c r="E9062" i="7"/>
  <c r="E9061" i="7"/>
  <c r="E9019" i="7"/>
  <c r="E9018" i="7"/>
  <c r="E9017" i="7"/>
  <c r="E9035" i="7"/>
  <c r="E9034" i="7"/>
  <c r="E9033" i="7"/>
  <c r="E9038" i="7"/>
  <c r="E9037" i="7"/>
  <c r="E9036" i="7"/>
  <c r="E9041" i="7"/>
  <c r="E9040" i="7"/>
  <c r="E9039" i="7"/>
  <c r="E9044" i="7"/>
  <c r="E9043" i="7"/>
  <c r="E9042" i="7"/>
  <c r="E9054" i="7"/>
  <c r="E9053" i="7"/>
  <c r="E9052" i="7"/>
  <c r="E9060" i="7"/>
  <c r="E9059" i="7"/>
  <c r="E9058" i="7"/>
  <c r="E9016" i="7"/>
  <c r="E9015" i="7"/>
  <c r="E9014" i="7"/>
  <c r="E9013" i="7"/>
  <c r="E9012" i="7"/>
  <c r="E9011" i="7"/>
  <c r="K9007" i="7" l="1"/>
  <c r="E9010" i="7"/>
  <c r="E9009" i="7"/>
  <c r="E9008" i="7"/>
  <c r="E9007" i="7"/>
  <c r="L9006" i="7"/>
  <c r="E9006" i="7"/>
  <c r="E9005" i="7"/>
  <c r="L9004" i="7"/>
  <c r="E9004" i="7"/>
  <c r="E9003" i="7"/>
  <c r="E9002" i="7"/>
  <c r="E9001" i="7"/>
  <c r="E9000" i="7"/>
  <c r="E8999" i="7"/>
  <c r="E8998" i="7"/>
  <c r="E8997" i="7"/>
  <c r="E8996" i="7"/>
  <c r="E8995" i="7"/>
  <c r="E8994" i="7"/>
  <c r="L8993" i="7" l="1"/>
  <c r="E8993" i="7"/>
  <c r="E8992" i="7"/>
  <c r="L8991" i="7"/>
  <c r="E8991" i="7"/>
  <c r="E8990" i="7"/>
  <c r="E8976" i="7"/>
  <c r="E8975" i="7"/>
  <c r="E8974" i="7"/>
  <c r="L8973" i="7"/>
  <c r="E8973" i="7"/>
  <c r="E8972" i="7"/>
  <c r="L8971" i="7"/>
  <c r="E8971" i="7"/>
  <c r="E8970" i="7"/>
  <c r="L8943" i="7"/>
  <c r="E8943" i="7"/>
  <c r="E8942" i="7"/>
  <c r="L8989" i="7"/>
  <c r="E8989" i="7"/>
  <c r="E8988" i="7"/>
  <c r="D433" i="57"/>
  <c r="D434" i="57"/>
  <c r="D435" i="57"/>
  <c r="D436" i="57"/>
  <c r="D437" i="57"/>
  <c r="D438" i="57"/>
  <c r="D439" i="57"/>
  <c r="R439" i="57"/>
  <c r="P439" i="57"/>
  <c r="N439" i="57"/>
  <c r="L439" i="57"/>
  <c r="J439" i="57"/>
  <c r="H439" i="57"/>
  <c r="F439" i="57"/>
  <c r="R438" i="57"/>
  <c r="P438" i="57"/>
  <c r="N438" i="57"/>
  <c r="L438" i="57"/>
  <c r="J438" i="57"/>
  <c r="H438" i="57"/>
  <c r="F438" i="57"/>
  <c r="R437" i="57"/>
  <c r="P437" i="57"/>
  <c r="N437" i="57"/>
  <c r="L437" i="57"/>
  <c r="J437" i="57"/>
  <c r="H437" i="57"/>
  <c r="F437" i="57"/>
  <c r="R436" i="57"/>
  <c r="P436" i="57"/>
  <c r="N436" i="57"/>
  <c r="L436" i="57"/>
  <c r="J436" i="57"/>
  <c r="H436" i="57"/>
  <c r="F436" i="57"/>
  <c r="R435" i="57"/>
  <c r="P435" i="57"/>
  <c r="N435" i="57"/>
  <c r="L435" i="57"/>
  <c r="J435" i="57"/>
  <c r="H435" i="57"/>
  <c r="F435" i="57"/>
  <c r="R434" i="57"/>
  <c r="P434" i="57"/>
  <c r="N434" i="57"/>
  <c r="L434" i="57"/>
  <c r="J434" i="57"/>
  <c r="H434" i="57"/>
  <c r="F434" i="57"/>
  <c r="R433" i="57"/>
  <c r="P433" i="57"/>
  <c r="N433" i="57"/>
  <c r="L433" i="57"/>
  <c r="J433" i="57"/>
  <c r="H433" i="57"/>
  <c r="F433" i="57"/>
  <c r="E8987" i="7" l="1"/>
  <c r="E8986" i="7"/>
  <c r="E8985" i="7"/>
  <c r="E8931" i="7"/>
  <c r="E8930" i="7"/>
  <c r="E8929" i="7"/>
  <c r="E8984" i="7" l="1"/>
  <c r="E8983" i="7"/>
  <c r="E8982" i="7"/>
  <c r="E8981" i="7"/>
  <c r="E8980" i="7"/>
  <c r="E8979" i="7"/>
  <c r="E8978" i="7"/>
  <c r="E8977" i="7"/>
  <c r="E8969" i="7"/>
  <c r="E8968" i="7"/>
  <c r="E8967" i="7"/>
  <c r="E8966" i="7"/>
  <c r="E8965" i="7"/>
  <c r="E8964" i="7"/>
  <c r="E8963" i="7"/>
  <c r="E8962" i="7"/>
  <c r="E8941" i="7" l="1"/>
  <c r="E8940" i="7"/>
  <c r="E8939" i="7"/>
  <c r="E8938" i="7"/>
  <c r="E8937" i="7"/>
  <c r="E8936" i="7"/>
  <c r="E8935" i="7"/>
  <c r="E8934" i="7"/>
  <c r="D426" i="57" l="1"/>
  <c r="D427" i="57"/>
  <c r="D428" i="57"/>
  <c r="D429" i="57"/>
  <c r="D430" i="57"/>
  <c r="D431" i="57"/>
  <c r="D432" i="57"/>
  <c r="R432" i="57"/>
  <c r="P432" i="57"/>
  <c r="N432" i="57"/>
  <c r="L432" i="57"/>
  <c r="J432" i="57"/>
  <c r="H432" i="57"/>
  <c r="F432" i="57"/>
  <c r="R431" i="57"/>
  <c r="P431" i="57"/>
  <c r="N431" i="57"/>
  <c r="L431" i="57"/>
  <c r="J431" i="57"/>
  <c r="H431" i="57"/>
  <c r="F431" i="57"/>
  <c r="R430" i="57"/>
  <c r="P430" i="57"/>
  <c r="N430" i="57"/>
  <c r="L430" i="57"/>
  <c r="J430" i="57"/>
  <c r="H430" i="57"/>
  <c r="F430" i="57"/>
  <c r="R429" i="57"/>
  <c r="P429" i="57"/>
  <c r="N429" i="57"/>
  <c r="L429" i="57"/>
  <c r="J429" i="57"/>
  <c r="H429" i="57"/>
  <c r="F429" i="57"/>
  <c r="R428" i="57"/>
  <c r="P428" i="57"/>
  <c r="N428" i="57"/>
  <c r="L428" i="57"/>
  <c r="J428" i="57"/>
  <c r="H428" i="57"/>
  <c r="F428" i="57"/>
  <c r="R427" i="57"/>
  <c r="P427" i="57"/>
  <c r="N427" i="57"/>
  <c r="L427" i="57"/>
  <c r="J427" i="57"/>
  <c r="H427" i="57"/>
  <c r="F427" i="57"/>
  <c r="R426" i="57"/>
  <c r="P426" i="57"/>
  <c r="N426" i="57"/>
  <c r="L426" i="57"/>
  <c r="J426" i="57"/>
  <c r="H426" i="57"/>
  <c r="F426" i="57"/>
  <c r="L8933" i="7" l="1"/>
  <c r="E8933" i="7"/>
  <c r="E8932" i="7"/>
  <c r="E8922" i="7"/>
  <c r="E8921" i="7"/>
  <c r="E8920" i="7"/>
  <c r="E8925" i="7"/>
  <c r="E8924" i="7"/>
  <c r="E8923" i="7"/>
  <c r="E8928" i="7"/>
  <c r="E8927" i="7"/>
  <c r="E8926" i="7"/>
  <c r="E8919" i="7"/>
  <c r="E8918" i="7"/>
  <c r="E8917" i="7"/>
  <c r="E8908" i="7"/>
  <c r="E8907" i="7"/>
  <c r="E8906" i="7"/>
  <c r="E8905" i="7"/>
  <c r="E8904" i="7"/>
  <c r="E8903" i="7"/>
  <c r="E8890" i="7"/>
  <c r="E8889" i="7"/>
  <c r="E8888" i="7"/>
  <c r="L8916" i="7" l="1"/>
  <c r="E8916" i="7"/>
  <c r="E8915" i="7"/>
  <c r="L8914" i="7"/>
  <c r="E8914" i="7"/>
  <c r="E8913" i="7"/>
  <c r="E8961" i="7"/>
  <c r="K8960" i="7"/>
  <c r="L8961" i="7" s="1"/>
  <c r="E8960" i="7"/>
  <c r="E8959" i="7"/>
  <c r="K8958" i="7"/>
  <c r="L8959" i="7" s="1"/>
  <c r="E8958" i="7"/>
  <c r="L8957" i="7"/>
  <c r="E8957" i="7"/>
  <c r="E8956" i="7"/>
  <c r="L8955" i="7"/>
  <c r="E8955" i="7"/>
  <c r="E8954" i="7"/>
  <c r="L8953" i="7"/>
  <c r="E8953" i="7"/>
  <c r="E8952" i="7"/>
  <c r="L8951" i="7"/>
  <c r="E8951" i="7"/>
  <c r="E8950" i="7"/>
  <c r="L8949" i="7"/>
  <c r="E8949" i="7"/>
  <c r="E8948" i="7"/>
  <c r="L8947" i="7"/>
  <c r="E8947" i="7"/>
  <c r="E8946" i="7"/>
  <c r="L8945" i="7"/>
  <c r="E8945" i="7"/>
  <c r="E8944" i="7"/>
  <c r="L8912" i="7"/>
  <c r="E8912" i="7"/>
  <c r="E8911" i="7"/>
  <c r="E8817" i="7"/>
  <c r="E8816" i="7"/>
  <c r="E8815" i="7"/>
  <c r="L8910" i="7"/>
  <c r="E8910" i="7"/>
  <c r="E8909" i="7"/>
  <c r="L8887" i="7"/>
  <c r="E8887" i="7"/>
  <c r="E8886" i="7"/>
  <c r="E8885" i="7"/>
  <c r="E8884" i="7"/>
  <c r="L8883" i="7"/>
  <c r="E8883" i="7"/>
  <c r="E8882" i="7"/>
  <c r="L8881" i="7"/>
  <c r="E8881" i="7"/>
  <c r="E8880" i="7"/>
  <c r="E8869" i="7" l="1"/>
  <c r="E8868" i="7"/>
  <c r="E8867" i="7"/>
  <c r="L8866" i="7"/>
  <c r="E8866" i="7"/>
  <c r="E8865" i="7"/>
  <c r="L8850" i="7"/>
  <c r="E8850" i="7"/>
  <c r="E8849" i="7"/>
  <c r="E8856" i="7"/>
  <c r="E8855" i="7"/>
  <c r="K8854" i="7"/>
  <c r="L8855" i="7" s="1"/>
  <c r="E8854" i="7"/>
  <c r="K8851" i="7"/>
  <c r="L8852" i="7" s="1"/>
  <c r="E8853" i="7"/>
  <c r="E8852" i="7"/>
  <c r="E8851" i="7"/>
  <c r="E8870" i="7"/>
  <c r="E8902" i="7"/>
  <c r="E8901" i="7"/>
  <c r="E8900" i="7"/>
  <c r="E8899" i="7"/>
  <c r="E8898" i="7"/>
  <c r="E8897" i="7"/>
  <c r="E8896" i="7"/>
  <c r="E8895" i="7"/>
  <c r="E8894" i="7"/>
  <c r="E8893" i="7" l="1"/>
  <c r="E8892" i="7"/>
  <c r="E8891" i="7"/>
  <c r="E8879" i="7"/>
  <c r="E8878" i="7"/>
  <c r="E8877" i="7"/>
  <c r="E8876" i="7"/>
  <c r="E8875" i="7"/>
  <c r="E8874" i="7"/>
  <c r="E8873" i="7"/>
  <c r="E8872" i="7"/>
  <c r="E8871" i="7"/>
  <c r="E8864" i="7"/>
  <c r="E8863" i="7"/>
  <c r="E8862" i="7"/>
  <c r="E8861" i="7"/>
  <c r="E8860" i="7"/>
  <c r="E8859" i="7"/>
  <c r="E8858" i="7"/>
  <c r="E8857" i="7"/>
  <c r="E8848" i="7" l="1"/>
  <c r="E8847" i="7"/>
  <c r="E8846" i="7"/>
  <c r="E8845" i="7" l="1"/>
  <c r="E8844" i="7"/>
  <c r="E8843" i="7"/>
  <c r="E8842" i="7"/>
  <c r="E8841" i="7"/>
  <c r="E8840" i="7"/>
  <c r="E8839" i="7"/>
  <c r="E8838" i="7"/>
  <c r="E8814" i="7"/>
  <c r="E8813" i="7"/>
  <c r="E8812" i="7"/>
  <c r="E8811" i="7" l="1"/>
  <c r="E8810" i="7"/>
  <c r="E8837" i="7"/>
  <c r="K8836" i="7"/>
  <c r="L8837" i="7" s="1"/>
  <c r="E8836" i="7"/>
  <c r="E8835" i="7"/>
  <c r="K8834" i="7"/>
  <c r="L8835" i="7" s="1"/>
  <c r="E8834" i="7"/>
  <c r="L8833" i="7"/>
  <c r="E8833" i="7"/>
  <c r="E8832" i="7"/>
  <c r="L8831" i="7"/>
  <c r="E8831" i="7"/>
  <c r="E8830" i="7"/>
  <c r="L8829" i="7"/>
  <c r="E8829" i="7"/>
  <c r="E8828" i="7"/>
  <c r="L8827" i="7"/>
  <c r="E8827" i="7"/>
  <c r="E8826" i="7"/>
  <c r="L8825" i="7"/>
  <c r="E8825" i="7"/>
  <c r="E8824" i="7"/>
  <c r="E8823" i="7"/>
  <c r="E8822" i="7"/>
  <c r="L8821" i="7"/>
  <c r="E8821" i="7"/>
  <c r="E8820" i="7"/>
  <c r="L8819" i="7"/>
  <c r="E8819" i="7"/>
  <c r="E8818" i="7"/>
  <c r="E8809" i="7"/>
  <c r="E8808" i="7"/>
  <c r="E8807" i="7"/>
  <c r="L8806" i="7"/>
  <c r="E8806" i="7"/>
  <c r="E8805" i="7"/>
  <c r="L8804" i="7"/>
  <c r="E8804" i="7"/>
  <c r="E8803" i="7"/>
  <c r="L8802" i="7"/>
  <c r="E8802" i="7"/>
  <c r="E8801" i="7"/>
  <c r="E8800" i="7"/>
  <c r="E8799" i="7"/>
  <c r="E8798" i="7"/>
  <c r="L8797" i="7"/>
  <c r="E8797" i="7"/>
  <c r="E8796" i="7"/>
  <c r="E8795" i="7"/>
  <c r="E8794" i="7"/>
  <c r="E8793" i="7"/>
  <c r="E8792" i="7" l="1"/>
  <c r="E8791" i="7"/>
  <c r="E8790" i="7"/>
  <c r="F419" i="57" l="1"/>
  <c r="F420" i="57"/>
  <c r="F421" i="57"/>
  <c r="F422" i="57"/>
  <c r="F423" i="57"/>
  <c r="F424" i="57"/>
  <c r="F425" i="57"/>
  <c r="D419" i="57"/>
  <c r="D420" i="57"/>
  <c r="D421" i="57"/>
  <c r="D422" i="57"/>
  <c r="D423" i="57"/>
  <c r="D424" i="57"/>
  <c r="D425" i="57"/>
  <c r="R425" i="57" l="1"/>
  <c r="P425" i="57"/>
  <c r="N425" i="57"/>
  <c r="L425" i="57"/>
  <c r="J425" i="57"/>
  <c r="H425" i="57"/>
  <c r="R424" i="57"/>
  <c r="P424" i="57"/>
  <c r="N424" i="57"/>
  <c r="L424" i="57"/>
  <c r="J424" i="57"/>
  <c r="H424" i="57"/>
  <c r="R423" i="57"/>
  <c r="P423" i="57"/>
  <c r="N423" i="57"/>
  <c r="L423" i="57"/>
  <c r="J423" i="57"/>
  <c r="H423" i="57"/>
  <c r="R422" i="57"/>
  <c r="P422" i="57"/>
  <c r="N422" i="57"/>
  <c r="L422" i="57"/>
  <c r="J422" i="57"/>
  <c r="H422" i="57"/>
  <c r="R421" i="57"/>
  <c r="P421" i="57"/>
  <c r="N421" i="57"/>
  <c r="L421" i="57"/>
  <c r="J421" i="57"/>
  <c r="H421" i="57"/>
  <c r="R420" i="57"/>
  <c r="P420" i="57"/>
  <c r="N420" i="57"/>
  <c r="L420" i="57"/>
  <c r="J420" i="57"/>
  <c r="H420" i="57"/>
  <c r="R419" i="57"/>
  <c r="P419" i="57"/>
  <c r="N419" i="57"/>
  <c r="L419" i="57"/>
  <c r="J419" i="57"/>
  <c r="H419" i="57"/>
  <c r="K8761" i="7"/>
  <c r="L8773" i="7" l="1"/>
  <c r="E8773" i="7"/>
  <c r="E8772" i="7"/>
  <c r="E8789" i="7"/>
  <c r="E8788" i="7"/>
  <c r="E8787" i="7"/>
  <c r="E8786" i="7"/>
  <c r="E8785" i="7"/>
  <c r="E8779" i="7"/>
  <c r="E8778" i="7"/>
  <c r="E8777" i="7"/>
  <c r="E8771" i="7"/>
  <c r="E8770" i="7"/>
  <c r="E8769" i="7"/>
  <c r="E8784" i="7" l="1"/>
  <c r="E8783" i="7"/>
  <c r="E8782" i="7"/>
  <c r="L8781" i="7"/>
  <c r="E8781" i="7"/>
  <c r="E8780" i="7"/>
  <c r="L8768" i="7"/>
  <c r="E8768" i="7"/>
  <c r="E8767" i="7"/>
  <c r="L8766" i="7"/>
  <c r="E8766" i="7"/>
  <c r="E8765" i="7"/>
  <c r="E8776" i="7"/>
  <c r="E8775" i="7"/>
  <c r="E8774" i="7"/>
  <c r="L8744" i="7" l="1"/>
  <c r="E8744" i="7"/>
  <c r="E8743" i="7"/>
  <c r="E8764" i="7"/>
  <c r="K8763" i="7"/>
  <c r="L8764" i="7" s="1"/>
  <c r="E8763" i="7"/>
  <c r="E8762" i="7"/>
  <c r="L8762" i="7"/>
  <c r="E8761" i="7"/>
  <c r="L8760" i="7"/>
  <c r="E8760" i="7"/>
  <c r="E8759" i="7"/>
  <c r="L8758" i="7"/>
  <c r="E8758" i="7"/>
  <c r="E8757" i="7"/>
  <c r="L8756" i="7"/>
  <c r="E8756" i="7"/>
  <c r="E8755" i="7"/>
  <c r="L8754" i="7"/>
  <c r="E8754" i="7"/>
  <c r="E8753" i="7"/>
  <c r="L8752" i="7"/>
  <c r="E8752" i="7"/>
  <c r="E8751" i="7"/>
  <c r="E8750" i="7"/>
  <c r="E8749" i="7"/>
  <c r="L8748" i="7"/>
  <c r="E8748" i="7"/>
  <c r="E8747" i="7"/>
  <c r="L8746" i="7"/>
  <c r="E8746" i="7"/>
  <c r="E8745" i="7"/>
  <c r="E8742" i="7"/>
  <c r="E8741" i="7"/>
  <c r="E8740" i="7"/>
  <c r="E8739" i="7"/>
  <c r="E8738" i="7"/>
  <c r="E8737" i="7"/>
  <c r="E8736" i="7"/>
  <c r="E8735" i="7"/>
  <c r="E8734" i="7"/>
  <c r="E8733" i="7"/>
  <c r="E8732" i="7"/>
  <c r="E8726" i="7"/>
  <c r="E8725" i="7"/>
  <c r="E8724" i="7"/>
  <c r="E8723" i="7"/>
  <c r="E8722" i="7"/>
  <c r="E8710" i="7"/>
  <c r="E8709" i="7"/>
  <c r="E8708" i="7"/>
  <c r="E8707" i="7"/>
  <c r="E8706" i="7"/>
  <c r="E8705" i="7"/>
  <c r="E8704" i="7"/>
  <c r="E8703" i="7"/>
  <c r="E8702" i="7"/>
  <c r="E8701" i="7"/>
  <c r="L8731" i="7" l="1"/>
  <c r="E8731" i="7"/>
  <c r="E8730" i="7"/>
  <c r="E8729" i="7"/>
  <c r="E8728" i="7"/>
  <c r="E8727" i="7"/>
  <c r="L8721" i="7" l="1"/>
  <c r="E8721" i="7"/>
  <c r="E8720" i="7"/>
  <c r="D412" i="57" l="1"/>
  <c r="D413" i="57"/>
  <c r="D414" i="57"/>
  <c r="D415" i="57"/>
  <c r="D416" i="57"/>
  <c r="D417" i="57"/>
  <c r="D418" i="57"/>
  <c r="E8719" i="7"/>
  <c r="E8718" i="7"/>
  <c r="E8717" i="7"/>
  <c r="E8674" i="7" l="1"/>
  <c r="E8673" i="7"/>
  <c r="E8672" i="7"/>
  <c r="E8671" i="7"/>
  <c r="L8670" i="7"/>
  <c r="E8670" i="7"/>
  <c r="E8669" i="7"/>
  <c r="R418" i="57"/>
  <c r="P418" i="57"/>
  <c r="N418" i="57"/>
  <c r="L418" i="57"/>
  <c r="J418" i="57"/>
  <c r="H418" i="57"/>
  <c r="F418" i="57"/>
  <c r="R417" i="57"/>
  <c r="P417" i="57"/>
  <c r="N417" i="57"/>
  <c r="L417" i="57"/>
  <c r="J417" i="57"/>
  <c r="H417" i="57"/>
  <c r="F417" i="57"/>
  <c r="R416" i="57"/>
  <c r="P416" i="57"/>
  <c r="N416" i="57"/>
  <c r="L416" i="57"/>
  <c r="J416" i="57"/>
  <c r="H416" i="57"/>
  <c r="F416" i="57"/>
  <c r="R415" i="57"/>
  <c r="P415" i="57"/>
  <c r="N415" i="57"/>
  <c r="L415" i="57"/>
  <c r="J415" i="57"/>
  <c r="H415" i="57"/>
  <c r="F415" i="57"/>
  <c r="R414" i="57"/>
  <c r="P414" i="57"/>
  <c r="N414" i="57"/>
  <c r="L414" i="57"/>
  <c r="J414" i="57"/>
  <c r="H414" i="57"/>
  <c r="F414" i="57"/>
  <c r="R413" i="57"/>
  <c r="P413" i="57"/>
  <c r="N413" i="57"/>
  <c r="L413" i="57"/>
  <c r="J413" i="57"/>
  <c r="H413" i="57"/>
  <c r="F413" i="57"/>
  <c r="R412" i="57"/>
  <c r="P412" i="57"/>
  <c r="N412" i="57"/>
  <c r="L412" i="57"/>
  <c r="J412" i="57"/>
  <c r="H412" i="57"/>
  <c r="F412" i="57"/>
  <c r="E8668" i="7"/>
  <c r="E8667" i="7"/>
  <c r="L8700" i="7"/>
  <c r="E8700" i="7"/>
  <c r="E8699" i="7"/>
  <c r="L8698" i="7"/>
  <c r="E8698" i="7"/>
  <c r="E8697" i="7"/>
  <c r="E8716" i="7"/>
  <c r="E8715" i="7"/>
  <c r="E8714" i="7"/>
  <c r="E8713" i="7"/>
  <c r="E8712" i="7"/>
  <c r="E8711" i="7"/>
  <c r="E8666" i="7" l="1"/>
  <c r="E8665" i="7"/>
  <c r="E8664" i="7"/>
  <c r="E8663" i="7"/>
  <c r="E8662" i="7"/>
  <c r="E8661" i="7"/>
  <c r="E8677" i="7"/>
  <c r="L8660" i="7" l="1"/>
  <c r="E8660" i="7"/>
  <c r="E8659" i="7"/>
  <c r="L8658" i="7"/>
  <c r="E8658" i="7"/>
  <c r="E8657" i="7"/>
  <c r="E8656" i="7"/>
  <c r="E8655" i="7"/>
  <c r="E8654" i="7"/>
  <c r="E8653" i="7"/>
  <c r="E8652" i="7"/>
  <c r="E8651" i="7"/>
  <c r="E8696" i="7" l="1"/>
  <c r="K8695" i="7"/>
  <c r="L8696" i="7" s="1"/>
  <c r="E8695" i="7"/>
  <c r="E8694" i="7"/>
  <c r="K8693" i="7"/>
  <c r="L8694" i="7" s="1"/>
  <c r="E8693" i="7"/>
  <c r="L8692" i="7"/>
  <c r="E8692" i="7"/>
  <c r="E8691" i="7"/>
  <c r="L8690" i="7"/>
  <c r="E8690" i="7"/>
  <c r="E8689" i="7"/>
  <c r="L8688" i="7"/>
  <c r="E8688" i="7"/>
  <c r="E8687" i="7"/>
  <c r="L8686" i="7"/>
  <c r="E8686" i="7"/>
  <c r="E8685" i="7"/>
  <c r="L8684" i="7"/>
  <c r="E8684" i="7"/>
  <c r="E8683" i="7"/>
  <c r="E8682" i="7"/>
  <c r="E8681" i="7"/>
  <c r="L8680" i="7"/>
  <c r="E8680" i="7"/>
  <c r="E8679" i="7"/>
  <c r="L8678" i="7"/>
  <c r="E8678" i="7"/>
  <c r="L8650" i="7"/>
  <c r="E8650" i="7"/>
  <c r="E8649" i="7"/>
  <c r="L8627" i="7"/>
  <c r="E8627" i="7"/>
  <c r="E8626" i="7"/>
  <c r="E8607" i="7"/>
  <c r="E8606" i="7"/>
  <c r="E8625" i="7"/>
  <c r="E8624" i="7"/>
  <c r="E8623" i="7"/>
  <c r="L8605" i="7"/>
  <c r="E8605" i="7"/>
  <c r="E8604" i="7"/>
  <c r="E8603" i="7"/>
  <c r="E8602" i="7"/>
  <c r="E8601" i="7"/>
  <c r="L8647" i="7"/>
  <c r="E8648" i="7"/>
  <c r="E8647" i="7"/>
  <c r="E8646" i="7"/>
  <c r="L8645" i="7"/>
  <c r="E8645" i="7"/>
  <c r="E8644" i="7"/>
  <c r="E8622" i="7"/>
  <c r="E8621" i="7"/>
  <c r="E8620" i="7"/>
  <c r="L8619" i="7"/>
  <c r="E8619" i="7"/>
  <c r="E8618" i="7"/>
  <c r="L8617" i="7"/>
  <c r="E8617" i="7"/>
  <c r="E8616" i="7"/>
  <c r="L8615" i="7"/>
  <c r="E8615" i="7"/>
  <c r="E8614" i="7"/>
  <c r="L8600" i="7"/>
  <c r="E8600" i="7"/>
  <c r="E8599" i="7"/>
  <c r="E8643" i="7"/>
  <c r="E8642" i="7"/>
  <c r="E8598" i="7"/>
  <c r="E8597" i="7"/>
  <c r="R411" i="57"/>
  <c r="P411" i="57"/>
  <c r="N411" i="57"/>
  <c r="L411" i="57"/>
  <c r="J411" i="57"/>
  <c r="H411" i="57"/>
  <c r="F411" i="57"/>
  <c r="D411" i="57"/>
  <c r="R410" i="57"/>
  <c r="P410" i="57"/>
  <c r="N410" i="57"/>
  <c r="L410" i="57"/>
  <c r="J410" i="57"/>
  <c r="H410" i="57"/>
  <c r="F410" i="57"/>
  <c r="D410" i="57"/>
  <c r="R409" i="57"/>
  <c r="P409" i="57"/>
  <c r="N409" i="57"/>
  <c r="L409" i="57"/>
  <c r="J409" i="57"/>
  <c r="H409" i="57"/>
  <c r="F409" i="57"/>
  <c r="D409" i="57"/>
  <c r="R408" i="57"/>
  <c r="P408" i="57"/>
  <c r="N408" i="57"/>
  <c r="L408" i="57"/>
  <c r="J408" i="57"/>
  <c r="H408" i="57"/>
  <c r="F408" i="57"/>
  <c r="D408" i="57"/>
  <c r="R407" i="57"/>
  <c r="P407" i="57"/>
  <c r="N407" i="57"/>
  <c r="L407" i="57"/>
  <c r="J407" i="57"/>
  <c r="H407" i="57"/>
  <c r="F407" i="57"/>
  <c r="D407" i="57"/>
  <c r="R406" i="57"/>
  <c r="P406" i="57"/>
  <c r="N406" i="57"/>
  <c r="L406" i="57"/>
  <c r="J406" i="57"/>
  <c r="H406" i="57"/>
  <c r="F406" i="57"/>
  <c r="D406" i="57"/>
  <c r="R405" i="57"/>
  <c r="P405" i="57"/>
  <c r="N405" i="57"/>
  <c r="L405" i="57"/>
  <c r="J405" i="57"/>
  <c r="H405" i="57"/>
  <c r="F405" i="57"/>
  <c r="D405" i="57"/>
  <c r="E8636" i="7"/>
  <c r="E8635" i="7"/>
  <c r="E8634" i="7"/>
  <c r="E8633" i="7"/>
  <c r="E8632" i="7"/>
  <c r="E8631" i="7"/>
  <c r="E8630" i="7"/>
  <c r="E8629" i="7"/>
  <c r="E8628" i="7"/>
  <c r="E8613" i="7"/>
  <c r="E8612" i="7"/>
  <c r="E8611" i="7"/>
  <c r="E8596" i="7"/>
  <c r="E8595" i="7"/>
  <c r="E8594" i="7"/>
  <c r="E8641" i="7" l="1"/>
  <c r="E8640" i="7"/>
  <c r="E8639" i="7"/>
  <c r="E8638" i="7"/>
  <c r="E8637" i="7"/>
  <c r="E8610" i="7" l="1"/>
  <c r="E8609" i="7"/>
  <c r="E8608" i="7"/>
  <c r="E8593" i="7" l="1"/>
  <c r="E8592" i="7"/>
  <c r="E8591" i="7"/>
  <c r="E8590" i="7"/>
  <c r="E8589" i="7"/>
  <c r="E8588" i="7"/>
  <c r="E8587" i="7"/>
  <c r="E8586" i="7"/>
  <c r="E8565" i="7" l="1"/>
  <c r="E8564" i="7"/>
  <c r="E8563" i="7"/>
  <c r="E8562" i="7"/>
  <c r="E8561" i="7"/>
  <c r="E8560" i="7"/>
  <c r="E8559" i="7"/>
  <c r="E8558" i="7"/>
  <c r="E8557" i="7"/>
  <c r="E8556" i="7"/>
  <c r="E8555" i="7"/>
  <c r="E8585" i="7" l="1"/>
  <c r="K8584" i="7"/>
  <c r="L8585" i="7" s="1"/>
  <c r="E8584" i="7"/>
  <c r="E8583" i="7"/>
  <c r="K8582" i="7"/>
  <c r="L8583" i="7" s="1"/>
  <c r="E8582" i="7"/>
  <c r="L8581" i="7"/>
  <c r="E8581" i="7"/>
  <c r="E8580" i="7"/>
  <c r="L8579" i="7"/>
  <c r="E8579" i="7"/>
  <c r="E8578" i="7"/>
  <c r="L8577" i="7"/>
  <c r="E8577" i="7"/>
  <c r="E8576" i="7"/>
  <c r="L8575" i="7"/>
  <c r="E8575" i="7"/>
  <c r="E8574" i="7"/>
  <c r="L8573" i="7"/>
  <c r="E8573" i="7"/>
  <c r="E8572" i="7"/>
  <c r="E8571" i="7"/>
  <c r="E8570" i="7"/>
  <c r="L8569" i="7"/>
  <c r="E8569" i="7"/>
  <c r="E8568" i="7"/>
  <c r="L8567" i="7"/>
  <c r="E8567" i="7"/>
  <c r="E8566" i="7"/>
  <c r="D398" i="57"/>
  <c r="D399" i="57"/>
  <c r="D400" i="57"/>
  <c r="D401" i="57"/>
  <c r="D402" i="57"/>
  <c r="D403" i="57"/>
  <c r="D404" i="57"/>
  <c r="R404" i="57"/>
  <c r="P404" i="57"/>
  <c r="N404" i="57"/>
  <c r="L404" i="57"/>
  <c r="J404" i="57"/>
  <c r="H404" i="57"/>
  <c r="F404" i="57"/>
  <c r="R403" i="57"/>
  <c r="P403" i="57"/>
  <c r="N403" i="57"/>
  <c r="L403" i="57"/>
  <c r="J403" i="57"/>
  <c r="H403" i="57"/>
  <c r="F403" i="57"/>
  <c r="R402" i="57"/>
  <c r="P402" i="57"/>
  <c r="N402" i="57"/>
  <c r="L402" i="57"/>
  <c r="J402" i="57"/>
  <c r="H402" i="57"/>
  <c r="F402" i="57"/>
  <c r="R401" i="57"/>
  <c r="P401" i="57"/>
  <c r="N401" i="57"/>
  <c r="L401" i="57"/>
  <c r="J401" i="57"/>
  <c r="H401" i="57"/>
  <c r="F401" i="57"/>
  <c r="R400" i="57"/>
  <c r="P400" i="57"/>
  <c r="N400" i="57"/>
  <c r="L400" i="57"/>
  <c r="J400" i="57"/>
  <c r="H400" i="57"/>
  <c r="F400" i="57"/>
  <c r="R399" i="57"/>
  <c r="P399" i="57"/>
  <c r="N399" i="57"/>
  <c r="L399" i="57"/>
  <c r="J399" i="57"/>
  <c r="H399" i="57"/>
  <c r="F399" i="57"/>
  <c r="R398" i="57"/>
  <c r="P398" i="57"/>
  <c r="N398" i="57"/>
  <c r="L398" i="57"/>
  <c r="J398" i="57"/>
  <c r="H398" i="57"/>
  <c r="F398" i="57"/>
  <c r="L8554" i="7"/>
  <c r="E8554" i="7"/>
  <c r="E8553" i="7"/>
  <c r="E8552" i="7"/>
  <c r="E8551" i="7"/>
  <c r="E8550" i="7"/>
  <c r="E8549" i="7"/>
  <c r="E8548" i="7"/>
  <c r="E8547" i="7"/>
  <c r="E8546" i="7"/>
  <c r="E8545" i="7"/>
  <c r="E8544" i="7"/>
  <c r="E8543" i="7"/>
  <c r="E8542" i="7"/>
  <c r="E8541" i="7"/>
  <c r="E8536" i="7"/>
  <c r="E8535" i="7"/>
  <c r="L8538" i="7"/>
  <c r="E8538" i="7"/>
  <c r="E8537" i="7"/>
  <c r="L8540" i="7"/>
  <c r="E8540" i="7"/>
  <c r="E8539" i="7"/>
  <c r="L8534" i="7"/>
  <c r="E8534" i="7"/>
  <c r="E8533" i="7"/>
  <c r="E8519" i="7"/>
  <c r="E8518" i="7"/>
  <c r="E8517" i="7"/>
  <c r="E8516" i="7"/>
  <c r="E8515" i="7"/>
  <c r="E8514" i="7"/>
  <c r="E8508" i="7" l="1"/>
  <c r="E8507" i="7"/>
  <c r="E8497" i="7"/>
  <c r="E8496" i="7"/>
  <c r="E8499" i="7"/>
  <c r="E8498" i="7"/>
  <c r="L8495" i="7"/>
  <c r="E8495" i="7"/>
  <c r="E8494" i="7"/>
  <c r="E8493" i="7"/>
  <c r="E8492" i="7"/>
  <c r="E8491" i="7"/>
  <c r="E8490" i="7"/>
  <c r="E8513" i="7"/>
  <c r="E8512" i="7"/>
  <c r="E8532" i="7"/>
  <c r="E8531" i="7"/>
  <c r="E8530" i="7"/>
  <c r="E8511" i="7"/>
  <c r="E8510" i="7"/>
  <c r="E8509" i="7"/>
  <c r="E8489" i="7"/>
  <c r="E8488" i="7"/>
  <c r="E8487" i="7"/>
  <c r="E8529" i="7" l="1"/>
  <c r="E8528" i="7"/>
  <c r="E8527" i="7"/>
  <c r="E8526" i="7"/>
  <c r="E8525" i="7"/>
  <c r="E8524" i="7"/>
  <c r="E8523" i="7"/>
  <c r="E8522" i="7"/>
  <c r="E8521" i="7"/>
  <c r="E8520" i="7"/>
  <c r="L8506" i="7"/>
  <c r="E8506" i="7"/>
  <c r="E8505" i="7"/>
  <c r="E8504" i="7"/>
  <c r="E8503" i="7"/>
  <c r="E8502" i="7"/>
  <c r="E8501" i="7"/>
  <c r="E8500" i="7"/>
  <c r="E8486" i="7" l="1"/>
  <c r="E8485" i="7"/>
  <c r="E8484" i="7"/>
  <c r="E8483" i="7"/>
  <c r="E8482" i="7"/>
  <c r="E8449" i="7" l="1"/>
  <c r="E8448" i="7"/>
  <c r="E8481" i="7"/>
  <c r="E8480" i="7"/>
  <c r="L8479" i="7"/>
  <c r="E8479" i="7"/>
  <c r="E8478" i="7"/>
  <c r="L8477" i="7"/>
  <c r="E8477" i="7"/>
  <c r="E8476" i="7"/>
  <c r="E8475" i="7"/>
  <c r="E8474" i="7"/>
  <c r="E8473" i="7"/>
  <c r="E8472" i="7"/>
  <c r="E8471" i="7"/>
  <c r="E8470" i="7"/>
  <c r="E8447" i="7" l="1"/>
  <c r="E8446" i="7"/>
  <c r="E8445" i="7"/>
  <c r="E8444" i="7"/>
  <c r="E8443" i="7"/>
  <c r="E8442" i="7"/>
  <c r="E8469" i="7"/>
  <c r="K8468" i="7"/>
  <c r="L8469" i="7" s="1"/>
  <c r="E8468" i="7"/>
  <c r="E8467" i="7"/>
  <c r="K8466" i="7"/>
  <c r="L8467" i="7" s="1"/>
  <c r="E8466" i="7"/>
  <c r="L8465" i="7"/>
  <c r="E8465" i="7"/>
  <c r="E8464" i="7"/>
  <c r="L8463" i="7"/>
  <c r="E8463" i="7"/>
  <c r="E8462" i="7"/>
  <c r="L8461" i="7"/>
  <c r="E8461" i="7"/>
  <c r="E8460" i="7"/>
  <c r="L8459" i="7"/>
  <c r="E8459" i="7"/>
  <c r="E8458" i="7"/>
  <c r="L8457" i="7"/>
  <c r="E8457" i="7"/>
  <c r="E8456" i="7"/>
  <c r="E8455" i="7"/>
  <c r="E8454" i="7"/>
  <c r="L8453" i="7"/>
  <c r="E8453" i="7"/>
  <c r="E8452" i="7"/>
  <c r="L8451" i="7"/>
  <c r="E8451" i="7"/>
  <c r="E8450" i="7"/>
  <c r="D391" i="57"/>
  <c r="D392" i="57"/>
  <c r="D393" i="57"/>
  <c r="D394" i="57"/>
  <c r="D395" i="57"/>
  <c r="D396" i="57"/>
  <c r="D397" i="57"/>
  <c r="R397" i="57"/>
  <c r="P397" i="57"/>
  <c r="N397" i="57"/>
  <c r="L397" i="57"/>
  <c r="J397" i="57"/>
  <c r="H397" i="57"/>
  <c r="F397" i="57"/>
  <c r="R396" i="57"/>
  <c r="P396" i="57"/>
  <c r="N396" i="57"/>
  <c r="L396" i="57"/>
  <c r="J396" i="57"/>
  <c r="H396" i="57"/>
  <c r="F396" i="57"/>
  <c r="R395" i="57"/>
  <c r="P395" i="57"/>
  <c r="N395" i="57"/>
  <c r="L395" i="57"/>
  <c r="J395" i="57"/>
  <c r="H395" i="57"/>
  <c r="F395" i="57"/>
  <c r="R394" i="57"/>
  <c r="P394" i="57"/>
  <c r="N394" i="57"/>
  <c r="L394" i="57"/>
  <c r="J394" i="57"/>
  <c r="H394" i="57"/>
  <c r="F394" i="57"/>
  <c r="R393" i="57"/>
  <c r="P393" i="57"/>
  <c r="N393" i="57"/>
  <c r="L393" i="57"/>
  <c r="J393" i="57"/>
  <c r="H393" i="57"/>
  <c r="F393" i="57"/>
  <c r="R392" i="57"/>
  <c r="P392" i="57"/>
  <c r="N392" i="57"/>
  <c r="L392" i="57"/>
  <c r="J392" i="57"/>
  <c r="H392" i="57"/>
  <c r="F392" i="57"/>
  <c r="R391" i="57"/>
  <c r="P391" i="57"/>
  <c r="N391" i="57"/>
  <c r="L391" i="57"/>
  <c r="J391" i="57"/>
  <c r="H391" i="57"/>
  <c r="F391" i="57"/>
  <c r="E8441" i="7"/>
  <c r="E8440" i="7"/>
  <c r="E8439" i="7"/>
  <c r="E8438" i="7"/>
  <c r="E8437" i="7"/>
  <c r="E8436" i="7"/>
  <c r="E8435" i="7"/>
  <c r="E8434" i="7"/>
  <c r="E8424" i="7" l="1"/>
  <c r="E8423" i="7"/>
  <c r="E8422" i="7"/>
  <c r="E8433" i="7"/>
  <c r="E8432" i="7"/>
  <c r="E8415" i="7"/>
  <c r="E8414" i="7"/>
  <c r="E8395" i="7"/>
  <c r="E8394" i="7"/>
  <c r="L8431" i="7"/>
  <c r="E8431" i="7"/>
  <c r="E8430" i="7"/>
  <c r="L8429" i="7"/>
  <c r="E8429" i="7"/>
  <c r="E8428" i="7"/>
  <c r="E8418" i="7"/>
  <c r="E8417" i="7"/>
  <c r="E8416" i="7"/>
  <c r="E8389" i="7"/>
  <c r="E8388" i="7"/>
  <c r="E8427" i="7"/>
  <c r="E8426" i="7"/>
  <c r="E8425" i="7"/>
  <c r="E8421" i="7"/>
  <c r="E8420" i="7"/>
  <c r="E8419" i="7"/>
  <c r="E8375" i="7"/>
  <c r="E8374" i="7"/>
  <c r="E8373" i="7"/>
  <c r="L8413" i="7" l="1"/>
  <c r="E8413" i="7"/>
  <c r="E8412" i="7"/>
  <c r="L8411" i="7"/>
  <c r="E8411" i="7"/>
  <c r="E8410" i="7"/>
  <c r="L8387" i="7"/>
  <c r="E8387" i="7"/>
  <c r="E8386" i="7"/>
  <c r="L8385" i="7"/>
  <c r="E8385" i="7"/>
  <c r="E8384" i="7"/>
  <c r="E8409" i="7"/>
  <c r="E8408" i="7"/>
  <c r="E8407" i="7"/>
  <c r="E8406" i="7"/>
  <c r="E8405" i="7"/>
  <c r="E8404" i="7"/>
  <c r="E8403" i="7"/>
  <c r="E8402" i="7"/>
  <c r="E8401" i="7"/>
  <c r="E8400" i="7"/>
  <c r="E8399" i="7"/>
  <c r="E8398" i="7"/>
  <c r="E8397" i="7"/>
  <c r="E8396" i="7"/>
  <c r="E8383" i="7" l="1"/>
  <c r="E8382" i="7"/>
  <c r="E8381" i="7"/>
  <c r="E8380" i="7"/>
  <c r="E8379" i="7"/>
  <c r="E8378" i="7"/>
  <c r="E8377" i="7"/>
  <c r="E8376" i="7"/>
  <c r="L8343" i="7" l="1"/>
  <c r="E8343" i="7"/>
  <c r="E8342" i="7"/>
  <c r="L8372" i="7"/>
  <c r="E8372" i="7"/>
  <c r="E8371" i="7"/>
  <c r="L8370" i="7"/>
  <c r="E8370" i="7"/>
  <c r="E8369" i="7"/>
  <c r="E8368" i="7"/>
  <c r="E8367" i="7"/>
  <c r="E8366" i="7"/>
  <c r="E8365" i="7"/>
  <c r="E8364" i="7"/>
  <c r="E8341" i="7" l="1"/>
  <c r="E8340" i="7"/>
  <c r="E8339" i="7"/>
  <c r="L8338" i="7" l="1"/>
  <c r="E8338" i="7"/>
  <c r="E8337" i="7"/>
  <c r="E8336" i="7" l="1"/>
  <c r="E8335" i="7"/>
  <c r="E8334" i="7"/>
  <c r="E8333" i="7"/>
  <c r="E8332" i="7"/>
  <c r="E8331" i="7"/>
  <c r="E8330" i="7"/>
  <c r="E8329" i="7"/>
  <c r="E8328" i="7"/>
  <c r="E8327" i="7"/>
  <c r="E8363" i="7"/>
  <c r="K8362" i="7"/>
  <c r="L8363" i="7" s="1"/>
  <c r="E8362" i="7"/>
  <c r="E8361" i="7"/>
  <c r="K8360" i="7"/>
  <c r="L8361" i="7" s="1"/>
  <c r="E8360" i="7"/>
  <c r="L8359" i="7"/>
  <c r="E8359" i="7"/>
  <c r="E8358" i="7"/>
  <c r="L8357" i="7"/>
  <c r="E8357" i="7"/>
  <c r="E8356" i="7"/>
  <c r="L8355" i="7"/>
  <c r="E8355" i="7"/>
  <c r="E8354" i="7"/>
  <c r="L8353" i="7"/>
  <c r="E8353" i="7"/>
  <c r="E8352" i="7"/>
  <c r="L8351" i="7"/>
  <c r="E8351" i="7"/>
  <c r="E8350" i="7"/>
  <c r="E8349" i="7"/>
  <c r="E8348" i="7"/>
  <c r="L8347" i="7"/>
  <c r="E8347" i="7"/>
  <c r="E8346" i="7"/>
  <c r="L8345" i="7"/>
  <c r="E8345" i="7"/>
  <c r="E8344" i="7"/>
  <c r="D384" i="57"/>
  <c r="D385" i="57"/>
  <c r="D386" i="57"/>
  <c r="D387" i="57"/>
  <c r="D388" i="57"/>
  <c r="D389" i="57"/>
  <c r="D390" i="57"/>
  <c r="R390" i="57"/>
  <c r="P390" i="57"/>
  <c r="N390" i="57"/>
  <c r="L390" i="57"/>
  <c r="J390" i="57"/>
  <c r="H390" i="57"/>
  <c r="F390" i="57"/>
  <c r="R389" i="57"/>
  <c r="P389" i="57"/>
  <c r="N389" i="57"/>
  <c r="L389" i="57"/>
  <c r="J389" i="57"/>
  <c r="H389" i="57"/>
  <c r="F389" i="57"/>
  <c r="R388" i="57"/>
  <c r="P388" i="57"/>
  <c r="N388" i="57"/>
  <c r="L388" i="57"/>
  <c r="J388" i="57"/>
  <c r="H388" i="57"/>
  <c r="F388" i="57"/>
  <c r="R387" i="57"/>
  <c r="P387" i="57"/>
  <c r="N387" i="57"/>
  <c r="L387" i="57"/>
  <c r="J387" i="57"/>
  <c r="H387" i="57"/>
  <c r="F387" i="57"/>
  <c r="R386" i="57"/>
  <c r="P386" i="57"/>
  <c r="N386" i="57"/>
  <c r="L386" i="57"/>
  <c r="J386" i="57"/>
  <c r="H386" i="57"/>
  <c r="F386" i="57"/>
  <c r="R385" i="57"/>
  <c r="P385" i="57"/>
  <c r="N385" i="57"/>
  <c r="L385" i="57"/>
  <c r="J385" i="57"/>
  <c r="H385" i="57"/>
  <c r="F385" i="57"/>
  <c r="R384" i="57"/>
  <c r="P384" i="57"/>
  <c r="N384" i="57"/>
  <c r="L384" i="57"/>
  <c r="J384" i="57"/>
  <c r="H384" i="57"/>
  <c r="F384" i="57"/>
  <c r="E8326" i="7"/>
  <c r="E8325" i="7"/>
  <c r="L8324" i="7"/>
  <c r="E8324" i="7"/>
  <c r="E8323" i="7"/>
  <c r="E8289" i="7"/>
  <c r="E8288" i="7"/>
  <c r="E8260" i="7"/>
  <c r="E8259" i="7"/>
  <c r="E8322" i="7"/>
  <c r="E8321" i="7"/>
  <c r="E8285" i="7" l="1"/>
  <c r="E8284" i="7"/>
  <c r="L8320" i="7"/>
  <c r="E8320" i="7"/>
  <c r="E8319" i="7"/>
  <c r="L8318" i="7"/>
  <c r="E8318" i="7"/>
  <c r="E8317" i="7"/>
  <c r="L8306" i="7"/>
  <c r="E8306" i="7"/>
  <c r="E8305" i="7"/>
  <c r="L8304" i="7"/>
  <c r="E8304" i="7"/>
  <c r="E8303" i="7"/>
  <c r="L8302" i="7"/>
  <c r="E8302" i="7"/>
  <c r="E8301" i="7"/>
  <c r="L8300" i="7"/>
  <c r="E8300" i="7"/>
  <c r="E8299" i="7"/>
  <c r="L8283" i="7"/>
  <c r="E8283" i="7"/>
  <c r="E8282" i="7"/>
  <c r="L8281" i="7"/>
  <c r="E8281" i="7"/>
  <c r="E8280" i="7"/>
  <c r="E8279" i="7"/>
  <c r="E8278" i="7"/>
  <c r="L8258" i="7"/>
  <c r="E8258" i="7"/>
  <c r="E8257" i="7"/>
  <c r="L8256" i="7"/>
  <c r="E8256" i="7"/>
  <c r="E8255" i="7"/>
  <c r="E8316" i="7"/>
  <c r="E8315" i="7"/>
  <c r="E8314" i="7"/>
  <c r="E8313" i="7"/>
  <c r="E8312" i="7"/>
  <c r="E8311" i="7"/>
  <c r="E8310" i="7"/>
  <c r="E8309" i="7"/>
  <c r="E8308" i="7"/>
  <c r="E8307" i="7"/>
  <c r="L8287" i="7"/>
  <c r="L8277" i="7"/>
  <c r="E8287" i="7"/>
  <c r="E8286" i="7"/>
  <c r="E8277" i="7"/>
  <c r="E8276" i="7"/>
  <c r="E8298" i="7"/>
  <c r="E8297" i="7"/>
  <c r="E8296" i="7"/>
  <c r="E8295" i="7"/>
  <c r="E8294" i="7"/>
  <c r="E8293" i="7"/>
  <c r="E8292" i="7"/>
  <c r="E8291" i="7"/>
  <c r="E8290" i="7"/>
  <c r="E8219" i="7"/>
  <c r="E8218" i="7"/>
  <c r="E8275" i="7"/>
  <c r="E8274" i="7"/>
  <c r="E8273" i="7"/>
  <c r="E8272" i="7"/>
  <c r="E8271" i="7"/>
  <c r="E8270" i="7"/>
  <c r="E8269" i="7"/>
  <c r="E8268" i="7"/>
  <c r="E8267" i="7"/>
  <c r="E8266" i="7"/>
  <c r="E8265" i="7"/>
  <c r="E8264" i="7"/>
  <c r="E8263" i="7"/>
  <c r="E8262" i="7"/>
  <c r="E8261" i="7"/>
  <c r="E8254" i="7" l="1"/>
  <c r="E8253" i="7"/>
  <c r="E8252" i="7"/>
  <c r="E8251" i="7"/>
  <c r="E8250" i="7"/>
  <c r="E8249" i="7"/>
  <c r="E8248" i="7"/>
  <c r="E8247" i="7"/>
  <c r="E8246" i="7"/>
  <c r="E8245" i="7"/>
  <c r="E8244" i="7"/>
  <c r="E8243" i="7"/>
  <c r="E8242" i="7"/>
  <c r="E8241" i="7"/>
  <c r="E8240" i="7"/>
  <c r="E8217" i="7" l="1"/>
  <c r="E8216" i="7"/>
  <c r="E8215" i="7"/>
  <c r="E8239" i="7" l="1"/>
  <c r="K8238" i="7"/>
  <c r="L8239" i="7" s="1"/>
  <c r="E8238" i="7"/>
  <c r="E8237" i="7"/>
  <c r="K8236" i="7"/>
  <c r="L8237" i="7" s="1"/>
  <c r="E8236" i="7"/>
  <c r="L8235" i="7"/>
  <c r="E8235" i="7"/>
  <c r="E8234" i="7"/>
  <c r="L8233" i="7"/>
  <c r="E8233" i="7"/>
  <c r="E8232" i="7"/>
  <c r="L8231" i="7"/>
  <c r="E8231" i="7"/>
  <c r="E8230" i="7"/>
  <c r="L8229" i="7"/>
  <c r="E8229" i="7"/>
  <c r="E8228" i="7"/>
  <c r="L8227" i="7"/>
  <c r="E8227" i="7"/>
  <c r="E8226" i="7"/>
  <c r="E8225" i="7"/>
  <c r="E8224" i="7"/>
  <c r="L8223" i="7"/>
  <c r="E8223" i="7"/>
  <c r="E8222" i="7"/>
  <c r="L8221" i="7"/>
  <c r="E8221" i="7"/>
  <c r="E8220" i="7"/>
  <c r="E8214" i="7"/>
  <c r="E8213" i="7"/>
  <c r="E8212" i="7"/>
  <c r="E8211" i="7"/>
  <c r="E8210" i="7" l="1"/>
  <c r="E8209" i="7"/>
  <c r="E8208" i="7"/>
  <c r="E8207" i="7"/>
  <c r="E8206" i="7"/>
  <c r="E8140" i="7"/>
  <c r="E8139" i="7"/>
  <c r="D378" i="57"/>
  <c r="D379" i="57"/>
  <c r="D380" i="57"/>
  <c r="D381" i="57"/>
  <c r="D382" i="57"/>
  <c r="D383" i="57"/>
  <c r="F378" i="57"/>
  <c r="D377" i="57"/>
  <c r="F377" i="57"/>
  <c r="F379" i="57"/>
  <c r="F380" i="57"/>
  <c r="F381" i="57"/>
  <c r="F382" i="57"/>
  <c r="F383" i="57"/>
  <c r="P383" i="57"/>
  <c r="N383" i="57"/>
  <c r="L383" i="57"/>
  <c r="J383" i="57"/>
  <c r="H383" i="57"/>
  <c r="P382" i="57"/>
  <c r="N382" i="57"/>
  <c r="L382" i="57"/>
  <c r="J382" i="57"/>
  <c r="H382" i="57"/>
  <c r="P381" i="57"/>
  <c r="N381" i="57"/>
  <c r="L381" i="57"/>
  <c r="J381" i="57"/>
  <c r="H381" i="57"/>
  <c r="P380" i="57"/>
  <c r="N380" i="57"/>
  <c r="L380" i="57"/>
  <c r="J380" i="57"/>
  <c r="H380" i="57"/>
  <c r="P379" i="57"/>
  <c r="N379" i="57"/>
  <c r="L379" i="57"/>
  <c r="J379" i="57"/>
  <c r="H379" i="57"/>
  <c r="P378" i="57"/>
  <c r="N378" i="57"/>
  <c r="L378" i="57"/>
  <c r="J378" i="57"/>
  <c r="H378" i="57"/>
  <c r="P377" i="57"/>
  <c r="N377" i="57"/>
  <c r="L377" i="57"/>
  <c r="J377" i="57"/>
  <c r="H377" i="57"/>
  <c r="R377" i="57"/>
  <c r="R378" i="57"/>
  <c r="R379" i="57"/>
  <c r="R380" i="57"/>
  <c r="R381" i="57"/>
  <c r="R382" i="57"/>
  <c r="R383" i="57"/>
  <c r="E7991" i="7"/>
  <c r="E7990" i="7"/>
  <c r="E7886" i="7"/>
  <c r="E7885" i="7"/>
  <c r="E7761" i="7"/>
  <c r="E7760" i="7"/>
  <c r="E7330" i="7"/>
  <c r="E7329" i="7"/>
  <c r="E7268" i="7"/>
  <c r="E7267" i="7"/>
  <c r="E7204" i="7"/>
  <c r="E7203" i="7"/>
  <c r="E7202" i="7"/>
  <c r="E7201" i="7"/>
  <c r="E8138" i="7"/>
  <c r="E8137" i="7"/>
  <c r="E8205" i="7" l="1"/>
  <c r="E8204" i="7"/>
  <c r="E8203" i="7"/>
  <c r="E8202" i="7"/>
  <c r="E8201" i="7"/>
  <c r="E8191" i="7"/>
  <c r="E8190" i="7"/>
  <c r="E8189" i="7"/>
  <c r="E8188" i="7"/>
  <c r="E8187" i="7"/>
  <c r="E8176" i="7"/>
  <c r="E8175" i="7"/>
  <c r="E8174" i="7"/>
  <c r="E8173" i="7"/>
  <c r="E8172" i="7"/>
  <c r="E8171" i="7"/>
  <c r="E8170" i="7"/>
  <c r="E8169" i="7"/>
  <c r="E8168" i="7"/>
  <c r="E8167" i="7"/>
  <c r="E8200" i="7"/>
  <c r="E8199" i="7"/>
  <c r="E8198" i="7" l="1"/>
  <c r="E8197" i="7"/>
  <c r="E8196" i="7"/>
  <c r="E8195" i="7"/>
  <c r="E8194" i="7"/>
  <c r="E8193" i="7"/>
  <c r="E8192" i="7"/>
  <c r="E8186" i="7"/>
  <c r="E8185" i="7"/>
  <c r="E8184" i="7"/>
  <c r="E8183" i="7"/>
  <c r="E8182" i="7"/>
  <c r="E8181" i="7"/>
  <c r="E8180" i="7"/>
  <c r="E8179" i="7"/>
  <c r="E8166" i="7"/>
  <c r="E8165" i="7"/>
  <c r="E8164" i="7"/>
  <c r="E8163" i="7"/>
  <c r="E8162" i="7"/>
  <c r="E8161" i="7"/>
  <c r="E8136" i="7"/>
  <c r="E8135" i="7"/>
  <c r="D373" i="57"/>
  <c r="D374" i="57"/>
  <c r="D375" i="57"/>
  <c r="D376" i="57"/>
  <c r="F373" i="57"/>
  <c r="F374" i="57"/>
  <c r="F375" i="57"/>
  <c r="F376" i="57"/>
  <c r="H373" i="57"/>
  <c r="H374" i="57"/>
  <c r="H375" i="57"/>
  <c r="H376" i="57"/>
  <c r="R376" i="57"/>
  <c r="P376" i="57"/>
  <c r="N376" i="57"/>
  <c r="L376" i="57"/>
  <c r="R375" i="57"/>
  <c r="P375" i="57"/>
  <c r="N375" i="57"/>
  <c r="L375" i="57"/>
  <c r="R374" i="57"/>
  <c r="P374" i="57"/>
  <c r="N374" i="57"/>
  <c r="L374" i="57"/>
  <c r="R373" i="57"/>
  <c r="P373" i="57"/>
  <c r="N373" i="57"/>
  <c r="L373" i="57"/>
  <c r="E8160" i="7"/>
  <c r="K8159" i="7"/>
  <c r="L8160" i="7" s="1"/>
  <c r="E8159" i="7"/>
  <c r="E8158" i="7"/>
  <c r="K8157" i="7"/>
  <c r="L8158" i="7" s="1"/>
  <c r="E8157" i="7"/>
  <c r="L8156" i="7"/>
  <c r="E8156" i="7"/>
  <c r="E8155" i="7"/>
  <c r="L8154" i="7"/>
  <c r="E8154" i="7"/>
  <c r="E8153" i="7"/>
  <c r="L8152" i="7"/>
  <c r="E8152" i="7"/>
  <c r="E8151" i="7"/>
  <c r="L8150" i="7"/>
  <c r="E8150" i="7"/>
  <c r="E8149" i="7"/>
  <c r="L8148" i="7"/>
  <c r="E8148" i="7"/>
  <c r="E8147" i="7"/>
  <c r="E8146" i="7"/>
  <c r="E8145" i="7"/>
  <c r="L8144" i="7"/>
  <c r="E8144" i="7"/>
  <c r="E8143" i="7"/>
  <c r="L8142" i="7"/>
  <c r="E8142" i="7"/>
  <c r="E8141" i="7"/>
  <c r="E8134" i="7"/>
  <c r="E8133" i="7"/>
  <c r="E8132" i="7"/>
  <c r="E8131" i="7"/>
  <c r="E8130" i="7"/>
  <c r="E8129" i="7"/>
  <c r="E8128" i="7"/>
  <c r="E8127" i="7"/>
  <c r="E8126" i="7"/>
  <c r="E7623" i="7" l="1"/>
  <c r="E8119" i="7" l="1"/>
  <c r="E8118" i="7"/>
  <c r="E8117" i="7"/>
  <c r="E8116" i="7"/>
  <c r="E8115" i="7"/>
  <c r="E8114" i="7"/>
  <c r="E8125" i="7"/>
  <c r="E8124" i="7"/>
  <c r="E8121" i="7"/>
  <c r="E8120" i="7"/>
  <c r="E8113" i="7"/>
  <c r="E8112" i="7"/>
  <c r="E8111" i="7"/>
  <c r="E8110" i="7"/>
  <c r="E8109" i="7"/>
  <c r="E8123" i="7" l="1"/>
  <c r="E8122" i="7"/>
  <c r="E8108" i="7"/>
  <c r="E8107" i="7"/>
  <c r="E8106" i="7"/>
  <c r="E8105" i="7" l="1"/>
  <c r="E8104" i="7"/>
  <c r="E8103" i="7"/>
  <c r="E8102" i="7"/>
  <c r="J373" i="57"/>
  <c r="J374" i="57"/>
  <c r="J375" i="57"/>
  <c r="J376" i="57"/>
  <c r="R372" i="57"/>
  <c r="R555" i="57" s="1"/>
  <c r="P372" i="57"/>
  <c r="P555" i="57" s="1"/>
  <c r="N372" i="57"/>
  <c r="N555" i="57" s="1"/>
  <c r="L372" i="57"/>
  <c r="L555" i="57" s="1"/>
  <c r="J372" i="57"/>
  <c r="H372" i="57"/>
  <c r="H555" i="57" s="1"/>
  <c r="F372" i="57"/>
  <c r="F555" i="57" s="1"/>
  <c r="D372" i="57"/>
  <c r="D555" i="57" s="1"/>
  <c r="B373" i="57"/>
  <c r="B374" i="57" s="1"/>
  <c r="B375" i="57" s="1"/>
  <c r="B376" i="57" s="1"/>
  <c r="B377" i="57" s="1"/>
  <c r="B378" i="57" s="1"/>
  <c r="B379" i="57" s="1"/>
  <c r="B380" i="57" s="1"/>
  <c r="B381" i="57" s="1"/>
  <c r="B382" i="57" s="1"/>
  <c r="B383" i="57" s="1"/>
  <c r="B384" i="57" s="1"/>
  <c r="B385" i="57" s="1"/>
  <c r="B386" i="57" s="1"/>
  <c r="B387" i="57" s="1"/>
  <c r="B388" i="57" s="1"/>
  <c r="B389" i="57" s="1"/>
  <c r="B390" i="57" s="1"/>
  <c r="B391" i="57" s="1"/>
  <c r="B392" i="57" s="1"/>
  <c r="B393" i="57" s="1"/>
  <c r="B394" i="57" s="1"/>
  <c r="B395" i="57" s="1"/>
  <c r="B396" i="57" s="1"/>
  <c r="B397" i="57" s="1"/>
  <c r="B398" i="57" s="1"/>
  <c r="B399" i="57" s="1"/>
  <c r="B400" i="57" s="1"/>
  <c r="B401" i="57" s="1"/>
  <c r="B402" i="57" s="1"/>
  <c r="B403" i="57" s="1"/>
  <c r="B404" i="57" s="1"/>
  <c r="B405" i="57" s="1"/>
  <c r="B406" i="57" s="1"/>
  <c r="B407" i="57" s="1"/>
  <c r="B408" i="57" s="1"/>
  <c r="B409" i="57" s="1"/>
  <c r="B410" i="57" s="1"/>
  <c r="B411" i="57" s="1"/>
  <c r="B412" i="57" s="1"/>
  <c r="B413" i="57" s="1"/>
  <c r="B414" i="57" s="1"/>
  <c r="B415" i="57" s="1"/>
  <c r="B416" i="57" s="1"/>
  <c r="B417" i="57" s="1"/>
  <c r="B418" i="57" s="1"/>
  <c r="B419" i="57" s="1"/>
  <c r="B420" i="57" s="1"/>
  <c r="B421" i="57" s="1"/>
  <c r="B422" i="57" s="1"/>
  <c r="B423" i="57" s="1"/>
  <c r="B424" i="57" s="1"/>
  <c r="B425" i="57" s="1"/>
  <c r="B426" i="57" s="1"/>
  <c r="B427" i="57" s="1"/>
  <c r="B428" i="57" s="1"/>
  <c r="B429" i="57" s="1"/>
  <c r="B430" i="57" s="1"/>
  <c r="B431" i="57" s="1"/>
  <c r="B432" i="57" s="1"/>
  <c r="B433" i="57" s="1"/>
  <c r="B434" i="57" s="1"/>
  <c r="B435" i="57" s="1"/>
  <c r="B436" i="57" s="1"/>
  <c r="B437" i="57" s="1"/>
  <c r="B438" i="57" s="1"/>
  <c r="B439" i="57" s="1"/>
  <c r="B440" i="57" s="1"/>
  <c r="B441" i="57" s="1"/>
  <c r="B442" i="57" s="1"/>
  <c r="B443" i="57" s="1"/>
  <c r="B444" i="57" s="1"/>
  <c r="B445" i="57" s="1"/>
  <c r="B446" i="57" s="1"/>
  <c r="B447" i="57" s="1"/>
  <c r="B448" i="57" s="1"/>
  <c r="B449" i="57" s="1"/>
  <c r="B450" i="57" s="1"/>
  <c r="B451" i="57" s="1"/>
  <c r="B452" i="57" s="1"/>
  <c r="B453" i="57" s="1"/>
  <c r="B454" i="57" s="1"/>
  <c r="B455" i="57" s="1"/>
  <c r="B456" i="57" s="1"/>
  <c r="B457" i="57" s="1"/>
  <c r="B458" i="57" s="1"/>
  <c r="B459" i="57" s="1"/>
  <c r="B460" i="57" s="1"/>
  <c r="B461" i="57" s="1"/>
  <c r="B462" i="57" s="1"/>
  <c r="B463" i="57" s="1"/>
  <c r="B464" i="57" s="1"/>
  <c r="B465" i="57" s="1"/>
  <c r="B466" i="57" s="1"/>
  <c r="B467" i="57" s="1"/>
  <c r="B468" i="57" s="1"/>
  <c r="B469" i="57" s="1"/>
  <c r="B470" i="57" s="1"/>
  <c r="B471" i="57" s="1"/>
  <c r="B472" i="57" s="1"/>
  <c r="B473" i="57" s="1"/>
  <c r="B474" i="57" s="1"/>
  <c r="B475" i="57" s="1"/>
  <c r="B476" i="57" s="1"/>
  <c r="B477" i="57" s="1"/>
  <c r="B478" i="57" s="1"/>
  <c r="B479" i="57" s="1"/>
  <c r="B480" i="57" s="1"/>
  <c r="B481" i="57" s="1"/>
  <c r="B482" i="57" s="1"/>
  <c r="B483" i="57" s="1"/>
  <c r="B484" i="57" s="1"/>
  <c r="B485" i="57" s="1"/>
  <c r="B486" i="57" s="1"/>
  <c r="B487" i="57" s="1"/>
  <c r="B488" i="57" s="1"/>
  <c r="B489" i="57" s="1"/>
  <c r="B490" i="57" s="1"/>
  <c r="B491" i="57" s="1"/>
  <c r="B492" i="57" s="1"/>
  <c r="B493" i="57" s="1"/>
  <c r="B494" i="57" s="1"/>
  <c r="B495" i="57" s="1"/>
  <c r="B496" i="57" s="1"/>
  <c r="B497" i="57" s="1"/>
  <c r="B498" i="57" s="1"/>
  <c r="B499" i="57" s="1"/>
  <c r="B500" i="57" s="1"/>
  <c r="B501" i="57" s="1"/>
  <c r="B502" i="57" s="1"/>
  <c r="B503" i="57" s="1"/>
  <c r="B504" i="57" s="1"/>
  <c r="B505" i="57" s="1"/>
  <c r="B506" i="57" s="1"/>
  <c r="B507" i="57" s="1"/>
  <c r="B508" i="57" s="1"/>
  <c r="B509" i="57" s="1"/>
  <c r="B510" i="57" s="1"/>
  <c r="B511" i="57" s="1"/>
  <c r="B512" i="57" s="1"/>
  <c r="B513" i="57" s="1"/>
  <c r="B514" i="57" s="1"/>
  <c r="B515" i="57" s="1"/>
  <c r="B516" i="57" s="1"/>
  <c r="B517" i="57" s="1"/>
  <c r="B518" i="57" s="1"/>
  <c r="B519" i="57" s="1"/>
  <c r="B520" i="57" s="1"/>
  <c r="B521" i="57" s="1"/>
  <c r="B522" i="57" s="1"/>
  <c r="B523" i="57" s="1"/>
  <c r="B524" i="57" s="1"/>
  <c r="B525" i="57" s="1"/>
  <c r="B526" i="57" s="1"/>
  <c r="B527" i="57" s="1"/>
  <c r="B528" i="57" s="1"/>
  <c r="B529" i="57" s="1"/>
  <c r="B530" i="57" s="1"/>
  <c r="B531" i="57" s="1"/>
  <c r="B532" i="57" s="1"/>
  <c r="B533" i="57" s="1"/>
  <c r="B534" i="57" s="1"/>
  <c r="B535" i="57" s="1"/>
  <c r="B536" i="57" s="1"/>
  <c r="B537" i="57" s="1"/>
  <c r="B538" i="57" s="1"/>
  <c r="B539" i="57" s="1"/>
  <c r="B540" i="57" s="1"/>
  <c r="B541" i="57" s="1"/>
  <c r="B542" i="57" s="1"/>
  <c r="B543" i="57" s="1"/>
  <c r="B544" i="57" s="1"/>
  <c r="B545" i="57" s="1"/>
  <c r="B546" i="57" s="1"/>
  <c r="B547" i="57" s="1"/>
  <c r="B548" i="57" s="1"/>
  <c r="B549" i="57" s="1"/>
  <c r="B550" i="57" s="1"/>
  <c r="B551" i="57" s="1"/>
  <c r="B552" i="57" s="1"/>
  <c r="B553" i="57" s="1"/>
  <c r="B554" i="57" s="1"/>
  <c r="D369" i="57"/>
  <c r="F369" i="57"/>
  <c r="H369" i="57"/>
  <c r="J369" i="57"/>
  <c r="L369" i="57"/>
  <c r="N369" i="57"/>
  <c r="P369" i="57"/>
  <c r="R369" i="57"/>
  <c r="D361" i="57"/>
  <c r="F361" i="57"/>
  <c r="H361" i="57"/>
  <c r="J361" i="57"/>
  <c r="L361" i="57"/>
  <c r="N361" i="57"/>
  <c r="P361" i="57"/>
  <c r="R361" i="57"/>
  <c r="D362" i="57"/>
  <c r="F362" i="57"/>
  <c r="H362" i="57"/>
  <c r="J362" i="57"/>
  <c r="L362" i="57"/>
  <c r="N362" i="57"/>
  <c r="P362" i="57"/>
  <c r="R362" i="57"/>
  <c r="D363" i="57"/>
  <c r="F363" i="57"/>
  <c r="H363" i="57"/>
  <c r="J363" i="57"/>
  <c r="L363" i="57"/>
  <c r="N363" i="57"/>
  <c r="P363" i="57"/>
  <c r="R363" i="57"/>
  <c r="D364" i="57"/>
  <c r="F364" i="57"/>
  <c r="H364" i="57"/>
  <c r="J364" i="57"/>
  <c r="L364" i="57"/>
  <c r="N364" i="57"/>
  <c r="P364" i="57"/>
  <c r="R364" i="57"/>
  <c r="D365" i="57"/>
  <c r="F365" i="57"/>
  <c r="H365" i="57"/>
  <c r="J365" i="57"/>
  <c r="L365" i="57"/>
  <c r="N365" i="57"/>
  <c r="P365" i="57"/>
  <c r="R365" i="57"/>
  <c r="D366" i="57"/>
  <c r="F366" i="57"/>
  <c r="H366" i="57"/>
  <c r="J366" i="57"/>
  <c r="L366" i="57"/>
  <c r="N366" i="57"/>
  <c r="P366" i="57"/>
  <c r="R366" i="57"/>
  <c r="D367" i="57"/>
  <c r="F367" i="57"/>
  <c r="H367" i="57"/>
  <c r="J367" i="57"/>
  <c r="L367" i="57"/>
  <c r="N367" i="57"/>
  <c r="P367" i="57"/>
  <c r="R367" i="57"/>
  <c r="D368" i="57"/>
  <c r="F368" i="57"/>
  <c r="H368" i="57"/>
  <c r="J368" i="57"/>
  <c r="L368" i="57"/>
  <c r="N368" i="57"/>
  <c r="P368" i="57"/>
  <c r="R368" i="57"/>
  <c r="E8099" i="7"/>
  <c r="E8098" i="7"/>
  <c r="J555" i="57" l="1"/>
  <c r="E7957" i="7"/>
  <c r="E7956" i="7"/>
  <c r="E7989" i="7" l="1"/>
  <c r="E7988" i="7"/>
  <c r="E7987" i="7"/>
  <c r="E7905" i="7"/>
  <c r="E7904" i="7"/>
  <c r="E7903" i="7"/>
  <c r="E8011" i="7" l="1"/>
  <c r="K8010" i="7"/>
  <c r="L8011" i="7" s="1"/>
  <c r="E8010" i="7"/>
  <c r="E8009" i="7"/>
  <c r="K8008" i="7"/>
  <c r="L8009" i="7" s="1"/>
  <c r="E8008" i="7"/>
  <c r="L8007" i="7"/>
  <c r="E8007" i="7"/>
  <c r="E8006" i="7"/>
  <c r="L8005" i="7"/>
  <c r="E8005" i="7"/>
  <c r="E8004" i="7"/>
  <c r="L8003" i="7"/>
  <c r="E8003" i="7"/>
  <c r="E8002" i="7"/>
  <c r="L8001" i="7"/>
  <c r="E8001" i="7"/>
  <c r="E8000" i="7"/>
  <c r="L7999" i="7"/>
  <c r="E7999" i="7"/>
  <c r="E7998" i="7"/>
  <c r="E7997" i="7"/>
  <c r="E7996" i="7"/>
  <c r="L7995" i="7"/>
  <c r="E7995" i="7"/>
  <c r="E7994" i="7"/>
  <c r="L7993" i="7"/>
  <c r="E7993" i="7"/>
  <c r="E7992" i="7"/>
  <c r="E7986" i="7"/>
  <c r="E7985" i="7"/>
  <c r="E7984" i="7"/>
  <c r="E7983" i="7"/>
  <c r="E7982" i="7"/>
  <c r="E7963" i="7"/>
  <c r="E7962" i="7"/>
  <c r="E7959" i="7"/>
  <c r="E7958" i="7"/>
  <c r="E7961" i="7"/>
  <c r="E7960" i="7"/>
  <c r="E7946" i="7"/>
  <c r="E7945" i="7"/>
  <c r="E7944" i="7"/>
  <c r="E7943" i="7"/>
  <c r="E7942" i="7"/>
  <c r="E7941" i="7"/>
  <c r="E7940" i="7"/>
  <c r="E7981" i="7"/>
  <c r="E7980" i="7"/>
  <c r="E7979" i="7"/>
  <c r="E7978" i="7"/>
  <c r="E7977" i="7"/>
  <c r="E7976" i="7"/>
  <c r="E7975" i="7"/>
  <c r="E7974" i="7"/>
  <c r="E7973" i="7"/>
  <c r="E7972" i="7"/>
  <c r="E7971" i="7"/>
  <c r="E7970" i="7"/>
  <c r="E7966" i="7"/>
  <c r="E7965" i="7"/>
  <c r="E7964" i="7"/>
  <c r="E7955" i="7"/>
  <c r="E7954" i="7"/>
  <c r="E7953" i="7"/>
  <c r="E7952" i="7"/>
  <c r="E7951" i="7"/>
  <c r="E7950" i="7"/>
  <c r="E7949" i="7"/>
  <c r="E7948" i="7"/>
  <c r="E7947" i="7"/>
  <c r="E7939" i="7"/>
  <c r="E7938" i="7"/>
  <c r="E7937" i="7"/>
  <c r="E7936" i="7"/>
  <c r="E7935" i="7"/>
  <c r="E7934" i="7"/>
  <c r="E7933" i="7"/>
  <c r="E7932" i="7"/>
  <c r="E7931" i="7"/>
  <c r="E7930" i="7"/>
  <c r="E7929" i="7"/>
  <c r="E7928" i="7"/>
  <c r="E7927" i="7"/>
  <c r="E7926" i="7"/>
  <c r="E7969" i="7"/>
  <c r="E7968" i="7"/>
  <c r="E7967" i="7"/>
  <c r="E7902" i="7" l="1"/>
  <c r="E7901" i="7"/>
  <c r="E7900" i="7"/>
  <c r="D354" i="57" l="1"/>
  <c r="D355" i="57"/>
  <c r="D356" i="57"/>
  <c r="D357" i="57"/>
  <c r="D358" i="57"/>
  <c r="D359" i="57"/>
  <c r="D360" i="57"/>
  <c r="R360" i="57"/>
  <c r="P360" i="57"/>
  <c r="N360" i="57"/>
  <c r="L360" i="57"/>
  <c r="J360" i="57"/>
  <c r="H360" i="57"/>
  <c r="F360" i="57"/>
  <c r="R359" i="57"/>
  <c r="P359" i="57"/>
  <c r="N359" i="57"/>
  <c r="L359" i="57"/>
  <c r="J359" i="57"/>
  <c r="H359" i="57"/>
  <c r="F359" i="57"/>
  <c r="R358" i="57"/>
  <c r="P358" i="57"/>
  <c r="N358" i="57"/>
  <c r="L358" i="57"/>
  <c r="J358" i="57"/>
  <c r="H358" i="57"/>
  <c r="F358" i="57"/>
  <c r="R357" i="57"/>
  <c r="P357" i="57"/>
  <c r="N357" i="57"/>
  <c r="L357" i="57"/>
  <c r="J357" i="57"/>
  <c r="H357" i="57"/>
  <c r="F357" i="57"/>
  <c r="R356" i="57"/>
  <c r="P356" i="57"/>
  <c r="N356" i="57"/>
  <c r="L356" i="57"/>
  <c r="J356" i="57"/>
  <c r="H356" i="57"/>
  <c r="F356" i="57"/>
  <c r="R355" i="57"/>
  <c r="P355" i="57"/>
  <c r="N355" i="57"/>
  <c r="L355" i="57"/>
  <c r="J355" i="57"/>
  <c r="H355" i="57"/>
  <c r="F355" i="57"/>
  <c r="R354" i="57"/>
  <c r="P354" i="57"/>
  <c r="N354" i="57"/>
  <c r="L354" i="57"/>
  <c r="J354" i="57"/>
  <c r="H354" i="57"/>
  <c r="F354" i="57"/>
  <c r="E7925" i="7" l="1"/>
  <c r="K7924" i="7"/>
  <c r="L7925" i="7" s="1"/>
  <c r="E7924" i="7"/>
  <c r="E7923" i="7"/>
  <c r="K7922" i="7"/>
  <c r="L7923" i="7" s="1"/>
  <c r="E7922" i="7"/>
  <c r="L7921" i="7"/>
  <c r="E7921" i="7"/>
  <c r="E7920" i="7"/>
  <c r="L7919" i="7"/>
  <c r="E7919" i="7"/>
  <c r="E7918" i="7"/>
  <c r="L7917" i="7"/>
  <c r="E7917" i="7"/>
  <c r="E7916" i="7"/>
  <c r="L7915" i="7"/>
  <c r="E7915" i="7"/>
  <c r="E7914" i="7"/>
  <c r="L7913" i="7"/>
  <c r="E7913" i="7"/>
  <c r="E7912" i="7"/>
  <c r="E7911" i="7"/>
  <c r="E7910" i="7"/>
  <c r="L7909" i="7"/>
  <c r="E7909" i="7"/>
  <c r="E7908" i="7"/>
  <c r="L7907" i="7"/>
  <c r="E7907" i="7"/>
  <c r="E7906" i="7"/>
  <c r="E7899" i="7"/>
  <c r="E7898" i="7"/>
  <c r="E7897" i="7"/>
  <c r="E7896" i="7"/>
  <c r="E7895" i="7"/>
  <c r="E7894" i="7"/>
  <c r="E7893" i="7" l="1"/>
  <c r="E7892" i="7"/>
  <c r="E7891" i="7"/>
  <c r="E7890" i="7"/>
  <c r="E7889" i="7"/>
  <c r="E7884" i="7" l="1"/>
  <c r="E7883" i="7"/>
  <c r="E7861" i="7"/>
  <c r="E7860" i="7"/>
  <c r="E7824" i="7"/>
  <c r="E7823" i="7"/>
  <c r="E7888" i="7"/>
  <c r="E7887" i="7"/>
  <c r="E7882" i="7"/>
  <c r="E7881" i="7"/>
  <c r="E7880" i="7"/>
  <c r="E7879" i="7"/>
  <c r="E7875" i="7"/>
  <c r="E7874" i="7"/>
  <c r="E7873" i="7"/>
  <c r="E7872" i="7"/>
  <c r="E7871" i="7"/>
  <c r="E7870" i="7"/>
  <c r="E7859" i="7"/>
  <c r="E7858" i="7"/>
  <c r="E7857" i="7"/>
  <c r="E7856" i="7"/>
  <c r="E7855" i="7"/>
  <c r="E7854" i="7"/>
  <c r="E7847" i="7" l="1"/>
  <c r="E7846" i="7"/>
  <c r="E7845" i="7"/>
  <c r="E7878" i="7" l="1"/>
  <c r="E7877" i="7"/>
  <c r="E7876" i="7"/>
  <c r="E7869" i="7"/>
  <c r="E7868" i="7"/>
  <c r="E7867" i="7"/>
  <c r="E7866" i="7"/>
  <c r="E7865" i="7"/>
  <c r="E7864" i="7"/>
  <c r="E7863" i="7"/>
  <c r="E7862" i="7"/>
  <c r="E7853" i="7"/>
  <c r="E7852" i="7"/>
  <c r="E7851" i="7"/>
  <c r="E7850" i="7"/>
  <c r="E7849" i="7"/>
  <c r="E7848" i="7"/>
  <c r="E6935" i="7" l="1"/>
  <c r="E7759" i="7"/>
  <c r="E7758" i="7"/>
  <c r="E7757" i="7"/>
  <c r="E6937" i="7"/>
  <c r="E6936" i="7"/>
  <c r="E6934" i="7"/>
  <c r="N7839" i="7"/>
  <c r="E7844" i="7"/>
  <c r="L7844" i="7"/>
  <c r="E7843" i="7"/>
  <c r="E7842" i="7"/>
  <c r="L7842" i="7"/>
  <c r="E7841" i="7"/>
  <c r="L7840" i="7"/>
  <c r="E7840" i="7"/>
  <c r="E7839" i="7"/>
  <c r="L7838" i="7"/>
  <c r="E7838" i="7"/>
  <c r="E7837" i="7"/>
  <c r="L7836" i="7"/>
  <c r="E7836" i="7"/>
  <c r="E7835" i="7"/>
  <c r="L7834" i="7"/>
  <c r="E7834" i="7"/>
  <c r="E7833" i="7"/>
  <c r="L7832" i="7"/>
  <c r="E7832" i="7"/>
  <c r="E7831" i="7"/>
  <c r="E7830" i="7"/>
  <c r="E7829" i="7"/>
  <c r="E7828" i="7"/>
  <c r="E7827" i="7"/>
  <c r="E7826" i="7"/>
  <c r="E7825" i="7"/>
  <c r="E7822" i="7"/>
  <c r="E7821" i="7"/>
  <c r="E7820" i="7"/>
  <c r="E7819" i="7"/>
  <c r="E7818" i="7"/>
  <c r="E7817" i="7"/>
  <c r="E7816" i="7"/>
  <c r="N7841" i="7" l="1"/>
  <c r="N7843" i="7"/>
  <c r="E7815" i="7"/>
  <c r="E7814" i="7"/>
  <c r="E7813" i="7"/>
  <c r="E7812" i="7"/>
  <c r="E7811" i="7"/>
  <c r="E7810" i="7"/>
  <c r="E7809" i="7"/>
  <c r="E7808" i="7"/>
  <c r="E7807" i="7"/>
  <c r="E7806" i="7" l="1"/>
  <c r="E7805" i="7"/>
  <c r="E7804" i="7"/>
  <c r="E7803" i="7"/>
  <c r="E7802" i="7"/>
  <c r="E7801" i="7"/>
  <c r="E7800" i="7"/>
  <c r="E7799" i="7"/>
  <c r="D340" i="57" l="1"/>
  <c r="D341" i="57"/>
  <c r="D342" i="57"/>
  <c r="D343" i="57"/>
  <c r="D344" i="57"/>
  <c r="D345" i="57"/>
  <c r="D346" i="57"/>
  <c r="D347" i="57"/>
  <c r="D348" i="57"/>
  <c r="D349" i="57"/>
  <c r="D350" i="57"/>
  <c r="D351" i="57"/>
  <c r="D352" i="57"/>
  <c r="D353" i="57"/>
  <c r="E7777" i="7"/>
  <c r="E7776" i="7"/>
  <c r="E7778" i="7"/>
  <c r="E7734" i="7"/>
  <c r="E7733" i="7"/>
  <c r="E7790" i="7" l="1"/>
  <c r="E7792" i="7"/>
  <c r="E7791" i="7"/>
  <c r="E7789" i="7"/>
  <c r="E7788" i="7"/>
  <c r="E7787" i="7"/>
  <c r="E7786" i="7"/>
  <c r="E7785" i="7"/>
  <c r="E7784" i="7"/>
  <c r="E7783" i="7"/>
  <c r="E7775" i="7"/>
  <c r="E7774" i="7"/>
  <c r="E7773" i="7"/>
  <c r="E7772" i="7"/>
  <c r="E7771" i="7"/>
  <c r="E7770" i="7"/>
  <c r="E7769" i="7" l="1"/>
  <c r="E7768" i="7"/>
  <c r="R353" i="57"/>
  <c r="P353" i="57"/>
  <c r="N353" i="57"/>
  <c r="L353" i="57"/>
  <c r="J353" i="57"/>
  <c r="H353" i="57"/>
  <c r="F353" i="57"/>
  <c r="R352" i="57"/>
  <c r="P352" i="57"/>
  <c r="N352" i="57"/>
  <c r="L352" i="57"/>
  <c r="J352" i="57"/>
  <c r="H352" i="57"/>
  <c r="F352" i="57"/>
  <c r="R351" i="57"/>
  <c r="P351" i="57"/>
  <c r="N351" i="57"/>
  <c r="L351" i="57"/>
  <c r="J351" i="57"/>
  <c r="H351" i="57"/>
  <c r="F351" i="57"/>
  <c r="R350" i="57"/>
  <c r="P350" i="57"/>
  <c r="N350" i="57"/>
  <c r="L350" i="57"/>
  <c r="J350" i="57"/>
  <c r="H350" i="57"/>
  <c r="F350" i="57"/>
  <c r="R349" i="57"/>
  <c r="P349" i="57"/>
  <c r="N349" i="57"/>
  <c r="L349" i="57"/>
  <c r="J349" i="57"/>
  <c r="H349" i="57"/>
  <c r="F349" i="57"/>
  <c r="R348" i="57"/>
  <c r="P348" i="57"/>
  <c r="N348" i="57"/>
  <c r="L348" i="57"/>
  <c r="J348" i="57"/>
  <c r="H348" i="57"/>
  <c r="F348" i="57"/>
  <c r="R347" i="57"/>
  <c r="P347" i="57"/>
  <c r="N347" i="57"/>
  <c r="L347" i="57"/>
  <c r="J347" i="57"/>
  <c r="H347" i="57"/>
  <c r="F347" i="57"/>
  <c r="R346" i="57"/>
  <c r="P346" i="57"/>
  <c r="N346" i="57"/>
  <c r="L346" i="57"/>
  <c r="J346" i="57"/>
  <c r="H346" i="57"/>
  <c r="F346" i="57"/>
  <c r="R345" i="57"/>
  <c r="P345" i="57"/>
  <c r="N345" i="57"/>
  <c r="L345" i="57"/>
  <c r="J345" i="57"/>
  <c r="H345" i="57"/>
  <c r="F345" i="57"/>
  <c r="R344" i="57"/>
  <c r="P344" i="57"/>
  <c r="N344" i="57"/>
  <c r="L344" i="57"/>
  <c r="J344" i="57"/>
  <c r="H344" i="57"/>
  <c r="F344" i="57"/>
  <c r="R343" i="57"/>
  <c r="P343" i="57"/>
  <c r="N343" i="57"/>
  <c r="L343" i="57"/>
  <c r="J343" i="57"/>
  <c r="H343" i="57"/>
  <c r="F343" i="57"/>
  <c r="R342" i="57"/>
  <c r="P342" i="57"/>
  <c r="N342" i="57"/>
  <c r="L342" i="57"/>
  <c r="J342" i="57"/>
  <c r="H342" i="57"/>
  <c r="F342" i="57"/>
  <c r="R341" i="57"/>
  <c r="P341" i="57"/>
  <c r="N341" i="57"/>
  <c r="L341" i="57"/>
  <c r="J341" i="57"/>
  <c r="H341" i="57"/>
  <c r="F341" i="57"/>
  <c r="R340" i="57"/>
  <c r="P340" i="57"/>
  <c r="N340" i="57"/>
  <c r="L340" i="57"/>
  <c r="J340" i="57"/>
  <c r="H340" i="57"/>
  <c r="F340" i="57"/>
  <c r="E7798" i="7"/>
  <c r="E7797" i="7"/>
  <c r="E7796" i="7"/>
  <c r="E7795" i="7"/>
  <c r="E7794" i="7"/>
  <c r="E7793" i="7"/>
  <c r="E7782" i="7" l="1"/>
  <c r="E7781" i="7"/>
  <c r="E7780" i="7"/>
  <c r="E7779" i="7"/>
  <c r="E7767" i="7"/>
  <c r="E7766" i="7"/>
  <c r="E7765" i="7"/>
  <c r="E7764" i="7"/>
  <c r="E7763" i="7"/>
  <c r="E7762" i="7"/>
  <c r="E7688" i="7"/>
  <c r="E7687" i="7"/>
  <c r="E7732" i="7"/>
  <c r="E7731" i="7"/>
  <c r="E7730" i="7"/>
  <c r="E7729" i="7"/>
  <c r="E7728" i="7"/>
  <c r="E7727" i="7"/>
  <c r="E7726" i="7" l="1"/>
  <c r="E7725" i="7"/>
  <c r="E7742" i="7" l="1"/>
  <c r="E7741" i="7"/>
  <c r="E7756" i="7"/>
  <c r="K7755" i="7"/>
  <c r="L7756" i="7" s="1"/>
  <c r="E7755" i="7"/>
  <c r="E7754" i="7"/>
  <c r="K7753" i="7"/>
  <c r="L7754" i="7" s="1"/>
  <c r="E7753" i="7"/>
  <c r="L7752" i="7"/>
  <c r="E7752" i="7"/>
  <c r="E7751" i="7"/>
  <c r="L7750" i="7"/>
  <c r="E7750" i="7"/>
  <c r="E7749" i="7"/>
  <c r="L7748" i="7"/>
  <c r="E7748" i="7"/>
  <c r="E7747" i="7"/>
  <c r="L7746" i="7"/>
  <c r="E7746" i="7"/>
  <c r="E7745" i="7"/>
  <c r="L7744" i="7"/>
  <c r="E7744" i="7"/>
  <c r="E7743" i="7"/>
  <c r="L7740" i="7"/>
  <c r="E7740" i="7"/>
  <c r="E7739" i="7"/>
  <c r="L7738" i="7"/>
  <c r="E7738" i="7"/>
  <c r="E7737" i="7"/>
  <c r="L7736" i="7"/>
  <c r="E7736" i="7"/>
  <c r="E7735" i="7"/>
  <c r="E7724" i="7"/>
  <c r="E7723" i="7"/>
  <c r="E7722" i="7"/>
  <c r="E7721" i="7"/>
  <c r="E7720" i="7"/>
  <c r="E7686" i="7"/>
  <c r="E7685" i="7"/>
  <c r="E7684" i="7"/>
  <c r="E7683" i="7"/>
  <c r="E7682" i="7"/>
  <c r="E7681" i="7"/>
  <c r="D332" i="57" l="1"/>
  <c r="D333" i="57"/>
  <c r="D334" i="57"/>
  <c r="D335" i="57"/>
  <c r="D336" i="57"/>
  <c r="D337" i="57"/>
  <c r="D338" i="57"/>
  <c r="D339" i="57"/>
  <c r="F332" i="57"/>
  <c r="F333" i="57"/>
  <c r="F334" i="57"/>
  <c r="F335" i="57"/>
  <c r="F336" i="57"/>
  <c r="F337" i="57"/>
  <c r="F338" i="57"/>
  <c r="F339" i="57"/>
  <c r="R339" i="57"/>
  <c r="P339" i="57"/>
  <c r="N339" i="57"/>
  <c r="L339" i="57"/>
  <c r="J339" i="57"/>
  <c r="H339" i="57"/>
  <c r="R338" i="57"/>
  <c r="P338" i="57"/>
  <c r="N338" i="57"/>
  <c r="L338" i="57"/>
  <c r="J338" i="57"/>
  <c r="H338" i="57"/>
  <c r="R337" i="57"/>
  <c r="P337" i="57"/>
  <c r="N337" i="57"/>
  <c r="L337" i="57"/>
  <c r="J337" i="57"/>
  <c r="H337" i="57"/>
  <c r="R336" i="57"/>
  <c r="P336" i="57"/>
  <c r="N336" i="57"/>
  <c r="L336" i="57"/>
  <c r="J336" i="57"/>
  <c r="H336" i="57"/>
  <c r="R335" i="57"/>
  <c r="P335" i="57"/>
  <c r="N335" i="57"/>
  <c r="L335" i="57"/>
  <c r="J335" i="57"/>
  <c r="H335" i="57"/>
  <c r="R334" i="57"/>
  <c r="P334" i="57"/>
  <c r="N334" i="57"/>
  <c r="L334" i="57"/>
  <c r="J334" i="57"/>
  <c r="H334" i="57"/>
  <c r="R333" i="57"/>
  <c r="P333" i="57"/>
  <c r="N333" i="57"/>
  <c r="L333" i="57"/>
  <c r="J333" i="57"/>
  <c r="H333" i="57"/>
  <c r="R332" i="57"/>
  <c r="P332" i="57"/>
  <c r="N332" i="57"/>
  <c r="L332" i="57"/>
  <c r="J332" i="57"/>
  <c r="H332" i="57"/>
  <c r="E7719" i="7"/>
  <c r="E7718" i="7"/>
  <c r="E7717" i="7"/>
  <c r="E7716" i="7"/>
  <c r="E7715" i="7"/>
  <c r="E7714" i="7"/>
  <c r="E7713" i="7"/>
  <c r="E7712" i="7"/>
  <c r="E7711" i="7"/>
  <c r="E7676" i="7"/>
  <c r="E7675" i="7"/>
  <c r="E7710" i="7"/>
  <c r="E7709" i="7"/>
  <c r="E7708" i="7"/>
  <c r="E7707" i="7"/>
  <c r="E7706" i="7"/>
  <c r="E7705" i="7"/>
  <c r="E7704" i="7"/>
  <c r="E7703" i="7"/>
  <c r="E7702" i="7"/>
  <c r="E7701" i="7"/>
  <c r="E7700" i="7"/>
  <c r="E7680" i="7"/>
  <c r="E7679" i="7"/>
  <c r="E7678" i="7"/>
  <c r="E7677" i="7"/>
  <c r="E7674" i="7"/>
  <c r="E7673" i="7"/>
  <c r="E7672" i="7"/>
  <c r="E7699" i="7"/>
  <c r="E7698" i="7"/>
  <c r="E7697" i="7"/>
  <c r="E7696" i="7"/>
  <c r="E7695" i="7"/>
  <c r="E7694" i="7"/>
  <c r="E7693" i="7"/>
  <c r="E7692" i="7"/>
  <c r="E7691" i="7"/>
  <c r="E7690" i="7"/>
  <c r="E7689" i="7"/>
  <c r="E7671" i="7"/>
  <c r="E7670" i="7"/>
  <c r="E7669" i="7"/>
  <c r="E7668" i="7"/>
  <c r="E7667" i="7"/>
  <c r="E7666" i="7"/>
  <c r="E7665" i="7"/>
  <c r="E7664" i="7"/>
  <c r="E7660" i="7"/>
  <c r="E7659" i="7"/>
  <c r="E7658" i="7"/>
  <c r="E7657" i="7"/>
  <c r="E7656" i="7"/>
  <c r="E7655" i="7"/>
  <c r="E7654" i="7"/>
  <c r="E7650" i="7"/>
  <c r="E7649" i="7"/>
  <c r="E7648" i="7"/>
  <c r="E7647" i="7"/>
  <c r="E7663" i="7"/>
  <c r="E7662" i="7"/>
  <c r="E7661" i="7"/>
  <c r="E7653" i="7" l="1"/>
  <c r="E7652" i="7"/>
  <c r="E7651" i="7"/>
  <c r="E7646" i="7"/>
  <c r="E7645" i="7"/>
  <c r="E7622" i="7"/>
  <c r="E7621" i="7"/>
  <c r="E7620" i="7"/>
  <c r="E7619" i="7"/>
  <c r="E7644" i="7"/>
  <c r="K7643" i="7"/>
  <c r="L7644" i="7" s="1"/>
  <c r="E7643" i="7"/>
  <c r="E7642" i="7"/>
  <c r="K7641" i="7"/>
  <c r="L7642" i="7" s="1"/>
  <c r="E7641" i="7"/>
  <c r="L7640" i="7"/>
  <c r="E7640" i="7"/>
  <c r="E7639" i="7"/>
  <c r="L7638" i="7"/>
  <c r="E7638" i="7"/>
  <c r="E7637" i="7"/>
  <c r="L7636" i="7"/>
  <c r="E7636" i="7"/>
  <c r="E7635" i="7"/>
  <c r="L7634" i="7"/>
  <c r="E7634" i="7"/>
  <c r="E7633" i="7"/>
  <c r="L7632" i="7"/>
  <c r="E7632" i="7"/>
  <c r="E7631" i="7"/>
  <c r="L7630" i="7"/>
  <c r="E7630" i="7"/>
  <c r="E7629" i="7"/>
  <c r="L7628" i="7"/>
  <c r="E7628" i="7"/>
  <c r="E7627" i="7"/>
  <c r="L7626" i="7"/>
  <c r="E7626" i="7"/>
  <c r="E7625" i="7"/>
  <c r="E7611" i="7" l="1"/>
  <c r="E7610" i="7"/>
  <c r="E7618" i="7"/>
  <c r="E7617" i="7"/>
  <c r="E7616" i="7"/>
  <c r="E7615" i="7"/>
  <c r="E7614" i="7" l="1"/>
  <c r="E7613" i="7"/>
  <c r="E7612" i="7"/>
  <c r="D325" i="57" l="1"/>
  <c r="D326" i="57"/>
  <c r="D327" i="57"/>
  <c r="D328" i="57"/>
  <c r="D329" i="57"/>
  <c r="D330" i="57"/>
  <c r="D331" i="57"/>
  <c r="R331" i="57"/>
  <c r="P331" i="57"/>
  <c r="N331" i="57"/>
  <c r="L331" i="57"/>
  <c r="J331" i="57"/>
  <c r="H331" i="57"/>
  <c r="F331" i="57"/>
  <c r="R330" i="57"/>
  <c r="P330" i="57"/>
  <c r="N330" i="57"/>
  <c r="L330" i="57"/>
  <c r="J330" i="57"/>
  <c r="H330" i="57"/>
  <c r="F330" i="57"/>
  <c r="R329" i="57"/>
  <c r="P329" i="57"/>
  <c r="N329" i="57"/>
  <c r="L329" i="57"/>
  <c r="J329" i="57"/>
  <c r="H329" i="57"/>
  <c r="F329" i="57"/>
  <c r="R328" i="57"/>
  <c r="P328" i="57"/>
  <c r="N328" i="57"/>
  <c r="L328" i="57"/>
  <c r="J328" i="57"/>
  <c r="H328" i="57"/>
  <c r="F328" i="57"/>
  <c r="R327" i="57"/>
  <c r="P327" i="57"/>
  <c r="N327" i="57"/>
  <c r="L327" i="57"/>
  <c r="J327" i="57"/>
  <c r="H327" i="57"/>
  <c r="F327" i="57"/>
  <c r="R326" i="57"/>
  <c r="P326" i="57"/>
  <c r="N326" i="57"/>
  <c r="L326" i="57"/>
  <c r="J326" i="57"/>
  <c r="H326" i="57"/>
  <c r="F326" i="57"/>
  <c r="R325" i="57"/>
  <c r="P325" i="57"/>
  <c r="N325" i="57"/>
  <c r="L325" i="57"/>
  <c r="J325" i="57"/>
  <c r="H325" i="57"/>
  <c r="F325" i="57"/>
  <c r="E7609" i="7"/>
  <c r="E7608" i="7"/>
  <c r="E7607" i="7"/>
  <c r="E7606" i="7"/>
  <c r="E7605" i="7"/>
  <c r="E7604" i="7"/>
  <c r="E7603" i="7"/>
  <c r="E7600" i="7"/>
  <c r="E7599" i="7"/>
  <c r="E7598" i="7"/>
  <c r="E7597" i="7"/>
  <c r="E7596" i="7"/>
  <c r="E7595" i="7"/>
  <c r="E7594" i="7"/>
  <c r="E7593" i="7"/>
  <c r="E7592" i="7"/>
  <c r="E7591" i="7"/>
  <c r="E7290" i="7" l="1"/>
  <c r="E7590" i="7"/>
  <c r="E7589" i="7"/>
  <c r="E7602" i="7"/>
  <c r="E7601" i="7"/>
  <c r="E7588" i="7"/>
  <c r="E7587" i="7"/>
  <c r="E7586" i="7"/>
  <c r="E7585" i="7"/>
  <c r="E7579" i="7"/>
  <c r="E7578" i="7"/>
  <c r="E7577" i="7"/>
  <c r="E7576" i="7"/>
  <c r="E7575" i="7"/>
  <c r="E7574" i="7"/>
  <c r="E7584" i="7"/>
  <c r="E7583" i="7"/>
  <c r="E7582" i="7"/>
  <c r="E7581" i="7"/>
  <c r="E7580" i="7"/>
  <c r="E7573" i="7"/>
  <c r="E7572" i="7"/>
  <c r="E7571" i="7"/>
  <c r="E7570" i="7"/>
  <c r="E7569" i="7"/>
  <c r="E7568" i="7" l="1"/>
  <c r="E7567" i="7"/>
  <c r="E7566" i="7"/>
  <c r="E7565" i="7"/>
  <c r="E7564" i="7"/>
  <c r="E7563" i="7"/>
  <c r="E7542" i="7" l="1"/>
  <c r="E7541" i="7"/>
  <c r="E7543" i="7"/>
  <c r="E7540" i="7"/>
  <c r="E7539" i="7"/>
  <c r="E7538" i="7"/>
  <c r="E7537" i="7"/>
  <c r="E7536" i="7"/>
  <c r="E7535" i="7"/>
  <c r="E7534" i="7"/>
  <c r="E7533" i="7"/>
  <c r="E7532" i="7"/>
  <c r="E7531" i="7"/>
  <c r="E7528" i="7"/>
  <c r="E7527" i="7"/>
  <c r="E7562" i="7"/>
  <c r="K7561" i="7"/>
  <c r="L7562" i="7" s="1"/>
  <c r="E7561" i="7"/>
  <c r="E7560" i="7"/>
  <c r="K7559" i="7"/>
  <c r="L7560" i="7" s="1"/>
  <c r="E7559" i="7"/>
  <c r="L7558" i="7"/>
  <c r="E7558" i="7"/>
  <c r="E7557" i="7"/>
  <c r="L7556" i="7"/>
  <c r="E7556" i="7"/>
  <c r="E7555" i="7"/>
  <c r="L7554" i="7"/>
  <c r="E7554" i="7"/>
  <c r="E7553" i="7"/>
  <c r="L7552" i="7"/>
  <c r="E7552" i="7"/>
  <c r="E7551" i="7"/>
  <c r="L7550" i="7"/>
  <c r="E7550" i="7"/>
  <c r="E7549" i="7"/>
  <c r="L7548" i="7"/>
  <c r="E7548" i="7"/>
  <c r="E7547" i="7"/>
  <c r="L7546" i="7"/>
  <c r="E7546" i="7"/>
  <c r="E7545" i="7"/>
  <c r="L7544" i="7"/>
  <c r="E7544" i="7"/>
  <c r="D319" i="57"/>
  <c r="D320" i="57"/>
  <c r="D321" i="57"/>
  <c r="D322" i="57"/>
  <c r="D323" i="57"/>
  <c r="D324" i="57"/>
  <c r="R324" i="57"/>
  <c r="P324" i="57"/>
  <c r="N324" i="57"/>
  <c r="L324" i="57"/>
  <c r="J324" i="57"/>
  <c r="H324" i="57"/>
  <c r="F324" i="57"/>
  <c r="R323" i="57"/>
  <c r="P323" i="57"/>
  <c r="N323" i="57"/>
  <c r="L323" i="57"/>
  <c r="J323" i="57"/>
  <c r="H323" i="57"/>
  <c r="F323" i="57"/>
  <c r="R322" i="57"/>
  <c r="P322" i="57"/>
  <c r="N322" i="57"/>
  <c r="L322" i="57"/>
  <c r="J322" i="57"/>
  <c r="H322" i="57"/>
  <c r="F322" i="57"/>
  <c r="R321" i="57"/>
  <c r="P321" i="57"/>
  <c r="N321" i="57"/>
  <c r="L321" i="57"/>
  <c r="J321" i="57"/>
  <c r="H321" i="57"/>
  <c r="F321" i="57"/>
  <c r="R320" i="57"/>
  <c r="P320" i="57"/>
  <c r="N320" i="57"/>
  <c r="L320" i="57"/>
  <c r="J320" i="57"/>
  <c r="H320" i="57"/>
  <c r="F320" i="57"/>
  <c r="R319" i="57"/>
  <c r="P319" i="57"/>
  <c r="N319" i="57"/>
  <c r="L319" i="57"/>
  <c r="J319" i="57"/>
  <c r="H319" i="57"/>
  <c r="F319" i="57"/>
  <c r="E7526" i="7"/>
  <c r="E7525" i="7"/>
  <c r="E7467" i="7"/>
  <c r="E7466" i="7"/>
  <c r="E7465" i="7"/>
  <c r="E7464" i="7"/>
  <c r="E7530" i="7"/>
  <c r="E7529" i="7"/>
  <c r="E7524" i="7"/>
  <c r="E7523" i="7"/>
  <c r="E7514" i="7"/>
  <c r="E7513" i="7"/>
  <c r="E7502" i="7"/>
  <c r="E7501" i="7"/>
  <c r="E7500" i="7"/>
  <c r="E7499" i="7"/>
  <c r="E7498" i="7"/>
  <c r="E7497" i="7"/>
  <c r="E7522" i="7"/>
  <c r="E7521" i="7"/>
  <c r="E7520" i="7"/>
  <c r="E7519" i="7"/>
  <c r="E7518" i="7"/>
  <c r="E7517" i="7"/>
  <c r="E7516" i="7"/>
  <c r="E7515" i="7"/>
  <c r="E7512" i="7"/>
  <c r="E7511" i="7"/>
  <c r="E7510" i="7"/>
  <c r="E7509" i="7"/>
  <c r="E7508" i="7"/>
  <c r="E7507" i="7"/>
  <c r="E7506" i="7"/>
  <c r="E7505" i="7"/>
  <c r="E7504" i="7"/>
  <c r="E7503" i="7"/>
  <c r="E7496" i="7"/>
  <c r="E7495" i="7"/>
  <c r="E7494" i="7"/>
  <c r="E7493" i="7"/>
  <c r="E7492" i="7"/>
  <c r="E7491" i="7"/>
  <c r="E7490" i="7"/>
  <c r="E7489" i="7"/>
  <c r="E7488" i="7"/>
  <c r="E7487" i="7" l="1"/>
  <c r="K7486" i="7"/>
  <c r="L7487" i="7" s="1"/>
  <c r="E7486" i="7"/>
  <c r="E7485" i="7"/>
  <c r="K7484" i="7"/>
  <c r="L7485" i="7" s="1"/>
  <c r="E7484" i="7"/>
  <c r="L7483" i="7"/>
  <c r="E7483" i="7"/>
  <c r="E7482" i="7"/>
  <c r="L7481" i="7"/>
  <c r="E7481" i="7"/>
  <c r="E7480" i="7"/>
  <c r="L7479" i="7"/>
  <c r="E7479" i="7"/>
  <c r="E7478" i="7"/>
  <c r="L7477" i="7"/>
  <c r="E7477" i="7"/>
  <c r="E7476" i="7"/>
  <c r="L7475" i="7"/>
  <c r="E7475" i="7"/>
  <c r="E7474" i="7"/>
  <c r="L7473" i="7"/>
  <c r="E7473" i="7"/>
  <c r="E7472" i="7"/>
  <c r="L7471" i="7"/>
  <c r="E7471" i="7"/>
  <c r="E7470" i="7"/>
  <c r="L7469" i="7"/>
  <c r="E7469" i="7"/>
  <c r="E7468" i="7"/>
  <c r="E7463" i="7" l="1"/>
  <c r="E7462" i="7"/>
  <c r="E7461" i="7"/>
  <c r="E7460" i="7"/>
  <c r="E7444" i="7"/>
  <c r="E7443" i="7"/>
  <c r="E7433" i="7"/>
  <c r="E7432" i="7"/>
  <c r="E7431" i="7"/>
  <c r="E7430" i="7"/>
  <c r="E7429" i="7"/>
  <c r="E7428" i="7"/>
  <c r="E7427" i="7"/>
  <c r="E7426" i="7"/>
  <c r="E7425" i="7"/>
  <c r="E7424" i="7"/>
  <c r="E7409" i="7"/>
  <c r="E7408" i="7"/>
  <c r="E7459" i="7"/>
  <c r="E7458" i="7"/>
  <c r="E7457" i="7"/>
  <c r="E7456" i="7"/>
  <c r="E7455" i="7"/>
  <c r="E7454" i="7"/>
  <c r="E7453" i="7"/>
  <c r="E7452" i="7"/>
  <c r="E7451" i="7"/>
  <c r="E7450" i="7"/>
  <c r="E7449" i="7"/>
  <c r="E7448" i="7"/>
  <c r="E7447" i="7"/>
  <c r="E7446" i="7"/>
  <c r="E7445" i="7"/>
  <c r="E7442" i="7"/>
  <c r="E7441" i="7"/>
  <c r="E7440" i="7"/>
  <c r="E7439" i="7"/>
  <c r="E7438" i="7"/>
  <c r="E7437" i="7"/>
  <c r="E7436" i="7"/>
  <c r="E7435" i="7"/>
  <c r="E7434" i="7"/>
  <c r="E7407" i="7" l="1"/>
  <c r="E7406" i="7"/>
  <c r="E7405" i="7"/>
  <c r="D312" i="57" l="1"/>
  <c r="D313" i="57"/>
  <c r="D314" i="57"/>
  <c r="D315" i="57"/>
  <c r="D316" i="57"/>
  <c r="D317" i="57"/>
  <c r="D318" i="57"/>
  <c r="R318" i="57"/>
  <c r="P318" i="57"/>
  <c r="N318" i="57"/>
  <c r="L318" i="57"/>
  <c r="J318" i="57"/>
  <c r="H318" i="57"/>
  <c r="F318" i="57"/>
  <c r="R317" i="57"/>
  <c r="P317" i="57"/>
  <c r="N317" i="57"/>
  <c r="L317" i="57"/>
  <c r="J317" i="57"/>
  <c r="H317" i="57"/>
  <c r="F317" i="57"/>
  <c r="R316" i="57"/>
  <c r="P316" i="57"/>
  <c r="N316" i="57"/>
  <c r="L316" i="57"/>
  <c r="J316" i="57"/>
  <c r="H316" i="57"/>
  <c r="F316" i="57"/>
  <c r="R315" i="57"/>
  <c r="P315" i="57"/>
  <c r="N315" i="57"/>
  <c r="L315" i="57"/>
  <c r="J315" i="57"/>
  <c r="H315" i="57"/>
  <c r="F315" i="57"/>
  <c r="R314" i="57"/>
  <c r="P314" i="57"/>
  <c r="N314" i="57"/>
  <c r="L314" i="57"/>
  <c r="J314" i="57"/>
  <c r="H314" i="57"/>
  <c r="F314" i="57"/>
  <c r="R313" i="57"/>
  <c r="P313" i="57"/>
  <c r="N313" i="57"/>
  <c r="L313" i="57"/>
  <c r="J313" i="57"/>
  <c r="H313" i="57"/>
  <c r="F313" i="57"/>
  <c r="R312" i="57"/>
  <c r="P312" i="57"/>
  <c r="N312" i="57"/>
  <c r="L312" i="57"/>
  <c r="J312" i="57"/>
  <c r="H312" i="57"/>
  <c r="F312" i="57"/>
  <c r="E7404" i="7"/>
  <c r="E7403" i="7"/>
  <c r="E7402" i="7"/>
  <c r="E7423" i="7"/>
  <c r="E7422" i="7"/>
  <c r="E7421" i="7"/>
  <c r="E7420" i="7" l="1"/>
  <c r="E7419" i="7"/>
  <c r="E7418" i="7"/>
  <c r="E7417" i="7"/>
  <c r="E7416" i="7"/>
  <c r="E7415" i="7"/>
  <c r="E7414" i="7"/>
  <c r="E7413" i="7"/>
  <c r="E7401" i="7"/>
  <c r="E7400" i="7"/>
  <c r="E7399" i="7"/>
  <c r="E7398" i="7"/>
  <c r="E7412" i="7"/>
  <c r="E7411" i="7"/>
  <c r="E7410" i="7"/>
  <c r="E7397" i="7"/>
  <c r="E7396" i="7"/>
  <c r="E7375" i="7"/>
  <c r="E7374" i="7"/>
  <c r="E7373" i="7"/>
  <c r="E7372" i="7"/>
  <c r="E7371" i="7"/>
  <c r="E7370" i="7"/>
  <c r="E7369" i="7"/>
  <c r="E7368" i="7"/>
  <c r="E7367" i="7"/>
  <c r="E7366" i="7"/>
  <c r="E7365" i="7"/>
  <c r="E7364" i="7"/>
  <c r="E7359" i="7"/>
  <c r="E7358" i="7"/>
  <c r="E7357" i="7"/>
  <c r="E7356" i="7"/>
  <c r="P311" i="57" l="1"/>
  <c r="N311" i="57"/>
  <c r="L311" i="57"/>
  <c r="P310" i="57"/>
  <c r="N310" i="57"/>
  <c r="L310" i="57"/>
  <c r="P309" i="57"/>
  <c r="N309" i="57"/>
  <c r="L309" i="57"/>
  <c r="P308" i="57"/>
  <c r="N308" i="57"/>
  <c r="L308" i="57"/>
  <c r="P307" i="57"/>
  <c r="N307" i="57"/>
  <c r="L307" i="57"/>
  <c r="P306" i="57"/>
  <c r="N306" i="57"/>
  <c r="L306" i="57"/>
  <c r="P305" i="57"/>
  <c r="N305" i="57"/>
  <c r="L305" i="57"/>
  <c r="J305" i="57"/>
  <c r="J306" i="57"/>
  <c r="J307" i="57"/>
  <c r="J308" i="57"/>
  <c r="J309" i="57"/>
  <c r="J310" i="57"/>
  <c r="J311" i="57"/>
  <c r="H305" i="57"/>
  <c r="H306" i="57"/>
  <c r="H307" i="57"/>
  <c r="H308" i="57"/>
  <c r="H309" i="57"/>
  <c r="H310" i="57"/>
  <c r="H311" i="57"/>
  <c r="D305" i="57"/>
  <c r="D306" i="57"/>
  <c r="D307" i="57"/>
  <c r="D308" i="57"/>
  <c r="D309" i="57"/>
  <c r="D310" i="57"/>
  <c r="D311" i="57"/>
  <c r="R305" i="57"/>
  <c r="R306" i="57"/>
  <c r="R307" i="57"/>
  <c r="R309" i="57"/>
  <c r="R310" i="57"/>
  <c r="R311" i="57"/>
  <c r="Q308" i="57"/>
  <c r="R308" i="57" s="1"/>
  <c r="F305" i="57"/>
  <c r="F306" i="57"/>
  <c r="F307" i="57"/>
  <c r="F308" i="57"/>
  <c r="F309" i="57"/>
  <c r="F310" i="57"/>
  <c r="F311" i="57"/>
  <c r="D298" i="57"/>
  <c r="D299" i="57"/>
  <c r="D300" i="57"/>
  <c r="D301" i="57"/>
  <c r="D302" i="57"/>
  <c r="D303" i="57"/>
  <c r="D304" i="57"/>
  <c r="R304" i="57"/>
  <c r="P304" i="57"/>
  <c r="N304" i="57"/>
  <c r="L304" i="57"/>
  <c r="J304" i="57"/>
  <c r="H304" i="57"/>
  <c r="F304" i="57"/>
  <c r="R303" i="57"/>
  <c r="P303" i="57"/>
  <c r="N303" i="57"/>
  <c r="L303" i="57"/>
  <c r="J303" i="57"/>
  <c r="H303" i="57"/>
  <c r="F303" i="57"/>
  <c r="R302" i="57"/>
  <c r="P302" i="57"/>
  <c r="N302" i="57"/>
  <c r="L302" i="57"/>
  <c r="J302" i="57"/>
  <c r="H302" i="57"/>
  <c r="F302" i="57"/>
  <c r="R301" i="57"/>
  <c r="P301" i="57"/>
  <c r="N301" i="57"/>
  <c r="L301" i="57"/>
  <c r="J301" i="57"/>
  <c r="H301" i="57"/>
  <c r="F301" i="57"/>
  <c r="R300" i="57"/>
  <c r="P300" i="57"/>
  <c r="N300" i="57"/>
  <c r="L300" i="57"/>
  <c r="J300" i="57"/>
  <c r="H300" i="57"/>
  <c r="F300" i="57"/>
  <c r="R299" i="57"/>
  <c r="P299" i="57"/>
  <c r="N299" i="57"/>
  <c r="L299" i="57"/>
  <c r="J299" i="57"/>
  <c r="H299" i="57"/>
  <c r="F299" i="57"/>
  <c r="R298" i="57"/>
  <c r="P298" i="57"/>
  <c r="N298" i="57"/>
  <c r="L298" i="57"/>
  <c r="J298" i="57"/>
  <c r="H298" i="57"/>
  <c r="F298" i="57"/>
  <c r="E7395" i="7"/>
  <c r="K7394" i="7"/>
  <c r="L7395" i="7" s="1"/>
  <c r="E7394" i="7"/>
  <c r="E7393" i="7"/>
  <c r="K7392" i="7"/>
  <c r="L7393" i="7" s="1"/>
  <c r="E7392" i="7"/>
  <c r="L7391" i="7"/>
  <c r="E7391" i="7"/>
  <c r="E7390" i="7"/>
  <c r="L7389" i="7"/>
  <c r="E7389" i="7"/>
  <c r="E7388" i="7"/>
  <c r="L7387" i="7"/>
  <c r="E7387" i="7"/>
  <c r="E7386" i="7"/>
  <c r="L7385" i="7"/>
  <c r="E7385" i="7"/>
  <c r="E7384" i="7"/>
  <c r="L7383" i="7"/>
  <c r="E7383" i="7"/>
  <c r="E7382" i="7"/>
  <c r="L7381" i="7"/>
  <c r="E7381" i="7"/>
  <c r="E7380" i="7"/>
  <c r="L7379" i="7"/>
  <c r="E7379" i="7"/>
  <c r="E7378" i="7"/>
  <c r="L7377" i="7"/>
  <c r="E7377" i="7"/>
  <c r="E7376" i="7"/>
  <c r="E7363" i="7" l="1"/>
  <c r="E7362" i="7"/>
  <c r="E7361" i="7"/>
  <c r="E7360" i="7"/>
  <c r="E7355" i="7"/>
  <c r="E7354" i="7"/>
  <c r="E7353" i="7"/>
  <c r="E7352" i="7"/>
  <c r="E7351" i="7"/>
  <c r="E7350" i="7"/>
  <c r="E7349" i="7"/>
  <c r="E7348" i="7"/>
  <c r="E7347" i="7"/>
  <c r="E7346" i="7"/>
  <c r="E7345" i="7"/>
  <c r="E7344" i="7"/>
  <c r="E7328" i="7"/>
  <c r="E7327" i="7"/>
  <c r="E7326" i="7"/>
  <c r="E7343" i="7" l="1"/>
  <c r="E7342" i="7"/>
  <c r="E7341" i="7"/>
  <c r="E7325" i="7" l="1"/>
  <c r="E7324" i="7"/>
  <c r="E7323" i="7"/>
  <c r="E7322" i="7"/>
  <c r="E7321" i="7"/>
  <c r="E7320" i="7"/>
  <c r="E7319" i="7"/>
  <c r="E7318" i="7"/>
  <c r="E7317" i="7"/>
  <c r="E7243" i="7" l="1"/>
  <c r="E7242" i="7"/>
  <c r="E7340" i="7" l="1"/>
  <c r="E7339" i="7"/>
  <c r="E7338" i="7"/>
  <c r="E7337" i="7"/>
  <c r="E7336" i="7"/>
  <c r="E7316" i="7"/>
  <c r="E7315" i="7"/>
  <c r="E7314" i="7"/>
  <c r="E7293" i="7"/>
  <c r="E7292" i="7"/>
  <c r="E7291" i="7"/>
  <c r="E7289" i="7"/>
  <c r="E7335" i="7"/>
  <c r="E7334" i="7"/>
  <c r="E7333" i="7"/>
  <c r="E7332" i="7"/>
  <c r="E7331" i="7"/>
  <c r="E7254" i="7" l="1"/>
  <c r="E7253" i="7"/>
  <c r="E7278" i="7"/>
  <c r="E7277" i="7"/>
  <c r="E7313" i="7" l="1"/>
  <c r="K7312" i="7"/>
  <c r="L7313" i="7" s="1"/>
  <c r="E7312" i="7"/>
  <c r="E7311" i="7"/>
  <c r="K7310" i="7"/>
  <c r="L7311" i="7" s="1"/>
  <c r="E7310" i="7"/>
  <c r="L7309" i="7"/>
  <c r="E7309" i="7"/>
  <c r="E7308" i="7"/>
  <c r="L7307" i="7"/>
  <c r="E7307" i="7"/>
  <c r="E7306" i="7"/>
  <c r="L7305" i="7"/>
  <c r="E7305" i="7"/>
  <c r="E7304" i="7"/>
  <c r="L7303" i="7"/>
  <c r="E7303" i="7"/>
  <c r="E7302" i="7"/>
  <c r="L7301" i="7"/>
  <c r="E7301" i="7"/>
  <c r="E7300" i="7"/>
  <c r="L7299" i="7"/>
  <c r="E7299" i="7"/>
  <c r="E7298" i="7"/>
  <c r="L7297" i="7"/>
  <c r="E7297" i="7"/>
  <c r="E7296" i="7"/>
  <c r="L7295" i="7"/>
  <c r="E7295" i="7"/>
  <c r="E7294" i="7"/>
  <c r="E7288" i="7"/>
  <c r="E7287" i="7"/>
  <c r="E7276" i="7"/>
  <c r="E7275" i="7"/>
  <c r="E7274" i="7" l="1"/>
  <c r="E7273" i="7"/>
  <c r="E7264" i="7"/>
  <c r="E7265" i="7"/>
  <c r="E7266" i="7"/>
  <c r="E7263" i="7"/>
  <c r="E7262" i="7"/>
  <c r="E7261" i="7"/>
  <c r="E7260" i="7"/>
  <c r="E7252" i="7"/>
  <c r="E7251" i="7"/>
  <c r="E7250" i="7" l="1"/>
  <c r="E7249" i="7"/>
  <c r="E7237" i="7"/>
  <c r="E7236" i="7"/>
  <c r="E7286" i="7"/>
  <c r="E7285" i="7"/>
  <c r="E7284" i="7"/>
  <c r="E7283" i="7"/>
  <c r="E7282" i="7"/>
  <c r="E7281" i="7"/>
  <c r="E7280" i="7"/>
  <c r="E7279" i="7"/>
  <c r="E7259" i="7"/>
  <c r="E7258" i="7"/>
  <c r="E7257" i="7"/>
  <c r="E7256" i="7"/>
  <c r="E7255" i="7"/>
  <c r="E7272" i="7"/>
  <c r="E7271" i="7"/>
  <c r="E7270" i="7"/>
  <c r="E7269" i="7"/>
  <c r="E7248" i="7"/>
  <c r="E7247" i="7"/>
  <c r="E7246" i="7"/>
  <c r="E7245" i="7"/>
  <c r="E7244" i="7"/>
  <c r="E7241" i="7" l="1"/>
  <c r="E7240" i="7"/>
  <c r="E7239" i="7"/>
  <c r="E7238" i="7"/>
  <c r="E7213" i="7" l="1"/>
  <c r="E7212" i="7"/>
  <c r="E7211" i="7"/>
  <c r="R297" i="57"/>
  <c r="P297" i="57"/>
  <c r="N297" i="57"/>
  <c r="L297" i="57"/>
  <c r="J297" i="57"/>
  <c r="H297" i="57"/>
  <c r="F297" i="57"/>
  <c r="D297" i="57"/>
  <c r="R296" i="57"/>
  <c r="P296" i="57"/>
  <c r="N296" i="57"/>
  <c r="L296" i="57"/>
  <c r="J296" i="57"/>
  <c r="H296" i="57"/>
  <c r="F296" i="57"/>
  <c r="D296" i="57"/>
  <c r="R295" i="57"/>
  <c r="P295" i="57"/>
  <c r="N295" i="57"/>
  <c r="L295" i="57"/>
  <c r="J295" i="57"/>
  <c r="H295" i="57"/>
  <c r="F295" i="57"/>
  <c r="D295" i="57"/>
  <c r="R294" i="57"/>
  <c r="P294" i="57"/>
  <c r="N294" i="57"/>
  <c r="L294" i="57"/>
  <c r="J294" i="57"/>
  <c r="H294" i="57"/>
  <c r="F294" i="57"/>
  <c r="D294" i="57"/>
  <c r="R293" i="57"/>
  <c r="P293" i="57"/>
  <c r="N293" i="57"/>
  <c r="L293" i="57"/>
  <c r="J293" i="57"/>
  <c r="H293" i="57"/>
  <c r="F293" i="57"/>
  <c r="D293" i="57"/>
  <c r="R292" i="57"/>
  <c r="P292" i="57"/>
  <c r="N292" i="57"/>
  <c r="L292" i="57"/>
  <c r="J292" i="57"/>
  <c r="H292" i="57"/>
  <c r="F292" i="57"/>
  <c r="D292" i="57"/>
  <c r="R291" i="57"/>
  <c r="P291" i="57"/>
  <c r="N291" i="57"/>
  <c r="L291" i="57"/>
  <c r="J291" i="57"/>
  <c r="H291" i="57"/>
  <c r="F291" i="57"/>
  <c r="D291" i="57"/>
  <c r="E7235" i="7"/>
  <c r="K7234" i="7"/>
  <c r="L7235" i="7" s="1"/>
  <c r="E7234" i="7"/>
  <c r="E7233" i="7"/>
  <c r="K7232" i="7"/>
  <c r="L7233" i="7" s="1"/>
  <c r="E7232" i="7"/>
  <c r="L7231" i="7"/>
  <c r="E7231" i="7"/>
  <c r="E7230" i="7"/>
  <c r="L7229" i="7"/>
  <c r="E7229" i="7"/>
  <c r="E7228" i="7"/>
  <c r="L7227" i="7"/>
  <c r="E7227" i="7"/>
  <c r="E7226" i="7"/>
  <c r="L7225" i="7"/>
  <c r="E7225" i="7"/>
  <c r="E7224" i="7"/>
  <c r="L7223" i="7"/>
  <c r="E7223" i="7"/>
  <c r="E7222" i="7"/>
  <c r="L7221" i="7"/>
  <c r="E7221" i="7"/>
  <c r="E7220" i="7"/>
  <c r="L7219" i="7"/>
  <c r="E7219" i="7"/>
  <c r="E7218" i="7"/>
  <c r="L7217" i="7"/>
  <c r="E7217" i="7"/>
  <c r="E7216" i="7"/>
  <c r="L7215" i="7"/>
  <c r="E7215" i="7"/>
  <c r="E7214" i="7"/>
  <c r="E7200" i="7"/>
  <c r="E7199" i="7"/>
  <c r="E7198" i="7"/>
  <c r="E7197" i="7"/>
  <c r="E7210" i="7"/>
  <c r="E7209" i="7"/>
  <c r="E7208" i="7"/>
  <c r="E7207" i="7"/>
  <c r="E7206" i="7"/>
  <c r="E7205" i="7"/>
  <c r="E6568" i="7" l="1"/>
  <c r="E6567" i="7"/>
  <c r="E6639" i="7"/>
  <c r="E6638" i="7"/>
  <c r="E6637" i="7"/>
  <c r="E6636" i="7"/>
  <c r="E6635" i="7"/>
  <c r="E6634" i="7"/>
  <c r="E6530" i="7"/>
  <c r="E6529" i="7"/>
  <c r="E6528" i="7"/>
  <c r="E6527" i="7"/>
  <c r="E6633" i="7"/>
  <c r="E6632" i="7"/>
  <c r="K7195" i="7" l="1"/>
  <c r="K7193" i="7"/>
  <c r="D284" i="57" l="1"/>
  <c r="D285" i="57"/>
  <c r="D286" i="57"/>
  <c r="D287" i="57"/>
  <c r="D288" i="57"/>
  <c r="D289" i="57"/>
  <c r="D290" i="57"/>
  <c r="R290" i="57"/>
  <c r="P290" i="57"/>
  <c r="N290" i="57"/>
  <c r="L290" i="57"/>
  <c r="J290" i="57"/>
  <c r="H290" i="57"/>
  <c r="F290" i="57"/>
  <c r="R289" i="57"/>
  <c r="P289" i="57"/>
  <c r="N289" i="57"/>
  <c r="L289" i="57"/>
  <c r="J289" i="57"/>
  <c r="H289" i="57"/>
  <c r="F289" i="57"/>
  <c r="R288" i="57"/>
  <c r="P288" i="57"/>
  <c r="N288" i="57"/>
  <c r="L288" i="57"/>
  <c r="J288" i="57"/>
  <c r="H288" i="57"/>
  <c r="F288" i="57"/>
  <c r="R287" i="57"/>
  <c r="P287" i="57"/>
  <c r="N287" i="57"/>
  <c r="L287" i="57"/>
  <c r="J287" i="57"/>
  <c r="H287" i="57"/>
  <c r="F287" i="57"/>
  <c r="R286" i="57"/>
  <c r="P286" i="57"/>
  <c r="N286" i="57"/>
  <c r="L286" i="57"/>
  <c r="J286" i="57"/>
  <c r="H286" i="57"/>
  <c r="F286" i="57"/>
  <c r="R285" i="57"/>
  <c r="P285" i="57"/>
  <c r="N285" i="57"/>
  <c r="L285" i="57"/>
  <c r="J285" i="57"/>
  <c r="H285" i="57"/>
  <c r="F285" i="57"/>
  <c r="R284" i="57"/>
  <c r="P284" i="57"/>
  <c r="N284" i="57"/>
  <c r="L284" i="57"/>
  <c r="J284" i="57"/>
  <c r="H284" i="57"/>
  <c r="F284" i="57"/>
  <c r="E7196" i="7"/>
  <c r="L7196" i="7"/>
  <c r="E7195" i="7"/>
  <c r="E7194" i="7"/>
  <c r="L7194" i="7"/>
  <c r="E7193" i="7"/>
  <c r="L7192" i="7"/>
  <c r="E7192" i="7"/>
  <c r="E7191" i="7"/>
  <c r="L7190" i="7"/>
  <c r="E7190" i="7"/>
  <c r="E7189" i="7"/>
  <c r="L7188" i="7"/>
  <c r="E7188" i="7"/>
  <c r="E7187" i="7"/>
  <c r="L7186" i="7"/>
  <c r="E7186" i="7"/>
  <c r="E7185" i="7"/>
  <c r="L7184" i="7"/>
  <c r="E7184" i="7"/>
  <c r="E7183" i="7"/>
  <c r="L7182" i="7"/>
  <c r="E7182" i="7"/>
  <c r="E7181" i="7"/>
  <c r="L7180" i="7"/>
  <c r="E7180" i="7"/>
  <c r="E7179" i="7"/>
  <c r="L7178" i="7"/>
  <c r="E7178" i="7"/>
  <c r="E7177" i="7"/>
  <c r="L7176" i="7"/>
  <c r="E7176" i="7"/>
  <c r="E7175" i="7"/>
  <c r="E7174" i="7"/>
  <c r="E7173" i="7"/>
  <c r="E7170" i="7"/>
  <c r="E7169" i="7"/>
  <c r="E7172" i="7"/>
  <c r="E7171" i="7"/>
  <c r="E7168" i="7"/>
  <c r="E7167" i="7"/>
  <c r="E7166" i="7"/>
  <c r="E7165" i="7"/>
  <c r="E7164" i="7"/>
  <c r="E7110" i="7" l="1"/>
  <c r="E7109" i="7"/>
  <c r="E7108" i="7"/>
  <c r="E7158" i="7" l="1"/>
  <c r="E7157" i="7"/>
  <c r="E7156" i="7"/>
  <c r="E7155" i="7"/>
  <c r="E7143" i="7"/>
  <c r="E7142" i="7"/>
  <c r="E7163" i="7"/>
  <c r="E7162" i="7"/>
  <c r="E7154" i="7"/>
  <c r="E7153" i="7"/>
  <c r="E7152" i="7"/>
  <c r="E7151" i="7"/>
  <c r="E7150" i="7"/>
  <c r="E7149" i="7"/>
  <c r="E7141" i="7"/>
  <c r="E7140" i="7"/>
  <c r="E7139" i="7"/>
  <c r="E7138" i="7"/>
  <c r="E7107" i="7" l="1"/>
  <c r="E7106" i="7"/>
  <c r="E7105" i="7"/>
  <c r="E7104" i="7"/>
  <c r="E7103" i="7"/>
  <c r="E7102" i="7"/>
  <c r="E7161" i="7"/>
  <c r="E7160" i="7"/>
  <c r="E7159" i="7"/>
  <c r="E7148" i="7"/>
  <c r="E7147" i="7"/>
  <c r="E7146" i="7"/>
  <c r="E7145" i="7"/>
  <c r="E7144" i="7"/>
  <c r="E7137" i="7"/>
  <c r="E7136" i="7"/>
  <c r="E7135" i="7"/>
  <c r="E7134" i="7"/>
  <c r="E7133" i="7"/>
  <c r="E7093" i="7"/>
  <c r="E7092" i="7"/>
  <c r="E7091" i="7"/>
  <c r="E7101" i="7" l="1"/>
  <c r="E7100" i="7"/>
  <c r="E7099" i="7"/>
  <c r="E7098" i="7"/>
  <c r="E7097" i="7" l="1"/>
  <c r="E7096" i="7"/>
  <c r="E7095" i="7"/>
  <c r="E7094" i="7"/>
  <c r="E7086" i="7"/>
  <c r="E7085" i="7"/>
  <c r="E7084" i="7"/>
  <c r="L7128" i="7" l="1"/>
  <c r="L7116" i="7"/>
  <c r="L7114" i="7"/>
  <c r="L7112" i="7"/>
  <c r="E7090" i="7" l="1"/>
  <c r="E7089" i="7"/>
  <c r="D270" i="57"/>
  <c r="D271" i="57"/>
  <c r="D272" i="57"/>
  <c r="D273" i="57"/>
  <c r="D274" i="57"/>
  <c r="D275" i="57"/>
  <c r="D276" i="57"/>
  <c r="D277" i="57"/>
  <c r="D278" i="57"/>
  <c r="D279" i="57"/>
  <c r="D280" i="57"/>
  <c r="D281" i="57"/>
  <c r="D282" i="57"/>
  <c r="D283" i="57"/>
  <c r="F270" i="57"/>
  <c r="F271" i="57"/>
  <c r="F272" i="57"/>
  <c r="F273" i="57"/>
  <c r="F274" i="57"/>
  <c r="F275" i="57"/>
  <c r="F276" i="57"/>
  <c r="F277" i="57"/>
  <c r="F278" i="57"/>
  <c r="F279" i="57"/>
  <c r="F280" i="57"/>
  <c r="F281" i="57"/>
  <c r="F282" i="57"/>
  <c r="F283" i="57"/>
  <c r="R283" i="57"/>
  <c r="P283" i="57"/>
  <c r="N283" i="57"/>
  <c r="L283" i="57"/>
  <c r="J283" i="57"/>
  <c r="H283" i="57"/>
  <c r="R282" i="57"/>
  <c r="P282" i="57"/>
  <c r="N282" i="57"/>
  <c r="L282" i="57"/>
  <c r="J282" i="57"/>
  <c r="H282" i="57"/>
  <c r="R281" i="57"/>
  <c r="P281" i="57"/>
  <c r="N281" i="57"/>
  <c r="L281" i="57"/>
  <c r="J281" i="57"/>
  <c r="H281" i="57"/>
  <c r="R280" i="57"/>
  <c r="P280" i="57"/>
  <c r="N280" i="57"/>
  <c r="L280" i="57"/>
  <c r="J280" i="57"/>
  <c r="H280" i="57"/>
  <c r="R279" i="57"/>
  <c r="P279" i="57"/>
  <c r="N279" i="57"/>
  <c r="L279" i="57"/>
  <c r="J279" i="57"/>
  <c r="H279" i="57"/>
  <c r="R278" i="57"/>
  <c r="P278" i="57"/>
  <c r="N278" i="57"/>
  <c r="L278" i="57"/>
  <c r="J278" i="57"/>
  <c r="H278" i="57"/>
  <c r="R277" i="57"/>
  <c r="P277" i="57"/>
  <c r="N277" i="57"/>
  <c r="L277" i="57"/>
  <c r="J277" i="57"/>
  <c r="H277" i="57"/>
  <c r="R276" i="57"/>
  <c r="P276" i="57"/>
  <c r="N276" i="57"/>
  <c r="L276" i="57"/>
  <c r="J276" i="57"/>
  <c r="H276" i="57"/>
  <c r="R275" i="57"/>
  <c r="P275" i="57"/>
  <c r="N275" i="57"/>
  <c r="L275" i="57"/>
  <c r="J275" i="57"/>
  <c r="H275" i="57"/>
  <c r="R274" i="57"/>
  <c r="P274" i="57"/>
  <c r="N274" i="57"/>
  <c r="L274" i="57"/>
  <c r="J274" i="57"/>
  <c r="H274" i="57"/>
  <c r="R273" i="57"/>
  <c r="P273" i="57"/>
  <c r="N273" i="57"/>
  <c r="L273" i="57"/>
  <c r="J273" i="57"/>
  <c r="H273" i="57"/>
  <c r="R272" i="57"/>
  <c r="P272" i="57"/>
  <c r="N272" i="57"/>
  <c r="L272" i="57"/>
  <c r="J272" i="57"/>
  <c r="H272" i="57"/>
  <c r="R271" i="57"/>
  <c r="P271" i="57"/>
  <c r="N271" i="57"/>
  <c r="L271" i="57"/>
  <c r="J271" i="57"/>
  <c r="H271" i="57"/>
  <c r="R270" i="57"/>
  <c r="P270" i="57"/>
  <c r="N270" i="57"/>
  <c r="L270" i="57"/>
  <c r="J270" i="57"/>
  <c r="H270" i="57"/>
  <c r="E7132" i="7"/>
  <c r="K7131" i="7"/>
  <c r="L7132" i="7" s="1"/>
  <c r="E7131" i="7"/>
  <c r="E7130" i="7"/>
  <c r="K7129" i="7"/>
  <c r="L7130" i="7" s="1"/>
  <c r="E7129" i="7"/>
  <c r="E7128" i="7"/>
  <c r="E7127" i="7"/>
  <c r="L7126" i="7"/>
  <c r="E7126" i="7"/>
  <c r="E7125" i="7"/>
  <c r="L7124" i="7"/>
  <c r="E7124" i="7"/>
  <c r="E7123" i="7"/>
  <c r="L7122" i="7"/>
  <c r="E7122" i="7"/>
  <c r="E7121" i="7"/>
  <c r="L7120" i="7"/>
  <c r="E7120" i="7"/>
  <c r="E7119" i="7"/>
  <c r="E7118" i="7"/>
  <c r="E7117" i="7"/>
  <c r="E7116" i="7"/>
  <c r="E7115" i="7"/>
  <c r="E7114" i="7"/>
  <c r="E7113" i="7"/>
  <c r="E7112" i="7"/>
  <c r="E7111" i="7"/>
  <c r="E7070" i="7"/>
  <c r="E7069" i="7"/>
  <c r="E7068" i="7"/>
  <c r="E7038" i="7"/>
  <c r="E7037" i="7"/>
  <c r="E7081" i="7" l="1"/>
  <c r="E7080" i="7"/>
  <c r="E7083" i="7"/>
  <c r="E7082" i="7"/>
  <c r="E7088" i="7"/>
  <c r="E7087" i="7"/>
  <c r="E7067" i="7"/>
  <c r="E7066" i="7"/>
  <c r="E7079" i="7"/>
  <c r="E7078" i="7"/>
  <c r="E7077" i="7"/>
  <c r="E7076" i="7"/>
  <c r="E7075" i="7"/>
  <c r="E7074" i="7"/>
  <c r="E7073" i="7"/>
  <c r="E7072" i="7"/>
  <c r="E7071" i="7"/>
  <c r="E7065" i="7"/>
  <c r="E7064" i="7"/>
  <c r="E7063" i="7"/>
  <c r="E7062" i="7"/>
  <c r="E7061" i="7"/>
  <c r="E7014" i="7" l="1"/>
  <c r="E7013" i="7"/>
  <c r="E7033" i="7"/>
  <c r="E7032" i="7"/>
  <c r="E7031" i="7"/>
  <c r="E7036" i="7"/>
  <c r="E7035" i="7"/>
  <c r="E7034" i="7"/>
  <c r="E6988" i="7"/>
  <c r="E6987" i="7"/>
  <c r="E6986" i="7"/>
  <c r="E6990" i="7"/>
  <c r="E6989" i="7"/>
  <c r="E7017" i="7"/>
  <c r="E7016" i="7"/>
  <c r="E7015" i="7"/>
  <c r="E7019" i="7" l="1"/>
  <c r="E7018" i="7"/>
  <c r="E7026" i="7"/>
  <c r="E7025" i="7"/>
  <c r="E7024" i="7"/>
  <c r="E7060" i="7" l="1"/>
  <c r="K7059" i="7"/>
  <c r="L7060" i="7" s="1"/>
  <c r="E7059" i="7"/>
  <c r="E7058" i="7"/>
  <c r="K7057" i="7"/>
  <c r="L7058" i="7" s="1"/>
  <c r="E7057" i="7"/>
  <c r="E7056" i="7"/>
  <c r="E7055" i="7"/>
  <c r="L7054" i="7"/>
  <c r="E7054" i="7"/>
  <c r="E7053" i="7"/>
  <c r="L7052" i="7"/>
  <c r="E7052" i="7"/>
  <c r="E7051" i="7"/>
  <c r="L7050" i="7"/>
  <c r="E7050" i="7"/>
  <c r="E7049" i="7"/>
  <c r="L7048" i="7"/>
  <c r="E7048" i="7"/>
  <c r="E7047" i="7"/>
  <c r="E7046" i="7"/>
  <c r="E7045" i="7"/>
  <c r="E7044" i="7"/>
  <c r="E7043" i="7"/>
  <c r="E7042" i="7"/>
  <c r="E7041" i="7"/>
  <c r="E7040" i="7"/>
  <c r="E7039" i="7"/>
  <c r="D263" i="57"/>
  <c r="D264" i="57"/>
  <c r="D265" i="57"/>
  <c r="D266" i="57"/>
  <c r="D267" i="57"/>
  <c r="D268" i="57"/>
  <c r="D269" i="57"/>
  <c r="F263" i="57"/>
  <c r="F264" i="57"/>
  <c r="F265" i="57"/>
  <c r="F266" i="57"/>
  <c r="F267" i="57"/>
  <c r="F268" i="57"/>
  <c r="F269" i="57"/>
  <c r="R269" i="57"/>
  <c r="P269" i="57"/>
  <c r="N269" i="57"/>
  <c r="L269" i="57"/>
  <c r="J269" i="57"/>
  <c r="H269" i="57"/>
  <c r="R268" i="57"/>
  <c r="P268" i="57"/>
  <c r="N268" i="57"/>
  <c r="L268" i="57"/>
  <c r="J268" i="57"/>
  <c r="H268" i="57"/>
  <c r="R267" i="57"/>
  <c r="P267" i="57"/>
  <c r="N267" i="57"/>
  <c r="L267" i="57"/>
  <c r="J267" i="57"/>
  <c r="H267" i="57"/>
  <c r="R266" i="57"/>
  <c r="P266" i="57"/>
  <c r="N266" i="57"/>
  <c r="L266" i="57"/>
  <c r="J266" i="57"/>
  <c r="H266" i="57"/>
  <c r="R265" i="57"/>
  <c r="P265" i="57"/>
  <c r="N265" i="57"/>
  <c r="L265" i="57"/>
  <c r="J265" i="57"/>
  <c r="H265" i="57"/>
  <c r="R264" i="57"/>
  <c r="P264" i="57"/>
  <c r="N264" i="57"/>
  <c r="L264" i="57"/>
  <c r="J264" i="57"/>
  <c r="H264" i="57"/>
  <c r="R263" i="57"/>
  <c r="P263" i="57"/>
  <c r="N263" i="57"/>
  <c r="L263" i="57"/>
  <c r="J263" i="57"/>
  <c r="H263" i="57"/>
  <c r="E7030" i="7"/>
  <c r="E7029" i="7"/>
  <c r="E7028" i="7"/>
  <c r="E7027" i="7"/>
  <c r="E7023" i="7"/>
  <c r="E7022" i="7"/>
  <c r="E7021" i="7"/>
  <c r="E7020" i="7"/>
  <c r="E7012" i="7" l="1"/>
  <c r="K7011" i="7"/>
  <c r="L7012" i="7" s="1"/>
  <c r="E7011" i="7"/>
  <c r="E7010" i="7"/>
  <c r="K7009" i="7"/>
  <c r="L7010" i="7" s="1"/>
  <c r="E7009" i="7"/>
  <c r="E7008" i="7"/>
  <c r="E7007" i="7"/>
  <c r="L7006" i="7"/>
  <c r="E7006" i="7"/>
  <c r="E7005" i="7"/>
  <c r="L7004" i="7"/>
  <c r="E7004" i="7"/>
  <c r="E7003" i="7"/>
  <c r="L7002" i="7"/>
  <c r="E7002" i="7"/>
  <c r="E7001" i="7"/>
  <c r="L7000" i="7"/>
  <c r="E7000" i="7"/>
  <c r="E6999" i="7"/>
  <c r="E6998" i="7"/>
  <c r="E6997" i="7"/>
  <c r="E6996" i="7"/>
  <c r="E6995" i="7"/>
  <c r="E6994" i="7"/>
  <c r="E6993" i="7"/>
  <c r="E6992" i="7"/>
  <c r="E6991" i="7"/>
  <c r="E6985" i="7"/>
  <c r="E6984" i="7"/>
  <c r="E6983" i="7"/>
  <c r="E6979" i="7"/>
  <c r="E6978" i="7"/>
  <c r="E6977" i="7"/>
  <c r="E6982" i="7"/>
  <c r="E6981" i="7"/>
  <c r="E6980" i="7"/>
  <c r="E6976" i="7"/>
  <c r="E6975" i="7"/>
  <c r="E6974" i="7"/>
  <c r="E6973" i="7"/>
  <c r="E6972" i="7"/>
  <c r="E6971" i="7"/>
  <c r="D256" i="57" l="1"/>
  <c r="D257" i="57"/>
  <c r="D258" i="57"/>
  <c r="D259" i="57"/>
  <c r="D260" i="57"/>
  <c r="D261" i="57"/>
  <c r="D262" i="57"/>
  <c r="R262" i="57"/>
  <c r="P262" i="57"/>
  <c r="N262" i="57"/>
  <c r="L262" i="57"/>
  <c r="J262" i="57"/>
  <c r="H262" i="57"/>
  <c r="F262" i="57"/>
  <c r="R261" i="57"/>
  <c r="P261" i="57"/>
  <c r="N261" i="57"/>
  <c r="L261" i="57"/>
  <c r="J261" i="57"/>
  <c r="H261" i="57"/>
  <c r="F261" i="57"/>
  <c r="R260" i="57"/>
  <c r="P260" i="57"/>
  <c r="N260" i="57"/>
  <c r="L260" i="57"/>
  <c r="J260" i="57"/>
  <c r="H260" i="57"/>
  <c r="F260" i="57"/>
  <c r="R259" i="57"/>
  <c r="P259" i="57"/>
  <c r="N259" i="57"/>
  <c r="L259" i="57"/>
  <c r="J259" i="57"/>
  <c r="H259" i="57"/>
  <c r="F259" i="57"/>
  <c r="R258" i="57"/>
  <c r="P258" i="57"/>
  <c r="N258" i="57"/>
  <c r="L258" i="57"/>
  <c r="J258" i="57"/>
  <c r="H258" i="57"/>
  <c r="F258" i="57"/>
  <c r="R257" i="57"/>
  <c r="P257" i="57"/>
  <c r="N257" i="57"/>
  <c r="L257" i="57"/>
  <c r="J257" i="57"/>
  <c r="H257" i="57"/>
  <c r="F257" i="57"/>
  <c r="R256" i="57"/>
  <c r="P256" i="57"/>
  <c r="N256" i="57"/>
  <c r="L256" i="57"/>
  <c r="J256" i="57"/>
  <c r="H256" i="57"/>
  <c r="F256" i="57"/>
  <c r="E6965" i="7"/>
  <c r="E6964" i="7"/>
  <c r="E6963" i="7"/>
  <c r="E6962" i="7"/>
  <c r="E6970" i="7"/>
  <c r="E6969" i="7"/>
  <c r="E6968" i="7"/>
  <c r="E6967" i="7"/>
  <c r="E6966" i="7"/>
  <c r="E6961" i="7"/>
  <c r="K6960" i="7"/>
  <c r="L6961" i="7" s="1"/>
  <c r="E6960" i="7"/>
  <c r="E6959" i="7"/>
  <c r="K6958" i="7"/>
  <c r="L6959" i="7" s="1"/>
  <c r="E6958" i="7"/>
  <c r="E6957" i="7"/>
  <c r="E6956" i="7"/>
  <c r="L6955" i="7"/>
  <c r="E6955" i="7"/>
  <c r="E6954" i="7"/>
  <c r="L6953" i="7"/>
  <c r="E6953" i="7"/>
  <c r="E6952" i="7"/>
  <c r="L6951" i="7"/>
  <c r="E6951" i="7"/>
  <c r="E6950" i="7"/>
  <c r="L6949" i="7"/>
  <c r="E6949" i="7"/>
  <c r="E6948" i="7"/>
  <c r="E6947" i="7"/>
  <c r="E6946" i="7"/>
  <c r="E6945" i="7"/>
  <c r="E6944" i="7"/>
  <c r="E6943" i="7"/>
  <c r="E6942" i="7"/>
  <c r="E6941" i="7"/>
  <c r="E6940" i="7"/>
  <c r="R255" i="57"/>
  <c r="P255" i="57"/>
  <c r="N255" i="57"/>
  <c r="L255" i="57"/>
  <c r="J255" i="57"/>
  <c r="H255" i="57"/>
  <c r="F255" i="57"/>
  <c r="D255" i="57"/>
  <c r="R254" i="57"/>
  <c r="P254" i="57"/>
  <c r="N254" i="57"/>
  <c r="L254" i="57"/>
  <c r="J254" i="57"/>
  <c r="H254" i="57"/>
  <c r="F254" i="57"/>
  <c r="D254" i="57"/>
  <c r="R253" i="57"/>
  <c r="P253" i="57"/>
  <c r="N253" i="57"/>
  <c r="L253" i="57"/>
  <c r="J253" i="57"/>
  <c r="H253" i="57"/>
  <c r="F253" i="57"/>
  <c r="D253" i="57"/>
  <c r="R252" i="57"/>
  <c r="P252" i="57"/>
  <c r="N252" i="57"/>
  <c r="L252" i="57"/>
  <c r="J252" i="57"/>
  <c r="H252" i="57"/>
  <c r="F252" i="57"/>
  <c r="D252" i="57"/>
  <c r="R251" i="57"/>
  <c r="P251" i="57"/>
  <c r="N251" i="57"/>
  <c r="L251" i="57"/>
  <c r="J251" i="57"/>
  <c r="H251" i="57"/>
  <c r="F251" i="57"/>
  <c r="D251" i="57"/>
  <c r="R250" i="57"/>
  <c r="P250" i="57"/>
  <c r="N250" i="57"/>
  <c r="L250" i="57"/>
  <c r="J250" i="57"/>
  <c r="H250" i="57"/>
  <c r="F250" i="57"/>
  <c r="D250" i="57"/>
  <c r="R249" i="57"/>
  <c r="P249" i="57"/>
  <c r="N249" i="57"/>
  <c r="L249" i="57"/>
  <c r="J249" i="57"/>
  <c r="H249" i="57"/>
  <c r="F249" i="57"/>
  <c r="D249" i="57"/>
  <c r="E6889" i="7"/>
  <c r="E6888" i="7"/>
  <c r="E6939" i="7"/>
  <c r="E6938" i="7"/>
  <c r="E6871" i="7"/>
  <c r="E6870" i="7"/>
  <c r="E6905" i="7"/>
  <c r="E6904" i="7"/>
  <c r="E6906" i="7"/>
  <c r="E6907" i="7"/>
  <c r="E6865" i="7"/>
  <c r="E6864" i="7"/>
  <c r="E6863" i="7"/>
  <c r="E6862" i="7"/>
  <c r="E6861" i="7"/>
  <c r="E6860" i="7"/>
  <c r="E6911" i="7"/>
  <c r="E6910" i="7"/>
  <c r="E6895" i="7"/>
  <c r="E6894" i="7"/>
  <c r="E6881" i="7"/>
  <c r="E6880" i="7"/>
  <c r="E6869" i="7"/>
  <c r="E6868" i="7"/>
  <c r="E6909" i="7"/>
  <c r="E6908" i="7"/>
  <c r="E6897" i="7"/>
  <c r="E6896" i="7"/>
  <c r="E6890" i="7"/>
  <c r="E6887" i="7"/>
  <c r="E6886" i="7"/>
  <c r="E6885" i="7"/>
  <c r="E6884" i="7"/>
  <c r="E6883" i="7"/>
  <c r="E6882" i="7"/>
  <c r="E6876" i="7"/>
  <c r="E6875" i="7"/>
  <c r="E6874" i="7"/>
  <c r="E6873" i="7"/>
  <c r="E6872" i="7"/>
  <c r="E6867" i="7"/>
  <c r="E6866" i="7"/>
  <c r="E6837" i="7"/>
  <c r="E6836" i="7"/>
  <c r="D242" i="57"/>
  <c r="D243" i="57"/>
  <c r="D244" i="57"/>
  <c r="D245" i="57"/>
  <c r="D246" i="57"/>
  <c r="D247" i="57"/>
  <c r="D248" i="57"/>
  <c r="F242" i="57"/>
  <c r="F243" i="57"/>
  <c r="F244" i="57"/>
  <c r="F245" i="57"/>
  <c r="F246" i="57"/>
  <c r="F247" i="57"/>
  <c r="F248" i="57"/>
  <c r="R248" i="57"/>
  <c r="P248" i="57"/>
  <c r="N248" i="57"/>
  <c r="L248" i="57"/>
  <c r="J248" i="57"/>
  <c r="H248" i="57"/>
  <c r="R247" i="57"/>
  <c r="P247" i="57"/>
  <c r="N247" i="57"/>
  <c r="L247" i="57"/>
  <c r="J247" i="57"/>
  <c r="H247" i="57"/>
  <c r="R246" i="57"/>
  <c r="P246" i="57"/>
  <c r="N246" i="57"/>
  <c r="L246" i="57"/>
  <c r="J246" i="57"/>
  <c r="H246" i="57"/>
  <c r="R245" i="57"/>
  <c r="P245" i="57"/>
  <c r="N245" i="57"/>
  <c r="L245" i="57"/>
  <c r="J245" i="57"/>
  <c r="H245" i="57"/>
  <c r="R244" i="57"/>
  <c r="P244" i="57"/>
  <c r="N244" i="57"/>
  <c r="L244" i="57"/>
  <c r="J244" i="57"/>
  <c r="H244" i="57"/>
  <c r="R243" i="57"/>
  <c r="P243" i="57"/>
  <c r="N243" i="57"/>
  <c r="L243" i="57"/>
  <c r="J243" i="57"/>
  <c r="H243" i="57"/>
  <c r="R242" i="57"/>
  <c r="P242" i="57"/>
  <c r="N242" i="57"/>
  <c r="L242" i="57"/>
  <c r="J242" i="57"/>
  <c r="H242" i="57"/>
  <c r="E6903" i="7"/>
  <c r="E6902" i="7"/>
  <c r="E6901" i="7"/>
  <c r="E6900" i="7" l="1"/>
  <c r="E6899" i="7"/>
  <c r="E6898" i="7"/>
  <c r="E6933" i="7" l="1"/>
  <c r="K6932" i="7"/>
  <c r="L6933" i="7" s="1"/>
  <c r="E6932" i="7"/>
  <c r="E6931" i="7"/>
  <c r="K6930" i="7"/>
  <c r="L6931" i="7" s="1"/>
  <c r="E6930" i="7"/>
  <c r="E6929" i="7"/>
  <c r="E6928" i="7"/>
  <c r="L6927" i="7"/>
  <c r="E6927" i="7"/>
  <c r="E6926" i="7"/>
  <c r="L6925" i="7"/>
  <c r="E6925" i="7"/>
  <c r="E6924" i="7"/>
  <c r="L6923" i="7"/>
  <c r="E6923" i="7"/>
  <c r="E6922" i="7"/>
  <c r="L6921" i="7"/>
  <c r="E6921" i="7"/>
  <c r="E6920" i="7"/>
  <c r="E6919" i="7"/>
  <c r="E6918" i="7"/>
  <c r="E6917" i="7"/>
  <c r="E6916" i="7"/>
  <c r="E6915" i="7"/>
  <c r="E6914" i="7"/>
  <c r="E6913" i="7"/>
  <c r="E6912" i="7"/>
  <c r="E6893" i="7"/>
  <c r="E6892" i="7"/>
  <c r="E6891" i="7"/>
  <c r="E6879" i="7"/>
  <c r="E6878" i="7"/>
  <c r="E6877" i="7"/>
  <c r="D235" i="57" l="1"/>
  <c r="D236" i="57"/>
  <c r="D237" i="57"/>
  <c r="D238" i="57"/>
  <c r="D239" i="57"/>
  <c r="D240" i="57"/>
  <c r="D241" i="57"/>
  <c r="R241" i="57"/>
  <c r="P241" i="57"/>
  <c r="N241" i="57"/>
  <c r="L241" i="57"/>
  <c r="J241" i="57"/>
  <c r="H241" i="57"/>
  <c r="F241" i="57"/>
  <c r="R240" i="57"/>
  <c r="P240" i="57"/>
  <c r="N240" i="57"/>
  <c r="L240" i="57"/>
  <c r="J240" i="57"/>
  <c r="H240" i="57"/>
  <c r="F240" i="57"/>
  <c r="R239" i="57"/>
  <c r="P239" i="57"/>
  <c r="N239" i="57"/>
  <c r="L239" i="57"/>
  <c r="J239" i="57"/>
  <c r="H239" i="57"/>
  <c r="F239" i="57"/>
  <c r="R238" i="57"/>
  <c r="P238" i="57"/>
  <c r="N238" i="57"/>
  <c r="L238" i="57"/>
  <c r="J238" i="57"/>
  <c r="H238" i="57"/>
  <c r="F238" i="57"/>
  <c r="R237" i="57"/>
  <c r="P237" i="57"/>
  <c r="N237" i="57"/>
  <c r="L237" i="57"/>
  <c r="J237" i="57"/>
  <c r="H237" i="57"/>
  <c r="F237" i="57"/>
  <c r="R236" i="57"/>
  <c r="P236" i="57"/>
  <c r="N236" i="57"/>
  <c r="L236" i="57"/>
  <c r="J236" i="57"/>
  <c r="H236" i="57"/>
  <c r="F236" i="57"/>
  <c r="R235" i="57"/>
  <c r="P235" i="57"/>
  <c r="N235" i="57"/>
  <c r="L235" i="57"/>
  <c r="J235" i="57"/>
  <c r="H235" i="57"/>
  <c r="F235" i="57"/>
  <c r="E6859" i="7" l="1"/>
  <c r="K6858" i="7"/>
  <c r="L6859" i="7" s="1"/>
  <c r="E6858" i="7"/>
  <c r="E6857" i="7"/>
  <c r="K6856" i="7"/>
  <c r="L6857" i="7" s="1"/>
  <c r="E6856" i="7"/>
  <c r="E6855" i="7"/>
  <c r="E6854" i="7"/>
  <c r="L6853" i="7"/>
  <c r="E6853" i="7"/>
  <c r="E6852" i="7"/>
  <c r="L6851" i="7"/>
  <c r="E6851" i="7"/>
  <c r="E6850" i="7"/>
  <c r="L6849" i="7"/>
  <c r="E6849" i="7"/>
  <c r="E6848" i="7"/>
  <c r="L6847" i="7"/>
  <c r="E6847" i="7"/>
  <c r="E6846" i="7"/>
  <c r="E6845" i="7"/>
  <c r="E6844" i="7"/>
  <c r="E6843" i="7"/>
  <c r="E6842" i="7"/>
  <c r="E6841" i="7"/>
  <c r="E6840" i="7"/>
  <c r="E6839" i="7"/>
  <c r="E6838" i="7"/>
  <c r="J4" i="2"/>
  <c r="E6835" i="7"/>
  <c r="E6834" i="7"/>
  <c r="E6833" i="7"/>
  <c r="E6830" i="7" l="1"/>
  <c r="E6829" i="7"/>
  <c r="E6803" i="7"/>
  <c r="E6802" i="7"/>
  <c r="E6832" i="7"/>
  <c r="E6831" i="7"/>
  <c r="E6828" i="7"/>
  <c r="E6827" i="7"/>
  <c r="E6826" i="7"/>
  <c r="E6825" i="7"/>
  <c r="E6824" i="7"/>
  <c r="E6801" i="7"/>
  <c r="E6800" i="7"/>
  <c r="E6823" i="7"/>
  <c r="E6822" i="7"/>
  <c r="E6821" i="7"/>
  <c r="E6820" i="7"/>
  <c r="E6819" i="7"/>
  <c r="E6818" i="7"/>
  <c r="E6817" i="7"/>
  <c r="E6816" i="7"/>
  <c r="E6815" i="7"/>
  <c r="E6814" i="7"/>
  <c r="E6813" i="7"/>
  <c r="E6812" i="7"/>
  <c r="E6811" i="7"/>
  <c r="E6810" i="7"/>
  <c r="E6809" i="7" l="1"/>
  <c r="E6808" i="7"/>
  <c r="E6807" i="7"/>
  <c r="J20" i="2" l="1"/>
  <c r="E6806" i="7" l="1"/>
  <c r="E6805" i="7"/>
  <c r="E6804" i="7"/>
  <c r="E6519" i="7"/>
  <c r="E6518" i="7"/>
  <c r="E6777" i="7"/>
  <c r="E6776" i="7"/>
  <c r="E6775" i="7"/>
  <c r="E6799" i="7" l="1"/>
  <c r="K6798" i="7"/>
  <c r="L6799" i="7" s="1"/>
  <c r="E6798" i="7"/>
  <c r="E6797" i="7"/>
  <c r="K6796" i="7"/>
  <c r="L6797" i="7" s="1"/>
  <c r="E6796" i="7"/>
  <c r="E6795" i="7"/>
  <c r="E6794" i="7"/>
  <c r="L6793" i="7"/>
  <c r="E6793" i="7"/>
  <c r="E6792" i="7"/>
  <c r="L6791" i="7"/>
  <c r="E6791" i="7"/>
  <c r="E6790" i="7"/>
  <c r="L6789" i="7"/>
  <c r="E6789" i="7"/>
  <c r="E6788" i="7"/>
  <c r="L6787" i="7"/>
  <c r="E6787" i="7"/>
  <c r="E6786" i="7"/>
  <c r="E6785" i="7"/>
  <c r="E6784" i="7"/>
  <c r="E6783" i="7"/>
  <c r="E6782" i="7"/>
  <c r="E6781" i="7"/>
  <c r="E6780" i="7"/>
  <c r="E6779" i="7"/>
  <c r="E6778" i="7"/>
  <c r="D234" i="57"/>
  <c r="D233" i="57"/>
  <c r="D232" i="57"/>
  <c r="D231" i="57"/>
  <c r="D230" i="57"/>
  <c r="D229" i="57"/>
  <c r="D228" i="57"/>
  <c r="R234" i="57"/>
  <c r="P234" i="57"/>
  <c r="N234" i="57"/>
  <c r="L234" i="57"/>
  <c r="J234" i="57"/>
  <c r="H234" i="57"/>
  <c r="F234" i="57"/>
  <c r="R233" i="57"/>
  <c r="P233" i="57"/>
  <c r="N233" i="57"/>
  <c r="L233" i="57"/>
  <c r="J233" i="57"/>
  <c r="H233" i="57"/>
  <c r="F233" i="57"/>
  <c r="R232" i="57"/>
  <c r="P232" i="57"/>
  <c r="N232" i="57"/>
  <c r="L232" i="57"/>
  <c r="J232" i="57"/>
  <c r="H232" i="57"/>
  <c r="F232" i="57"/>
  <c r="R231" i="57"/>
  <c r="P231" i="57"/>
  <c r="N231" i="57"/>
  <c r="L231" i="57"/>
  <c r="J231" i="57"/>
  <c r="H231" i="57"/>
  <c r="F231" i="57"/>
  <c r="R230" i="57"/>
  <c r="P230" i="57"/>
  <c r="N230" i="57"/>
  <c r="L230" i="57"/>
  <c r="J230" i="57"/>
  <c r="H230" i="57"/>
  <c r="F230" i="57"/>
  <c r="R229" i="57"/>
  <c r="P229" i="57"/>
  <c r="N229" i="57"/>
  <c r="L229" i="57"/>
  <c r="J229" i="57"/>
  <c r="H229" i="57"/>
  <c r="F229" i="57"/>
  <c r="R228" i="57"/>
  <c r="P228" i="57"/>
  <c r="N228" i="57"/>
  <c r="L228" i="57"/>
  <c r="J228" i="57"/>
  <c r="H228" i="57"/>
  <c r="F228" i="57"/>
  <c r="E6772" i="7"/>
  <c r="E6773" i="7"/>
  <c r="E6774" i="7"/>
  <c r="E6771" i="7"/>
  <c r="E6597" i="7"/>
  <c r="E6770" i="7"/>
  <c r="E6769" i="7"/>
  <c r="E6768" i="7"/>
  <c r="E6767" i="7"/>
  <c r="E6766" i="7"/>
  <c r="E6765" i="7"/>
  <c r="E6764" i="7"/>
  <c r="E6741" i="7"/>
  <c r="E6740" i="7"/>
  <c r="E6739" i="7"/>
  <c r="E6763" i="7" l="1"/>
  <c r="K6762" i="7"/>
  <c r="L6763" i="7" s="1"/>
  <c r="E6762" i="7"/>
  <c r="E6761" i="7"/>
  <c r="K6760" i="7"/>
  <c r="L6761" i="7" s="1"/>
  <c r="E6760" i="7"/>
  <c r="E6759" i="7"/>
  <c r="E6758" i="7"/>
  <c r="L6757" i="7"/>
  <c r="E6757" i="7"/>
  <c r="E6756" i="7"/>
  <c r="L6755" i="7"/>
  <c r="E6755" i="7"/>
  <c r="E6754" i="7"/>
  <c r="L6753" i="7"/>
  <c r="E6753" i="7"/>
  <c r="E6752" i="7"/>
  <c r="L6751" i="7"/>
  <c r="E6751" i="7"/>
  <c r="E6750" i="7"/>
  <c r="E6749" i="7"/>
  <c r="E6748" i="7"/>
  <c r="E6747" i="7"/>
  <c r="E6746" i="7"/>
  <c r="E6745" i="7"/>
  <c r="E6744" i="7"/>
  <c r="E6743" i="7"/>
  <c r="E6742" i="7"/>
  <c r="E6738" i="7" l="1"/>
  <c r="E6737" i="7"/>
  <c r="E6734" i="7"/>
  <c r="E6733" i="7"/>
  <c r="E6720" i="7"/>
  <c r="E6719" i="7"/>
  <c r="E6736" i="7"/>
  <c r="E6735" i="7"/>
  <c r="E6732" i="7"/>
  <c r="E6731" i="7"/>
  <c r="E6730" i="7"/>
  <c r="E6729" i="7"/>
  <c r="E6718" i="7"/>
  <c r="E6717" i="7"/>
  <c r="E6716" i="7"/>
  <c r="E6715" i="7"/>
  <c r="E6689" i="7"/>
  <c r="E6688" i="7"/>
  <c r="D221" i="57"/>
  <c r="D222" i="57"/>
  <c r="D223" i="57"/>
  <c r="D224" i="57"/>
  <c r="D225" i="57"/>
  <c r="D226" i="57"/>
  <c r="D227" i="57"/>
  <c r="R227" i="57"/>
  <c r="P227" i="57"/>
  <c r="N227" i="57"/>
  <c r="L227" i="57"/>
  <c r="J227" i="57"/>
  <c r="H227" i="57"/>
  <c r="F227" i="57"/>
  <c r="R226" i="57"/>
  <c r="P226" i="57"/>
  <c r="N226" i="57"/>
  <c r="L226" i="57"/>
  <c r="J226" i="57"/>
  <c r="H226" i="57"/>
  <c r="F226" i="57"/>
  <c r="R225" i="57"/>
  <c r="P225" i="57"/>
  <c r="N225" i="57"/>
  <c r="L225" i="57"/>
  <c r="J225" i="57"/>
  <c r="H225" i="57"/>
  <c r="F225" i="57"/>
  <c r="R224" i="57"/>
  <c r="P224" i="57"/>
  <c r="N224" i="57"/>
  <c r="L224" i="57"/>
  <c r="J224" i="57"/>
  <c r="H224" i="57"/>
  <c r="F224" i="57"/>
  <c r="R223" i="57"/>
  <c r="P223" i="57"/>
  <c r="N223" i="57"/>
  <c r="L223" i="57"/>
  <c r="J223" i="57"/>
  <c r="H223" i="57"/>
  <c r="F223" i="57"/>
  <c r="R222" i="57"/>
  <c r="P222" i="57"/>
  <c r="N222" i="57"/>
  <c r="L222" i="57"/>
  <c r="J222" i="57"/>
  <c r="H222" i="57"/>
  <c r="F222" i="57"/>
  <c r="R221" i="57"/>
  <c r="P221" i="57"/>
  <c r="N221" i="57"/>
  <c r="L221" i="57"/>
  <c r="J221" i="57"/>
  <c r="H221" i="57"/>
  <c r="F221" i="57"/>
  <c r="E6728" i="7"/>
  <c r="E6727" i="7"/>
  <c r="E6726" i="7"/>
  <c r="E6725" i="7"/>
  <c r="E6724" i="7"/>
  <c r="E6723" i="7"/>
  <c r="E6722" i="7"/>
  <c r="E6721" i="7"/>
  <c r="E6714" i="7"/>
  <c r="E6713" i="7"/>
  <c r="E6712" i="7"/>
  <c r="E6687" i="7" l="1"/>
  <c r="E6686" i="7"/>
  <c r="E6685" i="7"/>
  <c r="K6710" i="7"/>
  <c r="L6711" i="7" s="1"/>
  <c r="K6708" i="7"/>
  <c r="L6709" i="7" s="1"/>
  <c r="E6711" i="7"/>
  <c r="E6710" i="7"/>
  <c r="E6709" i="7"/>
  <c r="E6708" i="7"/>
  <c r="E6707" i="7"/>
  <c r="E6706" i="7"/>
  <c r="L6705" i="7"/>
  <c r="E6705" i="7"/>
  <c r="E6704" i="7"/>
  <c r="L6703" i="7"/>
  <c r="E6703" i="7"/>
  <c r="E6702" i="7"/>
  <c r="L6701" i="7"/>
  <c r="E6701" i="7"/>
  <c r="E6700" i="7"/>
  <c r="L6699" i="7"/>
  <c r="E6699" i="7"/>
  <c r="E6698" i="7"/>
  <c r="E6697" i="7"/>
  <c r="E6696" i="7"/>
  <c r="E6695" i="7"/>
  <c r="E6694" i="7"/>
  <c r="E6693" i="7"/>
  <c r="E6692" i="7"/>
  <c r="E6691" i="7"/>
  <c r="E6690" i="7"/>
  <c r="E6684" i="7"/>
  <c r="E6683" i="7"/>
  <c r="E6682" i="7"/>
  <c r="E6681" i="7"/>
  <c r="E6678" i="7"/>
  <c r="E6677" i="7"/>
  <c r="E6676" i="7"/>
  <c r="E6675" i="7"/>
  <c r="E6680" i="7"/>
  <c r="E6679" i="7"/>
  <c r="E6674" i="7"/>
  <c r="E6673" i="7"/>
  <c r="E6672" i="7"/>
  <c r="E6671" i="7"/>
  <c r="E6670" i="7"/>
  <c r="E6669" i="7"/>
  <c r="E6668" i="7"/>
  <c r="E6667" i="7" l="1"/>
  <c r="E6666" i="7"/>
  <c r="E6665" i="7"/>
  <c r="D214" i="57" l="1"/>
  <c r="D215" i="57"/>
  <c r="D216" i="57"/>
  <c r="D217" i="57"/>
  <c r="D218" i="57"/>
  <c r="D219" i="57"/>
  <c r="D220" i="57"/>
  <c r="F214" i="57"/>
  <c r="F215" i="57"/>
  <c r="F216" i="57"/>
  <c r="F217" i="57"/>
  <c r="F218" i="57"/>
  <c r="F219" i="57"/>
  <c r="F220" i="57"/>
  <c r="R220" i="57"/>
  <c r="P220" i="57"/>
  <c r="N220" i="57"/>
  <c r="L220" i="57"/>
  <c r="J220" i="57"/>
  <c r="H220" i="57"/>
  <c r="R219" i="57"/>
  <c r="P219" i="57"/>
  <c r="N219" i="57"/>
  <c r="L219" i="57"/>
  <c r="J219" i="57"/>
  <c r="H219" i="57"/>
  <c r="R218" i="57"/>
  <c r="P218" i="57"/>
  <c r="N218" i="57"/>
  <c r="L218" i="57"/>
  <c r="J218" i="57"/>
  <c r="H218" i="57"/>
  <c r="R217" i="57"/>
  <c r="P217" i="57"/>
  <c r="N217" i="57"/>
  <c r="L217" i="57"/>
  <c r="J217" i="57"/>
  <c r="H217" i="57"/>
  <c r="R216" i="57"/>
  <c r="P216" i="57"/>
  <c r="N216" i="57"/>
  <c r="L216" i="57"/>
  <c r="J216" i="57"/>
  <c r="H216" i="57"/>
  <c r="R215" i="57"/>
  <c r="P215" i="57"/>
  <c r="N215" i="57"/>
  <c r="L215" i="57"/>
  <c r="J215" i="57"/>
  <c r="H215" i="57"/>
  <c r="R214" i="57"/>
  <c r="P214" i="57"/>
  <c r="N214" i="57"/>
  <c r="L214" i="57"/>
  <c r="J214" i="57"/>
  <c r="H214" i="57"/>
  <c r="L6664" i="7"/>
  <c r="L6662" i="7"/>
  <c r="L6658" i="7"/>
  <c r="L6656" i="7"/>
  <c r="L6654" i="7"/>
  <c r="L6652" i="7"/>
  <c r="E6650" i="7" l="1"/>
  <c r="E6649" i="7"/>
  <c r="E6664" i="7"/>
  <c r="E6663" i="7"/>
  <c r="E6662" i="7"/>
  <c r="E6661" i="7"/>
  <c r="E6660" i="7"/>
  <c r="E6659" i="7"/>
  <c r="E6658" i="7"/>
  <c r="E6657" i="7"/>
  <c r="E6656" i="7"/>
  <c r="E6655" i="7"/>
  <c r="E6654" i="7"/>
  <c r="E6653" i="7"/>
  <c r="E6652" i="7"/>
  <c r="E6651" i="7"/>
  <c r="E6648" i="7"/>
  <c r="E6647" i="7"/>
  <c r="E6646" i="7"/>
  <c r="E6645" i="7"/>
  <c r="E6644" i="7"/>
  <c r="E6643" i="7"/>
  <c r="E6631" i="7" l="1"/>
  <c r="E6630" i="7"/>
  <c r="E6629" i="7"/>
  <c r="E6642" i="7"/>
  <c r="E6641" i="7"/>
  <c r="E6640" i="7"/>
  <c r="E6628" i="7"/>
  <c r="E6627" i="7"/>
  <c r="E6626" i="7"/>
  <c r="E6625" i="7"/>
  <c r="E6624" i="7"/>
  <c r="E6623" i="7"/>
  <c r="E6602" i="7"/>
  <c r="E6601" i="7"/>
  <c r="D207" i="57"/>
  <c r="D208" i="57"/>
  <c r="D209" i="57"/>
  <c r="D210" i="57"/>
  <c r="D211" i="57"/>
  <c r="D212" i="57"/>
  <c r="D213" i="57"/>
  <c r="F207" i="57"/>
  <c r="F208" i="57"/>
  <c r="F209" i="57"/>
  <c r="F210" i="57"/>
  <c r="F211" i="57"/>
  <c r="F212" i="57"/>
  <c r="F213" i="57"/>
  <c r="H207" i="57"/>
  <c r="H208" i="57"/>
  <c r="H209" i="57"/>
  <c r="H210" i="57"/>
  <c r="H211" i="57"/>
  <c r="H212" i="57"/>
  <c r="H213" i="57"/>
  <c r="R213" i="57"/>
  <c r="P213" i="57"/>
  <c r="N213" i="57"/>
  <c r="L213" i="57"/>
  <c r="J213" i="57"/>
  <c r="R212" i="57"/>
  <c r="P212" i="57"/>
  <c r="N212" i="57"/>
  <c r="L212" i="57"/>
  <c r="J212" i="57"/>
  <c r="R211" i="57"/>
  <c r="P211" i="57"/>
  <c r="N211" i="57"/>
  <c r="L211" i="57"/>
  <c r="J211" i="57"/>
  <c r="R210" i="57"/>
  <c r="P210" i="57"/>
  <c r="N210" i="57"/>
  <c r="L210" i="57"/>
  <c r="J210" i="57"/>
  <c r="R209" i="57"/>
  <c r="P209" i="57"/>
  <c r="N209" i="57"/>
  <c r="L209" i="57"/>
  <c r="J209" i="57"/>
  <c r="R208" i="57"/>
  <c r="P208" i="57"/>
  <c r="N208" i="57"/>
  <c r="L208" i="57"/>
  <c r="J208" i="57"/>
  <c r="R207" i="57"/>
  <c r="P207" i="57"/>
  <c r="N207" i="57"/>
  <c r="L207" i="57"/>
  <c r="J207" i="57"/>
  <c r="R206" i="57"/>
  <c r="P206" i="57"/>
  <c r="N206" i="57"/>
  <c r="L206" i="57"/>
  <c r="J206" i="57"/>
  <c r="H206" i="57"/>
  <c r="F206" i="57"/>
  <c r="D206" i="57"/>
  <c r="R205" i="57"/>
  <c r="P205" i="57"/>
  <c r="N205" i="57"/>
  <c r="L205" i="57"/>
  <c r="J205" i="57"/>
  <c r="H205" i="57"/>
  <c r="F205" i="57"/>
  <c r="D205" i="57"/>
  <c r="R204" i="57"/>
  <c r="P204" i="57"/>
  <c r="N204" i="57"/>
  <c r="L204" i="57"/>
  <c r="J204" i="57"/>
  <c r="H204" i="57"/>
  <c r="F204" i="57"/>
  <c r="D204" i="57"/>
  <c r="R203" i="57"/>
  <c r="P203" i="57"/>
  <c r="N203" i="57"/>
  <c r="L203" i="57"/>
  <c r="J203" i="57"/>
  <c r="H203" i="57"/>
  <c r="F203" i="57"/>
  <c r="D203" i="57"/>
  <c r="R202" i="57"/>
  <c r="P202" i="57"/>
  <c r="N202" i="57"/>
  <c r="L202" i="57"/>
  <c r="J202" i="57"/>
  <c r="H202" i="57"/>
  <c r="F202" i="57"/>
  <c r="D202" i="57"/>
  <c r="R201" i="57"/>
  <c r="P201" i="57"/>
  <c r="N201" i="57"/>
  <c r="L201" i="57"/>
  <c r="J201" i="57"/>
  <c r="H201" i="57"/>
  <c r="F201" i="57"/>
  <c r="D201" i="57"/>
  <c r="R200" i="57"/>
  <c r="P200" i="57"/>
  <c r="N200" i="57"/>
  <c r="L200" i="57"/>
  <c r="J200" i="57"/>
  <c r="H200" i="57"/>
  <c r="F200" i="57"/>
  <c r="D200" i="57"/>
  <c r="R199" i="57"/>
  <c r="P199" i="57"/>
  <c r="N199" i="57"/>
  <c r="L199" i="57"/>
  <c r="J199" i="57"/>
  <c r="H199" i="57"/>
  <c r="F199" i="57"/>
  <c r="D199" i="57"/>
  <c r="R198" i="57"/>
  <c r="P198" i="57"/>
  <c r="N198" i="57"/>
  <c r="L198" i="57"/>
  <c r="J198" i="57"/>
  <c r="H198" i="57"/>
  <c r="F198" i="57"/>
  <c r="D198" i="57"/>
  <c r="R197" i="57"/>
  <c r="P197" i="57"/>
  <c r="N197" i="57"/>
  <c r="L197" i="57"/>
  <c r="J197" i="57"/>
  <c r="H197" i="57"/>
  <c r="F197" i="57"/>
  <c r="D197" i="57"/>
  <c r="R196" i="57"/>
  <c r="P196" i="57"/>
  <c r="N196" i="57"/>
  <c r="L196" i="57"/>
  <c r="J196" i="57"/>
  <c r="H196" i="57"/>
  <c r="F196" i="57"/>
  <c r="D196" i="57"/>
  <c r="R195" i="57"/>
  <c r="P195" i="57"/>
  <c r="N195" i="57"/>
  <c r="L195" i="57"/>
  <c r="J195" i="57"/>
  <c r="H195" i="57"/>
  <c r="F195" i="57"/>
  <c r="D195" i="57"/>
  <c r="R194" i="57"/>
  <c r="P194" i="57"/>
  <c r="N194" i="57"/>
  <c r="L194" i="57"/>
  <c r="J194" i="57"/>
  <c r="H194" i="57"/>
  <c r="F194" i="57"/>
  <c r="D194" i="57"/>
  <c r="R193" i="57"/>
  <c r="P193" i="57"/>
  <c r="N193" i="57"/>
  <c r="L193" i="57"/>
  <c r="J193" i="57"/>
  <c r="H193" i="57"/>
  <c r="F193" i="57"/>
  <c r="D193" i="57"/>
  <c r="R192" i="57"/>
  <c r="P192" i="57"/>
  <c r="N192" i="57"/>
  <c r="L192" i="57"/>
  <c r="J192" i="57"/>
  <c r="H192" i="57"/>
  <c r="F192" i="57"/>
  <c r="D192" i="57"/>
  <c r="R191" i="57"/>
  <c r="P191" i="57"/>
  <c r="N191" i="57"/>
  <c r="L191" i="57"/>
  <c r="J191" i="57"/>
  <c r="H191" i="57"/>
  <c r="F191" i="57"/>
  <c r="D191" i="57"/>
  <c r="R190" i="57"/>
  <c r="P190" i="57"/>
  <c r="N190" i="57"/>
  <c r="L190" i="57"/>
  <c r="J190" i="57"/>
  <c r="H190" i="57"/>
  <c r="F190" i="57"/>
  <c r="D190" i="57"/>
  <c r="B190" i="57"/>
  <c r="B191" i="57" s="1"/>
  <c r="B192" i="57" s="1"/>
  <c r="B193" i="57" s="1"/>
  <c r="B194" i="57" s="1"/>
  <c r="B195" i="57" s="1"/>
  <c r="B196" i="57" s="1"/>
  <c r="B197" i="57" s="1"/>
  <c r="B198" i="57" s="1"/>
  <c r="B199" i="57" s="1"/>
  <c r="B200" i="57" s="1"/>
  <c r="B201" i="57" s="1"/>
  <c r="B202" i="57" s="1"/>
  <c r="B203" i="57" s="1"/>
  <c r="B204" i="57" s="1"/>
  <c r="B205" i="57" s="1"/>
  <c r="B206" i="57" s="1"/>
  <c r="B207" i="57" s="1"/>
  <c r="B208" i="57" s="1"/>
  <c r="B209" i="57" s="1"/>
  <c r="B210" i="57" s="1"/>
  <c r="B211" i="57" s="1"/>
  <c r="B212" i="57" s="1"/>
  <c r="B213" i="57" s="1"/>
  <c r="B214" i="57" s="1"/>
  <c r="B215" i="57" s="1"/>
  <c r="B216" i="57" s="1"/>
  <c r="B217" i="57" s="1"/>
  <c r="B218" i="57" s="1"/>
  <c r="B219" i="57" s="1"/>
  <c r="B220" i="57" s="1"/>
  <c r="B221" i="57" s="1"/>
  <c r="B222" i="57" s="1"/>
  <c r="B223" i="57" s="1"/>
  <c r="B224" i="57" s="1"/>
  <c r="B225" i="57" s="1"/>
  <c r="B226" i="57" s="1"/>
  <c r="B227" i="57" s="1"/>
  <c r="B228" i="57" s="1"/>
  <c r="B229" i="57" s="1"/>
  <c r="B230" i="57" s="1"/>
  <c r="B231" i="57" s="1"/>
  <c r="B232" i="57" s="1"/>
  <c r="B233" i="57" s="1"/>
  <c r="B234" i="57" s="1"/>
  <c r="B235" i="57" s="1"/>
  <c r="B236" i="57" s="1"/>
  <c r="B237" i="57" s="1"/>
  <c r="B238" i="57" s="1"/>
  <c r="B239" i="57" s="1"/>
  <c r="B240" i="57" s="1"/>
  <c r="B241" i="57" s="1"/>
  <c r="B242" i="57" s="1"/>
  <c r="B243" i="57" s="1"/>
  <c r="B244" i="57" s="1"/>
  <c r="B245" i="57" s="1"/>
  <c r="B246" i="57" s="1"/>
  <c r="B247" i="57" s="1"/>
  <c r="B248" i="57" s="1"/>
  <c r="B249" i="57" s="1"/>
  <c r="B250" i="57" s="1"/>
  <c r="B251" i="57" s="1"/>
  <c r="B252" i="57" s="1"/>
  <c r="B253" i="57" s="1"/>
  <c r="B254" i="57" s="1"/>
  <c r="B255" i="57" s="1"/>
  <c r="B256" i="57" s="1"/>
  <c r="B257" i="57" s="1"/>
  <c r="B258" i="57" s="1"/>
  <c r="B259" i="57" s="1"/>
  <c r="B260" i="57" s="1"/>
  <c r="B261" i="57" s="1"/>
  <c r="B262" i="57" s="1"/>
  <c r="B263" i="57" s="1"/>
  <c r="B264" i="57" s="1"/>
  <c r="B265" i="57" s="1"/>
  <c r="B266" i="57" s="1"/>
  <c r="B267" i="57" s="1"/>
  <c r="B268" i="57" s="1"/>
  <c r="B269" i="57" s="1"/>
  <c r="B270" i="57" s="1"/>
  <c r="B271" i="57" s="1"/>
  <c r="B272" i="57" s="1"/>
  <c r="B273" i="57" s="1"/>
  <c r="B274" i="57" s="1"/>
  <c r="B275" i="57" s="1"/>
  <c r="B276" i="57" s="1"/>
  <c r="B277" i="57" s="1"/>
  <c r="B278" i="57" s="1"/>
  <c r="B279" i="57" s="1"/>
  <c r="B280" i="57" s="1"/>
  <c r="B281" i="57" s="1"/>
  <c r="B282" i="57" s="1"/>
  <c r="B283" i="57" s="1"/>
  <c r="B284" i="57" s="1"/>
  <c r="B285" i="57" s="1"/>
  <c r="B286" i="57" s="1"/>
  <c r="B287" i="57" s="1"/>
  <c r="B288" i="57" s="1"/>
  <c r="B289" i="57" s="1"/>
  <c r="B290" i="57" s="1"/>
  <c r="B291" i="57" s="1"/>
  <c r="B292" i="57" s="1"/>
  <c r="B293" i="57" s="1"/>
  <c r="B294" i="57" s="1"/>
  <c r="B295" i="57" s="1"/>
  <c r="B296" i="57" s="1"/>
  <c r="B297" i="57" s="1"/>
  <c r="B298" i="57" s="1"/>
  <c r="B299" i="57" s="1"/>
  <c r="B300" i="57" s="1"/>
  <c r="B301" i="57" s="1"/>
  <c r="B302" i="57" s="1"/>
  <c r="B303" i="57" s="1"/>
  <c r="B304" i="57" s="1"/>
  <c r="B305" i="57" s="1"/>
  <c r="B306" i="57" s="1"/>
  <c r="B307" i="57" s="1"/>
  <c r="B308" i="57" s="1"/>
  <c r="B309" i="57" s="1"/>
  <c r="B310" i="57" s="1"/>
  <c r="B311" i="57" s="1"/>
  <c r="B312" i="57" s="1"/>
  <c r="B313" i="57" s="1"/>
  <c r="B314" i="57" s="1"/>
  <c r="B315" i="57" s="1"/>
  <c r="B316" i="57" s="1"/>
  <c r="B317" i="57" s="1"/>
  <c r="B318" i="57" s="1"/>
  <c r="B319" i="57" s="1"/>
  <c r="B320" i="57" s="1"/>
  <c r="B321" i="57" s="1"/>
  <c r="B322" i="57" s="1"/>
  <c r="B323" i="57" s="1"/>
  <c r="B324" i="57" s="1"/>
  <c r="B325" i="57" s="1"/>
  <c r="B326" i="57" s="1"/>
  <c r="B327" i="57" s="1"/>
  <c r="B328" i="57" s="1"/>
  <c r="B329" i="57" s="1"/>
  <c r="B330" i="57" s="1"/>
  <c r="B331" i="57" s="1"/>
  <c r="B332" i="57" s="1"/>
  <c r="B333" i="57" s="1"/>
  <c r="B334" i="57" s="1"/>
  <c r="B335" i="57" s="1"/>
  <c r="B336" i="57" s="1"/>
  <c r="B337" i="57" s="1"/>
  <c r="B338" i="57" s="1"/>
  <c r="B339" i="57" s="1"/>
  <c r="B340" i="57" s="1"/>
  <c r="B341" i="57" s="1"/>
  <c r="B342" i="57" s="1"/>
  <c r="B343" i="57" s="1"/>
  <c r="B344" i="57" s="1"/>
  <c r="B345" i="57" s="1"/>
  <c r="B346" i="57" s="1"/>
  <c r="B347" i="57" s="1"/>
  <c r="B348" i="57" s="1"/>
  <c r="B349" i="57" s="1"/>
  <c r="B350" i="57" s="1"/>
  <c r="B351" i="57" s="1"/>
  <c r="B352" i="57" s="1"/>
  <c r="B353" i="57" s="1"/>
  <c r="B354" i="57" s="1"/>
  <c r="B355" i="57" s="1"/>
  <c r="B356" i="57" s="1"/>
  <c r="B357" i="57" s="1"/>
  <c r="B358" i="57" s="1"/>
  <c r="B359" i="57" s="1"/>
  <c r="B360" i="57" s="1"/>
  <c r="B361" i="57" s="1"/>
  <c r="B362" i="57" s="1"/>
  <c r="B363" i="57" s="1"/>
  <c r="B364" i="57" s="1"/>
  <c r="B365" i="57" s="1"/>
  <c r="B366" i="57" s="1"/>
  <c r="B367" i="57" s="1"/>
  <c r="B368" i="57" s="1"/>
  <c r="B369" i="57" s="1"/>
  <c r="R189" i="57"/>
  <c r="P189" i="57"/>
  <c r="N189" i="57"/>
  <c r="L189" i="57"/>
  <c r="J189" i="57"/>
  <c r="H189" i="57"/>
  <c r="F189" i="57"/>
  <c r="D189" i="57"/>
  <c r="D370" i="57" l="1"/>
  <c r="L370" i="57"/>
  <c r="F370" i="57"/>
  <c r="H370" i="57"/>
  <c r="P370" i="57"/>
  <c r="N370" i="57"/>
  <c r="J370" i="57"/>
  <c r="R370" i="57"/>
  <c r="E6622" i="7"/>
  <c r="E6621" i="7"/>
  <c r="E6620" i="7"/>
  <c r="E6619" i="7"/>
  <c r="E6618" i="7"/>
  <c r="E6617" i="7"/>
  <c r="E6616" i="7"/>
  <c r="E6615" i="7"/>
  <c r="E6614" i="7"/>
  <c r="E6613" i="7"/>
  <c r="E6612" i="7"/>
  <c r="E6611" i="7"/>
  <c r="E6610" i="7"/>
  <c r="E6609" i="7"/>
  <c r="E6608" i="7"/>
  <c r="E6607" i="7"/>
  <c r="E6606" i="7"/>
  <c r="E6605" i="7"/>
  <c r="E6604" i="7"/>
  <c r="E6603" i="7"/>
  <c r="E6600" i="7"/>
  <c r="E6599" i="7"/>
  <c r="E6598" i="7"/>
  <c r="E6596" i="7"/>
  <c r="E6595" i="7"/>
  <c r="E6594" i="7"/>
  <c r="E6593" i="7"/>
  <c r="E6592" i="7"/>
  <c r="E6591" i="7"/>
  <c r="E6590" i="7"/>
  <c r="E6589" i="7"/>
  <c r="E6588" i="7"/>
  <c r="E6587" i="7"/>
  <c r="E6586" i="7"/>
  <c r="E6585" i="7"/>
  <c r="E6584" i="7"/>
  <c r="E6583" i="7"/>
  <c r="E6582" i="7"/>
  <c r="E6581" i="7"/>
  <c r="E6580" i="7"/>
  <c r="E6579" i="7"/>
  <c r="E6578" i="7"/>
  <c r="E6577" i="7"/>
  <c r="E6576" i="7"/>
  <c r="E6575" i="7"/>
  <c r="E6574" i="7"/>
  <c r="E6573" i="7"/>
  <c r="E6572" i="7"/>
  <c r="E6571" i="7"/>
  <c r="E6570" i="7"/>
  <c r="E6569" i="7"/>
  <c r="E6566" i="7"/>
  <c r="E6565" i="7"/>
  <c r="E6564" i="7"/>
  <c r="E6563" i="7"/>
  <c r="E6562" i="7"/>
  <c r="E6561" i="7"/>
  <c r="E6560" i="7"/>
  <c r="E6559" i="7"/>
  <c r="E6558" i="7"/>
  <c r="E6557" i="7"/>
  <c r="E6556" i="7"/>
  <c r="E6555" i="7"/>
  <c r="E6554" i="7"/>
  <c r="E6553" i="7"/>
  <c r="E6552" i="7"/>
  <c r="E6551" i="7"/>
  <c r="E6550" i="7"/>
  <c r="E6549" i="7"/>
  <c r="E6548" i="7"/>
  <c r="E6547" i="7"/>
  <c r="E6546" i="7"/>
  <c r="E6545" i="7"/>
  <c r="E6544" i="7"/>
  <c r="E6543" i="7"/>
  <c r="E6542" i="7"/>
  <c r="E6541" i="7"/>
  <c r="E6540" i="7"/>
  <c r="E6539" i="7"/>
  <c r="E6538" i="7"/>
  <c r="E6537" i="7"/>
  <c r="E6536" i="7"/>
  <c r="E6535" i="7"/>
  <c r="E6534" i="7"/>
  <c r="E6533" i="7"/>
  <c r="E6532" i="7"/>
  <c r="E6531" i="7"/>
  <c r="E6526" i="7"/>
  <c r="E6525" i="7"/>
  <c r="E6524" i="7"/>
  <c r="E6523" i="7"/>
  <c r="E6522" i="7"/>
  <c r="E6521" i="7"/>
  <c r="E6520" i="7"/>
  <c r="E4702" i="7"/>
  <c r="E4703" i="7"/>
  <c r="H4703" i="7" a="1"/>
  <c r="H4703" i="7" s="1"/>
  <c r="E4704" i="7"/>
  <c r="H4704" i="7" a="1"/>
  <c r="H4704" i="7" s="1"/>
  <c r="E4705" i="7"/>
  <c r="H4705" i="7" a="1"/>
  <c r="H4705" i="7" s="1"/>
  <c r="E4706" i="7"/>
  <c r="H4706" i="7" a="1"/>
  <c r="H4706" i="7" s="1"/>
  <c r="E4707" i="7"/>
  <c r="H4707" i="7" a="1"/>
  <c r="H4707" i="7" s="1"/>
  <c r="E4708" i="7"/>
  <c r="H4708" i="7" a="1"/>
  <c r="H4708" i="7" s="1"/>
  <c r="E4709" i="7"/>
  <c r="H4709" i="7" a="1"/>
  <c r="H4709" i="7" s="1"/>
  <c r="E4710" i="7"/>
  <c r="E4711" i="7"/>
  <c r="E6254" i="7"/>
  <c r="E6253" i="7"/>
  <c r="E6497" i="7" l="1"/>
  <c r="E6496" i="7"/>
  <c r="H4365" i="7" l="1" a="1"/>
  <c r="H4365" i="7" s="1"/>
  <c r="E4365" i="7"/>
  <c r="E5776" i="7"/>
  <c r="E5775" i="7"/>
  <c r="E6499" i="7"/>
  <c r="E6498" i="7"/>
  <c r="M6504" i="7"/>
  <c r="E6320" i="7" l="1"/>
  <c r="E6321" i="7"/>
  <c r="E6319" i="7"/>
  <c r="E4531" i="7" l="1"/>
  <c r="H4531" i="7" a="1"/>
  <c r="H4531" i="7" s="1"/>
  <c r="E6363" i="7" l="1"/>
  <c r="E6362" i="7"/>
  <c r="E6495" i="7"/>
  <c r="E6494" i="7"/>
  <c r="E6493" i="7"/>
  <c r="E6492" i="7"/>
  <c r="K6516" i="7"/>
  <c r="K6514" i="7"/>
  <c r="E6477" i="7"/>
  <c r="E6476" i="7"/>
  <c r="E6480" i="7"/>
  <c r="E6479" i="7"/>
  <c r="E6478" i="7"/>
  <c r="K6429" i="7"/>
  <c r="E6430" i="7"/>
  <c r="E6429" i="7"/>
  <c r="E6475" i="7"/>
  <c r="E6474" i="7"/>
  <c r="E6473" i="7"/>
  <c r="E6472" i="7"/>
  <c r="E6471" i="7"/>
  <c r="E6456" i="7"/>
  <c r="E6455" i="7"/>
  <c r="E6491" i="7"/>
  <c r="E6490" i="7"/>
  <c r="E6489" i="7"/>
  <c r="E6488" i="7"/>
  <c r="E6487" i="7"/>
  <c r="K6469" i="7"/>
  <c r="E6470" i="7"/>
  <c r="E6469" i="7"/>
  <c r="E6468" i="7"/>
  <c r="E6467" i="7"/>
  <c r="K6512" i="7"/>
  <c r="L6513" i="7" l="1"/>
  <c r="K6502" i="7"/>
  <c r="L6503" i="7" s="1"/>
  <c r="K6500" i="7"/>
  <c r="L6501" i="7" s="1"/>
  <c r="E6517" i="7" l="1"/>
  <c r="L6517" i="7"/>
  <c r="E6516" i="7"/>
  <c r="E6515" i="7"/>
  <c r="L6515" i="7"/>
  <c r="E6514" i="7"/>
  <c r="E6513" i="7"/>
  <c r="E6512" i="7"/>
  <c r="L6511" i="7"/>
  <c r="E6511" i="7"/>
  <c r="E6510" i="7"/>
  <c r="L6509" i="7"/>
  <c r="E6509" i="7"/>
  <c r="E6508" i="7"/>
  <c r="L6507" i="7"/>
  <c r="E6507" i="7"/>
  <c r="E6506" i="7"/>
  <c r="E6505" i="7"/>
  <c r="E6504" i="7"/>
  <c r="E6503" i="7"/>
  <c r="E6502" i="7"/>
  <c r="E6501" i="7"/>
  <c r="E6500" i="7"/>
  <c r="E6486" i="7" l="1"/>
  <c r="E6485" i="7"/>
  <c r="E6484" i="7"/>
  <c r="E6466" i="7"/>
  <c r="E6465" i="7"/>
  <c r="E6428" i="7"/>
  <c r="E6427" i="7"/>
  <c r="E6426" i="7"/>
  <c r="E6483" i="7"/>
  <c r="E6482" i="7"/>
  <c r="E6481" i="7"/>
  <c r="E6462" i="7" l="1"/>
  <c r="E6461" i="7"/>
  <c r="E6460" i="7"/>
  <c r="E6454" i="7"/>
  <c r="E6453" i="7"/>
  <c r="E6464" i="7"/>
  <c r="E6463" i="7"/>
  <c r="E6458" i="7"/>
  <c r="E6459" i="7"/>
  <c r="E6457" i="7"/>
  <c r="E6452" i="7"/>
  <c r="E6451" i="7"/>
  <c r="E6450" i="7"/>
  <c r="K6449" i="7"/>
  <c r="L6450" i="7" s="1"/>
  <c r="E6449" i="7"/>
  <c r="E6448" i="7"/>
  <c r="K6447" i="7"/>
  <c r="L6448" i="7" s="1"/>
  <c r="E6447" i="7"/>
  <c r="E6446" i="7"/>
  <c r="E6445" i="7"/>
  <c r="L6444" i="7"/>
  <c r="E6444" i="7"/>
  <c r="E6443" i="7"/>
  <c r="L6442" i="7"/>
  <c r="E6442" i="7"/>
  <c r="E6441" i="7"/>
  <c r="L6440" i="7"/>
  <c r="E6440" i="7"/>
  <c r="E6439" i="7"/>
  <c r="L6438" i="7"/>
  <c r="E6438" i="7"/>
  <c r="E6437" i="7"/>
  <c r="E6436" i="7"/>
  <c r="E6435" i="7"/>
  <c r="E6434" i="7"/>
  <c r="E6433" i="7"/>
  <c r="E6432" i="7"/>
  <c r="E6431" i="7"/>
  <c r="E6425" i="7"/>
  <c r="E6424" i="7"/>
  <c r="E6423" i="7" l="1"/>
  <c r="E6422" i="7"/>
  <c r="D178" i="57" l="1"/>
  <c r="D179" i="57"/>
  <c r="D180" i="57"/>
  <c r="D181" i="57"/>
  <c r="D182" i="57"/>
  <c r="D183" i="57"/>
  <c r="D184" i="57"/>
  <c r="F178" i="57"/>
  <c r="F179" i="57"/>
  <c r="F180" i="57"/>
  <c r="F181" i="57"/>
  <c r="F182" i="57"/>
  <c r="F183" i="57"/>
  <c r="F184" i="57"/>
  <c r="R184" i="57"/>
  <c r="P184" i="57"/>
  <c r="N184" i="57"/>
  <c r="L184" i="57"/>
  <c r="J184" i="57"/>
  <c r="H184" i="57"/>
  <c r="R183" i="57"/>
  <c r="P183" i="57"/>
  <c r="N183" i="57"/>
  <c r="L183" i="57"/>
  <c r="J183" i="57"/>
  <c r="H183" i="57"/>
  <c r="R182" i="57"/>
  <c r="P182" i="57"/>
  <c r="N182" i="57"/>
  <c r="L182" i="57"/>
  <c r="J182" i="57"/>
  <c r="H182" i="57"/>
  <c r="R181" i="57"/>
  <c r="P181" i="57"/>
  <c r="N181" i="57"/>
  <c r="L181" i="57"/>
  <c r="J181" i="57"/>
  <c r="H181" i="57"/>
  <c r="R180" i="57"/>
  <c r="P180" i="57"/>
  <c r="N180" i="57"/>
  <c r="L180" i="57"/>
  <c r="J180" i="57"/>
  <c r="H180" i="57"/>
  <c r="R179" i="57"/>
  <c r="P179" i="57"/>
  <c r="N179" i="57"/>
  <c r="L179" i="57"/>
  <c r="J179" i="57"/>
  <c r="H179" i="57"/>
  <c r="R178" i="57"/>
  <c r="P178" i="57"/>
  <c r="N178" i="57"/>
  <c r="L178" i="57"/>
  <c r="J178" i="57"/>
  <c r="H178" i="57"/>
  <c r="E6195" i="7"/>
  <c r="E6194" i="7"/>
  <c r="E6137" i="7"/>
  <c r="E6136" i="7"/>
  <c r="E5958" i="7"/>
  <c r="E5957" i="7"/>
  <c r="E5906" i="7"/>
  <c r="E5905" i="7"/>
  <c r="E5780" i="7"/>
  <c r="E5779" i="7"/>
  <c r="E5778" i="7"/>
  <c r="E5777" i="7"/>
  <c r="E5744" i="7"/>
  <c r="E5743" i="7"/>
  <c r="E5720" i="7"/>
  <c r="E5719" i="7"/>
  <c r="E5473" i="7"/>
  <c r="E5472" i="7"/>
  <c r="E5471" i="7"/>
  <c r="E5470" i="7"/>
  <c r="E6401" i="7"/>
  <c r="E6400" i="7"/>
  <c r="E6399" i="7"/>
  <c r="E6421" i="7" l="1"/>
  <c r="K6420" i="7"/>
  <c r="L6421" i="7" s="1"/>
  <c r="E6420" i="7"/>
  <c r="E6419" i="7"/>
  <c r="K6418" i="7"/>
  <c r="L6419" i="7" s="1"/>
  <c r="E6418" i="7"/>
  <c r="E6417" i="7"/>
  <c r="E6416" i="7"/>
  <c r="L6415" i="7"/>
  <c r="E6415" i="7"/>
  <c r="E6414" i="7"/>
  <c r="L6413" i="7"/>
  <c r="E6413" i="7"/>
  <c r="E6412" i="7"/>
  <c r="L6411" i="7"/>
  <c r="E6411" i="7"/>
  <c r="E6410" i="7"/>
  <c r="L6409" i="7"/>
  <c r="E6409" i="7"/>
  <c r="E6408" i="7"/>
  <c r="E6407" i="7"/>
  <c r="E6406" i="7"/>
  <c r="E6405" i="7"/>
  <c r="E6404" i="7"/>
  <c r="E6403" i="7"/>
  <c r="E6402" i="7"/>
  <c r="E6398" i="7"/>
  <c r="E6397" i="7"/>
  <c r="E6396" i="7"/>
  <c r="E6387" i="7"/>
  <c r="E6386" i="7"/>
  <c r="E6389" i="7"/>
  <c r="E6388" i="7"/>
  <c r="E6385" i="7"/>
  <c r="E6384" i="7"/>
  <c r="E6395" i="7" l="1"/>
  <c r="E6394" i="7"/>
  <c r="E6393" i="7"/>
  <c r="D171" i="57" l="1"/>
  <c r="D172" i="57"/>
  <c r="D173" i="57"/>
  <c r="D174" i="57"/>
  <c r="D175" i="57"/>
  <c r="D176" i="57"/>
  <c r="D177" i="57"/>
  <c r="F171" i="57"/>
  <c r="F172" i="57"/>
  <c r="F173" i="57"/>
  <c r="F174" i="57"/>
  <c r="F175" i="57"/>
  <c r="F176" i="57"/>
  <c r="F177" i="57"/>
  <c r="E6392" i="7"/>
  <c r="E6391" i="7"/>
  <c r="E6390" i="7"/>
  <c r="H171" i="57"/>
  <c r="H172" i="57"/>
  <c r="H173" i="57"/>
  <c r="H174" i="57"/>
  <c r="H175" i="57"/>
  <c r="H176" i="57"/>
  <c r="H177" i="57"/>
  <c r="R177" i="57"/>
  <c r="P177" i="57"/>
  <c r="N177" i="57"/>
  <c r="L177" i="57"/>
  <c r="J177" i="57"/>
  <c r="R176" i="57"/>
  <c r="P176" i="57"/>
  <c r="N176" i="57"/>
  <c r="L176" i="57"/>
  <c r="J176" i="57"/>
  <c r="R175" i="57"/>
  <c r="P175" i="57"/>
  <c r="N175" i="57"/>
  <c r="L175" i="57"/>
  <c r="J175" i="57"/>
  <c r="R174" i="57"/>
  <c r="P174" i="57"/>
  <c r="N174" i="57"/>
  <c r="L174" i="57"/>
  <c r="J174" i="57"/>
  <c r="R173" i="57"/>
  <c r="P173" i="57"/>
  <c r="N173" i="57"/>
  <c r="L173" i="57"/>
  <c r="J173" i="57"/>
  <c r="R172" i="57"/>
  <c r="P172" i="57"/>
  <c r="N172" i="57"/>
  <c r="L172" i="57"/>
  <c r="J172" i="57"/>
  <c r="R171" i="57"/>
  <c r="P171" i="57"/>
  <c r="N171" i="57"/>
  <c r="L171" i="57"/>
  <c r="J171" i="57"/>
  <c r="E6361" i="7"/>
  <c r="E6360" i="7"/>
  <c r="E6359" i="7"/>
  <c r="E6383" i="7"/>
  <c r="K6382" i="7"/>
  <c r="L6383" i="7" s="1"/>
  <c r="E6382" i="7"/>
  <c r="E6381" i="7"/>
  <c r="K6380" i="7"/>
  <c r="L6381" i="7" s="1"/>
  <c r="E6380" i="7"/>
  <c r="E6379" i="7"/>
  <c r="E6378" i="7"/>
  <c r="L6377" i="7"/>
  <c r="E6377" i="7"/>
  <c r="E6376" i="7"/>
  <c r="L6375" i="7"/>
  <c r="E6375" i="7"/>
  <c r="E6374" i="7"/>
  <c r="L6373" i="7"/>
  <c r="E6373" i="7"/>
  <c r="E6372" i="7"/>
  <c r="L6371" i="7"/>
  <c r="E6371" i="7"/>
  <c r="E6370" i="7"/>
  <c r="E6369" i="7"/>
  <c r="E6368" i="7"/>
  <c r="E6367" i="7"/>
  <c r="E6366" i="7"/>
  <c r="E6365" i="7"/>
  <c r="E6364" i="7"/>
  <c r="E6356" i="7"/>
  <c r="E6357" i="7"/>
  <c r="E6358" i="7"/>
  <c r="E6355" i="7"/>
  <c r="D164" i="57"/>
  <c r="D165" i="57"/>
  <c r="D166" i="57"/>
  <c r="D167" i="57"/>
  <c r="D168" i="57"/>
  <c r="D169" i="57"/>
  <c r="D170" i="57"/>
  <c r="F164" i="57"/>
  <c r="F165" i="57"/>
  <c r="F166" i="57"/>
  <c r="F167" i="57"/>
  <c r="F168" i="57"/>
  <c r="F169" i="57"/>
  <c r="F170" i="57"/>
  <c r="R170" i="57"/>
  <c r="P170" i="57"/>
  <c r="N170" i="57"/>
  <c r="L170" i="57"/>
  <c r="J170" i="57"/>
  <c r="H170" i="57"/>
  <c r="R169" i="57"/>
  <c r="P169" i="57"/>
  <c r="N169" i="57"/>
  <c r="L169" i="57"/>
  <c r="J169" i="57"/>
  <c r="H169" i="57"/>
  <c r="R168" i="57"/>
  <c r="P168" i="57"/>
  <c r="N168" i="57"/>
  <c r="L168" i="57"/>
  <c r="J168" i="57"/>
  <c r="H168" i="57"/>
  <c r="R167" i="57"/>
  <c r="P167" i="57"/>
  <c r="N167" i="57"/>
  <c r="L167" i="57"/>
  <c r="J167" i="57"/>
  <c r="H167" i="57"/>
  <c r="R166" i="57"/>
  <c r="P166" i="57"/>
  <c r="N166" i="57"/>
  <c r="L166" i="57"/>
  <c r="J166" i="57"/>
  <c r="H166" i="57"/>
  <c r="R165" i="57"/>
  <c r="P165" i="57"/>
  <c r="N165" i="57"/>
  <c r="L165" i="57"/>
  <c r="J165" i="57"/>
  <c r="H165" i="57"/>
  <c r="R164" i="57"/>
  <c r="P164" i="57"/>
  <c r="N164" i="57"/>
  <c r="L164" i="57"/>
  <c r="J164" i="57"/>
  <c r="H164" i="57"/>
  <c r="E6354" i="7"/>
  <c r="E6353" i="7"/>
  <c r="E6352" i="7"/>
  <c r="E6351" i="7" l="1"/>
  <c r="K6350" i="7"/>
  <c r="L6351" i="7" s="1"/>
  <c r="E6350" i="7"/>
  <c r="E6349" i="7"/>
  <c r="K6348" i="7"/>
  <c r="L6349" i="7" s="1"/>
  <c r="E6348" i="7"/>
  <c r="E6347" i="7"/>
  <c r="E6346" i="7"/>
  <c r="L6345" i="7"/>
  <c r="E6345" i="7"/>
  <c r="E6344" i="7"/>
  <c r="L6343" i="7"/>
  <c r="E6343" i="7"/>
  <c r="E6342" i="7"/>
  <c r="L6341" i="7"/>
  <c r="E6341" i="7"/>
  <c r="E6340" i="7"/>
  <c r="L6339" i="7"/>
  <c r="E6339" i="7"/>
  <c r="E6338" i="7"/>
  <c r="E6337" i="7"/>
  <c r="E6336" i="7"/>
  <c r="E6335" i="7"/>
  <c r="E6334" i="7"/>
  <c r="E6333" i="7"/>
  <c r="E6332" i="7"/>
  <c r="D157" i="57"/>
  <c r="D158" i="57"/>
  <c r="D159" i="57"/>
  <c r="D160" i="57"/>
  <c r="D161" i="57"/>
  <c r="D162" i="57"/>
  <c r="D163" i="57"/>
  <c r="F157" i="57"/>
  <c r="F158" i="57"/>
  <c r="F159" i="57"/>
  <c r="F160" i="57"/>
  <c r="F161" i="57"/>
  <c r="F162" i="57"/>
  <c r="F163" i="57"/>
  <c r="R163" i="57"/>
  <c r="P163" i="57"/>
  <c r="N163" i="57"/>
  <c r="L163" i="57"/>
  <c r="R162" i="57"/>
  <c r="P162" i="57"/>
  <c r="N162" i="57"/>
  <c r="L162" i="57"/>
  <c r="R161" i="57"/>
  <c r="P161" i="57"/>
  <c r="N161" i="57"/>
  <c r="L161" i="57"/>
  <c r="R160" i="57"/>
  <c r="P160" i="57"/>
  <c r="N160" i="57"/>
  <c r="L160" i="57"/>
  <c r="R159" i="57"/>
  <c r="P159" i="57"/>
  <c r="N159" i="57"/>
  <c r="L159" i="57"/>
  <c r="R158" i="57"/>
  <c r="P158" i="57"/>
  <c r="N158" i="57"/>
  <c r="L158" i="57"/>
  <c r="R157" i="57"/>
  <c r="P157" i="57"/>
  <c r="N157" i="57"/>
  <c r="L157" i="57"/>
  <c r="J157" i="57"/>
  <c r="J158" i="57"/>
  <c r="J159" i="57"/>
  <c r="J160" i="57"/>
  <c r="J161" i="57"/>
  <c r="J162" i="57"/>
  <c r="J163" i="57"/>
  <c r="H157" i="57"/>
  <c r="H158" i="57"/>
  <c r="H159" i="57"/>
  <c r="H160" i="57"/>
  <c r="H161" i="57"/>
  <c r="H162" i="57"/>
  <c r="H163" i="57"/>
  <c r="E6331" i="7" l="1"/>
  <c r="E6330" i="7"/>
  <c r="E6329" i="7"/>
  <c r="E6298" i="7" l="1"/>
  <c r="E6297" i="7"/>
  <c r="E6328" i="7"/>
  <c r="E6327" i="7"/>
  <c r="E6326" i="7"/>
  <c r="E6325" i="7" l="1"/>
  <c r="E6324" i="7"/>
  <c r="E6323" i="7"/>
  <c r="E6322" i="7"/>
  <c r="E6296" i="7"/>
  <c r="E6295" i="7"/>
  <c r="E6294" i="7"/>
  <c r="D150" i="57" l="1"/>
  <c r="D151" i="57"/>
  <c r="D152" i="57"/>
  <c r="D153" i="57"/>
  <c r="D154" i="57"/>
  <c r="D155" i="57"/>
  <c r="D156" i="57"/>
  <c r="F150" i="57"/>
  <c r="F151" i="57"/>
  <c r="F152" i="57"/>
  <c r="F153" i="57"/>
  <c r="F154" i="57"/>
  <c r="F155" i="57"/>
  <c r="F156" i="57"/>
  <c r="H150" i="57"/>
  <c r="H151" i="57"/>
  <c r="H152" i="57"/>
  <c r="H153" i="57"/>
  <c r="H154" i="57"/>
  <c r="H155" i="57"/>
  <c r="H156" i="57"/>
  <c r="R156" i="57"/>
  <c r="P156" i="57"/>
  <c r="N156" i="57"/>
  <c r="L156" i="57"/>
  <c r="J156" i="57"/>
  <c r="R155" i="57"/>
  <c r="P155" i="57"/>
  <c r="N155" i="57"/>
  <c r="L155" i="57"/>
  <c r="J155" i="57"/>
  <c r="R154" i="57"/>
  <c r="P154" i="57"/>
  <c r="N154" i="57"/>
  <c r="L154" i="57"/>
  <c r="J154" i="57"/>
  <c r="R153" i="57"/>
  <c r="P153" i="57"/>
  <c r="N153" i="57"/>
  <c r="L153" i="57"/>
  <c r="J153" i="57"/>
  <c r="R152" i="57"/>
  <c r="P152" i="57"/>
  <c r="N152" i="57"/>
  <c r="L152" i="57"/>
  <c r="J152" i="57"/>
  <c r="R151" i="57"/>
  <c r="P151" i="57"/>
  <c r="N151" i="57"/>
  <c r="L151" i="57"/>
  <c r="J151" i="57"/>
  <c r="R150" i="57"/>
  <c r="P150" i="57"/>
  <c r="N150" i="57"/>
  <c r="L150" i="57"/>
  <c r="J150" i="57"/>
  <c r="E6318" i="7"/>
  <c r="K6317" i="7"/>
  <c r="L6318" i="7" s="1"/>
  <c r="E6317" i="7"/>
  <c r="E6316" i="7"/>
  <c r="K6315" i="7"/>
  <c r="L6316" i="7" s="1"/>
  <c r="E6315" i="7"/>
  <c r="E6314" i="7"/>
  <c r="E6313" i="7"/>
  <c r="L6312" i="7"/>
  <c r="E6312" i="7"/>
  <c r="E6311" i="7"/>
  <c r="L6310" i="7"/>
  <c r="E6310" i="7"/>
  <c r="E6309" i="7"/>
  <c r="L6308" i="7"/>
  <c r="E6308" i="7"/>
  <c r="E6307" i="7"/>
  <c r="L6306" i="7"/>
  <c r="E6306" i="7"/>
  <c r="E6305" i="7"/>
  <c r="E6304" i="7"/>
  <c r="E6303" i="7"/>
  <c r="E6302" i="7"/>
  <c r="E6301" i="7"/>
  <c r="E6300" i="7"/>
  <c r="E6299" i="7"/>
  <c r="E6290" i="7"/>
  <c r="E6289" i="7"/>
  <c r="E6293" i="7"/>
  <c r="E6292" i="7"/>
  <c r="E6291" i="7"/>
  <c r="E6285" i="7" l="1"/>
  <c r="E6284" i="7"/>
  <c r="E6283" i="7"/>
  <c r="E6288" i="7"/>
  <c r="E6287" i="7"/>
  <c r="E6286" i="7"/>
  <c r="E6282" i="7" l="1"/>
  <c r="E6281" i="7"/>
  <c r="E6280" i="7"/>
  <c r="E6279" i="7" l="1"/>
  <c r="E6278" i="7"/>
  <c r="E6276" i="7"/>
  <c r="E6277" i="7"/>
  <c r="E6275" i="7"/>
  <c r="E6231" i="7"/>
  <c r="E6230" i="7"/>
  <c r="E6235" i="7"/>
  <c r="E6234" i="7"/>
  <c r="E6233" i="7"/>
  <c r="E6232" i="7"/>
  <c r="E6274" i="7" l="1"/>
  <c r="K6273" i="7"/>
  <c r="L6274" i="7" s="1"/>
  <c r="E6273" i="7"/>
  <c r="E6272" i="7"/>
  <c r="K6271" i="7"/>
  <c r="L6272" i="7" s="1"/>
  <c r="E6271" i="7"/>
  <c r="E6270" i="7"/>
  <c r="E6269" i="7"/>
  <c r="L6268" i="7"/>
  <c r="E6268" i="7"/>
  <c r="E6267" i="7"/>
  <c r="L6266" i="7"/>
  <c r="E6266" i="7"/>
  <c r="E6265" i="7"/>
  <c r="L6264" i="7"/>
  <c r="E6264" i="7"/>
  <c r="E6263" i="7"/>
  <c r="L6262" i="7"/>
  <c r="E6262" i="7"/>
  <c r="E6261" i="7"/>
  <c r="E6260" i="7"/>
  <c r="E6259" i="7"/>
  <c r="E6258" i="7"/>
  <c r="E6257" i="7"/>
  <c r="E6256" i="7"/>
  <c r="E6255" i="7"/>
  <c r="D143" i="57"/>
  <c r="D144" i="57"/>
  <c r="D145" i="57"/>
  <c r="D146" i="57"/>
  <c r="D147" i="57"/>
  <c r="D148" i="57"/>
  <c r="D149" i="57"/>
  <c r="F143" i="57"/>
  <c r="F144" i="57"/>
  <c r="F145" i="57"/>
  <c r="F146" i="57"/>
  <c r="F147" i="57"/>
  <c r="F148" i="57"/>
  <c r="F149" i="57"/>
  <c r="H143" i="57"/>
  <c r="H144" i="57"/>
  <c r="H145" i="57"/>
  <c r="H146" i="57"/>
  <c r="H147" i="57"/>
  <c r="H148" i="57"/>
  <c r="H149" i="57"/>
  <c r="J143" i="57"/>
  <c r="J144" i="57"/>
  <c r="J145" i="57"/>
  <c r="J146" i="57"/>
  <c r="J147" i="57"/>
  <c r="J148" i="57"/>
  <c r="J149" i="57"/>
  <c r="R149" i="57"/>
  <c r="P149" i="57"/>
  <c r="N149" i="57"/>
  <c r="L149" i="57"/>
  <c r="R148" i="57"/>
  <c r="P148" i="57"/>
  <c r="N148" i="57"/>
  <c r="L148" i="57"/>
  <c r="R147" i="57"/>
  <c r="P147" i="57"/>
  <c r="N147" i="57"/>
  <c r="L147" i="57"/>
  <c r="R146" i="57"/>
  <c r="P146" i="57"/>
  <c r="N146" i="57"/>
  <c r="L146" i="57"/>
  <c r="R145" i="57"/>
  <c r="P145" i="57"/>
  <c r="N145" i="57"/>
  <c r="L145" i="57"/>
  <c r="R144" i="57"/>
  <c r="P144" i="57"/>
  <c r="N144" i="57"/>
  <c r="L144" i="57"/>
  <c r="R143" i="57"/>
  <c r="P143" i="57"/>
  <c r="N143" i="57"/>
  <c r="L143" i="57"/>
  <c r="E6252" i="7"/>
  <c r="E6251" i="7"/>
  <c r="E6250" i="7"/>
  <c r="E6249" i="7"/>
  <c r="E6248" i="7"/>
  <c r="E6247" i="7"/>
  <c r="E6246" i="7"/>
  <c r="E6245" i="7"/>
  <c r="E6244" i="7"/>
  <c r="E6229" i="7" l="1"/>
  <c r="E6228" i="7"/>
  <c r="E6227" i="7"/>
  <c r="E6226" i="7"/>
  <c r="E6225" i="7"/>
  <c r="E6224" i="7"/>
  <c r="E6223" i="7"/>
  <c r="E6243" i="7"/>
  <c r="E6242" i="7"/>
  <c r="E6241" i="7"/>
  <c r="E6240" i="7"/>
  <c r="E6239" i="7"/>
  <c r="E6238" i="7"/>
  <c r="E6237" i="7"/>
  <c r="E6236" i="7"/>
  <c r="F136" i="57" l="1"/>
  <c r="F137" i="57"/>
  <c r="F138" i="57"/>
  <c r="F139" i="57"/>
  <c r="F140" i="57"/>
  <c r="F141" i="57"/>
  <c r="F142" i="57"/>
  <c r="D136" i="57"/>
  <c r="D137" i="57"/>
  <c r="D138" i="57"/>
  <c r="D139" i="57"/>
  <c r="D140" i="57"/>
  <c r="D141" i="57"/>
  <c r="D142" i="57"/>
  <c r="R136" i="57"/>
  <c r="R142" i="57"/>
  <c r="P142" i="57"/>
  <c r="N142" i="57"/>
  <c r="L142" i="57"/>
  <c r="J142" i="57"/>
  <c r="H142" i="57"/>
  <c r="R141" i="57"/>
  <c r="P141" i="57"/>
  <c r="N141" i="57"/>
  <c r="L141" i="57"/>
  <c r="J141" i="57"/>
  <c r="H141" i="57"/>
  <c r="R140" i="57"/>
  <c r="P140" i="57"/>
  <c r="N140" i="57"/>
  <c r="L140" i="57"/>
  <c r="J140" i="57"/>
  <c r="H140" i="57"/>
  <c r="R139" i="57"/>
  <c r="P139" i="57"/>
  <c r="N139" i="57"/>
  <c r="L139" i="57"/>
  <c r="J139" i="57"/>
  <c r="H139" i="57"/>
  <c r="R138" i="57"/>
  <c r="P138" i="57"/>
  <c r="N138" i="57"/>
  <c r="L138" i="57"/>
  <c r="J138" i="57"/>
  <c r="H138" i="57"/>
  <c r="R137" i="57"/>
  <c r="P137" i="57"/>
  <c r="N137" i="57"/>
  <c r="L137" i="57"/>
  <c r="J137" i="57"/>
  <c r="H137" i="57"/>
  <c r="P136" i="57"/>
  <c r="N136" i="57"/>
  <c r="L136" i="57"/>
  <c r="J136" i="57"/>
  <c r="H136" i="57"/>
  <c r="E6222" i="7"/>
  <c r="K6221" i="7"/>
  <c r="L6222" i="7" s="1"/>
  <c r="E6221" i="7"/>
  <c r="E6220" i="7"/>
  <c r="K6219" i="7"/>
  <c r="L6220" i="7" s="1"/>
  <c r="E6219" i="7"/>
  <c r="E6218" i="7"/>
  <c r="E6217" i="7"/>
  <c r="L6216" i="7"/>
  <c r="E6216" i="7"/>
  <c r="E6215" i="7"/>
  <c r="L6214" i="7"/>
  <c r="E6214" i="7"/>
  <c r="E6213" i="7"/>
  <c r="L6212" i="7"/>
  <c r="E6212" i="7"/>
  <c r="E6211" i="7"/>
  <c r="L6210" i="7"/>
  <c r="E6210" i="7"/>
  <c r="E6209" i="7"/>
  <c r="E6208" i="7"/>
  <c r="E6207" i="7"/>
  <c r="E6206" i="7"/>
  <c r="E6205" i="7"/>
  <c r="E6204" i="7"/>
  <c r="E6203" i="7"/>
  <c r="E6179" i="7"/>
  <c r="E6178" i="7"/>
  <c r="E6199" i="7"/>
  <c r="E6198" i="7"/>
  <c r="E6197" i="7"/>
  <c r="E6196" i="7"/>
  <c r="E6193" i="7"/>
  <c r="E6192" i="7"/>
  <c r="E6191" i="7"/>
  <c r="E6190" i="7"/>
  <c r="E6189" i="7"/>
  <c r="E6188" i="7"/>
  <c r="E6187" i="7"/>
  <c r="E6186" i="7"/>
  <c r="E6185" i="7"/>
  <c r="E6184" i="7"/>
  <c r="E6183" i="7"/>
  <c r="E6182" i="7"/>
  <c r="E6181" i="7"/>
  <c r="E6180" i="7"/>
  <c r="E6202" i="7" l="1"/>
  <c r="E6201" i="7"/>
  <c r="E6200" i="7"/>
  <c r="E6177" i="7"/>
  <c r="E6176" i="7"/>
  <c r="E6175" i="7"/>
  <c r="D129" i="57" l="1"/>
  <c r="D130" i="57"/>
  <c r="D131" i="57"/>
  <c r="D132" i="57"/>
  <c r="D133" i="57"/>
  <c r="D134" i="57"/>
  <c r="D135" i="57"/>
  <c r="F129" i="57"/>
  <c r="F130" i="57"/>
  <c r="F131" i="57"/>
  <c r="F132" i="57"/>
  <c r="F133" i="57"/>
  <c r="F134" i="57"/>
  <c r="F135" i="57"/>
  <c r="R135" i="57"/>
  <c r="P135" i="57"/>
  <c r="N135" i="57"/>
  <c r="L135" i="57"/>
  <c r="J135" i="57"/>
  <c r="H135" i="57"/>
  <c r="R134" i="57"/>
  <c r="P134" i="57"/>
  <c r="N134" i="57"/>
  <c r="L134" i="57"/>
  <c r="J134" i="57"/>
  <c r="H134" i="57"/>
  <c r="R133" i="57"/>
  <c r="P133" i="57"/>
  <c r="N133" i="57"/>
  <c r="L133" i="57"/>
  <c r="J133" i="57"/>
  <c r="H133" i="57"/>
  <c r="R132" i="57"/>
  <c r="P132" i="57"/>
  <c r="N132" i="57"/>
  <c r="L132" i="57"/>
  <c r="J132" i="57"/>
  <c r="H132" i="57"/>
  <c r="R131" i="57"/>
  <c r="P131" i="57"/>
  <c r="N131" i="57"/>
  <c r="L131" i="57"/>
  <c r="J131" i="57"/>
  <c r="H131" i="57"/>
  <c r="R130" i="57"/>
  <c r="P130" i="57"/>
  <c r="N130" i="57"/>
  <c r="L130" i="57"/>
  <c r="J130" i="57"/>
  <c r="H130" i="57"/>
  <c r="R129" i="57"/>
  <c r="P129" i="57"/>
  <c r="N129" i="57"/>
  <c r="L129" i="57"/>
  <c r="J129" i="57"/>
  <c r="H129" i="57"/>
  <c r="E6174" i="7"/>
  <c r="K6173" i="7"/>
  <c r="L6174" i="7" s="1"/>
  <c r="E6173" i="7"/>
  <c r="E6172" i="7"/>
  <c r="K6171" i="7"/>
  <c r="L6172" i="7" s="1"/>
  <c r="E6171" i="7"/>
  <c r="E6170" i="7"/>
  <c r="E6169" i="7"/>
  <c r="L6168" i="7"/>
  <c r="E6168" i="7"/>
  <c r="E6167" i="7"/>
  <c r="L6166" i="7"/>
  <c r="E6166" i="7"/>
  <c r="E6165" i="7"/>
  <c r="L6164" i="7"/>
  <c r="E6164" i="7"/>
  <c r="E6163" i="7"/>
  <c r="L6162" i="7"/>
  <c r="E6162" i="7"/>
  <c r="E6161" i="7"/>
  <c r="E6160" i="7"/>
  <c r="E6159" i="7"/>
  <c r="E6158" i="7"/>
  <c r="E6157" i="7"/>
  <c r="E6156" i="7"/>
  <c r="E6155" i="7"/>
  <c r="E6150" i="7"/>
  <c r="E6149" i="7"/>
  <c r="E6148" i="7"/>
  <c r="E6147" i="7"/>
  <c r="E6146" i="7"/>
  <c r="E6145" i="7"/>
  <c r="E6144" i="7"/>
  <c r="E6143" i="7"/>
  <c r="E6135" i="7"/>
  <c r="E6134" i="7"/>
  <c r="E6133" i="7"/>
  <c r="E6132" i="7"/>
  <c r="E6154" i="7"/>
  <c r="E6153" i="7"/>
  <c r="E6152" i="7"/>
  <c r="E6151" i="7"/>
  <c r="E6142" i="7"/>
  <c r="E6141" i="7"/>
  <c r="E6140" i="7"/>
  <c r="E6139" i="7"/>
  <c r="E6138" i="7"/>
  <c r="E6131" i="7"/>
  <c r="E6130" i="7"/>
  <c r="E6129" i="7"/>
  <c r="E6128" i="7" l="1"/>
  <c r="E6127" i="7"/>
  <c r="E6126" i="7"/>
  <c r="E6125" i="7"/>
  <c r="E6124" i="7"/>
  <c r="E6123" i="7"/>
  <c r="E6119" i="7"/>
  <c r="E6118" i="7"/>
  <c r="E6117" i="7"/>
  <c r="E6116" i="7"/>
  <c r="E6122" i="7"/>
  <c r="E6121" i="7"/>
  <c r="E6120" i="7"/>
  <c r="E6115" i="7"/>
  <c r="E6114" i="7"/>
  <c r="E6113" i="7"/>
  <c r="E6112" i="7" l="1"/>
  <c r="K6111" i="7"/>
  <c r="L6112" i="7" s="1"/>
  <c r="E6111" i="7"/>
  <c r="E6110" i="7"/>
  <c r="K6109" i="7"/>
  <c r="L6110" i="7" s="1"/>
  <c r="E6109" i="7"/>
  <c r="E6108" i="7"/>
  <c r="E6107" i="7"/>
  <c r="L6106" i="7"/>
  <c r="E6106" i="7"/>
  <c r="E6105" i="7"/>
  <c r="L6104" i="7"/>
  <c r="E6104" i="7"/>
  <c r="E6103" i="7"/>
  <c r="L6102" i="7"/>
  <c r="E6102" i="7"/>
  <c r="E6101" i="7"/>
  <c r="L6100" i="7"/>
  <c r="E6100" i="7"/>
  <c r="E6099" i="7"/>
  <c r="E6098" i="7"/>
  <c r="E6097" i="7"/>
  <c r="E6096" i="7"/>
  <c r="E6095" i="7"/>
  <c r="E6094" i="7"/>
  <c r="E6093" i="7"/>
  <c r="D122" i="57"/>
  <c r="D123" i="57"/>
  <c r="D124" i="57"/>
  <c r="D125" i="57"/>
  <c r="D126" i="57"/>
  <c r="D127" i="57"/>
  <c r="D128" i="57"/>
  <c r="F122" i="57"/>
  <c r="F123" i="57"/>
  <c r="F124" i="57"/>
  <c r="F125" i="57"/>
  <c r="F126" i="57"/>
  <c r="F127" i="57"/>
  <c r="F128" i="57"/>
  <c r="J122" i="57"/>
  <c r="J123" i="57"/>
  <c r="J124" i="57"/>
  <c r="J125" i="57"/>
  <c r="J126" i="57"/>
  <c r="J127" i="57"/>
  <c r="J128" i="57"/>
  <c r="H122" i="57"/>
  <c r="H123" i="57"/>
  <c r="H124" i="57"/>
  <c r="H125" i="57"/>
  <c r="H126" i="57"/>
  <c r="H127" i="57"/>
  <c r="H128" i="57"/>
  <c r="R128" i="57"/>
  <c r="P128" i="57"/>
  <c r="N128" i="57"/>
  <c r="L128" i="57"/>
  <c r="R127" i="57"/>
  <c r="P127" i="57"/>
  <c r="N127" i="57"/>
  <c r="L127" i="57"/>
  <c r="R126" i="57"/>
  <c r="P126" i="57"/>
  <c r="N126" i="57"/>
  <c r="L126" i="57"/>
  <c r="R125" i="57"/>
  <c r="P125" i="57"/>
  <c r="N125" i="57"/>
  <c r="L125" i="57"/>
  <c r="R124" i="57"/>
  <c r="P124" i="57"/>
  <c r="N124" i="57"/>
  <c r="L124" i="57"/>
  <c r="R123" i="57"/>
  <c r="P123" i="57"/>
  <c r="N123" i="57"/>
  <c r="L123" i="57"/>
  <c r="R122" i="57"/>
  <c r="P122" i="57"/>
  <c r="N122" i="57"/>
  <c r="L122" i="57"/>
  <c r="E6092" i="7"/>
  <c r="E6091" i="7"/>
  <c r="E6090" i="7"/>
  <c r="E6089" i="7"/>
  <c r="E6088" i="7"/>
  <c r="E6087" i="7"/>
  <c r="E6086" i="7"/>
  <c r="E6085" i="7"/>
  <c r="E6084" i="7"/>
  <c r="E6083" i="7" l="1"/>
  <c r="E6082" i="7"/>
  <c r="E6081" i="7"/>
  <c r="E6080" i="7"/>
  <c r="E6079" i="7"/>
  <c r="E6078" i="7"/>
  <c r="E6077" i="7"/>
  <c r="E6076" i="7"/>
  <c r="E6075" i="7"/>
  <c r="E6074" i="7"/>
  <c r="E6073" i="7"/>
  <c r="E6072" i="7"/>
  <c r="E6071" i="7"/>
  <c r="E6068" i="7"/>
  <c r="E6067" i="7"/>
  <c r="E6066" i="7"/>
  <c r="E6065" i="7"/>
  <c r="E6049" i="7"/>
  <c r="E6048" i="7"/>
  <c r="E6070" i="7"/>
  <c r="E6069" i="7"/>
  <c r="E6064" i="7"/>
  <c r="E6063" i="7"/>
  <c r="E6047" i="7" l="1"/>
  <c r="E6046" i="7"/>
  <c r="E6062" i="7"/>
  <c r="E6061" i="7"/>
  <c r="E6060" i="7"/>
  <c r="E6059" i="7"/>
  <c r="E6035" i="7"/>
  <c r="E6034" i="7"/>
  <c r="E6033" i="7"/>
  <c r="E6058" i="7"/>
  <c r="E6057" i="7"/>
  <c r="E6056" i="7"/>
  <c r="E6055" i="7"/>
  <c r="E6054" i="7"/>
  <c r="E6053" i="7"/>
  <c r="E6052" i="7"/>
  <c r="E6051" i="7"/>
  <c r="E6050" i="7"/>
  <c r="E6045" i="7" l="1"/>
  <c r="E6044" i="7"/>
  <c r="E6043" i="7"/>
  <c r="E6030" i="7"/>
  <c r="E6029" i="7"/>
  <c r="E6028" i="7"/>
  <c r="E6032" i="7" l="1"/>
  <c r="E6031" i="7"/>
  <c r="E6042" i="7"/>
  <c r="E6041" i="7"/>
  <c r="E6040" i="7"/>
  <c r="E6039" i="7"/>
  <c r="E6038" i="7"/>
  <c r="E6037" i="7"/>
  <c r="E6036" i="7"/>
  <c r="E6007" i="7"/>
  <c r="E6006" i="7"/>
  <c r="E6005" i="7"/>
  <c r="E6004" i="7"/>
  <c r="E6003" i="7"/>
  <c r="E6002" i="7"/>
  <c r="E6001" i="7"/>
  <c r="E6000" i="7"/>
  <c r="E6027" i="7"/>
  <c r="K6026" i="7"/>
  <c r="L6027" i="7" s="1"/>
  <c r="E6026" i="7"/>
  <c r="E6025" i="7"/>
  <c r="K6024" i="7"/>
  <c r="L6025" i="7" s="1"/>
  <c r="E6024" i="7"/>
  <c r="E6023" i="7"/>
  <c r="E6022" i="7"/>
  <c r="L6021" i="7"/>
  <c r="E6021" i="7"/>
  <c r="E6020" i="7"/>
  <c r="L6019" i="7"/>
  <c r="E6019" i="7"/>
  <c r="E6018" i="7"/>
  <c r="L6017" i="7"/>
  <c r="E6017" i="7"/>
  <c r="E6016" i="7"/>
  <c r="L6015" i="7"/>
  <c r="E6015" i="7"/>
  <c r="E6014" i="7"/>
  <c r="E6013" i="7"/>
  <c r="E6012" i="7"/>
  <c r="E6011" i="7"/>
  <c r="E6010" i="7"/>
  <c r="E6009" i="7"/>
  <c r="E6008" i="7"/>
  <c r="D115" i="57"/>
  <c r="D116" i="57"/>
  <c r="D117" i="57"/>
  <c r="D118" i="57"/>
  <c r="D119" i="57"/>
  <c r="D120" i="57"/>
  <c r="D121" i="57"/>
  <c r="F115" i="57"/>
  <c r="F116" i="57"/>
  <c r="F117" i="57"/>
  <c r="F118" i="57"/>
  <c r="F119" i="57"/>
  <c r="F120" i="57"/>
  <c r="F121" i="57"/>
  <c r="R121" i="57"/>
  <c r="P121" i="57"/>
  <c r="N121" i="57"/>
  <c r="R120" i="57"/>
  <c r="P120" i="57"/>
  <c r="N120" i="57"/>
  <c r="R119" i="57"/>
  <c r="P119" i="57"/>
  <c r="N119" i="57"/>
  <c r="R118" i="57"/>
  <c r="P118" i="57"/>
  <c r="N118" i="57"/>
  <c r="R117" i="57"/>
  <c r="P117" i="57"/>
  <c r="N117" i="57"/>
  <c r="R116" i="57"/>
  <c r="P116" i="57"/>
  <c r="N116" i="57"/>
  <c r="R115" i="57"/>
  <c r="P115" i="57"/>
  <c r="N115" i="57"/>
  <c r="L121" i="57"/>
  <c r="J121" i="57"/>
  <c r="L120" i="57"/>
  <c r="J120" i="57"/>
  <c r="L119" i="57"/>
  <c r="J119" i="57"/>
  <c r="L118" i="57"/>
  <c r="J118" i="57"/>
  <c r="L117" i="57"/>
  <c r="J117" i="57"/>
  <c r="L116" i="57"/>
  <c r="J116" i="57"/>
  <c r="L115" i="57"/>
  <c r="J115" i="57"/>
  <c r="H121" i="57"/>
  <c r="H120" i="57"/>
  <c r="H119" i="57"/>
  <c r="H118" i="57"/>
  <c r="H117" i="57"/>
  <c r="H116" i="57"/>
  <c r="H115" i="57"/>
  <c r="E5999" i="7"/>
  <c r="E5998" i="7"/>
  <c r="E5997" i="7"/>
  <c r="E5996" i="7" l="1"/>
  <c r="E5995" i="7"/>
  <c r="E5994" i="7"/>
  <c r="E5993" i="7"/>
  <c r="E5992" i="7"/>
  <c r="E5991" i="7"/>
  <c r="E5990" i="7"/>
  <c r="E5989" i="7"/>
  <c r="E5988" i="7"/>
  <c r="E5987" i="7"/>
  <c r="E5986" i="7"/>
  <c r="E5985" i="7"/>
  <c r="E5984" i="7" l="1"/>
  <c r="E5983" i="7"/>
  <c r="E5982" i="7"/>
  <c r="E5981" i="7"/>
  <c r="E5980" i="7" l="1"/>
  <c r="E5979" i="7"/>
  <c r="E5956" i="7"/>
  <c r="E5955" i="7"/>
  <c r="E5948" i="7"/>
  <c r="E5947" i="7"/>
  <c r="E5946" i="7"/>
  <c r="E5945" i="7"/>
  <c r="E5978" i="7"/>
  <c r="K5977" i="7"/>
  <c r="L5978" i="7" s="1"/>
  <c r="E5977" i="7"/>
  <c r="E5976" i="7"/>
  <c r="K5975" i="7"/>
  <c r="L5976" i="7" s="1"/>
  <c r="E5975" i="7"/>
  <c r="E5974" i="7"/>
  <c r="E5973" i="7"/>
  <c r="L5972" i="7"/>
  <c r="E5972" i="7"/>
  <c r="E5971" i="7"/>
  <c r="L5970" i="7"/>
  <c r="E5970" i="7"/>
  <c r="E5969" i="7"/>
  <c r="L5968" i="7"/>
  <c r="E5968" i="7"/>
  <c r="E5967" i="7"/>
  <c r="L5966" i="7"/>
  <c r="E5966" i="7"/>
  <c r="E5965" i="7"/>
  <c r="E5964" i="7"/>
  <c r="E5963" i="7"/>
  <c r="E5962" i="7"/>
  <c r="E5961" i="7"/>
  <c r="E5960" i="7"/>
  <c r="E5959" i="7"/>
  <c r="D108" i="57"/>
  <c r="D109" i="57"/>
  <c r="D110" i="57"/>
  <c r="D111" i="57"/>
  <c r="D112" i="57"/>
  <c r="D113" i="57"/>
  <c r="D114" i="57"/>
  <c r="F108" i="57"/>
  <c r="F109" i="57"/>
  <c r="F110" i="57"/>
  <c r="F111" i="57"/>
  <c r="F112" i="57"/>
  <c r="F113" i="57"/>
  <c r="F114" i="57"/>
  <c r="R114" i="57"/>
  <c r="P114" i="57"/>
  <c r="N114" i="57"/>
  <c r="L114" i="57"/>
  <c r="J114" i="57"/>
  <c r="H114" i="57"/>
  <c r="R113" i="57"/>
  <c r="P113" i="57"/>
  <c r="N113" i="57"/>
  <c r="L113" i="57"/>
  <c r="J113" i="57"/>
  <c r="H113" i="57"/>
  <c r="R112" i="57"/>
  <c r="P112" i="57"/>
  <c r="N112" i="57"/>
  <c r="L112" i="57"/>
  <c r="J112" i="57"/>
  <c r="H112" i="57"/>
  <c r="R111" i="57"/>
  <c r="P111" i="57"/>
  <c r="N111" i="57"/>
  <c r="L111" i="57"/>
  <c r="J111" i="57"/>
  <c r="H111" i="57"/>
  <c r="R110" i="57"/>
  <c r="P110" i="57"/>
  <c r="N110" i="57"/>
  <c r="L110" i="57"/>
  <c r="J110" i="57"/>
  <c r="H110" i="57"/>
  <c r="R109" i="57"/>
  <c r="P109" i="57"/>
  <c r="N109" i="57"/>
  <c r="L109" i="57"/>
  <c r="J109" i="57"/>
  <c r="H109" i="57"/>
  <c r="R108" i="57"/>
  <c r="P108" i="57"/>
  <c r="N108" i="57"/>
  <c r="L108" i="57"/>
  <c r="J108" i="57"/>
  <c r="H108" i="57"/>
  <c r="E5954" i="7"/>
  <c r="E5953" i="7"/>
  <c r="E5952" i="7"/>
  <c r="E5951" i="7"/>
  <c r="E5950" i="7"/>
  <c r="E5949" i="7"/>
  <c r="E5944" i="7" l="1"/>
  <c r="E5943" i="7"/>
  <c r="E5942" i="7"/>
  <c r="E5941" i="7"/>
  <c r="E5940" i="7"/>
  <c r="E5939" i="7"/>
  <c r="L5930" i="7"/>
  <c r="E5938" i="7"/>
  <c r="K5937" i="7"/>
  <c r="L5938" i="7" s="1"/>
  <c r="E5937" i="7"/>
  <c r="E5936" i="7"/>
  <c r="E5935" i="7"/>
  <c r="E5934" i="7"/>
  <c r="E5933" i="7"/>
  <c r="L5932" i="7"/>
  <c r="E5932" i="7"/>
  <c r="E5931" i="7"/>
  <c r="E5930" i="7"/>
  <c r="E5929" i="7"/>
  <c r="L5928" i="7"/>
  <c r="E5928" i="7"/>
  <c r="E5927" i="7"/>
  <c r="L5926" i="7"/>
  <c r="E5926" i="7"/>
  <c r="E5925" i="7"/>
  <c r="E5924" i="7"/>
  <c r="E5923" i="7"/>
  <c r="E5922" i="7"/>
  <c r="E5921" i="7"/>
  <c r="E5920" i="7"/>
  <c r="E5919" i="7"/>
  <c r="E5913" i="7"/>
  <c r="E5912" i="7"/>
  <c r="E5899" i="7"/>
  <c r="E5898" i="7"/>
  <c r="E5918" i="7"/>
  <c r="E5917" i="7"/>
  <c r="E5908" i="7"/>
  <c r="E5907" i="7"/>
  <c r="E5901" i="7"/>
  <c r="E5900" i="7"/>
  <c r="E5894" i="7"/>
  <c r="E5893" i="7"/>
  <c r="E5892" i="7"/>
  <c r="E5891" i="7"/>
  <c r="E5916" i="7" l="1"/>
  <c r="E5915" i="7"/>
  <c r="E5914" i="7"/>
  <c r="E5911" i="7"/>
  <c r="E5910" i="7"/>
  <c r="E5909" i="7"/>
  <c r="E5904" i="7"/>
  <c r="E5903" i="7"/>
  <c r="E5902" i="7"/>
  <c r="E5897" i="7"/>
  <c r="E5896" i="7"/>
  <c r="E5895" i="7"/>
  <c r="D101" i="57" l="1"/>
  <c r="D102" i="57"/>
  <c r="D103" i="57"/>
  <c r="D104" i="57"/>
  <c r="D105" i="57"/>
  <c r="D106" i="57"/>
  <c r="D107" i="57"/>
  <c r="R107" i="57"/>
  <c r="P107" i="57"/>
  <c r="N107" i="57"/>
  <c r="L107" i="57"/>
  <c r="J107" i="57"/>
  <c r="H107" i="57"/>
  <c r="F107" i="57"/>
  <c r="R106" i="57"/>
  <c r="P106" i="57"/>
  <c r="N106" i="57"/>
  <c r="L106" i="57"/>
  <c r="J106" i="57"/>
  <c r="H106" i="57"/>
  <c r="F106" i="57"/>
  <c r="R105" i="57"/>
  <c r="P105" i="57"/>
  <c r="N105" i="57"/>
  <c r="L105" i="57"/>
  <c r="J105" i="57"/>
  <c r="H105" i="57"/>
  <c r="F105" i="57"/>
  <c r="R104" i="57"/>
  <c r="P104" i="57"/>
  <c r="N104" i="57"/>
  <c r="L104" i="57"/>
  <c r="J104" i="57"/>
  <c r="H104" i="57"/>
  <c r="F104" i="57"/>
  <c r="R103" i="57"/>
  <c r="P103" i="57"/>
  <c r="N103" i="57"/>
  <c r="L103" i="57"/>
  <c r="J103" i="57"/>
  <c r="H103" i="57"/>
  <c r="F103" i="57"/>
  <c r="R102" i="57"/>
  <c r="P102" i="57"/>
  <c r="N102" i="57"/>
  <c r="L102" i="57"/>
  <c r="J102" i="57"/>
  <c r="H102" i="57"/>
  <c r="F102" i="57"/>
  <c r="R101" i="57"/>
  <c r="P101" i="57"/>
  <c r="N101" i="57"/>
  <c r="L101" i="57"/>
  <c r="J101" i="57"/>
  <c r="H101" i="57"/>
  <c r="F101" i="57"/>
  <c r="E5870" i="7"/>
  <c r="E5869" i="7"/>
  <c r="E5868" i="7"/>
  <c r="E5867" i="7"/>
  <c r="E5866" i="7"/>
  <c r="E5865" i="7"/>
  <c r="L5864" i="7" l="1"/>
  <c r="E5864" i="7"/>
  <c r="E5863" i="7"/>
  <c r="F94" i="57"/>
  <c r="F95" i="57"/>
  <c r="F96" i="57"/>
  <c r="F97" i="57"/>
  <c r="F98" i="57"/>
  <c r="F99" i="57"/>
  <c r="F100" i="57"/>
  <c r="D94" i="57"/>
  <c r="D95" i="57"/>
  <c r="D96" i="57"/>
  <c r="D97" i="57"/>
  <c r="D98" i="57"/>
  <c r="D99" i="57"/>
  <c r="D100" i="57"/>
  <c r="R100" i="57"/>
  <c r="P100" i="57"/>
  <c r="N100" i="57"/>
  <c r="L100" i="57"/>
  <c r="J100" i="57"/>
  <c r="R99" i="57"/>
  <c r="P99" i="57"/>
  <c r="N99" i="57"/>
  <c r="L99" i="57"/>
  <c r="J99" i="57"/>
  <c r="R98" i="57"/>
  <c r="P98" i="57"/>
  <c r="N98" i="57"/>
  <c r="L98" i="57"/>
  <c r="J98" i="57"/>
  <c r="R97" i="57"/>
  <c r="P97" i="57"/>
  <c r="N97" i="57"/>
  <c r="L97" i="57"/>
  <c r="J97" i="57"/>
  <c r="R96" i="57"/>
  <c r="P96" i="57"/>
  <c r="N96" i="57"/>
  <c r="L96" i="57"/>
  <c r="J96" i="57"/>
  <c r="R95" i="57"/>
  <c r="P95" i="57"/>
  <c r="N95" i="57"/>
  <c r="L95" i="57"/>
  <c r="J95" i="57"/>
  <c r="R94" i="57"/>
  <c r="P94" i="57"/>
  <c r="N94" i="57"/>
  <c r="L94" i="57"/>
  <c r="J94" i="57"/>
  <c r="H94" i="57"/>
  <c r="H95" i="57"/>
  <c r="H96" i="57"/>
  <c r="H97" i="57"/>
  <c r="H98" i="57"/>
  <c r="H99" i="57"/>
  <c r="H100" i="57"/>
  <c r="E5890" i="7"/>
  <c r="K5889" i="7"/>
  <c r="L5890" i="7" s="1"/>
  <c r="E5889" i="7"/>
  <c r="E5888" i="7"/>
  <c r="K5887" i="7"/>
  <c r="L5888" i="7" s="1"/>
  <c r="E5887" i="7"/>
  <c r="E5886" i="7"/>
  <c r="E5885" i="7"/>
  <c r="L5884" i="7"/>
  <c r="E5884" i="7"/>
  <c r="E5883" i="7"/>
  <c r="L5882" i="7"/>
  <c r="E5882" i="7"/>
  <c r="E5881" i="7"/>
  <c r="L5880" i="7"/>
  <c r="E5880" i="7"/>
  <c r="E5879" i="7"/>
  <c r="L5878" i="7"/>
  <c r="E5878" i="7"/>
  <c r="E5877" i="7"/>
  <c r="E5876" i="7"/>
  <c r="E5875" i="7"/>
  <c r="E5874" i="7"/>
  <c r="E5873" i="7"/>
  <c r="E5872" i="7"/>
  <c r="E5871" i="7"/>
  <c r="E5862" i="7"/>
  <c r="E5861" i="7"/>
  <c r="E5860" i="7"/>
  <c r="E5859" i="7"/>
  <c r="E5858" i="7"/>
  <c r="E5857" i="7" l="1"/>
  <c r="E5856" i="7"/>
  <c r="E5855" i="7"/>
  <c r="E5854" i="7" l="1"/>
  <c r="E5853" i="7"/>
  <c r="E5852" i="7"/>
  <c r="E5851" i="7"/>
  <c r="E5830" i="7"/>
  <c r="E5829" i="7"/>
  <c r="E5828" i="7"/>
  <c r="E5850" i="7" l="1"/>
  <c r="K5849" i="7"/>
  <c r="L5850" i="7" s="1"/>
  <c r="E5849" i="7"/>
  <c r="E5848" i="7"/>
  <c r="K5847" i="7"/>
  <c r="L5848" i="7" s="1"/>
  <c r="E5847" i="7"/>
  <c r="E5846" i="7"/>
  <c r="E5845" i="7"/>
  <c r="L5844" i="7"/>
  <c r="E5844" i="7"/>
  <c r="E5843" i="7"/>
  <c r="L5842" i="7"/>
  <c r="E5842" i="7"/>
  <c r="E5841" i="7"/>
  <c r="L5840" i="7"/>
  <c r="E5840" i="7"/>
  <c r="E5839" i="7"/>
  <c r="L5838" i="7"/>
  <c r="E5838" i="7"/>
  <c r="E5837" i="7"/>
  <c r="E5836" i="7"/>
  <c r="E5835" i="7"/>
  <c r="E5834" i="7"/>
  <c r="E5833" i="7"/>
  <c r="E5832" i="7"/>
  <c r="E5831" i="7"/>
  <c r="E5799" i="7"/>
  <c r="E5798" i="7"/>
  <c r="E5797" i="7"/>
  <c r="E5796" i="7"/>
  <c r="E5795" i="7"/>
  <c r="E5794" i="7"/>
  <c r="R93" i="57"/>
  <c r="P93" i="57"/>
  <c r="N93" i="57"/>
  <c r="L93" i="57"/>
  <c r="J93" i="57"/>
  <c r="R92" i="57"/>
  <c r="P92" i="57"/>
  <c r="N92" i="57"/>
  <c r="L92" i="57"/>
  <c r="J92" i="57"/>
  <c r="R91" i="57"/>
  <c r="P91" i="57"/>
  <c r="N91" i="57"/>
  <c r="L91" i="57"/>
  <c r="J91" i="57"/>
  <c r="R90" i="57"/>
  <c r="P90" i="57"/>
  <c r="N90" i="57"/>
  <c r="L90" i="57"/>
  <c r="J90" i="57"/>
  <c r="R89" i="57"/>
  <c r="P89" i="57"/>
  <c r="N89" i="57"/>
  <c r="L89" i="57"/>
  <c r="J89" i="57"/>
  <c r="R88" i="57"/>
  <c r="P88" i="57"/>
  <c r="N88" i="57"/>
  <c r="L88" i="57"/>
  <c r="J88" i="57"/>
  <c r="R87" i="57"/>
  <c r="P87" i="57"/>
  <c r="N87" i="57"/>
  <c r="L87" i="57"/>
  <c r="J87" i="57"/>
  <c r="H87" i="57"/>
  <c r="H88" i="57"/>
  <c r="H89" i="57"/>
  <c r="H90" i="57"/>
  <c r="H91" i="57"/>
  <c r="H92" i="57"/>
  <c r="H93" i="57"/>
  <c r="F87" i="57"/>
  <c r="F88" i="57"/>
  <c r="F89" i="57"/>
  <c r="F90" i="57"/>
  <c r="F91" i="57"/>
  <c r="F92" i="57"/>
  <c r="F93" i="57"/>
  <c r="E5821" i="7"/>
  <c r="E5820" i="7"/>
  <c r="E5819" i="7"/>
  <c r="E5818" i="7"/>
  <c r="E5827" i="7"/>
  <c r="E5826" i="7"/>
  <c r="E5825" i="7"/>
  <c r="E5824" i="7"/>
  <c r="E5823" i="7"/>
  <c r="E5822" i="7"/>
  <c r="E5817" i="7"/>
  <c r="E5816" i="7"/>
  <c r="E5815" i="7"/>
  <c r="E5814" i="7"/>
  <c r="E5813" i="7"/>
  <c r="E5812" i="7"/>
  <c r="E5811" i="7"/>
  <c r="E5810" i="7"/>
  <c r="D87" i="57" l="1"/>
  <c r="D88" i="57"/>
  <c r="D89" i="57"/>
  <c r="D90" i="57"/>
  <c r="D91" i="57"/>
  <c r="D92" i="57"/>
  <c r="D93" i="57"/>
  <c r="E5809" i="7"/>
  <c r="E5808" i="7"/>
  <c r="E5807" i="7"/>
  <c r="E5806" i="7"/>
  <c r="E5793" i="7"/>
  <c r="E5792" i="7"/>
  <c r="E5791" i="7"/>
  <c r="E5790" i="7"/>
  <c r="E5789" i="7"/>
  <c r="E5788" i="7"/>
  <c r="E5802" i="7"/>
  <c r="E5801" i="7"/>
  <c r="E5800" i="7"/>
  <c r="E5805" i="7"/>
  <c r="E5804" i="7"/>
  <c r="E5803" i="7"/>
  <c r="E5785" i="7" l="1"/>
  <c r="E5784" i="7"/>
  <c r="E5787" i="7"/>
  <c r="E5786" i="7"/>
  <c r="J80" i="57" l="1"/>
  <c r="J81" i="57"/>
  <c r="J82" i="57"/>
  <c r="J83" i="57"/>
  <c r="J84" i="57"/>
  <c r="J85" i="57"/>
  <c r="J86" i="57"/>
  <c r="H80" i="57"/>
  <c r="H81" i="57"/>
  <c r="H82" i="57"/>
  <c r="H83" i="57"/>
  <c r="H84" i="57"/>
  <c r="H85" i="57"/>
  <c r="H86" i="57"/>
  <c r="D80" i="57"/>
  <c r="D81" i="57"/>
  <c r="D82" i="57"/>
  <c r="D83" i="57"/>
  <c r="D84" i="57"/>
  <c r="D85" i="57"/>
  <c r="D86" i="57"/>
  <c r="F80" i="57"/>
  <c r="F81" i="57"/>
  <c r="F82" i="57"/>
  <c r="F83" i="57"/>
  <c r="F84" i="57"/>
  <c r="F85" i="57"/>
  <c r="F86" i="57"/>
  <c r="R86" i="57"/>
  <c r="P86" i="57"/>
  <c r="N86" i="57"/>
  <c r="L86" i="57"/>
  <c r="R85" i="57"/>
  <c r="P85" i="57"/>
  <c r="N85" i="57"/>
  <c r="L85" i="57"/>
  <c r="R84" i="57"/>
  <c r="P84" i="57"/>
  <c r="N84" i="57"/>
  <c r="L84" i="57"/>
  <c r="R83" i="57"/>
  <c r="P83" i="57"/>
  <c r="N83" i="57"/>
  <c r="L83" i="57"/>
  <c r="R82" i="57"/>
  <c r="P82" i="57"/>
  <c r="N82" i="57"/>
  <c r="L82" i="57"/>
  <c r="R81" i="57"/>
  <c r="P81" i="57"/>
  <c r="N81" i="57"/>
  <c r="L81" i="57"/>
  <c r="R80" i="57"/>
  <c r="P80" i="57"/>
  <c r="N80" i="57"/>
  <c r="L80" i="57"/>
  <c r="E5774" i="7"/>
  <c r="K5773" i="7"/>
  <c r="L5774" i="7" s="1"/>
  <c r="E5773" i="7"/>
  <c r="E5772" i="7"/>
  <c r="K5771" i="7"/>
  <c r="L5772" i="7" s="1"/>
  <c r="E5771" i="7"/>
  <c r="E5770" i="7"/>
  <c r="E5769" i="7"/>
  <c r="L5768" i="7"/>
  <c r="E5768" i="7"/>
  <c r="E5767" i="7"/>
  <c r="L5766" i="7"/>
  <c r="E5766" i="7"/>
  <c r="E5765" i="7"/>
  <c r="L5764" i="7"/>
  <c r="E5764" i="7"/>
  <c r="E5763" i="7"/>
  <c r="L5762" i="7"/>
  <c r="E5762" i="7"/>
  <c r="E5761" i="7"/>
  <c r="E5760" i="7"/>
  <c r="E5759" i="7"/>
  <c r="E5758" i="7"/>
  <c r="E5757" i="7"/>
  <c r="E5756" i="7"/>
  <c r="E5755" i="7"/>
  <c r="E5751" i="7" l="1"/>
  <c r="E5752" i="7"/>
  <c r="E5753" i="7"/>
  <c r="E5754" i="7"/>
  <c r="E5750" i="7"/>
  <c r="E5749" i="7"/>
  <c r="E5748" i="7"/>
  <c r="E5747" i="7"/>
  <c r="E5781" i="7"/>
  <c r="E5782" i="7"/>
  <c r="E5783" i="7"/>
  <c r="E5714" i="7"/>
  <c r="E5713" i="7"/>
  <c r="E5712" i="7"/>
  <c r="E5746" i="7"/>
  <c r="E5745" i="7"/>
  <c r="E5742" i="7"/>
  <c r="E5741" i="7"/>
  <c r="E5718" i="7" l="1"/>
  <c r="E5717" i="7"/>
  <c r="E5716" i="7"/>
  <c r="E5715" i="7"/>
  <c r="E5740" i="7"/>
  <c r="K5739" i="7"/>
  <c r="L5740" i="7" s="1"/>
  <c r="E5739" i="7"/>
  <c r="E5738" i="7"/>
  <c r="K5737" i="7"/>
  <c r="L5738" i="7" s="1"/>
  <c r="E5737" i="7"/>
  <c r="E5736" i="7"/>
  <c r="E5735" i="7"/>
  <c r="L5734" i="7"/>
  <c r="E5734" i="7"/>
  <c r="E5733" i="7"/>
  <c r="L5732" i="7"/>
  <c r="E5732" i="7"/>
  <c r="E5731" i="7"/>
  <c r="L5730" i="7"/>
  <c r="E5730" i="7"/>
  <c r="E5729" i="7"/>
  <c r="L5728" i="7"/>
  <c r="E5728" i="7"/>
  <c r="E5727" i="7"/>
  <c r="E5726" i="7"/>
  <c r="E5725" i="7"/>
  <c r="E5724" i="7"/>
  <c r="E5723" i="7"/>
  <c r="E5722" i="7"/>
  <c r="E5721" i="7"/>
  <c r="D73" i="57"/>
  <c r="D74" i="57"/>
  <c r="D75" i="57"/>
  <c r="D76" i="57"/>
  <c r="D77" i="57"/>
  <c r="D78" i="57"/>
  <c r="D79" i="57"/>
  <c r="R79" i="57"/>
  <c r="P79" i="57"/>
  <c r="N79" i="57"/>
  <c r="L79" i="57"/>
  <c r="J79" i="57"/>
  <c r="H79" i="57"/>
  <c r="F79" i="57"/>
  <c r="R78" i="57"/>
  <c r="P78" i="57"/>
  <c r="N78" i="57"/>
  <c r="L78" i="57"/>
  <c r="J78" i="57"/>
  <c r="H78" i="57"/>
  <c r="F78" i="57"/>
  <c r="R77" i="57"/>
  <c r="P77" i="57"/>
  <c r="N77" i="57"/>
  <c r="L77" i="57"/>
  <c r="J77" i="57"/>
  <c r="H77" i="57"/>
  <c r="F77" i="57"/>
  <c r="R76" i="57"/>
  <c r="P76" i="57"/>
  <c r="N76" i="57"/>
  <c r="L76" i="57"/>
  <c r="J76" i="57"/>
  <c r="H76" i="57"/>
  <c r="F76" i="57"/>
  <c r="R75" i="57"/>
  <c r="P75" i="57"/>
  <c r="N75" i="57"/>
  <c r="L75" i="57"/>
  <c r="J75" i="57"/>
  <c r="H75" i="57"/>
  <c r="F75" i="57"/>
  <c r="R74" i="57"/>
  <c r="P74" i="57"/>
  <c r="N74" i="57"/>
  <c r="L74" i="57"/>
  <c r="J74" i="57"/>
  <c r="H74" i="57"/>
  <c r="F74" i="57"/>
  <c r="R73" i="57"/>
  <c r="P73" i="57"/>
  <c r="N73" i="57"/>
  <c r="L73" i="57"/>
  <c r="J73" i="57"/>
  <c r="H73" i="57"/>
  <c r="F73" i="57"/>
  <c r="E5681" i="7"/>
  <c r="E5680" i="7"/>
  <c r="E5679" i="7"/>
  <c r="E5708" i="7"/>
  <c r="E5707" i="7"/>
  <c r="E5706" i="7"/>
  <c r="E5705" i="7"/>
  <c r="E5711" i="7"/>
  <c r="E5710" i="7"/>
  <c r="E5709" i="7"/>
  <c r="E5704" i="7" l="1"/>
  <c r="E5703" i="7"/>
  <c r="E5702" i="7"/>
  <c r="E5701" i="7" l="1"/>
  <c r="K5700" i="7"/>
  <c r="L5701" i="7" s="1"/>
  <c r="E5700" i="7"/>
  <c r="E5699" i="7"/>
  <c r="K5698" i="7"/>
  <c r="L5699" i="7" s="1"/>
  <c r="E5698" i="7"/>
  <c r="E5697" i="7"/>
  <c r="E5696" i="7"/>
  <c r="L5695" i="7"/>
  <c r="E5695" i="7"/>
  <c r="E5694" i="7"/>
  <c r="L5693" i="7"/>
  <c r="E5693" i="7"/>
  <c r="E5692" i="7"/>
  <c r="L5691" i="7"/>
  <c r="E5691" i="7"/>
  <c r="E5690" i="7"/>
  <c r="L5689" i="7"/>
  <c r="E5689" i="7"/>
  <c r="E5688" i="7"/>
  <c r="E5687" i="7"/>
  <c r="E5686" i="7"/>
  <c r="E5685" i="7"/>
  <c r="E5684" i="7"/>
  <c r="E5683" i="7"/>
  <c r="E5682" i="7"/>
  <c r="R72" i="57"/>
  <c r="P72" i="57"/>
  <c r="N72" i="57"/>
  <c r="L72" i="57"/>
  <c r="J72" i="57"/>
  <c r="H72" i="57"/>
  <c r="F72" i="57"/>
  <c r="D72" i="57"/>
  <c r="R71" i="57"/>
  <c r="P71" i="57"/>
  <c r="N71" i="57"/>
  <c r="L71" i="57"/>
  <c r="J71" i="57"/>
  <c r="H71" i="57"/>
  <c r="F71" i="57"/>
  <c r="D71" i="57"/>
  <c r="R70" i="57"/>
  <c r="P70" i="57"/>
  <c r="N70" i="57"/>
  <c r="L70" i="57"/>
  <c r="J70" i="57"/>
  <c r="H70" i="57"/>
  <c r="F70" i="57"/>
  <c r="D70" i="57"/>
  <c r="R69" i="57"/>
  <c r="P69" i="57"/>
  <c r="N69" i="57"/>
  <c r="L69" i="57"/>
  <c r="J69" i="57"/>
  <c r="H69" i="57"/>
  <c r="F69" i="57"/>
  <c r="D69" i="57"/>
  <c r="R68" i="57"/>
  <c r="P68" i="57"/>
  <c r="N68" i="57"/>
  <c r="L68" i="57"/>
  <c r="J68" i="57"/>
  <c r="H68" i="57"/>
  <c r="F68" i="57"/>
  <c r="D68" i="57"/>
  <c r="R67" i="57"/>
  <c r="P67" i="57"/>
  <c r="N67" i="57"/>
  <c r="L67" i="57"/>
  <c r="J67" i="57"/>
  <c r="H67" i="57"/>
  <c r="F67" i="57"/>
  <c r="D67" i="57"/>
  <c r="R66" i="57"/>
  <c r="P66" i="57"/>
  <c r="N66" i="57"/>
  <c r="L66" i="57"/>
  <c r="J66" i="57"/>
  <c r="H66" i="57"/>
  <c r="F66" i="57"/>
  <c r="D66" i="57"/>
  <c r="E5661" i="7" l="1"/>
  <c r="E5660" i="7"/>
  <c r="E5659" i="7"/>
  <c r="E5678" i="7" l="1"/>
  <c r="E5677" i="7"/>
  <c r="E5670" i="7"/>
  <c r="E5669" i="7"/>
  <c r="E5668" i="7"/>
  <c r="E5667" i="7"/>
  <c r="E5658" i="7"/>
  <c r="E5657" i="7"/>
  <c r="E5656" i="7"/>
  <c r="E5655" i="7"/>
  <c r="E5654" i="7"/>
  <c r="E5653" i="7"/>
  <c r="E5652" i="7"/>
  <c r="E5650" i="7" l="1"/>
  <c r="E5651" i="7"/>
  <c r="E5649" i="7"/>
  <c r="E5648" i="7"/>
  <c r="E5644" i="7"/>
  <c r="E5643" i="7"/>
  <c r="E5642" i="7"/>
  <c r="E5641" i="7"/>
  <c r="E5676" i="7"/>
  <c r="E5675" i="7"/>
  <c r="E5674" i="7"/>
  <c r="E5673" i="7"/>
  <c r="E5672" i="7"/>
  <c r="E5671" i="7"/>
  <c r="E5663" i="7" l="1"/>
  <c r="E5662" i="7"/>
  <c r="E5666" i="7"/>
  <c r="E5665" i="7"/>
  <c r="E5664" i="7"/>
  <c r="E5647" i="7" l="1"/>
  <c r="E5646" i="7"/>
  <c r="E5645" i="7"/>
  <c r="E5575" i="7"/>
  <c r="E5574" i="7"/>
  <c r="E5573" i="7"/>
  <c r="E5572" i="7"/>
  <c r="E5577" i="7"/>
  <c r="E5576" i="7"/>
  <c r="E5626" i="7"/>
  <c r="E5625" i="7"/>
  <c r="E5640" i="7"/>
  <c r="K5639" i="7"/>
  <c r="L5640" i="7" s="1"/>
  <c r="E5639" i="7"/>
  <c r="E5638" i="7"/>
  <c r="K5637" i="7"/>
  <c r="L5638" i="7" s="1"/>
  <c r="E5637" i="7"/>
  <c r="E5636" i="7"/>
  <c r="E5635" i="7"/>
  <c r="L5634" i="7"/>
  <c r="E5634" i="7"/>
  <c r="E5633" i="7"/>
  <c r="L5632" i="7"/>
  <c r="E5632" i="7"/>
  <c r="E5631" i="7"/>
  <c r="L5630" i="7"/>
  <c r="E5630" i="7"/>
  <c r="E5629" i="7"/>
  <c r="L5628" i="7"/>
  <c r="E5628" i="7"/>
  <c r="E5627" i="7"/>
  <c r="E5624" i="7"/>
  <c r="E5623" i="7"/>
  <c r="E5622" i="7"/>
  <c r="E5621" i="7"/>
  <c r="E5580" i="7"/>
  <c r="E5579" i="7"/>
  <c r="E5578" i="7"/>
  <c r="E5620" i="7"/>
  <c r="E5619" i="7"/>
  <c r="E5618" i="7" l="1"/>
  <c r="E5617" i="7"/>
  <c r="E5608" i="7"/>
  <c r="E5607" i="7"/>
  <c r="E5592" i="7"/>
  <c r="E5591" i="7"/>
  <c r="E5590" i="7"/>
  <c r="E5586" i="7"/>
  <c r="E5585" i="7"/>
  <c r="E5584" i="7"/>
  <c r="E5583" i="7"/>
  <c r="E5582" i="7"/>
  <c r="E5581" i="7"/>
  <c r="E5616" i="7"/>
  <c r="E5615" i="7"/>
  <c r="E5614" i="7"/>
  <c r="E5613" i="7"/>
  <c r="E5612" i="7"/>
  <c r="E5611" i="7"/>
  <c r="E5610" i="7"/>
  <c r="E5609" i="7"/>
  <c r="E5606" i="7" l="1"/>
  <c r="E5605" i="7"/>
  <c r="E5604" i="7"/>
  <c r="E5603" i="7"/>
  <c r="E5602" i="7"/>
  <c r="E5601" i="7"/>
  <c r="E5600" i="7"/>
  <c r="E5599" i="7"/>
  <c r="E5598" i="7"/>
  <c r="E5597" i="7"/>
  <c r="E5596" i="7"/>
  <c r="E5589" i="7"/>
  <c r="E5588" i="7"/>
  <c r="E5587" i="7"/>
  <c r="E5595" i="7"/>
  <c r="E5594" i="7"/>
  <c r="E5593" i="7"/>
  <c r="R65" i="57"/>
  <c r="P65" i="57"/>
  <c r="N65" i="57"/>
  <c r="L65" i="57"/>
  <c r="J65" i="57"/>
  <c r="H65" i="57"/>
  <c r="F65" i="57"/>
  <c r="D65" i="57"/>
  <c r="R64" i="57"/>
  <c r="P64" i="57"/>
  <c r="N64" i="57"/>
  <c r="L64" i="57"/>
  <c r="J64" i="57"/>
  <c r="H64" i="57"/>
  <c r="F64" i="57"/>
  <c r="D64" i="57"/>
  <c r="R63" i="57"/>
  <c r="P63" i="57"/>
  <c r="N63" i="57"/>
  <c r="L63" i="57"/>
  <c r="J63" i="57"/>
  <c r="H63" i="57"/>
  <c r="F63" i="57"/>
  <c r="D63" i="57"/>
  <c r="R62" i="57"/>
  <c r="P62" i="57"/>
  <c r="N62" i="57"/>
  <c r="L62" i="57"/>
  <c r="J62" i="57"/>
  <c r="H62" i="57"/>
  <c r="F62" i="57"/>
  <c r="D62" i="57"/>
  <c r="R61" i="57"/>
  <c r="P61" i="57"/>
  <c r="N61" i="57"/>
  <c r="L61" i="57"/>
  <c r="J61" i="57"/>
  <c r="H61" i="57"/>
  <c r="F61" i="57"/>
  <c r="D61" i="57"/>
  <c r="R60" i="57"/>
  <c r="P60" i="57"/>
  <c r="N60" i="57"/>
  <c r="L60" i="57"/>
  <c r="J60" i="57"/>
  <c r="H60" i="57"/>
  <c r="F60" i="57"/>
  <c r="D60" i="57"/>
  <c r="R59" i="57"/>
  <c r="P59" i="57"/>
  <c r="N59" i="57"/>
  <c r="L59" i="57"/>
  <c r="J59" i="57"/>
  <c r="H59" i="57"/>
  <c r="F59" i="57"/>
  <c r="D59" i="57"/>
  <c r="D52" i="57" l="1"/>
  <c r="D53" i="57"/>
  <c r="D54" i="57"/>
  <c r="D55" i="57"/>
  <c r="D56" i="57"/>
  <c r="D57" i="57"/>
  <c r="D58" i="57"/>
  <c r="F52" i="57"/>
  <c r="F53" i="57"/>
  <c r="F54" i="57"/>
  <c r="F55" i="57"/>
  <c r="F56" i="57"/>
  <c r="F57" i="57"/>
  <c r="F58" i="57"/>
  <c r="R58" i="57"/>
  <c r="P58" i="57"/>
  <c r="N58" i="57"/>
  <c r="L58" i="57"/>
  <c r="J58" i="57"/>
  <c r="H58" i="57"/>
  <c r="R57" i="57"/>
  <c r="P57" i="57"/>
  <c r="N57" i="57"/>
  <c r="L57" i="57"/>
  <c r="J57" i="57"/>
  <c r="H57" i="57"/>
  <c r="R56" i="57"/>
  <c r="P56" i="57"/>
  <c r="N56" i="57"/>
  <c r="L56" i="57"/>
  <c r="J56" i="57"/>
  <c r="H56" i="57"/>
  <c r="R55" i="57"/>
  <c r="P55" i="57"/>
  <c r="N55" i="57"/>
  <c r="L55" i="57"/>
  <c r="J55" i="57"/>
  <c r="H55" i="57"/>
  <c r="R54" i="57"/>
  <c r="P54" i="57"/>
  <c r="N54" i="57"/>
  <c r="L54" i="57"/>
  <c r="J54" i="57"/>
  <c r="H54" i="57"/>
  <c r="R53" i="57"/>
  <c r="P53" i="57"/>
  <c r="N53" i="57"/>
  <c r="L53" i="57"/>
  <c r="J53" i="57"/>
  <c r="H53" i="57"/>
  <c r="R52" i="57"/>
  <c r="P52" i="57"/>
  <c r="N52" i="57"/>
  <c r="L52" i="57"/>
  <c r="J52" i="57"/>
  <c r="H52" i="57"/>
  <c r="E5571" i="7"/>
  <c r="K5570" i="7"/>
  <c r="L5571" i="7" s="1"/>
  <c r="E5570" i="7"/>
  <c r="E5569" i="7"/>
  <c r="K5568" i="7"/>
  <c r="L5569" i="7" s="1"/>
  <c r="E5568" i="7"/>
  <c r="E5567" i="7"/>
  <c r="E5566" i="7"/>
  <c r="L5565" i="7"/>
  <c r="E5565" i="7"/>
  <c r="E5564" i="7"/>
  <c r="L5563" i="7"/>
  <c r="E5563" i="7"/>
  <c r="E5562" i="7"/>
  <c r="L5561" i="7"/>
  <c r="E5561" i="7"/>
  <c r="E5560" i="7"/>
  <c r="L5559" i="7"/>
  <c r="E5559" i="7"/>
  <c r="E5558" i="7"/>
  <c r="E5557" i="7"/>
  <c r="E5556" i="7"/>
  <c r="E5555" i="7"/>
  <c r="E5554" i="7"/>
  <c r="E5553" i="7"/>
  <c r="E5552" i="7"/>
  <c r="E5551" i="7"/>
  <c r="E5542" i="7"/>
  <c r="E5541" i="7"/>
  <c r="E5540" i="7"/>
  <c r="E5539" i="7"/>
  <c r="E5538" i="7"/>
  <c r="E5550" i="7"/>
  <c r="E5549" i="7"/>
  <c r="E5548" i="7"/>
  <c r="E5537" i="7" l="1"/>
  <c r="E5536" i="7"/>
  <c r="E5535" i="7"/>
  <c r="E5534" i="7"/>
  <c r="E5533" i="7"/>
  <c r="E5532" i="7"/>
  <c r="E5547" i="7"/>
  <c r="E5546" i="7"/>
  <c r="E5545" i="7"/>
  <c r="E5544" i="7" l="1"/>
  <c r="E5543" i="7"/>
  <c r="E5531" i="7"/>
  <c r="E5530" i="7"/>
  <c r="E5529" i="7"/>
  <c r="E5510" i="7" l="1"/>
  <c r="E5509" i="7"/>
  <c r="E5508" i="7"/>
  <c r="E5507" i="7"/>
  <c r="E5506" i="7"/>
  <c r="E5505" i="7"/>
  <c r="E5504" i="7"/>
  <c r="E5503" i="7" l="1"/>
  <c r="E5502" i="7"/>
  <c r="E5501" i="7"/>
  <c r="E5500" i="7"/>
  <c r="E5499" i="7"/>
  <c r="E5498" i="7"/>
  <c r="E5528" i="7" l="1"/>
  <c r="K5527" i="7"/>
  <c r="L5528" i="7" s="1"/>
  <c r="E5527" i="7"/>
  <c r="E5526" i="7"/>
  <c r="K5525" i="7"/>
  <c r="L5526" i="7" s="1"/>
  <c r="E5525" i="7"/>
  <c r="E5524" i="7"/>
  <c r="E5523" i="7"/>
  <c r="L5522" i="7"/>
  <c r="E5522" i="7"/>
  <c r="E5521" i="7"/>
  <c r="L5520" i="7"/>
  <c r="E5520" i="7"/>
  <c r="E5519" i="7"/>
  <c r="L5518" i="7"/>
  <c r="E5518" i="7"/>
  <c r="E5517" i="7"/>
  <c r="L5516" i="7"/>
  <c r="E5516" i="7"/>
  <c r="E5515" i="7"/>
  <c r="E5514" i="7"/>
  <c r="E5513" i="7"/>
  <c r="E5512" i="7"/>
  <c r="E5511" i="7"/>
  <c r="E5483" i="7"/>
  <c r="E5482" i="7"/>
  <c r="E5481" i="7"/>
  <c r="E5497" i="7" l="1"/>
  <c r="E5496" i="7"/>
  <c r="E5495" i="7"/>
  <c r="E5494" i="7"/>
  <c r="E5493" i="7"/>
  <c r="E5492" i="7"/>
  <c r="E5491" i="7"/>
  <c r="E5490" i="7" l="1"/>
  <c r="E5489" i="7"/>
  <c r="E5480" i="7"/>
  <c r="E5479" i="7"/>
  <c r="E5457" i="7"/>
  <c r="E5456" i="7"/>
  <c r="E5455" i="7"/>
  <c r="E5454" i="7"/>
  <c r="E5464" i="7"/>
  <c r="E5463" i="7"/>
  <c r="E5488" i="7"/>
  <c r="E5487" i="7"/>
  <c r="E5486" i="7"/>
  <c r="E5485" i="7"/>
  <c r="E5484" i="7"/>
  <c r="E5478" i="7"/>
  <c r="E5477" i="7"/>
  <c r="E5476" i="7"/>
  <c r="E5475" i="7"/>
  <c r="E5474" i="7"/>
  <c r="E5469" i="7"/>
  <c r="E5468" i="7"/>
  <c r="E5467" i="7"/>
  <c r="E5466" i="7"/>
  <c r="E5465" i="7"/>
  <c r="E5462" i="7"/>
  <c r="E5461" i="7"/>
  <c r="E5460" i="7"/>
  <c r="E5459" i="7"/>
  <c r="E5458" i="7"/>
  <c r="H45" i="57" l="1"/>
  <c r="H46" i="57"/>
  <c r="H47" i="57"/>
  <c r="H48" i="57"/>
  <c r="H49" i="57"/>
  <c r="H50" i="57"/>
  <c r="H51" i="57"/>
  <c r="F45" i="57"/>
  <c r="F46" i="57"/>
  <c r="F47" i="57"/>
  <c r="F48" i="57"/>
  <c r="F49" i="57"/>
  <c r="F50" i="57"/>
  <c r="F51" i="57"/>
  <c r="D45" i="57"/>
  <c r="D46" i="57"/>
  <c r="D47" i="57"/>
  <c r="D48" i="57"/>
  <c r="D49" i="57"/>
  <c r="D50" i="57"/>
  <c r="D51" i="57"/>
  <c r="J45" i="57"/>
  <c r="J46" i="57"/>
  <c r="J47" i="57"/>
  <c r="J48" i="57"/>
  <c r="J49" i="57"/>
  <c r="J50" i="57"/>
  <c r="J51" i="57"/>
  <c r="L45" i="57"/>
  <c r="N45" i="57"/>
  <c r="P45" i="57"/>
  <c r="R45" i="57"/>
  <c r="L46" i="57"/>
  <c r="N46" i="57"/>
  <c r="P46" i="57"/>
  <c r="R46" i="57"/>
  <c r="L47" i="57"/>
  <c r="N47" i="57"/>
  <c r="P47" i="57"/>
  <c r="R47" i="57"/>
  <c r="L48" i="57"/>
  <c r="N48" i="57"/>
  <c r="P48" i="57"/>
  <c r="R48" i="57"/>
  <c r="L49" i="57"/>
  <c r="N49" i="57"/>
  <c r="P49" i="57"/>
  <c r="R49" i="57"/>
  <c r="L50" i="57"/>
  <c r="N50" i="57"/>
  <c r="P50" i="57"/>
  <c r="R50" i="57"/>
  <c r="L51" i="57"/>
  <c r="N51" i="57"/>
  <c r="P51" i="57"/>
  <c r="R51" i="57"/>
  <c r="E5435" i="7"/>
  <c r="E5434" i="7"/>
  <c r="E5433" i="7"/>
  <c r="E5432" i="7"/>
  <c r="E5431" i="7"/>
  <c r="E5430" i="7"/>
  <c r="E5429" i="7"/>
  <c r="E5428" i="7"/>
  <c r="E5427" i="7"/>
  <c r="E5426" i="7"/>
  <c r="E5425" i="7"/>
  <c r="E5424" i="7" l="1"/>
  <c r="E5423" i="7"/>
  <c r="E5422" i="7"/>
  <c r="E5421" i="7"/>
  <c r="E5420" i="7" l="1"/>
  <c r="E5419" i="7"/>
  <c r="E5418" i="7"/>
  <c r="E5417" i="7"/>
  <c r="E5416" i="7"/>
  <c r="E5410" i="7" l="1"/>
  <c r="E5409" i="7"/>
  <c r="E5408" i="7"/>
  <c r="E5407" i="7"/>
  <c r="E5406" i="7"/>
  <c r="F38" i="57" l="1"/>
  <c r="F39" i="57"/>
  <c r="F40" i="57"/>
  <c r="F41" i="57"/>
  <c r="F42" i="57"/>
  <c r="F43" i="57"/>
  <c r="F44" i="57"/>
  <c r="D38" i="57"/>
  <c r="D39" i="57"/>
  <c r="D40" i="57"/>
  <c r="D41" i="57"/>
  <c r="D42" i="57"/>
  <c r="D43" i="57"/>
  <c r="D44" i="57"/>
  <c r="H38" i="57"/>
  <c r="J38" i="57"/>
  <c r="L38" i="57"/>
  <c r="N38" i="57"/>
  <c r="P38" i="57"/>
  <c r="R38" i="57"/>
  <c r="H39" i="57"/>
  <c r="J39" i="57"/>
  <c r="L39" i="57"/>
  <c r="N39" i="57"/>
  <c r="P39" i="57"/>
  <c r="R39" i="57"/>
  <c r="H40" i="57"/>
  <c r="J40" i="57"/>
  <c r="L40" i="57"/>
  <c r="N40" i="57"/>
  <c r="P40" i="57"/>
  <c r="R40" i="57"/>
  <c r="H41" i="57"/>
  <c r="J41" i="57"/>
  <c r="L41" i="57"/>
  <c r="N41" i="57"/>
  <c r="P41" i="57"/>
  <c r="R41" i="57"/>
  <c r="H42" i="57"/>
  <c r="J42" i="57"/>
  <c r="L42" i="57"/>
  <c r="N42" i="57"/>
  <c r="P42" i="57"/>
  <c r="R42" i="57"/>
  <c r="H43" i="57"/>
  <c r="J43" i="57"/>
  <c r="L43" i="57"/>
  <c r="N43" i="57"/>
  <c r="P43" i="57"/>
  <c r="R43" i="57"/>
  <c r="H44" i="57"/>
  <c r="J44" i="57"/>
  <c r="L44" i="57"/>
  <c r="N44" i="57"/>
  <c r="P44" i="57"/>
  <c r="R44" i="57"/>
  <c r="E5453" i="7"/>
  <c r="K5452" i="7"/>
  <c r="L5453" i="7" s="1"/>
  <c r="E5452" i="7"/>
  <c r="E5451" i="7"/>
  <c r="K5450" i="7"/>
  <c r="L5451" i="7" s="1"/>
  <c r="E5450" i="7"/>
  <c r="E5449" i="7"/>
  <c r="E5448" i="7"/>
  <c r="L5447" i="7"/>
  <c r="E5447" i="7"/>
  <c r="E5446" i="7"/>
  <c r="L5445" i="7"/>
  <c r="E5445" i="7"/>
  <c r="E5444" i="7"/>
  <c r="L5443" i="7"/>
  <c r="E5443" i="7"/>
  <c r="E5442" i="7"/>
  <c r="L5441" i="7"/>
  <c r="E5441" i="7"/>
  <c r="E5440" i="7"/>
  <c r="E5439" i="7"/>
  <c r="E5438" i="7"/>
  <c r="E5437" i="7"/>
  <c r="E5436" i="7"/>
  <c r="E5415" i="7"/>
  <c r="E5414" i="7"/>
  <c r="E5413" i="7"/>
  <c r="E5412" i="7"/>
  <c r="E5411" i="7"/>
  <c r="L5393" i="7" l="1"/>
  <c r="E5393" i="7"/>
  <c r="E5392" i="7"/>
  <c r="R5" i="57"/>
  <c r="R6" i="57"/>
  <c r="R7" i="57"/>
  <c r="R8" i="57"/>
  <c r="R9" i="57"/>
  <c r="R10" i="57"/>
  <c r="R11" i="57"/>
  <c r="R12" i="57"/>
  <c r="R13" i="57"/>
  <c r="R14" i="57"/>
  <c r="R15" i="57"/>
  <c r="R16" i="57"/>
  <c r="R17" i="57"/>
  <c r="R18" i="57"/>
  <c r="R19" i="57"/>
  <c r="R20" i="57"/>
  <c r="R21" i="57"/>
  <c r="R22" i="57"/>
  <c r="R23" i="57"/>
  <c r="R24" i="57"/>
  <c r="R25" i="57"/>
  <c r="R26" i="57"/>
  <c r="R27" i="57"/>
  <c r="R28" i="57"/>
  <c r="R29" i="57"/>
  <c r="R30" i="57"/>
  <c r="R31" i="57"/>
  <c r="R32" i="57"/>
  <c r="R33" i="57"/>
  <c r="R34" i="57"/>
  <c r="R35" i="57"/>
  <c r="R36" i="57"/>
  <c r="R37" i="57"/>
  <c r="R4" i="57"/>
  <c r="P5" i="57"/>
  <c r="P6" i="57"/>
  <c r="P7" i="57"/>
  <c r="P8" i="57"/>
  <c r="P9" i="57"/>
  <c r="P10" i="57"/>
  <c r="P11" i="57"/>
  <c r="P12" i="57"/>
  <c r="P13" i="57"/>
  <c r="P14" i="57"/>
  <c r="P15" i="57"/>
  <c r="P16" i="57"/>
  <c r="P17" i="57"/>
  <c r="P18" i="57"/>
  <c r="P19" i="57"/>
  <c r="P20" i="57"/>
  <c r="P21" i="57"/>
  <c r="P22" i="57"/>
  <c r="P23" i="57"/>
  <c r="P24" i="57"/>
  <c r="P25" i="57"/>
  <c r="P26" i="57"/>
  <c r="P27" i="57"/>
  <c r="P28" i="57"/>
  <c r="P29" i="57"/>
  <c r="P30" i="57"/>
  <c r="P31" i="57"/>
  <c r="P32" i="57"/>
  <c r="P33" i="57"/>
  <c r="P34" i="57"/>
  <c r="P35" i="57"/>
  <c r="P36" i="57"/>
  <c r="P37" i="57"/>
  <c r="P4" i="57"/>
  <c r="N5" i="57"/>
  <c r="N6" i="57"/>
  <c r="N7" i="57"/>
  <c r="N8" i="57"/>
  <c r="N9" i="57"/>
  <c r="N10" i="57"/>
  <c r="N11" i="57"/>
  <c r="N12" i="57"/>
  <c r="N13" i="57"/>
  <c r="N14" i="57"/>
  <c r="N15" i="57"/>
  <c r="N16" i="57"/>
  <c r="N17" i="57"/>
  <c r="N18" i="57"/>
  <c r="N19" i="57"/>
  <c r="N20" i="57"/>
  <c r="N21" i="57"/>
  <c r="N22" i="57"/>
  <c r="N23" i="57"/>
  <c r="N24" i="57"/>
  <c r="N25" i="57"/>
  <c r="N26" i="57"/>
  <c r="N27" i="57"/>
  <c r="N28" i="57"/>
  <c r="N29" i="57"/>
  <c r="N30" i="57"/>
  <c r="N31" i="57"/>
  <c r="N32" i="57"/>
  <c r="N33" i="57"/>
  <c r="N34" i="57"/>
  <c r="N35" i="57"/>
  <c r="N36" i="57"/>
  <c r="N37" i="57"/>
  <c r="N4" i="57"/>
  <c r="L5" i="57"/>
  <c r="L6" i="57"/>
  <c r="L7" i="57"/>
  <c r="L8" i="57"/>
  <c r="L9" i="57"/>
  <c r="L10" i="57"/>
  <c r="L11" i="57"/>
  <c r="L12" i="57"/>
  <c r="L13" i="57"/>
  <c r="L14" i="57"/>
  <c r="L15" i="57"/>
  <c r="L16" i="57"/>
  <c r="L17" i="57"/>
  <c r="L18" i="57"/>
  <c r="L19" i="57"/>
  <c r="L20" i="57"/>
  <c r="L21" i="57"/>
  <c r="L22" i="57"/>
  <c r="L23" i="57"/>
  <c r="L24" i="57"/>
  <c r="L25" i="57"/>
  <c r="L26" i="57"/>
  <c r="L27" i="57"/>
  <c r="L28" i="57"/>
  <c r="L29" i="57"/>
  <c r="L30" i="57"/>
  <c r="L31" i="57"/>
  <c r="L32" i="57"/>
  <c r="L33" i="57"/>
  <c r="L34" i="57"/>
  <c r="L35" i="57"/>
  <c r="L36" i="57"/>
  <c r="L37" i="57"/>
  <c r="L4" i="57"/>
  <c r="J5" i="57"/>
  <c r="J6" i="57"/>
  <c r="J7" i="57"/>
  <c r="J8" i="57"/>
  <c r="J9" i="57"/>
  <c r="J10" i="57"/>
  <c r="J11" i="57"/>
  <c r="J12" i="57"/>
  <c r="J13" i="57"/>
  <c r="J14" i="57"/>
  <c r="J15" i="57"/>
  <c r="J16" i="57"/>
  <c r="J17" i="57"/>
  <c r="J18" i="57"/>
  <c r="J19" i="57"/>
  <c r="J20" i="57"/>
  <c r="J21" i="57"/>
  <c r="J22" i="57"/>
  <c r="J23" i="57"/>
  <c r="J24" i="57"/>
  <c r="J25" i="57"/>
  <c r="J26" i="57"/>
  <c r="J27" i="57"/>
  <c r="J28" i="57"/>
  <c r="J29" i="57"/>
  <c r="J30" i="57"/>
  <c r="J31" i="57"/>
  <c r="J32" i="57"/>
  <c r="J33" i="57"/>
  <c r="J34" i="57"/>
  <c r="J35" i="57"/>
  <c r="J36" i="57"/>
  <c r="J37" i="57"/>
  <c r="J4" i="57"/>
  <c r="H5" i="57"/>
  <c r="H6" i="57"/>
  <c r="H7" i="57"/>
  <c r="H8" i="57"/>
  <c r="H9" i="57"/>
  <c r="H10" i="57"/>
  <c r="H11" i="57"/>
  <c r="H12" i="57"/>
  <c r="H13" i="57"/>
  <c r="H14" i="57"/>
  <c r="H15" i="57"/>
  <c r="H16" i="57"/>
  <c r="H17" i="57"/>
  <c r="H18" i="57"/>
  <c r="H19" i="57"/>
  <c r="H20" i="57"/>
  <c r="H21" i="57"/>
  <c r="H22" i="57"/>
  <c r="H23" i="57"/>
  <c r="H24" i="57"/>
  <c r="H25" i="57"/>
  <c r="H26" i="57"/>
  <c r="H27" i="57"/>
  <c r="H28" i="57"/>
  <c r="H29" i="57"/>
  <c r="H30" i="57"/>
  <c r="H31" i="57"/>
  <c r="H32" i="57"/>
  <c r="H33" i="57"/>
  <c r="H34" i="57"/>
  <c r="H35" i="57"/>
  <c r="H36" i="57"/>
  <c r="H37" i="57"/>
  <c r="H4" i="57"/>
  <c r="F5" i="57"/>
  <c r="F6" i="57"/>
  <c r="F7" i="57"/>
  <c r="F8" i="57"/>
  <c r="F9" i="57"/>
  <c r="F10" i="57"/>
  <c r="F11" i="57"/>
  <c r="F12" i="57"/>
  <c r="F13" i="57"/>
  <c r="F14" i="57"/>
  <c r="F15" i="57"/>
  <c r="F16" i="57"/>
  <c r="F17" i="57"/>
  <c r="F18" i="57"/>
  <c r="F19" i="57"/>
  <c r="F20" i="57"/>
  <c r="F21" i="57"/>
  <c r="F22" i="57"/>
  <c r="F23" i="57"/>
  <c r="F24" i="57"/>
  <c r="F25" i="57"/>
  <c r="F26" i="57"/>
  <c r="F27" i="57"/>
  <c r="F28" i="57"/>
  <c r="F29" i="57"/>
  <c r="F30" i="57"/>
  <c r="F31" i="57"/>
  <c r="F32" i="57"/>
  <c r="F33" i="57"/>
  <c r="F34" i="57"/>
  <c r="F35" i="57"/>
  <c r="F36" i="57"/>
  <c r="F37" i="57"/>
  <c r="F4" i="57"/>
  <c r="D5" i="57"/>
  <c r="D6" i="57"/>
  <c r="D7" i="57"/>
  <c r="D8" i="57"/>
  <c r="D9" i="57"/>
  <c r="D10" i="57"/>
  <c r="D11" i="57"/>
  <c r="D12" i="57"/>
  <c r="D13" i="57"/>
  <c r="D14" i="57"/>
  <c r="D15" i="57"/>
  <c r="D16" i="57"/>
  <c r="D17" i="57"/>
  <c r="D18" i="57"/>
  <c r="D19" i="57"/>
  <c r="D20" i="57"/>
  <c r="D21" i="57"/>
  <c r="D22" i="57"/>
  <c r="D23" i="57"/>
  <c r="D24" i="57"/>
  <c r="D25" i="57"/>
  <c r="D26" i="57"/>
  <c r="D27" i="57"/>
  <c r="D28" i="57"/>
  <c r="D29" i="57"/>
  <c r="D30" i="57"/>
  <c r="D31" i="57"/>
  <c r="D32" i="57"/>
  <c r="D33" i="57"/>
  <c r="D34" i="57"/>
  <c r="D35" i="57"/>
  <c r="D36" i="57"/>
  <c r="D37" i="57"/>
  <c r="D4" i="57"/>
  <c r="B5" i="57" l="1"/>
  <c r="B6" i="57" s="1"/>
  <c r="B7" i="57" s="1"/>
  <c r="B8" i="57" s="1"/>
  <c r="B9" i="57" s="1"/>
  <c r="B10" i="57" s="1"/>
  <c r="B11" i="57" s="1"/>
  <c r="B12" i="57" s="1"/>
  <c r="B13" i="57" s="1"/>
  <c r="B14" i="57" s="1"/>
  <c r="B15" i="57" s="1"/>
  <c r="B16" i="57" s="1"/>
  <c r="B17" i="57" s="1"/>
  <c r="B18" i="57" s="1"/>
  <c r="B19" i="57" s="1"/>
  <c r="B20" i="57" s="1"/>
  <c r="B21" i="57" s="1"/>
  <c r="B22" i="57" s="1"/>
  <c r="B23" i="57" s="1"/>
  <c r="B24" i="57" s="1"/>
  <c r="B25" i="57" s="1"/>
  <c r="B26" i="57" s="1"/>
  <c r="B27" i="57" s="1"/>
  <c r="B28" i="57" s="1"/>
  <c r="B29" i="57" s="1"/>
  <c r="B30" i="57" s="1"/>
  <c r="B31" i="57" s="1"/>
  <c r="B32" i="57" s="1"/>
  <c r="B33" i="57" s="1"/>
  <c r="B34" i="57" s="1"/>
  <c r="B35" i="57" s="1"/>
  <c r="B36" i="57" s="1"/>
  <c r="B37" i="57" s="1"/>
  <c r="B38" i="57" s="1"/>
  <c r="B39" i="57" s="1"/>
  <c r="B40" i="57" s="1"/>
  <c r="B41" i="57" s="1"/>
  <c r="B42" i="57" s="1"/>
  <c r="B43" i="57" s="1"/>
  <c r="B44" i="57" s="1"/>
  <c r="B45" i="57" s="1"/>
  <c r="B46" i="57" s="1"/>
  <c r="B47" i="57" s="1"/>
  <c r="B48" i="57" s="1"/>
  <c r="B49" i="57" s="1"/>
  <c r="B50" i="57" s="1"/>
  <c r="B51" i="57" s="1"/>
  <c r="B52" i="57" s="1"/>
  <c r="B53" i="57" s="1"/>
  <c r="B54" i="57" s="1"/>
  <c r="B55" i="57" s="1"/>
  <c r="B56" i="57" s="1"/>
  <c r="B57" i="57" s="1"/>
  <c r="B58" i="57" s="1"/>
  <c r="B59" i="57" s="1"/>
  <c r="B60" i="57" s="1"/>
  <c r="B61" i="57" s="1"/>
  <c r="B62" i="57" s="1"/>
  <c r="B63" i="57" s="1"/>
  <c r="B64" i="57" s="1"/>
  <c r="B65" i="57" s="1"/>
  <c r="B66" i="57" s="1"/>
  <c r="B67" i="57" s="1"/>
  <c r="B68" i="57" s="1"/>
  <c r="B69" i="57" s="1"/>
  <c r="B70" i="57" s="1"/>
  <c r="B71" i="57" s="1"/>
  <c r="B72" i="57" s="1"/>
  <c r="B73" i="57" s="1"/>
  <c r="B74" i="57" s="1"/>
  <c r="B75" i="57" s="1"/>
  <c r="B76" i="57" s="1"/>
  <c r="B77" i="57" s="1"/>
  <c r="B78" i="57" s="1"/>
  <c r="B79" i="57" s="1"/>
  <c r="B80" i="57" s="1"/>
  <c r="B81" i="57" s="1"/>
  <c r="B82" i="57" s="1"/>
  <c r="B83" i="57" s="1"/>
  <c r="B84" i="57" s="1"/>
  <c r="B85" i="57" s="1"/>
  <c r="B86" i="57" s="1"/>
  <c r="B87" i="57" s="1"/>
  <c r="B88" i="57" s="1"/>
  <c r="B89" i="57" s="1"/>
  <c r="B90" i="57" s="1"/>
  <c r="B91" i="57" s="1"/>
  <c r="B92" i="57" s="1"/>
  <c r="B93" i="57" s="1"/>
  <c r="B94" i="57" s="1"/>
  <c r="B95" i="57" s="1"/>
  <c r="B96" i="57" s="1"/>
  <c r="B97" i="57" s="1"/>
  <c r="B98" i="57" s="1"/>
  <c r="B99" i="57" s="1"/>
  <c r="B100" i="57" s="1"/>
  <c r="B101" i="57" s="1"/>
  <c r="B102" i="57" s="1"/>
  <c r="B103" i="57" s="1"/>
  <c r="B104" i="57" s="1"/>
  <c r="B105" i="57" s="1"/>
  <c r="B106" i="57" s="1"/>
  <c r="B107" i="57" s="1"/>
  <c r="B108" i="57" s="1"/>
  <c r="B109" i="57" s="1"/>
  <c r="B110" i="57" s="1"/>
  <c r="B111" i="57" s="1"/>
  <c r="B112" i="57" s="1"/>
  <c r="B113" i="57" s="1"/>
  <c r="B114" i="57" s="1"/>
  <c r="B115" i="57" s="1"/>
  <c r="B116" i="57" s="1"/>
  <c r="B117" i="57" s="1"/>
  <c r="B118" i="57" s="1"/>
  <c r="B119" i="57" s="1"/>
  <c r="B120" i="57" s="1"/>
  <c r="B121" i="57" s="1"/>
  <c r="B122" i="57" s="1"/>
  <c r="B123" i="57" s="1"/>
  <c r="B124" i="57" s="1"/>
  <c r="B125" i="57" s="1"/>
  <c r="B126" i="57" s="1"/>
  <c r="B127" i="57" s="1"/>
  <c r="B128" i="57" s="1"/>
  <c r="B129" i="57" s="1"/>
  <c r="B130" i="57" s="1"/>
  <c r="B131" i="57" s="1"/>
  <c r="B132" i="57" s="1"/>
  <c r="B133" i="57" s="1"/>
  <c r="B134" i="57" s="1"/>
  <c r="B135" i="57" s="1"/>
  <c r="B136" i="57" s="1"/>
  <c r="B137" i="57" s="1"/>
  <c r="B138" i="57" s="1"/>
  <c r="B139" i="57" s="1"/>
  <c r="B140" i="57" s="1"/>
  <c r="B141" i="57" s="1"/>
  <c r="B142" i="57" s="1"/>
  <c r="B143" i="57" s="1"/>
  <c r="B144" i="57" s="1"/>
  <c r="B145" i="57" s="1"/>
  <c r="B146" i="57" s="1"/>
  <c r="B147" i="57" s="1"/>
  <c r="B148" i="57" s="1"/>
  <c r="B149" i="57" s="1"/>
  <c r="B150" i="57" s="1"/>
  <c r="B151" i="57" s="1"/>
  <c r="B152" i="57" s="1"/>
  <c r="B153" i="57" s="1"/>
  <c r="B154" i="57" s="1"/>
  <c r="B155" i="57" s="1"/>
  <c r="B156" i="57" s="1"/>
  <c r="B157" i="57" s="1"/>
  <c r="B158" i="57" s="1"/>
  <c r="B159" i="57" s="1"/>
  <c r="B160" i="57" s="1"/>
  <c r="B161" i="57" s="1"/>
  <c r="B162" i="57" s="1"/>
  <c r="B163" i="57" s="1"/>
  <c r="B164" i="57" s="1"/>
  <c r="B165" i="57" s="1"/>
  <c r="B166" i="57" s="1"/>
  <c r="B167" i="57" s="1"/>
  <c r="B168" i="57" s="1"/>
  <c r="B169" i="57" s="1"/>
  <c r="B170" i="57" s="1"/>
  <c r="B171" i="57" s="1"/>
  <c r="B172" i="57" s="1"/>
  <c r="B173" i="57" s="1"/>
  <c r="B174" i="57" s="1"/>
  <c r="B175" i="57" s="1"/>
  <c r="B176" i="57" s="1"/>
  <c r="B177" i="57" s="1"/>
  <c r="B178" i="57" s="1"/>
  <c r="B179" i="57" s="1"/>
  <c r="B180" i="57" s="1"/>
  <c r="B181" i="57" s="1"/>
  <c r="B182" i="57" s="1"/>
  <c r="B183" i="57" s="1"/>
  <c r="B184" i="57" s="1"/>
  <c r="A2" i="57"/>
  <c r="E5405" i="7"/>
  <c r="K5404" i="7"/>
  <c r="L5405" i="7" s="1"/>
  <c r="E5404" i="7"/>
  <c r="E5403" i="7"/>
  <c r="K5402" i="7"/>
  <c r="L5403" i="7" s="1"/>
  <c r="E5402" i="7"/>
  <c r="E5401" i="7"/>
  <c r="E5400" i="7"/>
  <c r="L5399" i="7"/>
  <c r="E5399" i="7"/>
  <c r="E5398" i="7"/>
  <c r="L5397" i="7"/>
  <c r="E5397" i="7"/>
  <c r="E5396" i="7"/>
  <c r="L5395" i="7"/>
  <c r="E5395" i="7"/>
  <c r="E5394" i="7"/>
  <c r="E5391" i="7"/>
  <c r="E5390" i="7"/>
  <c r="E5389" i="7"/>
  <c r="E5388" i="7"/>
  <c r="E5347" i="7"/>
  <c r="E5346" i="7"/>
  <c r="E5345" i="7"/>
  <c r="E5377" i="7" l="1"/>
  <c r="E5378" i="7"/>
  <c r="E5379" i="7"/>
  <c r="E5380" i="7"/>
  <c r="E5381" i="7"/>
  <c r="E5382" i="7"/>
  <c r="E5383" i="7"/>
  <c r="E5369" i="7"/>
  <c r="E5368" i="7"/>
  <c r="E5367" i="7"/>
  <c r="E5384" i="7"/>
  <c r="E5365" i="7"/>
  <c r="E5366" i="7"/>
  <c r="E5364" i="7"/>
  <c r="E5363" i="7"/>
  <c r="E5362" i="7"/>
  <c r="E5361" i="7"/>
  <c r="E5360" i="7"/>
  <c r="E5359" i="7"/>
  <c r="E5358" i="7"/>
  <c r="E5355" i="7"/>
  <c r="E5354" i="7"/>
  <c r="E5357" i="7"/>
  <c r="E5356" i="7"/>
  <c r="E5387" i="7"/>
  <c r="E5386" i="7"/>
  <c r="E5385" i="7"/>
  <c r="E5376" i="7"/>
  <c r="E5375" i="7"/>
  <c r="E5374" i="7"/>
  <c r="E5373" i="7" l="1"/>
  <c r="E5372" i="7"/>
  <c r="E5371" i="7"/>
  <c r="E5370" i="7"/>
  <c r="E5353" i="7"/>
  <c r="E5352" i="7"/>
  <c r="E5351" i="7"/>
  <c r="E5350" i="7"/>
  <c r="E5349" i="7"/>
  <c r="E5348" i="7"/>
  <c r="K5343" i="7" l="1"/>
  <c r="L5344" i="7" s="1"/>
  <c r="E5344" i="7"/>
  <c r="E5343" i="7"/>
  <c r="E5342" i="7"/>
  <c r="E5341" i="7"/>
  <c r="E5340" i="7"/>
  <c r="E5339" i="7"/>
  <c r="L5338" i="7"/>
  <c r="E5338" i="7"/>
  <c r="E5337" i="7"/>
  <c r="L5336" i="7"/>
  <c r="E5336" i="7"/>
  <c r="E5335" i="7"/>
  <c r="L5334" i="7"/>
  <c r="E5334" i="7"/>
  <c r="E5333" i="7"/>
  <c r="E5332" i="7"/>
  <c r="E5331" i="7"/>
  <c r="E5330" i="7"/>
  <c r="E5329" i="7"/>
  <c r="E5328" i="7"/>
  <c r="E5327" i="7"/>
  <c r="E5326" i="7"/>
  <c r="E5325" i="7"/>
  <c r="E5324" i="7"/>
  <c r="E5323" i="7"/>
  <c r="E5322" i="7"/>
  <c r="E5321" i="7"/>
  <c r="E5320" i="7"/>
  <c r="E5319" i="7"/>
  <c r="E5318" i="7"/>
  <c r="E5317" i="7"/>
  <c r="E5297" i="7"/>
  <c r="E5296" i="7"/>
  <c r="E5295" i="7"/>
  <c r="E5316" i="7" l="1"/>
  <c r="E5315" i="7"/>
  <c r="E5314" i="7"/>
  <c r="E5313" i="7" l="1"/>
  <c r="K5312" i="7"/>
  <c r="L5313" i="7" s="1"/>
  <c r="E5312" i="7"/>
  <c r="E5311" i="7"/>
  <c r="K5310" i="7"/>
  <c r="L5311" i="7" s="1"/>
  <c r="E5310" i="7"/>
  <c r="E5309" i="7"/>
  <c r="E5308" i="7"/>
  <c r="L5307" i="7"/>
  <c r="E5307" i="7"/>
  <c r="E5306" i="7"/>
  <c r="L5305" i="7"/>
  <c r="E5305" i="7"/>
  <c r="E5304" i="7"/>
  <c r="L5303" i="7"/>
  <c r="E5303" i="7"/>
  <c r="E5302" i="7"/>
  <c r="E5301" i="7"/>
  <c r="E5300" i="7"/>
  <c r="E5299" i="7"/>
  <c r="E5298" i="7"/>
  <c r="E5285" i="7" l="1"/>
  <c r="E5284" i="7"/>
  <c r="E5283" i="7"/>
  <c r="E5282" i="7"/>
  <c r="E5281" i="7"/>
  <c r="E5280" i="7"/>
  <c r="E5279" i="7"/>
  <c r="E5278" i="7"/>
  <c r="E5277" i="7"/>
  <c r="E5294" i="7"/>
  <c r="E5293" i="7"/>
  <c r="E5292" i="7"/>
  <c r="E5291" i="7"/>
  <c r="E5290" i="7"/>
  <c r="E5289" i="7"/>
  <c r="E5288" i="7"/>
  <c r="E5287" i="7"/>
  <c r="E5286" i="7"/>
  <c r="E5264" i="7" l="1"/>
  <c r="E5263" i="7"/>
  <c r="E5222" i="7"/>
  <c r="E5221" i="7"/>
  <c r="E5276" i="7" l="1"/>
  <c r="K5275" i="7"/>
  <c r="L5276" i="7" s="1"/>
  <c r="E5275" i="7"/>
  <c r="E5274" i="7"/>
  <c r="K5273" i="7"/>
  <c r="L5274" i="7" s="1"/>
  <c r="E5273" i="7"/>
  <c r="E5272" i="7"/>
  <c r="E5271" i="7"/>
  <c r="L5270" i="7"/>
  <c r="E5270" i="7"/>
  <c r="E5269" i="7"/>
  <c r="L5268" i="7"/>
  <c r="E5268" i="7"/>
  <c r="E5267" i="7"/>
  <c r="L5266" i="7"/>
  <c r="E5266" i="7"/>
  <c r="E5265" i="7"/>
  <c r="E5262" i="7"/>
  <c r="E5261" i="7"/>
  <c r="E5260" i="7"/>
  <c r="E5259" i="7"/>
  <c r="E5258" i="7"/>
  <c r="E5257" i="7"/>
  <c r="E5256" i="7"/>
  <c r="E5255" i="7"/>
  <c r="E5247" i="7"/>
  <c r="E5246" i="7"/>
  <c r="E5245" i="7"/>
  <c r="E5244" i="7"/>
  <c r="E5243" i="7"/>
  <c r="E5242" i="7"/>
  <c r="E5241" i="7"/>
  <c r="E5240" i="7"/>
  <c r="E5254" i="7" l="1"/>
  <c r="E5253" i="7"/>
  <c r="E5252" i="7"/>
  <c r="E5251" i="7" l="1"/>
  <c r="E5250" i="7"/>
  <c r="E5249" i="7"/>
  <c r="E5248" i="7"/>
  <c r="E5239" i="7"/>
  <c r="E5238" i="7"/>
  <c r="E5237" i="7"/>
  <c r="E5236" i="7"/>
  <c r="E5235" i="7"/>
  <c r="E5234" i="7"/>
  <c r="K5233" i="7"/>
  <c r="L5234" i="7" s="1"/>
  <c r="E5233" i="7"/>
  <c r="E5232" i="7"/>
  <c r="K5231" i="7"/>
  <c r="L5232" i="7" s="1"/>
  <c r="E5231" i="7"/>
  <c r="E5230" i="7"/>
  <c r="E5229" i="7"/>
  <c r="L5228" i="7"/>
  <c r="E5228" i="7"/>
  <c r="E5227" i="7"/>
  <c r="L5226" i="7"/>
  <c r="E5226" i="7"/>
  <c r="E5225" i="7"/>
  <c r="L5224" i="7"/>
  <c r="E5224" i="7"/>
  <c r="E5223" i="7"/>
  <c r="E5220" i="7"/>
  <c r="E5219" i="7"/>
  <c r="E5218" i="7"/>
  <c r="E5217" i="7"/>
  <c r="E5216" i="7"/>
  <c r="E5215" i="7"/>
  <c r="E5214" i="7"/>
  <c r="E5213" i="7"/>
  <c r="E5212" i="7"/>
  <c r="E5211" i="7"/>
  <c r="E5210" i="7"/>
  <c r="E5209" i="7"/>
  <c r="E5208" i="7"/>
  <c r="E5207" i="7"/>
  <c r="E5206" i="7"/>
  <c r="E5205" i="7"/>
  <c r="E5204" i="7"/>
  <c r="E5203" i="7" l="1"/>
  <c r="E5202" i="7"/>
  <c r="E5169" i="7"/>
  <c r="E5168" i="7"/>
  <c r="E5076" i="7"/>
  <c r="E5075" i="7"/>
  <c r="E5074" i="7"/>
  <c r="E5073" i="7"/>
  <c r="E5201" i="7"/>
  <c r="E5200" i="7"/>
  <c r="E5199" i="7"/>
  <c r="E5198" i="7"/>
  <c r="E5171" i="7"/>
  <c r="E5170" i="7"/>
  <c r="E5197" i="7"/>
  <c r="E5196" i="7"/>
  <c r="E5195" i="7"/>
  <c r="E5194" i="7"/>
  <c r="E5167" i="7"/>
  <c r="E5166" i="7"/>
  <c r="E5193" i="7"/>
  <c r="E5192" i="7"/>
  <c r="E5191" i="7" l="1"/>
  <c r="E5190" i="7"/>
  <c r="E5189" i="7"/>
  <c r="E5188" i="7"/>
  <c r="E5187" i="7"/>
  <c r="E5186" i="7"/>
  <c r="E5185" i="7"/>
  <c r="E5184" i="7"/>
  <c r="E5183" i="7"/>
  <c r="E5182" i="7"/>
  <c r="E5181" i="7"/>
  <c r="E5180" i="7"/>
  <c r="E5179" i="7"/>
  <c r="E5178" i="7"/>
  <c r="E5177" i="7" l="1"/>
  <c r="E5176" i="7"/>
  <c r="E5175" i="7"/>
  <c r="E5174" i="7"/>
  <c r="E5173" i="7"/>
  <c r="E5172" i="7"/>
  <c r="E5153" i="7" l="1"/>
  <c r="E5152" i="7"/>
  <c r="E5165" i="7"/>
  <c r="K5164" i="7"/>
  <c r="L5165" i="7" s="1"/>
  <c r="E5164" i="7"/>
  <c r="E5163" i="7"/>
  <c r="K5162" i="7"/>
  <c r="L5163" i="7" s="1"/>
  <c r="E5162" i="7"/>
  <c r="E5161" i="7"/>
  <c r="E5160" i="7"/>
  <c r="L5159" i="7"/>
  <c r="E5159" i="7"/>
  <c r="E5158" i="7"/>
  <c r="L5157" i="7"/>
  <c r="E5157" i="7"/>
  <c r="E5156" i="7"/>
  <c r="L5155" i="7"/>
  <c r="E5155" i="7"/>
  <c r="E5154" i="7"/>
  <c r="E5149" i="7" l="1"/>
  <c r="E5148" i="7"/>
  <c r="E5151" i="7"/>
  <c r="E5150" i="7"/>
  <c r="E5138" i="7"/>
  <c r="E5137" i="7"/>
  <c r="E5134" i="7"/>
  <c r="E5136" i="7"/>
  <c r="E5135" i="7"/>
  <c r="E5133" i="7"/>
  <c r="E5132" i="7"/>
  <c r="E5131" i="7"/>
  <c r="E5130" i="7" l="1"/>
  <c r="E5129" i="7"/>
  <c r="E5122" i="7"/>
  <c r="E5121" i="7"/>
  <c r="E5106" i="7"/>
  <c r="E5105" i="7"/>
  <c r="E5104" i="7"/>
  <c r="E5125" i="7" l="1"/>
  <c r="E5124" i="7"/>
  <c r="E5123" i="7"/>
  <c r="E5144" i="7"/>
  <c r="E5143" i="7"/>
  <c r="E5142" i="7"/>
  <c r="E5141" i="7"/>
  <c r="E5140" i="7"/>
  <c r="E5139" i="7"/>
  <c r="E5128" i="7"/>
  <c r="E5127" i="7"/>
  <c r="E5126" i="7"/>
  <c r="E5147" i="7"/>
  <c r="E5146" i="7"/>
  <c r="E5145" i="7"/>
  <c r="E5120" i="7" l="1"/>
  <c r="K5119" i="7"/>
  <c r="L5120" i="7" s="1"/>
  <c r="E5119" i="7"/>
  <c r="E5118" i="7"/>
  <c r="K5117" i="7"/>
  <c r="L5118" i="7" s="1"/>
  <c r="E5117" i="7"/>
  <c r="E5116" i="7"/>
  <c r="E5115" i="7"/>
  <c r="L5114" i="7"/>
  <c r="E5114" i="7"/>
  <c r="E5113" i="7"/>
  <c r="L5112" i="7"/>
  <c r="E5112" i="7"/>
  <c r="E5111" i="7"/>
  <c r="L5110" i="7"/>
  <c r="E5110" i="7"/>
  <c r="E5109" i="7"/>
  <c r="E5108" i="7"/>
  <c r="E5107" i="7"/>
  <c r="E5103" i="7"/>
  <c r="E5102" i="7"/>
  <c r="E5097" i="7"/>
  <c r="E5098" i="7"/>
  <c r="E5096" i="7"/>
  <c r="E5081" i="7"/>
  <c r="E5080" i="7"/>
  <c r="E5079" i="7"/>
  <c r="E5101" i="7"/>
  <c r="E5100" i="7"/>
  <c r="E5099" i="7"/>
  <c r="E5095" i="7" l="1"/>
  <c r="K5094" i="7"/>
  <c r="L5095" i="7" s="1"/>
  <c r="E5094" i="7"/>
  <c r="E5093" i="7"/>
  <c r="K5092" i="7"/>
  <c r="L5093" i="7" s="1"/>
  <c r="E5092" i="7"/>
  <c r="E5091" i="7"/>
  <c r="E5090" i="7"/>
  <c r="L5089" i="7"/>
  <c r="E5089" i="7"/>
  <c r="E5088" i="7"/>
  <c r="L5087" i="7"/>
  <c r="E5087" i="7"/>
  <c r="E5086" i="7"/>
  <c r="L5085" i="7"/>
  <c r="E5085" i="7"/>
  <c r="E5084" i="7"/>
  <c r="E5083" i="7"/>
  <c r="E5082" i="7"/>
  <c r="E5078" i="7"/>
  <c r="E5077" i="7"/>
  <c r="E5072" i="7"/>
  <c r="E5071" i="7"/>
  <c r="E5070" i="7"/>
  <c r="E5069" i="7"/>
  <c r="E5068" i="7"/>
  <c r="E5000" i="7" l="1"/>
  <c r="E4999" i="7"/>
  <c r="E4998" i="7"/>
  <c r="E5057" i="7"/>
  <c r="E5056" i="7"/>
  <c r="E5045" i="7"/>
  <c r="E5046" i="7"/>
  <c r="E5047" i="7"/>
  <c r="E5048" i="7"/>
  <c r="E5049" i="7"/>
  <c r="E5050" i="7"/>
  <c r="E5051" i="7"/>
  <c r="E5052" i="7"/>
  <c r="E5053" i="7"/>
  <c r="E5054" i="7"/>
  <c r="E5055" i="7"/>
  <c r="E5058" i="7"/>
  <c r="E5059" i="7"/>
  <c r="E5060" i="7"/>
  <c r="E5061" i="7"/>
  <c r="E5062" i="7"/>
  <c r="E5063" i="7"/>
  <c r="E5064" i="7"/>
  <c r="E5065" i="7"/>
  <c r="E5066" i="7"/>
  <c r="E5067" i="7"/>
  <c r="E5044" i="7"/>
  <c r="E5043" i="7" l="1"/>
  <c r="K5042" i="7"/>
  <c r="L5043" i="7" s="1"/>
  <c r="E5042" i="7"/>
  <c r="E5041" i="7"/>
  <c r="K5040" i="7"/>
  <c r="L5041" i="7" s="1"/>
  <c r="E5040" i="7"/>
  <c r="E5039" i="7"/>
  <c r="E5038" i="7"/>
  <c r="L5037" i="7"/>
  <c r="E5037" i="7"/>
  <c r="E5036" i="7"/>
  <c r="L5035" i="7"/>
  <c r="E5035" i="7"/>
  <c r="E5034" i="7"/>
  <c r="L5033" i="7"/>
  <c r="E5033" i="7"/>
  <c r="E5032" i="7"/>
  <c r="E5031" i="7"/>
  <c r="E5030" i="7"/>
  <c r="E5025" i="7"/>
  <c r="E5024" i="7"/>
  <c r="E5023" i="7"/>
  <c r="E5029" i="7"/>
  <c r="E5028" i="7"/>
  <c r="E5022" i="7" l="1"/>
  <c r="E5021" i="7"/>
  <c r="E5020" i="7"/>
  <c r="E5027" i="7"/>
  <c r="E5026" i="7"/>
  <c r="E5019" i="7"/>
  <c r="K5018" i="7"/>
  <c r="L5019" i="7" s="1"/>
  <c r="E5018" i="7"/>
  <c r="E5017" i="7"/>
  <c r="K5016" i="7"/>
  <c r="L5017" i="7" s="1"/>
  <c r="E5016" i="7"/>
  <c r="E5015" i="7"/>
  <c r="E5014" i="7"/>
  <c r="L5013" i="7"/>
  <c r="E5013" i="7"/>
  <c r="E5012" i="7"/>
  <c r="L5011" i="7"/>
  <c r="E5011" i="7"/>
  <c r="E5010" i="7"/>
  <c r="L5009" i="7"/>
  <c r="E5009" i="7"/>
  <c r="E5008" i="7"/>
  <c r="E5007" i="7"/>
  <c r="E5006" i="7"/>
  <c r="E5005" i="7"/>
  <c r="E5004" i="7"/>
  <c r="E5003" i="7"/>
  <c r="E5002" i="7"/>
  <c r="E5001" i="7"/>
  <c r="E4993" i="7"/>
  <c r="E4992" i="7"/>
  <c r="E4991" i="7"/>
  <c r="E4990" i="7" l="1"/>
  <c r="E4989" i="7"/>
  <c r="E4988" i="7"/>
  <c r="E4997" i="7" l="1"/>
  <c r="E4996" i="7"/>
  <c r="E4995" i="7"/>
  <c r="E4994" i="7"/>
  <c r="E4987" i="7" l="1"/>
  <c r="K4986" i="7"/>
  <c r="L4987" i="7" s="1"/>
  <c r="E4986" i="7"/>
  <c r="E4985" i="7"/>
  <c r="K4984" i="7"/>
  <c r="L4985" i="7" s="1"/>
  <c r="E4984" i="7"/>
  <c r="E4983" i="7"/>
  <c r="E4982" i="7"/>
  <c r="L4981" i="7"/>
  <c r="E4981" i="7"/>
  <c r="E4980" i="7"/>
  <c r="L4979" i="7"/>
  <c r="E4979" i="7"/>
  <c r="E4978" i="7"/>
  <c r="L4977" i="7"/>
  <c r="E4977" i="7"/>
  <c r="E4976" i="7"/>
  <c r="E4975" i="7"/>
  <c r="E4974" i="7"/>
  <c r="E4955" i="7" l="1"/>
  <c r="E4956" i="7"/>
  <c r="E4954" i="7"/>
  <c r="E4973" i="7"/>
  <c r="E4972" i="7"/>
  <c r="E4971" i="7"/>
  <c r="E4953" i="7"/>
  <c r="E4952" i="7"/>
  <c r="E4951" i="7"/>
  <c r="L4964" i="7"/>
  <c r="L4962" i="7"/>
  <c r="L4960" i="7"/>
  <c r="E4970" i="7"/>
  <c r="K4969" i="7"/>
  <c r="L4970" i="7" s="1"/>
  <c r="E4969" i="7"/>
  <c r="E4968" i="7"/>
  <c r="K4967" i="7"/>
  <c r="L4968" i="7" s="1"/>
  <c r="E4967" i="7"/>
  <c r="E4966" i="7"/>
  <c r="E4965" i="7"/>
  <c r="E4964" i="7"/>
  <c r="E4963" i="7"/>
  <c r="E4962" i="7"/>
  <c r="E4961" i="7"/>
  <c r="E4960" i="7"/>
  <c r="E4959" i="7"/>
  <c r="E4958" i="7"/>
  <c r="E4957" i="7"/>
  <c r="E4950" i="7" l="1"/>
  <c r="E4949" i="7"/>
  <c r="E4948" i="7"/>
  <c r="E4947" i="7" l="1"/>
  <c r="E4946" i="7"/>
  <c r="E4945" i="7"/>
  <c r="E4944" i="7" l="1"/>
  <c r="E4943" i="7"/>
  <c r="E4942" i="7"/>
  <c r="E4941" i="7"/>
  <c r="E4940" i="7"/>
  <c r="E4939" i="7"/>
  <c r="E4938" i="7"/>
  <c r="E4937" i="7"/>
  <c r="E4918" i="7" l="1"/>
  <c r="E4919" i="7"/>
  <c r="E4917" i="7"/>
  <c r="E4936" i="7"/>
  <c r="K4935" i="7"/>
  <c r="L4936" i="7" s="1"/>
  <c r="E4935" i="7"/>
  <c r="E4934" i="7"/>
  <c r="K4933" i="7"/>
  <c r="L4934" i="7" s="1"/>
  <c r="E4933" i="7"/>
  <c r="E4932" i="7"/>
  <c r="E4931" i="7"/>
  <c r="E4930" i="7"/>
  <c r="E4929" i="7"/>
  <c r="E4928" i="7"/>
  <c r="E4927" i="7"/>
  <c r="E4926" i="7"/>
  <c r="E4925" i="7"/>
  <c r="E4924" i="7"/>
  <c r="E4923" i="7"/>
  <c r="E4922" i="7"/>
  <c r="E4921" i="7"/>
  <c r="E4920" i="7"/>
  <c r="L4915" i="7" l="1"/>
  <c r="E4916" i="7"/>
  <c r="E4915" i="7"/>
  <c r="E4914" i="7"/>
  <c r="E4913" i="7" l="1"/>
  <c r="E4912" i="7"/>
  <c r="E4911" i="7"/>
  <c r="E4910" i="7" l="1"/>
  <c r="E4909" i="7"/>
  <c r="L4900" i="7"/>
  <c r="L4898" i="7"/>
  <c r="L4902" i="7"/>
  <c r="E4908" i="7"/>
  <c r="K4907" i="7"/>
  <c r="L4908" i="7" s="1"/>
  <c r="E4907" i="7"/>
  <c r="E4906" i="7"/>
  <c r="K4905" i="7"/>
  <c r="L4906" i="7" s="1"/>
  <c r="E4905" i="7"/>
  <c r="E4904" i="7"/>
  <c r="E4903" i="7"/>
  <c r="E4902" i="7"/>
  <c r="E4901" i="7"/>
  <c r="E4900" i="7"/>
  <c r="E4899" i="7"/>
  <c r="E4898" i="7"/>
  <c r="E4897" i="7"/>
  <c r="E4896" i="7"/>
  <c r="E4895" i="7"/>
  <c r="E4894" i="7"/>
  <c r="E4893" i="7"/>
  <c r="E4892" i="7"/>
  <c r="E4891" i="7"/>
  <c r="E4890" i="7"/>
  <c r="E4889" i="7"/>
  <c r="E4888" i="7"/>
  <c r="E4887" i="7"/>
  <c r="E4886" i="7"/>
  <c r="E4885" i="7"/>
  <c r="E4884" i="7"/>
  <c r="E4880" i="7"/>
  <c r="E4879" i="7"/>
  <c r="E4878" i="7"/>
  <c r="E4877" i="7" l="1"/>
  <c r="E4876" i="7"/>
  <c r="E4883" i="7"/>
  <c r="E4882" i="7"/>
  <c r="E4881" i="7"/>
  <c r="E4875" i="7" l="1"/>
  <c r="E4874" i="7"/>
  <c r="E4873" i="7"/>
  <c r="E4872" i="7"/>
  <c r="E4871" i="7"/>
  <c r="E4870" i="7"/>
  <c r="E4869" i="7" l="1"/>
  <c r="K4868" i="7"/>
  <c r="L4869" i="7" s="1"/>
  <c r="E4868" i="7"/>
  <c r="E4867" i="7"/>
  <c r="K4866" i="7"/>
  <c r="L4867" i="7" s="1"/>
  <c r="E4866" i="7"/>
  <c r="E4865" i="7"/>
  <c r="E4864" i="7"/>
  <c r="E4863" i="7"/>
  <c r="E4862" i="7"/>
  <c r="E4861" i="7"/>
  <c r="E4860" i="7"/>
  <c r="E4859" i="7"/>
  <c r="E4858" i="7"/>
  <c r="E4857" i="7"/>
  <c r="E4856" i="7"/>
  <c r="E4855" i="7"/>
  <c r="E4854" i="7"/>
  <c r="E4853" i="7"/>
  <c r="E4852" i="7"/>
  <c r="E4851" i="7"/>
  <c r="E4849" i="7" l="1"/>
  <c r="E4850" i="7"/>
  <c r="E4848" i="7"/>
  <c r="E4847" i="7"/>
  <c r="E4846" i="7"/>
  <c r="E4845" i="7"/>
  <c r="E4844" i="7"/>
  <c r="E4843" i="7"/>
  <c r="E4842" i="7"/>
  <c r="E4841" i="7"/>
  <c r="E4840" i="7"/>
  <c r="E4839" i="7"/>
  <c r="E4838" i="7"/>
  <c r="E4813" i="7"/>
  <c r="E4812" i="7"/>
  <c r="E4837" i="7"/>
  <c r="E4836" i="7"/>
  <c r="E4835" i="7"/>
  <c r="E4834" i="7"/>
  <c r="E4833" i="7" l="1"/>
  <c r="E4832" i="7"/>
  <c r="E4831" i="7"/>
  <c r="E4830" i="7"/>
  <c r="E4829" i="7"/>
  <c r="E4828" i="7"/>
  <c r="E4827" i="7" l="1"/>
  <c r="K4826" i="7"/>
  <c r="L4827" i="7" s="1"/>
  <c r="E4826" i="7"/>
  <c r="E4825" i="7"/>
  <c r="K4824" i="7"/>
  <c r="L4825" i="7" s="1"/>
  <c r="E4824" i="7"/>
  <c r="E4823" i="7"/>
  <c r="E4822" i="7"/>
  <c r="E4821" i="7"/>
  <c r="E4820" i="7"/>
  <c r="E4819" i="7"/>
  <c r="E4818" i="7"/>
  <c r="E4817" i="7"/>
  <c r="E4816" i="7"/>
  <c r="E4815" i="7"/>
  <c r="E4814" i="7"/>
  <c r="E4798" i="7" l="1"/>
  <c r="E4797" i="7"/>
  <c r="E4796" i="7"/>
  <c r="E4793" i="7"/>
  <c r="E4792" i="7"/>
  <c r="E4791" i="7"/>
  <c r="E4790" i="7"/>
  <c r="E4807" i="7" l="1"/>
  <c r="E4806" i="7"/>
  <c r="E4803" i="7"/>
  <c r="E4802" i="7"/>
  <c r="E4805" i="7"/>
  <c r="E4804" i="7"/>
  <c r="E4809" i="7"/>
  <c r="E4811" i="7"/>
  <c r="E4810" i="7"/>
  <c r="E4808" i="7"/>
  <c r="E4801" i="7"/>
  <c r="E4800" i="7"/>
  <c r="E4799" i="7"/>
  <c r="E4795" i="7" l="1"/>
  <c r="E4794" i="7"/>
  <c r="E4789" i="7"/>
  <c r="E4788" i="7"/>
  <c r="E4787" i="7"/>
  <c r="H4377" i="7" l="1" a="1"/>
  <c r="H4377" i="7" s="1"/>
  <c r="E4377" i="7"/>
  <c r="H4376" i="7" a="1"/>
  <c r="H4376" i="7" s="1"/>
  <c r="E4376" i="7"/>
  <c r="E4786" i="7"/>
  <c r="K4785" i="7"/>
  <c r="L4786" i="7" s="1"/>
  <c r="E4785" i="7"/>
  <c r="E4784" i="7"/>
  <c r="K4783" i="7"/>
  <c r="L4784" i="7" s="1"/>
  <c r="E4783" i="7"/>
  <c r="E4782" i="7"/>
  <c r="E4781" i="7"/>
  <c r="E4780" i="7"/>
  <c r="E4779" i="7"/>
  <c r="E4778" i="7"/>
  <c r="E4777" i="7"/>
  <c r="E4776" i="7"/>
  <c r="E4775" i="7"/>
  <c r="E4774" i="7"/>
  <c r="E4773" i="7"/>
  <c r="E4771" i="7" l="1"/>
  <c r="E4772" i="7"/>
  <c r="E4770" i="7"/>
  <c r="E4769" i="7"/>
  <c r="E4768" i="7"/>
  <c r="E4767" i="7"/>
  <c r="E4766" i="7"/>
  <c r="E4765" i="7"/>
  <c r="E4764" i="7"/>
  <c r="E4763" i="7" l="1"/>
  <c r="E4762" i="7"/>
  <c r="E4753" i="7"/>
  <c r="E4752" i="7"/>
  <c r="E4761" i="7"/>
  <c r="K4760" i="7"/>
  <c r="L4761" i="7" s="1"/>
  <c r="E4760" i="7"/>
  <c r="E4759" i="7"/>
  <c r="K4758" i="7"/>
  <c r="L4759" i="7" s="1"/>
  <c r="E4758" i="7"/>
  <c r="E4757" i="7"/>
  <c r="E4756" i="7"/>
  <c r="E4755" i="7"/>
  <c r="E4754" i="7"/>
  <c r="E4751" i="7"/>
  <c r="E4750" i="7"/>
  <c r="E4749" i="7"/>
  <c r="E4748" i="7"/>
  <c r="H4718" i="7" a="1"/>
  <c r="H4718" i="7" s="1"/>
  <c r="E4718" i="7"/>
  <c r="H4717" i="7" a="1"/>
  <c r="H4717" i="7" s="1"/>
  <c r="E4717" i="7"/>
  <c r="E4747" i="7"/>
  <c r="E4746" i="7"/>
  <c r="E4743" i="7"/>
  <c r="E4742" i="7"/>
  <c r="E4744" i="7"/>
  <c r="E4745" i="7"/>
  <c r="E4741" i="7"/>
  <c r="E4740" i="7"/>
  <c r="E4739" i="7"/>
  <c r="E4738" i="7"/>
  <c r="E4737" i="7"/>
  <c r="H4732" i="7" a="1"/>
  <c r="H4732" i="7" s="1"/>
  <c r="E4732" i="7"/>
  <c r="H4731" i="7" a="1"/>
  <c r="H4731" i="7" s="1"/>
  <c r="E4731" i="7"/>
  <c r="E4736" i="7"/>
  <c r="E4735" i="7"/>
  <c r="E4734" i="7"/>
  <c r="E4733" i="7"/>
  <c r="K4727" i="7" l="1"/>
  <c r="L4728" i="7" s="1"/>
  <c r="K4729" i="7"/>
  <c r="L4730" i="7" s="1"/>
  <c r="H4716" i="7" a="1"/>
  <c r="H4716" i="7" s="1"/>
  <c r="E4716" i="7"/>
  <c r="E4715" i="7"/>
  <c r="E4714" i="7"/>
  <c r="H4713" i="7" a="1"/>
  <c r="H4713" i="7" s="1"/>
  <c r="E4713" i="7"/>
  <c r="H4720" i="7" a="1"/>
  <c r="H4720" i="7" s="1"/>
  <c r="E4720" i="7"/>
  <c r="H4719" i="7" a="1"/>
  <c r="H4719" i="7" s="1"/>
  <c r="E4719" i="7"/>
  <c r="H4730" i="7" a="1"/>
  <c r="H4730" i="7" s="1"/>
  <c r="E4730" i="7"/>
  <c r="H4729" i="7" a="1"/>
  <c r="H4729" i="7" s="1"/>
  <c r="E4729" i="7"/>
  <c r="H4728" i="7" a="1"/>
  <c r="H4728" i="7" s="1"/>
  <c r="E4728" i="7"/>
  <c r="H4727" i="7" a="1"/>
  <c r="H4727" i="7" s="1"/>
  <c r="E4727" i="7"/>
  <c r="H4726" i="7" a="1"/>
  <c r="H4726" i="7" s="1"/>
  <c r="E4726" i="7"/>
  <c r="H4725" i="7" a="1"/>
  <c r="H4725" i="7" s="1"/>
  <c r="E4725" i="7"/>
  <c r="H4724" i="7" a="1"/>
  <c r="H4724" i="7" s="1"/>
  <c r="E4724" i="7"/>
  <c r="H4723" i="7" a="1"/>
  <c r="H4723" i="7" s="1"/>
  <c r="E4723" i="7"/>
  <c r="H4722" i="7" a="1"/>
  <c r="H4722" i="7" s="1"/>
  <c r="E4722" i="7"/>
  <c r="H4721" i="7" a="1"/>
  <c r="H4721" i="7" s="1"/>
  <c r="E4721" i="7"/>
  <c r="H4691" i="7" a="1"/>
  <c r="H4691" i="7" s="1"/>
  <c r="E4691" i="7"/>
  <c r="E4690" i="7"/>
  <c r="H4689" i="7" a="1"/>
  <c r="H4689" i="7" s="1"/>
  <c r="E4689" i="7"/>
  <c r="E4664" i="7"/>
  <c r="H4679" i="7" a="1"/>
  <c r="H4679" i="7" s="1"/>
  <c r="E4679" i="7"/>
  <c r="H4678" i="7" a="1"/>
  <c r="H4678" i="7" s="1"/>
  <c r="E4678" i="7"/>
  <c r="H4677" i="7" a="1"/>
  <c r="H4677" i="7" s="1"/>
  <c r="E4677" i="7"/>
  <c r="H4676" i="7" a="1"/>
  <c r="H4676" i="7" s="1"/>
  <c r="E4676" i="7"/>
  <c r="E4569" i="7"/>
  <c r="E4490" i="7"/>
  <c r="H4712" i="7" a="1"/>
  <c r="H4712" i="7" s="1"/>
  <c r="E4712" i="7"/>
  <c r="H4701" i="7" a="1"/>
  <c r="H4701" i="7" s="1"/>
  <c r="E4701" i="7"/>
  <c r="E4700" i="7"/>
  <c r="H4699" i="7" a="1"/>
  <c r="H4699" i="7" s="1"/>
  <c r="E4699" i="7"/>
  <c r="H4698" i="7" a="1"/>
  <c r="H4698" i="7" s="1"/>
  <c r="E4698" i="7"/>
  <c r="E4697" i="7"/>
  <c r="E4696" i="7"/>
  <c r="H4695" i="7" a="1"/>
  <c r="H4695" i="7" s="1"/>
  <c r="E4695" i="7"/>
  <c r="H4688" i="7" l="1" a="1"/>
  <c r="H4688" i="7" s="1"/>
  <c r="E4688" i="7"/>
  <c r="H4687" i="7" a="1"/>
  <c r="H4687" i="7" s="1"/>
  <c r="E4687" i="7"/>
  <c r="H4686" i="7" a="1"/>
  <c r="H4686" i="7" s="1"/>
  <c r="E4686" i="7"/>
  <c r="H4685" i="7" a="1"/>
  <c r="H4685" i="7" s="1"/>
  <c r="E4685" i="7"/>
  <c r="H4684" i="7" a="1"/>
  <c r="H4684" i="7" s="1"/>
  <c r="E4684" i="7"/>
  <c r="H4683" i="7" a="1"/>
  <c r="H4683" i="7" s="1"/>
  <c r="E4683" i="7"/>
  <c r="H4682" i="7" a="1"/>
  <c r="H4682" i="7" s="1"/>
  <c r="E4682" i="7"/>
  <c r="H4681" i="7" a="1"/>
  <c r="H4681" i="7" s="1"/>
  <c r="E4681" i="7"/>
  <c r="H4680" i="7" a="1"/>
  <c r="H4680" i="7" s="1"/>
  <c r="E4680" i="7"/>
  <c r="K4674" i="7" l="1"/>
  <c r="L4675" i="7" s="1"/>
  <c r="K4672" i="7"/>
  <c r="L4673" i="7" s="1"/>
  <c r="H4675" i="7" a="1"/>
  <c r="H4675" i="7" s="1"/>
  <c r="E4675" i="7"/>
  <c r="H4674" i="7" a="1"/>
  <c r="H4674" i="7" s="1"/>
  <c r="E4674" i="7"/>
  <c r="H4673" i="7" a="1"/>
  <c r="H4673" i="7" s="1"/>
  <c r="E4673" i="7"/>
  <c r="H4672" i="7" a="1"/>
  <c r="H4672" i="7" s="1"/>
  <c r="E4672" i="7"/>
  <c r="H4671" i="7" a="1"/>
  <c r="H4671" i="7" s="1"/>
  <c r="E4671" i="7"/>
  <c r="H4670" i="7" a="1"/>
  <c r="H4670" i="7" s="1"/>
  <c r="E4670" i="7"/>
  <c r="H4669" i="7" a="1"/>
  <c r="H4669" i="7" s="1"/>
  <c r="E4669" i="7"/>
  <c r="H4668" i="7" a="1"/>
  <c r="H4668" i="7" s="1"/>
  <c r="E4668" i="7"/>
  <c r="H4667" i="7" a="1"/>
  <c r="H4667" i="7" s="1"/>
  <c r="E4667" i="7"/>
  <c r="H4666" i="7" a="1"/>
  <c r="H4666" i="7" s="1"/>
  <c r="E4666" i="7"/>
  <c r="H4662" i="7" l="1" a="1"/>
  <c r="H4662" i="7" s="1"/>
  <c r="E4662" i="7"/>
  <c r="H4661" i="7" a="1"/>
  <c r="H4661" i="7" s="1"/>
  <c r="E4661" i="7"/>
  <c r="H4694" i="7" a="1"/>
  <c r="H4694" i="7" s="1"/>
  <c r="E4694" i="7"/>
  <c r="H4693" i="7" a="1"/>
  <c r="H4693" i="7" s="1"/>
  <c r="E4693" i="7"/>
  <c r="H4692" i="7" a="1"/>
  <c r="H4692" i="7" s="1"/>
  <c r="E4692" i="7"/>
  <c r="H4665" i="7" l="1" a="1"/>
  <c r="H4665" i="7" s="1"/>
  <c r="E4665" i="7"/>
  <c r="H4663" i="7" a="1"/>
  <c r="H4663" i="7" s="1"/>
  <c r="E4663" i="7"/>
  <c r="H4660" i="7" a="1"/>
  <c r="H4660" i="7" s="1"/>
  <c r="E4660" i="7"/>
  <c r="H4659" i="7" a="1"/>
  <c r="H4659" i="7" s="1"/>
  <c r="E4659" i="7"/>
  <c r="H4658" i="7" a="1"/>
  <c r="H4658" i="7" s="1"/>
  <c r="E4658" i="7"/>
  <c r="H4657" i="7" a="1"/>
  <c r="H4657" i="7" s="1"/>
  <c r="E4657" i="7"/>
  <c r="H4634" i="7" a="1"/>
  <c r="H4634" i="7" s="1"/>
  <c r="E4634" i="7"/>
  <c r="H4633" i="7" a="1"/>
  <c r="H4633" i="7" s="1"/>
  <c r="E4633" i="7"/>
  <c r="H4632" i="7" a="1"/>
  <c r="H4632" i="7" s="1"/>
  <c r="E4632" i="7"/>
  <c r="H4631" i="7" a="1"/>
  <c r="H4631" i="7" s="1"/>
  <c r="E4631" i="7"/>
  <c r="H4656" i="7" a="1"/>
  <c r="H4656" i="7" s="1"/>
  <c r="E4656" i="7"/>
  <c r="H4655" i="7" a="1"/>
  <c r="H4655" i="7" s="1"/>
  <c r="E4655" i="7"/>
  <c r="H4654" i="7" a="1"/>
  <c r="H4654" i="7" s="1"/>
  <c r="E4654" i="7"/>
  <c r="H4653" i="7" a="1"/>
  <c r="H4653" i="7" s="1"/>
  <c r="E4653" i="7"/>
  <c r="H4652" i="7" a="1"/>
  <c r="H4652" i="7" s="1"/>
  <c r="E4652" i="7"/>
  <c r="H4651" i="7" a="1"/>
  <c r="H4651" i="7" s="1"/>
  <c r="E4651" i="7"/>
  <c r="H4650" i="7" a="1"/>
  <c r="H4650" i="7" s="1"/>
  <c r="E4650" i="7"/>
  <c r="H4649" i="7" a="1"/>
  <c r="H4649" i="7" s="1"/>
  <c r="E4649" i="7"/>
  <c r="H4648" i="7" a="1"/>
  <c r="H4648" i="7" s="1"/>
  <c r="E4648" i="7"/>
  <c r="H4647" i="7" a="1"/>
  <c r="H4647" i="7" s="1"/>
  <c r="E4647" i="7"/>
  <c r="H4646" i="7" l="1" a="1"/>
  <c r="H4646" i="7" s="1"/>
  <c r="E4646" i="7"/>
  <c r="H4645" i="7" a="1"/>
  <c r="H4645" i="7" s="1"/>
  <c r="E4645" i="7"/>
  <c r="H4644" i="7" a="1"/>
  <c r="H4644" i="7" s="1"/>
  <c r="E4644" i="7"/>
  <c r="H4643" i="7" a="1"/>
  <c r="H4643" i="7" s="1"/>
  <c r="E4643" i="7"/>
  <c r="H4642" i="7" a="1"/>
  <c r="H4642" i="7" s="1"/>
  <c r="E4642" i="7"/>
  <c r="H4641" i="7" a="1"/>
  <c r="H4641" i="7" s="1"/>
  <c r="E4641" i="7"/>
  <c r="H4640" i="7" a="1"/>
  <c r="H4640" i="7" s="1"/>
  <c r="E4640" i="7"/>
  <c r="H4639" i="7" a="1"/>
  <c r="H4639" i="7" s="1"/>
  <c r="E4639" i="7"/>
  <c r="H4638" i="7" a="1"/>
  <c r="H4638" i="7" s="1"/>
  <c r="E4638" i="7"/>
  <c r="H4637" i="7" a="1"/>
  <c r="H4637" i="7" s="1"/>
  <c r="E4637" i="7"/>
  <c r="H4636" i="7" a="1"/>
  <c r="H4636" i="7" s="1"/>
  <c r="E4636" i="7"/>
  <c r="H4635" i="7" a="1"/>
  <c r="H4635" i="7" s="1"/>
  <c r="E4635" i="7"/>
  <c r="H4628" i="7" l="1" a="1"/>
  <c r="H4628" i="7" s="1"/>
  <c r="E4628" i="7"/>
  <c r="E4629" i="7"/>
  <c r="H4629" i="7" a="1"/>
  <c r="H4629" i="7" s="1"/>
  <c r="H4630" i="7" a="1"/>
  <c r="H4630" i="7" s="1"/>
  <c r="E4630" i="7"/>
  <c r="H4627" i="7" a="1"/>
  <c r="H4627" i="7" s="1"/>
  <c r="E4627" i="7"/>
  <c r="H4626" i="7" a="1"/>
  <c r="H4626" i="7" s="1"/>
  <c r="E4626" i="7"/>
  <c r="H4625" i="7" a="1"/>
  <c r="H4625" i="7" s="1"/>
  <c r="E4625" i="7"/>
  <c r="H4624" i="7" a="1"/>
  <c r="H4624" i="7" s="1"/>
  <c r="E4624" i="7"/>
  <c r="H4621" i="7" a="1"/>
  <c r="H4621" i="7" s="1"/>
  <c r="E4621" i="7"/>
  <c r="H4620" i="7" a="1"/>
  <c r="H4620" i="7" s="1"/>
  <c r="E4620" i="7"/>
  <c r="H4619" i="7" a="1"/>
  <c r="H4619" i="7" s="1"/>
  <c r="E4619" i="7"/>
  <c r="H4618" i="7" a="1"/>
  <c r="H4618" i="7" s="1"/>
  <c r="E4618" i="7"/>
  <c r="H4617" i="7" a="1"/>
  <c r="H4617" i="7" s="1"/>
  <c r="E4617" i="7"/>
  <c r="H4616" i="7" a="1"/>
  <c r="H4616" i="7" s="1"/>
  <c r="E4616" i="7"/>
  <c r="H4623" i="7" l="1" a="1"/>
  <c r="H4623" i="7" s="1"/>
  <c r="E4623" i="7"/>
  <c r="H4622" i="7" a="1"/>
  <c r="H4622" i="7" s="1"/>
  <c r="E4622" i="7"/>
  <c r="H4615" i="7" a="1"/>
  <c r="H4615" i="7" s="1"/>
  <c r="E4615" i="7"/>
  <c r="E4614" i="7"/>
  <c r="E4613" i="7"/>
  <c r="H4612" i="7" a="1"/>
  <c r="H4612" i="7" s="1"/>
  <c r="E4612" i="7"/>
  <c r="H4611" i="7" l="1" a="1"/>
  <c r="H4611" i="7" s="1"/>
  <c r="E4611" i="7"/>
  <c r="H4610" i="7" a="1"/>
  <c r="H4610" i="7" s="1"/>
  <c r="E4610" i="7"/>
  <c r="H4609" i="7" a="1"/>
  <c r="H4609" i="7" s="1"/>
  <c r="E4609" i="7"/>
  <c r="H4608" i="7" a="1"/>
  <c r="H4608" i="7" s="1"/>
  <c r="E4608" i="7"/>
  <c r="H4607" i="7" a="1"/>
  <c r="H4607" i="7" s="1"/>
  <c r="E4607" i="7"/>
  <c r="H4606" i="7" a="1"/>
  <c r="H4606" i="7" s="1"/>
  <c r="E4606" i="7"/>
  <c r="H4605" i="7" a="1"/>
  <c r="H4605" i="7" s="1"/>
  <c r="E4605" i="7"/>
  <c r="H4604" i="7" a="1"/>
  <c r="H4604" i="7" s="1"/>
  <c r="E4604" i="7"/>
  <c r="H4603" i="7" a="1"/>
  <c r="H4603" i="7" s="1"/>
  <c r="E4603" i="7"/>
  <c r="H4602" i="7" a="1"/>
  <c r="H4602" i="7" s="1"/>
  <c r="E4602" i="7"/>
  <c r="H4601" i="7" a="1"/>
  <c r="H4601" i="7" s="1"/>
  <c r="E4601" i="7"/>
  <c r="H4600" i="7" a="1"/>
  <c r="H4600" i="7" s="1"/>
  <c r="E4600" i="7"/>
  <c r="E4591" i="7" l="1"/>
  <c r="E4590" i="7"/>
  <c r="H4589" i="7" a="1"/>
  <c r="H4589" i="7" s="1"/>
  <c r="E4589" i="7"/>
  <c r="E4588" i="7"/>
  <c r="E4587" i="7"/>
  <c r="H4586" i="7" a="1"/>
  <c r="H4586" i="7" s="1"/>
  <c r="E4586" i="7"/>
  <c r="H4585" i="7" a="1"/>
  <c r="H4585" i="7" s="1"/>
  <c r="E4585" i="7"/>
  <c r="H4584" i="7" a="1"/>
  <c r="H4584" i="7" s="1"/>
  <c r="E4584" i="7"/>
  <c r="H4599" i="7" a="1"/>
  <c r="H4599" i="7" s="1"/>
  <c r="E4599" i="7"/>
  <c r="E4598" i="7"/>
  <c r="E4597" i="7"/>
  <c r="H4596" i="7" a="1"/>
  <c r="H4596" i="7" s="1"/>
  <c r="E4596" i="7"/>
  <c r="H4595" i="7" a="1"/>
  <c r="H4595" i="7" s="1"/>
  <c r="E4595" i="7"/>
  <c r="E4594" i="7"/>
  <c r="E4593" i="7"/>
  <c r="H4592" i="7" a="1"/>
  <c r="H4592" i="7" s="1"/>
  <c r="E4592" i="7"/>
  <c r="H4408" i="7" a="1"/>
  <c r="H4408" i="7" s="1"/>
  <c r="E4408" i="7"/>
  <c r="H4407" i="7" a="1"/>
  <c r="H4407" i="7" s="1"/>
  <c r="E4407" i="7"/>
  <c r="H4406" i="7" a="1"/>
  <c r="H4406" i="7" s="1"/>
  <c r="E4406" i="7"/>
  <c r="H4240" i="7" a="1"/>
  <c r="H4240" i="7" s="1"/>
  <c r="E4240" i="7"/>
  <c r="H4239" i="7" a="1"/>
  <c r="H4239" i="7" s="1"/>
  <c r="E4239" i="7"/>
  <c r="H4238" i="7" a="1"/>
  <c r="H4238" i="7" s="1"/>
  <c r="E4238" i="7"/>
  <c r="H4165" i="7" a="1"/>
  <c r="H4165" i="7" s="1"/>
  <c r="H4164" i="7" a="1"/>
  <c r="H4164" i="7" s="1"/>
  <c r="H4163" i="7" a="1"/>
  <c r="H4163" i="7" s="1"/>
  <c r="E4165" i="7"/>
  <c r="E4164" i="7"/>
  <c r="E4163" i="7"/>
  <c r="H4583" i="7" l="1" a="1"/>
  <c r="H4583" i="7" s="1"/>
  <c r="E4583" i="7"/>
  <c r="H4582" i="7" a="1"/>
  <c r="H4582" i="7" s="1"/>
  <c r="E4582" i="7"/>
  <c r="H4581" i="7" a="1"/>
  <c r="H4581" i="7" s="1"/>
  <c r="E4581" i="7"/>
  <c r="H4580" i="7" a="1"/>
  <c r="H4580" i="7" s="1"/>
  <c r="E4580" i="7"/>
  <c r="H4579" i="7" a="1"/>
  <c r="H4579" i="7" s="1"/>
  <c r="E4579" i="7"/>
  <c r="H4578" i="7" a="1"/>
  <c r="H4578" i="7" s="1"/>
  <c r="E4578" i="7"/>
  <c r="H4577" i="7" a="1"/>
  <c r="H4577" i="7" s="1"/>
  <c r="E4577" i="7"/>
  <c r="H4576" i="7" a="1"/>
  <c r="H4576" i="7" s="1"/>
  <c r="E4576" i="7"/>
  <c r="H4575" i="7" a="1"/>
  <c r="H4575" i="7" s="1"/>
  <c r="E4575" i="7"/>
  <c r="H4574" i="7" a="1"/>
  <c r="H4574" i="7" s="1"/>
  <c r="E4574" i="7"/>
  <c r="H4548" i="7" a="1"/>
  <c r="H4548" i="7" s="1"/>
  <c r="E4548" i="7"/>
  <c r="H4547" i="7" a="1"/>
  <c r="H4547" i="7" s="1"/>
  <c r="E4547" i="7"/>
  <c r="H4536" i="7" a="1"/>
  <c r="H4536" i="7" s="1"/>
  <c r="E4536" i="7"/>
  <c r="H4535" i="7" a="1"/>
  <c r="H4535" i="7" s="1"/>
  <c r="E4535" i="7"/>
  <c r="H4570" i="7" l="1" a="1"/>
  <c r="H4570" i="7" s="1"/>
  <c r="E4570" i="7"/>
  <c r="H4568" i="7" a="1"/>
  <c r="H4568" i="7" s="1"/>
  <c r="E4568" i="7"/>
  <c r="H4567" i="7" a="1"/>
  <c r="H4567" i="7" s="1"/>
  <c r="E4567" i="7"/>
  <c r="H4566" i="7" a="1"/>
  <c r="H4566" i="7" s="1"/>
  <c r="E4566" i="7"/>
  <c r="H4565" i="7" a="1"/>
  <c r="H4565" i="7" s="1"/>
  <c r="E4565" i="7"/>
  <c r="E4564" i="7"/>
  <c r="E4563" i="7"/>
  <c r="H4562" i="7" a="1"/>
  <c r="H4562" i="7" s="1"/>
  <c r="E4562" i="7"/>
  <c r="H4573" i="7" l="1" a="1"/>
  <c r="H4573" i="7" s="1"/>
  <c r="E4573" i="7"/>
  <c r="H4572" i="7" a="1"/>
  <c r="H4572" i="7" s="1"/>
  <c r="E4572" i="7"/>
  <c r="H4571" i="7" a="1"/>
  <c r="H4571" i="7" s="1"/>
  <c r="E4571" i="7"/>
  <c r="E4561" i="7" l="1"/>
  <c r="E4560" i="7"/>
  <c r="H4559" i="7" a="1"/>
  <c r="H4559" i="7" s="1"/>
  <c r="E4559" i="7"/>
  <c r="H4556" i="7" a="1"/>
  <c r="H4556" i="7" s="1"/>
  <c r="E4556" i="7"/>
  <c r="H4555" i="7" a="1"/>
  <c r="H4555" i="7" s="1"/>
  <c r="E4555" i="7"/>
  <c r="H4554" i="7" a="1"/>
  <c r="H4554" i="7" s="1"/>
  <c r="E4554" i="7"/>
  <c r="H4553" i="7" a="1"/>
  <c r="H4553" i="7" s="1"/>
  <c r="E4553" i="7"/>
  <c r="H4552" i="7" a="1"/>
  <c r="H4552" i="7" s="1"/>
  <c r="E4552" i="7"/>
  <c r="E4551" i="7"/>
  <c r="E4550" i="7"/>
  <c r="H4549" i="7" a="1"/>
  <c r="H4549" i="7" s="1"/>
  <c r="E4549" i="7"/>
  <c r="H4558" i="7" l="1" a="1"/>
  <c r="H4558" i="7" s="1"/>
  <c r="E4558" i="7"/>
  <c r="H4557" i="7" a="1"/>
  <c r="H4557" i="7" s="1"/>
  <c r="E4557" i="7"/>
  <c r="H4534" i="7" a="1"/>
  <c r="H4534" i="7" s="1"/>
  <c r="E4534" i="7"/>
  <c r="H4533" i="7" a="1"/>
  <c r="H4533" i="7" s="1"/>
  <c r="E4533" i="7"/>
  <c r="E4484" i="7"/>
  <c r="E4483" i="7"/>
  <c r="H4482" i="7" a="1"/>
  <c r="H4482" i="7" s="1"/>
  <c r="E4482" i="7"/>
  <c r="H4546" i="7" a="1"/>
  <c r="H4546" i="7" s="1"/>
  <c r="E4546" i="7"/>
  <c r="H4545" i="7" a="1"/>
  <c r="H4545" i="7" s="1"/>
  <c r="E4545" i="7"/>
  <c r="H4544" i="7" a="1"/>
  <c r="H4544" i="7" s="1"/>
  <c r="E4544" i="7"/>
  <c r="H4543" i="7" a="1"/>
  <c r="H4543" i="7" s="1"/>
  <c r="E4543" i="7"/>
  <c r="H4542" i="7" a="1"/>
  <c r="H4542" i="7" s="1"/>
  <c r="E4542" i="7"/>
  <c r="H4541" i="7" a="1"/>
  <c r="H4541" i="7" s="1"/>
  <c r="E4541" i="7"/>
  <c r="H4540" i="7" a="1"/>
  <c r="H4540" i="7" s="1"/>
  <c r="E4540" i="7"/>
  <c r="H4539" i="7" a="1"/>
  <c r="H4539" i="7" s="1"/>
  <c r="E4539" i="7"/>
  <c r="H4538" i="7" a="1"/>
  <c r="H4538" i="7" s="1"/>
  <c r="E4538" i="7"/>
  <c r="H4537" i="7" a="1"/>
  <c r="H4537" i="7" s="1"/>
  <c r="E4537" i="7"/>
  <c r="H4532" i="7" l="1" a="1"/>
  <c r="H4532" i="7" s="1"/>
  <c r="E4532" i="7"/>
  <c r="H4530" i="7" a="1"/>
  <c r="H4530" i="7" s="1"/>
  <c r="H4529" i="7" a="1"/>
  <c r="H4529" i="7" s="1"/>
  <c r="H4528" i="7" a="1"/>
  <c r="H4528" i="7" s="1"/>
  <c r="H4527" i="7" a="1"/>
  <c r="H4527" i="7" s="1"/>
  <c r="H4526" i="7" a="1"/>
  <c r="H4526" i="7" s="1"/>
  <c r="H4525" i="7" a="1"/>
  <c r="H4525" i="7" s="1"/>
  <c r="E4530" i="7"/>
  <c r="E4529" i="7"/>
  <c r="E4528" i="7"/>
  <c r="E4527" i="7"/>
  <c r="E4526" i="7"/>
  <c r="E4525" i="7"/>
  <c r="H4524" i="7" l="1" a="1"/>
  <c r="H4524" i="7" s="1"/>
  <c r="E4524" i="7"/>
  <c r="H4523" i="7" a="1"/>
  <c r="H4523" i="7" s="1"/>
  <c r="E4523" i="7"/>
  <c r="H4522" i="7" a="1"/>
  <c r="H4522" i="7" s="1"/>
  <c r="E4522" i="7"/>
  <c r="E4521" i="7"/>
  <c r="H4520" i="7" a="1"/>
  <c r="H4520" i="7" s="1"/>
  <c r="E4520" i="7"/>
  <c r="H4519" i="7" a="1"/>
  <c r="H4519" i="7" s="1"/>
  <c r="E4519" i="7"/>
  <c r="E4518" i="7"/>
  <c r="E4517" i="7"/>
  <c r="H4516" i="7" a="1"/>
  <c r="H4516" i="7" s="1"/>
  <c r="E4516" i="7"/>
  <c r="H4506" i="7" a="1"/>
  <c r="H4506" i="7" s="1"/>
  <c r="E4506" i="7"/>
  <c r="E4505" i="7"/>
  <c r="E4504" i="7"/>
  <c r="E4503" i="7"/>
  <c r="H4502" i="7" a="1"/>
  <c r="H4502" i="7" s="1"/>
  <c r="E4502" i="7"/>
  <c r="H4515" i="7" l="1" a="1"/>
  <c r="H4515" i="7" s="1"/>
  <c r="E4515" i="7"/>
  <c r="H4514" i="7" a="1"/>
  <c r="H4514" i="7" s="1"/>
  <c r="E4514" i="7"/>
  <c r="H4513" i="7" a="1"/>
  <c r="H4513" i="7" s="1"/>
  <c r="E4513" i="7"/>
  <c r="H4512" i="7" a="1"/>
  <c r="H4512" i="7" s="1"/>
  <c r="E4512" i="7"/>
  <c r="H4511" i="7" a="1"/>
  <c r="H4511" i="7" s="1"/>
  <c r="E4511" i="7"/>
  <c r="H4510" i="7" a="1"/>
  <c r="H4510" i="7" s="1"/>
  <c r="E4510" i="7"/>
  <c r="H4509" i="7" a="1"/>
  <c r="H4509" i="7" s="1"/>
  <c r="E4509" i="7"/>
  <c r="H4508" i="7" a="1"/>
  <c r="H4508" i="7" s="1"/>
  <c r="E4508" i="7"/>
  <c r="H4507" i="7" a="1"/>
  <c r="H4507" i="7" s="1"/>
  <c r="E4507" i="7"/>
  <c r="H4501" i="7" a="1"/>
  <c r="H4501" i="7" s="1"/>
  <c r="E4501" i="7"/>
  <c r="H4500" i="7" a="1"/>
  <c r="H4500" i="7" s="1"/>
  <c r="E4500" i="7"/>
  <c r="H4499" i="7" a="1"/>
  <c r="H4499" i="7" s="1"/>
  <c r="E4499" i="7"/>
  <c r="H4498" i="7" a="1"/>
  <c r="H4498" i="7" s="1"/>
  <c r="E4498" i="7"/>
  <c r="H4497" i="7" a="1"/>
  <c r="H4497" i="7" s="1"/>
  <c r="E4497" i="7"/>
  <c r="H4496" i="7" a="1"/>
  <c r="H4496" i="7" s="1"/>
  <c r="E4496" i="7"/>
  <c r="H4495" i="7" a="1"/>
  <c r="H4495" i="7" s="1"/>
  <c r="E4495" i="7"/>
  <c r="H4494" i="7" a="1"/>
  <c r="H4494" i="7" s="1"/>
  <c r="E4494" i="7"/>
  <c r="H4493" i="7" a="1"/>
  <c r="H4493" i="7" s="1"/>
  <c r="E4493" i="7"/>
  <c r="H4492" i="7" a="1"/>
  <c r="H4492" i="7" s="1"/>
  <c r="E4492" i="7"/>
  <c r="H4481" i="7" l="1" a="1"/>
  <c r="H4481" i="7" s="1"/>
  <c r="E4481" i="7"/>
  <c r="H4480" i="7" a="1"/>
  <c r="H4480" i="7" s="1"/>
  <c r="E4480" i="7"/>
  <c r="H4491" i="7" a="1"/>
  <c r="H4491" i="7" s="1"/>
  <c r="E4491" i="7"/>
  <c r="H4489" i="7" a="1"/>
  <c r="H4489" i="7" s="1"/>
  <c r="E4489" i="7"/>
  <c r="H4488" i="7" a="1"/>
  <c r="H4488" i="7" s="1"/>
  <c r="E4488" i="7"/>
  <c r="H4487" i="7" a="1"/>
  <c r="H4487" i="7" s="1"/>
  <c r="E4487" i="7"/>
  <c r="H4486" i="7" a="1"/>
  <c r="H4486" i="7" s="1"/>
  <c r="E4486" i="7"/>
  <c r="H4485" i="7" a="1"/>
  <c r="H4485" i="7" s="1"/>
  <c r="E4485" i="7"/>
  <c r="E4479" i="7"/>
  <c r="E4478" i="7"/>
  <c r="H4477" i="7" a="1"/>
  <c r="H4477" i="7" s="1"/>
  <c r="E4477" i="7"/>
  <c r="H4476" i="7" l="1" a="1"/>
  <c r="H4476" i="7" s="1"/>
  <c r="E4476" i="7"/>
  <c r="H4475" i="7" a="1"/>
  <c r="H4475" i="7" s="1"/>
  <c r="E4475" i="7"/>
  <c r="H4474" i="7" a="1"/>
  <c r="H4474" i="7" s="1"/>
  <c r="E4474" i="7"/>
  <c r="H4448" i="7" a="1"/>
  <c r="H4448" i="7" s="1"/>
  <c r="E4448" i="7"/>
  <c r="H4447" i="7" a="1"/>
  <c r="H4447" i="7" s="1"/>
  <c r="E4447" i="7"/>
  <c r="L4465" i="7"/>
  <c r="H4473" i="7" a="1"/>
  <c r="H4473" i="7" s="1"/>
  <c r="E4473" i="7"/>
  <c r="K4472" i="7"/>
  <c r="L4473" i="7" s="1"/>
  <c r="H4472" i="7" a="1"/>
  <c r="H4472" i="7" s="1"/>
  <c r="E4472" i="7"/>
  <c r="H4471" i="7" a="1"/>
  <c r="H4471" i="7" s="1"/>
  <c r="E4471" i="7"/>
  <c r="K4470" i="7"/>
  <c r="L4471" i="7" s="1"/>
  <c r="H4470" i="7" a="1"/>
  <c r="H4470" i="7" s="1"/>
  <c r="E4470" i="7"/>
  <c r="H4469" i="7" a="1"/>
  <c r="H4469" i="7" s="1"/>
  <c r="E4469" i="7"/>
  <c r="K4468" i="7"/>
  <c r="L4469" i="7" s="1"/>
  <c r="H4468" i="7" a="1"/>
  <c r="H4468" i="7" s="1"/>
  <c r="E4468" i="7"/>
  <c r="H4467" i="7" a="1"/>
  <c r="H4467" i="7" s="1"/>
  <c r="E4467" i="7"/>
  <c r="H4466" i="7" a="1"/>
  <c r="H4466" i="7" s="1"/>
  <c r="E4466" i="7"/>
  <c r="H4465" i="7" a="1"/>
  <c r="H4465" i="7" s="1"/>
  <c r="E4465" i="7"/>
  <c r="H4464" i="7" a="1"/>
  <c r="H4464" i="7" s="1"/>
  <c r="E4464" i="7"/>
  <c r="H4463" i="7" a="1"/>
  <c r="H4463" i="7" s="1"/>
  <c r="E4463" i="7"/>
  <c r="H4462" i="7" a="1"/>
  <c r="H4462" i="7" s="1"/>
  <c r="E4462" i="7"/>
  <c r="H4461" i="7" a="1"/>
  <c r="H4461" i="7" s="1"/>
  <c r="E4461" i="7"/>
  <c r="H4460" i="7" a="1"/>
  <c r="H4460" i="7" s="1"/>
  <c r="E4460" i="7"/>
  <c r="H4459" i="7" a="1"/>
  <c r="H4459" i="7" s="1"/>
  <c r="E4459" i="7"/>
  <c r="H4458" i="7" a="1"/>
  <c r="H4458" i="7" s="1"/>
  <c r="E4458" i="7"/>
  <c r="H4457" i="7" a="1"/>
  <c r="H4457" i="7" s="1"/>
  <c r="E4457" i="7"/>
  <c r="H4456" i="7" a="1"/>
  <c r="H4456" i="7" s="1"/>
  <c r="E4456" i="7"/>
  <c r="H4446" i="7" a="1"/>
  <c r="H4446" i="7" s="1"/>
  <c r="E4446" i="7"/>
  <c r="H4445" i="7" a="1"/>
  <c r="H4445" i="7" s="1"/>
  <c r="E4445" i="7"/>
  <c r="H4455" i="7" a="1"/>
  <c r="H4455" i="7" s="1"/>
  <c r="E4455" i="7"/>
  <c r="E4454" i="7"/>
  <c r="E4453" i="7"/>
  <c r="H4452" i="7" a="1"/>
  <c r="H4452" i="7" s="1"/>
  <c r="E4452" i="7"/>
  <c r="E4451" i="7"/>
  <c r="E4450" i="7"/>
  <c r="H4449" i="7" a="1"/>
  <c r="H4449" i="7" s="1"/>
  <c r="E4449" i="7"/>
  <c r="E4444" i="7"/>
  <c r="E4443" i="7"/>
  <c r="H4442" i="7" a="1"/>
  <c r="H4442" i="7" s="1"/>
  <c r="E4442" i="7"/>
  <c r="H4441" i="7" a="1"/>
  <c r="H4441" i="7" s="1"/>
  <c r="E4441" i="7"/>
  <c r="E4440" i="7"/>
  <c r="E4439" i="7"/>
  <c r="H4438" i="7" a="1"/>
  <c r="H4438" i="7" s="1"/>
  <c r="E4438" i="7"/>
  <c r="E4437" i="7" l="1"/>
  <c r="H4436" i="7" a="1"/>
  <c r="H4436" i="7" s="1"/>
  <c r="E4436" i="7"/>
  <c r="H4434" i="7" l="1" a="1"/>
  <c r="H4434" i="7" s="1"/>
  <c r="E4434" i="7"/>
  <c r="H4435" i="7" a="1"/>
  <c r="H4435" i="7" s="1"/>
  <c r="E4435" i="7"/>
  <c r="H4433" i="7" a="1"/>
  <c r="H4433" i="7" s="1"/>
  <c r="E4433" i="7"/>
  <c r="K4431" i="7"/>
  <c r="L4432" i="7" s="1"/>
  <c r="K4429" i="7"/>
  <c r="L4430" i="7" s="1"/>
  <c r="K4427" i="7"/>
  <c r="L4428" i="7" s="1"/>
  <c r="H4432" i="7" l="1" a="1"/>
  <c r="H4432" i="7" s="1"/>
  <c r="E4432" i="7"/>
  <c r="H4431" i="7" a="1"/>
  <c r="H4431" i="7" s="1"/>
  <c r="E4431" i="7"/>
  <c r="H4430" i="7" a="1"/>
  <c r="H4430" i="7" s="1"/>
  <c r="E4430" i="7"/>
  <c r="H4429" i="7" a="1"/>
  <c r="H4429" i="7" s="1"/>
  <c r="E4429" i="7"/>
  <c r="H4428" i="7" a="1"/>
  <c r="H4428" i="7" s="1"/>
  <c r="E4428" i="7"/>
  <c r="H4427" i="7" a="1"/>
  <c r="H4427" i="7" s="1"/>
  <c r="E4427" i="7"/>
  <c r="H4426" i="7" a="1"/>
  <c r="H4426" i="7" s="1"/>
  <c r="E4426" i="7"/>
  <c r="H4425" i="7" a="1"/>
  <c r="H4425" i="7" s="1"/>
  <c r="E4425" i="7"/>
  <c r="H4424" i="7" a="1"/>
  <c r="H4424" i="7" s="1"/>
  <c r="E4424" i="7"/>
  <c r="H4423" i="7" a="1"/>
  <c r="H4423" i="7" s="1"/>
  <c r="E4423" i="7"/>
  <c r="H4422" i="7" a="1"/>
  <c r="H4422" i="7" s="1"/>
  <c r="E4422" i="7"/>
  <c r="H4421" i="7" a="1"/>
  <c r="H4421" i="7" s="1"/>
  <c r="E4421" i="7"/>
  <c r="H4420" i="7" a="1"/>
  <c r="H4420" i="7" s="1"/>
  <c r="E4420" i="7"/>
  <c r="E4419" i="7"/>
  <c r="E4418" i="7"/>
  <c r="H4417" i="7" a="1"/>
  <c r="H4417" i="7" s="1"/>
  <c r="E4417" i="7"/>
  <c r="H4416" i="7" l="1" a="1"/>
  <c r="H4416" i="7" s="1"/>
  <c r="E4416" i="7"/>
  <c r="H4415" i="7" a="1"/>
  <c r="H4415" i="7" s="1"/>
  <c r="E4415" i="7"/>
  <c r="H4414" i="7" a="1"/>
  <c r="H4414" i="7" s="1"/>
  <c r="E4414" i="7"/>
  <c r="H4413" i="7" a="1"/>
  <c r="H4413" i="7" s="1"/>
  <c r="E4413" i="7"/>
  <c r="H4412" i="7" a="1"/>
  <c r="H4412" i="7" s="1"/>
  <c r="E4412" i="7"/>
  <c r="H4405" i="7" l="1" a="1"/>
  <c r="H4405" i="7" s="1"/>
  <c r="E4405" i="7"/>
  <c r="H4404" i="7" a="1"/>
  <c r="H4404" i="7" s="1"/>
  <c r="E4404" i="7"/>
  <c r="H4403" i="7" a="1"/>
  <c r="H4403" i="7" s="1"/>
  <c r="E4403" i="7"/>
  <c r="H4402" i="7" a="1"/>
  <c r="H4402" i="7" s="1"/>
  <c r="E4402" i="7"/>
  <c r="E4401" i="7"/>
  <c r="E4400" i="7"/>
  <c r="H4399" i="7" a="1"/>
  <c r="H4399" i="7" s="1"/>
  <c r="E4399" i="7"/>
  <c r="E4398" i="7"/>
  <c r="E4397" i="7"/>
  <c r="H4396" i="7" a="1"/>
  <c r="H4396" i="7" s="1"/>
  <c r="E4396" i="7"/>
  <c r="H4393" i="7" a="1"/>
  <c r="H4393" i="7" s="1"/>
  <c r="E4393" i="7"/>
  <c r="E4392" i="7"/>
  <c r="E4391" i="7"/>
  <c r="H4390" i="7" a="1"/>
  <c r="H4390" i="7" s="1"/>
  <c r="E4390" i="7"/>
  <c r="E4395" i="7"/>
  <c r="H4394" i="7" a="1"/>
  <c r="H4394" i="7" s="1"/>
  <c r="E4394" i="7"/>
  <c r="H4411" i="7" l="1" a="1"/>
  <c r="H4411" i="7" s="1"/>
  <c r="E4411" i="7"/>
  <c r="H4410" i="7" a="1"/>
  <c r="H4410" i="7" s="1"/>
  <c r="E4410" i="7"/>
  <c r="H4409" i="7" a="1"/>
  <c r="H4409" i="7" s="1"/>
  <c r="E4409" i="7"/>
  <c r="H4389" i="7" l="1" a="1"/>
  <c r="H4389" i="7" s="1"/>
  <c r="E4389" i="7"/>
  <c r="K4388" i="7"/>
  <c r="L4389" i="7" s="1"/>
  <c r="H4388" i="7" a="1"/>
  <c r="H4388" i="7" s="1"/>
  <c r="E4388" i="7"/>
  <c r="H4387" i="7" a="1"/>
  <c r="H4387" i="7" s="1"/>
  <c r="E4387" i="7"/>
  <c r="K4386" i="7"/>
  <c r="L4387" i="7" s="1"/>
  <c r="H4386" i="7" a="1"/>
  <c r="H4386" i="7" s="1"/>
  <c r="E4386" i="7"/>
  <c r="H4385" i="7" a="1"/>
  <c r="H4385" i="7" s="1"/>
  <c r="E4385" i="7"/>
  <c r="K4384" i="7"/>
  <c r="L4385" i="7" s="1"/>
  <c r="H4384" i="7" a="1"/>
  <c r="H4384" i="7" s="1"/>
  <c r="E4384" i="7"/>
  <c r="H4383" i="7" a="1"/>
  <c r="H4383" i="7" s="1"/>
  <c r="E4383" i="7"/>
  <c r="H4382" i="7" a="1"/>
  <c r="H4382" i="7" s="1"/>
  <c r="E4382" i="7"/>
  <c r="H4381" i="7" a="1"/>
  <c r="H4381" i="7" s="1"/>
  <c r="E4381" i="7"/>
  <c r="H4380" i="7" a="1"/>
  <c r="H4380" i="7" s="1"/>
  <c r="E4380" i="7"/>
  <c r="H4379" i="7" a="1"/>
  <c r="H4379" i="7" s="1"/>
  <c r="E4379" i="7"/>
  <c r="H4378" i="7" a="1"/>
  <c r="H4378" i="7" s="1"/>
  <c r="E4378" i="7"/>
  <c r="H4294" i="7" l="1" a="1"/>
  <c r="H4294" i="7" s="1"/>
  <c r="E4294" i="7"/>
  <c r="E4293" i="7"/>
  <c r="E4292" i="7"/>
  <c r="E4291" i="7"/>
  <c r="H4290" i="7" a="1"/>
  <c r="H4290" i="7" s="1"/>
  <c r="E4290" i="7"/>
  <c r="H4355" i="7" a="1"/>
  <c r="H4355" i="7" s="1"/>
  <c r="E4355" i="7"/>
  <c r="H4354" i="7" a="1"/>
  <c r="H4354" i="7" s="1"/>
  <c r="E4354" i="7"/>
  <c r="H4353" i="7" a="1"/>
  <c r="H4353" i="7" s="1"/>
  <c r="E4353" i="7"/>
  <c r="E4357" i="7"/>
  <c r="H4356" i="7" a="1"/>
  <c r="H4356" i="7" s="1"/>
  <c r="E4356" i="7"/>
  <c r="H4375" i="7" a="1"/>
  <c r="H4375" i="7" s="1"/>
  <c r="E4375" i="7"/>
  <c r="E4374" i="7"/>
  <c r="E4373" i="7"/>
  <c r="H4372" i="7" a="1"/>
  <c r="H4372" i="7" s="1"/>
  <c r="E4372" i="7"/>
  <c r="H4371" i="7" a="1"/>
  <c r="H4371" i="7" s="1"/>
  <c r="E4371" i="7"/>
  <c r="E4370" i="7"/>
  <c r="E4369" i="7"/>
  <c r="H4368" i="7" a="1"/>
  <c r="H4368" i="7" s="1"/>
  <c r="E4368" i="7"/>
  <c r="H4367" i="7" a="1"/>
  <c r="H4367" i="7" s="1"/>
  <c r="E4367" i="7"/>
  <c r="E4366" i="7"/>
  <c r="E4364" i="7"/>
  <c r="H4363" i="7" a="1"/>
  <c r="H4363" i="7" s="1"/>
  <c r="E4363" i="7"/>
  <c r="H4362" i="7" l="1" a="1"/>
  <c r="H4362" i="7" s="1"/>
  <c r="E4362" i="7"/>
  <c r="H4361" i="7" a="1"/>
  <c r="H4361" i="7" s="1"/>
  <c r="E4361" i="7"/>
  <c r="H4338" i="7" a="1"/>
  <c r="H4338" i="7" s="1"/>
  <c r="E4338" i="7"/>
  <c r="H4337" i="7" a="1"/>
  <c r="H4337" i="7" s="1"/>
  <c r="E4337" i="7"/>
  <c r="H4336" i="7" a="1"/>
  <c r="H4336" i="7" s="1"/>
  <c r="E4336" i="7"/>
  <c r="H4335" i="7" a="1"/>
  <c r="H4335" i="7" s="1"/>
  <c r="E4335" i="7"/>
  <c r="H4334" i="7" a="1"/>
  <c r="H4334" i="7" s="1"/>
  <c r="E4334" i="7"/>
  <c r="H4333" i="7" a="1"/>
  <c r="H4333" i="7" s="1"/>
  <c r="E4333" i="7"/>
  <c r="H4332" i="7" a="1"/>
  <c r="H4332" i="7" s="1"/>
  <c r="E4332" i="7"/>
  <c r="H4331" i="7" a="1"/>
  <c r="H4331" i="7" s="1"/>
  <c r="E4331" i="7"/>
  <c r="H4330" i="7" l="1" a="1"/>
  <c r="H4330" i="7" s="1"/>
  <c r="E4330" i="7"/>
  <c r="E4329" i="7"/>
  <c r="E4328" i="7"/>
  <c r="E4327" i="7"/>
  <c r="H4326" i="7" a="1"/>
  <c r="H4326" i="7" s="1"/>
  <c r="E4326" i="7"/>
  <c r="H4360" i="7" a="1"/>
  <c r="H4360" i="7" s="1"/>
  <c r="E4360" i="7"/>
  <c r="H4359" i="7" a="1"/>
  <c r="H4359" i="7" s="1"/>
  <c r="E4359" i="7"/>
  <c r="H4358" i="7" a="1"/>
  <c r="H4358" i="7" s="1"/>
  <c r="E4358" i="7"/>
  <c r="K4351" i="7" l="1"/>
  <c r="L4352" i="7" s="1"/>
  <c r="K4349" i="7"/>
  <c r="L4350" i="7" s="1"/>
  <c r="K4347" i="7"/>
  <c r="L4348" i="7" s="1"/>
  <c r="H4352" i="7" a="1"/>
  <c r="H4352" i="7" s="1"/>
  <c r="E4352" i="7"/>
  <c r="H4351" i="7" a="1"/>
  <c r="H4351" i="7" s="1"/>
  <c r="E4351" i="7"/>
  <c r="H4350" i="7" a="1"/>
  <c r="H4350" i="7" s="1"/>
  <c r="E4350" i="7"/>
  <c r="H4349" i="7" a="1"/>
  <c r="H4349" i="7" s="1"/>
  <c r="E4349" i="7"/>
  <c r="H4348" i="7" a="1"/>
  <c r="H4348" i="7" s="1"/>
  <c r="E4348" i="7"/>
  <c r="H4347" i="7" a="1"/>
  <c r="H4347" i="7" s="1"/>
  <c r="E4347" i="7"/>
  <c r="H4346" i="7" a="1"/>
  <c r="H4346" i="7" s="1"/>
  <c r="E4346" i="7"/>
  <c r="H4345" i="7" a="1"/>
  <c r="H4345" i="7" s="1"/>
  <c r="E4345" i="7"/>
  <c r="H4344" i="7" a="1"/>
  <c r="H4344" i="7" s="1"/>
  <c r="E4344" i="7"/>
  <c r="H4343" i="7" a="1"/>
  <c r="H4343" i="7" s="1"/>
  <c r="E4343" i="7"/>
  <c r="H4342" i="7" a="1"/>
  <c r="H4342" i="7" s="1"/>
  <c r="E4342" i="7"/>
  <c r="H4341" i="7" a="1"/>
  <c r="H4341" i="7" s="1"/>
  <c r="E4341" i="7"/>
  <c r="H4340" i="7" a="1"/>
  <c r="H4340" i="7" s="1"/>
  <c r="E4340" i="7"/>
  <c r="H4339" i="7" a="1"/>
  <c r="H4339" i="7" s="1"/>
  <c r="E4339" i="7"/>
  <c r="H4325" i="7" a="1"/>
  <c r="H4325" i="7" s="1"/>
  <c r="E4325" i="7"/>
  <c r="E4324" i="7"/>
  <c r="E4323" i="7"/>
  <c r="H4322" i="7" a="1"/>
  <c r="H4322" i="7" s="1"/>
  <c r="E4322" i="7"/>
  <c r="H4300" i="7" l="1" a="1"/>
  <c r="H4300" i="7" s="1"/>
  <c r="E4300" i="7"/>
  <c r="H4299" i="7" a="1"/>
  <c r="H4299" i="7" s="1"/>
  <c r="E4299" i="7"/>
  <c r="H4311" i="7" a="1"/>
  <c r="H4311" i="7" s="1"/>
  <c r="E4311" i="7"/>
  <c r="H4310" i="7" a="1"/>
  <c r="H4310" i="7" s="1"/>
  <c r="E4310" i="7"/>
  <c r="H4321" i="7" a="1"/>
  <c r="H4321" i="7" s="1"/>
  <c r="E4321" i="7"/>
  <c r="H4320" i="7" a="1"/>
  <c r="H4320" i="7" s="1"/>
  <c r="E4320" i="7"/>
  <c r="H4319" i="7" a="1"/>
  <c r="H4319" i="7" s="1"/>
  <c r="E4319" i="7"/>
  <c r="H4318" i="7" a="1"/>
  <c r="H4318" i="7" s="1"/>
  <c r="E4318" i="7"/>
  <c r="H4317" i="7" a="1"/>
  <c r="H4317" i="7" s="1"/>
  <c r="E4317" i="7"/>
  <c r="H4316" i="7" a="1"/>
  <c r="H4316" i="7" s="1"/>
  <c r="E4316" i="7"/>
  <c r="H4303" i="7" a="1"/>
  <c r="H4303" i="7" s="1"/>
  <c r="E4303" i="7"/>
  <c r="H4302" i="7" a="1"/>
  <c r="H4302" i="7" s="1"/>
  <c r="E4302" i="7"/>
  <c r="H4301" i="7" a="1"/>
  <c r="H4301" i="7" s="1"/>
  <c r="E4301" i="7"/>
  <c r="H4275" i="7" l="1" a="1"/>
  <c r="H4275" i="7" s="1"/>
  <c r="E4275" i="7"/>
  <c r="H4274" i="7" a="1"/>
  <c r="H4274" i="7" s="1"/>
  <c r="E4274" i="7"/>
  <c r="H4305" i="7" a="1"/>
  <c r="H4305" i="7" s="1"/>
  <c r="E4305" i="7"/>
  <c r="H4304" i="7" a="1"/>
  <c r="H4304" i="7" s="1"/>
  <c r="E4304" i="7"/>
  <c r="H4315" i="7" a="1"/>
  <c r="H4315" i="7" s="1"/>
  <c r="E4315" i="7"/>
  <c r="E4314" i="7"/>
  <c r="E4313" i="7"/>
  <c r="H4312" i="7" a="1"/>
  <c r="H4312" i="7" s="1"/>
  <c r="E4312" i="7"/>
  <c r="H4309" i="7" a="1"/>
  <c r="H4309" i="7" s="1"/>
  <c r="E4309" i="7"/>
  <c r="E4308" i="7"/>
  <c r="E4307" i="7"/>
  <c r="H4306" i="7" a="1"/>
  <c r="H4306" i="7" s="1"/>
  <c r="E4306" i="7"/>
  <c r="H4298" i="7" a="1"/>
  <c r="H4298" i="7" s="1"/>
  <c r="E4298" i="7"/>
  <c r="E4297" i="7"/>
  <c r="E4296" i="7"/>
  <c r="H4295" i="7" a="1"/>
  <c r="H4295" i="7" s="1"/>
  <c r="E4295" i="7"/>
  <c r="H4289" i="7" l="1" a="1"/>
  <c r="H4289" i="7" s="1"/>
  <c r="E4289" i="7"/>
  <c r="H4288" i="7" a="1"/>
  <c r="H4288" i="7" s="1"/>
  <c r="E4288" i="7"/>
  <c r="H4287" i="7" a="1"/>
  <c r="H4287" i="7" s="1"/>
  <c r="E4287" i="7"/>
  <c r="H4286" i="7" a="1"/>
  <c r="H4286" i="7" s="1"/>
  <c r="E4286" i="7"/>
  <c r="H4285" i="7" a="1"/>
  <c r="H4285" i="7" s="1"/>
  <c r="E4285" i="7"/>
  <c r="H4284" i="7" a="1"/>
  <c r="H4284" i="7" s="1"/>
  <c r="E4284" i="7"/>
  <c r="H4283" i="7" a="1"/>
  <c r="H4283" i="7" s="1"/>
  <c r="E4283" i="7"/>
  <c r="H4282" i="7" a="1"/>
  <c r="H4282" i="7" s="1"/>
  <c r="E4282" i="7"/>
  <c r="H4281" i="7" a="1"/>
  <c r="H4281" i="7" s="1"/>
  <c r="E4281" i="7"/>
  <c r="H4280" i="7" a="1"/>
  <c r="H4280" i="7" s="1"/>
  <c r="E4280" i="7"/>
  <c r="H4279" i="7" a="1"/>
  <c r="H4279" i="7" s="1"/>
  <c r="E4279" i="7"/>
  <c r="H4278" i="7" a="1"/>
  <c r="H4278" i="7" s="1"/>
  <c r="E4278" i="7"/>
  <c r="H4277" i="7" a="1"/>
  <c r="H4277" i="7" s="1"/>
  <c r="E4277" i="7"/>
  <c r="H4276" i="7" a="1"/>
  <c r="H4276" i="7" s="1"/>
  <c r="E4276" i="7"/>
  <c r="E4269" i="7" l="1"/>
  <c r="E4270" i="7"/>
  <c r="H4273" i="7" a="1"/>
  <c r="H4273" i="7" s="1"/>
  <c r="E4273" i="7"/>
  <c r="H4272" i="7" a="1"/>
  <c r="H4272" i="7" s="1"/>
  <c r="E4272" i="7"/>
  <c r="H4271" i="7" a="1"/>
  <c r="H4271" i="7" s="1"/>
  <c r="E4271" i="7"/>
  <c r="H4268" i="7" a="1"/>
  <c r="H4268" i="7" s="1"/>
  <c r="E4268" i="7"/>
  <c r="H4258" i="7" a="1"/>
  <c r="H4258" i="7" s="1"/>
  <c r="E4258" i="7"/>
  <c r="H4257" i="7" a="1"/>
  <c r="H4257" i="7" s="1"/>
  <c r="E4257" i="7"/>
  <c r="E4256" i="7"/>
  <c r="H4255" i="7" a="1"/>
  <c r="H4255" i="7" s="1"/>
  <c r="E4255" i="7"/>
  <c r="E4254" i="7"/>
  <c r="H4253" i="7" a="1"/>
  <c r="H4253" i="7" s="1"/>
  <c r="E4253" i="7"/>
  <c r="H4252" i="7" a="1"/>
  <c r="H4252" i="7" s="1"/>
  <c r="E4252" i="7"/>
  <c r="H4251" i="7" a="1"/>
  <c r="H4251" i="7" s="1"/>
  <c r="E4251" i="7"/>
  <c r="H4267" i="7" a="1"/>
  <c r="H4267" i="7" s="1"/>
  <c r="E4267" i="7"/>
  <c r="E4266" i="7"/>
  <c r="E4265" i="7"/>
  <c r="H4264" i="7" a="1"/>
  <c r="H4264" i="7" s="1"/>
  <c r="E4264" i="7"/>
  <c r="H4250" i="7" a="1"/>
  <c r="H4250" i="7" s="1"/>
  <c r="E4250" i="7"/>
  <c r="E4249" i="7"/>
  <c r="E4248" i="7"/>
  <c r="H4247" i="7" a="1"/>
  <c r="H4247" i="7" s="1"/>
  <c r="E4247" i="7"/>
  <c r="H4246" i="7" a="1"/>
  <c r="H4246" i="7" s="1"/>
  <c r="E4246" i="7"/>
  <c r="H4245" i="7" a="1"/>
  <c r="H4245" i="7" s="1"/>
  <c r="E4245" i="7"/>
  <c r="H4244" i="7" a="1"/>
  <c r="H4244" i="7" s="1"/>
  <c r="E4244" i="7"/>
  <c r="H4263" i="7" l="1" a="1"/>
  <c r="H4263" i="7" s="1"/>
  <c r="E4263" i="7"/>
  <c r="H4262" i="7" a="1"/>
  <c r="H4262" i="7" s="1"/>
  <c r="E4262" i="7"/>
  <c r="H4261" i="7" a="1"/>
  <c r="H4261" i="7" s="1"/>
  <c r="E4261" i="7"/>
  <c r="H4260" i="7" a="1"/>
  <c r="H4260" i="7" s="1"/>
  <c r="E4260" i="7"/>
  <c r="H4259" i="7" a="1"/>
  <c r="H4259" i="7" s="1"/>
  <c r="E4259" i="7"/>
  <c r="H4243" i="7" a="1"/>
  <c r="H4243" i="7" s="1"/>
  <c r="E4243" i="7"/>
  <c r="H4242" i="7" a="1"/>
  <c r="H4242" i="7" s="1"/>
  <c r="E4242" i="7"/>
  <c r="H4241" i="7" a="1"/>
  <c r="H4241" i="7" s="1"/>
  <c r="E4241" i="7"/>
  <c r="H4237" i="7" a="1"/>
  <c r="H4237" i="7" s="1"/>
  <c r="E4237" i="7"/>
  <c r="H4236" i="7" a="1"/>
  <c r="H4236" i="7" s="1"/>
  <c r="E4236" i="7"/>
  <c r="H4235" i="7" a="1"/>
  <c r="H4235" i="7" s="1"/>
  <c r="E4235" i="7"/>
  <c r="H4234" i="7" l="1" a="1"/>
  <c r="H4234" i="7" s="1"/>
  <c r="E4234" i="7"/>
  <c r="H4233" i="7" a="1"/>
  <c r="H4233" i="7" s="1"/>
  <c r="E4233" i="7"/>
  <c r="H4232" i="7" a="1"/>
  <c r="H4232" i="7" s="1"/>
  <c r="E4232" i="7"/>
  <c r="H4231" i="7" a="1"/>
  <c r="H4231" i="7" s="1"/>
  <c r="E4231" i="7"/>
  <c r="H4230" i="7" a="1"/>
  <c r="H4230" i="7" s="1"/>
  <c r="E4230" i="7"/>
  <c r="H4229" i="7" a="1"/>
  <c r="H4229" i="7" s="1"/>
  <c r="E4229" i="7"/>
  <c r="H4228" i="7" a="1"/>
  <c r="H4228" i="7" s="1"/>
  <c r="E4228" i="7"/>
  <c r="H4227" i="7" a="1"/>
  <c r="H4227" i="7" s="1"/>
  <c r="E4227" i="7"/>
  <c r="H4226" i="7" a="1"/>
  <c r="H4226" i="7" s="1"/>
  <c r="E4226" i="7"/>
  <c r="H4225" i="7" a="1"/>
  <c r="H4225" i="7" s="1"/>
  <c r="E4225" i="7"/>
  <c r="H4224" i="7" a="1"/>
  <c r="H4224" i="7" s="1"/>
  <c r="E4224" i="7"/>
  <c r="H4223" i="7" a="1"/>
  <c r="H4223" i="7" s="1"/>
  <c r="E4223" i="7"/>
  <c r="H4222" i="7" a="1"/>
  <c r="H4222" i="7" s="1"/>
  <c r="E4222" i="7"/>
  <c r="H4221" i="7" a="1"/>
  <c r="H4221" i="7" s="1"/>
  <c r="E4221" i="7"/>
  <c r="H4220" i="7" l="1" a="1"/>
  <c r="H4220" i="7" s="1"/>
  <c r="E4220" i="7"/>
  <c r="H4219" i="7" a="1"/>
  <c r="H4219" i="7" s="1"/>
  <c r="E4219" i="7"/>
  <c r="H4218" i="7" a="1"/>
  <c r="H4218" i="7" s="1"/>
  <c r="E4218" i="7"/>
  <c r="E4217" i="7"/>
  <c r="E4216" i="7"/>
  <c r="H4215" i="7" a="1"/>
  <c r="H4215" i="7" s="1"/>
  <c r="E4215" i="7"/>
  <c r="H4208" i="7" a="1"/>
  <c r="H4208" i="7" s="1"/>
  <c r="E4208" i="7"/>
  <c r="E4207" i="7"/>
  <c r="E4206" i="7"/>
  <c r="H4205" i="7" a="1"/>
  <c r="H4205" i="7" s="1"/>
  <c r="E4205" i="7"/>
  <c r="H4214" i="7" l="1" a="1"/>
  <c r="H4214" i="7" s="1"/>
  <c r="E4214" i="7"/>
  <c r="H4213" i="7" a="1"/>
  <c r="H4213" i="7" s="1"/>
  <c r="E4213" i="7"/>
  <c r="H4212" i="7" a="1"/>
  <c r="H4212" i="7" s="1"/>
  <c r="E4212" i="7"/>
  <c r="H4211" i="7" a="1"/>
  <c r="H4211" i="7" s="1"/>
  <c r="E4211" i="7"/>
  <c r="H4210" i="7" a="1"/>
  <c r="H4210" i="7" s="1"/>
  <c r="E4210" i="7"/>
  <c r="H4209" i="7" a="1"/>
  <c r="H4209" i="7" s="1"/>
  <c r="E4209" i="7"/>
  <c r="H4186" i="7" a="1"/>
  <c r="H4186" i="7" s="1"/>
  <c r="E4186" i="7"/>
  <c r="H4185" i="7" a="1"/>
  <c r="H4185" i="7" s="1"/>
  <c r="E4185" i="7"/>
  <c r="H4190" i="7" a="1"/>
  <c r="H4190" i="7" s="1"/>
  <c r="E4190" i="7"/>
  <c r="H4189" i="7" a="1"/>
  <c r="H4189" i="7" s="1"/>
  <c r="E4189" i="7"/>
  <c r="H4188" i="7" a="1"/>
  <c r="H4188" i="7" s="1"/>
  <c r="E4188" i="7"/>
  <c r="H4187" i="7" a="1"/>
  <c r="H4187" i="7" s="1"/>
  <c r="E4187" i="7"/>
  <c r="H4184" i="7" a="1"/>
  <c r="H4184" i="7" s="1"/>
  <c r="E4184" i="7"/>
  <c r="H4183" i="7" a="1"/>
  <c r="H4183" i="7" s="1"/>
  <c r="E4183" i="7"/>
  <c r="H4204" i="7" l="1" a="1"/>
  <c r="H4204" i="7" s="1"/>
  <c r="E4204" i="7"/>
  <c r="H4203" i="7" a="1"/>
  <c r="H4203" i="7" s="1"/>
  <c r="E4203" i="7"/>
  <c r="H4202" i="7" a="1"/>
  <c r="H4202" i="7" s="1"/>
  <c r="E4202" i="7"/>
  <c r="H4201" i="7" a="1"/>
  <c r="H4201" i="7" s="1"/>
  <c r="E4201" i="7"/>
  <c r="H4200" i="7" a="1"/>
  <c r="H4200" i="7" s="1"/>
  <c r="E4200" i="7"/>
  <c r="H4199" i="7" a="1"/>
  <c r="H4199" i="7" s="1"/>
  <c r="E4199" i="7"/>
  <c r="H4198" i="7" a="1"/>
  <c r="H4198" i="7" s="1"/>
  <c r="E4198" i="7"/>
  <c r="H4197" i="7" a="1"/>
  <c r="H4197" i="7" s="1"/>
  <c r="E4197" i="7"/>
  <c r="H4196" i="7" a="1"/>
  <c r="H4196" i="7" s="1"/>
  <c r="E4196" i="7"/>
  <c r="H4195" i="7" a="1"/>
  <c r="H4195" i="7" s="1"/>
  <c r="E4195" i="7"/>
  <c r="H4194" i="7" a="1"/>
  <c r="H4194" i="7" s="1"/>
  <c r="E4194" i="7"/>
  <c r="H4193" i="7" a="1"/>
  <c r="H4193" i="7" s="1"/>
  <c r="E4193" i="7"/>
  <c r="H4192" i="7" a="1"/>
  <c r="H4192" i="7" s="1"/>
  <c r="E4192" i="7"/>
  <c r="H4191" i="7" a="1"/>
  <c r="H4191" i="7" s="1"/>
  <c r="E4191" i="7"/>
  <c r="H4182" i="7" a="1"/>
  <c r="H4182" i="7" s="1"/>
  <c r="E4182" i="7"/>
  <c r="E4181" i="7"/>
  <c r="E4180" i="7"/>
  <c r="H4179" i="7" a="1"/>
  <c r="H4179" i="7" s="1"/>
  <c r="E4179" i="7"/>
  <c r="H4178" i="7" a="1"/>
  <c r="H4178" i="7" s="1"/>
  <c r="E4178" i="7"/>
  <c r="E4177" i="7"/>
  <c r="E4176" i="7"/>
  <c r="H4175" i="7" a="1"/>
  <c r="H4175" i="7" s="1"/>
  <c r="E4175" i="7"/>
  <c r="E4174" i="7"/>
  <c r="E4173" i="7"/>
  <c r="H4172" i="7" a="1"/>
  <c r="H4172" i="7" s="1"/>
  <c r="E4172" i="7"/>
  <c r="E4171" i="7"/>
  <c r="E4170" i="7"/>
  <c r="H4169" i="7" a="1"/>
  <c r="H4169" i="7" s="1"/>
  <c r="E4169" i="7"/>
  <c r="H4168" i="7" a="1"/>
  <c r="H4168" i="7" s="1"/>
  <c r="E4168" i="7"/>
  <c r="H4167" i="7" a="1"/>
  <c r="H4167" i="7" s="1"/>
  <c r="E4167" i="7"/>
  <c r="H4166" i="7" a="1"/>
  <c r="H4166" i="7" s="1"/>
  <c r="E4166" i="7"/>
  <c r="H4162" i="7" a="1"/>
  <c r="H4162" i="7" s="1"/>
  <c r="E4162" i="7"/>
  <c r="H4161" i="7" a="1"/>
  <c r="H4161" i="7" s="1"/>
  <c r="E4161" i="7"/>
  <c r="H4160" i="7" a="1"/>
  <c r="H4160" i="7" s="1"/>
  <c r="E4160" i="7"/>
  <c r="E4159" i="7"/>
  <c r="E4158" i="7"/>
  <c r="H4157" i="7" a="1"/>
  <c r="H4157" i="7" s="1"/>
  <c r="E4157" i="7"/>
  <c r="H4156" i="7" a="1"/>
  <c r="H4156" i="7" s="1"/>
  <c r="E4156" i="7"/>
  <c r="H4155" i="7" a="1"/>
  <c r="H4155" i="7" s="1"/>
  <c r="E4155" i="7"/>
  <c r="H4154" i="7" a="1"/>
  <c r="H4154" i="7" s="1"/>
  <c r="E4154" i="7"/>
  <c r="H4153" i="7" a="1"/>
  <c r="H4153" i="7" s="1"/>
  <c r="E4153" i="7"/>
  <c r="H4152" i="7" a="1"/>
  <c r="H4152" i="7" s="1"/>
  <c r="E4152" i="7"/>
  <c r="H4151" i="7" a="1"/>
  <c r="H4151" i="7" s="1"/>
  <c r="E4151" i="7"/>
  <c r="H4130" i="7" a="1"/>
  <c r="H4130" i="7" s="1"/>
  <c r="E4130" i="7"/>
  <c r="H4129" i="7" a="1"/>
  <c r="H4129" i="7" s="1"/>
  <c r="E4129" i="7"/>
  <c r="H4128" i="7" a="1"/>
  <c r="H4128" i="7" s="1"/>
  <c r="E4128" i="7"/>
  <c r="H4127" i="7" a="1"/>
  <c r="H4127" i="7" s="1"/>
  <c r="E4127" i="7"/>
  <c r="H4126" i="7" a="1"/>
  <c r="H4126" i="7" s="1"/>
  <c r="E4126" i="7"/>
  <c r="H4125" i="7" a="1"/>
  <c r="H4125" i="7" s="1"/>
  <c r="E4125" i="7"/>
  <c r="H4124" i="7" a="1"/>
  <c r="H4124" i="7" s="1"/>
  <c r="E4124" i="7"/>
  <c r="H4123" i="7" a="1"/>
  <c r="H4123" i="7" s="1"/>
  <c r="E4123" i="7"/>
  <c r="H4021" i="7" a="1"/>
  <c r="H4021" i="7" s="1"/>
  <c r="E4021" i="7"/>
  <c r="H4020" i="7" a="1"/>
  <c r="H4020" i="7" s="1"/>
  <c r="E4020" i="7"/>
  <c r="H4094" i="7" a="1"/>
  <c r="H4094" i="7" s="1"/>
  <c r="E4094" i="7"/>
  <c r="H4093" i="7" a="1"/>
  <c r="H4093" i="7" s="1"/>
  <c r="E4093" i="7"/>
  <c r="H4092" i="7" a="1"/>
  <c r="H4092" i="7" s="1"/>
  <c r="E4092" i="7"/>
  <c r="H4091" i="7" a="1"/>
  <c r="H4091" i="7" s="1"/>
  <c r="E4091" i="7"/>
  <c r="H4098" i="7" a="1"/>
  <c r="H4098" i="7" s="1"/>
  <c r="E4098" i="7"/>
  <c r="H4097" i="7" a="1"/>
  <c r="H4097" i="7" s="1"/>
  <c r="E4097" i="7"/>
  <c r="H4096" i="7" a="1"/>
  <c r="H4096" i="7" s="1"/>
  <c r="E4096" i="7"/>
  <c r="H4095" i="7" a="1"/>
  <c r="H4095" i="7" s="1"/>
  <c r="E4095" i="7"/>
  <c r="H4122" i="7" l="1" a="1"/>
  <c r="H4122" i="7" s="1"/>
  <c r="E4122" i="7"/>
  <c r="H4121" i="7" a="1"/>
  <c r="H4121" i="7" s="1"/>
  <c r="E4121" i="7"/>
  <c r="H4120" i="7" a="1"/>
  <c r="H4120" i="7" s="1"/>
  <c r="E4120" i="7"/>
  <c r="H4119" i="7" a="1"/>
  <c r="H4119" i="7" s="1"/>
  <c r="E4119" i="7"/>
  <c r="H4116" i="7" a="1"/>
  <c r="H4116" i="7" s="1"/>
  <c r="E4116" i="7"/>
  <c r="H4115" i="7" a="1"/>
  <c r="H4115" i="7" s="1"/>
  <c r="E4115" i="7"/>
  <c r="H4118" i="7" a="1"/>
  <c r="H4118" i="7" s="1"/>
  <c r="E4118" i="7"/>
  <c r="H4117" i="7" a="1"/>
  <c r="H4117" i="7" s="1"/>
  <c r="E4117" i="7"/>
  <c r="H4136" i="7" l="1" a="1"/>
  <c r="H4136" i="7" s="1"/>
  <c r="E4136" i="7"/>
  <c r="H4135" i="7" a="1"/>
  <c r="H4135" i="7" s="1"/>
  <c r="E4135" i="7"/>
  <c r="H4150" i="7" a="1"/>
  <c r="H4150" i="7" s="1"/>
  <c r="E4150" i="7"/>
  <c r="H4149" i="7" a="1"/>
  <c r="H4149" i="7" s="1"/>
  <c r="E4149" i="7"/>
  <c r="H4148" i="7" a="1"/>
  <c r="H4148" i="7" s="1"/>
  <c r="E4148" i="7"/>
  <c r="H4147" i="7" a="1"/>
  <c r="H4147" i="7" s="1"/>
  <c r="E4147" i="7"/>
  <c r="H4146" i="7" a="1"/>
  <c r="H4146" i="7" s="1"/>
  <c r="E4146" i="7"/>
  <c r="H4145" i="7" a="1"/>
  <c r="H4145" i="7" s="1"/>
  <c r="E4145" i="7"/>
  <c r="H4144" i="7" a="1"/>
  <c r="H4144" i="7" s="1"/>
  <c r="E4144" i="7"/>
  <c r="H4143" i="7" a="1"/>
  <c r="H4143" i="7" s="1"/>
  <c r="E4143" i="7"/>
  <c r="H4142" i="7" a="1"/>
  <c r="H4142" i="7" s="1"/>
  <c r="E4142" i="7"/>
  <c r="H4141" i="7" a="1"/>
  <c r="H4141" i="7" s="1"/>
  <c r="E4141" i="7"/>
  <c r="H4140" i="7" a="1"/>
  <c r="H4140" i="7" s="1"/>
  <c r="E4140" i="7"/>
  <c r="H4139" i="7" a="1"/>
  <c r="H4139" i="7" s="1"/>
  <c r="E4139" i="7"/>
  <c r="H4138" i="7" a="1"/>
  <c r="H4138" i="7" s="1"/>
  <c r="E4138" i="7"/>
  <c r="H4137" i="7" a="1"/>
  <c r="H4137" i="7" s="1"/>
  <c r="E4137" i="7"/>
  <c r="H4114" i="7" a="1"/>
  <c r="H4114" i="7" s="1"/>
  <c r="E4114" i="7"/>
  <c r="H4113" i="7" a="1"/>
  <c r="H4113" i="7" s="1"/>
  <c r="E4113" i="7"/>
  <c r="H4112" i="7" a="1"/>
  <c r="H4112" i="7" s="1"/>
  <c r="E4112" i="7"/>
  <c r="H4111" i="7" a="1"/>
  <c r="H4111" i="7" s="1"/>
  <c r="E4111" i="7"/>
  <c r="H4110" i="7" a="1"/>
  <c r="H4110" i="7" s="1"/>
  <c r="E4110" i="7"/>
  <c r="H4109" i="7" a="1"/>
  <c r="H4109" i="7" s="1"/>
  <c r="E4109" i="7"/>
  <c r="H4108" i="7" a="1"/>
  <c r="H4108" i="7" s="1"/>
  <c r="E4108" i="7"/>
  <c r="H4107" i="7" a="1"/>
  <c r="H4107" i="7" s="1"/>
  <c r="E4107" i="7"/>
  <c r="H4106" i="7" a="1"/>
  <c r="H4106" i="7" s="1"/>
  <c r="E4106" i="7"/>
  <c r="H4105" i="7" a="1"/>
  <c r="H4105" i="7" s="1"/>
  <c r="E4105" i="7"/>
  <c r="H4104" i="7" a="1"/>
  <c r="H4104" i="7" s="1"/>
  <c r="E4104" i="7"/>
  <c r="H4103" i="7" a="1"/>
  <c r="H4103" i="7" s="1"/>
  <c r="E4103" i="7"/>
  <c r="H4102" i="7" a="1"/>
  <c r="H4102" i="7" s="1"/>
  <c r="E4102" i="7"/>
  <c r="H4101" i="7" a="1"/>
  <c r="H4101" i="7" s="1"/>
  <c r="E4101" i="7"/>
  <c r="H4100" i="7" a="1"/>
  <c r="H4100" i="7" s="1"/>
  <c r="E4100" i="7"/>
  <c r="H4099" i="7" a="1"/>
  <c r="H4099" i="7" s="1"/>
  <c r="E4099" i="7"/>
  <c r="H4134" i="7" a="1"/>
  <c r="H4134" i="7" s="1"/>
  <c r="E4134" i="7"/>
  <c r="H4133" i="7" a="1"/>
  <c r="H4133" i="7" s="1"/>
  <c r="E4133" i="7"/>
  <c r="H4132" i="7" a="1"/>
  <c r="H4132" i="7" s="1"/>
  <c r="H4131" i="7" a="1"/>
  <c r="H4131" i="7" s="1"/>
  <c r="E4132" i="7"/>
  <c r="E4131" i="7"/>
  <c r="E2279" i="7" l="1"/>
  <c r="E2278" i="7"/>
  <c r="H4090" i="7" l="1" a="1"/>
  <c r="H4090" i="7" s="1"/>
  <c r="E4090" i="7"/>
  <c r="H4089" i="7" a="1"/>
  <c r="H4089" i="7" s="1"/>
  <c r="E4089" i="7"/>
  <c r="H4088" i="7" a="1"/>
  <c r="H4088" i="7" s="1"/>
  <c r="E4088" i="7"/>
  <c r="H4087" i="7" a="1"/>
  <c r="H4087" i="7" s="1"/>
  <c r="E4087" i="7"/>
  <c r="H4086" i="7" a="1"/>
  <c r="H4086" i="7" s="1"/>
  <c r="E4086" i="7"/>
  <c r="H4085" i="7" a="1"/>
  <c r="H4085" i="7" s="1"/>
  <c r="E4085" i="7"/>
  <c r="H4084" i="7" a="1"/>
  <c r="H4084" i="7" s="1"/>
  <c r="E4084" i="7"/>
  <c r="H4083" i="7" a="1"/>
  <c r="H4083" i="7" s="1"/>
  <c r="E4083" i="7"/>
  <c r="H4082" i="7" a="1"/>
  <c r="H4082" i="7" s="1"/>
  <c r="E4082" i="7"/>
  <c r="H4081" i="7" a="1"/>
  <c r="H4081" i="7" s="1"/>
  <c r="E4081" i="7"/>
  <c r="H4080" i="7" a="1"/>
  <c r="H4080" i="7" s="1"/>
  <c r="E4080" i="7"/>
  <c r="H4079" i="7" a="1"/>
  <c r="H4079" i="7" s="1"/>
  <c r="E4079" i="7"/>
  <c r="H4078" i="7" a="1"/>
  <c r="H4078" i="7" s="1"/>
  <c r="E4078" i="7"/>
  <c r="H4077" i="7" a="1"/>
  <c r="H4077" i="7" s="1"/>
  <c r="E4077" i="7"/>
  <c r="H4070" i="7" a="1"/>
  <c r="H4070" i="7" s="1"/>
  <c r="E4070" i="7"/>
  <c r="E4069" i="7"/>
  <c r="E4068" i="7"/>
  <c r="H4067" i="7" a="1"/>
  <c r="H4067" i="7" s="1"/>
  <c r="E4067" i="7"/>
  <c r="H4056" i="7" a="1"/>
  <c r="H4056" i="7" s="1"/>
  <c r="E4056" i="7"/>
  <c r="E4055" i="7"/>
  <c r="E4054" i="7"/>
  <c r="H4053" i="7" a="1"/>
  <c r="H4053" i="7" s="1"/>
  <c r="E4053" i="7"/>
  <c r="E4066" i="7"/>
  <c r="E4065" i="7"/>
  <c r="H4064" i="7" a="1"/>
  <c r="H4064" i="7" s="1"/>
  <c r="E4064" i="7"/>
  <c r="E4062" i="7"/>
  <c r="E4063" i="7"/>
  <c r="H4061" i="7" a="1"/>
  <c r="H4061" i="7" s="1"/>
  <c r="E4061" i="7"/>
  <c r="E4058" i="7"/>
  <c r="H4060" i="7" a="1"/>
  <c r="H4060" i="7" s="1"/>
  <c r="E4060" i="7"/>
  <c r="H4059" i="7" a="1"/>
  <c r="H4059" i="7" s="1"/>
  <c r="E4059" i="7"/>
  <c r="H4057" i="7" a="1"/>
  <c r="H4057" i="7" s="1"/>
  <c r="E4057" i="7"/>
  <c r="H4052" i="7" a="1"/>
  <c r="H4052" i="7" s="1"/>
  <c r="E4052" i="7"/>
  <c r="E4051" i="7"/>
  <c r="E4050" i="7"/>
  <c r="H4049" i="7" a="1"/>
  <c r="H4049" i="7" s="1"/>
  <c r="E4049" i="7"/>
  <c r="H4048" i="7" a="1"/>
  <c r="H4048" i="7" s="1"/>
  <c r="E4048" i="7"/>
  <c r="E4047" i="7"/>
  <c r="E4046" i="7"/>
  <c r="H4045" i="7" a="1"/>
  <c r="H4045" i="7" s="1"/>
  <c r="E4045" i="7"/>
  <c r="H4044" i="7" l="1" a="1"/>
  <c r="H4044" i="7" s="1"/>
  <c r="E4044" i="7"/>
  <c r="H4043" i="7" a="1"/>
  <c r="H4043" i="7" s="1"/>
  <c r="E4043" i="7"/>
  <c r="H4038" i="7" l="1" a="1"/>
  <c r="H4038" i="7" s="1"/>
  <c r="E4038" i="7"/>
  <c r="H4037" i="7" a="1"/>
  <c r="H4037" i="7" s="1"/>
  <c r="E4037" i="7"/>
  <c r="H4036" i="7" a="1"/>
  <c r="H4036" i="7" s="1"/>
  <c r="E4036" i="7"/>
  <c r="H4076" i="7" a="1"/>
  <c r="H4076" i="7" s="1"/>
  <c r="E4076" i="7"/>
  <c r="H4075" i="7" a="1"/>
  <c r="H4075" i="7" s="1"/>
  <c r="E4075" i="7"/>
  <c r="H4074" i="7" a="1"/>
  <c r="H4074" i="7" s="1"/>
  <c r="E4074" i="7"/>
  <c r="H4073" i="7" a="1"/>
  <c r="H4073" i="7" s="1"/>
  <c r="E4073" i="7"/>
  <c r="H4072" i="7" a="1"/>
  <c r="H4072" i="7" s="1"/>
  <c r="E4072" i="7"/>
  <c r="H4071" i="7" a="1"/>
  <c r="H4071" i="7" s="1"/>
  <c r="E4071" i="7"/>
  <c r="E4042" i="7" l="1"/>
  <c r="H4041" i="7" a="1"/>
  <c r="H4041" i="7" s="1"/>
  <c r="E4041" i="7"/>
  <c r="E4040" i="7"/>
  <c r="H4039" i="7" a="1"/>
  <c r="H4039" i="7" s="1"/>
  <c r="E4039" i="7"/>
  <c r="H4035" i="7" l="1" a="1"/>
  <c r="H4035" i="7" s="1"/>
  <c r="E4035" i="7"/>
  <c r="H4034" i="7" a="1"/>
  <c r="H4034" i="7" s="1"/>
  <c r="E4034" i="7"/>
  <c r="H4033" i="7" a="1"/>
  <c r="H4033" i="7" s="1"/>
  <c r="E4033" i="7"/>
  <c r="H4032" i="7" a="1"/>
  <c r="H4032" i="7" s="1"/>
  <c r="E4032" i="7"/>
  <c r="H4031" i="7" a="1"/>
  <c r="H4031" i="7" s="1"/>
  <c r="E4031" i="7"/>
  <c r="H4030" i="7" a="1"/>
  <c r="H4030" i="7" s="1"/>
  <c r="E4030" i="7"/>
  <c r="H4029" i="7" a="1"/>
  <c r="H4029" i="7" s="1"/>
  <c r="E4029" i="7"/>
  <c r="H4028" i="7" a="1"/>
  <c r="H4028" i="7" s="1"/>
  <c r="E4028" i="7"/>
  <c r="H4027" i="7" a="1"/>
  <c r="H4027" i="7" s="1"/>
  <c r="E4027" i="7"/>
  <c r="H4026" i="7" a="1"/>
  <c r="H4026" i="7" s="1"/>
  <c r="E4026" i="7"/>
  <c r="H4025" i="7" a="1"/>
  <c r="H4025" i="7" s="1"/>
  <c r="E4025" i="7"/>
  <c r="H4024" i="7" a="1"/>
  <c r="H4024" i="7" s="1"/>
  <c r="E4024" i="7"/>
  <c r="H4023" i="7" a="1"/>
  <c r="H4023" i="7" s="1"/>
  <c r="E4023" i="7"/>
  <c r="H4022" i="7" a="1"/>
  <c r="H4022" i="7" s="1"/>
  <c r="E4022" i="7"/>
  <c r="H4019" i="7" a="1"/>
  <c r="H4019" i="7" s="1"/>
  <c r="E4019" i="7"/>
  <c r="E4018" i="7"/>
  <c r="E4017" i="7"/>
  <c r="H4016" i="7" a="1"/>
  <c r="H4016" i="7" s="1"/>
  <c r="E4016" i="7"/>
  <c r="H4015" i="7" a="1"/>
  <c r="H4015" i="7" s="1"/>
  <c r="E4015" i="7"/>
  <c r="E4014" i="7"/>
  <c r="E4013" i="7"/>
  <c r="H4012" i="7" a="1"/>
  <c r="H4012" i="7" s="1"/>
  <c r="E4012" i="7"/>
  <c r="H4005" i="7" l="1" a="1"/>
  <c r="H4005" i="7" s="1"/>
  <c r="E4005" i="7"/>
  <c r="H4004" i="7" a="1"/>
  <c r="H4004" i="7" s="1"/>
  <c r="E4004" i="7"/>
  <c r="H4011" i="7" l="1" a="1"/>
  <c r="H4011" i="7" s="1"/>
  <c r="E4011" i="7"/>
  <c r="H4010" i="7" a="1"/>
  <c r="H4010" i="7" s="1"/>
  <c r="E4010" i="7"/>
  <c r="H4009" i="7" a="1"/>
  <c r="H4009" i="7" s="1"/>
  <c r="E4009" i="7"/>
  <c r="H4008" i="7" a="1"/>
  <c r="H4008" i="7" s="1"/>
  <c r="E4008" i="7"/>
  <c r="H4003" i="7" a="1"/>
  <c r="H4003" i="7" s="1"/>
  <c r="E4003" i="7"/>
  <c r="H4002" i="7" a="1"/>
  <c r="H4002" i="7" s="1"/>
  <c r="E4002" i="7"/>
  <c r="H4007" i="7" a="1"/>
  <c r="H4007" i="7" s="1"/>
  <c r="E4007" i="7"/>
  <c r="H4006" i="7" a="1"/>
  <c r="H4006" i="7" s="1"/>
  <c r="E4006" i="7"/>
  <c r="E4001" i="7"/>
  <c r="E4000" i="7"/>
  <c r="H3999" i="7" a="1"/>
  <c r="H3999" i="7" s="1"/>
  <c r="E3999" i="7"/>
  <c r="E3998" i="7"/>
  <c r="H3997" i="7" a="1"/>
  <c r="H3997" i="7" s="1"/>
  <c r="E3997" i="7"/>
  <c r="E3996" i="7"/>
  <c r="H3995" i="7" a="1"/>
  <c r="H3995" i="7" s="1"/>
  <c r="E3995" i="7"/>
  <c r="E3994" i="7"/>
  <c r="H3993" i="7" a="1"/>
  <c r="H3993" i="7" s="1"/>
  <c r="E3993" i="7"/>
  <c r="H3989" i="7" a="1"/>
  <c r="H3989" i="7" s="1"/>
  <c r="E3989" i="7"/>
  <c r="H3988" i="7" a="1"/>
  <c r="H3988" i="7" s="1"/>
  <c r="E3988" i="7"/>
  <c r="H3992" i="7" l="1" a="1"/>
  <c r="H3992" i="7" s="1"/>
  <c r="E3992" i="7"/>
  <c r="H3991" i="7" a="1"/>
  <c r="H3991" i="7" s="1"/>
  <c r="E3991" i="7"/>
  <c r="H3990" i="7" a="1"/>
  <c r="H3990" i="7" s="1"/>
  <c r="E3990" i="7"/>
  <c r="H3987" i="7" l="1" a="1"/>
  <c r="H3987" i="7" s="1"/>
  <c r="E3987" i="7"/>
  <c r="H3986" i="7" a="1"/>
  <c r="H3986" i="7" s="1"/>
  <c r="E3986" i="7"/>
  <c r="H3985" i="7" a="1"/>
  <c r="H3985" i="7" s="1"/>
  <c r="E3985" i="7"/>
  <c r="H3984" i="7" a="1"/>
  <c r="H3984" i="7" s="1"/>
  <c r="E3984" i="7"/>
  <c r="H3983" i="7" a="1"/>
  <c r="H3983" i="7" s="1"/>
  <c r="E3983" i="7"/>
  <c r="H3982" i="7" a="1"/>
  <c r="H3982" i="7" s="1"/>
  <c r="E3982" i="7"/>
  <c r="H3981" i="7" a="1"/>
  <c r="H3981" i="7" s="1"/>
  <c r="E3981" i="7"/>
  <c r="H3980" i="7" a="1"/>
  <c r="H3980" i="7" s="1"/>
  <c r="E3980" i="7"/>
  <c r="H3979" i="7" a="1"/>
  <c r="H3979" i="7" s="1"/>
  <c r="E3979" i="7"/>
  <c r="H3978" i="7" a="1"/>
  <c r="H3978" i="7" s="1"/>
  <c r="E3978" i="7"/>
  <c r="H3977" i="7" a="1"/>
  <c r="H3977" i="7" s="1"/>
  <c r="E3977" i="7"/>
  <c r="H3976" i="7" a="1"/>
  <c r="H3976" i="7" s="1"/>
  <c r="E3976" i="7"/>
  <c r="H3975" i="7" a="1"/>
  <c r="H3975" i="7" s="1"/>
  <c r="E3975" i="7"/>
  <c r="H3974" i="7" a="1"/>
  <c r="H3974" i="7" s="1"/>
  <c r="E3974" i="7"/>
  <c r="E3960" i="7"/>
  <c r="E3957" i="7"/>
  <c r="E3961" i="7"/>
  <c r="H3959" i="7" a="1"/>
  <c r="H3959" i="7" s="1"/>
  <c r="E3959" i="7"/>
  <c r="E3958" i="7"/>
  <c r="H3956" i="7" a="1"/>
  <c r="H3956" i="7" s="1"/>
  <c r="E3956" i="7"/>
  <c r="E3955" i="7"/>
  <c r="H3954" i="7" a="1"/>
  <c r="H3954" i="7" s="1"/>
  <c r="E3954" i="7"/>
  <c r="H3953" i="7" a="1"/>
  <c r="H3953" i="7" s="1"/>
  <c r="E3953" i="7"/>
  <c r="H3952" i="7" a="1"/>
  <c r="H3952" i="7" s="1"/>
  <c r="E3952" i="7"/>
  <c r="H3973" i="7" a="1"/>
  <c r="H3973" i="7" s="1"/>
  <c r="E3973" i="7"/>
  <c r="E3972" i="7"/>
  <c r="E3971" i="7"/>
  <c r="H3970" i="7" a="1"/>
  <c r="H3970" i="7" s="1"/>
  <c r="E3970" i="7"/>
  <c r="H3969" i="7" a="1"/>
  <c r="H3969" i="7" s="1"/>
  <c r="E3969" i="7"/>
  <c r="E3968" i="7"/>
  <c r="E3967" i="7"/>
  <c r="H3966" i="7" a="1"/>
  <c r="H3966" i="7" s="1"/>
  <c r="E3966" i="7"/>
  <c r="H3965" i="7" a="1"/>
  <c r="H3965" i="7" s="1"/>
  <c r="E3965" i="7"/>
  <c r="E3964" i="7"/>
  <c r="E3963" i="7"/>
  <c r="H3962" i="7" a="1"/>
  <c r="H3962" i="7" s="1"/>
  <c r="E3962" i="7"/>
  <c r="E3951" i="7" l="1"/>
  <c r="H3950" i="7" a="1"/>
  <c r="H3950" i="7" s="1"/>
  <c r="E3950" i="7"/>
  <c r="E3949" i="7"/>
  <c r="H3948" i="7" a="1"/>
  <c r="H3948" i="7" s="1"/>
  <c r="E3948" i="7"/>
  <c r="E3947" i="7"/>
  <c r="H3946" i="7" a="1"/>
  <c r="H3946" i="7" s="1"/>
  <c r="E3946" i="7"/>
  <c r="E3945" i="7"/>
  <c r="H3944" i="7" a="1"/>
  <c r="H3944" i="7" s="1"/>
  <c r="E3944" i="7"/>
  <c r="E3943" i="7"/>
  <c r="H3942" i="7" a="1"/>
  <c r="H3942" i="7" s="1"/>
  <c r="E3942" i="7"/>
  <c r="H3941" i="7" a="1"/>
  <c r="H3941" i="7" s="1"/>
  <c r="E3941" i="7"/>
  <c r="H3940" i="7" a="1"/>
  <c r="H3940" i="7" s="1"/>
  <c r="E3940" i="7"/>
  <c r="H3939" i="7" a="1"/>
  <c r="H3939" i="7" s="1"/>
  <c r="E3939" i="7"/>
  <c r="H3938" i="7" a="1"/>
  <c r="H3938" i="7" s="1"/>
  <c r="E3938" i="7"/>
  <c r="E3937" i="7"/>
  <c r="E3936" i="7"/>
  <c r="H3935" i="7" a="1"/>
  <c r="H3935" i="7" s="1"/>
  <c r="E3935" i="7"/>
  <c r="H3934" i="7" a="1"/>
  <c r="H3934" i="7" s="1"/>
  <c r="E3934" i="7"/>
  <c r="E3933" i="7"/>
  <c r="E3932" i="7"/>
  <c r="H3931" i="7" a="1"/>
  <c r="H3931" i="7" s="1"/>
  <c r="E3931" i="7"/>
  <c r="H3930" i="7" l="1" a="1"/>
  <c r="H3930" i="7" s="1"/>
  <c r="E3930" i="7"/>
  <c r="H3929" i="7" a="1"/>
  <c r="H3929" i="7" s="1"/>
  <c r="E3929" i="7"/>
  <c r="H3928" i="7" a="1"/>
  <c r="H3928" i="7" s="1"/>
  <c r="E3928" i="7"/>
  <c r="H3927" i="7" a="1"/>
  <c r="H3927" i="7" s="1"/>
  <c r="E3927" i="7"/>
  <c r="H3926" i="7" a="1"/>
  <c r="H3926" i="7" s="1"/>
  <c r="E3926" i="7"/>
  <c r="H3925" i="7" a="1"/>
  <c r="H3925" i="7" s="1"/>
  <c r="E3925" i="7"/>
  <c r="H3924" i="7" a="1"/>
  <c r="H3924" i="7" s="1"/>
  <c r="E3924" i="7"/>
  <c r="H3923" i="7" a="1"/>
  <c r="H3923" i="7" s="1"/>
  <c r="E3923" i="7"/>
  <c r="H3922" i="7" a="1"/>
  <c r="H3922" i="7" s="1"/>
  <c r="E3922" i="7"/>
  <c r="H3921" i="7" a="1"/>
  <c r="H3921" i="7" s="1"/>
  <c r="E3921" i="7"/>
  <c r="H3920" i="7" a="1"/>
  <c r="H3920" i="7" s="1"/>
  <c r="E3920" i="7"/>
  <c r="H3919" i="7" a="1"/>
  <c r="H3919" i="7" s="1"/>
  <c r="E3919" i="7"/>
  <c r="H3918" i="7" a="1"/>
  <c r="H3918" i="7" s="1"/>
  <c r="E3918" i="7"/>
  <c r="H3917" i="7" a="1"/>
  <c r="H3917" i="7" s="1"/>
  <c r="E3917" i="7"/>
  <c r="H3916" i="7" a="1"/>
  <c r="H3916" i="7" s="1"/>
  <c r="E3916" i="7"/>
  <c r="H3915" i="7" a="1"/>
  <c r="H3915" i="7" s="1"/>
  <c r="E3915" i="7"/>
  <c r="E3914" i="7" l="1"/>
  <c r="H3913" i="7" a="1"/>
  <c r="H3913" i="7" s="1"/>
  <c r="E3913" i="7"/>
  <c r="E3912" i="7" l="1"/>
  <c r="H3911" i="7" a="1"/>
  <c r="H3911" i="7" s="1"/>
  <c r="E3911" i="7"/>
  <c r="E3908" i="7"/>
  <c r="E3904" i="7"/>
  <c r="E3900" i="7"/>
  <c r="E3896" i="7"/>
  <c r="E3892" i="7"/>
  <c r="E3888" i="7"/>
  <c r="E3884" i="7"/>
  <c r="H3910" i="7" a="1"/>
  <c r="H3910" i="7" s="1"/>
  <c r="E3910" i="7"/>
  <c r="E3909" i="7"/>
  <c r="H3907" i="7" a="1"/>
  <c r="H3907" i="7" s="1"/>
  <c r="E3907" i="7"/>
  <c r="H3906" i="7" a="1"/>
  <c r="H3906" i="7" s="1"/>
  <c r="E3906" i="7"/>
  <c r="E3905" i="7"/>
  <c r="H3903" i="7" a="1"/>
  <c r="H3903" i="7" s="1"/>
  <c r="E3903" i="7"/>
  <c r="H3902" i="7" a="1"/>
  <c r="H3902" i="7" s="1"/>
  <c r="E3902" i="7"/>
  <c r="E3901" i="7"/>
  <c r="H3899" i="7" a="1"/>
  <c r="H3899" i="7" s="1"/>
  <c r="E3899" i="7"/>
  <c r="H3898" i="7" a="1"/>
  <c r="H3898" i="7" s="1"/>
  <c r="E3898" i="7"/>
  <c r="E3897" i="7"/>
  <c r="H3895" i="7" a="1"/>
  <c r="H3895" i="7" s="1"/>
  <c r="E3895" i="7"/>
  <c r="H3894" i="7" a="1"/>
  <c r="H3894" i="7" s="1"/>
  <c r="E3894" i="7"/>
  <c r="E3893" i="7"/>
  <c r="H3891" i="7" a="1"/>
  <c r="H3891" i="7" s="1"/>
  <c r="E3891" i="7"/>
  <c r="H3890" i="7" a="1"/>
  <c r="H3890" i="7" s="1"/>
  <c r="E3890" i="7"/>
  <c r="E3889" i="7"/>
  <c r="H3887" i="7" a="1"/>
  <c r="H3887" i="7" s="1"/>
  <c r="E3887" i="7"/>
  <c r="H3886" i="7" a="1"/>
  <c r="H3886" i="7" s="1"/>
  <c r="E3886" i="7"/>
  <c r="E3885" i="7"/>
  <c r="H3883" i="7" a="1"/>
  <c r="H3883" i="7" s="1"/>
  <c r="E3883" i="7"/>
  <c r="E3508" i="7"/>
  <c r="E3505" i="7"/>
  <c r="E3502" i="7"/>
  <c r="E3499" i="7"/>
  <c r="E3496" i="7"/>
  <c r="E3493" i="7"/>
  <c r="E3490" i="7"/>
  <c r="H3882" i="7" a="1"/>
  <c r="H3882" i="7" s="1"/>
  <c r="E3882" i="7"/>
  <c r="H3881" i="7" a="1"/>
  <c r="H3881" i="7" s="1"/>
  <c r="E3881" i="7"/>
  <c r="H3864" i="7" a="1"/>
  <c r="H3864" i="7" s="1"/>
  <c r="E3864" i="7"/>
  <c r="E3863" i="7"/>
  <c r="E3862" i="7"/>
  <c r="H3861" i="7" a="1"/>
  <c r="H3861" i="7" s="1"/>
  <c r="E3861" i="7"/>
  <c r="H3880" i="7" l="1" a="1"/>
  <c r="H3880" i="7" s="1"/>
  <c r="E3880" i="7"/>
  <c r="H3879" i="7" a="1"/>
  <c r="H3879" i="7" s="1"/>
  <c r="E3879" i="7"/>
  <c r="H3878" i="7" a="1"/>
  <c r="H3878" i="7" s="1"/>
  <c r="E3878" i="7"/>
  <c r="H3877" i="7" a="1"/>
  <c r="H3877" i="7" s="1"/>
  <c r="E3877" i="7"/>
  <c r="H3876" i="7" a="1"/>
  <c r="H3876" i="7" s="1"/>
  <c r="E3876" i="7"/>
  <c r="H3875" i="7" a="1"/>
  <c r="H3875" i="7" s="1"/>
  <c r="E3875" i="7"/>
  <c r="H3874" i="7" a="1"/>
  <c r="H3874" i="7" s="1"/>
  <c r="E3874" i="7"/>
  <c r="H3873" i="7" a="1"/>
  <c r="H3873" i="7" s="1"/>
  <c r="E3873" i="7"/>
  <c r="H3872" i="7" a="1"/>
  <c r="H3872" i="7" s="1"/>
  <c r="E3872" i="7"/>
  <c r="H3871" i="7" a="1"/>
  <c r="H3871" i="7" s="1"/>
  <c r="E3871" i="7"/>
  <c r="H3870" i="7" a="1"/>
  <c r="H3870" i="7" s="1"/>
  <c r="E3870" i="7"/>
  <c r="H3869" i="7" a="1"/>
  <c r="H3869" i="7" s="1"/>
  <c r="E3869" i="7"/>
  <c r="H3868" i="7" a="1"/>
  <c r="H3868" i="7" s="1"/>
  <c r="E3868" i="7"/>
  <c r="H3867" i="7" a="1"/>
  <c r="H3867" i="7" s="1"/>
  <c r="E3867" i="7"/>
  <c r="H3866" i="7" a="1"/>
  <c r="H3866" i="7" s="1"/>
  <c r="E3866" i="7"/>
  <c r="H3865" i="7" a="1"/>
  <c r="H3865" i="7" s="1"/>
  <c r="E3865" i="7"/>
  <c r="H3850" i="7" a="1"/>
  <c r="H3850" i="7" s="1"/>
  <c r="E3850" i="7"/>
  <c r="H3849" i="7" a="1"/>
  <c r="H3849" i="7" s="1"/>
  <c r="E3849" i="7"/>
  <c r="H3848" i="7" a="1"/>
  <c r="H3848" i="7" s="1"/>
  <c r="E3848" i="7"/>
  <c r="H3860" i="7" l="1" a="1"/>
  <c r="H3860" i="7" s="1"/>
  <c r="E3860" i="7"/>
  <c r="H3859" i="7" a="1"/>
  <c r="H3859" i="7" s="1"/>
  <c r="E3859" i="7"/>
  <c r="H3858" i="7" a="1"/>
  <c r="H3858" i="7" s="1"/>
  <c r="E3858" i="7"/>
  <c r="H3857" i="7" a="1"/>
  <c r="H3857" i="7" s="1"/>
  <c r="E3857" i="7"/>
  <c r="H3856" i="7" a="1"/>
  <c r="H3856" i="7" s="1"/>
  <c r="E3856" i="7"/>
  <c r="H3852" i="7" a="1"/>
  <c r="H3852" i="7" s="1"/>
  <c r="E3852" i="7"/>
  <c r="H3851" i="7" a="1"/>
  <c r="H3851" i="7" s="1"/>
  <c r="E3851" i="7"/>
  <c r="H3847" i="7" a="1"/>
  <c r="H3847" i="7" s="1"/>
  <c r="E3847" i="7"/>
  <c r="H3846" i="7" a="1"/>
  <c r="H3846" i="7" s="1"/>
  <c r="E3846" i="7"/>
  <c r="H3829" i="7" a="1"/>
  <c r="H3829" i="7" s="1"/>
  <c r="E3829" i="7"/>
  <c r="E3828" i="7"/>
  <c r="E3827" i="7"/>
  <c r="H3826" i="7" a="1"/>
  <c r="H3826" i="7" s="1"/>
  <c r="E3826" i="7"/>
  <c r="H3820" i="7" a="1"/>
  <c r="H3820" i="7" s="1"/>
  <c r="E3820" i="7"/>
  <c r="E3819" i="7"/>
  <c r="E3818" i="7"/>
  <c r="H3817" i="7" a="1"/>
  <c r="H3817" i="7" s="1"/>
  <c r="E3817" i="7"/>
  <c r="H3855" i="7" l="1" a="1"/>
  <c r="H3855" i="7" s="1"/>
  <c r="E3855" i="7"/>
  <c r="H3854" i="7" a="1"/>
  <c r="H3854" i="7" s="1"/>
  <c r="E3854" i="7"/>
  <c r="H3853" i="7" a="1"/>
  <c r="H3853" i="7" s="1"/>
  <c r="E3853" i="7"/>
  <c r="H3845" i="7" l="1" a="1"/>
  <c r="H3845" i="7" s="1"/>
  <c r="E3845" i="7"/>
  <c r="H3844" i="7" a="1"/>
  <c r="H3844" i="7" s="1"/>
  <c r="E3844" i="7"/>
  <c r="H3843" i="7" a="1"/>
  <c r="H3843" i="7" s="1"/>
  <c r="E3843" i="7"/>
  <c r="H3842" i="7" a="1"/>
  <c r="H3842" i="7" s="1"/>
  <c r="E3842" i="7"/>
  <c r="H3841" i="7" a="1"/>
  <c r="H3841" i="7" s="1"/>
  <c r="E3841" i="7"/>
  <c r="H3840" i="7" a="1"/>
  <c r="H3840" i="7" s="1"/>
  <c r="E3840" i="7"/>
  <c r="H3839" i="7" a="1"/>
  <c r="H3839" i="7" s="1"/>
  <c r="E3839" i="7"/>
  <c r="H3838" i="7" a="1"/>
  <c r="H3838" i="7" s="1"/>
  <c r="E3838" i="7"/>
  <c r="H3837" i="7" a="1"/>
  <c r="H3837" i="7" s="1"/>
  <c r="E3837" i="7"/>
  <c r="H3836" i="7" a="1"/>
  <c r="H3836" i="7" s="1"/>
  <c r="E3836" i="7"/>
  <c r="H3835" i="7" a="1"/>
  <c r="H3835" i="7" s="1"/>
  <c r="E3835" i="7"/>
  <c r="H3834" i="7" a="1"/>
  <c r="H3834" i="7" s="1"/>
  <c r="E3834" i="7"/>
  <c r="H3833" i="7" a="1"/>
  <c r="H3833" i="7" s="1"/>
  <c r="E3833" i="7"/>
  <c r="H3832" i="7" a="1"/>
  <c r="H3832" i="7" s="1"/>
  <c r="E3832" i="7"/>
  <c r="H3831" i="7" a="1"/>
  <c r="H3831" i="7" s="1"/>
  <c r="E3831" i="7"/>
  <c r="H3830" i="7" a="1"/>
  <c r="H3830" i="7" s="1"/>
  <c r="E3830" i="7"/>
  <c r="H3825" i="7" l="1" a="1"/>
  <c r="H3825" i="7" s="1"/>
  <c r="E3825" i="7"/>
  <c r="H3824" i="7" a="1"/>
  <c r="H3824" i="7" s="1"/>
  <c r="E3824" i="7"/>
  <c r="H3823" i="7" a="1"/>
  <c r="H3823" i="7" s="1"/>
  <c r="E3823" i="7"/>
  <c r="H3822" i="7" a="1"/>
  <c r="H3822" i="7" s="1"/>
  <c r="E3822" i="7"/>
  <c r="H3821" i="7" a="1"/>
  <c r="H3821" i="7" s="1"/>
  <c r="E3821" i="7"/>
  <c r="H3790" i="7" l="1" a="1"/>
  <c r="H3790" i="7" s="1"/>
  <c r="E3790" i="7"/>
  <c r="H3789" i="7" a="1"/>
  <c r="H3789" i="7" s="1"/>
  <c r="E3789" i="7"/>
  <c r="H3816" i="7" l="1" a="1"/>
  <c r="H3816" i="7" s="1"/>
  <c r="E3816" i="7"/>
  <c r="H3815" i="7" a="1"/>
  <c r="H3815" i="7" s="1"/>
  <c r="E3815" i="7"/>
  <c r="H3814" i="7" a="1"/>
  <c r="H3814" i="7" s="1"/>
  <c r="E3814" i="7"/>
  <c r="H3813" i="7" a="1"/>
  <c r="H3813" i="7" s="1"/>
  <c r="E3813" i="7"/>
  <c r="H3812" i="7" a="1"/>
  <c r="H3812" i="7" s="1"/>
  <c r="E3812" i="7"/>
  <c r="H3811" i="7" a="1"/>
  <c r="H3811" i="7" s="1"/>
  <c r="E3811" i="7"/>
  <c r="H3810" i="7" a="1"/>
  <c r="H3810" i="7" s="1"/>
  <c r="E3810" i="7"/>
  <c r="H3809" i="7" a="1"/>
  <c r="H3809" i="7" s="1"/>
  <c r="E3809" i="7"/>
  <c r="H3808" i="7" a="1"/>
  <c r="H3808" i="7" s="1"/>
  <c r="E3808" i="7"/>
  <c r="H3807" i="7" a="1"/>
  <c r="H3807" i="7" s="1"/>
  <c r="E3807" i="7"/>
  <c r="H3806" i="7" a="1"/>
  <c r="H3806" i="7" s="1"/>
  <c r="E3806" i="7"/>
  <c r="H3805" i="7" a="1"/>
  <c r="H3805" i="7" s="1"/>
  <c r="E3805" i="7"/>
  <c r="H3804" i="7" a="1"/>
  <c r="H3804" i="7" s="1"/>
  <c r="E3804" i="7"/>
  <c r="H3803" i="7" a="1"/>
  <c r="H3803" i="7" s="1"/>
  <c r="E3803" i="7"/>
  <c r="H3802" i="7" a="1"/>
  <c r="H3802" i="7" s="1"/>
  <c r="E3802" i="7"/>
  <c r="H3801" i="7" a="1"/>
  <c r="H3801" i="7" s="1"/>
  <c r="E3801" i="7"/>
  <c r="H3788" i="7" l="1" a="1"/>
  <c r="H3788" i="7" s="1"/>
  <c r="E3788" i="7"/>
  <c r="E3787" i="7"/>
  <c r="E3786" i="7"/>
  <c r="H3785" i="7" a="1"/>
  <c r="H3785" i="7" s="1"/>
  <c r="E3785" i="7"/>
  <c r="H3797" i="7" l="1" a="1"/>
  <c r="H3797" i="7" s="1"/>
  <c r="E3797" i="7"/>
  <c r="H3796" i="7" a="1"/>
  <c r="H3796" i="7" s="1"/>
  <c r="E3796" i="7"/>
  <c r="H3800" i="7" a="1"/>
  <c r="H3800" i="7" s="1"/>
  <c r="E3800" i="7"/>
  <c r="H3799" i="7" a="1"/>
  <c r="H3799" i="7" s="1"/>
  <c r="E3799" i="7"/>
  <c r="H3798" i="7" a="1"/>
  <c r="H3798" i="7" s="1"/>
  <c r="E3798" i="7"/>
  <c r="H3795" i="7" l="1" a="1"/>
  <c r="H3795" i="7" s="1"/>
  <c r="E3795" i="7"/>
  <c r="H3794" i="7" a="1"/>
  <c r="H3794" i="7" s="1"/>
  <c r="E3794" i="7"/>
  <c r="H3793" i="7" a="1"/>
  <c r="H3793" i="7" s="1"/>
  <c r="E3793" i="7"/>
  <c r="H3792" i="7" a="1"/>
  <c r="H3792" i="7" s="1"/>
  <c r="E3792" i="7"/>
  <c r="H3791" i="7" a="1"/>
  <c r="H3791" i="7" s="1"/>
  <c r="E3791" i="7"/>
  <c r="H3766" i="7" l="1" a="1"/>
  <c r="H3766" i="7" s="1"/>
  <c r="E3766" i="7"/>
  <c r="E3765" i="7"/>
  <c r="E3764" i="7"/>
  <c r="H3763" i="7" a="1"/>
  <c r="H3763" i="7" s="1"/>
  <c r="E3763" i="7"/>
  <c r="H3784" i="7" a="1"/>
  <c r="H3784" i="7" s="1"/>
  <c r="E3784" i="7"/>
  <c r="H3783" i="7" a="1"/>
  <c r="H3783" i="7" s="1"/>
  <c r="E3783" i="7"/>
  <c r="H3782" i="7" a="1"/>
  <c r="H3782" i="7" s="1"/>
  <c r="E3782" i="7"/>
  <c r="H3781" i="7" a="1"/>
  <c r="H3781" i="7" s="1"/>
  <c r="E3781" i="7"/>
  <c r="H3780" i="7" a="1"/>
  <c r="H3780" i="7" s="1"/>
  <c r="E3780" i="7"/>
  <c r="H3779" i="7" a="1"/>
  <c r="H3779" i="7" s="1"/>
  <c r="E3779" i="7"/>
  <c r="H3778" i="7" a="1"/>
  <c r="H3778" i="7" s="1"/>
  <c r="E3778" i="7"/>
  <c r="H3777" i="7" a="1"/>
  <c r="H3777" i="7" s="1"/>
  <c r="E3777" i="7"/>
  <c r="H3776" i="7" a="1"/>
  <c r="H3776" i="7" s="1"/>
  <c r="E3776" i="7"/>
  <c r="H3775" i="7" a="1"/>
  <c r="H3775" i="7" s="1"/>
  <c r="E3775" i="7"/>
  <c r="H3774" i="7" a="1"/>
  <c r="H3774" i="7" s="1"/>
  <c r="E3774" i="7"/>
  <c r="H3773" i="7" a="1"/>
  <c r="H3773" i="7" s="1"/>
  <c r="E3773" i="7"/>
  <c r="H3772" i="7" a="1"/>
  <c r="H3772" i="7" s="1"/>
  <c r="E3772" i="7"/>
  <c r="H3771" i="7" a="1"/>
  <c r="H3771" i="7" s="1"/>
  <c r="E3771" i="7"/>
  <c r="H3770" i="7" a="1"/>
  <c r="H3770" i="7" s="1"/>
  <c r="E3770" i="7"/>
  <c r="H3769" i="7" a="1"/>
  <c r="H3769" i="7" s="1"/>
  <c r="E3769" i="7"/>
  <c r="H3768" i="7" a="1"/>
  <c r="H3768" i="7" s="1"/>
  <c r="E3768" i="7"/>
  <c r="H3767" i="7" a="1"/>
  <c r="H3767" i="7" s="1"/>
  <c r="E3767" i="7"/>
  <c r="H3759" i="7" a="1"/>
  <c r="H3759" i="7" s="1"/>
  <c r="E3759" i="7"/>
  <c r="H3758" i="7" a="1"/>
  <c r="H3758" i="7" s="1"/>
  <c r="E3758" i="7"/>
  <c r="H3681" i="7" a="1"/>
  <c r="H3681" i="7" s="1"/>
  <c r="E3681" i="7"/>
  <c r="H3680" i="7" a="1"/>
  <c r="H3680" i="7" s="1"/>
  <c r="E3680" i="7"/>
  <c r="H3762" i="7" l="1" a="1"/>
  <c r="H3762" i="7" s="1"/>
  <c r="E3762" i="7"/>
  <c r="H3761" i="7" a="1"/>
  <c r="H3761" i="7" s="1"/>
  <c r="E3761" i="7"/>
  <c r="H3760" i="7" a="1"/>
  <c r="H3760" i="7" s="1"/>
  <c r="E3760" i="7"/>
  <c r="H3757" i="7" a="1"/>
  <c r="H3757" i="7" s="1"/>
  <c r="E3757" i="7"/>
  <c r="H3756" i="7" a="1"/>
  <c r="H3756" i="7" s="1"/>
  <c r="E3756" i="7"/>
  <c r="H3755" i="7" a="1"/>
  <c r="H3755" i="7" s="1"/>
  <c r="E3755" i="7"/>
  <c r="H3754" i="7" a="1"/>
  <c r="H3754" i="7" s="1"/>
  <c r="E3754" i="7"/>
  <c r="H3753" i="7" a="1"/>
  <c r="H3753" i="7" s="1"/>
  <c r="E3753" i="7"/>
  <c r="H3752" i="7" a="1"/>
  <c r="H3752" i="7" s="1"/>
  <c r="E3752" i="7"/>
  <c r="H3751" i="7" a="1"/>
  <c r="H3751" i="7" s="1"/>
  <c r="E3751" i="7"/>
  <c r="H3750" i="7" a="1"/>
  <c r="H3750" i="7" s="1"/>
  <c r="E3750" i="7"/>
  <c r="H3749" i="7" a="1"/>
  <c r="H3749" i="7" s="1"/>
  <c r="E3749" i="7"/>
  <c r="H3748" i="7" a="1"/>
  <c r="H3748" i="7" s="1"/>
  <c r="E3748" i="7"/>
  <c r="H3747" i="7" a="1"/>
  <c r="H3747" i="7" s="1"/>
  <c r="E3747" i="7"/>
  <c r="H3746" i="7" a="1"/>
  <c r="H3746" i="7" s="1"/>
  <c r="E3746" i="7"/>
  <c r="H3745" i="7" a="1"/>
  <c r="H3745" i="7" s="1"/>
  <c r="E3745" i="7"/>
  <c r="H3744" i="7" a="1"/>
  <c r="H3744" i="7" s="1"/>
  <c r="E3744" i="7"/>
  <c r="H3743" i="7" a="1"/>
  <c r="H3743" i="7" s="1"/>
  <c r="E3743" i="7"/>
  <c r="H3742" i="7" a="1"/>
  <c r="H3742" i="7" s="1"/>
  <c r="E3742" i="7"/>
  <c r="H3741" i="7" a="1"/>
  <c r="H3741" i="7" s="1"/>
  <c r="E3741" i="7"/>
  <c r="H3740" i="7" a="1"/>
  <c r="H3740" i="7" s="1"/>
  <c r="E3740" i="7"/>
  <c r="H3732" i="7" a="1"/>
  <c r="H3732" i="7" s="1"/>
  <c r="E3732" i="7"/>
  <c r="H3731" i="7" a="1"/>
  <c r="H3731" i="7" s="1"/>
  <c r="E3731" i="7"/>
  <c r="H3734" i="7" a="1"/>
  <c r="H3734" i="7" s="1"/>
  <c r="E3734" i="7"/>
  <c r="H3733" i="7" a="1"/>
  <c r="H3733" i="7" s="1"/>
  <c r="E3733" i="7"/>
  <c r="H3739" i="7" a="1"/>
  <c r="H3739" i="7" s="1"/>
  <c r="E3739" i="7"/>
  <c r="H3738" i="7" a="1"/>
  <c r="H3738" i="7" s="1"/>
  <c r="E3738" i="7"/>
  <c r="H3730" i="7" a="1"/>
  <c r="H3730" i="7" s="1"/>
  <c r="E3730" i="7"/>
  <c r="H3729" i="7" a="1"/>
  <c r="H3729" i="7" s="1"/>
  <c r="E3729" i="7"/>
  <c r="H3737" i="7" a="1"/>
  <c r="H3737" i="7" s="1"/>
  <c r="E3737" i="7"/>
  <c r="H3736" i="7" a="1"/>
  <c r="H3736" i="7" s="1"/>
  <c r="E3736" i="7"/>
  <c r="H3735" i="7" a="1"/>
  <c r="H3735" i="7" s="1"/>
  <c r="E3735" i="7"/>
  <c r="H3728" i="7" a="1"/>
  <c r="H3728" i="7" s="1"/>
  <c r="E3728" i="7"/>
  <c r="H3727" i="7" a="1"/>
  <c r="H3727" i="7" s="1"/>
  <c r="E3727" i="7"/>
  <c r="H3726" i="7" a="1"/>
  <c r="H3726" i="7" s="1"/>
  <c r="E3726" i="7"/>
  <c r="H3725" i="7" a="1"/>
  <c r="H3725" i="7" s="1"/>
  <c r="E3725" i="7"/>
  <c r="H3724" i="7" a="1"/>
  <c r="H3724" i="7" s="1"/>
  <c r="E3724" i="7"/>
  <c r="H3723" i="7" a="1"/>
  <c r="H3723" i="7" s="1"/>
  <c r="E3723" i="7"/>
  <c r="E3704" i="7" l="1"/>
  <c r="E3703" i="7"/>
  <c r="H3702" i="7" a="1"/>
  <c r="H3702" i="7" s="1"/>
  <c r="E3702" i="7"/>
  <c r="E3576" i="7"/>
  <c r="E3611" i="7"/>
  <c r="E3609" i="7"/>
  <c r="H3609" i="7" a="1"/>
  <c r="H3609" i="7" s="1"/>
  <c r="E3610" i="7"/>
  <c r="E3612" i="7"/>
  <c r="E3613" i="7"/>
  <c r="H3613" i="7" a="1"/>
  <c r="H3613" i="7" s="1"/>
  <c r="H3722" i="7" l="1" a="1"/>
  <c r="H3722" i="7" s="1"/>
  <c r="E3722" i="7"/>
  <c r="H3721" i="7" a="1"/>
  <c r="H3721" i="7" s="1"/>
  <c r="E3721" i="7"/>
  <c r="H3720" i="7" a="1"/>
  <c r="H3720" i="7" s="1"/>
  <c r="E3720" i="7"/>
  <c r="H3719" i="7" a="1"/>
  <c r="H3719" i="7" s="1"/>
  <c r="E3719" i="7"/>
  <c r="H3718" i="7" a="1"/>
  <c r="H3718" i="7" s="1"/>
  <c r="E3718" i="7"/>
  <c r="H3717" i="7" a="1"/>
  <c r="H3717" i="7" s="1"/>
  <c r="E3717" i="7"/>
  <c r="H3716" i="7" a="1"/>
  <c r="H3716" i="7" s="1"/>
  <c r="E3716" i="7"/>
  <c r="H3715" i="7" a="1"/>
  <c r="H3715" i="7" s="1"/>
  <c r="E3715" i="7"/>
  <c r="H3714" i="7" a="1"/>
  <c r="H3714" i="7" s="1"/>
  <c r="E3714" i="7"/>
  <c r="H3713" i="7" a="1"/>
  <c r="H3713" i="7" s="1"/>
  <c r="E3713" i="7"/>
  <c r="H3712" i="7" a="1"/>
  <c r="H3712" i="7" s="1"/>
  <c r="E3712" i="7"/>
  <c r="H3711" i="7" a="1"/>
  <c r="H3711" i="7" s="1"/>
  <c r="E3711" i="7"/>
  <c r="H3710" i="7" a="1"/>
  <c r="H3710" i="7" s="1"/>
  <c r="E3710" i="7"/>
  <c r="H3709" i="7" a="1"/>
  <c r="H3709" i="7" s="1"/>
  <c r="E3709" i="7"/>
  <c r="H3708" i="7" a="1"/>
  <c r="H3708" i="7" s="1"/>
  <c r="E3708" i="7"/>
  <c r="H3707" i="7" a="1"/>
  <c r="H3707" i="7" s="1"/>
  <c r="E3707" i="7"/>
  <c r="H3706" i="7" a="1"/>
  <c r="H3706" i="7" s="1"/>
  <c r="E3706" i="7"/>
  <c r="H3705" i="7" a="1"/>
  <c r="H3705" i="7" s="1"/>
  <c r="E3705" i="7"/>
  <c r="H3608" i="7" a="1"/>
  <c r="H3608" i="7" s="1"/>
  <c r="E3608" i="7"/>
  <c r="H3607" i="7" a="1"/>
  <c r="H3607" i="7" s="1"/>
  <c r="E3607" i="7"/>
  <c r="H3686" i="7" a="1"/>
  <c r="H3686" i="7" s="1"/>
  <c r="E3686" i="7"/>
  <c r="H3685" i="7" a="1"/>
  <c r="H3685" i="7" s="1"/>
  <c r="E3685" i="7"/>
  <c r="H3701" i="7" a="1"/>
  <c r="H3701" i="7" s="1"/>
  <c r="E3701" i="7"/>
  <c r="E3700" i="7"/>
  <c r="E3699" i="7"/>
  <c r="H3698" i="7" a="1"/>
  <c r="H3698" i="7" s="1"/>
  <c r="E3698" i="7"/>
  <c r="H3697" i="7" a="1"/>
  <c r="H3697" i="7" s="1"/>
  <c r="E3697" i="7"/>
  <c r="E3696" i="7"/>
  <c r="E3695" i="7"/>
  <c r="H3694" i="7" a="1"/>
  <c r="H3694" i="7" s="1"/>
  <c r="E3694" i="7"/>
  <c r="H3693" i="7" l="1" a="1"/>
  <c r="H3693" i="7" s="1"/>
  <c r="E3693" i="7"/>
  <c r="E3692" i="7"/>
  <c r="E3691" i="7"/>
  <c r="H3690" i="7" a="1"/>
  <c r="H3690" i="7" s="1"/>
  <c r="E3690" i="7"/>
  <c r="H3689" i="7" a="1"/>
  <c r="H3689" i="7" s="1"/>
  <c r="E3689" i="7"/>
  <c r="H3688" i="7" a="1"/>
  <c r="H3688" i="7" s="1"/>
  <c r="E3688" i="7"/>
  <c r="H3687" i="7" a="1"/>
  <c r="H3687" i="7" s="1"/>
  <c r="E3687" i="7"/>
  <c r="H3684" i="7" a="1"/>
  <c r="H3684" i="7" s="1"/>
  <c r="E3684" i="7"/>
  <c r="H3683" i="7" a="1"/>
  <c r="H3683" i="7" s="1"/>
  <c r="E3683" i="7"/>
  <c r="H3682" i="7" a="1"/>
  <c r="H3682" i="7" s="1"/>
  <c r="E3682" i="7"/>
  <c r="H3679" i="7" l="1" a="1"/>
  <c r="H3679" i="7" s="1"/>
  <c r="E3679" i="7"/>
  <c r="H3678" i="7" a="1"/>
  <c r="H3678" i="7" s="1"/>
  <c r="E3678" i="7"/>
  <c r="H3677" i="7" a="1"/>
  <c r="H3677" i="7" s="1"/>
  <c r="E3677" i="7"/>
  <c r="H3676" i="7" a="1"/>
  <c r="H3676" i="7" s="1"/>
  <c r="E3676" i="7"/>
  <c r="H3675" i="7" a="1"/>
  <c r="H3675" i="7" s="1"/>
  <c r="E3675" i="7"/>
  <c r="H3674" i="7" a="1"/>
  <c r="H3674" i="7" s="1"/>
  <c r="E3674" i="7"/>
  <c r="H3673" i="7" a="1"/>
  <c r="H3673" i="7" s="1"/>
  <c r="E3673" i="7"/>
  <c r="H3672" i="7" a="1"/>
  <c r="H3672" i="7" s="1"/>
  <c r="E3672" i="7"/>
  <c r="H3671" i="7" a="1"/>
  <c r="H3671" i="7" s="1"/>
  <c r="E3671" i="7"/>
  <c r="H3670" i="7" a="1"/>
  <c r="H3670" i="7" s="1"/>
  <c r="E3670" i="7"/>
  <c r="H3669" i="7" a="1"/>
  <c r="H3669" i="7" s="1"/>
  <c r="E3669" i="7"/>
  <c r="H3668" i="7" a="1"/>
  <c r="H3668" i="7" s="1"/>
  <c r="E3668" i="7"/>
  <c r="H3667" i="7" a="1"/>
  <c r="H3667" i="7" s="1"/>
  <c r="E3667" i="7"/>
  <c r="H3666" i="7" a="1"/>
  <c r="H3666" i="7" s="1"/>
  <c r="E3666" i="7"/>
  <c r="H3665" i="7" a="1"/>
  <c r="H3665" i="7" s="1"/>
  <c r="E3665" i="7"/>
  <c r="H3664" i="7" a="1"/>
  <c r="H3664" i="7" s="1"/>
  <c r="E3664" i="7"/>
  <c r="H3663" i="7" a="1"/>
  <c r="H3663" i="7" s="1"/>
  <c r="E3663" i="7"/>
  <c r="H3662" i="7" a="1"/>
  <c r="H3662" i="7" s="1"/>
  <c r="E3662" i="7"/>
  <c r="H3661" i="7" a="1"/>
  <c r="H3661" i="7" s="1"/>
  <c r="E3661" i="7"/>
  <c r="H3660" i="7" a="1"/>
  <c r="H3660" i="7" s="1"/>
  <c r="E3660" i="7"/>
  <c r="H3659" i="7" a="1"/>
  <c r="H3659" i="7" s="1"/>
  <c r="E3659" i="7"/>
  <c r="H3658" i="7" a="1"/>
  <c r="H3658" i="7" s="1"/>
  <c r="E3658" i="7"/>
  <c r="G41" i="27" l="1"/>
  <c r="H3657" i="7" l="1" a="1"/>
  <c r="H3657" i="7" s="1"/>
  <c r="E3657" i="7"/>
  <c r="H3656" i="7" a="1"/>
  <c r="H3656" i="7" s="1"/>
  <c r="E3656" i="7"/>
  <c r="H3655" i="7" a="1"/>
  <c r="H3655" i="7" s="1"/>
  <c r="E3655" i="7"/>
  <c r="H3654" i="7" a="1"/>
  <c r="H3654" i="7" s="1"/>
  <c r="E3654" i="7"/>
  <c r="H3653" i="7" a="1"/>
  <c r="H3653" i="7" s="1"/>
  <c r="E3653" i="7"/>
  <c r="H3652" i="7" a="1"/>
  <c r="H3652" i="7" s="1"/>
  <c r="E3652" i="7"/>
  <c r="H3651" i="7" a="1"/>
  <c r="H3651" i="7" s="1"/>
  <c r="E3651" i="7"/>
  <c r="H3650" i="7" a="1"/>
  <c r="H3650" i="7" s="1"/>
  <c r="E3650" i="7"/>
  <c r="H3649" i="7" a="1"/>
  <c r="H3649" i="7" s="1"/>
  <c r="E3649" i="7"/>
  <c r="H3648" i="7" a="1"/>
  <c r="H3648" i="7" s="1"/>
  <c r="E3648" i="7"/>
  <c r="H3647" i="7" a="1"/>
  <c r="H3647" i="7" s="1"/>
  <c r="E3647" i="7"/>
  <c r="H3646" i="7" a="1"/>
  <c r="H3646" i="7" s="1"/>
  <c r="E3646" i="7"/>
  <c r="H3645" i="7" a="1"/>
  <c r="H3645" i="7" s="1"/>
  <c r="E3645" i="7"/>
  <c r="H3644" i="7" a="1"/>
  <c r="H3644" i="7" s="1"/>
  <c r="E3644" i="7"/>
  <c r="H3643" i="7" a="1"/>
  <c r="H3643" i="7" s="1"/>
  <c r="E3643" i="7"/>
  <c r="H3642" i="7" a="1"/>
  <c r="H3642" i="7" s="1"/>
  <c r="E3642" i="7"/>
  <c r="E3636" i="7" l="1"/>
  <c r="H3635" i="7" a="1"/>
  <c r="H3635" i="7" s="1"/>
  <c r="E3635" i="7"/>
  <c r="H3641" i="7" a="1"/>
  <c r="H3641" i="7" s="1"/>
  <c r="E3641" i="7"/>
  <c r="H3640" i="7" a="1"/>
  <c r="H3640" i="7" s="1"/>
  <c r="E3640" i="7"/>
  <c r="H3639" i="7" a="1"/>
  <c r="H3639" i="7" s="1"/>
  <c r="E3639" i="7"/>
  <c r="H3638" i="7" a="1"/>
  <c r="H3638" i="7" s="1"/>
  <c r="E3638" i="7"/>
  <c r="H3637" i="7" a="1"/>
  <c r="H3637" i="7" s="1"/>
  <c r="E3637" i="7"/>
  <c r="H3634" i="7" l="1" a="1"/>
  <c r="H3634" i="7" s="1"/>
  <c r="E3634" i="7"/>
  <c r="H3633" i="7" a="1"/>
  <c r="H3633" i="7" s="1"/>
  <c r="E3633" i="7"/>
  <c r="H3632" i="7" a="1"/>
  <c r="H3632" i="7" s="1"/>
  <c r="E3632" i="7"/>
  <c r="H3631" i="7" a="1"/>
  <c r="H3631" i="7" s="1"/>
  <c r="E3631" i="7"/>
  <c r="H3630" i="7" a="1"/>
  <c r="H3630" i="7" s="1"/>
  <c r="E3630" i="7"/>
  <c r="H3629" i="7" l="1" a="1"/>
  <c r="H3629" i="7" s="1"/>
  <c r="E3629" i="7"/>
  <c r="H3628" i="7" a="1"/>
  <c r="H3628" i="7" s="1"/>
  <c r="E3628" i="7"/>
  <c r="H3627" i="7" a="1"/>
  <c r="H3627" i="7" s="1"/>
  <c r="E3627" i="7"/>
  <c r="H3626" i="7" a="1"/>
  <c r="H3626" i="7" s="1"/>
  <c r="E3626" i="7"/>
  <c r="H3625" i="7" a="1"/>
  <c r="H3625" i="7" s="1"/>
  <c r="E3625" i="7"/>
  <c r="H3624" i="7" a="1"/>
  <c r="H3624" i="7" s="1"/>
  <c r="E3624" i="7"/>
  <c r="H3623" i="7" a="1"/>
  <c r="H3623" i="7" s="1"/>
  <c r="E3623" i="7"/>
  <c r="H3622" i="7" a="1"/>
  <c r="H3622" i="7" s="1"/>
  <c r="E3622" i="7"/>
  <c r="H3621" i="7" a="1"/>
  <c r="H3621" i="7" s="1"/>
  <c r="E3621" i="7"/>
  <c r="H3620" i="7" a="1"/>
  <c r="H3620" i="7" s="1"/>
  <c r="E3620" i="7"/>
  <c r="H3619" i="7" a="1"/>
  <c r="H3619" i="7" s="1"/>
  <c r="E3619" i="7"/>
  <c r="H3618" i="7" a="1"/>
  <c r="H3618" i="7" s="1"/>
  <c r="E3618" i="7"/>
  <c r="H3617" i="7" a="1"/>
  <c r="H3617" i="7" s="1"/>
  <c r="E3617" i="7"/>
  <c r="H3616" i="7" a="1"/>
  <c r="H3616" i="7" s="1"/>
  <c r="E3616" i="7"/>
  <c r="H3615" i="7" a="1"/>
  <c r="H3615" i="7" s="1"/>
  <c r="E3615" i="7"/>
  <c r="H3614" i="7" a="1"/>
  <c r="H3614" i="7" s="1"/>
  <c r="E3614" i="7"/>
  <c r="H3606" i="7" l="1" a="1"/>
  <c r="H3606" i="7" s="1"/>
  <c r="E3606" i="7"/>
  <c r="H3605" i="7" a="1"/>
  <c r="H3605" i="7" s="1"/>
  <c r="E3605" i="7"/>
  <c r="H3604" i="7" a="1"/>
  <c r="H3604" i="7" s="1"/>
  <c r="E3604" i="7"/>
  <c r="H3603" i="7" a="1"/>
  <c r="H3603" i="7" s="1"/>
  <c r="E3603" i="7"/>
  <c r="H3602" i="7" a="1"/>
  <c r="H3602" i="7" s="1"/>
  <c r="E3602" i="7"/>
  <c r="E3574" i="7" l="1"/>
  <c r="H3574" i="7" a="1"/>
  <c r="H3574" i="7" s="1"/>
  <c r="H3578" i="7" a="1"/>
  <c r="H3578" i="7" s="1"/>
  <c r="E3578" i="7"/>
  <c r="E3577" i="7"/>
  <c r="E3575" i="7"/>
  <c r="E32" i="2" l="1"/>
  <c r="D34" i="2"/>
  <c r="D39" i="2"/>
  <c r="D41" i="2" l="1"/>
  <c r="H3399" i="7" a="1"/>
  <c r="H3399" i="7" s="1"/>
  <c r="E3399" i="7"/>
  <c r="E3398" i="7"/>
  <c r="H3397" i="7" a="1"/>
  <c r="H3397" i="7" s="1"/>
  <c r="E3397" i="7"/>
  <c r="H3396" i="7" a="1"/>
  <c r="H3396" i="7" s="1"/>
  <c r="E3396" i="7"/>
  <c r="E3395" i="7"/>
  <c r="H3394" i="7" a="1"/>
  <c r="H3394" i="7" s="1"/>
  <c r="E3394" i="7"/>
  <c r="H3585" i="7" l="1" a="1"/>
  <c r="H3585" i="7" s="1"/>
  <c r="E3585" i="7"/>
  <c r="E3584" i="7"/>
  <c r="E3583" i="7"/>
  <c r="H3582" i="7" a="1"/>
  <c r="H3582" i="7" s="1"/>
  <c r="E3582" i="7"/>
  <c r="H3601" i="7" a="1"/>
  <c r="H3601" i="7" s="1"/>
  <c r="E3601" i="7"/>
  <c r="H3600" i="7" a="1"/>
  <c r="H3600" i="7" s="1"/>
  <c r="E3600" i="7"/>
  <c r="H3599" i="7" a="1"/>
  <c r="H3599" i="7" s="1"/>
  <c r="E3599" i="7"/>
  <c r="H3598" i="7" a="1"/>
  <c r="H3598" i="7" s="1"/>
  <c r="E3598" i="7"/>
  <c r="H3597" i="7" a="1"/>
  <c r="H3597" i="7" s="1"/>
  <c r="E3597" i="7"/>
  <c r="H3596" i="7" a="1"/>
  <c r="H3596" i="7" s="1"/>
  <c r="E3596" i="7"/>
  <c r="H3595" i="7" a="1"/>
  <c r="H3595" i="7" s="1"/>
  <c r="E3595" i="7"/>
  <c r="H3594" i="7" a="1"/>
  <c r="H3594" i="7" s="1"/>
  <c r="E3594" i="7"/>
  <c r="H3593" i="7" a="1"/>
  <c r="H3593" i="7" s="1"/>
  <c r="E3593" i="7"/>
  <c r="H3592" i="7" a="1"/>
  <c r="H3592" i="7" s="1"/>
  <c r="E3592" i="7"/>
  <c r="H3591" i="7" a="1"/>
  <c r="H3591" i="7" s="1"/>
  <c r="E3591" i="7"/>
  <c r="H3590" i="7" a="1"/>
  <c r="H3590" i="7" s="1"/>
  <c r="E3590" i="7"/>
  <c r="H3589" i="7" a="1"/>
  <c r="H3589" i="7" s="1"/>
  <c r="E3589" i="7"/>
  <c r="H3588" i="7" a="1"/>
  <c r="H3588" i="7" s="1"/>
  <c r="E3588" i="7"/>
  <c r="H3587" i="7" a="1"/>
  <c r="H3587" i="7" s="1"/>
  <c r="E3587" i="7"/>
  <c r="H3586" i="7" a="1"/>
  <c r="H3586" i="7" s="1"/>
  <c r="E3586" i="7"/>
  <c r="H3581" i="7" a="1"/>
  <c r="H3581" i="7" s="1"/>
  <c r="E3581" i="7"/>
  <c r="H3580" i="7" a="1"/>
  <c r="H3580" i="7" s="1"/>
  <c r="E3580" i="7"/>
  <c r="H3579" i="7" a="1"/>
  <c r="H3579" i="7" s="1"/>
  <c r="E3579" i="7"/>
  <c r="H3573" i="7" a="1"/>
  <c r="H3573" i="7" s="1"/>
  <c r="E3573" i="7"/>
  <c r="E3572" i="7"/>
  <c r="E3571" i="7"/>
  <c r="E3570" i="7"/>
  <c r="H3569" i="7" a="1"/>
  <c r="H3569" i="7" s="1"/>
  <c r="E3569" i="7"/>
  <c r="E3566" i="7"/>
  <c r="E3565" i="7"/>
  <c r="E3567" i="7"/>
  <c r="H3568" i="7" a="1"/>
  <c r="H3568" i="7" s="1"/>
  <c r="E3568" i="7"/>
  <c r="H3564" i="7" a="1"/>
  <c r="H3564" i="7" s="1"/>
  <c r="E3564" i="7"/>
  <c r="H3563" i="7" l="1" a="1"/>
  <c r="H3563" i="7" s="1"/>
  <c r="E3563" i="7"/>
  <c r="H3562" i="7" a="1"/>
  <c r="H3562" i="7" s="1"/>
  <c r="E3562" i="7"/>
  <c r="H3561" i="7" a="1"/>
  <c r="H3561" i="7" s="1"/>
  <c r="E3561" i="7"/>
  <c r="H3560" i="7" a="1"/>
  <c r="H3560" i="7" s="1"/>
  <c r="E3560" i="7"/>
  <c r="H3559" i="7" a="1"/>
  <c r="H3559" i="7" s="1"/>
  <c r="E3559" i="7"/>
  <c r="H3558" i="7" a="1"/>
  <c r="H3558" i="7" s="1"/>
  <c r="E3558" i="7"/>
  <c r="H3557" i="7" a="1"/>
  <c r="H3557" i="7" s="1"/>
  <c r="E3557" i="7"/>
  <c r="H3556" i="7" a="1"/>
  <c r="H3556" i="7" s="1"/>
  <c r="E3556" i="7"/>
  <c r="H3555" i="7" a="1"/>
  <c r="H3555" i="7" s="1"/>
  <c r="E3555" i="7"/>
  <c r="H3554" i="7" a="1"/>
  <c r="H3554" i="7" s="1"/>
  <c r="E3554" i="7"/>
  <c r="H3553" i="7" a="1"/>
  <c r="H3553" i="7" s="1"/>
  <c r="E3553" i="7"/>
  <c r="H3552" i="7" a="1"/>
  <c r="H3552" i="7" s="1"/>
  <c r="E3552" i="7"/>
  <c r="H3551" i="7" a="1"/>
  <c r="H3551" i="7" s="1"/>
  <c r="E3551" i="7"/>
  <c r="H3550" i="7" a="1"/>
  <c r="H3550" i="7" s="1"/>
  <c r="E3550" i="7"/>
  <c r="H3549" i="7" a="1"/>
  <c r="H3549" i="7" s="1"/>
  <c r="E3549" i="7"/>
  <c r="H3548" i="7" a="1"/>
  <c r="H3548" i="7" s="1"/>
  <c r="E3548" i="7"/>
  <c r="H3545" i="7" a="1"/>
  <c r="H3545" i="7" s="1"/>
  <c r="E3545" i="7"/>
  <c r="H3544" i="7" a="1"/>
  <c r="H3544" i="7" s="1"/>
  <c r="E3544" i="7"/>
  <c r="H3547" i="7" a="1"/>
  <c r="H3547" i="7" s="1"/>
  <c r="E3547" i="7"/>
  <c r="H3546" i="7" a="1"/>
  <c r="H3546" i="7" s="1"/>
  <c r="E3546" i="7"/>
  <c r="H3543" i="7" l="1" a="1"/>
  <c r="H3543" i="7" s="1"/>
  <c r="E3543" i="7"/>
  <c r="H3542" i="7" a="1"/>
  <c r="H3542" i="7" s="1"/>
  <c r="E3542" i="7"/>
  <c r="H3541" i="7" a="1"/>
  <c r="H3541" i="7" s="1"/>
  <c r="E3541" i="7"/>
  <c r="H3540" i="7" a="1"/>
  <c r="H3540" i="7" s="1"/>
  <c r="E3540" i="7"/>
  <c r="H3539" i="7" a="1"/>
  <c r="H3539" i="7" s="1"/>
  <c r="E3539" i="7"/>
  <c r="H3538" i="7" a="1"/>
  <c r="H3538" i="7" s="1"/>
  <c r="E3538" i="7"/>
  <c r="H3537" i="7" a="1"/>
  <c r="H3537" i="7" s="1"/>
  <c r="E3537" i="7"/>
  <c r="H3536" i="7" a="1"/>
  <c r="H3536" i="7" s="1"/>
  <c r="E3536" i="7"/>
  <c r="H3535" i="7" a="1"/>
  <c r="H3535" i="7" s="1"/>
  <c r="E3535" i="7"/>
  <c r="H3534" i="7" a="1"/>
  <c r="H3534" i="7" s="1"/>
  <c r="E3534" i="7"/>
  <c r="H3533" i="7" a="1"/>
  <c r="H3533" i="7" s="1"/>
  <c r="E3533" i="7"/>
  <c r="H3532" i="7" a="1"/>
  <c r="H3532" i="7" s="1"/>
  <c r="E3532" i="7"/>
  <c r="H3531" i="7" a="1"/>
  <c r="H3531" i="7" s="1"/>
  <c r="E3531" i="7"/>
  <c r="H3530" i="7" a="1"/>
  <c r="H3530" i="7" s="1"/>
  <c r="E3530" i="7"/>
  <c r="H3529" i="7" a="1"/>
  <c r="H3529" i="7" s="1"/>
  <c r="E3529" i="7"/>
  <c r="H3528" i="7" a="1"/>
  <c r="H3528" i="7" s="1"/>
  <c r="E3528" i="7"/>
  <c r="H3527" i="7" a="1"/>
  <c r="H3527" i="7" s="1"/>
  <c r="E3527" i="7"/>
  <c r="H3526" i="7" a="1"/>
  <c r="H3526" i="7" s="1"/>
  <c r="E3526" i="7"/>
  <c r="H3509" i="7" l="1" a="1"/>
  <c r="H3509" i="7" s="1"/>
  <c r="E3509" i="7"/>
  <c r="H3507" i="7" a="1"/>
  <c r="H3507" i="7" s="1"/>
  <c r="E3507" i="7"/>
  <c r="H3506" i="7" a="1"/>
  <c r="H3506" i="7" s="1"/>
  <c r="E3506" i="7"/>
  <c r="H3504" i="7" a="1"/>
  <c r="H3504" i="7" s="1"/>
  <c r="E3504" i="7"/>
  <c r="H3503" i="7" a="1"/>
  <c r="H3503" i="7" s="1"/>
  <c r="E3503" i="7"/>
  <c r="H3501" i="7" a="1"/>
  <c r="H3501" i="7" s="1"/>
  <c r="E3501" i="7"/>
  <c r="H3500" i="7" a="1"/>
  <c r="H3500" i="7" s="1"/>
  <c r="E3500" i="7"/>
  <c r="H3498" i="7" a="1"/>
  <c r="H3498" i="7" s="1"/>
  <c r="E3498" i="7"/>
  <c r="H3497" i="7" a="1"/>
  <c r="H3497" i="7" s="1"/>
  <c r="E3497" i="7"/>
  <c r="H3495" i="7" a="1"/>
  <c r="H3495" i="7" s="1"/>
  <c r="E3495" i="7"/>
  <c r="H3494" i="7" a="1"/>
  <c r="H3494" i="7" s="1"/>
  <c r="E3494" i="7"/>
  <c r="H3492" i="7" a="1"/>
  <c r="H3492" i="7" s="1"/>
  <c r="E3492" i="7"/>
  <c r="H3491" i="7" a="1"/>
  <c r="H3491" i="7" s="1"/>
  <c r="E3491" i="7"/>
  <c r="H3489" i="7" a="1"/>
  <c r="H3489" i="7" s="1"/>
  <c r="E3489" i="7"/>
  <c r="H3525" i="7" a="1"/>
  <c r="H3525" i="7" s="1"/>
  <c r="E3525" i="7"/>
  <c r="H3524" i="7" a="1"/>
  <c r="H3524" i="7" s="1"/>
  <c r="E3524" i="7"/>
  <c r="H3523" i="7" a="1"/>
  <c r="H3523" i="7" s="1"/>
  <c r="E3523" i="7"/>
  <c r="H3522" i="7" a="1"/>
  <c r="H3522" i="7" s="1"/>
  <c r="E3522" i="7"/>
  <c r="H3521" i="7" a="1"/>
  <c r="H3521" i="7" s="1"/>
  <c r="E3521" i="7"/>
  <c r="H3520" i="7" a="1"/>
  <c r="H3520" i="7" s="1"/>
  <c r="E3520" i="7"/>
  <c r="H3519" i="7" a="1"/>
  <c r="H3519" i="7" s="1"/>
  <c r="E3519" i="7"/>
  <c r="H3518" i="7" a="1"/>
  <c r="H3518" i="7" s="1"/>
  <c r="E3518" i="7"/>
  <c r="H3517" i="7" a="1"/>
  <c r="H3517" i="7" s="1"/>
  <c r="E3517" i="7"/>
  <c r="H3516" i="7" a="1"/>
  <c r="H3516" i="7" s="1"/>
  <c r="E3516" i="7"/>
  <c r="H3515" i="7" a="1"/>
  <c r="H3515" i="7" s="1"/>
  <c r="E3515" i="7"/>
  <c r="H3514" i="7" a="1"/>
  <c r="H3514" i="7" s="1"/>
  <c r="E3514" i="7"/>
  <c r="H3513" i="7" a="1"/>
  <c r="H3513" i="7" s="1"/>
  <c r="E3513" i="7"/>
  <c r="H3512" i="7" a="1"/>
  <c r="H3512" i="7" s="1"/>
  <c r="E3512" i="7"/>
  <c r="H3511" i="7" a="1"/>
  <c r="H3511" i="7" s="1"/>
  <c r="E3511" i="7"/>
  <c r="H3510" i="7" a="1"/>
  <c r="H3510" i="7" s="1"/>
  <c r="E3510" i="7"/>
  <c r="H3488" i="7" l="1" a="1"/>
  <c r="H3488" i="7" s="1"/>
  <c r="E3488" i="7"/>
  <c r="H3487" i="7" a="1"/>
  <c r="H3487" i="7" s="1"/>
  <c r="E3487" i="7"/>
  <c r="H3486" i="7" a="1"/>
  <c r="H3486" i="7" s="1"/>
  <c r="E3486" i="7"/>
  <c r="H3485" i="7" a="1"/>
  <c r="H3485" i="7" s="1"/>
  <c r="E3485" i="7"/>
  <c r="H3484" i="7" a="1"/>
  <c r="H3484" i="7" s="1"/>
  <c r="E3484" i="7"/>
  <c r="H3483" i="7" a="1"/>
  <c r="H3483" i="7" s="1"/>
  <c r="E3483" i="7"/>
  <c r="H3482" i="7" a="1"/>
  <c r="H3482" i="7" s="1"/>
  <c r="E3482" i="7"/>
  <c r="H3481" i="7" a="1"/>
  <c r="H3481" i="7" s="1"/>
  <c r="E3481" i="7"/>
  <c r="H3480" i="7" a="1"/>
  <c r="H3480" i="7" s="1"/>
  <c r="E3480" i="7"/>
  <c r="H3479" i="7" a="1"/>
  <c r="H3479" i="7" s="1"/>
  <c r="E3479" i="7"/>
  <c r="H3478" i="7" a="1"/>
  <c r="H3478" i="7" s="1"/>
  <c r="E3478" i="7"/>
  <c r="H3477" i="7" a="1"/>
  <c r="H3477" i="7" s="1"/>
  <c r="E3477" i="7"/>
  <c r="H3476" i="7" a="1"/>
  <c r="H3476" i="7" s="1"/>
  <c r="E3476" i="7"/>
  <c r="H3475" i="7" a="1"/>
  <c r="H3475" i="7" s="1"/>
  <c r="E3475" i="7"/>
  <c r="H3474" i="7" a="1"/>
  <c r="H3474" i="7" s="1"/>
  <c r="E3474" i="7"/>
  <c r="H3473" i="7" a="1"/>
  <c r="H3473" i="7" s="1"/>
  <c r="E3473" i="7"/>
  <c r="H3472" i="7" l="1" a="1"/>
  <c r="H3472" i="7" s="1"/>
  <c r="E3472" i="7"/>
  <c r="H3471" i="7" a="1"/>
  <c r="H3471" i="7" s="1"/>
  <c r="E3471" i="7"/>
  <c r="E3470" i="7"/>
  <c r="H3469" i="7" a="1"/>
  <c r="H3469" i="7" s="1"/>
  <c r="E3469" i="7"/>
  <c r="E3254" i="7"/>
  <c r="E3255" i="7"/>
  <c r="H3466" i="7" a="1"/>
  <c r="H3466" i="7" s="1"/>
  <c r="E3466" i="7"/>
  <c r="H3465" i="7" a="1"/>
  <c r="H3465" i="7" s="1"/>
  <c r="E3465" i="7"/>
  <c r="H3464" i="7" a="1"/>
  <c r="H3464" i="7" s="1"/>
  <c r="E3464" i="7"/>
  <c r="H3463" i="7" l="1" a="1"/>
  <c r="H3463" i="7" s="1"/>
  <c r="E3463" i="7"/>
  <c r="H3462" i="7" a="1"/>
  <c r="H3462" i="7" s="1"/>
  <c r="E3462" i="7"/>
  <c r="E3461" i="7"/>
  <c r="E3460" i="7"/>
  <c r="H3459" i="7" a="1"/>
  <c r="H3459" i="7" s="1"/>
  <c r="E3459" i="7"/>
  <c r="H3468" i="7" a="1"/>
  <c r="H3468" i="7" s="1"/>
  <c r="E3468" i="7"/>
  <c r="H3467" i="7" a="1"/>
  <c r="H3467" i="7" s="1"/>
  <c r="E3467" i="7"/>
  <c r="H3458" i="7" a="1"/>
  <c r="H3458" i="7" s="1"/>
  <c r="E3458" i="7"/>
  <c r="H3457" i="7" a="1"/>
  <c r="H3457" i="7" s="1"/>
  <c r="E3457" i="7"/>
  <c r="H3456" i="7" a="1"/>
  <c r="H3456" i="7" s="1"/>
  <c r="E3456" i="7"/>
  <c r="H3455" i="7" a="1"/>
  <c r="H3455" i="7" s="1"/>
  <c r="E3455" i="7"/>
  <c r="H3454" i="7" a="1"/>
  <c r="H3454" i="7" s="1"/>
  <c r="E3454" i="7"/>
  <c r="H3453" i="7" a="1"/>
  <c r="H3453" i="7" s="1"/>
  <c r="E3453" i="7"/>
  <c r="H3452" i="7" a="1"/>
  <c r="H3452" i="7" s="1"/>
  <c r="E3452" i="7"/>
  <c r="H3451" i="7" a="1"/>
  <c r="H3451" i="7" s="1"/>
  <c r="E3451" i="7"/>
  <c r="H3450" i="7" a="1"/>
  <c r="H3450" i="7" s="1"/>
  <c r="E3450" i="7"/>
  <c r="H3449" i="7" a="1"/>
  <c r="H3449" i="7" s="1"/>
  <c r="E3449" i="7"/>
  <c r="H3448" i="7" a="1"/>
  <c r="H3448" i="7" s="1"/>
  <c r="E3448" i="7"/>
  <c r="H3447" i="7" a="1"/>
  <c r="H3447" i="7" s="1"/>
  <c r="E3447" i="7"/>
  <c r="H3446" i="7" a="1"/>
  <c r="H3446" i="7" s="1"/>
  <c r="E3446" i="7"/>
  <c r="H3445" i="7" a="1"/>
  <c r="H3445" i="7" s="1"/>
  <c r="E3445" i="7"/>
  <c r="H3444" i="7" a="1"/>
  <c r="H3444" i="7" s="1"/>
  <c r="E3444" i="7"/>
  <c r="H3443" i="7" a="1"/>
  <c r="H3443" i="7" s="1"/>
  <c r="E3443" i="7"/>
  <c r="H3442" i="7" a="1"/>
  <c r="H3442" i="7" s="1"/>
  <c r="E3442" i="7"/>
  <c r="H3441" i="7" a="1"/>
  <c r="H3441" i="7" s="1"/>
  <c r="E3441" i="7"/>
  <c r="H3440" i="7" l="1" a="1"/>
  <c r="H3440" i="7" s="1"/>
  <c r="E3440" i="7"/>
  <c r="E3439" i="7"/>
  <c r="E3438" i="7"/>
  <c r="H3437" i="7" a="1"/>
  <c r="H3437" i="7" s="1"/>
  <c r="E3437" i="7"/>
  <c r="H3434" i="7" a="1"/>
  <c r="H3434" i="7" s="1"/>
  <c r="E3434" i="7"/>
  <c r="H3433" i="7" a="1"/>
  <c r="H3433" i="7" s="1"/>
  <c r="E3433" i="7"/>
  <c r="H3436" i="7" a="1"/>
  <c r="H3436" i="7" s="1"/>
  <c r="E3436" i="7"/>
  <c r="H3435" i="7" a="1"/>
  <c r="H3435" i="7" s="1"/>
  <c r="E3435" i="7"/>
  <c r="H3424" i="7" a="1"/>
  <c r="H3424" i="7" s="1"/>
  <c r="E3424" i="7"/>
  <c r="H3423" i="7" a="1"/>
  <c r="H3423" i="7" s="1"/>
  <c r="E3423" i="7"/>
  <c r="H3432" i="7" a="1"/>
  <c r="H3432" i="7" s="1"/>
  <c r="E3432" i="7"/>
  <c r="H3431" i="7" a="1"/>
  <c r="H3431" i="7" s="1"/>
  <c r="E3431" i="7"/>
  <c r="H3430" i="7" a="1"/>
  <c r="H3430" i="7" s="1"/>
  <c r="E3430" i="7"/>
  <c r="H3429" i="7" a="1"/>
  <c r="H3429" i="7" s="1"/>
  <c r="E3429" i="7"/>
  <c r="H3428" i="7" a="1"/>
  <c r="H3428" i="7" s="1"/>
  <c r="E3428" i="7"/>
  <c r="H3427" i="7" a="1"/>
  <c r="H3427" i="7" s="1"/>
  <c r="E3427" i="7"/>
  <c r="H3426" i="7" a="1"/>
  <c r="H3426" i="7" s="1"/>
  <c r="E3426" i="7"/>
  <c r="H3425" i="7" a="1"/>
  <c r="H3425" i="7" s="1"/>
  <c r="E3425" i="7"/>
  <c r="H3422" i="7" a="1"/>
  <c r="H3422" i="7" s="1"/>
  <c r="E3422" i="7"/>
  <c r="H3421" i="7" a="1"/>
  <c r="H3421" i="7" s="1"/>
  <c r="E3421" i="7"/>
  <c r="H3420" i="7" a="1"/>
  <c r="H3420" i="7" s="1"/>
  <c r="E3420" i="7"/>
  <c r="H3419" i="7" a="1"/>
  <c r="H3419" i="7" s="1"/>
  <c r="E3419" i="7"/>
  <c r="H3418" i="7" a="1"/>
  <c r="H3418" i="7" s="1"/>
  <c r="E3418" i="7"/>
  <c r="H3417" i="7" a="1"/>
  <c r="H3417" i="7" s="1"/>
  <c r="E3417" i="7"/>
  <c r="H3416" i="7" a="1"/>
  <c r="H3416" i="7" s="1"/>
  <c r="E3416" i="7"/>
  <c r="H3415" i="7" a="1"/>
  <c r="H3415" i="7" s="1"/>
  <c r="E3415" i="7"/>
  <c r="H3414" i="7" a="1"/>
  <c r="H3414" i="7" s="1"/>
  <c r="E3414" i="7"/>
  <c r="H3413" i="7" a="1"/>
  <c r="H3413" i="7" s="1"/>
  <c r="E3413" i="7"/>
  <c r="H3412" i="7" a="1"/>
  <c r="H3412" i="7" s="1"/>
  <c r="E3412" i="7"/>
  <c r="H3411" i="7" a="1"/>
  <c r="H3411" i="7" s="1"/>
  <c r="E3411" i="7"/>
  <c r="H3410" i="7" a="1"/>
  <c r="H3410" i="7" s="1"/>
  <c r="E3410" i="7"/>
  <c r="H3409" i="7" a="1"/>
  <c r="H3409" i="7" s="1"/>
  <c r="E3409" i="7"/>
  <c r="H3408" i="7" a="1"/>
  <c r="H3408" i="7" s="1"/>
  <c r="E3408" i="7"/>
  <c r="H3407" i="7" a="1"/>
  <c r="H3407" i="7" s="1"/>
  <c r="E3407" i="7"/>
  <c r="H3406" i="7" a="1"/>
  <c r="H3406" i="7" s="1"/>
  <c r="E3406" i="7"/>
  <c r="H3405" i="7" a="1"/>
  <c r="H3405" i="7" s="1"/>
  <c r="E3405" i="7"/>
  <c r="H3404" i="7" a="1"/>
  <c r="H3404" i="7" s="1"/>
  <c r="E3404" i="7"/>
  <c r="H3403" i="7" a="1"/>
  <c r="H3403" i="7" s="1"/>
  <c r="E3403" i="7"/>
  <c r="H3402" i="7" a="1"/>
  <c r="H3402" i="7" s="1"/>
  <c r="E3402" i="7"/>
  <c r="H3401" i="7" a="1"/>
  <c r="H3401" i="7" s="1"/>
  <c r="E3401" i="7"/>
  <c r="H3400" i="7" a="1"/>
  <c r="H3400" i="7" s="1"/>
  <c r="E3400" i="7"/>
  <c r="H3355" i="7" a="1"/>
  <c r="H3355" i="7" s="1"/>
  <c r="E3355" i="7"/>
  <c r="E3354" i="7"/>
  <c r="E3353" i="7"/>
  <c r="H3352" i="7" a="1"/>
  <c r="H3352" i="7" s="1"/>
  <c r="E3352" i="7"/>
  <c r="H3393" i="7" l="1" a="1"/>
  <c r="H3393" i="7" s="1"/>
  <c r="E3393" i="7"/>
  <c r="H3392" i="7" a="1"/>
  <c r="H3392" i="7" s="1"/>
  <c r="E3392" i="7"/>
  <c r="H3391" i="7" a="1"/>
  <c r="H3391" i="7" s="1"/>
  <c r="E3391" i="7"/>
  <c r="H3390" i="7" a="1"/>
  <c r="H3390" i="7" s="1"/>
  <c r="E3390" i="7"/>
  <c r="H3389" i="7" a="1"/>
  <c r="H3389" i="7" s="1"/>
  <c r="E3389" i="7"/>
  <c r="H3388" i="7" l="1" a="1"/>
  <c r="H3388" i="7" s="1"/>
  <c r="E3388" i="7"/>
  <c r="H3387" i="7" a="1"/>
  <c r="H3387" i="7" s="1"/>
  <c r="E3387" i="7"/>
  <c r="H3386" i="7" a="1"/>
  <c r="H3386" i="7" s="1"/>
  <c r="E3386" i="7"/>
  <c r="H3385" i="7" a="1"/>
  <c r="H3385" i="7" s="1"/>
  <c r="E3385" i="7"/>
  <c r="H3384" i="7" a="1"/>
  <c r="H3384" i="7" s="1"/>
  <c r="E3384" i="7"/>
  <c r="H3383" i="7" a="1"/>
  <c r="H3383" i="7" s="1"/>
  <c r="E3383" i="7"/>
  <c r="H3382" i="7" a="1"/>
  <c r="H3382" i="7" s="1"/>
  <c r="E3382" i="7"/>
  <c r="H3381" i="7" a="1"/>
  <c r="H3381" i="7" s="1"/>
  <c r="E3381" i="7"/>
  <c r="H3380" i="7" a="1"/>
  <c r="H3380" i="7" s="1"/>
  <c r="E3380" i="7"/>
  <c r="H3379" i="7" a="1"/>
  <c r="H3379" i="7" s="1"/>
  <c r="E3379" i="7"/>
  <c r="H3378" i="7" a="1"/>
  <c r="H3378" i="7" s="1"/>
  <c r="E3378" i="7"/>
  <c r="H3377" i="7" a="1"/>
  <c r="H3377" i="7" s="1"/>
  <c r="E3377" i="7"/>
  <c r="H3376" i="7" l="1" a="1"/>
  <c r="H3376" i="7" s="1"/>
  <c r="E3376" i="7"/>
  <c r="H3375" i="7" a="1"/>
  <c r="H3375" i="7" s="1"/>
  <c r="E3375" i="7"/>
  <c r="H3374" i="7" a="1"/>
  <c r="H3374" i="7" s="1"/>
  <c r="E3374" i="7"/>
  <c r="H3373" i="7" a="1"/>
  <c r="H3373" i="7" s="1"/>
  <c r="E3373" i="7"/>
  <c r="H3372" i="7" a="1"/>
  <c r="H3372" i="7" s="1"/>
  <c r="E3372" i="7"/>
  <c r="H3371" i="7" a="1"/>
  <c r="H3371" i="7" s="1"/>
  <c r="E3371" i="7"/>
  <c r="H3370" i="7" a="1"/>
  <c r="H3370" i="7" s="1"/>
  <c r="E3370" i="7"/>
  <c r="H3369" i="7" a="1"/>
  <c r="H3369" i="7" s="1"/>
  <c r="E3369" i="7"/>
  <c r="H3368" i="7" a="1"/>
  <c r="H3368" i="7" s="1"/>
  <c r="E3368" i="7"/>
  <c r="H3367" i="7" a="1"/>
  <c r="H3367" i="7" s="1"/>
  <c r="E3367" i="7"/>
  <c r="H3366" i="7" a="1"/>
  <c r="H3366" i="7" s="1"/>
  <c r="E3366" i="7"/>
  <c r="H3365" i="7" a="1"/>
  <c r="H3365" i="7" s="1"/>
  <c r="E3365" i="7"/>
  <c r="H3364" i="7" a="1"/>
  <c r="H3364" i="7" s="1"/>
  <c r="E3364" i="7"/>
  <c r="H3363" i="7" a="1"/>
  <c r="H3363" i="7" s="1"/>
  <c r="E3363" i="7"/>
  <c r="H3362" i="7" a="1"/>
  <c r="H3362" i="7" s="1"/>
  <c r="E3362" i="7"/>
  <c r="H3361" i="7" a="1"/>
  <c r="H3361" i="7" s="1"/>
  <c r="E3361" i="7"/>
  <c r="H3360" i="7" a="1"/>
  <c r="H3360" i="7" s="1"/>
  <c r="E3360" i="7"/>
  <c r="H3359" i="7" a="1"/>
  <c r="H3359" i="7" s="1"/>
  <c r="E3359" i="7"/>
  <c r="H3358" i="7" a="1"/>
  <c r="H3358" i="7" s="1"/>
  <c r="E3358" i="7"/>
  <c r="H3357" i="7" a="1"/>
  <c r="H3357" i="7" s="1"/>
  <c r="E3357" i="7"/>
  <c r="H3356" i="7" a="1"/>
  <c r="H3356" i="7" s="1"/>
  <c r="E3356" i="7"/>
  <c r="H3351" i="7" l="1" a="1"/>
  <c r="H3351" i="7" s="1"/>
  <c r="E3351" i="7"/>
  <c r="H3350" i="7" a="1"/>
  <c r="H3350" i="7" s="1"/>
  <c r="E3350" i="7"/>
  <c r="H3349" i="7" a="1"/>
  <c r="H3349" i="7" s="1"/>
  <c r="E3349" i="7"/>
  <c r="H3348" i="7" a="1"/>
  <c r="H3348" i="7" s="1"/>
  <c r="E3348" i="7"/>
  <c r="H3347" i="7" a="1"/>
  <c r="H3347" i="7" s="1"/>
  <c r="E3347" i="7"/>
  <c r="H3346" i="7" a="1"/>
  <c r="H3346" i="7" s="1"/>
  <c r="E3346" i="7"/>
  <c r="H3345" i="7" a="1"/>
  <c r="H3345" i="7" s="1"/>
  <c r="E3345" i="7"/>
  <c r="H3344" i="7" a="1"/>
  <c r="H3344" i="7" s="1"/>
  <c r="E3344" i="7"/>
  <c r="H3343" i="7" a="1"/>
  <c r="H3343" i="7" s="1"/>
  <c r="E3343" i="7"/>
  <c r="H3342" i="7" a="1"/>
  <c r="H3342" i="7" s="1"/>
  <c r="E3342" i="7"/>
  <c r="H3341" i="7" a="1"/>
  <c r="H3341" i="7" s="1"/>
  <c r="E3341" i="7"/>
  <c r="H3340" i="7" a="1"/>
  <c r="H3340" i="7" s="1"/>
  <c r="E3340" i="7"/>
  <c r="H3339" i="7" a="1"/>
  <c r="H3339" i="7" s="1"/>
  <c r="E3339" i="7"/>
  <c r="H3338" i="7" a="1"/>
  <c r="H3338" i="7" s="1"/>
  <c r="E3338" i="7"/>
  <c r="H3337" i="7" a="1"/>
  <c r="H3337" i="7" s="1"/>
  <c r="E3337" i="7"/>
  <c r="H3336" i="7" a="1"/>
  <c r="H3336" i="7" s="1"/>
  <c r="E3336" i="7"/>
  <c r="H3335" i="7" a="1"/>
  <c r="H3335" i="7" s="1"/>
  <c r="E3335" i="7"/>
  <c r="H3334" i="7" a="1"/>
  <c r="H3334" i="7" s="1"/>
  <c r="E3334" i="7"/>
  <c r="H3333" i="7" a="1"/>
  <c r="H3333" i="7" s="1"/>
  <c r="E3333" i="7"/>
  <c r="H3332" i="7" a="1"/>
  <c r="H3332" i="7" s="1"/>
  <c r="E3332" i="7"/>
  <c r="H3331" i="7" a="1"/>
  <c r="H3331" i="7" s="1"/>
  <c r="E3331" i="7"/>
  <c r="H3330" i="7" a="1"/>
  <c r="H3330" i="7" s="1"/>
  <c r="E3330" i="7"/>
  <c r="H3329" i="7" a="1"/>
  <c r="H3329" i="7" s="1"/>
  <c r="E3329" i="7"/>
  <c r="H3328" i="7" a="1"/>
  <c r="H3328" i="7" s="1"/>
  <c r="E3328" i="7"/>
  <c r="H3327" i="7" a="1"/>
  <c r="H3327" i="7" s="1"/>
  <c r="E3327" i="7"/>
  <c r="H3322" i="7" l="1" a="1"/>
  <c r="H3322" i="7" s="1"/>
  <c r="E3322" i="7"/>
  <c r="E3321" i="7"/>
  <c r="E3320" i="7"/>
  <c r="H3319" i="7" a="1"/>
  <c r="H3319" i="7" s="1"/>
  <c r="E3319" i="7"/>
  <c r="H3326" i="7" l="1" a="1"/>
  <c r="H3326" i="7" s="1"/>
  <c r="E3326" i="7"/>
  <c r="H3325" i="7" a="1"/>
  <c r="H3325" i="7" s="1"/>
  <c r="E3325" i="7"/>
  <c r="H3318" i="7" a="1"/>
  <c r="H3318" i="7" s="1"/>
  <c r="E3318" i="7"/>
  <c r="H3317" i="7" a="1"/>
  <c r="H3317" i="7" s="1"/>
  <c r="E3317" i="7"/>
  <c r="H3324" i="7" a="1"/>
  <c r="H3324" i="7" s="1"/>
  <c r="E3324" i="7"/>
  <c r="H3323" i="7" a="1"/>
  <c r="H3323" i="7" s="1"/>
  <c r="E3323" i="7"/>
  <c r="H3316" i="7" a="1"/>
  <c r="H3316" i="7" s="1"/>
  <c r="E3316" i="7"/>
  <c r="H3315" i="7" a="1"/>
  <c r="H3315" i="7" s="1"/>
  <c r="E3315" i="7"/>
  <c r="H3314" i="7" a="1"/>
  <c r="H3314" i="7" s="1"/>
  <c r="E3314" i="7"/>
  <c r="H3313" i="7" a="1"/>
  <c r="H3313" i="7" s="1"/>
  <c r="E3313" i="7"/>
  <c r="H3312" i="7" a="1"/>
  <c r="H3312" i="7" s="1"/>
  <c r="E3312" i="7"/>
  <c r="H3311" i="7" a="1"/>
  <c r="H3311" i="7" s="1"/>
  <c r="E3311" i="7"/>
  <c r="H3310" i="7" a="1"/>
  <c r="H3310" i="7" s="1"/>
  <c r="E3310" i="7"/>
  <c r="H3309" i="7" a="1"/>
  <c r="H3309" i="7" s="1"/>
  <c r="E3309" i="7"/>
  <c r="H3308" i="7" a="1"/>
  <c r="H3308" i="7" s="1"/>
  <c r="E3308" i="7"/>
  <c r="H3307" i="7" a="1"/>
  <c r="H3307" i="7" s="1"/>
  <c r="E3307" i="7"/>
  <c r="H3306" i="7" a="1"/>
  <c r="H3306" i="7" s="1"/>
  <c r="E3306" i="7"/>
  <c r="H3305" i="7" a="1"/>
  <c r="H3305" i="7" s="1"/>
  <c r="E3305" i="7"/>
  <c r="H3304" i="7" a="1"/>
  <c r="H3304" i="7" s="1"/>
  <c r="E3304" i="7"/>
  <c r="H3303" i="7" a="1"/>
  <c r="H3303" i="7" s="1"/>
  <c r="E3303" i="7"/>
  <c r="H3302" i="7" a="1"/>
  <c r="H3302" i="7" s="1"/>
  <c r="E3302" i="7"/>
  <c r="H3301" i="7" a="1"/>
  <c r="H3301" i="7" s="1"/>
  <c r="E3301" i="7"/>
  <c r="H3295" i="7" a="1"/>
  <c r="H3295" i="7" s="1"/>
  <c r="E3295" i="7"/>
  <c r="H3294" i="7" a="1"/>
  <c r="H3294" i="7" s="1"/>
  <c r="E3294" i="7"/>
  <c r="H3298" i="7" a="1"/>
  <c r="H3298" i="7" s="1"/>
  <c r="E3298" i="7"/>
  <c r="H3297" i="7" a="1"/>
  <c r="H3297" i="7" s="1"/>
  <c r="E3297" i="7"/>
  <c r="H3296" i="7" a="1"/>
  <c r="H3296" i="7" s="1"/>
  <c r="E3296" i="7"/>
  <c r="H3300" i="7" a="1"/>
  <c r="H3300" i="7" s="1"/>
  <c r="E3300" i="7"/>
  <c r="H3299" i="7" a="1"/>
  <c r="H3299" i="7" s="1"/>
  <c r="E3299" i="7"/>
  <c r="H3293" i="7" l="1" a="1"/>
  <c r="H3293" i="7" s="1"/>
  <c r="E3293" i="7"/>
  <c r="H3292" i="7" a="1"/>
  <c r="H3292" i="7" s="1"/>
  <c r="E3292" i="7"/>
  <c r="H3291" i="7" a="1"/>
  <c r="H3291" i="7" s="1"/>
  <c r="E3291" i="7"/>
  <c r="H3290" i="7" a="1"/>
  <c r="H3290" i="7" s="1"/>
  <c r="E3290" i="7"/>
  <c r="H3289" i="7" a="1"/>
  <c r="H3289" i="7" s="1"/>
  <c r="E3289" i="7"/>
  <c r="H3288" i="7" a="1"/>
  <c r="H3288" i="7" s="1"/>
  <c r="E3288" i="7"/>
  <c r="H3287" i="7" a="1"/>
  <c r="H3287" i="7" s="1"/>
  <c r="E3287" i="7"/>
  <c r="H3286" i="7" a="1"/>
  <c r="H3286" i="7" s="1"/>
  <c r="E3286" i="7"/>
  <c r="H3285" i="7" a="1"/>
  <c r="H3285" i="7" s="1"/>
  <c r="E3285" i="7"/>
  <c r="H3284" i="7" a="1"/>
  <c r="H3284" i="7" s="1"/>
  <c r="E3284" i="7"/>
  <c r="H3283" i="7" a="1"/>
  <c r="H3283" i="7" s="1"/>
  <c r="E3283" i="7"/>
  <c r="H3282" i="7" a="1"/>
  <c r="H3282" i="7" s="1"/>
  <c r="E3282" i="7"/>
  <c r="H3281" i="7" a="1"/>
  <c r="H3281" i="7" s="1"/>
  <c r="E3281" i="7"/>
  <c r="H3280" i="7" a="1"/>
  <c r="H3280" i="7" s="1"/>
  <c r="E3280" i="7"/>
  <c r="H3279" i="7" a="1"/>
  <c r="H3279" i="7" s="1"/>
  <c r="E3279" i="7"/>
  <c r="H3278" i="7" a="1"/>
  <c r="H3278" i="7" s="1"/>
  <c r="E3278" i="7"/>
  <c r="H3277" i="7" l="1" a="1"/>
  <c r="H3277" i="7" s="1"/>
  <c r="E3277" i="7"/>
  <c r="H3276" i="7" a="1"/>
  <c r="H3276" i="7" s="1"/>
  <c r="E3276" i="7"/>
  <c r="H3275" i="7" a="1"/>
  <c r="H3275" i="7" s="1"/>
  <c r="E3275" i="7"/>
  <c r="H3274" i="7" a="1"/>
  <c r="H3274" i="7" s="1"/>
  <c r="E3274" i="7"/>
  <c r="H3273" i="7" a="1"/>
  <c r="H3273" i="7" s="1"/>
  <c r="E3273" i="7"/>
  <c r="H3272" i="7" a="1"/>
  <c r="H3272" i="7" s="1"/>
  <c r="E3272" i="7"/>
  <c r="H3271" i="7" a="1"/>
  <c r="H3271" i="7" s="1"/>
  <c r="E3271" i="7"/>
  <c r="H3270" i="7" a="1"/>
  <c r="H3270" i="7" s="1"/>
  <c r="E3270" i="7"/>
  <c r="H3269" i="7" a="1"/>
  <c r="H3269" i="7" s="1"/>
  <c r="E3269" i="7"/>
  <c r="H3268" i="7" a="1"/>
  <c r="H3268" i="7" s="1"/>
  <c r="E3268" i="7"/>
  <c r="H3267" i="7" a="1"/>
  <c r="H3267" i="7" s="1"/>
  <c r="E3267" i="7"/>
  <c r="H3266" i="7" a="1"/>
  <c r="H3266" i="7" s="1"/>
  <c r="E3266" i="7"/>
  <c r="H3265" i="7" a="1"/>
  <c r="H3265" i="7" s="1"/>
  <c r="E3265" i="7"/>
  <c r="H3264" i="7" a="1"/>
  <c r="H3264" i="7" s="1"/>
  <c r="E3264" i="7"/>
  <c r="H3263" i="7" a="1"/>
  <c r="H3263" i="7" s="1"/>
  <c r="E3263" i="7"/>
  <c r="H3262" i="7" a="1"/>
  <c r="H3262" i="7" s="1"/>
  <c r="E3262" i="7"/>
  <c r="H3256" i="7" a="1"/>
  <c r="H3256" i="7" s="1"/>
  <c r="E3256" i="7"/>
  <c r="H3253" i="7" a="1"/>
  <c r="H3253" i="7" s="1"/>
  <c r="E3253" i="7"/>
  <c r="H3261" i="7" a="1"/>
  <c r="H3261" i="7" s="1"/>
  <c r="E3261" i="7"/>
  <c r="H3260" i="7" a="1"/>
  <c r="H3260" i="7" s="1"/>
  <c r="E3260" i="7"/>
  <c r="H3259" i="7" a="1"/>
  <c r="H3259" i="7" s="1"/>
  <c r="E3259" i="7"/>
  <c r="H3258" i="7" a="1"/>
  <c r="H3258" i="7" s="1"/>
  <c r="E3258" i="7"/>
  <c r="H3257" i="7" a="1"/>
  <c r="H3257" i="7" s="1"/>
  <c r="E3257" i="7"/>
  <c r="H3252" i="7" l="1" a="1"/>
  <c r="H3252" i="7" s="1"/>
  <c r="E3252" i="7"/>
  <c r="H3251" i="7" a="1"/>
  <c r="H3251" i="7" s="1"/>
  <c r="E3251" i="7"/>
  <c r="H3244" i="7" a="1"/>
  <c r="H3244" i="7" s="1"/>
  <c r="E3244" i="7"/>
  <c r="E3243" i="7"/>
  <c r="E3242" i="7"/>
  <c r="H3241" i="7" a="1"/>
  <c r="H3241" i="7" s="1"/>
  <c r="E3241" i="7"/>
  <c r="H3240" i="7" a="1"/>
  <c r="H3240" i="7" s="1"/>
  <c r="E3240" i="7"/>
  <c r="E3239" i="7"/>
  <c r="E3238" i="7"/>
  <c r="H3237" i="7" a="1"/>
  <c r="H3237" i="7" s="1"/>
  <c r="E3237" i="7"/>
  <c r="H3236" i="7" l="1" a="1"/>
  <c r="H3236" i="7" s="1"/>
  <c r="E3236" i="7"/>
  <c r="H3235" i="7" a="1"/>
  <c r="H3235" i="7" s="1"/>
  <c r="E3235" i="7"/>
  <c r="H3250" i="7" a="1"/>
  <c r="H3250" i="7" s="1"/>
  <c r="E3250" i="7"/>
  <c r="H3249" i="7" a="1"/>
  <c r="H3249" i="7" s="1"/>
  <c r="E3249" i="7"/>
  <c r="H3248" i="7" a="1"/>
  <c r="H3248" i="7" s="1"/>
  <c r="E3248" i="7"/>
  <c r="H3234" i="7" l="1" a="1"/>
  <c r="H3234" i="7" s="1"/>
  <c r="E3234" i="7"/>
  <c r="H3233" i="7" a="1"/>
  <c r="H3233" i="7" s="1"/>
  <c r="E3233" i="7"/>
  <c r="H3247" i="7" a="1"/>
  <c r="H3247" i="7" s="1"/>
  <c r="E3247" i="7"/>
  <c r="E3246" i="7"/>
  <c r="H3245" i="7" a="1"/>
  <c r="H3245" i="7" s="1"/>
  <c r="E3245" i="7"/>
  <c r="H3216" i="7" l="1" a="1"/>
  <c r="H3216" i="7" s="1"/>
  <c r="E3216" i="7"/>
  <c r="H3215" i="7" a="1"/>
  <c r="H3215" i="7" s="1"/>
  <c r="E3215" i="7"/>
  <c r="H3214" i="7" a="1"/>
  <c r="H3214" i="7" s="1"/>
  <c r="E3214" i="7"/>
  <c r="H3213" i="7" a="1"/>
  <c r="H3213" i="7" s="1"/>
  <c r="E3213" i="7"/>
  <c r="H3212" i="7" a="1"/>
  <c r="H3212" i="7" s="1"/>
  <c r="E3212" i="7"/>
  <c r="H3211" i="7" a="1"/>
  <c r="H3211" i="7" s="1"/>
  <c r="E3211" i="7"/>
  <c r="H3210" i="7" a="1"/>
  <c r="H3210" i="7" s="1"/>
  <c r="E3210" i="7"/>
  <c r="H3209" i="7" a="1"/>
  <c r="H3209" i="7" s="1"/>
  <c r="E3209" i="7"/>
  <c r="H3208" i="7" a="1"/>
  <c r="H3208" i="7" s="1"/>
  <c r="E3208" i="7"/>
  <c r="H3207" i="7" a="1"/>
  <c r="H3207" i="7" s="1"/>
  <c r="E3207" i="7"/>
  <c r="H3206" i="7" a="1"/>
  <c r="H3206" i="7" s="1"/>
  <c r="E3206" i="7"/>
  <c r="H3205" i="7" l="1" a="1"/>
  <c r="H3205" i="7" s="1"/>
  <c r="E3205" i="7"/>
  <c r="H3204" i="7" a="1"/>
  <c r="H3204" i="7" s="1"/>
  <c r="E3204" i="7"/>
  <c r="H3203" i="7" a="1"/>
  <c r="H3203" i="7" s="1"/>
  <c r="E3203" i="7"/>
  <c r="H3202" i="7" a="1"/>
  <c r="H3202" i="7" s="1"/>
  <c r="E3202" i="7"/>
  <c r="H3201" i="7" a="1"/>
  <c r="H3201" i="7" s="1"/>
  <c r="E3201" i="7"/>
  <c r="H3200" i="7" a="1"/>
  <c r="H3200" i="7" s="1"/>
  <c r="E3200" i="7"/>
  <c r="H3199" i="7" a="1"/>
  <c r="H3199" i="7" s="1"/>
  <c r="E3199" i="7"/>
  <c r="H3198" i="7" a="1"/>
  <c r="H3198" i="7" s="1"/>
  <c r="E3198" i="7"/>
  <c r="H3224" i="7" l="1" a="1"/>
  <c r="H3224" i="7" s="1"/>
  <c r="E3224" i="7"/>
  <c r="H3223" i="7" a="1"/>
  <c r="H3223" i="7" s="1"/>
  <c r="E3223" i="7"/>
  <c r="H3232" i="7" a="1"/>
  <c r="H3232" i="7" s="1"/>
  <c r="E3232" i="7"/>
  <c r="H3231" i="7" a="1"/>
  <c r="H3231" i="7" s="1"/>
  <c r="E3231" i="7"/>
  <c r="H3230" i="7" a="1"/>
  <c r="H3230" i="7" s="1"/>
  <c r="E3230" i="7"/>
  <c r="H3229" i="7" a="1"/>
  <c r="H3229" i="7" s="1"/>
  <c r="E3229" i="7"/>
  <c r="H3228" i="7" a="1"/>
  <c r="H3228" i="7" s="1"/>
  <c r="E3228" i="7"/>
  <c r="H3227" i="7" a="1"/>
  <c r="H3227" i="7" s="1"/>
  <c r="E3227" i="7"/>
  <c r="H3226" i="7" a="1"/>
  <c r="H3226" i="7" s="1"/>
  <c r="E3226" i="7"/>
  <c r="H3225" i="7" a="1"/>
  <c r="H3225" i="7" s="1"/>
  <c r="E3225" i="7"/>
  <c r="H3222" i="7" a="1"/>
  <c r="H3222" i="7" s="1"/>
  <c r="E3222" i="7"/>
  <c r="H3221" i="7" a="1"/>
  <c r="H3221" i="7" s="1"/>
  <c r="E3221" i="7"/>
  <c r="H3220" i="7" a="1"/>
  <c r="H3220" i="7" s="1"/>
  <c r="E3220" i="7"/>
  <c r="H3219" i="7" a="1"/>
  <c r="H3219" i="7" s="1"/>
  <c r="E3219" i="7"/>
  <c r="H3218" i="7" a="1"/>
  <c r="H3218" i="7" s="1"/>
  <c r="E3218" i="7"/>
  <c r="H3217" i="7" a="1"/>
  <c r="H3217" i="7" s="1"/>
  <c r="E3217" i="7"/>
  <c r="H3197" i="7" l="1" a="1"/>
  <c r="H3197" i="7" s="1"/>
  <c r="E3197" i="7"/>
  <c r="E3196" i="7"/>
  <c r="E3195" i="7"/>
  <c r="H3194" i="7" a="1"/>
  <c r="H3194" i="7" s="1"/>
  <c r="E3194" i="7"/>
  <c r="H3193" i="7" a="1"/>
  <c r="H3193" i="7" s="1"/>
  <c r="E3193" i="7"/>
  <c r="E3192" i="7"/>
  <c r="E3191" i="7"/>
  <c r="H3190" i="7" a="1"/>
  <c r="H3190" i="7" s="1"/>
  <c r="E3190" i="7"/>
  <c r="E3189" i="7"/>
  <c r="H3188" i="7" a="1"/>
  <c r="H3188" i="7" s="1"/>
  <c r="E3188" i="7"/>
  <c r="E3187" i="7"/>
  <c r="H3186" i="7" a="1"/>
  <c r="H3186" i="7" s="1"/>
  <c r="E3186" i="7"/>
  <c r="H3185" i="7" a="1"/>
  <c r="H3185" i="7" s="1"/>
  <c r="E3185" i="7"/>
  <c r="H3184" i="7" a="1"/>
  <c r="H3184" i="7" s="1"/>
  <c r="E3184" i="7"/>
  <c r="H3183" i="7" a="1"/>
  <c r="H3183" i="7" s="1"/>
  <c r="E3183" i="7"/>
  <c r="H3182" i="7" a="1"/>
  <c r="H3182" i="7" s="1"/>
  <c r="E3182" i="7"/>
  <c r="H3181" i="7" a="1"/>
  <c r="H3181" i="7" s="1"/>
  <c r="E3181" i="7"/>
  <c r="H3180" i="7" a="1"/>
  <c r="H3180" i="7" s="1"/>
  <c r="E3180" i="7"/>
  <c r="H3179" i="7" l="1" a="1"/>
  <c r="H3179" i="7" s="1"/>
  <c r="E3179" i="7"/>
  <c r="H3178" i="7" a="1"/>
  <c r="H3178" i="7" s="1"/>
  <c r="E3178" i="7"/>
  <c r="H3177" i="7" a="1"/>
  <c r="H3177" i="7" s="1"/>
  <c r="E3177" i="7"/>
  <c r="H3176" i="7" a="1"/>
  <c r="H3176" i="7" s="1"/>
  <c r="E3176" i="7"/>
  <c r="H3175" i="7" a="1"/>
  <c r="H3175" i="7" s="1"/>
  <c r="E3175" i="7"/>
  <c r="H3174" i="7" a="1"/>
  <c r="H3174" i="7" s="1"/>
  <c r="E3174" i="7"/>
  <c r="H3173" i="7" a="1"/>
  <c r="H3173" i="7" s="1"/>
  <c r="E3173" i="7"/>
  <c r="H3172" i="7" a="1"/>
  <c r="H3172" i="7" s="1"/>
  <c r="E3172" i="7"/>
  <c r="H3171" i="7" a="1"/>
  <c r="H3171" i="7" s="1"/>
  <c r="E3171" i="7"/>
  <c r="H3170" i="7" a="1"/>
  <c r="H3170" i="7" s="1"/>
  <c r="E3170" i="7"/>
  <c r="H3169" i="7" a="1"/>
  <c r="H3169" i="7" s="1"/>
  <c r="E3169" i="7"/>
  <c r="H3168" i="7" a="1"/>
  <c r="H3168" i="7" s="1"/>
  <c r="E3168" i="7"/>
  <c r="H3167" i="7" a="1"/>
  <c r="H3167" i="7" s="1"/>
  <c r="E3167" i="7"/>
  <c r="H3166" i="7" a="1"/>
  <c r="H3166" i="7" s="1"/>
  <c r="E3166" i="7"/>
  <c r="H3165" i="7" l="1" a="1"/>
  <c r="H3165" i="7" s="1"/>
  <c r="E3165" i="7"/>
  <c r="H3164" i="7" a="1"/>
  <c r="H3164" i="7" s="1"/>
  <c r="E3164" i="7"/>
  <c r="H3163" i="7" a="1"/>
  <c r="H3163" i="7" s="1"/>
  <c r="E3163" i="7"/>
  <c r="H3154" i="7" l="1" a="1"/>
  <c r="H3154" i="7" s="1"/>
  <c r="E3154" i="7"/>
  <c r="E3153" i="7"/>
  <c r="E3152" i="7"/>
  <c r="H3151" i="7" a="1"/>
  <c r="H3151" i="7" s="1"/>
  <c r="E3151" i="7"/>
  <c r="H3150" i="7" a="1"/>
  <c r="H3150" i="7" s="1"/>
  <c r="E3150" i="7"/>
  <c r="E3149" i="7"/>
  <c r="E3148" i="7"/>
  <c r="H3147" i="7" a="1"/>
  <c r="H3147" i="7" s="1"/>
  <c r="E3147" i="7"/>
  <c r="H3146" i="7" l="1" a="1"/>
  <c r="H3146" i="7" s="1"/>
  <c r="E3146" i="7"/>
  <c r="H3145" i="7" a="1"/>
  <c r="H3145" i="7" s="1"/>
  <c r="E3145" i="7"/>
  <c r="H3159" i="7" l="1" a="1"/>
  <c r="H3159" i="7" s="1"/>
  <c r="E3159" i="7"/>
  <c r="H3158" i="7" a="1"/>
  <c r="H3158" i="7" s="1"/>
  <c r="E3158" i="7"/>
  <c r="H3162" i="7" a="1"/>
  <c r="H3162" i="7" s="1"/>
  <c r="E3162" i="7"/>
  <c r="H3161" i="7" a="1"/>
  <c r="H3161" i="7" s="1"/>
  <c r="E3161" i="7"/>
  <c r="H3160" i="7" a="1"/>
  <c r="H3160" i="7" s="1"/>
  <c r="E3160" i="7"/>
  <c r="H3157" i="7" a="1"/>
  <c r="H3157" i="7" s="1"/>
  <c r="E3157" i="7"/>
  <c r="H3156" i="7" a="1"/>
  <c r="H3156" i="7" s="1"/>
  <c r="E3156" i="7"/>
  <c r="H3155" i="7" a="1"/>
  <c r="H3155" i="7" s="1"/>
  <c r="E3155" i="7"/>
  <c r="E3067" i="7" l="1"/>
  <c r="H3066" i="7" a="1"/>
  <c r="H3066" i="7" s="1"/>
  <c r="E3066" i="7"/>
  <c r="E3065" i="7"/>
  <c r="E3064" i="7"/>
  <c r="H3063" i="7" a="1"/>
  <c r="H3063" i="7" s="1"/>
  <c r="E3063" i="7"/>
  <c r="E3062" i="7"/>
  <c r="E3061" i="7"/>
  <c r="H3060" i="7" a="1"/>
  <c r="H3060" i="7" s="1"/>
  <c r="E3060" i="7"/>
  <c r="E3059" i="7"/>
  <c r="E3058" i="7"/>
  <c r="H3057" i="7" a="1"/>
  <c r="H3057" i="7" s="1"/>
  <c r="E3057" i="7"/>
  <c r="E3056" i="7"/>
  <c r="E3055" i="7"/>
  <c r="H3054" i="7" a="1"/>
  <c r="H3054" i="7" s="1"/>
  <c r="E3054" i="7"/>
  <c r="E3053" i="7"/>
  <c r="E3052" i="7"/>
  <c r="H3051" i="7" a="1"/>
  <c r="H3051" i="7" s="1"/>
  <c r="E3051" i="7"/>
  <c r="E3050" i="7"/>
  <c r="E3049" i="7"/>
  <c r="H3048" i="7" a="1"/>
  <c r="H3048" i="7" s="1"/>
  <c r="E3048" i="7"/>
  <c r="E3047" i="7"/>
  <c r="H3144" i="7" a="1"/>
  <c r="H3144" i="7" s="1"/>
  <c r="E3144" i="7"/>
  <c r="H3143" i="7" a="1"/>
  <c r="H3143" i="7" s="1"/>
  <c r="E3143" i="7"/>
  <c r="H3142" i="7" a="1"/>
  <c r="H3142" i="7" s="1"/>
  <c r="E3142" i="7"/>
  <c r="H3141" i="7" a="1"/>
  <c r="H3141" i="7" s="1"/>
  <c r="E3141" i="7"/>
  <c r="H3140" i="7" a="1"/>
  <c r="H3140" i="7" s="1"/>
  <c r="E3140" i="7"/>
  <c r="H3125" i="7" a="1"/>
  <c r="H3125" i="7" s="1"/>
  <c r="E3125" i="7"/>
  <c r="E3124" i="7"/>
  <c r="E3123" i="7"/>
  <c r="H3122" i="7" a="1"/>
  <c r="H3122" i="7" s="1"/>
  <c r="E3122" i="7"/>
  <c r="H3139" i="7" l="1" a="1"/>
  <c r="H3139" i="7" s="1"/>
  <c r="E3139" i="7"/>
  <c r="H3138" i="7" a="1"/>
  <c r="H3138" i="7" s="1"/>
  <c r="E3138" i="7"/>
  <c r="H3137" i="7" a="1"/>
  <c r="H3137" i="7" s="1"/>
  <c r="E3137" i="7"/>
  <c r="H3136" i="7" a="1"/>
  <c r="H3136" i="7" s="1"/>
  <c r="E3136" i="7"/>
  <c r="H3135" i="7" a="1"/>
  <c r="H3135" i="7" s="1"/>
  <c r="E3135" i="7"/>
  <c r="H3134" i="7" a="1"/>
  <c r="H3134" i="7" s="1"/>
  <c r="E3134" i="7"/>
  <c r="H3133" i="7" a="1"/>
  <c r="H3133" i="7" s="1"/>
  <c r="E3133" i="7"/>
  <c r="H3132" i="7" a="1"/>
  <c r="H3132" i="7" s="1"/>
  <c r="E3132" i="7"/>
  <c r="H3131" i="7" a="1"/>
  <c r="H3131" i="7" s="1"/>
  <c r="E3131" i="7"/>
  <c r="H3130" i="7" a="1"/>
  <c r="H3130" i="7" s="1"/>
  <c r="E3130" i="7"/>
  <c r="H3129" i="7" a="1"/>
  <c r="H3129" i="7" s="1"/>
  <c r="E3129" i="7"/>
  <c r="H3128" i="7" a="1"/>
  <c r="H3128" i="7" s="1"/>
  <c r="E3128" i="7"/>
  <c r="H3127" i="7" a="1"/>
  <c r="H3127" i="7" s="1"/>
  <c r="E3127" i="7"/>
  <c r="H3126" i="7" a="1"/>
  <c r="H3126" i="7" s="1"/>
  <c r="E3126" i="7"/>
  <c r="H3121" i="7" a="1"/>
  <c r="H3121" i="7" s="1"/>
  <c r="E3121" i="7"/>
  <c r="H3120" i="7" a="1"/>
  <c r="H3120" i="7" s="1"/>
  <c r="E3120" i="7"/>
  <c r="E3117" i="7"/>
  <c r="E3112" i="7"/>
  <c r="E3107" i="7"/>
  <c r="E3113" i="7"/>
  <c r="H3119" i="7" a="1"/>
  <c r="H3119" i="7" s="1"/>
  <c r="E3119" i="7"/>
  <c r="E3118" i="7"/>
  <c r="E3116" i="7"/>
  <c r="H3115" i="7" a="1"/>
  <c r="H3115" i="7" s="1"/>
  <c r="E3115" i="7"/>
  <c r="H3114" i="7" a="1"/>
  <c r="H3114" i="7" s="1"/>
  <c r="E3114" i="7"/>
  <c r="E3111" i="7"/>
  <c r="H3110" i="7" a="1"/>
  <c r="H3110" i="7" s="1"/>
  <c r="E3110" i="7"/>
  <c r="H3109" i="7" a="1"/>
  <c r="H3109" i="7" s="1"/>
  <c r="E3109" i="7"/>
  <c r="E3108" i="7"/>
  <c r="E3106" i="7"/>
  <c r="H3105" i="7" a="1"/>
  <c r="H3105" i="7" s="1"/>
  <c r="E3105" i="7"/>
  <c r="H3104" i="7" a="1"/>
  <c r="H3104" i="7" s="1"/>
  <c r="E3104" i="7"/>
  <c r="H3103" i="7" a="1"/>
  <c r="H3103" i="7" s="1"/>
  <c r="E3103" i="7"/>
  <c r="H3102" i="7" a="1"/>
  <c r="H3102" i="7" s="1"/>
  <c r="E3102" i="7"/>
  <c r="H3101" i="7" a="1"/>
  <c r="H3101" i="7" s="1"/>
  <c r="E3101" i="7"/>
  <c r="H3100" i="7" a="1"/>
  <c r="H3100" i="7" s="1"/>
  <c r="E3100" i="7"/>
  <c r="H3099" i="7" a="1"/>
  <c r="H3099" i="7" s="1"/>
  <c r="E3099" i="7"/>
  <c r="H3098" i="7" a="1"/>
  <c r="H3098" i="7" s="1"/>
  <c r="E3098" i="7"/>
  <c r="H3097" i="7" l="1" a="1"/>
  <c r="H3097" i="7" s="1"/>
  <c r="E3097" i="7"/>
  <c r="H3096" i="7" a="1"/>
  <c r="H3096" i="7" s="1"/>
  <c r="E3096" i="7"/>
  <c r="H3095" i="7" a="1"/>
  <c r="H3095" i="7" s="1"/>
  <c r="E3095" i="7"/>
  <c r="H3094" i="7" a="1"/>
  <c r="H3094" i="7" s="1"/>
  <c r="E3094" i="7"/>
  <c r="H3093" i="7" a="1"/>
  <c r="H3093" i="7" s="1"/>
  <c r="E3093" i="7"/>
  <c r="H3078" i="7" a="1"/>
  <c r="H3078" i="7" s="1"/>
  <c r="E3078" i="7"/>
  <c r="E3077" i="7"/>
  <c r="E3076" i="7"/>
  <c r="H3075" i="7" a="1"/>
  <c r="H3075" i="7" s="1"/>
  <c r="E3075" i="7"/>
  <c r="H3092" i="7" l="1" a="1"/>
  <c r="H3092" i="7" s="1"/>
  <c r="E3092" i="7"/>
  <c r="H3091" i="7" a="1"/>
  <c r="H3091" i="7" s="1"/>
  <c r="E3091" i="7"/>
  <c r="H3090" i="7" a="1"/>
  <c r="H3090" i="7" s="1"/>
  <c r="E3090" i="7"/>
  <c r="H3089" i="7" a="1"/>
  <c r="H3089" i="7" s="1"/>
  <c r="E3089" i="7"/>
  <c r="H3088" i="7" a="1"/>
  <c r="H3088" i="7" s="1"/>
  <c r="E3088" i="7"/>
  <c r="H3087" i="7" a="1"/>
  <c r="H3087" i="7" s="1"/>
  <c r="E3087" i="7"/>
  <c r="H3086" i="7" a="1"/>
  <c r="H3086" i="7" s="1"/>
  <c r="E3086" i="7"/>
  <c r="H3085" i="7" a="1"/>
  <c r="H3085" i="7" s="1"/>
  <c r="E3085" i="7"/>
  <c r="H3084" i="7" a="1"/>
  <c r="H3084" i="7" s="1"/>
  <c r="E3084" i="7"/>
  <c r="H3083" i="7" a="1"/>
  <c r="H3083" i="7" s="1"/>
  <c r="E3083" i="7"/>
  <c r="H3082" i="7" a="1"/>
  <c r="H3082" i="7" s="1"/>
  <c r="E3082" i="7"/>
  <c r="H3081" i="7" a="1"/>
  <c r="H3081" i="7" s="1"/>
  <c r="E3081" i="7"/>
  <c r="H3080" i="7" a="1"/>
  <c r="H3080" i="7" s="1"/>
  <c r="E3080" i="7"/>
  <c r="H3079" i="7" a="1"/>
  <c r="H3079" i="7" s="1"/>
  <c r="E3079" i="7"/>
  <c r="H3072" i="7" a="1"/>
  <c r="H3072" i="7" s="1"/>
  <c r="E3072" i="7"/>
  <c r="H3071" i="7" a="1"/>
  <c r="H3071" i="7" s="1"/>
  <c r="E3071" i="7"/>
  <c r="H3070" i="7" a="1"/>
  <c r="H3070" i="7" s="1"/>
  <c r="E3070" i="7"/>
  <c r="H3069" i="7" l="1" a="1"/>
  <c r="H3069" i="7" s="1"/>
  <c r="E3069" i="7"/>
  <c r="H3068" i="7" a="1"/>
  <c r="H3068" i="7" s="1"/>
  <c r="E3068" i="7"/>
  <c r="H3074" i="7" a="1"/>
  <c r="H3074" i="7" s="1"/>
  <c r="E3074" i="7"/>
  <c r="H3073" i="7" a="1"/>
  <c r="H3073" i="7" s="1"/>
  <c r="E3073" i="7"/>
  <c r="H3046" i="7" a="1"/>
  <c r="H3046" i="7" s="1"/>
  <c r="E3046" i="7"/>
  <c r="H3045" i="7" a="1"/>
  <c r="H3045" i="7" s="1"/>
  <c r="E3045" i="7"/>
  <c r="H3044" i="7" a="1"/>
  <c r="H3044" i="7" s="1"/>
  <c r="E3044" i="7"/>
  <c r="H3043" i="7" a="1"/>
  <c r="H3043" i="7" s="1"/>
  <c r="E3043" i="7"/>
  <c r="H3042" i="7" a="1"/>
  <c r="H3042" i="7" s="1"/>
  <c r="E3042" i="7"/>
  <c r="H3041" i="7" a="1"/>
  <c r="H3041" i="7" s="1"/>
  <c r="E3041" i="7"/>
  <c r="H3040" i="7" a="1"/>
  <c r="H3040" i="7" s="1"/>
  <c r="E3040" i="7"/>
  <c r="H3039" i="7" a="1"/>
  <c r="H3039" i="7" s="1"/>
  <c r="E3039" i="7"/>
  <c r="H3038" i="7" a="1"/>
  <c r="H3038" i="7" s="1"/>
  <c r="E3038" i="7"/>
  <c r="H3037" i="7" a="1"/>
  <c r="H3037" i="7" s="1"/>
  <c r="E3037" i="7"/>
  <c r="H3036" i="7" a="1"/>
  <c r="H3036" i="7" s="1"/>
  <c r="E3036" i="7"/>
  <c r="H3035" i="7" a="1"/>
  <c r="H3035" i="7" s="1"/>
  <c r="E3035" i="7"/>
  <c r="H3034" i="7" a="1"/>
  <c r="H3034" i="7" s="1"/>
  <c r="E3034" i="7"/>
  <c r="H3033" i="7" a="1"/>
  <c r="H3033" i="7" s="1"/>
  <c r="E3033" i="7"/>
  <c r="H2954" i="7" l="1" a="1"/>
  <c r="H2954" i="7" s="1"/>
  <c r="E2954" i="7"/>
  <c r="H2953" i="7" a="1"/>
  <c r="H2953" i="7" s="1"/>
  <c r="E2953" i="7"/>
  <c r="H3032" i="7" a="1"/>
  <c r="H3032" i="7" s="1"/>
  <c r="E3032" i="7"/>
  <c r="H3031" i="7" a="1"/>
  <c r="H3031" i="7" s="1"/>
  <c r="E3031" i="7"/>
  <c r="H3030" i="7" a="1"/>
  <c r="H3030" i="7" s="1"/>
  <c r="E3030" i="7"/>
  <c r="H3029" i="7" l="1" a="1"/>
  <c r="H3029" i="7" s="1"/>
  <c r="E3029" i="7"/>
  <c r="H3028" i="7" a="1"/>
  <c r="H3028" i="7" s="1"/>
  <c r="E3028" i="7"/>
  <c r="H3027" i="7" a="1"/>
  <c r="H3027" i="7" s="1"/>
  <c r="E3027" i="7"/>
  <c r="H3026" i="7" a="1"/>
  <c r="H3026" i="7" s="1"/>
  <c r="E3026" i="7"/>
  <c r="H3019" i="7" a="1"/>
  <c r="H3019" i="7" s="1"/>
  <c r="E3019" i="7"/>
  <c r="E3018" i="7"/>
  <c r="E3017" i="7"/>
  <c r="H3016" i="7" a="1"/>
  <c r="H3016" i="7" s="1"/>
  <c r="E3016" i="7"/>
  <c r="H3025" i="7" a="1"/>
  <c r="H3025" i="7" s="1"/>
  <c r="E3025" i="7"/>
  <c r="E3024" i="7"/>
  <c r="E3023" i="7"/>
  <c r="H3022" i="7" a="1"/>
  <c r="H3022" i="7" s="1"/>
  <c r="E3022" i="7"/>
  <c r="H3021" i="7" a="1"/>
  <c r="H3021" i="7" s="1"/>
  <c r="E3021" i="7"/>
  <c r="H3020" i="7" a="1"/>
  <c r="H3020" i="7" s="1"/>
  <c r="E3020" i="7"/>
  <c r="H3015" i="7" l="1" a="1"/>
  <c r="H3015" i="7" s="1"/>
  <c r="E3015" i="7"/>
  <c r="H3014" i="7" a="1"/>
  <c r="H3014" i="7" s="1"/>
  <c r="E3014" i="7"/>
  <c r="H3013" i="7" l="1" a="1"/>
  <c r="H3013" i="7" s="1"/>
  <c r="E3013" i="7"/>
  <c r="H3012" i="7" a="1"/>
  <c r="H3012" i="7" s="1"/>
  <c r="E3012" i="7"/>
  <c r="H3011" i="7" a="1"/>
  <c r="H3011" i="7" s="1"/>
  <c r="E3011" i="7"/>
  <c r="H3010" i="7" a="1"/>
  <c r="H3010" i="7" s="1"/>
  <c r="E3010" i="7"/>
  <c r="H3009" i="7" a="1"/>
  <c r="H3009" i="7" s="1"/>
  <c r="E3009" i="7"/>
  <c r="H3003" i="7" l="1" a="1"/>
  <c r="H3003" i="7" s="1"/>
  <c r="E3003" i="7"/>
  <c r="E3002" i="7"/>
  <c r="E3001" i="7"/>
  <c r="H3000" i="7" a="1"/>
  <c r="H3000" i="7" s="1"/>
  <c r="E3000" i="7"/>
  <c r="H3008" i="7" l="1" a="1"/>
  <c r="H3008" i="7" s="1"/>
  <c r="E3008" i="7"/>
  <c r="H3007" i="7" a="1"/>
  <c r="H3007" i="7" s="1"/>
  <c r="E3007" i="7"/>
  <c r="H2999" i="7" a="1"/>
  <c r="H2999" i="7" s="1"/>
  <c r="E2999" i="7"/>
  <c r="H2998" i="7" a="1"/>
  <c r="H2998" i="7" s="1"/>
  <c r="E2998" i="7"/>
  <c r="H2997" i="7" a="1"/>
  <c r="H2997" i="7" s="1"/>
  <c r="E2997" i="7"/>
  <c r="H2996" i="7" l="1" a="1"/>
  <c r="H2996" i="7" s="1"/>
  <c r="E2996" i="7"/>
  <c r="H2995" i="7" a="1"/>
  <c r="H2995" i="7" s="1"/>
  <c r="E2995" i="7"/>
  <c r="H3006" i="7" a="1"/>
  <c r="H3006" i="7" s="1"/>
  <c r="E3006" i="7"/>
  <c r="H3005" i="7" a="1"/>
  <c r="H3005" i="7" s="1"/>
  <c r="E3005" i="7"/>
  <c r="H3004" i="7" a="1"/>
  <c r="H3004" i="7" s="1"/>
  <c r="E3004" i="7"/>
  <c r="H2994" i="7" a="1"/>
  <c r="H2994" i="7" s="1"/>
  <c r="E2994" i="7"/>
  <c r="H2993" i="7" a="1"/>
  <c r="H2993" i="7" s="1"/>
  <c r="E2993" i="7"/>
  <c r="H2992" i="7" a="1"/>
  <c r="H2992" i="7" s="1"/>
  <c r="E2992" i="7"/>
  <c r="H2977" i="7" l="1" a="1"/>
  <c r="H2977" i="7" s="1"/>
  <c r="E2977" i="7"/>
  <c r="E2976" i="7"/>
  <c r="E2975" i="7"/>
  <c r="H2974" i="7" a="1"/>
  <c r="H2974" i="7" s="1"/>
  <c r="E2974" i="7"/>
  <c r="H2991" i="7" a="1"/>
  <c r="H2991" i="7" s="1"/>
  <c r="E2991" i="7"/>
  <c r="H2990" i="7" a="1"/>
  <c r="H2990" i="7" s="1"/>
  <c r="E2990" i="7"/>
  <c r="H2989" i="7" a="1"/>
  <c r="H2989" i="7" s="1"/>
  <c r="E2989" i="7"/>
  <c r="H2988" i="7" a="1"/>
  <c r="H2988" i="7" s="1"/>
  <c r="E2988" i="7"/>
  <c r="H2987" i="7" a="1"/>
  <c r="H2987" i="7" s="1"/>
  <c r="E2987" i="7"/>
  <c r="H2986" i="7" a="1"/>
  <c r="H2986" i="7" s="1"/>
  <c r="E2986" i="7"/>
  <c r="H2985" i="7" a="1"/>
  <c r="H2985" i="7" s="1"/>
  <c r="E2985" i="7"/>
  <c r="H2984" i="7" a="1"/>
  <c r="H2984" i="7" s="1"/>
  <c r="E2984" i="7"/>
  <c r="H2983" i="7" a="1"/>
  <c r="H2983" i="7" s="1"/>
  <c r="E2983" i="7"/>
  <c r="H2982" i="7" a="1"/>
  <c r="H2982" i="7" s="1"/>
  <c r="E2982" i="7"/>
  <c r="H2981" i="7" a="1"/>
  <c r="H2981" i="7" s="1"/>
  <c r="E2981" i="7"/>
  <c r="H2980" i="7" a="1"/>
  <c r="H2980" i="7" s="1"/>
  <c r="E2980" i="7"/>
  <c r="H2979" i="7" a="1"/>
  <c r="H2979" i="7" s="1"/>
  <c r="E2979" i="7"/>
  <c r="H2978" i="7" a="1"/>
  <c r="H2978" i="7" s="1"/>
  <c r="E2978" i="7"/>
  <c r="H2973" i="7" l="1" a="1"/>
  <c r="H2973" i="7" s="1"/>
  <c r="E2973" i="7"/>
  <c r="H2972" i="7" a="1"/>
  <c r="H2972" i="7" s="1"/>
  <c r="E2972" i="7"/>
  <c r="H2971" i="7" a="1"/>
  <c r="H2971" i="7" s="1"/>
  <c r="E2971" i="7"/>
  <c r="H2970" i="7" a="1"/>
  <c r="H2970" i="7" s="1"/>
  <c r="E2970" i="7"/>
  <c r="H2969" i="7" a="1"/>
  <c r="H2969" i="7" s="1"/>
  <c r="E2969" i="7"/>
  <c r="E2968" i="7"/>
  <c r="E2967" i="7"/>
  <c r="H2966" i="7" a="1"/>
  <c r="H2966" i="7" s="1"/>
  <c r="E2966" i="7"/>
  <c r="H2965" i="7" a="1"/>
  <c r="H2965" i="7" s="1"/>
  <c r="E2965" i="7"/>
  <c r="E2964" i="7"/>
  <c r="E2963" i="7"/>
  <c r="H2962" i="7" a="1"/>
  <c r="H2962" i="7" s="1"/>
  <c r="E2962" i="7"/>
  <c r="K2958" i="7" l="1"/>
  <c r="H2961" i="7" a="1"/>
  <c r="H2961" i="7" s="1"/>
  <c r="E2961" i="7"/>
  <c r="E2960" i="7"/>
  <c r="E2959" i="7"/>
  <c r="E2958" i="7"/>
  <c r="H2957" i="7" a="1"/>
  <c r="H2957" i="7" s="1"/>
  <c r="E2957" i="7"/>
  <c r="H2956" i="7" a="1"/>
  <c r="H2956" i="7" s="1"/>
  <c r="E2956" i="7"/>
  <c r="H2955" i="7" a="1"/>
  <c r="H2955" i="7" s="1"/>
  <c r="E2955" i="7"/>
  <c r="E2952" i="7"/>
  <c r="E2951" i="7"/>
  <c r="H2950" i="7" a="1"/>
  <c r="H2950" i="7" s="1"/>
  <c r="E2950" i="7"/>
  <c r="H2949" i="7" a="1"/>
  <c r="H2949" i="7" s="1"/>
  <c r="E2949" i="7"/>
  <c r="H2948" i="7" a="1"/>
  <c r="H2948" i="7" s="1"/>
  <c r="E2948" i="7"/>
  <c r="H2947" i="7" l="1" a="1"/>
  <c r="H2947" i="7" s="1"/>
  <c r="E2947" i="7"/>
  <c r="E2946" i="7"/>
  <c r="E2945" i="7"/>
  <c r="H2944" i="7" a="1"/>
  <c r="H2944" i="7" s="1"/>
  <c r="E2944" i="7"/>
  <c r="H2943" i="7" l="1" a="1"/>
  <c r="H2943" i="7" s="1"/>
  <c r="E2943" i="7"/>
  <c r="E2942" i="7"/>
  <c r="E2941" i="7"/>
  <c r="H2940" i="7" a="1"/>
  <c r="H2940" i="7" s="1"/>
  <c r="E2940" i="7"/>
  <c r="H2939" i="7" l="1" a="1"/>
  <c r="H2939" i="7" s="1"/>
  <c r="E2939" i="7"/>
  <c r="H2938" i="7" a="1"/>
  <c r="H2938" i="7" s="1"/>
  <c r="E2938" i="7"/>
  <c r="H2937" i="7" a="1"/>
  <c r="H2937" i="7" s="1"/>
  <c r="E2937" i="7"/>
  <c r="H2936" i="7" a="1"/>
  <c r="H2936" i="7" s="1"/>
  <c r="E2936" i="7"/>
  <c r="H2935" i="7" a="1"/>
  <c r="H2935" i="7" s="1"/>
  <c r="E2935" i="7"/>
  <c r="H2879" i="7" l="1" a="1"/>
  <c r="H2879" i="7" s="1"/>
  <c r="E2879" i="7"/>
  <c r="H2878" i="7" a="1"/>
  <c r="H2878" i="7" s="1"/>
  <c r="E2878" i="7"/>
  <c r="H2934" i="7" a="1"/>
  <c r="H2934" i="7" s="1"/>
  <c r="E2934" i="7"/>
  <c r="H2933" i="7" a="1"/>
  <c r="H2933" i="7" s="1"/>
  <c r="E2933" i="7"/>
  <c r="H2932" i="7" a="1"/>
  <c r="H2932" i="7" s="1"/>
  <c r="E2932" i="7"/>
  <c r="H2931" i="7" a="1"/>
  <c r="H2931" i="7" s="1"/>
  <c r="E2931" i="7"/>
  <c r="H2930" i="7" a="1"/>
  <c r="H2930" i="7" s="1"/>
  <c r="E2930" i="7"/>
  <c r="H2929" i="7" a="1"/>
  <c r="H2929" i="7" s="1"/>
  <c r="E2929" i="7"/>
  <c r="H2928" i="7" a="1"/>
  <c r="H2928" i="7" s="1"/>
  <c r="E2928" i="7"/>
  <c r="H2927" i="7" a="1"/>
  <c r="H2927" i="7" s="1"/>
  <c r="E2927" i="7"/>
  <c r="H2926" i="7" a="1"/>
  <c r="H2926" i="7" s="1"/>
  <c r="E2926" i="7"/>
  <c r="H2925" i="7" a="1"/>
  <c r="H2925" i="7" s="1"/>
  <c r="E2925" i="7"/>
  <c r="H2924" i="7" a="1"/>
  <c r="H2924" i="7" s="1"/>
  <c r="E2924" i="7"/>
  <c r="H2923" i="7" a="1"/>
  <c r="H2923" i="7" s="1"/>
  <c r="E2923" i="7"/>
  <c r="H2922" i="7" a="1"/>
  <c r="H2922" i="7" s="1"/>
  <c r="E2922" i="7"/>
  <c r="H2921" i="7" a="1"/>
  <c r="H2921" i="7" s="1"/>
  <c r="E2921" i="7"/>
  <c r="H2920" i="7" a="1"/>
  <c r="H2920" i="7" s="1"/>
  <c r="E2920" i="7"/>
  <c r="H2919" i="7" a="1"/>
  <c r="H2919" i="7" s="1"/>
  <c r="E2919" i="7"/>
  <c r="H2918" i="7" a="1"/>
  <c r="H2918" i="7" s="1"/>
  <c r="E2918" i="7"/>
  <c r="H2917" i="7" a="1"/>
  <c r="H2917" i="7" s="1"/>
  <c r="E2917" i="7"/>
  <c r="H2912" i="7" a="1"/>
  <c r="H2912" i="7" s="1"/>
  <c r="E2912" i="7"/>
  <c r="E2911" i="7"/>
  <c r="E2910" i="7"/>
  <c r="H2909" i="7" a="1"/>
  <c r="H2909" i="7" s="1"/>
  <c r="E2909" i="7"/>
  <c r="H2908" i="7" a="1"/>
  <c r="H2908" i="7" s="1"/>
  <c r="E2908" i="7"/>
  <c r="E2907" i="7"/>
  <c r="E2906" i="7"/>
  <c r="H2905" i="7" a="1"/>
  <c r="H2905" i="7" s="1"/>
  <c r="E2905" i="7"/>
  <c r="H2916" i="7" a="1"/>
  <c r="H2916" i="7" s="1"/>
  <c r="E2916" i="7"/>
  <c r="H2915" i="7" a="1"/>
  <c r="H2915" i="7" s="1"/>
  <c r="E2915" i="7"/>
  <c r="H2914" i="7" a="1"/>
  <c r="H2914" i="7" s="1"/>
  <c r="E2914" i="7"/>
  <c r="H2913" i="7" a="1"/>
  <c r="H2913" i="7" s="1"/>
  <c r="E2913" i="7"/>
  <c r="H2902" i="7" a="1"/>
  <c r="H2902" i="7" s="1"/>
  <c r="E2902" i="7"/>
  <c r="E2901" i="7"/>
  <c r="E2900" i="7"/>
  <c r="H2899" i="7" a="1"/>
  <c r="H2899" i="7" s="1"/>
  <c r="E2899" i="7"/>
  <c r="H2904" i="7" l="1" a="1"/>
  <c r="H2904" i="7" s="1"/>
  <c r="E2904" i="7"/>
  <c r="H2903" i="7" a="1"/>
  <c r="H2903" i="7" s="1"/>
  <c r="E2903" i="7"/>
  <c r="H2898" i="7" a="1"/>
  <c r="H2898" i="7" s="1"/>
  <c r="E2898" i="7"/>
  <c r="H2897" i="7" a="1"/>
  <c r="H2897" i="7" s="1"/>
  <c r="E2897" i="7"/>
  <c r="H2893" i="7" a="1"/>
  <c r="H2893" i="7" s="1"/>
  <c r="E2893" i="7"/>
  <c r="H2892" i="7" a="1"/>
  <c r="H2892" i="7" s="1"/>
  <c r="E2892" i="7"/>
  <c r="H2891" i="7" a="1"/>
  <c r="H2891" i="7" s="1"/>
  <c r="E2891" i="7"/>
  <c r="H2890" i="7" a="1"/>
  <c r="H2890" i="7" s="1"/>
  <c r="E2890" i="7"/>
  <c r="H2889" i="7" a="1"/>
  <c r="H2889" i="7" s="1"/>
  <c r="E2889" i="7"/>
  <c r="H2888" i="7" a="1"/>
  <c r="H2888" i="7" s="1"/>
  <c r="E2888" i="7"/>
  <c r="H2887" i="7" a="1"/>
  <c r="H2887" i="7" s="1"/>
  <c r="E2887" i="7"/>
  <c r="H2886" i="7" a="1"/>
  <c r="H2886" i="7" s="1"/>
  <c r="E2886" i="7"/>
  <c r="H2885" i="7" a="1"/>
  <c r="H2885" i="7" s="1"/>
  <c r="E2885" i="7"/>
  <c r="H2884" i="7" a="1"/>
  <c r="H2884" i="7" s="1"/>
  <c r="E2884" i="7"/>
  <c r="H2883" i="7" a="1"/>
  <c r="H2883" i="7" s="1"/>
  <c r="E2883" i="7"/>
  <c r="H2882" i="7" a="1"/>
  <c r="H2882" i="7" s="1"/>
  <c r="E2882" i="7"/>
  <c r="H2881" i="7" a="1"/>
  <c r="H2881" i="7" s="1"/>
  <c r="E2881" i="7"/>
  <c r="H2880" i="7" a="1"/>
  <c r="H2880" i="7" s="1"/>
  <c r="E2880" i="7"/>
  <c r="H2877" i="7" l="1" a="1"/>
  <c r="H2877" i="7" s="1"/>
  <c r="E2877" i="7"/>
  <c r="E2876" i="7"/>
  <c r="E2875" i="7"/>
  <c r="H2874" i="7" a="1"/>
  <c r="H2874" i="7" s="1"/>
  <c r="E2874" i="7"/>
  <c r="H2873" i="7" a="1"/>
  <c r="H2873" i="7" s="1"/>
  <c r="E2873" i="7"/>
  <c r="H2872" i="7" a="1"/>
  <c r="H2872" i="7" s="1"/>
  <c r="E2872" i="7"/>
  <c r="H2871" i="7" a="1"/>
  <c r="H2871" i="7" s="1"/>
  <c r="E2871" i="7"/>
  <c r="H2896" i="7" a="1"/>
  <c r="H2896" i="7" s="1"/>
  <c r="E2896" i="7"/>
  <c r="H2895" i="7" a="1"/>
  <c r="H2895" i="7" s="1"/>
  <c r="E2895" i="7"/>
  <c r="H2894" i="7" a="1"/>
  <c r="H2894" i="7" s="1"/>
  <c r="E2894" i="7"/>
  <c r="H2870" i="7" l="1" a="1"/>
  <c r="H2870" i="7" s="1"/>
  <c r="E2870" i="7"/>
  <c r="H2869" i="7" a="1"/>
  <c r="H2869" i="7" s="1"/>
  <c r="E2869" i="7"/>
  <c r="H2868" i="7" a="1"/>
  <c r="H2868" i="7" s="1"/>
  <c r="E2868" i="7"/>
  <c r="H2867" i="7" a="1"/>
  <c r="H2867" i="7" s="1"/>
  <c r="E2867" i="7"/>
  <c r="H2866" i="7" a="1"/>
  <c r="H2866" i="7" s="1"/>
  <c r="E2866" i="7"/>
  <c r="H2865" i="7" a="1"/>
  <c r="H2865" i="7" s="1"/>
  <c r="E2865" i="7"/>
  <c r="H2861" i="7" a="1"/>
  <c r="H2861" i="7" s="1"/>
  <c r="E2861" i="7"/>
  <c r="H2860" i="7" a="1"/>
  <c r="H2860" i="7" s="1"/>
  <c r="E2860" i="7"/>
  <c r="H2842" i="7" a="1"/>
  <c r="H2842" i="7" s="1"/>
  <c r="E2842" i="7"/>
  <c r="H2841" i="7" a="1"/>
  <c r="H2841" i="7" s="1"/>
  <c r="E2841" i="7"/>
  <c r="H2864" i="7" a="1"/>
  <c r="H2864" i="7" s="1"/>
  <c r="E2864" i="7"/>
  <c r="H2863" i="7" a="1"/>
  <c r="H2863" i="7" s="1"/>
  <c r="E2863" i="7"/>
  <c r="H2862" i="7" a="1"/>
  <c r="H2862" i="7" s="1"/>
  <c r="E2862" i="7"/>
  <c r="H2859" i="7" a="1"/>
  <c r="H2859" i="7" s="1"/>
  <c r="E2859" i="7"/>
  <c r="H2858" i="7" a="1"/>
  <c r="H2858" i="7" s="1"/>
  <c r="E2858" i="7"/>
  <c r="H2857" i="7" a="1"/>
  <c r="H2857" i="7" s="1"/>
  <c r="E2857" i="7"/>
  <c r="H2856" i="7" a="1"/>
  <c r="H2856" i="7" s="1"/>
  <c r="E2856" i="7"/>
  <c r="H2855" i="7" a="1"/>
  <c r="H2855" i="7" s="1"/>
  <c r="E2855" i="7"/>
  <c r="H2854" i="7" a="1"/>
  <c r="H2854" i="7" s="1"/>
  <c r="E2854" i="7"/>
  <c r="H2853" i="7" a="1"/>
  <c r="H2853" i="7" s="1"/>
  <c r="E2853" i="7"/>
  <c r="H2852" i="7" a="1"/>
  <c r="H2852" i="7" s="1"/>
  <c r="E2852" i="7"/>
  <c r="H2851" i="7" a="1"/>
  <c r="H2851" i="7" s="1"/>
  <c r="E2851" i="7"/>
  <c r="H2850" i="7" a="1"/>
  <c r="H2850" i="7" s="1"/>
  <c r="E2850" i="7"/>
  <c r="H2849" i="7" a="1"/>
  <c r="H2849" i="7" s="1"/>
  <c r="E2849" i="7"/>
  <c r="H2848" i="7" a="1"/>
  <c r="H2848" i="7" s="1"/>
  <c r="E2848" i="7"/>
  <c r="H2847" i="7" a="1"/>
  <c r="H2847" i="7" s="1"/>
  <c r="E2847" i="7"/>
  <c r="H2846" i="7" a="1"/>
  <c r="H2846" i="7" s="1"/>
  <c r="E2846" i="7"/>
  <c r="H2845" i="7" a="1"/>
  <c r="H2845" i="7" s="1"/>
  <c r="E2845" i="7"/>
  <c r="H2844" i="7" a="1"/>
  <c r="H2844" i="7" s="1"/>
  <c r="E2844" i="7"/>
  <c r="H2843" i="7" a="1"/>
  <c r="H2843" i="7" s="1"/>
  <c r="E2843" i="7"/>
  <c r="H2840" i="7" a="1"/>
  <c r="H2840" i="7" s="1"/>
  <c r="E2840" i="7"/>
  <c r="H2839" i="7" a="1"/>
  <c r="H2839" i="7" s="1"/>
  <c r="E2839" i="7"/>
  <c r="H2838" i="7" a="1"/>
  <c r="H2838" i="7" s="1"/>
  <c r="E2838" i="7"/>
  <c r="H2837" i="7" a="1"/>
  <c r="H2837" i="7" s="1"/>
  <c r="E2837" i="7"/>
  <c r="E2836" i="7"/>
  <c r="E2835" i="7"/>
  <c r="H2834" i="7" a="1"/>
  <c r="H2834" i="7" s="1"/>
  <c r="E2834" i="7"/>
  <c r="H2830" i="7" a="1"/>
  <c r="H2830" i="7" s="1"/>
  <c r="E2830" i="7"/>
  <c r="E2829" i="7"/>
  <c r="E2828" i="7"/>
  <c r="H2827" i="7" a="1"/>
  <c r="H2827" i="7" s="1"/>
  <c r="E2827" i="7"/>
  <c r="H2826" i="7" l="1" a="1"/>
  <c r="H2826" i="7" s="1"/>
  <c r="E2826" i="7"/>
  <c r="H2825" i="7" a="1"/>
  <c r="H2825" i="7" s="1"/>
  <c r="E2825" i="7"/>
  <c r="H2833" i="7" a="1"/>
  <c r="H2833" i="7" s="1"/>
  <c r="E2833" i="7"/>
  <c r="H2832" i="7" a="1"/>
  <c r="H2832" i="7" s="1"/>
  <c r="E2832" i="7"/>
  <c r="H2831" i="7" a="1"/>
  <c r="H2831" i="7" s="1"/>
  <c r="E2831" i="7"/>
  <c r="H2810" i="7" l="1" a="1"/>
  <c r="H2810" i="7" s="1"/>
  <c r="E2810" i="7"/>
  <c r="H2809" i="7" a="1"/>
  <c r="H2809" i="7" s="1"/>
  <c r="E2809" i="7"/>
  <c r="H2808" i="7" a="1"/>
  <c r="H2808" i="7" s="1"/>
  <c r="E2808" i="7"/>
  <c r="H2824" i="7" l="1" a="1"/>
  <c r="H2824" i="7" s="1"/>
  <c r="E2824" i="7"/>
  <c r="H2823" i="7" a="1"/>
  <c r="H2823" i="7" s="1"/>
  <c r="E2823" i="7"/>
  <c r="H2822" i="7" a="1"/>
  <c r="H2822" i="7" s="1"/>
  <c r="E2822" i="7"/>
  <c r="H2821" i="7" a="1"/>
  <c r="H2821" i="7" s="1"/>
  <c r="E2821" i="7"/>
  <c r="H2820" i="7" a="1"/>
  <c r="H2820" i="7" s="1"/>
  <c r="E2820" i="7"/>
  <c r="H2819" i="7" a="1"/>
  <c r="H2819" i="7" s="1"/>
  <c r="E2819" i="7"/>
  <c r="H2818" i="7" a="1"/>
  <c r="H2818" i="7" s="1"/>
  <c r="E2818" i="7"/>
  <c r="H2817" i="7" a="1"/>
  <c r="H2817" i="7" s="1"/>
  <c r="E2817" i="7"/>
  <c r="H2816" i="7" a="1"/>
  <c r="H2816" i="7" s="1"/>
  <c r="E2816" i="7"/>
  <c r="H2815" i="7" a="1"/>
  <c r="H2815" i="7" s="1"/>
  <c r="E2815" i="7"/>
  <c r="H2814" i="7" a="1"/>
  <c r="H2814" i="7" s="1"/>
  <c r="E2814" i="7"/>
  <c r="H2813" i="7" a="1"/>
  <c r="H2813" i="7" s="1"/>
  <c r="E2813" i="7"/>
  <c r="H2812" i="7" a="1"/>
  <c r="H2812" i="7" s="1"/>
  <c r="E2812" i="7"/>
  <c r="H2811" i="7" a="1"/>
  <c r="H2811" i="7" s="1"/>
  <c r="E2811" i="7"/>
  <c r="H2807" i="7" l="1" a="1"/>
  <c r="H2807" i="7" s="1"/>
  <c r="E2807" i="7"/>
  <c r="H2806" i="7" a="1"/>
  <c r="H2806" i="7" s="1"/>
  <c r="E2806" i="7"/>
  <c r="H2805" i="7" a="1"/>
  <c r="H2805" i="7" s="1"/>
  <c r="E2805" i="7"/>
  <c r="H2804" i="7" a="1"/>
  <c r="H2804" i="7" s="1"/>
  <c r="E2804" i="7"/>
  <c r="H2803" i="7" a="1"/>
  <c r="H2803" i="7" s="1"/>
  <c r="E2803" i="7"/>
  <c r="H2802" i="7" a="1"/>
  <c r="H2802" i="7" s="1"/>
  <c r="E2802" i="7"/>
  <c r="H2801" i="7" a="1"/>
  <c r="H2801" i="7" s="1"/>
  <c r="E2801" i="7"/>
  <c r="H2800" i="7" l="1" a="1"/>
  <c r="H2800" i="7" s="1"/>
  <c r="E2800" i="7"/>
  <c r="H2799" i="7" a="1"/>
  <c r="H2799" i="7" s="1"/>
  <c r="E2799" i="7"/>
  <c r="H2798" i="7" a="1"/>
  <c r="H2798" i="7" s="1"/>
  <c r="E2798" i="7"/>
  <c r="H2797" i="7" a="1"/>
  <c r="H2797" i="7" s="1"/>
  <c r="E2797" i="7"/>
  <c r="H2796" i="7" a="1"/>
  <c r="H2796" i="7" s="1"/>
  <c r="E2796" i="7"/>
  <c r="H2795" i="7" a="1"/>
  <c r="H2795" i="7" s="1"/>
  <c r="E2795" i="7"/>
  <c r="H2794" i="7" a="1"/>
  <c r="H2794" i="7" s="1"/>
  <c r="E2794" i="7"/>
  <c r="H2793" i="7" a="1"/>
  <c r="H2793" i="7" s="1"/>
  <c r="E2793" i="7"/>
  <c r="H2792" i="7" a="1"/>
  <c r="H2792" i="7" s="1"/>
  <c r="E2792" i="7"/>
  <c r="H2791" i="7" a="1"/>
  <c r="H2791" i="7" s="1"/>
  <c r="E2791" i="7"/>
  <c r="H2790" i="7" a="1"/>
  <c r="H2790" i="7" s="1"/>
  <c r="E2790" i="7"/>
  <c r="H2789" i="7" a="1"/>
  <c r="H2789" i="7" s="1"/>
  <c r="E2789" i="7"/>
  <c r="H2788" i="7" a="1"/>
  <c r="H2788" i="7" s="1"/>
  <c r="E2788" i="7"/>
  <c r="H2787" i="7" a="1"/>
  <c r="H2787" i="7" s="1"/>
  <c r="E2787" i="7"/>
  <c r="H2786" i="7" a="1"/>
  <c r="H2786" i="7" s="1"/>
  <c r="E2786" i="7"/>
  <c r="H2785" i="7" a="1"/>
  <c r="H2785" i="7" s="1"/>
  <c r="E2785" i="7"/>
  <c r="H2784" i="7" l="1" a="1"/>
  <c r="H2784" i="7" s="1"/>
  <c r="E2784" i="7"/>
  <c r="H2783" i="7" a="1"/>
  <c r="H2783" i="7" s="1"/>
  <c r="E2783" i="7"/>
  <c r="H2782" i="7" a="1"/>
  <c r="H2782" i="7" s="1"/>
  <c r="E2782" i="7"/>
  <c r="H2781" i="7" a="1"/>
  <c r="H2781" i="7" s="1"/>
  <c r="E2781" i="7"/>
  <c r="H2780" i="7" a="1"/>
  <c r="H2780" i="7" s="1"/>
  <c r="E2780" i="7"/>
  <c r="H2779" i="7" a="1"/>
  <c r="H2779" i="7" s="1"/>
  <c r="E2779" i="7"/>
  <c r="H2778" i="7" a="1"/>
  <c r="H2778" i="7" s="1"/>
  <c r="E2778" i="7"/>
  <c r="H2777" i="7" a="1"/>
  <c r="H2777" i="7" s="1"/>
  <c r="E2777" i="7"/>
  <c r="H2776" i="7" a="1"/>
  <c r="H2776" i="7" s="1"/>
  <c r="E2776" i="7"/>
  <c r="H2775" i="7" a="1"/>
  <c r="H2775" i="7" s="1"/>
  <c r="E2775" i="7"/>
  <c r="H2774" i="7" a="1"/>
  <c r="H2774" i="7" s="1"/>
  <c r="E2774" i="7"/>
  <c r="H2773" i="7" a="1"/>
  <c r="H2773" i="7" s="1"/>
  <c r="E2773" i="7"/>
  <c r="H2772" i="7" a="1"/>
  <c r="H2772" i="7" s="1"/>
  <c r="E2772" i="7"/>
  <c r="H2771" i="7" a="1"/>
  <c r="H2771" i="7" s="1"/>
  <c r="E2771" i="7"/>
  <c r="H2770" i="7" a="1"/>
  <c r="H2770" i="7" s="1"/>
  <c r="E2770" i="7"/>
  <c r="H2769" i="7" a="1"/>
  <c r="H2769" i="7" s="1"/>
  <c r="E2769" i="7"/>
  <c r="H2768" i="7" l="1" a="1"/>
  <c r="H2768" i="7" s="1"/>
  <c r="E2768" i="7"/>
  <c r="H2767" i="7" a="1"/>
  <c r="H2767" i="7" s="1"/>
  <c r="E2767" i="7"/>
  <c r="H2766" i="7" a="1"/>
  <c r="H2766" i="7" s="1"/>
  <c r="E2766" i="7"/>
  <c r="H2765" i="7" a="1"/>
  <c r="H2765" i="7" s="1"/>
  <c r="E2765" i="7"/>
  <c r="H2764" i="7" a="1"/>
  <c r="H2764" i="7" s="1"/>
  <c r="E2764" i="7"/>
  <c r="H2763" i="7" a="1"/>
  <c r="H2763" i="7" s="1"/>
  <c r="E2763" i="7"/>
  <c r="H2762" i="7" a="1"/>
  <c r="H2762" i="7" s="1"/>
  <c r="E2762" i="7"/>
  <c r="H2761" i="7" a="1"/>
  <c r="H2761" i="7" s="1"/>
  <c r="E2761" i="7"/>
  <c r="H2760" i="7" a="1"/>
  <c r="H2760" i="7" s="1"/>
  <c r="E2760" i="7"/>
  <c r="H2759" i="7" l="1" a="1"/>
  <c r="H2759" i="7" s="1"/>
  <c r="E2759" i="7"/>
  <c r="H2758" i="7" a="1"/>
  <c r="H2758" i="7" s="1"/>
  <c r="E2758" i="7"/>
  <c r="H2757" i="7" a="1"/>
  <c r="H2757" i="7" s="1"/>
  <c r="E2757" i="7"/>
  <c r="H2756" i="7" a="1"/>
  <c r="H2756" i="7" s="1"/>
  <c r="E2756" i="7"/>
  <c r="H2755" i="7" a="1"/>
  <c r="H2755" i="7" s="1"/>
  <c r="E2755" i="7"/>
  <c r="H2754" i="7" a="1"/>
  <c r="H2754" i="7" s="1"/>
  <c r="E2754" i="7"/>
  <c r="H2753" i="7" a="1"/>
  <c r="H2753" i="7" s="1"/>
  <c r="E2753" i="7"/>
  <c r="H2752" i="7" a="1"/>
  <c r="H2752" i="7" s="1"/>
  <c r="E2752" i="7"/>
  <c r="H2751" i="7" a="1"/>
  <c r="H2751" i="7" s="1"/>
  <c r="E2751" i="7"/>
  <c r="H2750" i="7" a="1"/>
  <c r="H2750" i="7" s="1"/>
  <c r="E2750" i="7"/>
  <c r="H2749" i="7" a="1"/>
  <c r="H2749" i="7" s="1"/>
  <c r="E2749" i="7"/>
  <c r="H2748" i="7" a="1"/>
  <c r="H2748" i="7" s="1"/>
  <c r="E2748" i="7"/>
  <c r="H2747" i="7" a="1"/>
  <c r="H2747" i="7" s="1"/>
  <c r="E2747" i="7"/>
  <c r="H2746" i="7" a="1"/>
  <c r="H2746" i="7" s="1"/>
  <c r="E2746" i="7"/>
  <c r="H2745" i="7" a="1"/>
  <c r="H2745" i="7" s="1"/>
  <c r="E2745" i="7"/>
  <c r="H2744" i="7" a="1"/>
  <c r="H2744" i="7" s="1"/>
  <c r="E2744" i="7"/>
  <c r="H2743" i="7" a="1"/>
  <c r="H2743" i="7" s="1"/>
  <c r="E2743" i="7"/>
  <c r="H2727" i="7" a="1"/>
  <c r="H2727" i="7" s="1"/>
  <c r="E2727" i="7"/>
  <c r="H2726" i="7" a="1"/>
  <c r="H2726" i="7" s="1"/>
  <c r="E2726" i="7"/>
  <c r="H2725" i="7" a="1"/>
  <c r="H2725" i="7" s="1"/>
  <c r="E2725" i="7"/>
  <c r="H2742" i="7" a="1"/>
  <c r="H2742" i="7" s="1"/>
  <c r="E2742" i="7"/>
  <c r="H2741" i="7" a="1"/>
  <c r="H2741" i="7" s="1"/>
  <c r="E2741" i="7"/>
  <c r="E2740" i="7"/>
  <c r="H2739" i="7" a="1"/>
  <c r="H2739" i="7" s="1"/>
  <c r="E2739" i="7"/>
  <c r="H2738" i="7" a="1"/>
  <c r="H2738" i="7" s="1"/>
  <c r="E2738" i="7"/>
  <c r="H2737" i="7" a="1"/>
  <c r="H2737" i="7" s="1"/>
  <c r="E2737" i="7"/>
  <c r="H2736" i="7" a="1"/>
  <c r="H2736" i="7" s="1"/>
  <c r="E2736" i="7"/>
  <c r="H2735" i="7" a="1"/>
  <c r="H2735" i="7" s="1"/>
  <c r="E2735" i="7"/>
  <c r="H2724" i="7" a="1"/>
  <c r="H2724" i="7" s="1"/>
  <c r="E2724" i="7"/>
  <c r="H2723" i="7" a="1"/>
  <c r="H2723" i="7" s="1"/>
  <c r="E2723" i="7"/>
  <c r="H2730" i="7" a="1"/>
  <c r="H2730" i="7" s="1"/>
  <c r="E2730" i="7"/>
  <c r="H2729" i="7" a="1"/>
  <c r="H2729" i="7" s="1"/>
  <c r="E2729" i="7"/>
  <c r="H2728" i="7" a="1"/>
  <c r="H2728" i="7" s="1"/>
  <c r="E2728" i="7"/>
  <c r="H2657" i="7" l="1" a="1"/>
  <c r="H2657" i="7" s="1"/>
  <c r="E2657" i="7"/>
  <c r="H2656" i="7" a="1"/>
  <c r="H2656" i="7" s="1"/>
  <c r="E2656" i="7"/>
  <c r="H2619" i="7" a="1"/>
  <c r="H2619" i="7" s="1"/>
  <c r="E2619" i="7"/>
  <c r="H2618" i="7" a="1"/>
  <c r="H2618" i="7" s="1"/>
  <c r="E2618" i="7"/>
  <c r="H2574" i="7" a="1"/>
  <c r="H2574" i="7" s="1"/>
  <c r="E2574" i="7"/>
  <c r="H2573" i="7" a="1"/>
  <c r="H2573" i="7" s="1"/>
  <c r="E2573" i="7"/>
  <c r="H2548" i="7" a="1"/>
  <c r="H2548" i="7" s="1"/>
  <c r="E2548" i="7"/>
  <c r="H2547" i="7" a="1"/>
  <c r="H2547" i="7" s="1"/>
  <c r="E2547" i="7"/>
  <c r="H2486" i="7" a="1"/>
  <c r="H2486" i="7" s="1"/>
  <c r="E2486" i="7"/>
  <c r="H2485" i="7" a="1"/>
  <c r="H2485" i="7" s="1"/>
  <c r="E2485" i="7"/>
  <c r="H2451" i="7" a="1"/>
  <c r="H2451" i="7" s="1"/>
  <c r="E2451" i="7"/>
  <c r="H2450" i="7" a="1"/>
  <c r="H2450" i="7" s="1"/>
  <c r="E2450" i="7"/>
  <c r="H2415" i="7" a="1"/>
  <c r="H2415" i="7" s="1"/>
  <c r="E2415" i="7"/>
  <c r="H2414" i="7" a="1"/>
  <c r="H2414" i="7" s="1"/>
  <c r="E2414" i="7"/>
  <c r="H2384" i="7" a="1"/>
  <c r="H2384" i="7" s="1"/>
  <c r="E2384" i="7"/>
  <c r="H2383" i="7" a="1"/>
  <c r="H2383" i="7" s="1"/>
  <c r="E2383" i="7"/>
  <c r="E2281" i="7" l="1"/>
  <c r="H2281" i="7" a="1"/>
  <c r="H2281" i="7" s="1"/>
  <c r="H2282" i="7" a="1"/>
  <c r="H2282" i="7" s="1"/>
  <c r="E2282" i="7"/>
  <c r="H2280" i="7" l="1" a="1"/>
  <c r="H2280" i="7" s="1"/>
  <c r="E2280" i="7"/>
  <c r="H2277" i="7" a="1"/>
  <c r="H2277" i="7" s="1"/>
  <c r="E2277" i="7"/>
  <c r="H2348" i="7" a="1"/>
  <c r="H2348" i="7" s="1"/>
  <c r="E2348" i="7"/>
  <c r="H2347" i="7" a="1"/>
  <c r="H2347" i="7" s="1"/>
  <c r="E2347" i="7"/>
  <c r="H2259" i="7" a="1"/>
  <c r="H2259" i="7" s="1"/>
  <c r="H2260" i="7" a="1"/>
  <c r="H2260" i="7" s="1"/>
  <c r="E2259" i="7"/>
  <c r="E2260" i="7"/>
  <c r="E2202" i="7"/>
  <c r="E2203" i="7"/>
  <c r="H2202" i="7" a="1"/>
  <c r="H2202" i="7" s="1"/>
  <c r="E2204" i="7" l="1"/>
  <c r="H2204" i="7" a="1"/>
  <c r="H2204" i="7" s="1"/>
  <c r="H2734" i="7" l="1" a="1"/>
  <c r="H2734" i="7" s="1"/>
  <c r="E2734" i="7"/>
  <c r="H2733" i="7" a="1"/>
  <c r="H2733" i="7" s="1"/>
  <c r="E2733" i="7"/>
  <c r="E2732" i="7"/>
  <c r="H2731" i="7" a="1"/>
  <c r="H2731" i="7" s="1"/>
  <c r="E2731" i="7"/>
  <c r="H2722" i="7" l="1" a="1"/>
  <c r="H2722" i="7" s="1"/>
  <c r="E2722" i="7"/>
  <c r="H2721" i="7" a="1"/>
  <c r="H2721" i="7" s="1"/>
  <c r="E2721" i="7"/>
  <c r="H2720" i="7" a="1"/>
  <c r="H2720" i="7" s="1"/>
  <c r="E2720" i="7"/>
  <c r="H2719" i="7" a="1"/>
  <c r="H2719" i="7" s="1"/>
  <c r="E2719" i="7"/>
  <c r="H2718" i="7" a="1"/>
  <c r="H2718" i="7" s="1"/>
  <c r="E2718" i="7"/>
  <c r="H2717" i="7" a="1"/>
  <c r="H2717" i="7" s="1"/>
  <c r="E2717" i="7"/>
  <c r="H2716" i="7" a="1"/>
  <c r="H2716" i="7" s="1"/>
  <c r="E2716" i="7"/>
  <c r="H2715" i="7" a="1"/>
  <c r="H2715" i="7" s="1"/>
  <c r="E2715" i="7"/>
  <c r="H2714" i="7" a="1"/>
  <c r="H2714" i="7" s="1"/>
  <c r="E2714" i="7"/>
  <c r="H2713" i="7" a="1"/>
  <c r="H2713" i="7" s="1"/>
  <c r="E2713" i="7"/>
  <c r="H2712" i="7" a="1"/>
  <c r="H2712" i="7" s="1"/>
  <c r="E2712" i="7"/>
  <c r="H2711" i="7" a="1"/>
  <c r="H2711" i="7" s="1"/>
  <c r="E2711" i="7"/>
  <c r="H2710" i="7" a="1"/>
  <c r="H2710" i="7" s="1"/>
  <c r="E2710" i="7"/>
  <c r="H2709" i="7" a="1"/>
  <c r="H2709" i="7" s="1"/>
  <c r="E2709" i="7"/>
  <c r="H2708" i="7" l="1" a="1"/>
  <c r="H2708" i="7" s="1"/>
  <c r="E2708" i="7"/>
  <c r="H2707" i="7" a="1"/>
  <c r="H2707" i="7" s="1"/>
  <c r="E2707" i="7"/>
  <c r="H2706" i="7" a="1"/>
  <c r="H2706" i="7" s="1"/>
  <c r="E2706" i="7"/>
  <c r="H2705" i="7" l="1" a="1"/>
  <c r="H2705" i="7" s="1"/>
  <c r="E2705" i="7"/>
  <c r="H2704" i="7" a="1"/>
  <c r="H2704" i="7" s="1"/>
  <c r="E2704" i="7"/>
  <c r="H2703" i="7" a="1"/>
  <c r="H2703" i="7" s="1"/>
  <c r="E2703" i="7"/>
  <c r="H2702" i="7" l="1" a="1"/>
  <c r="H2702" i="7" s="1"/>
  <c r="E2702" i="7"/>
  <c r="H2701" i="7" a="1"/>
  <c r="H2701" i="7" s="1"/>
  <c r="E2701" i="7"/>
  <c r="H2700" i="7" a="1"/>
  <c r="H2700" i="7" s="1"/>
  <c r="E2700" i="7"/>
  <c r="H2687" i="7" l="1" a="1"/>
  <c r="H2687" i="7" s="1"/>
  <c r="E2687" i="7"/>
  <c r="H2686" i="7" a="1"/>
  <c r="H2686" i="7" s="1"/>
  <c r="E2686" i="7"/>
  <c r="H2685" i="7" a="1"/>
  <c r="H2685" i="7" s="1"/>
  <c r="E2685" i="7"/>
  <c r="H2684" i="7" a="1"/>
  <c r="H2684" i="7" s="1"/>
  <c r="E2684" i="7"/>
  <c r="K2696" i="7"/>
  <c r="H2699" i="7" a="1"/>
  <c r="H2699" i="7" s="1"/>
  <c r="E2699" i="7"/>
  <c r="H2698" i="7" a="1"/>
  <c r="H2698" i="7" s="1"/>
  <c r="E2698" i="7"/>
  <c r="E2697" i="7"/>
  <c r="H2696" i="7" a="1"/>
  <c r="H2696" i="7" s="1"/>
  <c r="E2696" i="7"/>
  <c r="H2695" i="7" a="1"/>
  <c r="H2695" i="7" s="1"/>
  <c r="E2695" i="7"/>
  <c r="E2694" i="7"/>
  <c r="E2693" i="7"/>
  <c r="H2692" i="7" a="1"/>
  <c r="H2692" i="7" s="1"/>
  <c r="E2692" i="7"/>
  <c r="H2691" i="7" a="1"/>
  <c r="H2691" i="7" s="1"/>
  <c r="E2691" i="7"/>
  <c r="E2690" i="7"/>
  <c r="E2689" i="7"/>
  <c r="H2688" i="7" a="1"/>
  <c r="H2688" i="7" s="1"/>
  <c r="E2688" i="7"/>
  <c r="E2683" i="7" l="1"/>
  <c r="E2682" i="7"/>
  <c r="E2681" i="7"/>
  <c r="H2680" i="7" a="1"/>
  <c r="H2680" i="7" s="1"/>
  <c r="E2680" i="7"/>
  <c r="H2679" i="7" a="1"/>
  <c r="H2679" i="7" s="1"/>
  <c r="E2679" i="7"/>
  <c r="H2678" i="7" a="1"/>
  <c r="H2678" i="7" s="1"/>
  <c r="E2678" i="7"/>
  <c r="H2677" i="7" a="1"/>
  <c r="H2677" i="7" s="1"/>
  <c r="E2677" i="7"/>
  <c r="H2676" i="7" a="1"/>
  <c r="H2676" i="7" s="1"/>
  <c r="E2676" i="7"/>
  <c r="H2675" i="7" a="1"/>
  <c r="H2675" i="7" s="1"/>
  <c r="E2675" i="7"/>
  <c r="H2674" i="7" a="1"/>
  <c r="H2674" i="7" s="1"/>
  <c r="E2674" i="7"/>
  <c r="H2617" i="7" l="1" a="1"/>
  <c r="H2617" i="7" s="1"/>
  <c r="E2617" i="7"/>
  <c r="H2616" i="7" a="1"/>
  <c r="H2616" i="7" s="1"/>
  <c r="E2616" i="7"/>
  <c r="H2673" i="7" l="1" a="1"/>
  <c r="H2673" i="7" s="1"/>
  <c r="E2673" i="7"/>
  <c r="H2672" i="7" a="1"/>
  <c r="H2672" i="7" s="1"/>
  <c r="E2672" i="7"/>
  <c r="H2671" i="7" a="1"/>
  <c r="H2671" i="7" s="1"/>
  <c r="E2671" i="7"/>
  <c r="H2670" i="7" a="1"/>
  <c r="H2670" i="7" s="1"/>
  <c r="E2670" i="7"/>
  <c r="H2669" i="7" a="1"/>
  <c r="H2669" i="7" s="1"/>
  <c r="E2669" i="7"/>
  <c r="H2668" i="7" a="1"/>
  <c r="H2668" i="7" s="1"/>
  <c r="E2668" i="7"/>
  <c r="H2667" i="7" a="1"/>
  <c r="H2667" i="7" s="1"/>
  <c r="E2667" i="7"/>
  <c r="H2666" i="7" a="1"/>
  <c r="H2666" i="7" s="1"/>
  <c r="E2666" i="7"/>
  <c r="H2665" i="7" a="1"/>
  <c r="H2665" i="7" s="1"/>
  <c r="E2665" i="7"/>
  <c r="H2664" i="7" a="1"/>
  <c r="H2664" i="7" s="1"/>
  <c r="E2664" i="7"/>
  <c r="H2663" i="7" a="1"/>
  <c r="H2663" i="7" s="1"/>
  <c r="E2663" i="7"/>
  <c r="H2662" i="7" a="1"/>
  <c r="H2662" i="7" s="1"/>
  <c r="E2662" i="7"/>
  <c r="H2661" i="7" a="1"/>
  <c r="H2661" i="7" s="1"/>
  <c r="E2661" i="7"/>
  <c r="H2660" i="7" a="1"/>
  <c r="H2660" i="7" s="1"/>
  <c r="E2660" i="7"/>
  <c r="H2659" i="7" a="1"/>
  <c r="H2659" i="7" s="1"/>
  <c r="E2659" i="7"/>
  <c r="H2658" i="7" a="1"/>
  <c r="H2658" i="7" s="1"/>
  <c r="E2658" i="7"/>
  <c r="E2653" i="7" l="1"/>
  <c r="E2654" i="7"/>
  <c r="E2655" i="7"/>
  <c r="H2652" i="7" a="1"/>
  <c r="H2652" i="7" s="1"/>
  <c r="E2652" i="7"/>
  <c r="H2651" i="7" a="1"/>
  <c r="H2651" i="7" s="1"/>
  <c r="E2651" i="7"/>
  <c r="E2650" i="7"/>
  <c r="E2649" i="7"/>
  <c r="E2648" i="7"/>
  <c r="H2647" i="7" a="1"/>
  <c r="H2647" i="7" s="1"/>
  <c r="E2647" i="7"/>
  <c r="H2646" i="7" l="1" a="1"/>
  <c r="H2646" i="7" s="1"/>
  <c r="E2646" i="7"/>
  <c r="H2645" i="7" a="1"/>
  <c r="H2645" i="7" s="1"/>
  <c r="E2645" i="7"/>
  <c r="H2644" i="7" a="1"/>
  <c r="H2644" i="7" s="1"/>
  <c r="E2644" i="7"/>
  <c r="H2643" i="7" a="1"/>
  <c r="H2643" i="7" s="1"/>
  <c r="E2643" i="7"/>
  <c r="H2642" i="7" a="1"/>
  <c r="H2642" i="7" s="1"/>
  <c r="E2642" i="7"/>
  <c r="H2641" i="7" l="1" a="1"/>
  <c r="H2641" i="7" s="1"/>
  <c r="E2641" i="7"/>
  <c r="H2640" i="7" a="1"/>
  <c r="H2640" i="7" s="1"/>
  <c r="E2640" i="7"/>
  <c r="H2639" i="7" a="1"/>
  <c r="H2639" i="7" s="1"/>
  <c r="E2639" i="7"/>
  <c r="H2638" i="7" a="1"/>
  <c r="H2638" i="7" s="1"/>
  <c r="E2638" i="7"/>
  <c r="H2637" i="7" a="1"/>
  <c r="H2637" i="7" s="1"/>
  <c r="E2637" i="7"/>
  <c r="H2636" i="7" a="1"/>
  <c r="H2636" i="7" s="1"/>
  <c r="E2636" i="7"/>
  <c r="H2635" i="7" l="1" a="1"/>
  <c r="H2635" i="7" s="1"/>
  <c r="E2635" i="7"/>
  <c r="H2634" i="7" a="1"/>
  <c r="H2634" i="7" s="1"/>
  <c r="E2634" i="7"/>
  <c r="H2633" i="7" a="1"/>
  <c r="H2633" i="7" s="1"/>
  <c r="E2633" i="7"/>
  <c r="H2632" i="7" a="1"/>
  <c r="H2632" i="7" s="1"/>
  <c r="E2632" i="7"/>
  <c r="H2631" i="7" a="1"/>
  <c r="H2631" i="7" s="1"/>
  <c r="E2631" i="7"/>
  <c r="H2630" i="7" a="1"/>
  <c r="H2630" i="7" s="1"/>
  <c r="E2630" i="7"/>
  <c r="H2629" i="7" a="1"/>
  <c r="H2629" i="7" s="1"/>
  <c r="E2629" i="7"/>
  <c r="H2628" i="7" a="1"/>
  <c r="H2628" i="7" s="1"/>
  <c r="E2628" i="7"/>
  <c r="H2627" i="7" a="1"/>
  <c r="H2627" i="7" s="1"/>
  <c r="E2627" i="7"/>
  <c r="H2626" i="7" a="1"/>
  <c r="H2626" i="7" s="1"/>
  <c r="E2626" i="7"/>
  <c r="H2625" i="7" a="1"/>
  <c r="H2625" i="7" s="1"/>
  <c r="E2625" i="7"/>
  <c r="H2624" i="7" a="1"/>
  <c r="H2624" i="7" s="1"/>
  <c r="E2624" i="7"/>
  <c r="H2623" i="7" a="1"/>
  <c r="H2623" i="7" s="1"/>
  <c r="E2623" i="7"/>
  <c r="H2622" i="7" a="1"/>
  <c r="H2622" i="7" s="1"/>
  <c r="E2622" i="7"/>
  <c r="H2621" i="7" a="1"/>
  <c r="H2621" i="7" s="1"/>
  <c r="E2621" i="7"/>
  <c r="H2620" i="7" a="1"/>
  <c r="H2620" i="7" s="1"/>
  <c r="E2620" i="7"/>
  <c r="H2600" i="7" l="1" a="1"/>
  <c r="H2600" i="7" s="1"/>
  <c r="E2600" i="7"/>
  <c r="H2599" i="7" a="1"/>
  <c r="H2599" i="7" s="1"/>
  <c r="E2599" i="7"/>
  <c r="H2602" i="7" a="1"/>
  <c r="H2602" i="7" s="1"/>
  <c r="E2602" i="7"/>
  <c r="H2601" i="7" a="1"/>
  <c r="H2601" i="7" s="1"/>
  <c r="E2601" i="7"/>
  <c r="H2615" i="7" l="1" a="1"/>
  <c r="H2615" i="7" s="1"/>
  <c r="E2615" i="7"/>
  <c r="E2614" i="7"/>
  <c r="E2613" i="7"/>
  <c r="E2612" i="7"/>
  <c r="H2611" i="7" a="1"/>
  <c r="H2611" i="7" s="1"/>
  <c r="E2611" i="7"/>
  <c r="E2607" i="7"/>
  <c r="H2610" i="7" a="1"/>
  <c r="H2610" i="7" s="1"/>
  <c r="E2610" i="7"/>
  <c r="E2609" i="7"/>
  <c r="E2608" i="7"/>
  <c r="H2606" i="7" a="1"/>
  <c r="H2606" i="7" s="1"/>
  <c r="E2606" i="7"/>
  <c r="H2598" i="7" a="1"/>
  <c r="H2598" i="7" s="1"/>
  <c r="E2598" i="7"/>
  <c r="H2597" i="7" a="1"/>
  <c r="H2597" i="7" s="1"/>
  <c r="E2597" i="7"/>
  <c r="H2605" i="7" a="1"/>
  <c r="H2605" i="7" s="1"/>
  <c r="E2605" i="7"/>
  <c r="H2604" i="7" a="1"/>
  <c r="H2604" i="7" s="1"/>
  <c r="E2604" i="7"/>
  <c r="H2603" i="7" a="1"/>
  <c r="H2603" i="7" s="1"/>
  <c r="E2603" i="7"/>
  <c r="H2596" i="7" a="1"/>
  <c r="H2596" i="7" s="1"/>
  <c r="E2596" i="7"/>
  <c r="H2595" i="7" a="1"/>
  <c r="H2595" i="7" s="1"/>
  <c r="E2595" i="7"/>
  <c r="H2594" i="7" a="1"/>
  <c r="H2594" i="7" s="1"/>
  <c r="E2594" i="7"/>
  <c r="H2593" i="7" l="1" a="1"/>
  <c r="H2593" i="7" s="1"/>
  <c r="E2593" i="7"/>
  <c r="H2592" i="7" a="1"/>
  <c r="H2592" i="7" s="1"/>
  <c r="E2592" i="7"/>
  <c r="H2591" i="7" a="1"/>
  <c r="H2591" i="7" s="1"/>
  <c r="E2591" i="7"/>
  <c r="H2590" i="7" l="1" a="1"/>
  <c r="H2590" i="7" s="1"/>
  <c r="E2590" i="7"/>
  <c r="H2589" i="7" a="1"/>
  <c r="H2589" i="7" s="1"/>
  <c r="E2589" i="7"/>
  <c r="H2588" i="7" a="1"/>
  <c r="H2588" i="7" s="1"/>
  <c r="E2588" i="7"/>
  <c r="H2587" i="7" a="1"/>
  <c r="H2587" i="7" s="1"/>
  <c r="E2587" i="7"/>
  <c r="H2586" i="7" a="1"/>
  <c r="H2586" i="7" s="1"/>
  <c r="E2586" i="7"/>
  <c r="H2585" i="7" a="1"/>
  <c r="H2585" i="7" s="1"/>
  <c r="E2585" i="7"/>
  <c r="H2584" i="7" a="1"/>
  <c r="H2584" i="7" s="1"/>
  <c r="E2584" i="7"/>
  <c r="H2583" i="7" a="1"/>
  <c r="H2583" i="7" s="1"/>
  <c r="E2583" i="7"/>
  <c r="H2582" i="7" a="1"/>
  <c r="H2582" i="7" s="1"/>
  <c r="E2582" i="7"/>
  <c r="H2581" i="7" a="1"/>
  <c r="H2581" i="7" s="1"/>
  <c r="E2581" i="7"/>
  <c r="H2580" i="7" a="1"/>
  <c r="H2580" i="7" s="1"/>
  <c r="E2580" i="7"/>
  <c r="H2579" i="7" a="1"/>
  <c r="H2579" i="7" s="1"/>
  <c r="E2579" i="7"/>
  <c r="H2578" i="7" a="1"/>
  <c r="H2578" i="7" s="1"/>
  <c r="E2578" i="7"/>
  <c r="H2577" i="7" a="1"/>
  <c r="H2577" i="7" s="1"/>
  <c r="E2577" i="7"/>
  <c r="H2576" i="7" a="1"/>
  <c r="H2576" i="7" s="1"/>
  <c r="E2576" i="7"/>
  <c r="H2575" i="7" a="1"/>
  <c r="H2575" i="7" s="1"/>
  <c r="E2575" i="7"/>
  <c r="E2542" i="7" l="1"/>
  <c r="E2538" i="7"/>
  <c r="E2534" i="7"/>
  <c r="E2530" i="7"/>
  <c r="E2526" i="7"/>
  <c r="E2522" i="7"/>
  <c r="E2518" i="7"/>
  <c r="H2544" i="7" a="1"/>
  <c r="H2544" i="7" s="1"/>
  <c r="E2544" i="7"/>
  <c r="E2543" i="7"/>
  <c r="H2541" i="7" a="1"/>
  <c r="H2541" i="7" s="1"/>
  <c r="E2541" i="7"/>
  <c r="H2540" i="7" a="1"/>
  <c r="H2540" i="7" s="1"/>
  <c r="E2540" i="7"/>
  <c r="E2539" i="7"/>
  <c r="H2537" i="7" a="1"/>
  <c r="H2537" i="7" s="1"/>
  <c r="E2537" i="7"/>
  <c r="H2536" i="7" a="1"/>
  <c r="H2536" i="7" s="1"/>
  <c r="E2536" i="7"/>
  <c r="E2535" i="7"/>
  <c r="H2533" i="7" a="1"/>
  <c r="H2533" i="7" s="1"/>
  <c r="E2533" i="7"/>
  <c r="H2532" i="7" a="1"/>
  <c r="H2532" i="7" s="1"/>
  <c r="E2532" i="7"/>
  <c r="E2531" i="7"/>
  <c r="H2529" i="7" a="1"/>
  <c r="H2529" i="7" s="1"/>
  <c r="E2529" i="7"/>
  <c r="H2528" i="7" a="1"/>
  <c r="H2528" i="7" s="1"/>
  <c r="E2528" i="7"/>
  <c r="E2527" i="7"/>
  <c r="H2525" i="7" a="1"/>
  <c r="H2525" i="7" s="1"/>
  <c r="E2525" i="7"/>
  <c r="H2524" i="7" a="1"/>
  <c r="H2524" i="7" s="1"/>
  <c r="E2524" i="7"/>
  <c r="E2523" i="7"/>
  <c r="H2521" i="7" a="1"/>
  <c r="H2521" i="7" s="1"/>
  <c r="E2521" i="7"/>
  <c r="H2520" i="7" a="1"/>
  <c r="H2520" i="7" s="1"/>
  <c r="E2520" i="7"/>
  <c r="E2519" i="7"/>
  <c r="H2517" i="7" a="1"/>
  <c r="H2517" i="7" s="1"/>
  <c r="E2517" i="7"/>
  <c r="H2572" i="7" a="1"/>
  <c r="H2572" i="7" s="1"/>
  <c r="E2572" i="7"/>
  <c r="H2571" i="7" a="1"/>
  <c r="H2571" i="7" s="1"/>
  <c r="E2571" i="7"/>
  <c r="H2570" i="7" a="1"/>
  <c r="H2570" i="7" s="1"/>
  <c r="E2570" i="7"/>
  <c r="H2569" i="7" a="1"/>
  <c r="H2569" i="7" s="1"/>
  <c r="E2569" i="7"/>
  <c r="H2568" i="7" a="1"/>
  <c r="H2568" i="7" s="1"/>
  <c r="E2568" i="7"/>
  <c r="H2567" i="7" a="1"/>
  <c r="H2567" i="7" s="1"/>
  <c r="E2567" i="7"/>
  <c r="H2566" i="7" a="1"/>
  <c r="H2566" i="7" s="1"/>
  <c r="E2566" i="7"/>
  <c r="H2565" i="7" a="1"/>
  <c r="H2565" i="7" s="1"/>
  <c r="E2565" i="7"/>
  <c r="H2564" i="7" l="1" a="1"/>
  <c r="H2564" i="7" s="1"/>
  <c r="E2564" i="7"/>
  <c r="H2563" i="7" a="1"/>
  <c r="H2563" i="7" s="1"/>
  <c r="E2563" i="7"/>
  <c r="H2562" i="7" a="1"/>
  <c r="H2562" i="7" s="1"/>
  <c r="E2562" i="7"/>
  <c r="H2561" i="7" a="1"/>
  <c r="H2561" i="7" s="1"/>
  <c r="E2561" i="7"/>
  <c r="H2560" i="7" a="1"/>
  <c r="H2560" i="7" s="1"/>
  <c r="E2560" i="7"/>
  <c r="H2559" i="7" a="1"/>
  <c r="H2559" i="7" s="1"/>
  <c r="E2559" i="7"/>
  <c r="H2558" i="7" a="1"/>
  <c r="H2558" i="7" s="1"/>
  <c r="E2558" i="7"/>
  <c r="H2557" i="7" a="1"/>
  <c r="H2557" i="7" s="1"/>
  <c r="E2557" i="7"/>
  <c r="H2556" i="7" a="1"/>
  <c r="H2556" i="7" s="1"/>
  <c r="E2556" i="7"/>
  <c r="H2555" i="7" a="1"/>
  <c r="H2555" i="7" s="1"/>
  <c r="E2555" i="7"/>
  <c r="H2554" i="7" a="1"/>
  <c r="H2554" i="7" s="1"/>
  <c r="E2554" i="7"/>
  <c r="H2553" i="7" a="1"/>
  <c r="H2553" i="7" s="1"/>
  <c r="E2553" i="7"/>
  <c r="H2552" i="7" a="1"/>
  <c r="H2552" i="7" s="1"/>
  <c r="E2552" i="7"/>
  <c r="H2551" i="7" a="1"/>
  <c r="H2551" i="7" s="1"/>
  <c r="E2551" i="7"/>
  <c r="H2550" i="7" a="1"/>
  <c r="H2550" i="7" s="1"/>
  <c r="E2550" i="7"/>
  <c r="H2549" i="7" a="1"/>
  <c r="H2549" i="7" s="1"/>
  <c r="E2549" i="7"/>
  <c r="H2546" i="7" l="1" a="1"/>
  <c r="H2546" i="7" s="1"/>
  <c r="E2546" i="7"/>
  <c r="H2545" i="7" a="1"/>
  <c r="H2545" i="7" s="1"/>
  <c r="E2545" i="7"/>
  <c r="E2503" i="7"/>
  <c r="H2503" i="7" a="1"/>
  <c r="H2503" i="7" s="1"/>
  <c r="H2504" i="7" l="1" a="1"/>
  <c r="H2504" i="7" s="1"/>
  <c r="E2504" i="7"/>
  <c r="H2516" i="7" a="1"/>
  <c r="H2516" i="7" s="1"/>
  <c r="E2516" i="7"/>
  <c r="H2515" i="7" a="1"/>
  <c r="H2515" i="7" s="1"/>
  <c r="E2515" i="7"/>
  <c r="H2514" i="7" a="1"/>
  <c r="H2514" i="7" s="1"/>
  <c r="E2514" i="7"/>
  <c r="H2513" i="7" l="1" a="1"/>
  <c r="H2513" i="7" s="1"/>
  <c r="E2513" i="7"/>
  <c r="H2512" i="7" a="1"/>
  <c r="H2512" i="7" s="1"/>
  <c r="E2512" i="7"/>
  <c r="H2511" i="7" a="1"/>
  <c r="H2511" i="7" s="1"/>
  <c r="E2511" i="7"/>
  <c r="H2510" i="7" a="1"/>
  <c r="H2510" i="7" s="1"/>
  <c r="E2510" i="7"/>
  <c r="H2509" i="7" a="1"/>
  <c r="H2509" i="7" s="1"/>
  <c r="E2509" i="7"/>
  <c r="H2508" i="7" a="1"/>
  <c r="H2508" i="7" s="1"/>
  <c r="E2508" i="7"/>
  <c r="H2507" i="7" a="1"/>
  <c r="H2507" i="7" s="1"/>
  <c r="E2507" i="7"/>
  <c r="H2506" i="7" a="1"/>
  <c r="H2506" i="7" s="1"/>
  <c r="E2506" i="7"/>
  <c r="H2505" i="7" a="1"/>
  <c r="H2505" i="7" s="1"/>
  <c r="E2505" i="7"/>
  <c r="H2502" i="7" l="1" a="1"/>
  <c r="H2502" i="7" s="1"/>
  <c r="E2502" i="7"/>
  <c r="H2501" i="7" a="1"/>
  <c r="H2501" i="7" s="1"/>
  <c r="E2501" i="7"/>
  <c r="H2500" i="7" a="1"/>
  <c r="H2500" i="7" s="1"/>
  <c r="E2500" i="7"/>
  <c r="H2499" i="7" a="1"/>
  <c r="H2499" i="7" s="1"/>
  <c r="E2499" i="7"/>
  <c r="H2498" i="7" a="1"/>
  <c r="H2498" i="7" s="1"/>
  <c r="E2498" i="7"/>
  <c r="H2497" i="7" a="1"/>
  <c r="H2497" i="7" s="1"/>
  <c r="E2497" i="7"/>
  <c r="H2496" i="7" a="1"/>
  <c r="H2496" i="7" s="1"/>
  <c r="E2496" i="7"/>
  <c r="H2495" i="7" a="1"/>
  <c r="H2495" i="7" s="1"/>
  <c r="E2495" i="7"/>
  <c r="H2494" i="7" a="1"/>
  <c r="H2494" i="7" s="1"/>
  <c r="E2494" i="7"/>
  <c r="H2493" i="7" a="1"/>
  <c r="H2493" i="7" s="1"/>
  <c r="E2493" i="7"/>
  <c r="H2492" i="7" a="1"/>
  <c r="H2492" i="7" s="1"/>
  <c r="E2492" i="7"/>
  <c r="H2491" i="7" a="1"/>
  <c r="H2491" i="7" s="1"/>
  <c r="E2491" i="7"/>
  <c r="H2490" i="7" a="1"/>
  <c r="H2490" i="7" s="1"/>
  <c r="E2490" i="7"/>
  <c r="H2489" i="7" a="1"/>
  <c r="H2489" i="7" s="1"/>
  <c r="E2489" i="7"/>
  <c r="H2488" i="7" a="1"/>
  <c r="H2488" i="7" s="1"/>
  <c r="E2488" i="7"/>
  <c r="H2487" i="7" a="1"/>
  <c r="H2487" i="7" s="1"/>
  <c r="E2487" i="7"/>
  <c r="H2484" i="7" a="1"/>
  <c r="H2484" i="7" s="1"/>
  <c r="E2484" i="7"/>
  <c r="H2483" i="7" a="1"/>
  <c r="H2483" i="7" s="1"/>
  <c r="E2483" i="7"/>
  <c r="H2482" i="7" a="1"/>
  <c r="H2482" i="7" s="1"/>
  <c r="E2482" i="7"/>
  <c r="H2481" i="7" l="1" a="1"/>
  <c r="H2481" i="7" s="1"/>
  <c r="E2481" i="7"/>
  <c r="H2480" i="7" a="1"/>
  <c r="H2480" i="7" s="1"/>
  <c r="E2480" i="7"/>
  <c r="E2479" i="7"/>
  <c r="H2478" i="7" a="1"/>
  <c r="H2478" i="7" s="1"/>
  <c r="E2478" i="7"/>
  <c r="H2477" i="7" a="1"/>
  <c r="H2477" i="7" s="1"/>
  <c r="E2477" i="7"/>
  <c r="H2476" i="7" a="1"/>
  <c r="H2476" i="7" s="1"/>
  <c r="E2476" i="7"/>
  <c r="H2475" i="7" a="1"/>
  <c r="H2475" i="7" s="1"/>
  <c r="E2475" i="7"/>
  <c r="H2474" i="7" a="1"/>
  <c r="H2474" i="7" s="1"/>
  <c r="E2474" i="7"/>
  <c r="H2473" i="7" a="1"/>
  <c r="H2473" i="7" s="1"/>
  <c r="E2473" i="7"/>
  <c r="H2472" i="7" a="1"/>
  <c r="H2472" i="7" s="1"/>
  <c r="E2472" i="7"/>
  <c r="H2471" i="7" a="1"/>
  <c r="H2471" i="7" s="1"/>
  <c r="E2471" i="7"/>
  <c r="H2470" i="7" a="1"/>
  <c r="H2470" i="7" s="1"/>
  <c r="E2470" i="7"/>
  <c r="H2469" i="7" a="1"/>
  <c r="H2469" i="7" s="1"/>
  <c r="E2469" i="7"/>
  <c r="H2468" i="7" a="1"/>
  <c r="H2468" i="7" s="1"/>
  <c r="E2468" i="7"/>
  <c r="H2467" i="7" l="1" a="1"/>
  <c r="H2467" i="7" s="1"/>
  <c r="E2467" i="7"/>
  <c r="H2466" i="7" a="1"/>
  <c r="H2466" i="7" s="1"/>
  <c r="E2466" i="7"/>
  <c r="H2465" i="7" a="1"/>
  <c r="H2465" i="7" s="1"/>
  <c r="E2465" i="7"/>
  <c r="H2464" i="7" a="1"/>
  <c r="H2464" i="7" s="1"/>
  <c r="E2464" i="7"/>
  <c r="H2463" i="7" a="1"/>
  <c r="H2463" i="7" s="1"/>
  <c r="E2463" i="7"/>
  <c r="H2462" i="7" a="1"/>
  <c r="H2462" i="7" s="1"/>
  <c r="E2462" i="7"/>
  <c r="H2461" i="7" a="1"/>
  <c r="H2461" i="7" s="1"/>
  <c r="E2461" i="7"/>
  <c r="H2460" i="7" a="1"/>
  <c r="H2460" i="7" s="1"/>
  <c r="E2460" i="7"/>
  <c r="H2459" i="7" a="1"/>
  <c r="H2459" i="7" s="1"/>
  <c r="E2459" i="7"/>
  <c r="H2458" i="7" a="1"/>
  <c r="H2458" i="7" s="1"/>
  <c r="E2458" i="7"/>
  <c r="H2457" i="7" a="1"/>
  <c r="H2457" i="7" s="1"/>
  <c r="E2457" i="7"/>
  <c r="H2456" i="7" a="1"/>
  <c r="H2456" i="7" s="1"/>
  <c r="E2456" i="7"/>
  <c r="H2455" i="7" a="1"/>
  <c r="H2455" i="7" s="1"/>
  <c r="E2455" i="7"/>
  <c r="H2454" i="7" a="1"/>
  <c r="H2454" i="7" s="1"/>
  <c r="E2454" i="7"/>
  <c r="H2453" i="7" a="1"/>
  <c r="H2453" i="7" s="1"/>
  <c r="E2453" i="7"/>
  <c r="H2452" i="7" a="1"/>
  <c r="H2452" i="7" s="1"/>
  <c r="E2452" i="7"/>
  <c r="H2435" i="7" l="1" a="1"/>
  <c r="H2435" i="7" s="1"/>
  <c r="E2435" i="7"/>
  <c r="H2434" i="7" a="1"/>
  <c r="H2434" i="7" s="1"/>
  <c r="E2434" i="7"/>
  <c r="H2449" i="7" a="1"/>
  <c r="H2449" i="7" s="1"/>
  <c r="E2449" i="7"/>
  <c r="H2448" i="7" a="1"/>
  <c r="H2448" i="7" s="1"/>
  <c r="E2448" i="7"/>
  <c r="H2447" i="7" a="1"/>
  <c r="H2447" i="7" s="1"/>
  <c r="E2447" i="7"/>
  <c r="H2446" i="7" a="1"/>
  <c r="H2446" i="7" s="1"/>
  <c r="E2446" i="7"/>
  <c r="H2445" i="7" a="1"/>
  <c r="H2445" i="7" s="1"/>
  <c r="E2445" i="7"/>
  <c r="H2444" i="7" a="1"/>
  <c r="H2444" i="7" s="1"/>
  <c r="E2444" i="7"/>
  <c r="H2443" i="7" a="1"/>
  <c r="H2443" i="7" s="1"/>
  <c r="E2443" i="7"/>
  <c r="H2442" i="7" a="1"/>
  <c r="H2442" i="7" s="1"/>
  <c r="E2442" i="7"/>
  <c r="H2441" i="7" l="1" a="1"/>
  <c r="H2441" i="7" s="1"/>
  <c r="E2441" i="7"/>
  <c r="E2440" i="7"/>
  <c r="E2439" i="7"/>
  <c r="H2438" i="7" a="1"/>
  <c r="H2438" i="7" s="1"/>
  <c r="E2438" i="7"/>
  <c r="H2437" i="7" l="1" a="1"/>
  <c r="H2437" i="7" s="1"/>
  <c r="E2437" i="7"/>
  <c r="H2436" i="7" a="1"/>
  <c r="H2436" i="7" s="1"/>
  <c r="E2436" i="7"/>
  <c r="H2433" i="7" a="1"/>
  <c r="H2433" i="7" s="1"/>
  <c r="E2433" i="7"/>
  <c r="H2432" i="7" a="1"/>
  <c r="H2432" i="7" s="1"/>
  <c r="E2432" i="7"/>
  <c r="H2431" i="7" a="1"/>
  <c r="H2431" i="7" s="1"/>
  <c r="E2431" i="7"/>
  <c r="H2430" i="7" a="1"/>
  <c r="H2430" i="7" s="1"/>
  <c r="E2430" i="7"/>
  <c r="H2429" i="7" a="1"/>
  <c r="H2429" i="7" s="1"/>
  <c r="E2429" i="7"/>
  <c r="H2428" i="7" a="1"/>
  <c r="H2428" i="7" s="1"/>
  <c r="E2428" i="7"/>
  <c r="H2427" i="7" a="1"/>
  <c r="H2427" i="7" s="1"/>
  <c r="E2427" i="7"/>
  <c r="H2426" i="7" a="1"/>
  <c r="H2426" i="7" s="1"/>
  <c r="E2426" i="7"/>
  <c r="H2425" i="7" a="1"/>
  <c r="H2425" i="7" s="1"/>
  <c r="E2425" i="7"/>
  <c r="H2424" i="7" a="1"/>
  <c r="H2424" i="7" s="1"/>
  <c r="E2424" i="7"/>
  <c r="H2423" i="7" a="1"/>
  <c r="H2423" i="7" s="1"/>
  <c r="E2423" i="7"/>
  <c r="H2422" i="7" a="1"/>
  <c r="H2422" i="7" s="1"/>
  <c r="E2422" i="7"/>
  <c r="H2421" i="7" a="1"/>
  <c r="H2421" i="7" s="1"/>
  <c r="E2421" i="7"/>
  <c r="H2420" i="7" a="1"/>
  <c r="H2420" i="7" s="1"/>
  <c r="E2420" i="7"/>
  <c r="H2419" i="7" a="1"/>
  <c r="H2419" i="7" s="1"/>
  <c r="E2419" i="7"/>
  <c r="H2418" i="7" a="1"/>
  <c r="H2418" i="7" s="1"/>
  <c r="E2418" i="7"/>
  <c r="H2417" i="7" a="1"/>
  <c r="H2417" i="7" s="1"/>
  <c r="E2417" i="7"/>
  <c r="H2416" i="7" a="1"/>
  <c r="H2416" i="7" s="1"/>
  <c r="E2416" i="7"/>
  <c r="H2413" i="7" a="1"/>
  <c r="H2413" i="7" s="1"/>
  <c r="E2413" i="7"/>
  <c r="E2412" i="7"/>
  <c r="E2411" i="7"/>
  <c r="E2410" i="7"/>
  <c r="H2409" i="7" a="1"/>
  <c r="H2409" i="7" s="1"/>
  <c r="E2409" i="7"/>
  <c r="E2407" i="7"/>
  <c r="H2408" i="7" a="1"/>
  <c r="H2408" i="7" s="1"/>
  <c r="E2408" i="7"/>
  <c r="H2406" i="7" a="1"/>
  <c r="H2406" i="7" s="1"/>
  <c r="E2406" i="7"/>
  <c r="H2405" i="7" l="1" a="1"/>
  <c r="H2405" i="7" s="1"/>
  <c r="E2405" i="7"/>
  <c r="H2404" i="7" a="1"/>
  <c r="H2404" i="7" s="1"/>
  <c r="E2404" i="7"/>
  <c r="H2403" i="7" l="1" a="1"/>
  <c r="H2403" i="7" s="1"/>
  <c r="E2403" i="7"/>
  <c r="H2402" i="7" a="1"/>
  <c r="H2402" i="7" s="1"/>
  <c r="E2402" i="7"/>
  <c r="H2401" i="7" a="1"/>
  <c r="H2401" i="7" s="1"/>
  <c r="E2401" i="7"/>
  <c r="H2400" i="7" l="1" a="1"/>
  <c r="H2400" i="7" s="1"/>
  <c r="E2400" i="7"/>
  <c r="H2399" i="7" a="1"/>
  <c r="H2399" i="7" s="1"/>
  <c r="E2399" i="7"/>
  <c r="H2398" i="7" a="1"/>
  <c r="H2398" i="7" s="1"/>
  <c r="E2398" i="7"/>
  <c r="H2397" i="7" a="1"/>
  <c r="H2397" i="7" s="1"/>
  <c r="E2397" i="7"/>
  <c r="H2396" i="7" a="1"/>
  <c r="H2396" i="7" s="1"/>
  <c r="E2396" i="7"/>
  <c r="H2395" i="7" a="1"/>
  <c r="H2395" i="7" s="1"/>
  <c r="E2395" i="7"/>
  <c r="H2394" i="7" a="1"/>
  <c r="H2394" i="7" s="1"/>
  <c r="E2394" i="7"/>
  <c r="H2393" i="7" a="1"/>
  <c r="H2393" i="7" s="1"/>
  <c r="E2393" i="7"/>
  <c r="H2392" i="7" a="1"/>
  <c r="H2392" i="7" s="1"/>
  <c r="E2392" i="7"/>
  <c r="H2391" i="7" a="1"/>
  <c r="H2391" i="7" s="1"/>
  <c r="E2391" i="7"/>
  <c r="H2390" i="7" a="1"/>
  <c r="H2390" i="7" s="1"/>
  <c r="E2390" i="7"/>
  <c r="H2389" i="7" a="1"/>
  <c r="H2389" i="7" s="1"/>
  <c r="E2389" i="7"/>
  <c r="H2388" i="7" a="1"/>
  <c r="H2388" i="7" s="1"/>
  <c r="E2388" i="7"/>
  <c r="H2387" i="7" a="1"/>
  <c r="H2387" i="7" s="1"/>
  <c r="E2387" i="7"/>
  <c r="H2386" i="7" a="1"/>
  <c r="H2386" i="7" s="1"/>
  <c r="E2386" i="7"/>
  <c r="H2385" i="7" a="1"/>
  <c r="H2385" i="7" s="1"/>
  <c r="E2385" i="7"/>
  <c r="H2382" i="7" l="1" a="1"/>
  <c r="H2382" i="7" s="1"/>
  <c r="E2382" i="7"/>
  <c r="E2381" i="7"/>
  <c r="E2380" i="7"/>
  <c r="H2379" i="7" a="1"/>
  <c r="H2379" i="7" s="1"/>
  <c r="E2379" i="7"/>
  <c r="H2378" i="7" a="1"/>
  <c r="H2378" i="7" s="1"/>
  <c r="E2378" i="7"/>
  <c r="H2377" i="7" a="1"/>
  <c r="H2377" i="7" s="1"/>
  <c r="E2377" i="7"/>
  <c r="H2376" i="7" a="1"/>
  <c r="H2376" i="7" s="1"/>
  <c r="E2376" i="7"/>
  <c r="H2375" i="7" a="1"/>
  <c r="H2375" i="7" s="1"/>
  <c r="E2375" i="7"/>
  <c r="H2374" i="7" a="1"/>
  <c r="H2374" i="7" s="1"/>
  <c r="E2374" i="7"/>
  <c r="E2373" i="7" l="1"/>
  <c r="E2372" i="7"/>
  <c r="H2371" i="7" a="1"/>
  <c r="H2371" i="7" s="1"/>
  <c r="E2371" i="7"/>
  <c r="H2370" i="7" a="1"/>
  <c r="H2370" i="7" s="1"/>
  <c r="E2370" i="7"/>
  <c r="H2369" i="7" a="1"/>
  <c r="H2369" i="7" s="1"/>
  <c r="E2369" i="7"/>
  <c r="H2368" i="7" a="1"/>
  <c r="H2368" i="7" s="1"/>
  <c r="E2368" i="7"/>
  <c r="H2367" i="7" l="1" a="1"/>
  <c r="H2367" i="7" s="1"/>
  <c r="E2367" i="7"/>
  <c r="H2366" i="7" a="1"/>
  <c r="H2366" i="7" s="1"/>
  <c r="E2366" i="7"/>
  <c r="H2365" i="7" a="1"/>
  <c r="H2365" i="7" s="1"/>
  <c r="E2365" i="7"/>
  <c r="H2364" i="7" l="1" a="1"/>
  <c r="H2364" i="7" s="1"/>
  <c r="E2364" i="7"/>
  <c r="H2363" i="7" a="1"/>
  <c r="H2363" i="7" s="1"/>
  <c r="E2363" i="7"/>
  <c r="H2362" i="7" a="1"/>
  <c r="H2362" i="7" s="1"/>
  <c r="E2362" i="7"/>
  <c r="H2361" i="7" a="1"/>
  <c r="H2361" i="7" s="1"/>
  <c r="E2361" i="7"/>
  <c r="H2360" i="7" a="1"/>
  <c r="H2360" i="7" s="1"/>
  <c r="E2360" i="7"/>
  <c r="H2359" i="7" a="1"/>
  <c r="H2359" i="7" s="1"/>
  <c r="E2359" i="7"/>
  <c r="H2358" i="7" a="1"/>
  <c r="H2358" i="7" s="1"/>
  <c r="E2358" i="7"/>
  <c r="H2357" i="7" a="1"/>
  <c r="H2357" i="7" s="1"/>
  <c r="E2357" i="7"/>
  <c r="H2346" i="7" l="1" a="1"/>
  <c r="H2346" i="7" s="1"/>
  <c r="E2346" i="7"/>
  <c r="H2345" i="7" a="1"/>
  <c r="H2345" i="7" s="1"/>
  <c r="E2345" i="7"/>
  <c r="H2344" i="7" a="1"/>
  <c r="H2344" i="7" s="1"/>
  <c r="E2344" i="7"/>
  <c r="H2343" i="7" a="1"/>
  <c r="H2343" i="7" s="1"/>
  <c r="E2343" i="7"/>
  <c r="K2353" i="7" l="1"/>
  <c r="H2356" i="7" a="1"/>
  <c r="H2356" i="7" s="1"/>
  <c r="E2356" i="7"/>
  <c r="H2355" i="7" a="1"/>
  <c r="H2355" i="7" s="1"/>
  <c r="E2355" i="7"/>
  <c r="H2354" i="7" a="1"/>
  <c r="H2354" i="7" s="1"/>
  <c r="E2354" i="7"/>
  <c r="H2353" i="7" a="1"/>
  <c r="H2353" i="7" s="1"/>
  <c r="E2353" i="7"/>
  <c r="H2352" i="7" a="1"/>
  <c r="H2352" i="7" s="1"/>
  <c r="E2352" i="7"/>
  <c r="H2351" i="7" a="1"/>
  <c r="H2351" i="7" s="1"/>
  <c r="E2351" i="7"/>
  <c r="H2350" i="7" a="1"/>
  <c r="H2350" i="7" s="1"/>
  <c r="E2350" i="7"/>
  <c r="H2349" i="7" a="1"/>
  <c r="H2349" i="7" s="1"/>
  <c r="E2349" i="7"/>
  <c r="H2337" i="7" l="1" a="1"/>
  <c r="H2337" i="7" s="1"/>
  <c r="E2337" i="7"/>
  <c r="H2336" i="7" a="1"/>
  <c r="H2336" i="7" s="1"/>
  <c r="E2336" i="7"/>
  <c r="H2335" i="7" a="1"/>
  <c r="H2335" i="7" s="1"/>
  <c r="E2335" i="7"/>
  <c r="H2334" i="7" a="1"/>
  <c r="H2334" i="7" s="1"/>
  <c r="E2334" i="7"/>
  <c r="H2325" i="7" a="1"/>
  <c r="H2325" i="7" s="1"/>
  <c r="E2325" i="7"/>
  <c r="H2324" i="7" a="1"/>
  <c r="H2324" i="7" s="1"/>
  <c r="E2324" i="7"/>
  <c r="H2323" i="7" a="1"/>
  <c r="H2323" i="7" s="1"/>
  <c r="E2323" i="7"/>
  <c r="H2322" i="7" a="1"/>
  <c r="H2322" i="7" s="1"/>
  <c r="E2322" i="7"/>
  <c r="E2320" i="7"/>
  <c r="H2321" i="7" a="1"/>
  <c r="H2321" i="7" s="1"/>
  <c r="E2321" i="7"/>
  <c r="H2319" i="7" a="1"/>
  <c r="H2319" i="7" s="1"/>
  <c r="E2319" i="7"/>
  <c r="H2318" i="7" a="1"/>
  <c r="H2318" i="7" s="1"/>
  <c r="E2318" i="7"/>
  <c r="H2317" i="7" a="1"/>
  <c r="H2317" i="7" s="1"/>
  <c r="E2317" i="7"/>
  <c r="H2314" i="7" a="1"/>
  <c r="H2314" i="7" s="1"/>
  <c r="E2314" i="7"/>
  <c r="E2313" i="7"/>
  <c r="E2312" i="7"/>
  <c r="H2311" i="7" a="1"/>
  <c r="H2311" i="7" s="1"/>
  <c r="E2311" i="7"/>
  <c r="H2316" i="7" a="1"/>
  <c r="H2316" i="7" s="1"/>
  <c r="E2316" i="7"/>
  <c r="H2315" i="7" a="1"/>
  <c r="H2315" i="7" s="1"/>
  <c r="E2315" i="7"/>
  <c r="H2310" i="7" a="1"/>
  <c r="H2310" i="7" s="1"/>
  <c r="E2310" i="7"/>
  <c r="E2309" i="7"/>
  <c r="E2308" i="7"/>
  <c r="E2307" i="7"/>
  <c r="H2306" i="7" a="1"/>
  <c r="H2306" i="7" s="1"/>
  <c r="E2306" i="7"/>
  <c r="H2299" i="7" a="1"/>
  <c r="H2299" i="7" s="1"/>
  <c r="E2299" i="7"/>
  <c r="H2298" i="7" a="1"/>
  <c r="H2298" i="7" s="1"/>
  <c r="E2298" i="7"/>
  <c r="E2297" i="7"/>
  <c r="E2296" i="7"/>
  <c r="H2295" i="7" a="1"/>
  <c r="H2295" i="7" s="1"/>
  <c r="E2295" i="7"/>
  <c r="H2327" i="7" l="1" a="1"/>
  <c r="H2327" i="7" s="1"/>
  <c r="E2327" i="7"/>
  <c r="H2326" i="7" a="1"/>
  <c r="H2326" i="7" s="1"/>
  <c r="E2326" i="7"/>
  <c r="H2302" i="7" a="1"/>
  <c r="H2302" i="7" s="1"/>
  <c r="E2302" i="7"/>
  <c r="H2301" i="7" a="1"/>
  <c r="H2301" i="7" s="1"/>
  <c r="E2301" i="7"/>
  <c r="H2300" i="7" a="1"/>
  <c r="H2300" i="7" s="1"/>
  <c r="E2300" i="7"/>
  <c r="H2342" i="7" a="1"/>
  <c r="H2342" i="7" s="1"/>
  <c r="E2342" i="7"/>
  <c r="H2341" i="7" a="1"/>
  <c r="H2341" i="7" s="1"/>
  <c r="E2341" i="7"/>
  <c r="H2340" i="7" a="1"/>
  <c r="H2340" i="7" s="1"/>
  <c r="E2340" i="7"/>
  <c r="H2339" i="7" a="1"/>
  <c r="H2339" i="7" s="1"/>
  <c r="E2339" i="7"/>
  <c r="H2338" i="7" a="1"/>
  <c r="H2338" i="7" s="1"/>
  <c r="E2338" i="7"/>
  <c r="H2333" i="7" a="1"/>
  <c r="H2333" i="7" s="1"/>
  <c r="E2333" i="7"/>
  <c r="H2332" i="7" a="1"/>
  <c r="H2332" i="7" s="1"/>
  <c r="E2332" i="7"/>
  <c r="H2331" i="7" a="1"/>
  <c r="H2331" i="7" s="1"/>
  <c r="E2331" i="7"/>
  <c r="H2330" i="7" a="1"/>
  <c r="H2330" i="7" s="1"/>
  <c r="H2329" i="7" a="1"/>
  <c r="H2329" i="7" s="1"/>
  <c r="H2328" i="7" a="1"/>
  <c r="H2328" i="7" s="1"/>
  <c r="E2330" i="7"/>
  <c r="E2329" i="7"/>
  <c r="E2328" i="7"/>
  <c r="H2305" i="7" a="1"/>
  <c r="H2305" i="7" s="1"/>
  <c r="E2305" i="7"/>
  <c r="H2304" i="7" a="1"/>
  <c r="H2304" i="7" s="1"/>
  <c r="E2304" i="7"/>
  <c r="H2303" i="7" a="1"/>
  <c r="H2303" i="7" s="1"/>
  <c r="E2303" i="7"/>
  <c r="H2294" i="7" a="1"/>
  <c r="H2294" i="7" s="1"/>
  <c r="E2294" i="7"/>
  <c r="H2293" i="7" a="1"/>
  <c r="H2293" i="7" s="1"/>
  <c r="E2293" i="7"/>
  <c r="H2292" i="7" a="1"/>
  <c r="H2292" i="7" s="1"/>
  <c r="E2292" i="7"/>
  <c r="H2291" i="7" a="1"/>
  <c r="H2291" i="7" s="1"/>
  <c r="E2291" i="7"/>
  <c r="H2290" i="7" a="1"/>
  <c r="H2290" i="7" s="1"/>
  <c r="E2290" i="7"/>
  <c r="H2289" i="7" a="1"/>
  <c r="H2289" i="7" s="1"/>
  <c r="E2289" i="7"/>
  <c r="E2283" i="7" l="1"/>
  <c r="H2283" i="7" a="1"/>
  <c r="H2283" i="7" s="1"/>
  <c r="E2284" i="7"/>
  <c r="H2284" i="7" a="1"/>
  <c r="H2284" i="7" s="1"/>
  <c r="E2285" i="7"/>
  <c r="H2285" i="7" a="1"/>
  <c r="H2285" i="7" s="1"/>
  <c r="E2286" i="7"/>
  <c r="H2286" i="7" a="1"/>
  <c r="H2286" i="7" s="1"/>
  <c r="E2287" i="7"/>
  <c r="H2287" i="7" a="1"/>
  <c r="H2287" i="7" s="1"/>
  <c r="E2288" i="7"/>
  <c r="H2288" i="7" a="1"/>
  <c r="H2288" i="7" s="1"/>
  <c r="H2258" i="7" a="1"/>
  <c r="H2258" i="7" s="1"/>
  <c r="E2258" i="7"/>
  <c r="H2257" i="7" a="1"/>
  <c r="H2257" i="7" s="1"/>
  <c r="E2257" i="7"/>
  <c r="H408" i="7" l="1" a="1"/>
  <c r="H408" i="7" s="1"/>
  <c r="E408" i="7"/>
  <c r="H407" i="7" a="1"/>
  <c r="H407" i="7" s="1"/>
  <c r="E407" i="7"/>
  <c r="H406" i="7" a="1"/>
  <c r="H406" i="7" s="1"/>
  <c r="E406" i="7"/>
  <c r="H405" i="7" a="1"/>
  <c r="H405" i="7" s="1"/>
  <c r="E405" i="7"/>
  <c r="H404" i="7" a="1"/>
  <c r="H404" i="7" s="1"/>
  <c r="E404" i="7"/>
  <c r="H403" i="7" a="1"/>
  <c r="H403" i="7" s="1"/>
  <c r="E403" i="7"/>
  <c r="H402" i="7" a="1"/>
  <c r="H402" i="7" s="1"/>
  <c r="E402" i="7"/>
  <c r="H401" i="7" a="1"/>
  <c r="H401" i="7" s="1"/>
  <c r="E401" i="7"/>
  <c r="H400" i="7" a="1"/>
  <c r="H400" i="7" s="1"/>
  <c r="E400" i="7"/>
  <c r="H399" i="7" a="1"/>
  <c r="H399" i="7" s="1"/>
  <c r="E399" i="7"/>
  <c r="H398" i="7" a="1"/>
  <c r="H398" i="7" s="1"/>
  <c r="E398" i="7"/>
  <c r="H397" i="7" a="1"/>
  <c r="H397" i="7" s="1"/>
  <c r="E397" i="7"/>
  <c r="H396" i="7" a="1"/>
  <c r="H396" i="7" s="1"/>
  <c r="E396" i="7"/>
  <c r="H395" i="7" a="1"/>
  <c r="H395" i="7" s="1"/>
  <c r="E395" i="7"/>
  <c r="H394" i="7" a="1"/>
  <c r="H394" i="7" s="1"/>
  <c r="E394" i="7"/>
  <c r="H393" i="7" a="1"/>
  <c r="H393" i="7" s="1"/>
  <c r="E393" i="7"/>
  <c r="H392" i="7" a="1"/>
  <c r="H392" i="7" s="1"/>
  <c r="E392" i="7"/>
  <c r="H391" i="7" a="1"/>
  <c r="H391" i="7" s="1"/>
  <c r="E391" i="7"/>
  <c r="H390" i="7" a="1"/>
  <c r="H390" i="7" s="1"/>
  <c r="E390" i="7"/>
  <c r="H389" i="7" a="1"/>
  <c r="H389" i="7" s="1"/>
  <c r="E389" i="7"/>
  <c r="H388" i="7" a="1"/>
  <c r="H388" i="7" s="1"/>
  <c r="E388" i="7"/>
  <c r="H387" i="7" a="1"/>
  <c r="H387" i="7" s="1"/>
  <c r="E387" i="7"/>
  <c r="H386" i="7" a="1"/>
  <c r="H386" i="7" s="1"/>
  <c r="E386" i="7"/>
  <c r="H385" i="7" a="1"/>
  <c r="H385" i="7" s="1"/>
  <c r="E385" i="7"/>
  <c r="H384" i="7" a="1"/>
  <c r="H384" i="7" s="1"/>
  <c r="E384" i="7"/>
  <c r="H383" i="7" a="1"/>
  <c r="H383" i="7" s="1"/>
  <c r="E383" i="7"/>
  <c r="H382" i="7" a="1"/>
  <c r="H382" i="7" s="1"/>
  <c r="E382" i="7"/>
  <c r="H381" i="7" a="1"/>
  <c r="H381" i="7" s="1"/>
  <c r="E381" i="7"/>
  <c r="H380" i="7" a="1"/>
  <c r="H380" i="7" s="1"/>
  <c r="E380" i="7"/>
  <c r="H379" i="7" a="1"/>
  <c r="H379" i="7" s="1"/>
  <c r="E379" i="7"/>
  <c r="H378" i="7" a="1"/>
  <c r="H378" i="7" s="1"/>
  <c r="E378" i="7"/>
  <c r="H377" i="7" a="1"/>
  <c r="H377" i="7" s="1"/>
  <c r="E377" i="7"/>
  <c r="H376" i="7" a="1"/>
  <c r="H376" i="7" s="1"/>
  <c r="E376" i="7"/>
  <c r="H375" i="7" a="1"/>
  <c r="H375" i="7" s="1"/>
  <c r="E375" i="7"/>
  <c r="H374" i="7" a="1"/>
  <c r="H374" i="7" s="1"/>
  <c r="E374" i="7"/>
  <c r="H373" i="7" a="1"/>
  <c r="H373" i="7" s="1"/>
  <c r="E373" i="7"/>
  <c r="H372" i="7" a="1"/>
  <c r="H372" i="7" s="1"/>
  <c r="E372" i="7"/>
  <c r="H371" i="7" a="1"/>
  <c r="H371" i="7" s="1"/>
  <c r="E371" i="7"/>
  <c r="H370" i="7" a="1"/>
  <c r="H370" i="7" s="1"/>
  <c r="E370" i="7"/>
  <c r="H369" i="7" a="1"/>
  <c r="H369" i="7" s="1"/>
  <c r="E369" i="7"/>
  <c r="H368" i="7" a="1"/>
  <c r="H368" i="7" s="1"/>
  <c r="E368" i="7"/>
  <c r="H367" i="7" a="1"/>
  <c r="H367" i="7" s="1"/>
  <c r="E367" i="7"/>
  <c r="H366" i="7" a="1"/>
  <c r="H366" i="7" s="1"/>
  <c r="E366" i="7"/>
  <c r="H365" i="7" a="1"/>
  <c r="H365" i="7" s="1"/>
  <c r="E365" i="7"/>
  <c r="H364" i="7" a="1"/>
  <c r="H364" i="7" s="1"/>
  <c r="E364" i="7"/>
  <c r="H363" i="7" a="1"/>
  <c r="H363" i="7" s="1"/>
  <c r="E363" i="7"/>
  <c r="H362" i="7" a="1"/>
  <c r="H362" i="7" s="1"/>
  <c r="E362" i="7"/>
  <c r="H361" i="7" a="1"/>
  <c r="H361" i="7" s="1"/>
  <c r="E361" i="7"/>
  <c r="H360" i="7" a="1"/>
  <c r="H360" i="7" s="1"/>
  <c r="E360" i="7"/>
  <c r="H359" i="7" a="1"/>
  <c r="H359" i="7" s="1"/>
  <c r="E359" i="7"/>
  <c r="H358" i="7" a="1"/>
  <c r="H358" i="7" s="1"/>
  <c r="E358" i="7"/>
  <c r="H357" i="7" a="1"/>
  <c r="H357" i="7" s="1"/>
  <c r="E357" i="7"/>
  <c r="H356" i="7" a="1"/>
  <c r="H356" i="7" s="1"/>
  <c r="E356" i="7"/>
  <c r="H355" i="7" a="1"/>
  <c r="H355" i="7" s="1"/>
  <c r="E355" i="7"/>
  <c r="H354" i="7" a="1"/>
  <c r="H354" i="7" s="1"/>
  <c r="E354" i="7"/>
  <c r="H353" i="7" a="1"/>
  <c r="H353" i="7" s="1"/>
  <c r="E353" i="7"/>
  <c r="H352" i="7" a="1"/>
  <c r="H352" i="7" s="1"/>
  <c r="E352" i="7"/>
  <c r="H351" i="7" a="1"/>
  <c r="H351" i="7" s="1"/>
  <c r="E351" i="7"/>
  <c r="H350" i="7" a="1"/>
  <c r="H350" i="7" s="1"/>
  <c r="E350" i="7"/>
  <c r="H349" i="7" a="1"/>
  <c r="H349" i="7" s="1"/>
  <c r="E349" i="7"/>
  <c r="H348" i="7" a="1"/>
  <c r="H348" i="7" s="1"/>
  <c r="E348" i="7"/>
  <c r="H347" i="7" a="1"/>
  <c r="H347" i="7" s="1"/>
  <c r="E347" i="7"/>
  <c r="H346" i="7" a="1"/>
  <c r="H346" i="7" s="1"/>
  <c r="E346" i="7"/>
  <c r="H345" i="7" a="1"/>
  <c r="H345" i="7" s="1"/>
  <c r="E345" i="7"/>
  <c r="H344" i="7" a="1"/>
  <c r="H344" i="7" s="1"/>
  <c r="E344" i="7"/>
  <c r="H343" i="7" a="1"/>
  <c r="H343" i="7" s="1"/>
  <c r="E343" i="7"/>
  <c r="H342" i="7" a="1"/>
  <c r="H342" i="7" s="1"/>
  <c r="E342" i="7"/>
  <c r="H341" i="7" a="1"/>
  <c r="H341" i="7" s="1"/>
  <c r="E341" i="7"/>
  <c r="H340" i="7" a="1"/>
  <c r="H340" i="7" s="1"/>
  <c r="E340" i="7"/>
  <c r="H339" i="7" a="1"/>
  <c r="H339" i="7" s="1"/>
  <c r="E339" i="7"/>
  <c r="H338" i="7" a="1"/>
  <c r="H338" i="7" s="1"/>
  <c r="E338" i="7"/>
  <c r="H337" i="7" a="1"/>
  <c r="H337" i="7" s="1"/>
  <c r="E337" i="7"/>
  <c r="H336" i="7" a="1"/>
  <c r="H336" i="7" s="1"/>
  <c r="E336" i="7"/>
  <c r="H335" i="7" a="1"/>
  <c r="H335" i="7" s="1"/>
  <c r="E335" i="7"/>
  <c r="H334" i="7" a="1"/>
  <c r="H334" i="7" s="1"/>
  <c r="E334" i="7"/>
  <c r="H333" i="7" a="1"/>
  <c r="H333" i="7" s="1"/>
  <c r="E333" i="7"/>
  <c r="H332" i="7" a="1"/>
  <c r="H332" i="7" s="1"/>
  <c r="E332" i="7"/>
  <c r="H331" i="7" a="1"/>
  <c r="H331" i="7" s="1"/>
  <c r="E331" i="7"/>
  <c r="H330" i="7" a="1"/>
  <c r="H330" i="7" s="1"/>
  <c r="E330" i="7"/>
  <c r="H329" i="7" a="1"/>
  <c r="H329" i="7" s="1"/>
  <c r="E329" i="7"/>
  <c r="H328" i="7" a="1"/>
  <c r="H328" i="7" s="1"/>
  <c r="E328" i="7"/>
  <c r="H327" i="7" a="1"/>
  <c r="H327" i="7" s="1"/>
  <c r="E327" i="7"/>
  <c r="H326" i="7" a="1"/>
  <c r="H326" i="7" s="1"/>
  <c r="E326" i="7"/>
  <c r="H325" i="7" a="1"/>
  <c r="H325" i="7" s="1"/>
  <c r="E325" i="7"/>
  <c r="H324" i="7" a="1"/>
  <c r="H324" i="7" s="1"/>
  <c r="E324" i="7"/>
  <c r="H323" i="7" a="1"/>
  <c r="H323" i="7" s="1"/>
  <c r="E323" i="7"/>
  <c r="H322" i="7" a="1"/>
  <c r="H322" i="7" s="1"/>
  <c r="E322" i="7"/>
  <c r="H321" i="7" a="1"/>
  <c r="H321" i="7" s="1"/>
  <c r="E321" i="7"/>
  <c r="H320" i="7" a="1"/>
  <c r="H320" i="7" s="1"/>
  <c r="E320" i="7"/>
  <c r="H319" i="7" a="1"/>
  <c r="H319" i="7" s="1"/>
  <c r="E319" i="7"/>
  <c r="H318" i="7" a="1"/>
  <c r="H318" i="7" s="1"/>
  <c r="E318" i="7"/>
  <c r="H317" i="7" a="1"/>
  <c r="H317" i="7" s="1"/>
  <c r="E317" i="7"/>
  <c r="H316" i="7" a="1"/>
  <c r="H316" i="7" s="1"/>
  <c r="E316" i="7"/>
  <c r="H315" i="7" a="1"/>
  <c r="H315" i="7" s="1"/>
  <c r="E315" i="7"/>
  <c r="H314" i="7" a="1"/>
  <c r="H314" i="7" s="1"/>
  <c r="E314" i="7"/>
  <c r="H313" i="7" a="1"/>
  <c r="H313" i="7" s="1"/>
  <c r="E313" i="7"/>
  <c r="H312" i="7" a="1"/>
  <c r="H312" i="7" s="1"/>
  <c r="E312" i="7"/>
  <c r="H311" i="7" a="1"/>
  <c r="H311" i="7" s="1"/>
  <c r="E311" i="7"/>
  <c r="H310" i="7" a="1"/>
  <c r="H310" i="7" s="1"/>
  <c r="E310" i="7"/>
  <c r="H309" i="7" a="1"/>
  <c r="H309" i="7" s="1"/>
  <c r="E309" i="7"/>
  <c r="H308" i="7" a="1"/>
  <c r="H308" i="7" s="1"/>
  <c r="E308" i="7"/>
  <c r="H307" i="7" a="1"/>
  <c r="H307" i="7" s="1"/>
  <c r="E307" i="7"/>
  <c r="H306" i="7" a="1"/>
  <c r="H306" i="7" s="1"/>
  <c r="E306" i="7"/>
  <c r="H305" i="7" a="1"/>
  <c r="H305" i="7" s="1"/>
  <c r="E305" i="7"/>
  <c r="H304" i="7" a="1"/>
  <c r="H304" i="7" s="1"/>
  <c r="E304" i="7"/>
  <c r="H303" i="7" a="1"/>
  <c r="H303" i="7" s="1"/>
  <c r="E303" i="7"/>
  <c r="H302" i="7" a="1"/>
  <c r="H302" i="7" s="1"/>
  <c r="E302" i="7"/>
  <c r="H301" i="7" a="1"/>
  <c r="H301" i="7" s="1"/>
  <c r="E301" i="7"/>
  <c r="H300" i="7" a="1"/>
  <c r="H300" i="7" s="1"/>
  <c r="E300" i="7"/>
  <c r="H299" i="7" a="1"/>
  <c r="H299" i="7" s="1"/>
  <c r="E299" i="7"/>
  <c r="H298" i="7" a="1"/>
  <c r="H298" i="7" s="1"/>
  <c r="E298" i="7"/>
  <c r="H297" i="7" a="1"/>
  <c r="H297" i="7" s="1"/>
  <c r="E297" i="7"/>
  <c r="H296" i="7" a="1"/>
  <c r="H296" i="7" s="1"/>
  <c r="E296" i="7"/>
  <c r="H295" i="7" a="1"/>
  <c r="H295" i="7" s="1"/>
  <c r="E295" i="7"/>
  <c r="H294" i="7" a="1"/>
  <c r="H294" i="7" s="1"/>
  <c r="E294" i="7"/>
  <c r="H293" i="7" a="1"/>
  <c r="H293" i="7" s="1"/>
  <c r="E293" i="7"/>
  <c r="H292" i="7" a="1"/>
  <c r="H292" i="7" s="1"/>
  <c r="E292" i="7"/>
  <c r="H291" i="7" a="1"/>
  <c r="H291" i="7" s="1"/>
  <c r="E291" i="7"/>
  <c r="H290" i="7" a="1"/>
  <c r="H290" i="7" s="1"/>
  <c r="E290" i="7"/>
  <c r="H289" i="7" a="1"/>
  <c r="H289" i="7" s="1"/>
  <c r="E289" i="7"/>
  <c r="H288" i="7" a="1"/>
  <c r="H288" i="7" s="1"/>
  <c r="E288" i="7"/>
  <c r="H287" i="7" a="1"/>
  <c r="H287" i="7" s="1"/>
  <c r="E287" i="7"/>
  <c r="H286" i="7" a="1"/>
  <c r="H286" i="7" s="1"/>
  <c r="E286" i="7"/>
  <c r="H285" i="7" a="1"/>
  <c r="H285" i="7" s="1"/>
  <c r="E285" i="7"/>
  <c r="H284" i="7" a="1"/>
  <c r="H284" i="7" s="1"/>
  <c r="E284" i="7"/>
  <c r="H283" i="7" a="1"/>
  <c r="H283" i="7" s="1"/>
  <c r="E283" i="7"/>
  <c r="H282" i="7" a="1"/>
  <c r="H282" i="7" s="1"/>
  <c r="E282" i="7"/>
  <c r="H281" i="7" a="1"/>
  <c r="H281" i="7" s="1"/>
  <c r="E281" i="7"/>
  <c r="H280" i="7" a="1"/>
  <c r="H280" i="7" s="1"/>
  <c r="E280" i="7"/>
  <c r="H279" i="7" a="1"/>
  <c r="H279" i="7" s="1"/>
  <c r="E279" i="7"/>
  <c r="H278" i="7" a="1"/>
  <c r="H278" i="7" s="1"/>
  <c r="E278" i="7"/>
  <c r="H277" i="7" a="1"/>
  <c r="H277" i="7" s="1"/>
  <c r="E277" i="7"/>
  <c r="H276" i="7" a="1"/>
  <c r="H276" i="7" s="1"/>
  <c r="E276" i="7"/>
  <c r="H275" i="7" a="1"/>
  <c r="H275" i="7" s="1"/>
  <c r="E275" i="7"/>
  <c r="H274" i="7" a="1"/>
  <c r="H274" i="7" s="1"/>
  <c r="E274" i="7"/>
  <c r="H273" i="7" a="1"/>
  <c r="H273" i="7" s="1"/>
  <c r="E273" i="7"/>
  <c r="H272" i="7" a="1"/>
  <c r="H272" i="7" s="1"/>
  <c r="E272" i="7"/>
  <c r="H271" i="7" a="1"/>
  <c r="H271" i="7" s="1"/>
  <c r="E271" i="7"/>
  <c r="H270" i="7" a="1"/>
  <c r="H270" i="7" s="1"/>
  <c r="E270" i="7"/>
  <c r="H269" i="7" a="1"/>
  <c r="H269" i="7" s="1"/>
  <c r="E269" i="7"/>
  <c r="H268" i="7" a="1"/>
  <c r="H268" i="7" s="1"/>
  <c r="E268" i="7"/>
  <c r="H267" i="7" a="1"/>
  <c r="H267" i="7" s="1"/>
  <c r="E267" i="7"/>
  <c r="H266" i="7" a="1"/>
  <c r="H266" i="7" s="1"/>
  <c r="E266" i="7"/>
  <c r="H265" i="7" a="1"/>
  <c r="H265" i="7" s="1"/>
  <c r="E265" i="7"/>
  <c r="H264" i="7" a="1"/>
  <c r="H264" i="7" s="1"/>
  <c r="E264" i="7"/>
  <c r="H263" i="7" a="1"/>
  <c r="H263" i="7" s="1"/>
  <c r="E263" i="7"/>
  <c r="H262" i="7" a="1"/>
  <c r="H262" i="7" s="1"/>
  <c r="E262" i="7"/>
  <c r="H261" i="7" a="1"/>
  <c r="H261" i="7" s="1"/>
  <c r="E261" i="7"/>
  <c r="H260" i="7" a="1"/>
  <c r="H260" i="7" s="1"/>
  <c r="E260" i="7"/>
  <c r="H259" i="7" a="1"/>
  <c r="H259" i="7" s="1"/>
  <c r="E259" i="7"/>
  <c r="H258" i="7" a="1"/>
  <c r="H258" i="7" s="1"/>
  <c r="E258" i="7"/>
  <c r="H257" i="7" a="1"/>
  <c r="H257" i="7" s="1"/>
  <c r="E257" i="7"/>
  <c r="H256" i="7" a="1"/>
  <c r="H256" i="7" s="1"/>
  <c r="E256" i="7"/>
  <c r="H255" i="7" a="1"/>
  <c r="H255" i="7" s="1"/>
  <c r="E255" i="7"/>
  <c r="H254" i="7" a="1"/>
  <c r="H254" i="7" s="1"/>
  <c r="E254" i="7"/>
  <c r="H253" i="7" a="1"/>
  <c r="H253" i="7" s="1"/>
  <c r="E253" i="7"/>
  <c r="H252" i="7" a="1"/>
  <c r="H252" i="7" s="1"/>
  <c r="E252" i="7"/>
  <c r="H251" i="7" a="1"/>
  <c r="H251" i="7" s="1"/>
  <c r="E251" i="7"/>
  <c r="H250" i="7" a="1"/>
  <c r="H250" i="7" s="1"/>
  <c r="E250" i="7"/>
  <c r="H249" i="7" a="1"/>
  <c r="H249" i="7" s="1"/>
  <c r="E249" i="7"/>
  <c r="H248" i="7" a="1"/>
  <c r="H248" i="7" s="1"/>
  <c r="E248" i="7"/>
  <c r="H247" i="7" a="1"/>
  <c r="H247" i="7" s="1"/>
  <c r="E247" i="7"/>
  <c r="H246" i="7" a="1"/>
  <c r="H246" i="7" s="1"/>
  <c r="E246" i="7"/>
  <c r="H245" i="7" a="1"/>
  <c r="H245" i="7" s="1"/>
  <c r="E245" i="7"/>
  <c r="H244" i="7" a="1"/>
  <c r="H244" i="7" s="1"/>
  <c r="E244" i="7"/>
  <c r="H243" i="7" a="1"/>
  <c r="H243" i="7" s="1"/>
  <c r="E243" i="7"/>
  <c r="H242" i="7" a="1"/>
  <c r="H242" i="7" s="1"/>
  <c r="E242" i="7"/>
  <c r="H241" i="7" a="1"/>
  <c r="H241" i="7" s="1"/>
  <c r="E241" i="7"/>
  <c r="H240" i="7" a="1"/>
  <c r="H240" i="7" s="1"/>
  <c r="E240" i="7"/>
  <c r="H239" i="7" a="1"/>
  <c r="H239" i="7" s="1"/>
  <c r="E239" i="7"/>
  <c r="H238" i="7" a="1"/>
  <c r="H238" i="7" s="1"/>
  <c r="E238" i="7"/>
  <c r="H237" i="7" a="1"/>
  <c r="H237" i="7" s="1"/>
  <c r="E237" i="7"/>
  <c r="H236" i="7" a="1"/>
  <c r="H236" i="7" s="1"/>
  <c r="E236" i="7"/>
  <c r="H235" i="7" a="1"/>
  <c r="H235" i="7" s="1"/>
  <c r="E235" i="7"/>
  <c r="H234" i="7" a="1"/>
  <c r="H234" i="7" s="1"/>
  <c r="E234" i="7"/>
  <c r="H233" i="7" a="1"/>
  <c r="H233" i="7" s="1"/>
  <c r="E233" i="7"/>
  <c r="H232" i="7" a="1"/>
  <c r="H232" i="7" s="1"/>
  <c r="E232" i="7"/>
  <c r="H231" i="7" a="1"/>
  <c r="H231" i="7" s="1"/>
  <c r="E231" i="7"/>
  <c r="H230" i="7" a="1"/>
  <c r="H230" i="7" s="1"/>
  <c r="E230" i="7"/>
  <c r="H229" i="7" a="1"/>
  <c r="H229" i="7" s="1"/>
  <c r="E229" i="7"/>
  <c r="H228" i="7" a="1"/>
  <c r="H228" i="7" s="1"/>
  <c r="E228" i="7"/>
  <c r="H227" i="7" a="1"/>
  <c r="H227" i="7" s="1"/>
  <c r="E227" i="7"/>
  <c r="H226" i="7" a="1"/>
  <c r="H226" i="7" s="1"/>
  <c r="E226" i="7"/>
  <c r="H225" i="7" a="1"/>
  <c r="H225" i="7" s="1"/>
  <c r="E225" i="7"/>
  <c r="H224" i="7" a="1"/>
  <c r="H224" i="7" s="1"/>
  <c r="E224" i="7"/>
  <c r="H223" i="7" a="1"/>
  <c r="H223" i="7" s="1"/>
  <c r="E223" i="7"/>
  <c r="H222" i="7" a="1"/>
  <c r="H222" i="7" s="1"/>
  <c r="E222" i="7"/>
  <c r="H221" i="7" a="1"/>
  <c r="H221" i="7" s="1"/>
  <c r="E221" i="7"/>
  <c r="H220" i="7" a="1"/>
  <c r="H220" i="7" s="1"/>
  <c r="E220" i="7"/>
  <c r="H219" i="7" a="1"/>
  <c r="H219" i="7" s="1"/>
  <c r="E219" i="7"/>
  <c r="H218" i="7" a="1"/>
  <c r="H218" i="7" s="1"/>
  <c r="E218" i="7"/>
  <c r="H217" i="7" a="1"/>
  <c r="H217" i="7" s="1"/>
  <c r="E217" i="7"/>
  <c r="H216" i="7" a="1"/>
  <c r="H216" i="7" s="1"/>
  <c r="E216" i="7"/>
  <c r="H215" i="7" a="1"/>
  <c r="H215" i="7" s="1"/>
  <c r="E215" i="7"/>
  <c r="H214" i="7" a="1"/>
  <c r="H214" i="7" s="1"/>
  <c r="E214" i="7"/>
  <c r="H213" i="7" a="1"/>
  <c r="H213" i="7" s="1"/>
  <c r="E213" i="7"/>
  <c r="H212" i="7" a="1"/>
  <c r="H212" i="7" s="1"/>
  <c r="E212" i="7"/>
  <c r="H211" i="7" a="1"/>
  <c r="H211" i="7" s="1"/>
  <c r="E211" i="7"/>
  <c r="H210" i="7" a="1"/>
  <c r="H210" i="7" s="1"/>
  <c r="E210" i="7"/>
  <c r="H209" i="7" a="1"/>
  <c r="H209" i="7" s="1"/>
  <c r="E209" i="7"/>
  <c r="H208" i="7" a="1"/>
  <c r="H208" i="7" s="1"/>
  <c r="E208" i="7"/>
  <c r="H207" i="7" a="1"/>
  <c r="H207" i="7" s="1"/>
  <c r="E207" i="7"/>
  <c r="H206" i="7" a="1"/>
  <c r="H206" i="7" s="1"/>
  <c r="E206" i="7"/>
  <c r="H205" i="7" a="1"/>
  <c r="H205" i="7" s="1"/>
  <c r="E205" i="7"/>
  <c r="H204" i="7" a="1"/>
  <c r="H204" i="7" s="1"/>
  <c r="E204" i="7"/>
  <c r="H203" i="7" a="1"/>
  <c r="H203" i="7" s="1"/>
  <c r="E203" i="7"/>
  <c r="H202" i="7" a="1"/>
  <c r="H202" i="7" s="1"/>
  <c r="E202" i="7"/>
  <c r="H201" i="7" a="1"/>
  <c r="H201" i="7" s="1"/>
  <c r="E201" i="7"/>
  <c r="H200" i="7" a="1"/>
  <c r="H200" i="7" s="1"/>
  <c r="E200" i="7"/>
  <c r="H199" i="7" a="1"/>
  <c r="H199" i="7" s="1"/>
  <c r="E199" i="7"/>
  <c r="H198" i="7" a="1"/>
  <c r="H198" i="7" s="1"/>
  <c r="E198" i="7"/>
  <c r="H197" i="7" a="1"/>
  <c r="H197" i="7" s="1"/>
  <c r="E197" i="7"/>
  <c r="H196" i="7" a="1"/>
  <c r="H196" i="7" s="1"/>
  <c r="E196" i="7"/>
  <c r="H195" i="7" a="1"/>
  <c r="H195" i="7" s="1"/>
  <c r="E195" i="7"/>
  <c r="H194" i="7" a="1"/>
  <c r="H194" i="7" s="1"/>
  <c r="E194" i="7"/>
  <c r="H193" i="7" a="1"/>
  <c r="H193" i="7" s="1"/>
  <c r="E193" i="7"/>
  <c r="H192" i="7" a="1"/>
  <c r="H192" i="7" s="1"/>
  <c r="E192" i="7"/>
  <c r="H191" i="7" a="1"/>
  <c r="H191" i="7" s="1"/>
  <c r="E191" i="7"/>
  <c r="H190" i="7" a="1"/>
  <c r="H190" i="7" s="1"/>
  <c r="E190" i="7"/>
  <c r="H189" i="7" a="1"/>
  <c r="H189" i="7" s="1"/>
  <c r="E189" i="7"/>
  <c r="H188" i="7" a="1"/>
  <c r="H188" i="7" s="1"/>
  <c r="E188" i="7"/>
  <c r="H187" i="7" a="1"/>
  <c r="H187" i="7" s="1"/>
  <c r="E187" i="7"/>
  <c r="H186" i="7" a="1"/>
  <c r="H186" i="7" s="1"/>
  <c r="E186" i="7"/>
  <c r="H185" i="7" a="1"/>
  <c r="H185" i="7" s="1"/>
  <c r="E185" i="7"/>
  <c r="H184" i="7" a="1"/>
  <c r="H184" i="7" s="1"/>
  <c r="E184" i="7"/>
  <c r="H183" i="7" a="1"/>
  <c r="H183" i="7" s="1"/>
  <c r="E183" i="7"/>
  <c r="H182" i="7" a="1"/>
  <c r="H182" i="7" s="1"/>
  <c r="E182" i="7"/>
  <c r="H181" i="7" a="1"/>
  <c r="H181" i="7" s="1"/>
  <c r="E181" i="7"/>
  <c r="H180" i="7" a="1"/>
  <c r="H180" i="7" s="1"/>
  <c r="E180" i="7"/>
  <c r="H179" i="7" a="1"/>
  <c r="H179" i="7" s="1"/>
  <c r="E179" i="7"/>
  <c r="H178" i="7" a="1"/>
  <c r="H178" i="7" s="1"/>
  <c r="E178" i="7"/>
  <c r="H177" i="7" a="1"/>
  <c r="H177" i="7" s="1"/>
  <c r="E177" i="7"/>
  <c r="H176" i="7" a="1"/>
  <c r="H176" i="7" s="1"/>
  <c r="E176" i="7"/>
  <c r="H175" i="7" a="1"/>
  <c r="H175" i="7" s="1"/>
  <c r="E175" i="7"/>
  <c r="H174" i="7" a="1"/>
  <c r="H174" i="7" s="1"/>
  <c r="E174" i="7"/>
  <c r="H173" i="7" a="1"/>
  <c r="H173" i="7" s="1"/>
  <c r="E173" i="7"/>
  <c r="H172" i="7" a="1"/>
  <c r="H172" i="7" s="1"/>
  <c r="E172" i="7"/>
  <c r="H171" i="7" a="1"/>
  <c r="H171" i="7" s="1"/>
  <c r="E171" i="7"/>
  <c r="H170" i="7" a="1"/>
  <c r="H170" i="7" s="1"/>
  <c r="E170" i="7"/>
  <c r="H169" i="7" a="1"/>
  <c r="H169" i="7" s="1"/>
  <c r="E169" i="7"/>
  <c r="H168" i="7" a="1"/>
  <c r="H168" i="7" s="1"/>
  <c r="E168" i="7"/>
  <c r="H167" i="7" a="1"/>
  <c r="H167" i="7" s="1"/>
  <c r="E167" i="7"/>
  <c r="H166" i="7" a="1"/>
  <c r="H166" i="7" s="1"/>
  <c r="E166" i="7"/>
  <c r="H165" i="7" a="1"/>
  <c r="H165" i="7" s="1"/>
  <c r="E165" i="7"/>
  <c r="H164" i="7" a="1"/>
  <c r="H164" i="7" s="1"/>
  <c r="E164" i="7"/>
  <c r="H163" i="7" a="1"/>
  <c r="H163" i="7" s="1"/>
  <c r="E163" i="7"/>
  <c r="H162" i="7" a="1"/>
  <c r="H162" i="7" s="1"/>
  <c r="E162" i="7"/>
  <c r="H161" i="7" a="1"/>
  <c r="H161" i="7" s="1"/>
  <c r="E161" i="7"/>
  <c r="H160" i="7" a="1"/>
  <c r="H160" i="7" s="1"/>
  <c r="E160" i="7"/>
  <c r="H159" i="7" a="1"/>
  <c r="H159" i="7" s="1"/>
  <c r="E159" i="7"/>
  <c r="H158" i="7" a="1"/>
  <c r="H158" i="7" s="1"/>
  <c r="E158" i="7"/>
  <c r="H157" i="7" a="1"/>
  <c r="H157" i="7" s="1"/>
  <c r="E157" i="7"/>
  <c r="H156" i="7" a="1"/>
  <c r="H156" i="7" s="1"/>
  <c r="E156" i="7"/>
  <c r="H155" i="7" a="1"/>
  <c r="H155" i="7" s="1"/>
  <c r="E155" i="7"/>
  <c r="H154" i="7" a="1"/>
  <c r="H154" i="7" s="1"/>
  <c r="E154" i="7"/>
  <c r="H153" i="7" a="1"/>
  <c r="H153" i="7" s="1"/>
  <c r="E153" i="7"/>
  <c r="H152" i="7" a="1"/>
  <c r="H152" i="7" s="1"/>
  <c r="E152" i="7"/>
  <c r="H151" i="7" a="1"/>
  <c r="H151" i="7" s="1"/>
  <c r="E151" i="7"/>
  <c r="H150" i="7" a="1"/>
  <c r="H150" i="7" s="1"/>
  <c r="E150" i="7"/>
  <c r="H149" i="7" a="1"/>
  <c r="H149" i="7" s="1"/>
  <c r="E149" i="7"/>
  <c r="H148" i="7" a="1"/>
  <c r="H148" i="7" s="1"/>
  <c r="E148" i="7"/>
  <c r="H147" i="7" a="1"/>
  <c r="H147" i="7" s="1"/>
  <c r="E147" i="7"/>
  <c r="H146" i="7" a="1"/>
  <c r="H146" i="7" s="1"/>
  <c r="E146" i="7"/>
  <c r="H145" i="7" a="1"/>
  <c r="H145" i="7" s="1"/>
  <c r="E145" i="7"/>
  <c r="H144" i="7" a="1"/>
  <c r="H144" i="7" s="1"/>
  <c r="E144" i="7"/>
  <c r="H143" i="7" a="1"/>
  <c r="H143" i="7" s="1"/>
  <c r="E143" i="7"/>
  <c r="H142" i="7" a="1"/>
  <c r="H142" i="7" s="1"/>
  <c r="E142" i="7"/>
  <c r="H141" i="7" a="1"/>
  <c r="H141" i="7" s="1"/>
  <c r="E141" i="7"/>
  <c r="H140" i="7" a="1"/>
  <c r="H140" i="7" s="1"/>
  <c r="E140" i="7"/>
  <c r="H139" i="7" a="1"/>
  <c r="H139" i="7" s="1"/>
  <c r="E139" i="7"/>
  <c r="H138" i="7" a="1"/>
  <c r="H138" i="7" s="1"/>
  <c r="E138" i="7"/>
  <c r="H137" i="7" a="1"/>
  <c r="H137" i="7" s="1"/>
  <c r="E137" i="7"/>
  <c r="H136" i="7" a="1"/>
  <c r="H136" i="7" s="1"/>
  <c r="E136" i="7"/>
  <c r="H135" i="7" a="1"/>
  <c r="H135" i="7" s="1"/>
  <c r="E135" i="7"/>
  <c r="H134" i="7" a="1"/>
  <c r="H134" i="7" s="1"/>
  <c r="E134" i="7"/>
  <c r="H133" i="7" a="1"/>
  <c r="H133" i="7" s="1"/>
  <c r="E133" i="7"/>
  <c r="H132" i="7" a="1"/>
  <c r="H132" i="7" s="1"/>
  <c r="E132" i="7"/>
  <c r="H131" i="7" a="1"/>
  <c r="H131" i="7" s="1"/>
  <c r="E131" i="7"/>
  <c r="H130" i="7" a="1"/>
  <c r="H130" i="7" s="1"/>
  <c r="E130" i="7"/>
  <c r="H129" i="7" a="1"/>
  <c r="H129" i="7" s="1"/>
  <c r="E129" i="7"/>
  <c r="H128" i="7" a="1"/>
  <c r="H128" i="7" s="1"/>
  <c r="E128" i="7"/>
  <c r="H127" i="7" a="1"/>
  <c r="H127" i="7" s="1"/>
  <c r="E127" i="7"/>
  <c r="H126" i="7" a="1"/>
  <c r="H126" i="7" s="1"/>
  <c r="E126" i="7"/>
  <c r="H125" i="7" a="1"/>
  <c r="H125" i="7" s="1"/>
  <c r="E125" i="7"/>
  <c r="H124" i="7" a="1"/>
  <c r="H124" i="7" s="1"/>
  <c r="E124" i="7"/>
  <c r="H123" i="7" a="1"/>
  <c r="H123" i="7" s="1"/>
  <c r="E123" i="7"/>
  <c r="H122" i="7" a="1"/>
  <c r="H122" i="7" s="1"/>
  <c r="E122" i="7"/>
  <c r="H121" i="7" a="1"/>
  <c r="H121" i="7" s="1"/>
  <c r="E121" i="7"/>
  <c r="H120" i="7" a="1"/>
  <c r="H120" i="7" s="1"/>
  <c r="E120" i="7"/>
  <c r="H119" i="7" a="1"/>
  <c r="H119" i="7" s="1"/>
  <c r="E119" i="7"/>
  <c r="H118" i="7" a="1"/>
  <c r="H118" i="7" s="1"/>
  <c r="E118" i="7"/>
  <c r="H117" i="7" a="1"/>
  <c r="H117" i="7" s="1"/>
  <c r="E117" i="7"/>
  <c r="H116" i="7" a="1"/>
  <c r="H116" i="7" s="1"/>
  <c r="E116" i="7"/>
  <c r="H115" i="7" a="1"/>
  <c r="H115" i="7" s="1"/>
  <c r="E115" i="7"/>
  <c r="H114" i="7" a="1"/>
  <c r="H114" i="7" s="1"/>
  <c r="E114" i="7"/>
  <c r="H113" i="7" a="1"/>
  <c r="H113" i="7" s="1"/>
  <c r="E113" i="7"/>
  <c r="H112" i="7" a="1"/>
  <c r="H112" i="7" s="1"/>
  <c r="E112" i="7"/>
  <c r="H111" i="7" a="1"/>
  <c r="H111" i="7" s="1"/>
  <c r="E111" i="7"/>
  <c r="H110" i="7" a="1"/>
  <c r="H110" i="7" s="1"/>
  <c r="E110" i="7"/>
  <c r="H109" i="7" a="1"/>
  <c r="H109" i="7" s="1"/>
  <c r="E109" i="7"/>
  <c r="H108" i="7" a="1"/>
  <c r="H108" i="7" s="1"/>
  <c r="E108" i="7"/>
  <c r="H107" i="7" a="1"/>
  <c r="H107" i="7" s="1"/>
  <c r="E107" i="7"/>
  <c r="H106" i="7" a="1"/>
  <c r="H106" i="7" s="1"/>
  <c r="E106" i="7"/>
  <c r="H105" i="7" a="1"/>
  <c r="H105" i="7" s="1"/>
  <c r="E105" i="7"/>
  <c r="H104" i="7" a="1"/>
  <c r="H104" i="7" s="1"/>
  <c r="E104" i="7"/>
  <c r="H103" i="7" a="1"/>
  <c r="H103" i="7" s="1"/>
  <c r="E103" i="7"/>
  <c r="H102" i="7" a="1"/>
  <c r="H102" i="7" s="1"/>
  <c r="E102" i="7"/>
  <c r="H101" i="7" a="1"/>
  <c r="H101" i="7" s="1"/>
  <c r="E101" i="7"/>
  <c r="H100" i="7" a="1"/>
  <c r="H100" i="7" s="1"/>
  <c r="E100" i="7"/>
  <c r="H99" i="7" a="1"/>
  <c r="H99" i="7" s="1"/>
  <c r="E99" i="7"/>
  <c r="H98" i="7" a="1"/>
  <c r="H98" i="7" s="1"/>
  <c r="E98" i="7"/>
  <c r="H97" i="7" a="1"/>
  <c r="H97" i="7" s="1"/>
  <c r="E97" i="7"/>
  <c r="H96" i="7" a="1"/>
  <c r="H96" i="7" s="1"/>
  <c r="E96" i="7"/>
  <c r="H95" i="7" a="1"/>
  <c r="H95" i="7" s="1"/>
  <c r="E95" i="7"/>
  <c r="H94" i="7" a="1"/>
  <c r="H94" i="7" s="1"/>
  <c r="E94" i="7"/>
  <c r="H93" i="7" a="1"/>
  <c r="H93" i="7" s="1"/>
  <c r="E93" i="7"/>
  <c r="H92" i="7" a="1"/>
  <c r="H92" i="7" s="1"/>
  <c r="E92" i="7"/>
  <c r="H91" i="7" a="1"/>
  <c r="H91" i="7" s="1"/>
  <c r="E91" i="7"/>
  <c r="H90" i="7" a="1"/>
  <c r="H90" i="7" s="1"/>
  <c r="E90" i="7"/>
  <c r="H89" i="7" a="1"/>
  <c r="H89" i="7" s="1"/>
  <c r="E89" i="7"/>
  <c r="H88" i="7" a="1"/>
  <c r="H88" i="7" s="1"/>
  <c r="E88" i="7"/>
  <c r="H87" i="7" a="1"/>
  <c r="H87" i="7" s="1"/>
  <c r="E87" i="7"/>
  <c r="H86" i="7" a="1"/>
  <c r="H86" i="7" s="1"/>
  <c r="E86" i="7"/>
  <c r="H85" i="7" a="1"/>
  <c r="H85" i="7" s="1"/>
  <c r="E85" i="7"/>
  <c r="H84" i="7" a="1"/>
  <c r="H84" i="7" s="1"/>
  <c r="E84" i="7"/>
  <c r="H83" i="7" a="1"/>
  <c r="H83" i="7" s="1"/>
  <c r="E83" i="7"/>
  <c r="H82" i="7" a="1"/>
  <c r="H82" i="7" s="1"/>
  <c r="E82" i="7"/>
  <c r="H81" i="7" a="1"/>
  <c r="H81" i="7" s="1"/>
  <c r="E81" i="7"/>
  <c r="H80" i="7" a="1"/>
  <c r="H80" i="7" s="1"/>
  <c r="E80" i="7"/>
  <c r="H79" i="7" a="1"/>
  <c r="H79" i="7" s="1"/>
  <c r="E79" i="7"/>
  <c r="H78" i="7" a="1"/>
  <c r="H78" i="7" s="1"/>
  <c r="E78" i="7"/>
  <c r="H77" i="7" a="1"/>
  <c r="H77" i="7" s="1"/>
  <c r="E77" i="7"/>
  <c r="H76" i="7" a="1"/>
  <c r="H76" i="7" s="1"/>
  <c r="E76" i="7"/>
  <c r="H75" i="7" a="1"/>
  <c r="H75" i="7" s="1"/>
  <c r="E75" i="7"/>
  <c r="H74" i="7" a="1"/>
  <c r="H74" i="7" s="1"/>
  <c r="E74" i="7"/>
  <c r="H73" i="7" a="1"/>
  <c r="H73" i="7" s="1"/>
  <c r="E73" i="7"/>
  <c r="H72" i="7" a="1"/>
  <c r="H72" i="7" s="1"/>
  <c r="E72" i="7"/>
  <c r="H71" i="7" a="1"/>
  <c r="H71" i="7" s="1"/>
  <c r="E71" i="7"/>
  <c r="H70" i="7" a="1"/>
  <c r="H70" i="7" s="1"/>
  <c r="E70" i="7"/>
  <c r="H69" i="7" a="1"/>
  <c r="H69" i="7" s="1"/>
  <c r="E69" i="7"/>
  <c r="H68" i="7" a="1"/>
  <c r="H68" i="7" s="1"/>
  <c r="E68" i="7"/>
  <c r="H67" i="7" a="1"/>
  <c r="H67" i="7" s="1"/>
  <c r="E67" i="7"/>
  <c r="H66" i="7" a="1"/>
  <c r="H66" i="7" s="1"/>
  <c r="E66" i="7"/>
  <c r="H65" i="7" a="1"/>
  <c r="H65" i="7" s="1"/>
  <c r="E65" i="7"/>
  <c r="H64" i="7" a="1"/>
  <c r="H64" i="7" s="1"/>
  <c r="E64" i="7"/>
  <c r="H63" i="7" a="1"/>
  <c r="H63" i="7" s="1"/>
  <c r="E63" i="7"/>
  <c r="H62" i="7" a="1"/>
  <c r="H62" i="7" s="1"/>
  <c r="E62" i="7"/>
  <c r="H61" i="7" a="1"/>
  <c r="H61" i="7" s="1"/>
  <c r="E61" i="7"/>
  <c r="H60" i="7" a="1"/>
  <c r="H60" i="7" s="1"/>
  <c r="E60" i="7"/>
  <c r="H59" i="7" a="1"/>
  <c r="H59" i="7" s="1"/>
  <c r="E59" i="7"/>
  <c r="H58" i="7" a="1"/>
  <c r="H58" i="7" s="1"/>
  <c r="E58" i="7"/>
  <c r="H57" i="7" a="1"/>
  <c r="H57" i="7" s="1"/>
  <c r="E57" i="7"/>
  <c r="H56" i="7" a="1"/>
  <c r="H56" i="7" s="1"/>
  <c r="E56" i="7"/>
  <c r="H55" i="7" a="1"/>
  <c r="H55" i="7" s="1"/>
  <c r="E55" i="7"/>
  <c r="H54" i="7" a="1"/>
  <c r="H54" i="7" s="1"/>
  <c r="E54" i="7"/>
  <c r="H53" i="7" a="1"/>
  <c r="H53" i="7" s="1"/>
  <c r="E53" i="7"/>
  <c r="H52" i="7" a="1"/>
  <c r="H52" i="7" s="1"/>
  <c r="E52" i="7"/>
  <c r="H51" i="7" a="1"/>
  <c r="H51" i="7" s="1"/>
  <c r="E51" i="7"/>
  <c r="H50" i="7" a="1"/>
  <c r="H50" i="7" s="1"/>
  <c r="E50" i="7"/>
  <c r="H49" i="7" a="1"/>
  <c r="H49" i="7" s="1"/>
  <c r="E49" i="7"/>
  <c r="H48" i="7" a="1"/>
  <c r="H48" i="7" s="1"/>
  <c r="E48" i="7"/>
  <c r="H47" i="7" a="1"/>
  <c r="H47" i="7" s="1"/>
  <c r="E47" i="7"/>
  <c r="H46" i="7" a="1"/>
  <c r="H46" i="7" s="1"/>
  <c r="E46" i="7"/>
  <c r="H45" i="7" a="1"/>
  <c r="H45" i="7" s="1"/>
  <c r="E45" i="7"/>
  <c r="H44" i="7" a="1"/>
  <c r="H44" i="7" s="1"/>
  <c r="E44" i="7"/>
  <c r="H43" i="7" a="1"/>
  <c r="H43" i="7" s="1"/>
  <c r="E43" i="7"/>
  <c r="H42" i="7" a="1"/>
  <c r="H42" i="7" s="1"/>
  <c r="E42" i="7"/>
  <c r="H41" i="7" a="1"/>
  <c r="H41" i="7" s="1"/>
  <c r="E41" i="7"/>
  <c r="H40" i="7" a="1"/>
  <c r="H40" i="7" s="1"/>
  <c r="E40" i="7"/>
  <c r="H39" i="7" a="1"/>
  <c r="H39" i="7" s="1"/>
  <c r="E39" i="7"/>
  <c r="H38" i="7" a="1"/>
  <c r="H38" i="7" s="1"/>
  <c r="E38" i="7"/>
  <c r="H37" i="7" a="1"/>
  <c r="H37" i="7" s="1"/>
  <c r="E37" i="7"/>
  <c r="H36" i="7" a="1"/>
  <c r="H36" i="7" s="1"/>
  <c r="E36" i="7"/>
  <c r="H35" i="7" a="1"/>
  <c r="H35" i="7" s="1"/>
  <c r="E35" i="7"/>
  <c r="H34" i="7" a="1"/>
  <c r="H34" i="7" s="1"/>
  <c r="E34" i="7"/>
  <c r="H33" i="7" a="1"/>
  <c r="H33" i="7" s="1"/>
  <c r="E33" i="7"/>
  <c r="H32" i="7" a="1"/>
  <c r="H32" i="7" s="1"/>
  <c r="E32" i="7"/>
  <c r="H31" i="7" a="1"/>
  <c r="H31" i="7" s="1"/>
  <c r="E31" i="7"/>
  <c r="H30" i="7" a="1"/>
  <c r="H30" i="7" s="1"/>
  <c r="E30" i="7"/>
  <c r="H29" i="7" a="1"/>
  <c r="H29" i="7" s="1"/>
  <c r="E29" i="7"/>
  <c r="H28" i="7" a="1"/>
  <c r="H28" i="7" s="1"/>
  <c r="E28" i="7"/>
  <c r="H27" i="7" a="1"/>
  <c r="H27" i="7" s="1"/>
  <c r="E27" i="7"/>
  <c r="H26" i="7" a="1"/>
  <c r="H26" i="7" s="1"/>
  <c r="E26" i="7"/>
  <c r="H25" i="7" a="1"/>
  <c r="H25" i="7" s="1"/>
  <c r="E25" i="7"/>
  <c r="H24" i="7" a="1"/>
  <c r="H24" i="7" s="1"/>
  <c r="E24" i="7"/>
  <c r="H23" i="7" a="1"/>
  <c r="H23" i="7" s="1"/>
  <c r="E23" i="7"/>
  <c r="H22" i="7" a="1"/>
  <c r="H22" i="7" s="1"/>
  <c r="E22" i="7"/>
  <c r="H21" i="7" a="1"/>
  <c r="H21" i="7" s="1"/>
  <c r="E21" i="7"/>
  <c r="H20" i="7" a="1"/>
  <c r="H20" i="7" s="1"/>
  <c r="E20" i="7"/>
  <c r="H19" i="7" a="1"/>
  <c r="H19" i="7" s="1"/>
  <c r="E19" i="7"/>
  <c r="H18" i="7" a="1"/>
  <c r="H18" i="7" s="1"/>
  <c r="E18" i="7"/>
  <c r="H17" i="7" a="1"/>
  <c r="H17" i="7" s="1"/>
  <c r="E17" i="7"/>
  <c r="H16" i="7" a="1"/>
  <c r="H16" i="7" s="1"/>
  <c r="E16" i="7"/>
  <c r="H15" i="7" a="1"/>
  <c r="H15" i="7" s="1"/>
  <c r="E15" i="7"/>
  <c r="H14" i="7" a="1"/>
  <c r="H14" i="7" s="1"/>
  <c r="E14" i="7"/>
  <c r="H13" i="7" a="1"/>
  <c r="H13" i="7" s="1"/>
  <c r="E13" i="7"/>
  <c r="H12" i="7" a="1"/>
  <c r="H12" i="7" s="1"/>
  <c r="E12" i="7"/>
  <c r="H11" i="7" a="1"/>
  <c r="H11" i="7" s="1"/>
  <c r="E11" i="7"/>
  <c r="H10" i="7" a="1"/>
  <c r="H10" i="7" s="1"/>
  <c r="E10" i="7"/>
  <c r="H9" i="7" a="1"/>
  <c r="H9" i="7" s="1"/>
  <c r="E9" i="7"/>
  <c r="D9" i="7"/>
  <c r="H417" i="7" l="1" a="1"/>
  <c r="H417" i="7" s="1"/>
  <c r="E417" i="7"/>
  <c r="H416" i="7" a="1"/>
  <c r="H416" i="7" s="1"/>
  <c r="E416" i="7"/>
  <c r="H415" i="7" a="1"/>
  <c r="H415" i="7" s="1"/>
  <c r="E415" i="7"/>
  <c r="H2256" i="7" l="1" a="1"/>
  <c r="H2256" i="7" s="1"/>
  <c r="E2256" i="7"/>
  <c r="H2255" i="7" a="1"/>
  <c r="H2255" i="7" s="1"/>
  <c r="E2255" i="7"/>
  <c r="H2254" i="7" a="1"/>
  <c r="H2254" i="7" s="1"/>
  <c r="E2254" i="7"/>
  <c r="H2253" i="7" a="1"/>
  <c r="H2253" i="7" s="1"/>
  <c r="E2253" i="7"/>
  <c r="H2252" i="7" l="1" a="1"/>
  <c r="H2252" i="7" s="1"/>
  <c r="E2252" i="7"/>
  <c r="H2251" i="7" a="1"/>
  <c r="H2251" i="7" s="1"/>
  <c r="E2251" i="7"/>
  <c r="H2250" i="7" a="1"/>
  <c r="H2250" i="7" s="1"/>
  <c r="E2250" i="7"/>
  <c r="H2249" i="7" a="1"/>
  <c r="H2249" i="7" s="1"/>
  <c r="E2249" i="7"/>
  <c r="H2248" i="7" a="1"/>
  <c r="H2248" i="7" s="1"/>
  <c r="E2248" i="7"/>
  <c r="H2247" i="7" a="1"/>
  <c r="H2247" i="7" s="1"/>
  <c r="E2247" i="7"/>
  <c r="H2246" i="7" a="1"/>
  <c r="H2246" i="7" s="1"/>
  <c r="E2246" i="7"/>
  <c r="H2245" i="7" a="1"/>
  <c r="H2245" i="7" s="1"/>
  <c r="E2245" i="7"/>
  <c r="H2244" i="7" a="1"/>
  <c r="H2244" i="7" s="1"/>
  <c r="E2244" i="7"/>
  <c r="H2243" i="7" a="1"/>
  <c r="H2243" i="7" s="1"/>
  <c r="E2243" i="7"/>
  <c r="H2242" i="7" a="1"/>
  <c r="H2242" i="7" s="1"/>
  <c r="E2242" i="7"/>
  <c r="H2241" i="7" a="1"/>
  <c r="H2241" i="7" s="1"/>
  <c r="E2241" i="7"/>
  <c r="H2268" i="7" a="1"/>
  <c r="H2268" i="7" s="1"/>
  <c r="E2268" i="7"/>
  <c r="H2267" i="7" a="1"/>
  <c r="H2267" i="7" s="1"/>
  <c r="E2267" i="7"/>
  <c r="H2276" i="7" a="1"/>
  <c r="H2276" i="7" s="1"/>
  <c r="E2276" i="7"/>
  <c r="H2275" i="7" a="1"/>
  <c r="H2275" i="7" s="1"/>
  <c r="E2275" i="7"/>
  <c r="H2274" i="7" a="1"/>
  <c r="H2274" i="7" s="1"/>
  <c r="E2274" i="7"/>
  <c r="H2273" i="7" a="1"/>
  <c r="H2273" i="7" s="1"/>
  <c r="E2273" i="7"/>
  <c r="H2272" i="7" a="1"/>
  <c r="H2272" i="7" s="1"/>
  <c r="E2272" i="7"/>
  <c r="H2271" i="7" a="1"/>
  <c r="H2271" i="7" s="1"/>
  <c r="E2271" i="7"/>
  <c r="H2270" i="7" a="1"/>
  <c r="H2270" i="7" s="1"/>
  <c r="E2270" i="7"/>
  <c r="H2269" i="7" a="1"/>
  <c r="H2269" i="7" s="1"/>
  <c r="E2269" i="7"/>
  <c r="H2266" i="7" a="1"/>
  <c r="H2266" i="7" s="1"/>
  <c r="E2266" i="7"/>
  <c r="H2265" i="7" a="1"/>
  <c r="H2265" i="7" s="1"/>
  <c r="E2265" i="7"/>
  <c r="H2264" i="7" a="1"/>
  <c r="H2264" i="7" s="1"/>
  <c r="E2264" i="7"/>
  <c r="H2263" i="7" a="1"/>
  <c r="H2263" i="7" s="1"/>
  <c r="E2263" i="7"/>
  <c r="H2262" i="7" a="1"/>
  <c r="H2262" i="7" s="1"/>
  <c r="E2262" i="7"/>
  <c r="H2261" i="7" a="1"/>
  <c r="H2261" i="7" s="1"/>
  <c r="E2261" i="7"/>
  <c r="E2240" i="7"/>
  <c r="E2239" i="7"/>
  <c r="E2238" i="7"/>
  <c r="H2237" i="7" a="1"/>
  <c r="H2237" i="7" s="1"/>
  <c r="E2237" i="7"/>
  <c r="H2236" i="7" a="1"/>
  <c r="H2236" i="7" s="1"/>
  <c r="E2236" i="7"/>
  <c r="E2235" i="7" l="1"/>
  <c r="H2234" i="7" a="1"/>
  <c r="H2234" i="7" s="1"/>
  <c r="E2234" i="7"/>
  <c r="E2229" i="7" l="1"/>
  <c r="E2228" i="7"/>
  <c r="E2227" i="7"/>
  <c r="E2226" i="7" l="1"/>
  <c r="H2225" i="7" a="1"/>
  <c r="H2225" i="7" s="1"/>
  <c r="E2225" i="7"/>
  <c r="E2224" i="7"/>
  <c r="H2223" i="7" a="1"/>
  <c r="H2223" i="7" s="1"/>
  <c r="E2223" i="7"/>
  <c r="H2222" i="7" a="1"/>
  <c r="H2222" i="7" s="1"/>
  <c r="E2222" i="7"/>
  <c r="H2221" i="7" a="1"/>
  <c r="H2221" i="7" s="1"/>
  <c r="E2221" i="7"/>
  <c r="H2231" i="7" a="1"/>
  <c r="H2231" i="7" s="1"/>
  <c r="E2231" i="7"/>
  <c r="H2230" i="7" a="1"/>
  <c r="H2230" i="7" s="1"/>
  <c r="E2230" i="7"/>
  <c r="E2220" i="7"/>
  <c r="E2219" i="7"/>
  <c r="H2218" i="7" a="1"/>
  <c r="H2218" i="7" s="1"/>
  <c r="E2218" i="7"/>
  <c r="H2217" i="7" a="1"/>
  <c r="H2217" i="7" s="1"/>
  <c r="E2217" i="7"/>
  <c r="H2216" i="7" a="1"/>
  <c r="H2216" i="7" s="1"/>
  <c r="E2216" i="7"/>
  <c r="H2215" i="7" a="1"/>
  <c r="H2215" i="7" s="1"/>
  <c r="E2215" i="7"/>
  <c r="H2214" i="7" a="1"/>
  <c r="H2214" i="7" s="1"/>
  <c r="E2214" i="7"/>
  <c r="H2213" i="7" a="1"/>
  <c r="H2213" i="7" s="1"/>
  <c r="E2213" i="7"/>
  <c r="H2212" i="7" a="1"/>
  <c r="H2212" i="7" s="1"/>
  <c r="E2212" i="7"/>
  <c r="H2211" i="7" a="1"/>
  <c r="H2211" i="7" s="1"/>
  <c r="E2211" i="7"/>
  <c r="H2210" i="7" a="1"/>
  <c r="H2210" i="7" s="1"/>
  <c r="E2210" i="7"/>
  <c r="H2209" i="7" a="1"/>
  <c r="H2209" i="7" s="1"/>
  <c r="E2209" i="7"/>
  <c r="H2208" i="7" a="1"/>
  <c r="H2208" i="7" s="1"/>
  <c r="E2208" i="7"/>
  <c r="H2207" i="7" a="1"/>
  <c r="H2207" i="7" s="1"/>
  <c r="E2207" i="7"/>
  <c r="H2206" i="7" a="1"/>
  <c r="H2206" i="7" s="1"/>
  <c r="E2206" i="7"/>
  <c r="H2205" i="7" a="1"/>
  <c r="H2205" i="7" s="1"/>
  <c r="E2205" i="7"/>
  <c r="E2201" i="7"/>
  <c r="H2200" i="7" a="1"/>
  <c r="H2200" i="7" s="1"/>
  <c r="E2200" i="7"/>
  <c r="H2233" i="7" a="1"/>
  <c r="H2233" i="7" s="1"/>
  <c r="E2233" i="7"/>
  <c r="H2232" i="7" a="1"/>
  <c r="H2232" i="7" s="1"/>
  <c r="E2232" i="7"/>
  <c r="E2199" i="7"/>
  <c r="E2198" i="7"/>
  <c r="H2197" i="7" a="1"/>
  <c r="H2197" i="7" s="1"/>
  <c r="E2197" i="7"/>
  <c r="H2196" i="7" a="1"/>
  <c r="H2196" i="7" s="1"/>
  <c r="E2196" i="7"/>
  <c r="H2195" i="7" a="1"/>
  <c r="H2195" i="7" s="1"/>
  <c r="E2195" i="7"/>
  <c r="E2194" i="7"/>
  <c r="E2193" i="7"/>
  <c r="H2192" i="7" a="1"/>
  <c r="H2192" i="7" s="1"/>
  <c r="E2192" i="7"/>
  <c r="H2191" i="7" l="1" a="1"/>
  <c r="H2191" i="7" s="1"/>
  <c r="E2191" i="7"/>
  <c r="H2190" i="7" a="1"/>
  <c r="H2190" i="7" s="1"/>
  <c r="E2190" i="7"/>
  <c r="H2189" i="7" a="1"/>
  <c r="H2189" i="7" s="1"/>
  <c r="E2189" i="7"/>
  <c r="H2188" i="7" a="1"/>
  <c r="H2188" i="7" s="1"/>
  <c r="E2188" i="7"/>
  <c r="E2187" i="7"/>
  <c r="E2186" i="7"/>
  <c r="H2185" i="7" a="1"/>
  <c r="H2185" i="7" s="1"/>
  <c r="E2185" i="7"/>
  <c r="H2184" i="7" l="1" a="1"/>
  <c r="H2184" i="7" s="1"/>
  <c r="E2184" i="7"/>
  <c r="H2183" i="7" a="1"/>
  <c r="H2183" i="7" s="1"/>
  <c r="E2183" i="7"/>
  <c r="H2182" i="7" a="1"/>
  <c r="H2182" i="7" s="1"/>
  <c r="E2182" i="7"/>
  <c r="H2181" i="7" a="1"/>
  <c r="H2181" i="7" s="1"/>
  <c r="E2181" i="7"/>
  <c r="H2180" i="7" a="1"/>
  <c r="H2180" i="7" s="1"/>
  <c r="E2180" i="7"/>
  <c r="H2179" i="7" a="1"/>
  <c r="H2179" i="7" s="1"/>
  <c r="E2179" i="7"/>
  <c r="H2178" i="7" a="1"/>
  <c r="H2178" i="7" s="1"/>
  <c r="E2178" i="7"/>
  <c r="H2165" i="7" l="1" a="1"/>
  <c r="H2165" i="7" s="1"/>
  <c r="E2165" i="7"/>
  <c r="H2164" i="7" a="1"/>
  <c r="H2164" i="7" s="1"/>
  <c r="E2164" i="7"/>
  <c r="H2167" i="7" a="1"/>
  <c r="H2167" i="7" s="1"/>
  <c r="E2167" i="7"/>
  <c r="H2166" i="7" a="1"/>
  <c r="H2166" i="7" s="1"/>
  <c r="E2166" i="7"/>
  <c r="H2169" i="7" l="1" a="1"/>
  <c r="H2169" i="7" s="1"/>
  <c r="E2169" i="7"/>
  <c r="H2168" i="7" a="1"/>
  <c r="H2168" i="7" s="1"/>
  <c r="E2168" i="7"/>
  <c r="H2177" i="7" a="1"/>
  <c r="H2177" i="7" s="1"/>
  <c r="E2177" i="7"/>
  <c r="H2176" i="7" a="1"/>
  <c r="H2176" i="7" s="1"/>
  <c r="E2176" i="7"/>
  <c r="H2175" i="7" a="1"/>
  <c r="H2175" i="7" s="1"/>
  <c r="E2175" i="7"/>
  <c r="H2174" i="7" a="1"/>
  <c r="H2174" i="7" s="1"/>
  <c r="E2174" i="7"/>
  <c r="H2173" i="7" a="1"/>
  <c r="H2173" i="7" s="1"/>
  <c r="E2173" i="7"/>
  <c r="H2172" i="7" a="1"/>
  <c r="H2172" i="7" s="1"/>
  <c r="E2172" i="7"/>
  <c r="H2171" i="7" a="1"/>
  <c r="H2171" i="7" s="1"/>
  <c r="E2171" i="7"/>
  <c r="H2170" i="7" a="1"/>
  <c r="H2170" i="7" s="1"/>
  <c r="E2170" i="7"/>
  <c r="H2163" i="7" a="1"/>
  <c r="H2163" i="7" s="1"/>
  <c r="E2163" i="7"/>
  <c r="H2162" i="7" a="1"/>
  <c r="H2162" i="7" s="1"/>
  <c r="E2162" i="7"/>
  <c r="H2156" i="7" a="1"/>
  <c r="H2156" i="7" s="1"/>
  <c r="E2156" i="7"/>
  <c r="H2155" i="7" a="1"/>
  <c r="H2155" i="7" s="1"/>
  <c r="E2155" i="7"/>
  <c r="H2148" i="7" a="1"/>
  <c r="H2148" i="7" s="1"/>
  <c r="E2148" i="7"/>
  <c r="H2147" i="7" a="1"/>
  <c r="H2147" i="7" s="1"/>
  <c r="E2147" i="7"/>
  <c r="H2161" i="7" a="1"/>
  <c r="H2161" i="7" s="1"/>
  <c r="E2161" i="7"/>
  <c r="H2160" i="7" a="1"/>
  <c r="H2160" i="7" s="1"/>
  <c r="E2160" i="7"/>
  <c r="H2159" i="7" a="1"/>
  <c r="H2159" i="7" s="1"/>
  <c r="E2159" i="7"/>
  <c r="H2158" i="7" a="1"/>
  <c r="H2158" i="7" s="1"/>
  <c r="E2158" i="7"/>
  <c r="H2157" i="7" a="1"/>
  <c r="H2157" i="7" s="1"/>
  <c r="E2157" i="7"/>
  <c r="H2154" i="7" a="1"/>
  <c r="H2154" i="7" s="1"/>
  <c r="E2154" i="7"/>
  <c r="H2153" i="7" a="1"/>
  <c r="H2153" i="7" s="1"/>
  <c r="E2153" i="7"/>
  <c r="H2152" i="7" a="1"/>
  <c r="H2152" i="7" s="1"/>
  <c r="E2152" i="7"/>
  <c r="H2151" i="7" a="1"/>
  <c r="H2151" i="7" s="1"/>
  <c r="E2151" i="7"/>
  <c r="H2150" i="7" a="1"/>
  <c r="H2150" i="7" s="1"/>
  <c r="E2150" i="7"/>
  <c r="H2149" i="7" a="1"/>
  <c r="H2149" i="7" s="1"/>
  <c r="E2149" i="7"/>
  <c r="H2146" i="7" a="1"/>
  <c r="H2146" i="7" s="1"/>
  <c r="E2146" i="7"/>
  <c r="H2145" i="7" a="1"/>
  <c r="H2145" i="7" s="1"/>
  <c r="E2145" i="7"/>
  <c r="H2144" i="7" a="1"/>
  <c r="H2144" i="7" s="1"/>
  <c r="E2144" i="7"/>
  <c r="E2143" i="7" l="1"/>
  <c r="H2142" i="7" a="1"/>
  <c r="H2142" i="7" s="1"/>
  <c r="E2142" i="7"/>
  <c r="E2141" i="7"/>
  <c r="H2140" i="7" a="1"/>
  <c r="H2140" i="7" s="1"/>
  <c r="E2140" i="7"/>
  <c r="E2139" i="7"/>
  <c r="H2138" i="7" a="1"/>
  <c r="H2138" i="7" s="1"/>
  <c r="E2138" i="7"/>
  <c r="H2127" i="7" l="1" a="1"/>
  <c r="H2127" i="7" s="1"/>
  <c r="E2127" i="7"/>
  <c r="H2126" i="7" a="1"/>
  <c r="H2126" i="7" s="1"/>
  <c r="E2126" i="7"/>
  <c r="H2125" i="7" a="1"/>
  <c r="H2125" i="7" s="1"/>
  <c r="E2125" i="7"/>
  <c r="H2124" i="7" a="1"/>
  <c r="H2124" i="7" s="1"/>
  <c r="E2124" i="7"/>
  <c r="H2129" i="7" l="1" a="1"/>
  <c r="H2129" i="7" s="1"/>
  <c r="E2129" i="7"/>
  <c r="H2128" i="7" a="1"/>
  <c r="H2128" i="7" s="1"/>
  <c r="E2128" i="7"/>
  <c r="H2137" i="7" l="1" a="1"/>
  <c r="H2137" i="7" s="1"/>
  <c r="E2137" i="7"/>
  <c r="H2136" i="7" a="1"/>
  <c r="H2136" i="7" s="1"/>
  <c r="E2136" i="7"/>
  <c r="H2135" i="7" a="1"/>
  <c r="H2135" i="7" s="1"/>
  <c r="E2135" i="7"/>
  <c r="H2134" i="7" a="1"/>
  <c r="H2134" i="7" s="1"/>
  <c r="E2134" i="7"/>
  <c r="H2133" i="7" a="1"/>
  <c r="H2133" i="7" s="1"/>
  <c r="E2133" i="7"/>
  <c r="H2132" i="7" a="1"/>
  <c r="H2132" i="7" s="1"/>
  <c r="E2132" i="7"/>
  <c r="H2131" i="7" a="1"/>
  <c r="H2131" i="7" s="1"/>
  <c r="E2131" i="7"/>
  <c r="H2130" i="7" a="1"/>
  <c r="H2130" i="7" s="1"/>
  <c r="E2130" i="7"/>
  <c r="E2073" i="7"/>
  <c r="E2070" i="7"/>
  <c r="E2067" i="7"/>
  <c r="E2064" i="7"/>
  <c r="E2061" i="7"/>
  <c r="E2058" i="7"/>
  <c r="E2055" i="7"/>
  <c r="E2056" i="7"/>
  <c r="H2056" i="7" a="1"/>
  <c r="H2056" i="7" s="1"/>
  <c r="H2059" i="7" a="1"/>
  <c r="H2059" i="7" s="1"/>
  <c r="E2059" i="7"/>
  <c r="H2057" i="7" a="1"/>
  <c r="H2057" i="7" s="1"/>
  <c r="E2057" i="7"/>
  <c r="H2062" i="7" a="1"/>
  <c r="H2062" i="7" s="1"/>
  <c r="E2062" i="7"/>
  <c r="H2060" i="7" a="1"/>
  <c r="H2060" i="7" s="1"/>
  <c r="E2060" i="7"/>
  <c r="H2065" i="7" a="1"/>
  <c r="H2065" i="7" s="1"/>
  <c r="E2065" i="7"/>
  <c r="H2063" i="7" a="1"/>
  <c r="H2063" i="7" s="1"/>
  <c r="E2063" i="7"/>
  <c r="H2068" i="7" a="1"/>
  <c r="H2068" i="7" s="1"/>
  <c r="E2068" i="7"/>
  <c r="H2066" i="7" a="1"/>
  <c r="H2066" i="7" s="1"/>
  <c r="E2066" i="7"/>
  <c r="H2071" i="7" a="1"/>
  <c r="H2071" i="7" s="1"/>
  <c r="E2071" i="7"/>
  <c r="H2069" i="7" a="1"/>
  <c r="H2069" i="7" s="1"/>
  <c r="E2069" i="7"/>
  <c r="H2074" i="7" a="1"/>
  <c r="H2074" i="7" s="1"/>
  <c r="E2074" i="7"/>
  <c r="H2072" i="7" a="1"/>
  <c r="H2072" i="7" s="1"/>
  <c r="E2072" i="7"/>
  <c r="H2054" i="7" a="1"/>
  <c r="H2054" i="7" s="1"/>
  <c r="E2054" i="7"/>
  <c r="H2123" i="7" a="1"/>
  <c r="H2123" i="7" s="1"/>
  <c r="E2123" i="7"/>
  <c r="H2122" i="7" a="1"/>
  <c r="H2122" i="7" s="1"/>
  <c r="E2122" i="7"/>
  <c r="H2121" i="7" a="1"/>
  <c r="H2121" i="7" s="1"/>
  <c r="E2121" i="7"/>
  <c r="H2120" i="7" a="1"/>
  <c r="H2120" i="7" s="1"/>
  <c r="E2120" i="7"/>
  <c r="E2119" i="7"/>
  <c r="H2118" i="7" a="1"/>
  <c r="H2118" i="7" s="1"/>
  <c r="E2118" i="7"/>
  <c r="E2117" i="7"/>
  <c r="H2116" i="7" a="1"/>
  <c r="H2116" i="7" s="1"/>
  <c r="E2116" i="7"/>
  <c r="H2115" i="7" a="1"/>
  <c r="H2115" i="7" s="1"/>
  <c r="E2115" i="7"/>
  <c r="H2114" i="7" a="1"/>
  <c r="H2114" i="7" s="1"/>
  <c r="E2114" i="7"/>
  <c r="E2113" i="7"/>
  <c r="H2112" i="7" a="1"/>
  <c r="H2112" i="7" s="1"/>
  <c r="E2112" i="7"/>
  <c r="H2111" i="7" a="1"/>
  <c r="H2111" i="7" s="1"/>
  <c r="E2111" i="7"/>
  <c r="H2110" i="7" a="1"/>
  <c r="H2110" i="7" s="1"/>
  <c r="E2110" i="7"/>
  <c r="E2109" i="7"/>
  <c r="H2108" i="7" a="1"/>
  <c r="H2108" i="7" s="1"/>
  <c r="E2108" i="7"/>
  <c r="H2107" i="7" a="1"/>
  <c r="H2107" i="7" s="1"/>
  <c r="E2107" i="7"/>
  <c r="H2106" i="7" a="1"/>
  <c r="H2106" i="7" s="1"/>
  <c r="E2106" i="7"/>
  <c r="E2105" i="7"/>
  <c r="H2104" i="7" a="1"/>
  <c r="H2104" i="7" s="1"/>
  <c r="E2104" i="7"/>
  <c r="H2103" i="7" a="1"/>
  <c r="H2103" i="7" s="1"/>
  <c r="E2103" i="7"/>
  <c r="H2102" i="7" a="1"/>
  <c r="H2102" i="7" s="1"/>
  <c r="E2102" i="7"/>
  <c r="E2101" i="7"/>
  <c r="H2100" i="7" a="1"/>
  <c r="H2100" i="7" s="1"/>
  <c r="E2100" i="7"/>
  <c r="H2099" i="7" l="1" a="1"/>
  <c r="H2099" i="7" s="1"/>
  <c r="E2099" i="7"/>
  <c r="H2098" i="7" a="1"/>
  <c r="H2098" i="7" s="1"/>
  <c r="E2098" i="7"/>
  <c r="H2097" i="7" a="1"/>
  <c r="H2097" i="7" s="1"/>
  <c r="E2097" i="7"/>
  <c r="H2096" i="7" a="1"/>
  <c r="H2096" i="7" s="1"/>
  <c r="E2096" i="7"/>
  <c r="H2095" i="7" a="1"/>
  <c r="H2095" i="7" s="1"/>
  <c r="E2095" i="7"/>
  <c r="H2094" i="7" a="1"/>
  <c r="H2094" i="7" s="1"/>
  <c r="E2094" i="7"/>
  <c r="E1162" i="7" l="1"/>
  <c r="H1162" i="7" a="1"/>
  <c r="H1162" i="7" s="1"/>
  <c r="E1163" i="7"/>
  <c r="E1164" i="7"/>
  <c r="H1164" i="7" a="1"/>
  <c r="H1164" i="7" s="1"/>
  <c r="M1104" i="7"/>
  <c r="H2093" i="7" l="1" a="1"/>
  <c r="H2093" i="7" s="1"/>
  <c r="E2093" i="7"/>
  <c r="H2092" i="7" a="1"/>
  <c r="H2092" i="7" s="1"/>
  <c r="E2092" i="7"/>
  <c r="E2091" i="7"/>
  <c r="H2090" i="7" a="1"/>
  <c r="H2090" i="7" s="1"/>
  <c r="E2090" i="7"/>
  <c r="H2089" i="7" a="1"/>
  <c r="H2089" i="7" s="1"/>
  <c r="E2089" i="7"/>
  <c r="H2088" i="7" a="1"/>
  <c r="H2088" i="7" s="1"/>
  <c r="E2088" i="7"/>
  <c r="E2087" i="7"/>
  <c r="H2086" i="7" a="1"/>
  <c r="H2086" i="7" s="1"/>
  <c r="E2086" i="7"/>
  <c r="H2085" i="7" a="1"/>
  <c r="H2085" i="7" s="1"/>
  <c r="E2085" i="7"/>
  <c r="H2084" i="7" a="1"/>
  <c r="H2084" i="7" s="1"/>
  <c r="E2084" i="7"/>
  <c r="E2083" i="7"/>
  <c r="H2082" i="7" a="1"/>
  <c r="H2082" i="7" s="1"/>
  <c r="E2082" i="7"/>
  <c r="E2079" i="7" l="1"/>
  <c r="H2081" i="7" a="1"/>
  <c r="H2081" i="7" s="1"/>
  <c r="E2081" i="7"/>
  <c r="H2080" i="7" a="1"/>
  <c r="H2080" i="7" s="1"/>
  <c r="E2080" i="7"/>
  <c r="H2078" i="7" a="1"/>
  <c r="H2078" i="7" s="1"/>
  <c r="E2078" i="7"/>
  <c r="H2077" i="7" a="1"/>
  <c r="H2077" i="7" s="1"/>
  <c r="E2077" i="7"/>
  <c r="H2076" i="7" a="1"/>
  <c r="H2076" i="7" s="1"/>
  <c r="E2076" i="7"/>
  <c r="H2075" i="7" a="1"/>
  <c r="H2075" i="7" s="1"/>
  <c r="E2075" i="7"/>
  <c r="E1628" i="7" l="1"/>
  <c r="H1629" i="7" a="1"/>
  <c r="H1629" i="7" s="1"/>
  <c r="E1629" i="7"/>
  <c r="H1627" i="7" a="1"/>
  <c r="H1627" i="7" s="1"/>
  <c r="E1627" i="7"/>
  <c r="H2053" i="7" a="1"/>
  <c r="H2053" i="7" s="1"/>
  <c r="E2053" i="7"/>
  <c r="H2052" i="7" a="1"/>
  <c r="H2052" i="7" s="1"/>
  <c r="E2052" i="7"/>
  <c r="H2051" i="7" a="1"/>
  <c r="H2051" i="7" s="1"/>
  <c r="E2051" i="7"/>
  <c r="H2050" i="7" a="1"/>
  <c r="H2050" i="7" s="1"/>
  <c r="E2050" i="7"/>
  <c r="H2049" i="7" a="1"/>
  <c r="H2049" i="7" s="1"/>
  <c r="E2049" i="7"/>
  <c r="H2048" i="7" a="1"/>
  <c r="H2048" i="7" s="1"/>
  <c r="E2048" i="7"/>
  <c r="H2047" i="7" a="1"/>
  <c r="H2047" i="7" s="1"/>
  <c r="E2047" i="7"/>
  <c r="H2046" i="7" a="1"/>
  <c r="H2046" i="7" s="1"/>
  <c r="E2046" i="7"/>
  <c r="H2036" i="7" l="1" a="1"/>
  <c r="H2036" i="7" s="1"/>
  <c r="E2036" i="7"/>
  <c r="H2035" i="7" a="1"/>
  <c r="H2035" i="7" s="1"/>
  <c r="E2035" i="7"/>
  <c r="H2043" i="7" l="1" a="1"/>
  <c r="H2043" i="7" s="1"/>
  <c r="E2043" i="7"/>
  <c r="H2042" i="7" a="1"/>
  <c r="H2042" i="7" s="1"/>
  <c r="E2042" i="7"/>
  <c r="H2041" i="7" a="1"/>
  <c r="H2041" i="7" s="1"/>
  <c r="E2041" i="7"/>
  <c r="H2040" i="7" l="1" a="1"/>
  <c r="H2040" i="7" s="1"/>
  <c r="E2040" i="7"/>
  <c r="H2039" i="7" a="1"/>
  <c r="H2039" i="7" s="1"/>
  <c r="E2039" i="7"/>
  <c r="H2038" i="7" a="1"/>
  <c r="H2038" i="7" s="1"/>
  <c r="E2038" i="7"/>
  <c r="H2037" i="7" a="1"/>
  <c r="H2037" i="7" s="1"/>
  <c r="E2037" i="7"/>
  <c r="H2034" i="7" l="1" a="1"/>
  <c r="H2034" i="7" s="1"/>
  <c r="E2034" i="7"/>
  <c r="H2033" i="7" a="1"/>
  <c r="H2033" i="7" s="1"/>
  <c r="E2033" i="7"/>
  <c r="H2032" i="7" a="1"/>
  <c r="H2032" i="7" s="1"/>
  <c r="E2032" i="7"/>
  <c r="H2031" i="7" a="1"/>
  <c r="H2031" i="7" s="1"/>
  <c r="E2031" i="7"/>
  <c r="H2030" i="7" a="1"/>
  <c r="H2030" i="7" s="1"/>
  <c r="E2030" i="7"/>
  <c r="H2029" i="7" a="1"/>
  <c r="H2029" i="7" s="1"/>
  <c r="E2029" i="7"/>
  <c r="H2028" i="7" a="1"/>
  <c r="H2028" i="7" s="1"/>
  <c r="E2028" i="7"/>
  <c r="H2027" i="7" a="1"/>
  <c r="H2027" i="7" s="1"/>
  <c r="E2027" i="7"/>
  <c r="H2008" i="7" l="1" a="1"/>
  <c r="H2008" i="7" s="1"/>
  <c r="E2008" i="7"/>
  <c r="H2007" i="7" a="1"/>
  <c r="H2007" i="7" s="1"/>
  <c r="E2007" i="7"/>
  <c r="H2026" i="7" l="1" a="1"/>
  <c r="H2026" i="7" s="1"/>
  <c r="E2026" i="7"/>
  <c r="H2025" i="7" a="1"/>
  <c r="H2025" i="7" s="1"/>
  <c r="E2025" i="7"/>
  <c r="H2024" i="7" a="1"/>
  <c r="H2024" i="7" s="1"/>
  <c r="E2024" i="7"/>
  <c r="H2023" i="7" a="1"/>
  <c r="H2023" i="7" s="1"/>
  <c r="E2023" i="7"/>
  <c r="H2022" i="7" a="1"/>
  <c r="H2022" i="7" s="1"/>
  <c r="E2022" i="7"/>
  <c r="H2021" i="7" a="1"/>
  <c r="H2021" i="7" s="1"/>
  <c r="E2021" i="7"/>
  <c r="H2020" i="7" a="1"/>
  <c r="H2020" i="7" s="1"/>
  <c r="E2020" i="7"/>
  <c r="H2019" i="7" a="1"/>
  <c r="H2019" i="7" s="1"/>
  <c r="E2019" i="7"/>
  <c r="H2018" i="7" a="1"/>
  <c r="H2018" i="7" s="1"/>
  <c r="E2018" i="7"/>
  <c r="H2017" i="7" a="1"/>
  <c r="H2017" i="7" s="1"/>
  <c r="E2017" i="7"/>
  <c r="H2016" i="7" a="1"/>
  <c r="H2016" i="7" s="1"/>
  <c r="E2016" i="7"/>
  <c r="H2015" i="7" a="1"/>
  <c r="H2015" i="7" s="1"/>
  <c r="E2015" i="7"/>
  <c r="H2014" i="7" a="1"/>
  <c r="H2014" i="7" s="1"/>
  <c r="E2014" i="7"/>
  <c r="H2013" i="7" a="1"/>
  <c r="H2013" i="7" s="1"/>
  <c r="E2013" i="7"/>
  <c r="H2012" i="7" a="1"/>
  <c r="H2012" i="7" s="1"/>
  <c r="E2012" i="7"/>
  <c r="E2011" i="7"/>
  <c r="E2010" i="7"/>
  <c r="H2009" i="7" a="1"/>
  <c r="H2009" i="7" s="1"/>
  <c r="E2009" i="7"/>
  <c r="H2006" i="7" a="1"/>
  <c r="H2006" i="7" s="1"/>
  <c r="E2006" i="7"/>
  <c r="H2005" i="7" a="1"/>
  <c r="H2005" i="7" s="1"/>
  <c r="E2005" i="7"/>
  <c r="H2004" i="7" a="1"/>
  <c r="H2004" i="7" s="1"/>
  <c r="E2004" i="7"/>
  <c r="H2003" i="7" a="1"/>
  <c r="H2003" i="7" s="1"/>
  <c r="E2003" i="7"/>
  <c r="H2002" i="7" a="1"/>
  <c r="H2002" i="7" s="1"/>
  <c r="E2002" i="7"/>
  <c r="H2001" i="7" a="1"/>
  <c r="H2001" i="7" s="1"/>
  <c r="E2001" i="7"/>
  <c r="H2000" i="7" a="1"/>
  <c r="H2000" i="7" s="1"/>
  <c r="E2000" i="7"/>
  <c r="H1999" i="7" a="1"/>
  <c r="H1999" i="7" s="1"/>
  <c r="E1999" i="7"/>
  <c r="H1998" i="7" a="1"/>
  <c r="H1998" i="7" s="1"/>
  <c r="E1998" i="7"/>
  <c r="H1997" i="7" a="1"/>
  <c r="H1997" i="7" s="1"/>
  <c r="E1997" i="7"/>
  <c r="H1996" i="7" a="1"/>
  <c r="H1996" i="7" s="1"/>
  <c r="E1996" i="7"/>
  <c r="H1995" i="7" l="1" a="1"/>
  <c r="H1995" i="7" s="1"/>
  <c r="E1995" i="7"/>
  <c r="H1994" i="7" a="1"/>
  <c r="H1994" i="7" s="1"/>
  <c r="E1994" i="7"/>
  <c r="E1993" i="7"/>
  <c r="H1992" i="7" a="1"/>
  <c r="H1992" i="7" s="1"/>
  <c r="E1992" i="7"/>
  <c r="H1973" i="7" l="1" a="1"/>
  <c r="H1973" i="7" s="1"/>
  <c r="H1991" i="7" a="1"/>
  <c r="H1991" i="7" s="1"/>
  <c r="E1991" i="7"/>
  <c r="H1990" i="7" a="1"/>
  <c r="H1990" i="7" s="1"/>
  <c r="E1990" i="7"/>
  <c r="H1989" i="7" a="1"/>
  <c r="H1989" i="7" s="1"/>
  <c r="E1989" i="7"/>
  <c r="H1988" i="7" a="1"/>
  <c r="H1988" i="7" s="1"/>
  <c r="E1988" i="7"/>
  <c r="E1987" i="7" l="1"/>
  <c r="E1986" i="7"/>
  <c r="H1985" i="7" a="1"/>
  <c r="H1985" i="7" s="1"/>
  <c r="E1985" i="7"/>
  <c r="H1984" i="7" a="1"/>
  <c r="H1984" i="7" s="1"/>
  <c r="E1984" i="7"/>
  <c r="H1983" i="7" a="1"/>
  <c r="H1983" i="7" s="1"/>
  <c r="E1983" i="7"/>
  <c r="H1982" i="7" a="1"/>
  <c r="H1982" i="7" s="1"/>
  <c r="E1982" i="7"/>
  <c r="H1981" i="7" a="1"/>
  <c r="H1981" i="7" s="1"/>
  <c r="E1981" i="7"/>
  <c r="H1974" i="7" a="1"/>
  <c r="H1974" i="7" s="1"/>
  <c r="E1974" i="7"/>
  <c r="E1973" i="7"/>
  <c r="H1972" i="7" a="1"/>
  <c r="H1972" i="7" s="1"/>
  <c r="E1972" i="7"/>
  <c r="H1980" i="7" a="1"/>
  <c r="H1980" i="7" s="1"/>
  <c r="E1980" i="7"/>
  <c r="H1979" i="7" a="1"/>
  <c r="H1979" i="7" s="1"/>
  <c r="E1979" i="7"/>
  <c r="H1978" i="7" a="1"/>
  <c r="H1978" i="7" s="1"/>
  <c r="E1978" i="7"/>
  <c r="H1977" i="7" a="1"/>
  <c r="H1977" i="7" s="1"/>
  <c r="E1977" i="7"/>
  <c r="H1976" i="7" a="1"/>
  <c r="H1976" i="7" s="1"/>
  <c r="E1976" i="7"/>
  <c r="H1975" i="7" a="1"/>
  <c r="H1975" i="7" s="1"/>
  <c r="E1975" i="7"/>
  <c r="H1971" i="7" a="1"/>
  <c r="H1971" i="7" s="1"/>
  <c r="E1971" i="7"/>
  <c r="H1970" i="7" a="1"/>
  <c r="H1970" i="7" s="1"/>
  <c r="E1970" i="7"/>
  <c r="H1969" i="7" a="1"/>
  <c r="H1969" i="7" s="1"/>
  <c r="E1969" i="7"/>
  <c r="H1968" i="7" a="1"/>
  <c r="H1968" i="7" s="1"/>
  <c r="E1968" i="7"/>
  <c r="H1967" i="7" a="1"/>
  <c r="H1967" i="7" s="1"/>
  <c r="E1967" i="7"/>
  <c r="H1966" i="7" a="1"/>
  <c r="H1966" i="7" s="1"/>
  <c r="E1966" i="7"/>
  <c r="H1965" i="7" l="1" a="1"/>
  <c r="H1965" i="7" s="1"/>
  <c r="E1965" i="7"/>
  <c r="H1964" i="7" a="1"/>
  <c r="H1964" i="7" s="1"/>
  <c r="E1964" i="7"/>
  <c r="H1963" i="7" a="1"/>
  <c r="H1963" i="7" s="1"/>
  <c r="E1963" i="7"/>
  <c r="H1962" i="7" a="1"/>
  <c r="H1962" i="7" s="1"/>
  <c r="E1962" i="7"/>
  <c r="H1961" i="7" a="1"/>
  <c r="H1961" i="7" s="1"/>
  <c r="E1961" i="7"/>
  <c r="H1960" i="7" a="1"/>
  <c r="H1960" i="7" s="1"/>
  <c r="E1960" i="7"/>
  <c r="H1959" i="7" a="1"/>
  <c r="H1959" i="7" s="1"/>
  <c r="E1959" i="7"/>
  <c r="H1958" i="7" a="1"/>
  <c r="H1958" i="7" s="1"/>
  <c r="E1958" i="7"/>
  <c r="H1957" i="7" a="1"/>
  <c r="H1957" i="7" s="1"/>
  <c r="E1957" i="7"/>
  <c r="H1956" i="7" a="1"/>
  <c r="H1956" i="7" s="1"/>
  <c r="E1956" i="7"/>
  <c r="H1955" i="7" a="1"/>
  <c r="H1955" i="7" s="1"/>
  <c r="E1955" i="7"/>
  <c r="H1954" i="7" a="1"/>
  <c r="H1954" i="7" s="1"/>
  <c r="E1954" i="7"/>
  <c r="H1953" i="7" a="1"/>
  <c r="H1953" i="7" s="1"/>
  <c r="E1953" i="7"/>
  <c r="H1952" i="7" a="1"/>
  <c r="H1952" i="7" s="1"/>
  <c r="E1952" i="7"/>
  <c r="H1951" i="7" l="1" a="1"/>
  <c r="H1951" i="7" s="1"/>
  <c r="E1951" i="7"/>
  <c r="H1950" i="7" a="1"/>
  <c r="H1950" i="7" s="1"/>
  <c r="E1950" i="7"/>
  <c r="H1949" i="7" a="1"/>
  <c r="H1949" i="7" s="1"/>
  <c r="E1949" i="7"/>
  <c r="H1948" i="7" a="1"/>
  <c r="H1948" i="7" s="1"/>
  <c r="E1948" i="7"/>
  <c r="H1947" i="7" a="1"/>
  <c r="H1947" i="7" s="1"/>
  <c r="E1947" i="7"/>
  <c r="H1946" i="7" a="1"/>
  <c r="H1946" i="7" s="1"/>
  <c r="E1946" i="7"/>
  <c r="H1924" i="7" l="1" a="1"/>
  <c r="H1924" i="7" s="1"/>
  <c r="E1924" i="7"/>
  <c r="H1923" i="7" a="1"/>
  <c r="H1923" i="7" s="1"/>
  <c r="E1923" i="7"/>
  <c r="H1945" i="7" l="1" a="1"/>
  <c r="H1945" i="7" s="1"/>
  <c r="E1945" i="7"/>
  <c r="H1944" i="7" a="1"/>
  <c r="H1944" i="7" s="1"/>
  <c r="E1944" i="7"/>
  <c r="H1940" i="7" a="1"/>
  <c r="H1940" i="7" s="1"/>
  <c r="E1940" i="7"/>
  <c r="H1939" i="7" a="1"/>
  <c r="H1939" i="7" s="1"/>
  <c r="E1939" i="7"/>
  <c r="H1943" i="7" a="1"/>
  <c r="H1943" i="7" s="1"/>
  <c r="E1943" i="7"/>
  <c r="H1942" i="7" a="1"/>
  <c r="H1942" i="7" s="1"/>
  <c r="E1942" i="7"/>
  <c r="H1941" i="7" a="1"/>
  <c r="H1941" i="7" s="1"/>
  <c r="E1941" i="7"/>
  <c r="H1938" i="7" l="1" a="1"/>
  <c r="H1938" i="7" s="1"/>
  <c r="E1938" i="7"/>
  <c r="H1937" i="7" a="1"/>
  <c r="H1937" i="7" s="1"/>
  <c r="E1937" i="7"/>
  <c r="H1936" i="7" a="1"/>
  <c r="H1936" i="7" s="1"/>
  <c r="E1936" i="7"/>
  <c r="H1935" i="7" a="1"/>
  <c r="H1935" i="7" s="1"/>
  <c r="E1935" i="7"/>
  <c r="H1934" i="7" a="1"/>
  <c r="H1934" i="7" s="1"/>
  <c r="E1934" i="7"/>
  <c r="H1933" i="7" a="1"/>
  <c r="H1933" i="7" s="1"/>
  <c r="E1933" i="7"/>
  <c r="H1932" i="7" a="1"/>
  <c r="H1932" i="7" s="1"/>
  <c r="E1932" i="7"/>
  <c r="H1931" i="7" a="1"/>
  <c r="H1931" i="7" s="1"/>
  <c r="E1931" i="7"/>
  <c r="H1930" i="7" a="1"/>
  <c r="H1930" i="7" s="1"/>
  <c r="E1930" i="7"/>
  <c r="H1929" i="7" a="1"/>
  <c r="H1929" i="7" s="1"/>
  <c r="E1929" i="7"/>
  <c r="H1928" i="7" a="1"/>
  <c r="H1928" i="7" s="1"/>
  <c r="E1928" i="7"/>
  <c r="H1927" i="7" a="1"/>
  <c r="H1927" i="7" s="1"/>
  <c r="E1927" i="7"/>
  <c r="H1926" i="7" a="1"/>
  <c r="H1926" i="7" s="1"/>
  <c r="E1926" i="7"/>
  <c r="H1925" i="7" a="1"/>
  <c r="H1925" i="7" s="1"/>
  <c r="E1925" i="7"/>
  <c r="H1911" i="7" l="1" a="1"/>
  <c r="H1911" i="7" s="1"/>
  <c r="E1911" i="7"/>
  <c r="H1910" i="7" a="1"/>
  <c r="H1910" i="7" s="1"/>
  <c r="E1910" i="7"/>
  <c r="H1922" i="7" l="1" a="1"/>
  <c r="H1922" i="7" s="1"/>
  <c r="E1922" i="7"/>
  <c r="H1921" i="7" a="1"/>
  <c r="H1921" i="7" s="1"/>
  <c r="E1921" i="7"/>
  <c r="H1920" i="7" a="1"/>
  <c r="H1920" i="7" s="1"/>
  <c r="E1920" i="7"/>
  <c r="H1919" i="7" a="1"/>
  <c r="H1919" i="7" s="1"/>
  <c r="E1919" i="7"/>
  <c r="H1918" i="7" a="1"/>
  <c r="H1918" i="7" s="1"/>
  <c r="E1918" i="7"/>
  <c r="H1917" i="7" a="1"/>
  <c r="H1917" i="7" s="1"/>
  <c r="E1917" i="7"/>
  <c r="H1916" i="7" a="1"/>
  <c r="H1916" i="7" s="1"/>
  <c r="E1916" i="7"/>
  <c r="H1915" i="7" l="1" a="1"/>
  <c r="H1915" i="7" s="1"/>
  <c r="E1915" i="7"/>
  <c r="E1914" i="7"/>
  <c r="E1913" i="7"/>
  <c r="H1912" i="7" a="1"/>
  <c r="H1912" i="7" s="1"/>
  <c r="E1912" i="7"/>
  <c r="H1909" i="7" l="1" a="1"/>
  <c r="H1909" i="7" s="1"/>
  <c r="E1909" i="7"/>
  <c r="H1908" i="7" a="1"/>
  <c r="H1908" i="7" s="1"/>
  <c r="E1908" i="7"/>
  <c r="H1907" i="7" a="1"/>
  <c r="H1907" i="7" s="1"/>
  <c r="E1907" i="7"/>
  <c r="H1906" i="7" a="1"/>
  <c r="H1906" i="7" s="1"/>
  <c r="E1906" i="7"/>
  <c r="H1905" i="7" a="1"/>
  <c r="H1905" i="7" s="1"/>
  <c r="E1905" i="7"/>
  <c r="H1904" i="7" a="1"/>
  <c r="H1904" i="7" s="1"/>
  <c r="E1904" i="7"/>
  <c r="H1903" i="7" a="1"/>
  <c r="H1903" i="7" s="1"/>
  <c r="E1903" i="7"/>
  <c r="H1902" i="7" a="1"/>
  <c r="H1902" i="7" s="1"/>
  <c r="E1902" i="7"/>
  <c r="H1901" i="7" a="1"/>
  <c r="H1901" i="7" s="1"/>
  <c r="E1901" i="7"/>
  <c r="H1900" i="7" a="1"/>
  <c r="H1900" i="7" s="1"/>
  <c r="E1900" i="7"/>
  <c r="H1899" i="7" a="1"/>
  <c r="H1899" i="7" s="1"/>
  <c r="E1899" i="7"/>
  <c r="H1898" i="7" a="1"/>
  <c r="H1898" i="7" s="1"/>
  <c r="E1898" i="7"/>
  <c r="H1897" i="7" a="1"/>
  <c r="H1897" i="7" s="1"/>
  <c r="E1897" i="7"/>
  <c r="H1896" i="7" a="1"/>
  <c r="H1896" i="7" s="1"/>
  <c r="E1896" i="7"/>
  <c r="H1895" i="7" a="1"/>
  <c r="H1895" i="7" s="1"/>
  <c r="E1895" i="7"/>
  <c r="H1894" i="7" a="1"/>
  <c r="H1894" i="7" s="1"/>
  <c r="E1894" i="7"/>
  <c r="H1893" i="7" a="1"/>
  <c r="H1893" i="7" s="1"/>
  <c r="E1893" i="7"/>
  <c r="H1892" i="7" a="1"/>
  <c r="H1892" i="7" s="1"/>
  <c r="E1892" i="7"/>
  <c r="H1891" i="7" a="1"/>
  <c r="H1891" i="7" s="1"/>
  <c r="E1891" i="7"/>
  <c r="H1890" i="7" a="1"/>
  <c r="H1890" i="7" s="1"/>
  <c r="E1890" i="7"/>
  <c r="H1889" i="7" l="1" a="1"/>
  <c r="H1889" i="7" s="1"/>
  <c r="E1889" i="7"/>
  <c r="H1888" i="7" a="1"/>
  <c r="H1888" i="7" s="1"/>
  <c r="E1888" i="7"/>
  <c r="H1887" i="7" a="1"/>
  <c r="H1887" i="7" s="1"/>
  <c r="E1887" i="7"/>
  <c r="H1886" i="7" l="1" a="1"/>
  <c r="H1886" i="7" s="1"/>
  <c r="E1886" i="7"/>
  <c r="H1885" i="7" a="1"/>
  <c r="H1885" i="7" s="1"/>
  <c r="E1885" i="7"/>
  <c r="H1884" i="7" a="1"/>
  <c r="H1884" i="7" s="1"/>
  <c r="E1884" i="7"/>
  <c r="H1883" i="7" l="1" a="1"/>
  <c r="H1883" i="7" s="1"/>
  <c r="E1883" i="7"/>
  <c r="H1882" i="7" a="1"/>
  <c r="H1882" i="7" s="1"/>
  <c r="E1882" i="7"/>
  <c r="H1881" i="7" a="1"/>
  <c r="H1881" i="7" s="1"/>
  <c r="E1881" i="7"/>
  <c r="H1880" i="7" l="1" a="1"/>
  <c r="H1880" i="7" s="1"/>
  <c r="E1880" i="7"/>
  <c r="H1879" i="7" a="1"/>
  <c r="H1879" i="7" s="1"/>
  <c r="E1879" i="7"/>
  <c r="H1878" i="7" a="1"/>
  <c r="H1878" i="7" s="1"/>
  <c r="E1878" i="7"/>
  <c r="H1877" i="7" a="1"/>
  <c r="H1877" i="7" s="1"/>
  <c r="E1877" i="7"/>
  <c r="H1859" i="7" l="1" a="1"/>
  <c r="H1859" i="7" s="1"/>
  <c r="E1859" i="7"/>
  <c r="H1858" i="7" a="1"/>
  <c r="H1858" i="7" s="1"/>
  <c r="E1858" i="7"/>
  <c r="H1857" i="7" a="1"/>
  <c r="H1857" i="7" s="1"/>
  <c r="E1857" i="7"/>
  <c r="H1856" i="7" l="1" a="1"/>
  <c r="H1856" i="7" s="1"/>
  <c r="E1856" i="7"/>
  <c r="E1855" i="7"/>
  <c r="E1854" i="7"/>
  <c r="H1853" i="7" a="1"/>
  <c r="H1853" i="7" s="1"/>
  <c r="E1853" i="7"/>
  <c r="H1876" i="7" a="1"/>
  <c r="H1876" i="7" s="1"/>
  <c r="E1876" i="7"/>
  <c r="H1875" i="7" a="1"/>
  <c r="H1875" i="7" s="1"/>
  <c r="E1875" i="7"/>
  <c r="H1874" i="7" a="1"/>
  <c r="H1874" i="7" s="1"/>
  <c r="E1874" i="7"/>
  <c r="H1873" i="7" a="1"/>
  <c r="H1873" i="7" s="1"/>
  <c r="E1873" i="7"/>
  <c r="H1872" i="7" a="1"/>
  <c r="H1872" i="7" s="1"/>
  <c r="E1872" i="7"/>
  <c r="H1871" i="7" a="1"/>
  <c r="H1871" i="7" s="1"/>
  <c r="E1871" i="7"/>
  <c r="H1870" i="7" a="1"/>
  <c r="H1870" i="7" s="1"/>
  <c r="E1870" i="7"/>
  <c r="H1869" i="7" a="1"/>
  <c r="H1869" i="7" s="1"/>
  <c r="E1869" i="7"/>
  <c r="H1868" i="7" a="1"/>
  <c r="H1868" i="7" s="1"/>
  <c r="E1868" i="7"/>
  <c r="H1867" i="7" a="1"/>
  <c r="H1867" i="7" s="1"/>
  <c r="E1867" i="7"/>
  <c r="H1866" i="7" a="1"/>
  <c r="H1866" i="7" s="1"/>
  <c r="E1866" i="7"/>
  <c r="H1865" i="7" a="1"/>
  <c r="H1865" i="7" s="1"/>
  <c r="E1865" i="7"/>
  <c r="H1864" i="7" a="1"/>
  <c r="H1864" i="7" s="1"/>
  <c r="E1864" i="7"/>
  <c r="H1863" i="7" a="1"/>
  <c r="H1863" i="7" s="1"/>
  <c r="E1863" i="7"/>
  <c r="H1862" i="7" a="1"/>
  <c r="H1862" i="7" s="1"/>
  <c r="E1862" i="7"/>
  <c r="H1861" i="7" a="1"/>
  <c r="H1861" i="7" s="1"/>
  <c r="E1861" i="7"/>
  <c r="H1860" i="7" a="1"/>
  <c r="H1860" i="7" s="1"/>
  <c r="E1860" i="7"/>
  <c r="H1852" i="7" a="1"/>
  <c r="H1852" i="7" s="1"/>
  <c r="E1852" i="7"/>
  <c r="H1851" i="7" a="1"/>
  <c r="H1851" i="7" s="1"/>
  <c r="E1851" i="7"/>
  <c r="H1850" i="7" l="1" a="1"/>
  <c r="H1850" i="7" s="1"/>
  <c r="E1850" i="7"/>
  <c r="E1849" i="7"/>
  <c r="E1848" i="7"/>
  <c r="H1847" i="7" a="1"/>
  <c r="H1847" i="7" s="1"/>
  <c r="E1847" i="7"/>
  <c r="H1846" i="7" a="1"/>
  <c r="H1846" i="7" s="1"/>
  <c r="E1846" i="7"/>
  <c r="H1845" i="7" a="1"/>
  <c r="H1845" i="7" s="1"/>
  <c r="E1845" i="7"/>
  <c r="H1841" i="7" l="1" a="1"/>
  <c r="H1841" i="7" s="1"/>
  <c r="E1841" i="7"/>
  <c r="E1840" i="7"/>
  <c r="E1839" i="7"/>
  <c r="H1838" i="7" a="1"/>
  <c r="H1838" i="7" s="1"/>
  <c r="E1838" i="7"/>
  <c r="H1837" i="7" a="1"/>
  <c r="H1837" i="7" s="1"/>
  <c r="E1837" i="7"/>
  <c r="H1836" i="7" a="1"/>
  <c r="H1836" i="7" s="1"/>
  <c r="E1836" i="7"/>
  <c r="H1818" i="7" a="1"/>
  <c r="H1818" i="7" s="1"/>
  <c r="E1818" i="7"/>
  <c r="H1817" i="7" a="1"/>
  <c r="H1817" i="7" s="1"/>
  <c r="E1817" i="7"/>
  <c r="H1844" i="7" a="1"/>
  <c r="H1844" i="7" s="1"/>
  <c r="E1844" i="7"/>
  <c r="H1843" i="7" a="1"/>
  <c r="H1843" i="7" s="1"/>
  <c r="E1843" i="7"/>
  <c r="H1842" i="7" a="1"/>
  <c r="H1842" i="7" s="1"/>
  <c r="E1842" i="7"/>
  <c r="H1835" i="7" a="1"/>
  <c r="H1835" i="7" s="1"/>
  <c r="E1835" i="7"/>
  <c r="H1834" i="7" a="1"/>
  <c r="H1834" i="7" s="1"/>
  <c r="E1834" i="7"/>
  <c r="H1833" i="7" a="1"/>
  <c r="H1833" i="7" s="1"/>
  <c r="E1833" i="7"/>
  <c r="H1832" i="7" l="1" a="1"/>
  <c r="H1832" i="7" s="1"/>
  <c r="E1832" i="7"/>
  <c r="H1831" i="7" a="1"/>
  <c r="H1831" i="7" s="1"/>
  <c r="E1831" i="7"/>
  <c r="H1830" i="7" a="1"/>
  <c r="H1830" i="7" s="1"/>
  <c r="E1830" i="7"/>
  <c r="H1829" i="7" a="1"/>
  <c r="H1829" i="7" s="1"/>
  <c r="E1829" i="7"/>
  <c r="H1828" i="7" a="1"/>
  <c r="H1828" i="7" s="1"/>
  <c r="E1828" i="7"/>
  <c r="H1827" i="7" a="1"/>
  <c r="H1827" i="7" s="1"/>
  <c r="E1827" i="7"/>
  <c r="H1826" i="7" a="1"/>
  <c r="H1826" i="7" s="1"/>
  <c r="E1826" i="7"/>
  <c r="H1825" i="7" a="1"/>
  <c r="H1825" i="7" s="1"/>
  <c r="E1825" i="7"/>
  <c r="H1824" i="7" a="1"/>
  <c r="H1824" i="7" s="1"/>
  <c r="E1824" i="7"/>
  <c r="H1823" i="7" a="1"/>
  <c r="H1823" i="7" s="1"/>
  <c r="E1823" i="7"/>
  <c r="H1822" i="7" a="1"/>
  <c r="H1822" i="7" s="1"/>
  <c r="E1822" i="7"/>
  <c r="H1821" i="7" a="1"/>
  <c r="H1821" i="7" s="1"/>
  <c r="E1821" i="7"/>
  <c r="H1820" i="7" a="1"/>
  <c r="H1820" i="7" s="1"/>
  <c r="E1820" i="7"/>
  <c r="H1819" i="7" a="1"/>
  <c r="H1819" i="7" s="1"/>
  <c r="E1819" i="7"/>
  <c r="H1816" i="7" a="1"/>
  <c r="H1816" i="7" s="1"/>
  <c r="E1816" i="7"/>
  <c r="E1815" i="7"/>
  <c r="E1814" i="7"/>
  <c r="H1813" i="7" a="1"/>
  <c r="H1813" i="7" s="1"/>
  <c r="E1813" i="7"/>
  <c r="H1812" i="7" a="1"/>
  <c r="H1812" i="7" s="1"/>
  <c r="E1812" i="7"/>
  <c r="H1811" i="7" a="1"/>
  <c r="H1811" i="7" s="1"/>
  <c r="E1811" i="7"/>
  <c r="H1810" i="7" a="1"/>
  <c r="H1810" i="7" s="1"/>
  <c r="E1810" i="7"/>
  <c r="H1809" i="7" a="1"/>
  <c r="H1809" i="7" s="1"/>
  <c r="E1809" i="7"/>
  <c r="H1808" i="7" l="1" a="1"/>
  <c r="H1808" i="7" s="1"/>
  <c r="E1808" i="7"/>
  <c r="E1807" i="7"/>
  <c r="E1806" i="7"/>
  <c r="H1805" i="7" a="1"/>
  <c r="H1805" i="7" s="1"/>
  <c r="E1805" i="7"/>
  <c r="H1804" i="7" l="1" a="1"/>
  <c r="H1804" i="7" s="1"/>
  <c r="E1804" i="7"/>
  <c r="H1803" i="7" a="1"/>
  <c r="H1803" i="7" s="1"/>
  <c r="E1803" i="7"/>
  <c r="H1800" i="7" a="1"/>
  <c r="H1800" i="7" s="1"/>
  <c r="E1800" i="7"/>
  <c r="E1799" i="7"/>
  <c r="E1798" i="7"/>
  <c r="H1797" i="7" a="1"/>
  <c r="H1797" i="7" s="1"/>
  <c r="E1797" i="7"/>
  <c r="H1802" i="7" a="1"/>
  <c r="H1802" i="7" s="1"/>
  <c r="E1802" i="7"/>
  <c r="H1801" i="7" a="1"/>
  <c r="H1801" i="7" s="1"/>
  <c r="E1801" i="7"/>
  <c r="H1796" i="7" a="1"/>
  <c r="H1796" i="7" s="1"/>
  <c r="E1796" i="7"/>
  <c r="E1795" i="7"/>
  <c r="E1794" i="7"/>
  <c r="H1793" i="7" a="1"/>
  <c r="H1793" i="7" s="1"/>
  <c r="E1793" i="7"/>
  <c r="H1792" i="7" a="1"/>
  <c r="H1792" i="7" s="1"/>
  <c r="E1792" i="7"/>
  <c r="H1791" i="7" a="1"/>
  <c r="H1791" i="7" s="1"/>
  <c r="E1791" i="7"/>
  <c r="H1790" i="7" a="1"/>
  <c r="H1790" i="7" s="1"/>
  <c r="E1790" i="7"/>
  <c r="H1789" i="7" a="1"/>
  <c r="H1789" i="7" s="1"/>
  <c r="E1789" i="7"/>
  <c r="H1788" i="7" a="1"/>
  <c r="H1788" i="7" s="1"/>
  <c r="E1788" i="7"/>
  <c r="H1787" i="7" a="1"/>
  <c r="H1787" i="7" s="1"/>
  <c r="E1787" i="7"/>
  <c r="H1786" i="7" a="1"/>
  <c r="H1786" i="7" s="1"/>
  <c r="E1786" i="7"/>
  <c r="H1785" i="7" a="1"/>
  <c r="H1785" i="7" s="1"/>
  <c r="E1785" i="7"/>
  <c r="H1784" i="7" a="1"/>
  <c r="H1784" i="7" s="1"/>
  <c r="E1784" i="7"/>
  <c r="H1783" i="7" a="1"/>
  <c r="H1783" i="7" s="1"/>
  <c r="E1783" i="7"/>
  <c r="H1782" i="7" a="1"/>
  <c r="H1782" i="7" s="1"/>
  <c r="E1782" i="7"/>
  <c r="H1781" i="7" a="1"/>
  <c r="H1781" i="7" s="1"/>
  <c r="E1781" i="7"/>
  <c r="H1780" i="7" a="1"/>
  <c r="H1780" i="7" s="1"/>
  <c r="E1780" i="7"/>
  <c r="H1779" i="7" a="1"/>
  <c r="H1779" i="7" s="1"/>
  <c r="E1779" i="7"/>
  <c r="H1778" i="7" a="1"/>
  <c r="H1778" i="7" s="1"/>
  <c r="E1778" i="7"/>
  <c r="H1777" i="7" a="1"/>
  <c r="H1777" i="7" s="1"/>
  <c r="E1777" i="7"/>
  <c r="H1776" i="7" a="1"/>
  <c r="H1776" i="7" s="1"/>
  <c r="E1776" i="7"/>
  <c r="E1775" i="7"/>
  <c r="E1774" i="7"/>
  <c r="H1773" i="7" a="1"/>
  <c r="H1773" i="7" s="1"/>
  <c r="E1773" i="7"/>
  <c r="H1772" i="7" a="1"/>
  <c r="H1772" i="7" s="1"/>
  <c r="E1772" i="7"/>
  <c r="H1771" i="7" a="1"/>
  <c r="H1771" i="7" s="1"/>
  <c r="E1771" i="7"/>
  <c r="H1770" i="7" a="1"/>
  <c r="H1770" i="7" s="1"/>
  <c r="E1770" i="7"/>
  <c r="H1769" i="7" a="1"/>
  <c r="H1769" i="7" s="1"/>
  <c r="E1769" i="7"/>
  <c r="H1768" i="7" a="1"/>
  <c r="H1768" i="7" s="1"/>
  <c r="E1768" i="7"/>
  <c r="H1767" i="7" l="1" a="1"/>
  <c r="H1767" i="7" s="1"/>
  <c r="E1767" i="7"/>
  <c r="H1766" i="7" a="1"/>
  <c r="H1766" i="7" s="1"/>
  <c r="E1766" i="7"/>
  <c r="H1765" i="7" a="1"/>
  <c r="H1765" i="7" s="1"/>
  <c r="E1765" i="7"/>
  <c r="H1746" i="7" l="1" a="1"/>
  <c r="H1746" i="7" s="1"/>
  <c r="E1746" i="7"/>
  <c r="H1745" i="7" a="1"/>
  <c r="H1745" i="7" s="1"/>
  <c r="E1745" i="7"/>
  <c r="H1744" i="7" a="1"/>
  <c r="H1744" i="7" s="1"/>
  <c r="E1744" i="7"/>
  <c r="H1764" i="7" a="1"/>
  <c r="H1764" i="7" s="1"/>
  <c r="E1764" i="7"/>
  <c r="H1763" i="7" a="1"/>
  <c r="H1763" i="7" s="1"/>
  <c r="E1763" i="7"/>
  <c r="H1762" i="7" a="1"/>
  <c r="H1762" i="7" s="1"/>
  <c r="E1762" i="7"/>
  <c r="H1761" i="7" a="1"/>
  <c r="H1761" i="7" s="1"/>
  <c r="E1761" i="7"/>
  <c r="H1760" i="7" a="1"/>
  <c r="H1760" i="7" s="1"/>
  <c r="E1760" i="7"/>
  <c r="H1759" i="7" a="1"/>
  <c r="H1759" i="7" s="1"/>
  <c r="E1759" i="7"/>
  <c r="H1758" i="7" a="1"/>
  <c r="H1758" i="7" s="1"/>
  <c r="E1758" i="7"/>
  <c r="H1757" i="7" a="1"/>
  <c r="H1757" i="7" s="1"/>
  <c r="E1757" i="7"/>
  <c r="H1756" i="7" a="1"/>
  <c r="H1756" i="7" s="1"/>
  <c r="E1756" i="7"/>
  <c r="H1755" i="7" a="1"/>
  <c r="H1755" i="7" s="1"/>
  <c r="E1755" i="7"/>
  <c r="H1754" i="7" a="1"/>
  <c r="H1754" i="7" s="1"/>
  <c r="E1754" i="7"/>
  <c r="H1753" i="7" a="1"/>
  <c r="H1753" i="7" s="1"/>
  <c r="E1753" i="7"/>
  <c r="H1752" i="7" a="1"/>
  <c r="H1752" i="7" s="1"/>
  <c r="E1752" i="7"/>
  <c r="H1751" i="7" a="1"/>
  <c r="H1751" i="7" s="1"/>
  <c r="E1751" i="7"/>
  <c r="H1750" i="7" a="1"/>
  <c r="H1750" i="7" s="1"/>
  <c r="E1750" i="7"/>
  <c r="H1749" i="7" a="1"/>
  <c r="H1749" i="7" s="1"/>
  <c r="E1749" i="7"/>
  <c r="E1748" i="7"/>
  <c r="H1747" i="7" a="1"/>
  <c r="H1747" i="7" s="1"/>
  <c r="E1747" i="7"/>
  <c r="H1743" i="7" a="1"/>
  <c r="H1743" i="7" s="1"/>
  <c r="E1743" i="7"/>
  <c r="H1742" i="7" a="1"/>
  <c r="H1742" i="7" s="1"/>
  <c r="E1742" i="7"/>
  <c r="H1719" i="7" a="1"/>
  <c r="H1719" i="7" s="1"/>
  <c r="E1719" i="7"/>
  <c r="H1718" i="7" a="1"/>
  <c r="H1718" i="7" s="1"/>
  <c r="E1718" i="7"/>
  <c r="H1717" i="7" a="1"/>
  <c r="H1717" i="7" s="1"/>
  <c r="E1717" i="7"/>
  <c r="H1727" i="7" l="1" a="1"/>
  <c r="H1727" i="7" s="1"/>
  <c r="E1727" i="7"/>
  <c r="H1726" i="7" a="1"/>
  <c r="H1726" i="7" s="1"/>
  <c r="E1726" i="7"/>
  <c r="H1741" i="7" a="1"/>
  <c r="H1741" i="7" s="1"/>
  <c r="E1741" i="7"/>
  <c r="H1740" i="7" a="1"/>
  <c r="H1740" i="7" s="1"/>
  <c r="E1740" i="7"/>
  <c r="H1739" i="7" a="1"/>
  <c r="H1739" i="7" s="1"/>
  <c r="E1739" i="7"/>
  <c r="H1738" i="7" a="1"/>
  <c r="H1738" i="7" s="1"/>
  <c r="E1738" i="7"/>
  <c r="H1737" i="7" a="1"/>
  <c r="H1737" i="7" s="1"/>
  <c r="E1737" i="7"/>
  <c r="H1736" i="7" a="1"/>
  <c r="H1736" i="7" s="1"/>
  <c r="E1736" i="7"/>
  <c r="H1735" i="7" a="1"/>
  <c r="H1735" i="7" s="1"/>
  <c r="E1735" i="7"/>
  <c r="H1734" i="7" a="1"/>
  <c r="H1734" i="7" s="1"/>
  <c r="E1734" i="7"/>
  <c r="H1733" i="7" a="1"/>
  <c r="H1733" i="7" s="1"/>
  <c r="E1733" i="7"/>
  <c r="H1732" i="7" a="1"/>
  <c r="H1732" i="7" s="1"/>
  <c r="E1732" i="7"/>
  <c r="H1731" i="7" a="1"/>
  <c r="H1731" i="7" s="1"/>
  <c r="E1731" i="7"/>
  <c r="H1730" i="7" a="1"/>
  <c r="H1730" i="7" s="1"/>
  <c r="E1730" i="7"/>
  <c r="H1729" i="7" a="1"/>
  <c r="H1729" i="7" s="1"/>
  <c r="E1729" i="7"/>
  <c r="H1728" i="7" a="1"/>
  <c r="H1728" i="7" s="1"/>
  <c r="E1728" i="7"/>
  <c r="H1716" i="7" a="1"/>
  <c r="H1716" i="7" s="1"/>
  <c r="E1716" i="7"/>
  <c r="H1715" i="7" a="1"/>
  <c r="H1715" i="7" s="1"/>
  <c r="E1715" i="7"/>
  <c r="E1714" i="7"/>
  <c r="H1713" i="7" a="1"/>
  <c r="H1713" i="7" s="1"/>
  <c r="E1713" i="7"/>
  <c r="H1725" i="7" a="1"/>
  <c r="H1725" i="7" s="1"/>
  <c r="E1725" i="7"/>
  <c r="H1724" i="7" a="1"/>
  <c r="H1724" i="7" s="1"/>
  <c r="E1724" i="7"/>
  <c r="H1723" i="7" a="1"/>
  <c r="H1723" i="7" s="1"/>
  <c r="E1723" i="7"/>
  <c r="H1722" i="7" a="1"/>
  <c r="H1722" i="7" s="1"/>
  <c r="E1722" i="7"/>
  <c r="H1721" i="7" a="1"/>
  <c r="H1721" i="7" s="1"/>
  <c r="E1721" i="7"/>
  <c r="H1720" i="7" a="1"/>
  <c r="H1720" i="7" s="1"/>
  <c r="E1720" i="7"/>
  <c r="H1712" i="7" l="1" a="1"/>
  <c r="H1712" i="7" s="1"/>
  <c r="E1712" i="7"/>
  <c r="H1711" i="7" a="1"/>
  <c r="H1711" i="7" s="1"/>
  <c r="E1711" i="7"/>
  <c r="H1710" i="7" a="1"/>
  <c r="H1710" i="7" s="1"/>
  <c r="E1710" i="7"/>
  <c r="H1709" i="7" a="1"/>
  <c r="H1709" i="7" s="1"/>
  <c r="E1709" i="7"/>
  <c r="H1708" i="7" a="1"/>
  <c r="H1708" i="7" s="1"/>
  <c r="E1708" i="7"/>
  <c r="H1707" i="7" a="1"/>
  <c r="H1707" i="7" s="1"/>
  <c r="E1707" i="7"/>
  <c r="H1706" i="7" a="1"/>
  <c r="H1706" i="7" s="1"/>
  <c r="E1706" i="7"/>
  <c r="H1705" i="7" a="1"/>
  <c r="H1705" i="7" s="1"/>
  <c r="E1705" i="7"/>
  <c r="H1704" i="7" a="1"/>
  <c r="H1704" i="7" s="1"/>
  <c r="E1704" i="7"/>
  <c r="H1703" i="7" a="1"/>
  <c r="H1703" i="7" s="1"/>
  <c r="E1703" i="7"/>
  <c r="H1702" i="7" a="1"/>
  <c r="H1702" i="7" s="1"/>
  <c r="E1702" i="7"/>
  <c r="H1701" i="7" a="1"/>
  <c r="H1701" i="7" s="1"/>
  <c r="E1701" i="7"/>
  <c r="H1700" i="7" a="1"/>
  <c r="H1700" i="7" s="1"/>
  <c r="E1700" i="7"/>
  <c r="H1699" i="7" a="1"/>
  <c r="H1699" i="7" s="1"/>
  <c r="E1699" i="7"/>
  <c r="E1696" i="7" l="1"/>
  <c r="E1695" i="7"/>
  <c r="H1694" i="7" a="1"/>
  <c r="H1694" i="7" s="1"/>
  <c r="E1694" i="7"/>
  <c r="H1698" i="7" a="1"/>
  <c r="H1698" i="7" s="1"/>
  <c r="E1698" i="7"/>
  <c r="H1697" i="7" a="1"/>
  <c r="H1697" i="7" s="1"/>
  <c r="E1697" i="7"/>
  <c r="H1693" i="7" a="1"/>
  <c r="H1693" i="7" s="1"/>
  <c r="E1693" i="7"/>
  <c r="H1692" i="7" a="1"/>
  <c r="H1692" i="7" s="1"/>
  <c r="E1692" i="7"/>
  <c r="H1691" i="7" a="1"/>
  <c r="H1691" i="7" s="1"/>
  <c r="E1691" i="7"/>
  <c r="H1690" i="7" a="1"/>
  <c r="H1690" i="7" s="1"/>
  <c r="E1690" i="7"/>
  <c r="H1689" i="7" a="1"/>
  <c r="H1689" i="7" s="1"/>
  <c r="E1689" i="7"/>
  <c r="H1688" i="7" a="1"/>
  <c r="H1688" i="7" s="1"/>
  <c r="E1688" i="7"/>
  <c r="H1687" i="7" a="1"/>
  <c r="H1687" i="7" s="1"/>
  <c r="E1687" i="7"/>
  <c r="H1686" i="7" a="1"/>
  <c r="H1686" i="7" s="1"/>
  <c r="E1686" i="7"/>
  <c r="H1685" i="7" a="1"/>
  <c r="H1685" i="7" s="1"/>
  <c r="E1685" i="7"/>
  <c r="H1684" i="7" a="1"/>
  <c r="H1684" i="7" s="1"/>
  <c r="E1684" i="7"/>
  <c r="H1683" i="7" a="1"/>
  <c r="H1683" i="7" s="1"/>
  <c r="E1683" i="7"/>
  <c r="H1682" i="7" a="1"/>
  <c r="H1682" i="7" s="1"/>
  <c r="E1682" i="7"/>
  <c r="H1667" i="7" l="1" a="1"/>
  <c r="H1667" i="7" s="1"/>
  <c r="E1667" i="7"/>
  <c r="E1666" i="7"/>
  <c r="E1665" i="7"/>
  <c r="H1664" i="7" a="1"/>
  <c r="H1664" i="7" s="1"/>
  <c r="E1664" i="7"/>
  <c r="H1681" i="7" a="1"/>
  <c r="H1681" i="7" s="1"/>
  <c r="E1681" i="7"/>
  <c r="H1680" i="7" a="1"/>
  <c r="H1680" i="7" s="1"/>
  <c r="E1680" i="7"/>
  <c r="H1679" i="7" a="1"/>
  <c r="H1679" i="7" s="1"/>
  <c r="E1679" i="7"/>
  <c r="H1678" i="7" a="1"/>
  <c r="H1678" i="7" s="1"/>
  <c r="E1678" i="7"/>
  <c r="H1677" i="7" a="1"/>
  <c r="H1677" i="7" s="1"/>
  <c r="E1677" i="7"/>
  <c r="H1676" i="7" a="1"/>
  <c r="H1676" i="7" s="1"/>
  <c r="E1676" i="7"/>
  <c r="H1675" i="7" a="1"/>
  <c r="H1675" i="7" s="1"/>
  <c r="E1675" i="7"/>
  <c r="H1674" i="7" a="1"/>
  <c r="H1674" i="7" s="1"/>
  <c r="E1674" i="7"/>
  <c r="H1673" i="7" a="1"/>
  <c r="H1673" i="7" s="1"/>
  <c r="E1673" i="7"/>
  <c r="H1672" i="7" a="1"/>
  <c r="H1672" i="7" s="1"/>
  <c r="E1672" i="7"/>
  <c r="H1671" i="7" a="1"/>
  <c r="H1671" i="7" s="1"/>
  <c r="E1671" i="7"/>
  <c r="H1670" i="7" a="1"/>
  <c r="H1670" i="7" s="1"/>
  <c r="E1670" i="7"/>
  <c r="H1669" i="7" a="1"/>
  <c r="H1669" i="7" s="1"/>
  <c r="E1669" i="7"/>
  <c r="H1668" i="7" a="1"/>
  <c r="H1668" i="7" s="1"/>
  <c r="E1668" i="7"/>
  <c r="H1663" i="7" a="1"/>
  <c r="H1663" i="7" s="1"/>
  <c r="E1663" i="7"/>
  <c r="H1662" i="7" a="1"/>
  <c r="H1662" i="7" s="1"/>
  <c r="E1662" i="7"/>
  <c r="H1661" i="7" a="1"/>
  <c r="H1661" i="7" s="1"/>
  <c r="E1661" i="7"/>
  <c r="H1660" i="7" a="1"/>
  <c r="H1660" i="7" s="1"/>
  <c r="E1660" i="7"/>
  <c r="H1659" i="7" a="1"/>
  <c r="H1659" i="7" s="1"/>
  <c r="E1659" i="7"/>
  <c r="H1658" i="7" l="1" a="1"/>
  <c r="H1658" i="7" s="1"/>
  <c r="E1658" i="7"/>
  <c r="H1657" i="7" a="1"/>
  <c r="H1657" i="7" s="1"/>
  <c r="E1657" i="7"/>
  <c r="H1656" i="7" a="1"/>
  <c r="H1656" i="7" s="1"/>
  <c r="E1656" i="7"/>
  <c r="H1655" i="7" a="1"/>
  <c r="H1655" i="7" s="1"/>
  <c r="E1655" i="7"/>
  <c r="H1654" i="7" a="1"/>
  <c r="H1654" i="7" s="1"/>
  <c r="E1654" i="7"/>
  <c r="H1653" i="7" a="1"/>
  <c r="H1653" i="7" s="1"/>
  <c r="E1653" i="7"/>
  <c r="H1652" i="7" a="1"/>
  <c r="H1652" i="7" s="1"/>
  <c r="E1652" i="7"/>
  <c r="H1651" i="7" a="1"/>
  <c r="H1651" i="7" s="1"/>
  <c r="E1651" i="7"/>
  <c r="H1650" i="7" a="1"/>
  <c r="H1650" i="7" s="1"/>
  <c r="E1650" i="7"/>
  <c r="H1649" i="7" l="1" a="1"/>
  <c r="H1649" i="7" s="1"/>
  <c r="E1649" i="7"/>
  <c r="H1648" i="7" a="1"/>
  <c r="H1648" i="7" s="1"/>
  <c r="E1648" i="7"/>
  <c r="H1647" i="7" a="1"/>
  <c r="H1647" i="7" s="1"/>
  <c r="E1647" i="7"/>
  <c r="H1646" i="7" a="1"/>
  <c r="H1646" i="7" s="1"/>
  <c r="E1646" i="7"/>
  <c r="H1645" i="7" a="1"/>
  <c r="H1645" i="7" s="1"/>
  <c r="E1645" i="7"/>
  <c r="H1644" i="7" a="1"/>
  <c r="H1644" i="7" s="1"/>
  <c r="E1644" i="7"/>
  <c r="H1643" i="7" a="1"/>
  <c r="H1643" i="7" s="1"/>
  <c r="E1643" i="7"/>
  <c r="H1642" i="7" a="1"/>
  <c r="H1642" i="7" s="1"/>
  <c r="E1642" i="7"/>
  <c r="H1641" i="7" a="1"/>
  <c r="H1641" i="7" s="1"/>
  <c r="E1641" i="7"/>
  <c r="H1640" i="7" a="1"/>
  <c r="H1640" i="7" s="1"/>
  <c r="E1640" i="7"/>
  <c r="H2045" i="7" a="1"/>
  <c r="H2045" i="7" s="1"/>
  <c r="E2045" i="7"/>
  <c r="H2044" i="7" a="1"/>
  <c r="H2044" i="7" s="1"/>
  <c r="E2044" i="7"/>
  <c r="H1639" i="7" a="1"/>
  <c r="H1639" i="7" s="1"/>
  <c r="E1639" i="7"/>
  <c r="H1638" i="7" a="1"/>
  <c r="H1638" i="7" s="1"/>
  <c r="E1638" i="7"/>
  <c r="H1637" i="7" a="1"/>
  <c r="H1637" i="7" s="1"/>
  <c r="E1637" i="7"/>
  <c r="H1636" i="7" a="1"/>
  <c r="H1636" i="7" s="1"/>
  <c r="E1636" i="7"/>
  <c r="H1635" i="7" a="1"/>
  <c r="H1635" i="7" s="1"/>
  <c r="E1635" i="7"/>
  <c r="H1634" i="7" a="1"/>
  <c r="H1634" i="7" s="1"/>
  <c r="E1634" i="7"/>
  <c r="H1633" i="7" a="1"/>
  <c r="H1633" i="7" s="1"/>
  <c r="E1633" i="7"/>
  <c r="H1632" i="7" a="1"/>
  <c r="H1632" i="7" s="1"/>
  <c r="E1632" i="7"/>
  <c r="H1631" i="7" a="1"/>
  <c r="H1631" i="7" s="1"/>
  <c r="E1631" i="7"/>
  <c r="H1630" i="7" a="1"/>
  <c r="H1630" i="7" s="1"/>
  <c r="E1630" i="7"/>
  <c r="H1618" i="7" a="1"/>
  <c r="H1618" i="7" s="1"/>
  <c r="E1618" i="7"/>
  <c r="H1617" i="7" a="1"/>
  <c r="H1617" i="7" s="1"/>
  <c r="E1617" i="7"/>
  <c r="H1616" i="7" a="1"/>
  <c r="H1616" i="7" s="1"/>
  <c r="E1616" i="7"/>
  <c r="H1615" i="7" a="1"/>
  <c r="H1615" i="7" s="1"/>
  <c r="E1615" i="7"/>
  <c r="H1626" i="7" a="1"/>
  <c r="H1626" i="7" s="1"/>
  <c r="E1626" i="7"/>
  <c r="H1625" i="7" a="1"/>
  <c r="H1625" i="7" s="1"/>
  <c r="E1625" i="7"/>
  <c r="H1624" i="7" a="1"/>
  <c r="H1624" i="7" s="1"/>
  <c r="E1624" i="7"/>
  <c r="H1623" i="7" a="1"/>
  <c r="H1623" i="7" s="1"/>
  <c r="E1623" i="7"/>
  <c r="H1622" i="7" a="1"/>
  <c r="H1622" i="7" s="1"/>
  <c r="E1622" i="7"/>
  <c r="H1621" i="7" a="1"/>
  <c r="H1621" i="7" s="1"/>
  <c r="E1621" i="7"/>
  <c r="H1620" i="7" a="1"/>
  <c r="H1620" i="7" s="1"/>
  <c r="E1620" i="7"/>
  <c r="H1619" i="7" a="1"/>
  <c r="H1619" i="7" s="1"/>
  <c r="E1619" i="7"/>
  <c r="H1612" i="7" a="1"/>
  <c r="H1612" i="7" s="1"/>
  <c r="E1612" i="7"/>
  <c r="H1611" i="7" a="1"/>
  <c r="H1611" i="7" s="1"/>
  <c r="E1611" i="7"/>
  <c r="H1610" i="7" a="1"/>
  <c r="H1610" i="7" s="1"/>
  <c r="E1610" i="7"/>
  <c r="H1614" i="7" l="1" a="1"/>
  <c r="H1614" i="7" s="1"/>
  <c r="E1614" i="7"/>
  <c r="H1613" i="7" a="1"/>
  <c r="H1613" i="7" s="1"/>
  <c r="E1613" i="7"/>
  <c r="H1595" i="7" l="1" a="1"/>
  <c r="H1595" i="7" s="1"/>
  <c r="E1595" i="7"/>
  <c r="H1594" i="7" a="1"/>
  <c r="H1594" i="7" s="1"/>
  <c r="E1594" i="7"/>
  <c r="H1593" i="7" a="1"/>
  <c r="H1593" i="7" s="1"/>
  <c r="E1593" i="7"/>
  <c r="H1609" i="7" a="1"/>
  <c r="H1609" i="7" s="1"/>
  <c r="E1609" i="7"/>
  <c r="H1608" i="7" a="1"/>
  <c r="H1608" i="7" s="1"/>
  <c r="E1608" i="7"/>
  <c r="H1607" i="7" a="1"/>
  <c r="H1607" i="7" s="1"/>
  <c r="E1607" i="7"/>
  <c r="H1606" i="7" a="1"/>
  <c r="H1606" i="7" s="1"/>
  <c r="E1606" i="7"/>
  <c r="H1605" i="7" a="1"/>
  <c r="H1605" i="7" s="1"/>
  <c r="E1605" i="7"/>
  <c r="H1604" i="7" a="1"/>
  <c r="H1604" i="7" s="1"/>
  <c r="E1604" i="7"/>
  <c r="H1603" i="7" a="1"/>
  <c r="H1603" i="7" s="1"/>
  <c r="E1603" i="7"/>
  <c r="H1602" i="7" a="1"/>
  <c r="H1602" i="7" s="1"/>
  <c r="E1602" i="7"/>
  <c r="H1601" i="7" a="1"/>
  <c r="H1601" i="7" s="1"/>
  <c r="E1601" i="7"/>
  <c r="H1600" i="7" a="1"/>
  <c r="H1600" i="7" s="1"/>
  <c r="E1600" i="7"/>
  <c r="H1599" i="7" a="1"/>
  <c r="H1599" i="7" s="1"/>
  <c r="E1599" i="7"/>
  <c r="H1598" i="7" a="1"/>
  <c r="H1598" i="7" s="1"/>
  <c r="E1598" i="7"/>
  <c r="H1584" i="7" a="1"/>
  <c r="H1584" i="7" s="1"/>
  <c r="E1584" i="7"/>
  <c r="H1583" i="7" a="1"/>
  <c r="H1583" i="7" s="1"/>
  <c r="E1583" i="7"/>
  <c r="H1574" i="7" a="1"/>
  <c r="H1574" i="7" s="1"/>
  <c r="E1574" i="7"/>
  <c r="H1573" i="7" a="1"/>
  <c r="H1573" i="7" s="1"/>
  <c r="E1573" i="7"/>
  <c r="H1597" i="7" a="1"/>
  <c r="H1597" i="7" s="1"/>
  <c r="E1597" i="7"/>
  <c r="H1596" i="7" a="1"/>
  <c r="H1596" i="7" s="1"/>
  <c r="E1596" i="7"/>
  <c r="H1592" i="7" l="1" a="1"/>
  <c r="H1592" i="7" s="1"/>
  <c r="E1592" i="7"/>
  <c r="H1591" i="7" a="1"/>
  <c r="H1591" i="7" s="1"/>
  <c r="E1591" i="7"/>
  <c r="H1590" i="7" a="1"/>
  <c r="H1590" i="7" s="1"/>
  <c r="E1590" i="7"/>
  <c r="H1589" i="7" a="1"/>
  <c r="H1589" i="7" s="1"/>
  <c r="E1589" i="7"/>
  <c r="H1588" i="7" a="1"/>
  <c r="H1588" i="7" s="1"/>
  <c r="E1588" i="7"/>
  <c r="H1587" i="7" a="1"/>
  <c r="H1587" i="7" s="1"/>
  <c r="E1587" i="7"/>
  <c r="H1586" i="7" a="1"/>
  <c r="H1586" i="7" s="1"/>
  <c r="E1586" i="7"/>
  <c r="H1585" i="7" a="1"/>
  <c r="H1585" i="7" s="1"/>
  <c r="E1585" i="7"/>
  <c r="H1582" i="7" a="1"/>
  <c r="H1582" i="7" s="1"/>
  <c r="E1582" i="7"/>
  <c r="H1581" i="7" a="1"/>
  <c r="H1581" i="7" s="1"/>
  <c r="E1581" i="7"/>
  <c r="H1580" i="7" a="1"/>
  <c r="H1580" i="7" s="1"/>
  <c r="E1580" i="7"/>
  <c r="H1579" i="7" a="1"/>
  <c r="H1579" i="7" s="1"/>
  <c r="E1579" i="7"/>
  <c r="E1578" i="7"/>
  <c r="H1577" i="7" a="1"/>
  <c r="H1577" i="7" s="1"/>
  <c r="E1577" i="7"/>
  <c r="H1576" i="7" a="1"/>
  <c r="H1576" i="7" s="1"/>
  <c r="E1576" i="7"/>
  <c r="H1575" i="7" a="1"/>
  <c r="H1575" i="7" s="1"/>
  <c r="E1575" i="7"/>
  <c r="H1557" i="7" l="1" a="1"/>
  <c r="H1557" i="7" s="1"/>
  <c r="E1557" i="7"/>
  <c r="H1556" i="7" a="1"/>
  <c r="H1556" i="7" s="1"/>
  <c r="E1556" i="7"/>
  <c r="E1175" i="7"/>
  <c r="E1174" i="7"/>
  <c r="E1173" i="7"/>
  <c r="E1172" i="7"/>
  <c r="H1572" i="7" a="1"/>
  <c r="H1572" i="7" s="1"/>
  <c r="E1572" i="7"/>
  <c r="H1571" i="7" a="1"/>
  <c r="H1571" i="7" s="1"/>
  <c r="E1571" i="7"/>
  <c r="H1570" i="7" l="1" a="1"/>
  <c r="H1570" i="7" s="1"/>
  <c r="E1570" i="7"/>
  <c r="H1569" i="7" a="1"/>
  <c r="H1569" i="7" s="1"/>
  <c r="E1569" i="7"/>
  <c r="H1568" i="7" a="1"/>
  <c r="H1568" i="7" s="1"/>
  <c r="E1568" i="7"/>
  <c r="H1567" i="7" a="1"/>
  <c r="H1567" i="7" s="1"/>
  <c r="E1567" i="7"/>
  <c r="H1566" i="7" a="1"/>
  <c r="H1566" i="7" s="1"/>
  <c r="E1566" i="7"/>
  <c r="H1565" i="7" a="1"/>
  <c r="H1565" i="7" s="1"/>
  <c r="E1565" i="7"/>
  <c r="H1564" i="7" a="1"/>
  <c r="H1564" i="7" s="1"/>
  <c r="E1564" i="7"/>
  <c r="H1563" i="7" a="1"/>
  <c r="H1563" i="7" s="1"/>
  <c r="E1563" i="7"/>
  <c r="H1562" i="7" a="1"/>
  <c r="H1562" i="7" s="1"/>
  <c r="E1562" i="7"/>
  <c r="E1561" i="7"/>
  <c r="E1560" i="7"/>
  <c r="E1559" i="7"/>
  <c r="H1558" i="7" a="1"/>
  <c r="H1558" i="7" s="1"/>
  <c r="E1558" i="7"/>
  <c r="H1555" i="7" a="1"/>
  <c r="H1555" i="7" s="1"/>
  <c r="E1555" i="7"/>
  <c r="E1554" i="7"/>
  <c r="E1553" i="7"/>
  <c r="E1552" i="7"/>
  <c r="H1551" i="7" a="1"/>
  <c r="H1551" i="7" s="1"/>
  <c r="E1551" i="7"/>
  <c r="H1537" i="7" a="1"/>
  <c r="H1537" i="7" s="1"/>
  <c r="E1537" i="7"/>
  <c r="H1536" i="7" a="1"/>
  <c r="H1536" i="7" s="1"/>
  <c r="E1536" i="7"/>
  <c r="H1545" i="7" a="1"/>
  <c r="H1545" i="7" s="1"/>
  <c r="E1545" i="7"/>
  <c r="H1544" i="7" a="1"/>
  <c r="H1544" i="7" s="1"/>
  <c r="E1544" i="7"/>
  <c r="H1550" i="7" a="1"/>
  <c r="H1550" i="7" s="1"/>
  <c r="E1550" i="7"/>
  <c r="H1549" i="7" a="1"/>
  <c r="H1549" i="7" s="1"/>
  <c r="E1549" i="7"/>
  <c r="H1540" i="7" a="1"/>
  <c r="H1540" i="7" s="1"/>
  <c r="E1540" i="7"/>
  <c r="H1539" i="7" a="1"/>
  <c r="H1539" i="7" s="1"/>
  <c r="E1539" i="7"/>
  <c r="H1538" i="7" a="1"/>
  <c r="H1538" i="7" s="1"/>
  <c r="E1538" i="7"/>
  <c r="H1543" i="7" a="1"/>
  <c r="H1543" i="7" s="1"/>
  <c r="E1543" i="7"/>
  <c r="H1542" i="7" a="1"/>
  <c r="H1542" i="7" s="1"/>
  <c r="E1542" i="7"/>
  <c r="H1541" i="7" a="1"/>
  <c r="H1541" i="7" s="1"/>
  <c r="E1541" i="7"/>
  <c r="H1548" i="7" a="1"/>
  <c r="H1548" i="7" s="1"/>
  <c r="E1548" i="7"/>
  <c r="H1547" i="7" a="1"/>
  <c r="H1547" i="7" s="1"/>
  <c r="E1547" i="7"/>
  <c r="H1546" i="7" a="1"/>
  <c r="H1546" i="7" s="1"/>
  <c r="E1546" i="7"/>
  <c r="H1535" i="7" l="1" a="1"/>
  <c r="H1535" i="7" s="1"/>
  <c r="E1535" i="7"/>
  <c r="H1534" i="7" a="1"/>
  <c r="H1534" i="7" s="1"/>
  <c r="E1534" i="7"/>
  <c r="H1533" i="7" a="1"/>
  <c r="H1533" i="7" s="1"/>
  <c r="E1533" i="7"/>
  <c r="H1532" i="7" a="1"/>
  <c r="H1532" i="7" s="1"/>
  <c r="E1532" i="7"/>
  <c r="H1531" i="7" a="1"/>
  <c r="H1531" i="7" s="1"/>
  <c r="E1531" i="7"/>
  <c r="H1530" i="7" a="1"/>
  <c r="H1530" i="7" s="1"/>
  <c r="E1530" i="7"/>
  <c r="H1529" i="7" a="1"/>
  <c r="H1529" i="7" s="1"/>
  <c r="E1529" i="7"/>
  <c r="H1528" i="7" a="1"/>
  <c r="H1528" i="7" s="1"/>
  <c r="E1528" i="7"/>
  <c r="H1524" i="7" a="1"/>
  <c r="H1524" i="7" s="1"/>
  <c r="E1524" i="7"/>
  <c r="E1523" i="7"/>
  <c r="E1522" i="7"/>
  <c r="E1521" i="7"/>
  <c r="H1520" i="7" a="1"/>
  <c r="H1520" i="7" s="1"/>
  <c r="E1520" i="7"/>
  <c r="H1517" i="7" a="1"/>
  <c r="H1517" i="7" s="1"/>
  <c r="E1517" i="7"/>
  <c r="H1516" i="7" a="1"/>
  <c r="H1516" i="7" s="1"/>
  <c r="E1516" i="7"/>
  <c r="H1515" i="7" a="1"/>
  <c r="H1515" i="7" s="1"/>
  <c r="E1515" i="7"/>
  <c r="H1519" i="7" a="1"/>
  <c r="H1519" i="7" s="1"/>
  <c r="E1519" i="7"/>
  <c r="H1518" i="7" a="1"/>
  <c r="H1518" i="7" s="1"/>
  <c r="E1518" i="7"/>
  <c r="H1527" i="7" a="1"/>
  <c r="H1527" i="7" s="1"/>
  <c r="E1527" i="7"/>
  <c r="H1526" i="7" a="1"/>
  <c r="H1526" i="7" s="1"/>
  <c r="E1526" i="7"/>
  <c r="H1525" i="7" a="1"/>
  <c r="H1525" i="7" s="1"/>
  <c r="E1525" i="7"/>
  <c r="H1514" i="7" l="1" a="1"/>
  <c r="H1514" i="7" s="1"/>
  <c r="E1514" i="7"/>
  <c r="H1513" i="7" a="1"/>
  <c r="H1513" i="7" s="1"/>
  <c r="E1513" i="7"/>
  <c r="H1512" i="7" a="1"/>
  <c r="H1512" i="7" s="1"/>
  <c r="E1512" i="7"/>
  <c r="H1511" i="7" a="1"/>
  <c r="H1511" i="7" s="1"/>
  <c r="E1511" i="7"/>
  <c r="H1510" i="7" a="1"/>
  <c r="H1510" i="7" s="1"/>
  <c r="E1510" i="7"/>
  <c r="H1509" i="7" a="1"/>
  <c r="H1509" i="7" s="1"/>
  <c r="E1509" i="7"/>
  <c r="H1508" i="7" a="1"/>
  <c r="H1508" i="7" s="1"/>
  <c r="E1508" i="7"/>
  <c r="H1507" i="7" a="1"/>
  <c r="H1507" i="7" s="1"/>
  <c r="E1507" i="7"/>
  <c r="H1499" i="7" a="1"/>
  <c r="H1499" i="7" s="1"/>
  <c r="E1499" i="7"/>
  <c r="H1498" i="7" a="1"/>
  <c r="H1498" i="7" s="1"/>
  <c r="E1498" i="7"/>
  <c r="H1497" i="7" a="1"/>
  <c r="H1497" i="7" s="1"/>
  <c r="E1497" i="7"/>
  <c r="H1506" i="7" a="1"/>
  <c r="H1506" i="7" s="1"/>
  <c r="E1506" i="7"/>
  <c r="H1505" i="7" a="1"/>
  <c r="H1505" i="7" s="1"/>
  <c r="E1505" i="7"/>
  <c r="H1504" i="7" l="1" a="1"/>
  <c r="H1504" i="7" s="1"/>
  <c r="E1504" i="7"/>
  <c r="E1503" i="7"/>
  <c r="H1502" i="7" a="1"/>
  <c r="H1502" i="7" s="1"/>
  <c r="E1502" i="7"/>
  <c r="H1501" i="7" a="1"/>
  <c r="H1501" i="7" s="1"/>
  <c r="E1501" i="7"/>
  <c r="H1500" i="7" a="1"/>
  <c r="H1500" i="7" s="1"/>
  <c r="E1500" i="7"/>
  <c r="H1496" i="7" l="1" a="1"/>
  <c r="H1496" i="7" s="1"/>
  <c r="E1496" i="7"/>
  <c r="H1495" i="7" a="1"/>
  <c r="H1495" i="7" s="1"/>
  <c r="E1495" i="7"/>
  <c r="H1494" i="7" a="1"/>
  <c r="H1494" i="7" s="1"/>
  <c r="E1494" i="7"/>
  <c r="E1493" i="7"/>
  <c r="E1492" i="7"/>
  <c r="E1491" i="7"/>
  <c r="H1490" i="7" a="1"/>
  <c r="H1490" i="7" s="1"/>
  <c r="E1490" i="7"/>
  <c r="H1489" i="7" a="1"/>
  <c r="H1489" i="7" s="1"/>
  <c r="E1489" i="7"/>
  <c r="H1488" i="7" a="1"/>
  <c r="H1488" i="7" s="1"/>
  <c r="E1488" i="7"/>
  <c r="H1487" i="7" a="1"/>
  <c r="H1487" i="7" s="1"/>
  <c r="E1487" i="7"/>
  <c r="H1486" i="7" a="1"/>
  <c r="H1486" i="7" s="1"/>
  <c r="E1486" i="7"/>
  <c r="H1485" i="7" a="1"/>
  <c r="H1485" i="7" s="1"/>
  <c r="E1485" i="7"/>
  <c r="E1484" i="7"/>
  <c r="H1483" i="7" a="1"/>
  <c r="H1483" i="7" s="1"/>
  <c r="E1483" i="7"/>
  <c r="H1482" i="7" l="1" a="1"/>
  <c r="H1482" i="7" s="1"/>
  <c r="E1482" i="7"/>
  <c r="H1481" i="7" a="1"/>
  <c r="H1481" i="7" s="1"/>
  <c r="E1481" i="7"/>
  <c r="H1480" i="7" a="1"/>
  <c r="H1480" i="7" s="1"/>
  <c r="E1480" i="7"/>
  <c r="H1479" i="7" a="1"/>
  <c r="H1479" i="7" s="1"/>
  <c r="E1479" i="7"/>
  <c r="H1478" i="7" a="1"/>
  <c r="H1478" i="7" s="1"/>
  <c r="E1478" i="7"/>
  <c r="H1477" i="7" a="1"/>
  <c r="H1477" i="7" s="1"/>
  <c r="E1477" i="7"/>
  <c r="H1476" i="7" a="1"/>
  <c r="H1476" i="7" s="1"/>
  <c r="E1476" i="7"/>
  <c r="H1475" i="7" a="1"/>
  <c r="H1475" i="7" s="1"/>
  <c r="E1475" i="7"/>
  <c r="H1474" i="7" a="1"/>
  <c r="H1474" i="7" s="1"/>
  <c r="E1474" i="7"/>
  <c r="E1473" i="7"/>
  <c r="E1472" i="7"/>
  <c r="E1471" i="7"/>
  <c r="H1470" i="7" a="1"/>
  <c r="H1470" i="7" s="1"/>
  <c r="E1470" i="7"/>
  <c r="H1465" i="7" a="1"/>
  <c r="H1465" i="7" s="1"/>
  <c r="E1465" i="7"/>
  <c r="H1464" i="7" a="1"/>
  <c r="H1464" i="7" s="1"/>
  <c r="E1464" i="7"/>
  <c r="H1463" i="7" a="1"/>
  <c r="H1463" i="7" s="1"/>
  <c r="E1463" i="7"/>
  <c r="H1462" i="7" l="1" a="1"/>
  <c r="H1462" i="7" s="1"/>
  <c r="E1462" i="7"/>
  <c r="H1461" i="7" a="1"/>
  <c r="H1461" i="7" s="1"/>
  <c r="E1461" i="7"/>
  <c r="H1460" i="7" a="1"/>
  <c r="H1460" i="7" s="1"/>
  <c r="E1460" i="7"/>
  <c r="H1459" i="7" a="1"/>
  <c r="H1459" i="7" s="1"/>
  <c r="E1459" i="7"/>
  <c r="H1458" i="7" a="1"/>
  <c r="H1458" i="7" s="1"/>
  <c r="E1458" i="7"/>
  <c r="H1457" i="7" a="1"/>
  <c r="H1457" i="7" s="1"/>
  <c r="E1457" i="7"/>
  <c r="H1456" i="7" a="1"/>
  <c r="H1456" i="7" s="1"/>
  <c r="E1456" i="7"/>
  <c r="H1455" i="7" a="1"/>
  <c r="H1455" i="7" s="1"/>
  <c r="E1455" i="7"/>
  <c r="H1454" i="7" a="1"/>
  <c r="H1454" i="7" s="1"/>
  <c r="E1454" i="7"/>
  <c r="H1453" i="7" a="1"/>
  <c r="H1453" i="7" s="1"/>
  <c r="E1453" i="7"/>
  <c r="H1469" i="7" l="1" a="1"/>
  <c r="H1469" i="7" s="1"/>
  <c r="E1469" i="7"/>
  <c r="E1468" i="7"/>
  <c r="E1467" i="7"/>
  <c r="H1466" i="7" a="1"/>
  <c r="H1466" i="7" s="1"/>
  <c r="E1466" i="7"/>
  <c r="H1452" i="7" l="1" a="1"/>
  <c r="H1452" i="7" s="1"/>
  <c r="E1452" i="7"/>
  <c r="H1451" i="7" a="1"/>
  <c r="H1451" i="7" s="1"/>
  <c r="E1451" i="7"/>
  <c r="H1450" i="7" a="1"/>
  <c r="H1450" i="7" s="1"/>
  <c r="E1450" i="7"/>
  <c r="H1449" i="7" a="1"/>
  <c r="H1449" i="7" s="1"/>
  <c r="E1449" i="7"/>
  <c r="H1448" i="7" a="1"/>
  <c r="H1448" i="7" s="1"/>
  <c r="E1448" i="7"/>
  <c r="H1447" i="7" a="1"/>
  <c r="H1447" i="7" s="1"/>
  <c r="E1447" i="7"/>
  <c r="H1446" i="7" a="1"/>
  <c r="H1446" i="7" s="1"/>
  <c r="E1446" i="7"/>
  <c r="H1445" i="7" a="1"/>
  <c r="H1445" i="7" s="1"/>
  <c r="E1445" i="7"/>
  <c r="H1444" i="7" a="1"/>
  <c r="H1444" i="7" s="1"/>
  <c r="E1444" i="7"/>
  <c r="H1443" i="7" a="1"/>
  <c r="H1443" i="7" s="1"/>
  <c r="E1443" i="7"/>
  <c r="H1442" i="7" a="1"/>
  <c r="H1442" i="7" s="1"/>
  <c r="E1442" i="7"/>
  <c r="H1441" i="7" a="1"/>
  <c r="H1441" i="7" s="1"/>
  <c r="E1441" i="7"/>
  <c r="H1440" i="7" a="1"/>
  <c r="H1440" i="7" s="1"/>
  <c r="E1440" i="7"/>
  <c r="H1439" i="7" a="1"/>
  <c r="H1439" i="7" s="1"/>
  <c r="E1439" i="7"/>
  <c r="E1345" i="7"/>
  <c r="H1438" i="7" a="1"/>
  <c r="H1438" i="7" s="1"/>
  <c r="E1438" i="7"/>
  <c r="H1437" i="7" a="1"/>
  <c r="H1437" i="7" s="1"/>
  <c r="E1437" i="7"/>
  <c r="E1433" i="7" l="1"/>
  <c r="E1434" i="7"/>
  <c r="H1436" i="7" a="1"/>
  <c r="H1436" i="7" s="1"/>
  <c r="E1436" i="7"/>
  <c r="E1435" i="7"/>
  <c r="H1432" i="7" a="1"/>
  <c r="H1432" i="7" s="1"/>
  <c r="E1432" i="7"/>
  <c r="H1416" i="7" l="1" a="1"/>
  <c r="H1416" i="7" s="1"/>
  <c r="E1416" i="7"/>
  <c r="H1415" i="7" a="1"/>
  <c r="H1415" i="7" s="1"/>
  <c r="E1415" i="7"/>
  <c r="H1414" i="7" a="1"/>
  <c r="H1414" i="7" s="1"/>
  <c r="E1414" i="7"/>
  <c r="H1318" i="7" l="1" a="1"/>
  <c r="H1318" i="7" s="1"/>
  <c r="E1318" i="7"/>
  <c r="H1317" i="7" a="1"/>
  <c r="H1317" i="7" s="1"/>
  <c r="E1317" i="7"/>
  <c r="H1320" i="7" a="1"/>
  <c r="H1320" i="7" s="1"/>
  <c r="E1320" i="7"/>
  <c r="H1319" i="7" a="1"/>
  <c r="H1319" i="7" s="1"/>
  <c r="E1319" i="7"/>
  <c r="H1431" i="7" a="1"/>
  <c r="H1431" i="7" s="1"/>
  <c r="E1431" i="7"/>
  <c r="H1430" i="7" a="1"/>
  <c r="H1430" i="7" s="1"/>
  <c r="E1430" i="7"/>
  <c r="H1429" i="7" a="1"/>
  <c r="H1429" i="7" s="1"/>
  <c r="E1429" i="7"/>
  <c r="H1428" i="7" a="1"/>
  <c r="H1428" i="7" s="1"/>
  <c r="E1428" i="7"/>
  <c r="H1427" i="7" a="1"/>
  <c r="H1427" i="7" s="1"/>
  <c r="E1427" i="7"/>
  <c r="H1426" i="7" a="1"/>
  <c r="H1426" i="7" s="1"/>
  <c r="E1426" i="7"/>
  <c r="H1425" i="7" a="1"/>
  <c r="H1425" i="7" s="1"/>
  <c r="E1425" i="7"/>
  <c r="H1424" i="7" a="1"/>
  <c r="H1424" i="7" s="1"/>
  <c r="E1424" i="7"/>
  <c r="H1423" i="7" a="1"/>
  <c r="H1423" i="7" s="1"/>
  <c r="E1423" i="7"/>
  <c r="H1422" i="7" l="1" a="1"/>
  <c r="H1422" i="7" s="1"/>
  <c r="E1422" i="7"/>
  <c r="H1421" i="7" a="1"/>
  <c r="H1421" i="7" s="1"/>
  <c r="E1421" i="7"/>
  <c r="H1420" i="7" l="1" a="1"/>
  <c r="H1420" i="7" s="1"/>
  <c r="E1420" i="7"/>
  <c r="H1419" i="7" a="1"/>
  <c r="H1419" i="7" s="1"/>
  <c r="E1419" i="7"/>
  <c r="H1418" i="7" a="1"/>
  <c r="H1418" i="7" s="1"/>
  <c r="E1418" i="7"/>
  <c r="H1417" i="7" a="1"/>
  <c r="H1417" i="7" s="1"/>
  <c r="E1417" i="7"/>
  <c r="H1413" i="7" a="1"/>
  <c r="H1413" i="7" s="1"/>
  <c r="E1413" i="7"/>
  <c r="H1412" i="7" a="1"/>
  <c r="H1412" i="7" s="1"/>
  <c r="E1412" i="7"/>
  <c r="H1411" i="7" a="1"/>
  <c r="H1411" i="7" s="1"/>
  <c r="E1411" i="7"/>
  <c r="H1410" i="7" a="1"/>
  <c r="H1410" i="7" s="1"/>
  <c r="E1410" i="7"/>
  <c r="H1409" i="7" a="1"/>
  <c r="H1409" i="7" s="1"/>
  <c r="E1409" i="7"/>
  <c r="H1408" i="7" a="1"/>
  <c r="H1408" i="7" s="1"/>
  <c r="E1408" i="7"/>
  <c r="H1407" i="7" a="1"/>
  <c r="H1407" i="7" s="1"/>
  <c r="E1407" i="7"/>
  <c r="H1406" i="7" a="1"/>
  <c r="H1406" i="7" s="1"/>
  <c r="E1406" i="7"/>
  <c r="H1405" i="7" l="1" a="1"/>
  <c r="H1405" i="7" s="1"/>
  <c r="E1405" i="7"/>
  <c r="H1404" i="7" a="1"/>
  <c r="H1404" i="7" s="1"/>
  <c r="E1404" i="7"/>
  <c r="H1403" i="7" a="1"/>
  <c r="H1403" i="7" s="1"/>
  <c r="E1403" i="7"/>
  <c r="H1402" i="7" l="1" a="1"/>
  <c r="H1402" i="7" s="1"/>
  <c r="E1402" i="7"/>
  <c r="H1401" i="7" a="1"/>
  <c r="H1401" i="7" s="1"/>
  <c r="E1401" i="7"/>
  <c r="H1400" i="7" a="1"/>
  <c r="H1400" i="7" s="1"/>
  <c r="E1400" i="7"/>
  <c r="H1399" i="7" a="1"/>
  <c r="H1399" i="7" s="1"/>
  <c r="E1399" i="7"/>
  <c r="H1398" i="7" a="1"/>
  <c r="H1398" i="7" s="1"/>
  <c r="E1398" i="7"/>
  <c r="H1397" i="7" a="1"/>
  <c r="H1397" i="7" s="1"/>
  <c r="E1397" i="7"/>
  <c r="H1396" i="7" a="1"/>
  <c r="H1396" i="7" s="1"/>
  <c r="E1396" i="7"/>
  <c r="H1395" i="7" a="1"/>
  <c r="H1395" i="7" s="1"/>
  <c r="E1395" i="7"/>
  <c r="H1394" i="7" a="1"/>
  <c r="H1394" i="7" s="1"/>
  <c r="E1394" i="7"/>
  <c r="H1393" i="7" a="1"/>
  <c r="H1393" i="7" s="1"/>
  <c r="E1393" i="7"/>
  <c r="H1392" i="7" a="1"/>
  <c r="H1392" i="7" s="1"/>
  <c r="E1392" i="7"/>
  <c r="H1391" i="7" a="1"/>
  <c r="H1391" i="7" s="1"/>
  <c r="E1391" i="7"/>
  <c r="H1390" i="7" a="1"/>
  <c r="H1390" i="7" s="1"/>
  <c r="E1390" i="7"/>
  <c r="H1389" i="7" a="1"/>
  <c r="H1389" i="7" s="1"/>
  <c r="E1389" i="7"/>
  <c r="H1388" i="7" a="1"/>
  <c r="H1388" i="7" s="1"/>
  <c r="E1388" i="7"/>
  <c r="H1347" i="7" a="1"/>
  <c r="H1347" i="7" s="1"/>
  <c r="E1347" i="7"/>
  <c r="H1346" i="7" a="1"/>
  <c r="H1346" i="7" s="1"/>
  <c r="E1346" i="7"/>
  <c r="H1344" i="7" a="1"/>
  <c r="H1344" i="7" s="1"/>
  <c r="E1344" i="7"/>
  <c r="H1343" i="7" l="1" a="1"/>
  <c r="H1343" i="7" s="1"/>
  <c r="E1343" i="7"/>
  <c r="H1342" i="7" a="1"/>
  <c r="H1342" i="7" s="1"/>
  <c r="E1342" i="7"/>
  <c r="H1341" i="7" a="1"/>
  <c r="H1341" i="7" s="1"/>
  <c r="E1341" i="7"/>
  <c r="H1316" i="7" a="1"/>
  <c r="H1316" i="7" s="1"/>
  <c r="E1316" i="7"/>
  <c r="H1315" i="7" a="1"/>
  <c r="H1315" i="7" s="1"/>
  <c r="E1315" i="7"/>
  <c r="H1387" i="7" a="1"/>
  <c r="H1387" i="7" s="1"/>
  <c r="E1387" i="7"/>
  <c r="H1386" i="7" a="1"/>
  <c r="H1386" i="7" s="1"/>
  <c r="E1386" i="7"/>
  <c r="H1385" i="7" a="1"/>
  <c r="H1385" i="7" s="1"/>
  <c r="E1385" i="7"/>
  <c r="H1384" i="7" a="1"/>
  <c r="H1384" i="7" s="1"/>
  <c r="E1384" i="7"/>
  <c r="H1383" i="7" a="1"/>
  <c r="H1383" i="7" s="1"/>
  <c r="E1383" i="7"/>
  <c r="H1382" i="7" a="1"/>
  <c r="H1382" i="7" s="1"/>
  <c r="E1382" i="7"/>
  <c r="H1376" i="7" a="1"/>
  <c r="H1376" i="7" s="1"/>
  <c r="E1376" i="7"/>
  <c r="H1375" i="7" a="1"/>
  <c r="H1375" i="7" s="1"/>
  <c r="E1375" i="7"/>
  <c r="H1374" i="7" a="1"/>
  <c r="H1374" i="7" s="1"/>
  <c r="E1374" i="7"/>
  <c r="H1373" i="7" a="1"/>
  <c r="H1373" i="7" s="1"/>
  <c r="E1373" i="7"/>
  <c r="H1372" i="7" a="1"/>
  <c r="H1372" i="7" s="1"/>
  <c r="E1372" i="7"/>
  <c r="H1371" i="7" a="1"/>
  <c r="H1371" i="7" s="1"/>
  <c r="E1371" i="7"/>
  <c r="H1370" i="7" a="1"/>
  <c r="H1370" i="7" s="1"/>
  <c r="E1370" i="7"/>
  <c r="H1369" i="7" a="1"/>
  <c r="H1369" i="7" s="1"/>
  <c r="E1369" i="7"/>
  <c r="H1368" i="7" a="1"/>
  <c r="H1368" i="7" s="1"/>
  <c r="E1368" i="7"/>
  <c r="H1363" i="7" a="1"/>
  <c r="H1363" i="7" s="1"/>
  <c r="E1363" i="7"/>
  <c r="H1362" i="7" a="1"/>
  <c r="H1362" i="7" s="1"/>
  <c r="E1362" i="7"/>
  <c r="H1361" i="7" a="1"/>
  <c r="H1361" i="7" s="1"/>
  <c r="E1361" i="7"/>
  <c r="H1360" i="7" a="1"/>
  <c r="H1360" i="7" s="1"/>
  <c r="E1360" i="7"/>
  <c r="H1359" i="7" a="1"/>
  <c r="H1359" i="7" s="1"/>
  <c r="E1359" i="7"/>
  <c r="H1358" i="7" a="1"/>
  <c r="H1358" i="7" s="1"/>
  <c r="E1358" i="7"/>
  <c r="H1357" i="7" a="1"/>
  <c r="H1357" i="7" s="1"/>
  <c r="E1357" i="7"/>
  <c r="H1356" i="7" a="1"/>
  <c r="H1356" i="7" s="1"/>
  <c r="E1356" i="7"/>
  <c r="H1355" i="7" a="1"/>
  <c r="H1355" i="7" s="1"/>
  <c r="E1355" i="7"/>
  <c r="H1354" i="7" a="1"/>
  <c r="H1354" i="7" s="1"/>
  <c r="E1354" i="7"/>
  <c r="H1353" i="7" a="1"/>
  <c r="H1353" i="7" s="1"/>
  <c r="E1353" i="7"/>
  <c r="H1352" i="7" a="1"/>
  <c r="H1352" i="7" s="1"/>
  <c r="E1352" i="7"/>
  <c r="H1351" i="7" a="1"/>
  <c r="H1351" i="7" s="1"/>
  <c r="E1351" i="7"/>
  <c r="H1350" i="7" a="1"/>
  <c r="H1350" i="7" s="1"/>
  <c r="E1350" i="7"/>
  <c r="H1349" i="7" a="1"/>
  <c r="H1349" i="7" s="1"/>
  <c r="E1349" i="7"/>
  <c r="H1348" i="7" a="1"/>
  <c r="H1348" i="7" s="1"/>
  <c r="E1348" i="7"/>
  <c r="H1340" i="7" a="1"/>
  <c r="H1340" i="7" s="1"/>
  <c r="E1340" i="7"/>
  <c r="H1339" i="7" a="1"/>
  <c r="H1339" i="7" s="1"/>
  <c r="E1339" i="7"/>
  <c r="H1338" i="7" a="1"/>
  <c r="H1338" i="7" s="1"/>
  <c r="E1338" i="7"/>
  <c r="H1337" i="7" a="1"/>
  <c r="H1337" i="7" s="1"/>
  <c r="E1337" i="7"/>
  <c r="H1336" i="7" a="1"/>
  <c r="H1336" i="7" s="1"/>
  <c r="E1336" i="7"/>
  <c r="H1335" i="7" a="1"/>
  <c r="H1335" i="7" s="1"/>
  <c r="E1335" i="7"/>
  <c r="H1334" i="7" a="1"/>
  <c r="H1334" i="7" s="1"/>
  <c r="E1334" i="7"/>
  <c r="H1333" i="7" a="1"/>
  <c r="H1333" i="7" s="1"/>
  <c r="E1333" i="7"/>
  <c r="H1332" i="7" a="1"/>
  <c r="H1332" i="7" s="1"/>
  <c r="E1332" i="7"/>
  <c r="H1331" i="7" a="1"/>
  <c r="H1331" i="7" s="1"/>
  <c r="E1331" i="7"/>
  <c r="H1330" i="7" a="1"/>
  <c r="H1330" i="7" s="1"/>
  <c r="E1330" i="7"/>
  <c r="H1329" i="7" a="1"/>
  <c r="H1329" i="7" s="1"/>
  <c r="E1329" i="7"/>
  <c r="H1328" i="7" a="1"/>
  <c r="H1328" i="7" s="1"/>
  <c r="E1328" i="7"/>
  <c r="H1327" i="7" a="1"/>
  <c r="H1327" i="7" s="1"/>
  <c r="E1327" i="7"/>
  <c r="H1326" i="7" a="1"/>
  <c r="H1326" i="7" s="1"/>
  <c r="E1326" i="7"/>
  <c r="H1325" i="7" a="1"/>
  <c r="H1325" i="7" s="1"/>
  <c r="E1325" i="7"/>
  <c r="H1324" i="7" a="1"/>
  <c r="H1324" i="7" s="1"/>
  <c r="E1324" i="7"/>
  <c r="H1323" i="7" a="1"/>
  <c r="H1323" i="7" s="1"/>
  <c r="E1323" i="7"/>
  <c r="H1322" i="7" a="1"/>
  <c r="H1322" i="7" s="1"/>
  <c r="E1322" i="7"/>
  <c r="H1321" i="7" a="1"/>
  <c r="H1321" i="7" s="1"/>
  <c r="E1321" i="7"/>
  <c r="H1314" i="7" a="1"/>
  <c r="H1314" i="7" s="1"/>
  <c r="E1314" i="7"/>
  <c r="H1313" i="7" a="1"/>
  <c r="H1313" i="7" s="1"/>
  <c r="E1313" i="7"/>
  <c r="E954" i="7" l="1"/>
  <c r="H1381" i="7" a="1"/>
  <c r="H1381" i="7" s="1"/>
  <c r="E1381" i="7"/>
  <c r="E1380" i="7"/>
  <c r="E1379" i="7"/>
  <c r="E1378" i="7"/>
  <c r="H1377" i="7" a="1"/>
  <c r="H1377" i="7" s="1"/>
  <c r="E1377" i="7"/>
  <c r="H1367" i="7" a="1"/>
  <c r="H1367" i="7" s="1"/>
  <c r="E1367" i="7"/>
  <c r="E1366" i="7"/>
  <c r="E1365" i="7"/>
  <c r="H1364" i="7" a="1"/>
  <c r="H1364" i="7" s="1"/>
  <c r="E1364" i="7"/>
  <c r="H1181" i="7" l="1" a="1"/>
  <c r="H1181" i="7" s="1"/>
  <c r="E1181" i="7"/>
  <c r="H1180" i="7" a="1"/>
  <c r="H1180" i="7" s="1"/>
  <c r="E1180" i="7"/>
  <c r="H1179" i="7" a="1"/>
  <c r="H1179" i="7" s="1"/>
  <c r="E1179" i="7"/>
  <c r="H1246" i="7" a="1"/>
  <c r="H1246" i="7" s="1"/>
  <c r="E1246" i="7"/>
  <c r="H1245" i="7" a="1"/>
  <c r="H1245" i="7" s="1"/>
  <c r="E1245" i="7"/>
  <c r="H1244" i="7" a="1"/>
  <c r="H1244" i="7" s="1"/>
  <c r="E1244" i="7"/>
  <c r="H1155" i="7" a="1"/>
  <c r="H1155" i="7" s="1"/>
  <c r="E1155" i="7"/>
  <c r="E1154" i="7"/>
  <c r="E1153" i="7"/>
  <c r="H1152" i="7" a="1"/>
  <c r="H1152" i="7" s="1"/>
  <c r="E1152" i="7"/>
  <c r="Q28" i="9"/>
  <c r="H1312" i="7" l="1" a="1"/>
  <c r="H1312" i="7" s="1"/>
  <c r="E1312" i="7"/>
  <c r="H1311" i="7" a="1"/>
  <c r="H1311" i="7" s="1"/>
  <c r="E1311" i="7"/>
  <c r="H1310" i="7" a="1"/>
  <c r="H1310" i="7" s="1"/>
  <c r="E1310" i="7"/>
  <c r="H1309" i="7" a="1"/>
  <c r="H1309" i="7" s="1"/>
  <c r="E1309" i="7"/>
  <c r="H1308" i="7" a="1"/>
  <c r="H1308" i="7" s="1"/>
  <c r="E1308" i="7"/>
  <c r="H1307" i="7" a="1"/>
  <c r="H1307" i="7" s="1"/>
  <c r="E1307" i="7"/>
  <c r="H1306" i="7" a="1"/>
  <c r="H1306" i="7" s="1"/>
  <c r="E1306" i="7"/>
  <c r="H1305" i="7" a="1"/>
  <c r="H1305" i="7" s="1"/>
  <c r="E1305" i="7"/>
  <c r="H1258" i="7" a="1"/>
  <c r="H1258" i="7" s="1"/>
  <c r="E1258" i="7"/>
  <c r="H1257" i="7" a="1"/>
  <c r="H1257" i="7" s="1"/>
  <c r="E1257" i="7"/>
  <c r="H1256" i="7" a="1"/>
  <c r="H1256" i="7" s="1"/>
  <c r="E1256" i="7"/>
  <c r="H1231" i="7" a="1"/>
  <c r="H1231" i="7" s="1"/>
  <c r="E1231" i="7"/>
  <c r="H1230" i="7" a="1"/>
  <c r="H1230" i="7" s="1"/>
  <c r="E1230" i="7"/>
  <c r="H1229" i="7" a="1"/>
  <c r="H1229" i="7" s="1"/>
  <c r="E1229" i="7"/>
  <c r="H1261" i="7" a="1"/>
  <c r="H1261" i="7" s="1"/>
  <c r="E1261" i="7"/>
  <c r="H1260" i="7" a="1"/>
  <c r="H1260" i="7" s="1"/>
  <c r="E1260" i="7"/>
  <c r="H1259" i="7" a="1"/>
  <c r="H1259" i="7" s="1"/>
  <c r="E1259" i="7"/>
  <c r="H1284" i="7" a="1"/>
  <c r="H1284" i="7" s="1"/>
  <c r="E1284" i="7"/>
  <c r="H1283" i="7" a="1"/>
  <c r="H1283" i="7" s="1"/>
  <c r="E1283" i="7"/>
  <c r="H1282" i="7" a="1"/>
  <c r="H1282" i="7" s="1"/>
  <c r="E1282" i="7"/>
  <c r="H1264" i="7" a="1"/>
  <c r="H1264" i="7" s="1"/>
  <c r="E1264" i="7"/>
  <c r="H1263" i="7" a="1"/>
  <c r="H1263" i="7" s="1"/>
  <c r="E1263" i="7"/>
  <c r="H1262" i="7" a="1"/>
  <c r="H1262" i="7" s="1"/>
  <c r="E1262" i="7"/>
  <c r="J14" i="9"/>
  <c r="J13" i="9"/>
  <c r="E1159" i="7"/>
  <c r="E1160" i="7"/>
  <c r="H1161" i="7" a="1"/>
  <c r="H1161" i="7" s="1"/>
  <c r="E1161" i="7"/>
  <c r="H1158" i="7" a="1"/>
  <c r="H1158" i="7" s="1"/>
  <c r="E1158" i="7"/>
  <c r="H1157" i="7" a="1"/>
  <c r="H1157" i="7" s="1"/>
  <c r="E1157" i="7"/>
  <c r="H1156" i="7" a="1"/>
  <c r="H1156" i="7" s="1"/>
  <c r="E1156" i="7"/>
  <c r="E1103" i="7"/>
  <c r="E1104" i="7"/>
  <c r="H1105" i="7" a="1"/>
  <c r="H1105" i="7" s="1"/>
  <c r="E1105" i="7"/>
  <c r="H1102" i="7" a="1"/>
  <c r="H1102" i="7" s="1"/>
  <c r="E1102" i="7"/>
  <c r="AA11" i="9"/>
  <c r="AA12" i="9"/>
  <c r="AA13" i="9"/>
  <c r="P14" i="9"/>
  <c r="Q14" i="9"/>
  <c r="R14" i="9"/>
  <c r="S14" i="9"/>
  <c r="T14" i="9"/>
  <c r="U14" i="9"/>
  <c r="V14" i="9"/>
  <c r="W14" i="9"/>
  <c r="X14" i="9"/>
  <c r="Y14" i="9"/>
  <c r="O14" i="9"/>
  <c r="H1304" i="7" a="1"/>
  <c r="H1304" i="7" s="1"/>
  <c r="E1304" i="7"/>
  <c r="H1303" i="7" a="1"/>
  <c r="H1303" i="7" s="1"/>
  <c r="E1303" i="7"/>
  <c r="AA14" i="9" l="1"/>
  <c r="AB14" i="9" s="1"/>
  <c r="H1214" i="7" a="1"/>
  <c r="H1214" i="7" s="1"/>
  <c r="E1214" i="7"/>
  <c r="H1213" i="7" a="1"/>
  <c r="H1213" i="7" s="1"/>
  <c r="E1213" i="7"/>
  <c r="H1302" i="7" a="1"/>
  <c r="H1302" i="7" s="1"/>
  <c r="E1302" i="7"/>
  <c r="H1301" i="7" a="1"/>
  <c r="H1301" i="7" s="1"/>
  <c r="E1301" i="7"/>
  <c r="H1300" i="7" a="1"/>
  <c r="H1300" i="7" s="1"/>
  <c r="E1300" i="7"/>
  <c r="H1299" i="7" a="1"/>
  <c r="H1299" i="7" s="1"/>
  <c r="E1299" i="7"/>
  <c r="H1225" i="7" a="1"/>
  <c r="H1225" i="7" s="1"/>
  <c r="E1225" i="7"/>
  <c r="H1224" i="7" a="1"/>
  <c r="H1224" i="7" s="1"/>
  <c r="E1224" i="7"/>
  <c r="H1223" i="7" a="1"/>
  <c r="H1223" i="7" s="1"/>
  <c r="E1223" i="7"/>
  <c r="H1298" i="7" a="1"/>
  <c r="H1298" i="7" s="1"/>
  <c r="E1298" i="7"/>
  <c r="H1297" i="7" a="1"/>
  <c r="H1297" i="7" s="1"/>
  <c r="E1297" i="7"/>
  <c r="H1281" i="7" a="1"/>
  <c r="H1281" i="7" s="1"/>
  <c r="E1281" i="7"/>
  <c r="H1280" i="7" a="1"/>
  <c r="H1280" i="7" s="1"/>
  <c r="E1280" i="7"/>
  <c r="H1243" i="7" a="1"/>
  <c r="H1243" i="7" s="1"/>
  <c r="E1243" i="7"/>
  <c r="H1242" i="7" a="1"/>
  <c r="H1242" i="7" s="1"/>
  <c r="E1242" i="7"/>
  <c r="H1233" i="7" a="1"/>
  <c r="H1233" i="7" s="1"/>
  <c r="E1233" i="7"/>
  <c r="H1232" i="7" a="1"/>
  <c r="H1232" i="7" s="1"/>
  <c r="E1232" i="7"/>
  <c r="H1252" i="7" a="1"/>
  <c r="H1252" i="7" s="1"/>
  <c r="E1252" i="7"/>
  <c r="H1251" i="7" a="1"/>
  <c r="H1251" i="7" s="1"/>
  <c r="E1251" i="7"/>
  <c r="H1250" i="7" a="1"/>
  <c r="H1250" i="7" s="1"/>
  <c r="E1250" i="7"/>
  <c r="H1293" i="7" a="1"/>
  <c r="H1293" i="7" s="1"/>
  <c r="E1293" i="7"/>
  <c r="H1292" i="7" a="1"/>
  <c r="H1292" i="7" s="1"/>
  <c r="E1292" i="7"/>
  <c r="H1291" i="7" a="1"/>
  <c r="H1291" i="7" s="1"/>
  <c r="E1291" i="7"/>
  <c r="H1296" i="7" a="1"/>
  <c r="H1296" i="7" s="1"/>
  <c r="E1296" i="7"/>
  <c r="H1295" i="7" a="1"/>
  <c r="H1295" i="7" s="1"/>
  <c r="E1295" i="7"/>
  <c r="H1294" i="7" a="1"/>
  <c r="H1294" i="7" s="1"/>
  <c r="E1294" i="7"/>
  <c r="H1270" i="7" a="1"/>
  <c r="H1270" i="7" s="1"/>
  <c r="E1270" i="7"/>
  <c r="H1269" i="7" a="1"/>
  <c r="H1269" i="7" s="1"/>
  <c r="E1269" i="7"/>
  <c r="H1268" i="7" a="1"/>
  <c r="H1268" i="7" s="1"/>
  <c r="E1268" i="7"/>
  <c r="H1273" i="7" a="1"/>
  <c r="H1273" i="7" s="1"/>
  <c r="E1273" i="7"/>
  <c r="H1272" i="7" a="1"/>
  <c r="H1272" i="7" s="1"/>
  <c r="E1272" i="7"/>
  <c r="H1271" i="7" a="1"/>
  <c r="H1271" i="7" s="1"/>
  <c r="E1271" i="7"/>
  <c r="H1267" i="7" a="1"/>
  <c r="H1267" i="7" s="1"/>
  <c r="E1267" i="7"/>
  <c r="H1266" i="7" a="1"/>
  <c r="H1266" i="7" s="1"/>
  <c r="E1266" i="7"/>
  <c r="H1265" i="7" a="1"/>
  <c r="H1265" i="7" s="1"/>
  <c r="E1265" i="7"/>
  <c r="H1236" i="7" a="1"/>
  <c r="H1236" i="7" s="1"/>
  <c r="E1236" i="7"/>
  <c r="H1235" i="7" a="1"/>
  <c r="H1235" i="7" s="1"/>
  <c r="E1235" i="7"/>
  <c r="H1234" i="7" a="1"/>
  <c r="H1234" i="7" s="1"/>
  <c r="E1234" i="7"/>
  <c r="H1249" i="7" a="1"/>
  <c r="H1249" i="7" s="1"/>
  <c r="E1249" i="7"/>
  <c r="H1248" i="7" a="1"/>
  <c r="H1248" i="7" s="1"/>
  <c r="E1248" i="7"/>
  <c r="H1247" i="7" a="1"/>
  <c r="H1247" i="7" s="1"/>
  <c r="E1247" i="7"/>
  <c r="H1255" i="7" a="1"/>
  <c r="H1255" i="7" s="1"/>
  <c r="E1255" i="7"/>
  <c r="H1254" i="7" a="1"/>
  <c r="H1254" i="7" s="1"/>
  <c r="E1254" i="7"/>
  <c r="H1253" i="7" a="1"/>
  <c r="H1253" i="7" s="1"/>
  <c r="E1253" i="7"/>
  <c r="H1276" i="7" a="1"/>
  <c r="H1276" i="7" s="1"/>
  <c r="E1276" i="7"/>
  <c r="H1275" i="7" a="1"/>
  <c r="H1275" i="7" s="1"/>
  <c r="E1275" i="7"/>
  <c r="H1274" i="7" a="1"/>
  <c r="H1274" i="7" s="1"/>
  <c r="E1274" i="7"/>
  <c r="H1287" i="7" a="1"/>
  <c r="H1287" i="7" s="1"/>
  <c r="E1287" i="7"/>
  <c r="H1286" i="7" a="1"/>
  <c r="H1286" i="7" s="1"/>
  <c r="E1286" i="7"/>
  <c r="H1285" i="7" a="1"/>
  <c r="H1285" i="7" s="1"/>
  <c r="E1285" i="7"/>
  <c r="H1290" i="7" a="1"/>
  <c r="H1290" i="7" s="1"/>
  <c r="E1290" i="7"/>
  <c r="H1289" i="7" a="1"/>
  <c r="H1289" i="7" s="1"/>
  <c r="E1289" i="7"/>
  <c r="H1288" i="7" a="1"/>
  <c r="H1288" i="7" s="1"/>
  <c r="E1288" i="7"/>
  <c r="H1279" i="7" a="1"/>
  <c r="H1279" i="7" s="1"/>
  <c r="E1279" i="7"/>
  <c r="H1278" i="7" a="1"/>
  <c r="H1278" i="7" s="1"/>
  <c r="E1278" i="7"/>
  <c r="H1277" i="7" a="1"/>
  <c r="H1277" i="7" s="1"/>
  <c r="E1277" i="7"/>
  <c r="H1228" i="7" a="1"/>
  <c r="H1228" i="7" s="1"/>
  <c r="E1228" i="7"/>
  <c r="H1227" i="7" a="1"/>
  <c r="H1227" i="7" s="1"/>
  <c r="E1227" i="7"/>
  <c r="H1226" i="7" a="1"/>
  <c r="H1226" i="7" s="1"/>
  <c r="E1226" i="7"/>
  <c r="H1241" i="7" a="1"/>
  <c r="H1241" i="7" s="1"/>
  <c r="E1241" i="7"/>
  <c r="H1240" i="7" a="1"/>
  <c r="H1240" i="7" s="1"/>
  <c r="E1240" i="7"/>
  <c r="H1239" i="7" a="1"/>
  <c r="H1239" i="7" s="1"/>
  <c r="E1239" i="7"/>
  <c r="E1238" i="7"/>
  <c r="H1237" i="7" a="1"/>
  <c r="H1237" i="7" s="1"/>
  <c r="E1237" i="7"/>
  <c r="H1222" i="7" l="1" a="1"/>
  <c r="H1222" i="7" s="1"/>
  <c r="E1222" i="7"/>
  <c r="H1221" i="7" a="1"/>
  <c r="H1221" i="7" s="1"/>
  <c r="E1221" i="7"/>
  <c r="H1220" i="7" a="1"/>
  <c r="H1220" i="7" s="1"/>
  <c r="E1220" i="7"/>
  <c r="H1219" i="7" a="1"/>
  <c r="H1219" i="7" s="1"/>
  <c r="E1219" i="7"/>
  <c r="H1218" i="7" a="1"/>
  <c r="H1218" i="7" s="1"/>
  <c r="E1218" i="7"/>
  <c r="H1217" i="7" a="1"/>
  <c r="H1217" i="7" s="1"/>
  <c r="E1217" i="7"/>
  <c r="H1216" i="7" a="1"/>
  <c r="H1216" i="7" s="1"/>
  <c r="E1216" i="7"/>
  <c r="H1215" i="7" a="1"/>
  <c r="H1215" i="7" s="1"/>
  <c r="E1215" i="7"/>
  <c r="H1192" i="7" a="1"/>
  <c r="H1192" i="7" s="1"/>
  <c r="E1192" i="7"/>
  <c r="H1191" i="7" a="1"/>
  <c r="H1191" i="7" s="1"/>
  <c r="E1191" i="7"/>
  <c r="H1190" i="7" a="1"/>
  <c r="H1190" i="7" s="1"/>
  <c r="E1190" i="7"/>
  <c r="H1209" i="7" a="1"/>
  <c r="H1209" i="7" s="1"/>
  <c r="E1209" i="7"/>
  <c r="H1208" i="7" a="1"/>
  <c r="H1208" i="7" s="1"/>
  <c r="E1208" i="7"/>
  <c r="H1207" i="7" a="1"/>
  <c r="H1207" i="7" s="1"/>
  <c r="E1207" i="7"/>
  <c r="H1206" i="7" a="1"/>
  <c r="H1206" i="7" s="1"/>
  <c r="E1206" i="7"/>
  <c r="H1205" i="7" a="1"/>
  <c r="H1205" i="7" s="1"/>
  <c r="E1205" i="7"/>
  <c r="H1204" i="7" a="1"/>
  <c r="H1204" i="7" s="1"/>
  <c r="E1204" i="7"/>
  <c r="H1203" i="7" a="1"/>
  <c r="H1203" i="7" s="1"/>
  <c r="E1203" i="7"/>
  <c r="H1202" i="7" a="1"/>
  <c r="H1202" i="7" s="1"/>
  <c r="E1202" i="7"/>
  <c r="H1201" i="7" a="1"/>
  <c r="H1201" i="7" s="1"/>
  <c r="E1201" i="7"/>
  <c r="H1200" i="7" a="1"/>
  <c r="H1200" i="7" s="1"/>
  <c r="E1200" i="7"/>
  <c r="H1199" i="7" a="1"/>
  <c r="H1199" i="7" s="1"/>
  <c r="E1199" i="7"/>
  <c r="H1198" i="7" a="1"/>
  <c r="H1198" i="7" s="1"/>
  <c r="E1198" i="7"/>
  <c r="H1197" i="7" a="1"/>
  <c r="H1197" i="7" s="1"/>
  <c r="E1197" i="7"/>
  <c r="H1196" i="7" a="1"/>
  <c r="H1196" i="7" s="1"/>
  <c r="E1196" i="7"/>
  <c r="H1195" i="7" a="1"/>
  <c r="H1195" i="7" s="1"/>
  <c r="E1195" i="7"/>
  <c r="H1178" i="7" a="1"/>
  <c r="H1178" i="7" s="1"/>
  <c r="E1178" i="7"/>
  <c r="H1177" i="7" a="1"/>
  <c r="H1177" i="7" s="1"/>
  <c r="E1177" i="7"/>
  <c r="H1176" i="7" a="1"/>
  <c r="H1176" i="7" s="1"/>
  <c r="E1176" i="7"/>
  <c r="H1212" i="7" a="1"/>
  <c r="H1212" i="7" s="1"/>
  <c r="E1212" i="7"/>
  <c r="H1211" i="7" a="1"/>
  <c r="H1211" i="7" s="1"/>
  <c r="E1211" i="7"/>
  <c r="H1210" i="7" a="1"/>
  <c r="H1210" i="7" s="1"/>
  <c r="E1210" i="7"/>
  <c r="H1194" i="7" a="1"/>
  <c r="H1194" i="7" s="1"/>
  <c r="E1194" i="7"/>
  <c r="H1193" i="7" a="1"/>
  <c r="H1193" i="7" s="1"/>
  <c r="E1193" i="7"/>
  <c r="H1171" i="7" l="1" a="1"/>
  <c r="H1171" i="7" s="1"/>
  <c r="E1171" i="7"/>
  <c r="H1170" i="7" a="1"/>
  <c r="H1170" i="7" s="1"/>
  <c r="E1170" i="7"/>
  <c r="H1151" i="7" a="1"/>
  <c r="H1151" i="7" s="1"/>
  <c r="E1151" i="7"/>
  <c r="H1150" i="7" a="1"/>
  <c r="H1150" i="7" s="1"/>
  <c r="E1150" i="7"/>
  <c r="H1146" i="7" a="1"/>
  <c r="H1146" i="7" s="1"/>
  <c r="E1146" i="7"/>
  <c r="H1145" i="7" a="1"/>
  <c r="H1145" i="7" s="1"/>
  <c r="E1145" i="7"/>
  <c r="H1169" i="7" a="1"/>
  <c r="H1169" i="7" s="1"/>
  <c r="E1169" i="7"/>
  <c r="H1168" i="7" a="1"/>
  <c r="H1168" i="7" s="1"/>
  <c r="E1168" i="7"/>
  <c r="H1167" i="7" a="1"/>
  <c r="H1167" i="7" s="1"/>
  <c r="E1167" i="7"/>
  <c r="H1166" i="7" a="1"/>
  <c r="H1166" i="7" s="1"/>
  <c r="E1166" i="7"/>
  <c r="H1165" i="7" a="1"/>
  <c r="H1165" i="7" s="1"/>
  <c r="E1165" i="7"/>
  <c r="H1144" i="7" a="1"/>
  <c r="H1144" i="7" s="1"/>
  <c r="E1144" i="7"/>
  <c r="H1143" i="7" a="1"/>
  <c r="H1143" i="7" s="1"/>
  <c r="E1143" i="7"/>
  <c r="H1142" i="7" a="1"/>
  <c r="H1142" i="7" s="1"/>
  <c r="E1142" i="7"/>
  <c r="H1189" i="7" a="1"/>
  <c r="H1189" i="7" s="1"/>
  <c r="E1189" i="7"/>
  <c r="H1188" i="7" a="1"/>
  <c r="H1188" i="7" s="1"/>
  <c r="E1188" i="7"/>
  <c r="H1187" i="7" a="1"/>
  <c r="H1187" i="7" s="1"/>
  <c r="E1187" i="7"/>
  <c r="H1186" i="7" a="1"/>
  <c r="H1186" i="7" s="1"/>
  <c r="E1186" i="7"/>
  <c r="H1185" i="7" a="1"/>
  <c r="H1185" i="7" s="1"/>
  <c r="E1185" i="7"/>
  <c r="H1184" i="7" a="1"/>
  <c r="H1184" i="7" s="1"/>
  <c r="E1184" i="7"/>
  <c r="H1183" i="7" a="1"/>
  <c r="H1183" i="7" s="1"/>
  <c r="E1183" i="7"/>
  <c r="H1182" i="7" a="1"/>
  <c r="H1182" i="7" s="1"/>
  <c r="E1182" i="7"/>
  <c r="H1149" i="7" a="1"/>
  <c r="H1149" i="7" s="1"/>
  <c r="E1149" i="7"/>
  <c r="E1148" i="7"/>
  <c r="H1147" i="7" a="1"/>
  <c r="H1147" i="7" s="1"/>
  <c r="E1147" i="7"/>
  <c r="E1139" i="7"/>
  <c r="H1141" i="7" a="1"/>
  <c r="H1141" i="7" s="1"/>
  <c r="E1141" i="7"/>
  <c r="E1140" i="7"/>
  <c r="E1138" i="7"/>
  <c r="H1137" i="7" a="1"/>
  <c r="H1137" i="7" s="1"/>
  <c r="E1137" i="7"/>
  <c r="H1136" i="7" l="1" a="1"/>
  <c r="H1136" i="7" s="1"/>
  <c r="E1136" i="7"/>
  <c r="H1135" i="7" a="1"/>
  <c r="H1135" i="7" s="1"/>
  <c r="E1135" i="7"/>
  <c r="H1134" i="7" a="1"/>
  <c r="H1134" i="7" s="1"/>
  <c r="E1134" i="7"/>
  <c r="H1133" i="7" a="1"/>
  <c r="H1133" i="7" s="1"/>
  <c r="E1133" i="7"/>
  <c r="H1132" i="7" a="1"/>
  <c r="H1132" i="7" s="1"/>
  <c r="E1132" i="7"/>
  <c r="H1131" i="7" a="1"/>
  <c r="H1131" i="7" s="1"/>
  <c r="E1131" i="7"/>
  <c r="H1130" i="7" a="1"/>
  <c r="H1130" i="7" s="1"/>
  <c r="E1130" i="7"/>
  <c r="H1129" i="7" a="1"/>
  <c r="H1129" i="7" s="1"/>
  <c r="E1129" i="7"/>
  <c r="H1128" i="7" a="1"/>
  <c r="H1128" i="7" s="1"/>
  <c r="E1128" i="7"/>
  <c r="H1127" i="7" a="1"/>
  <c r="H1127" i="7" s="1"/>
  <c r="E1127" i="7"/>
  <c r="H1124" i="7" a="1"/>
  <c r="H1124" i="7" s="1"/>
  <c r="E1124" i="7"/>
  <c r="H1123" i="7" a="1"/>
  <c r="H1123" i="7" s="1"/>
  <c r="E1123" i="7"/>
  <c r="H1126" i="7" a="1"/>
  <c r="H1126" i="7" s="1"/>
  <c r="E1126" i="7"/>
  <c r="H1125" i="7" a="1"/>
  <c r="H1125" i="7" s="1"/>
  <c r="E1125" i="7"/>
  <c r="H1122" i="7" l="1" a="1"/>
  <c r="H1122" i="7" s="1"/>
  <c r="E1122" i="7"/>
  <c r="H1121" i="7" a="1"/>
  <c r="H1121" i="7" s="1"/>
  <c r="E1121" i="7"/>
  <c r="H1120" i="7" a="1"/>
  <c r="H1120" i="7" s="1"/>
  <c r="E1120" i="7"/>
  <c r="H1119" i="7" a="1"/>
  <c r="H1119" i="7" s="1"/>
  <c r="E1119" i="7"/>
  <c r="H1118" i="7" a="1"/>
  <c r="H1118" i="7" s="1"/>
  <c r="E1118" i="7"/>
  <c r="H1117" i="7" a="1"/>
  <c r="H1117" i="7" s="1"/>
  <c r="E1117" i="7"/>
  <c r="H1116" i="7" a="1"/>
  <c r="H1116" i="7" s="1"/>
  <c r="E1116" i="7"/>
  <c r="H1115" i="7" a="1"/>
  <c r="H1115" i="7" s="1"/>
  <c r="E1115" i="7"/>
  <c r="H1114" i="7" a="1"/>
  <c r="H1114" i="7" s="1"/>
  <c r="E1114" i="7"/>
  <c r="H1113" i="7" l="1" a="1"/>
  <c r="H1113" i="7" s="1"/>
  <c r="E1113" i="7"/>
  <c r="H1112" i="7" a="1"/>
  <c r="H1112" i="7" s="1"/>
  <c r="E1112" i="7"/>
  <c r="H1111" i="7" a="1"/>
  <c r="H1111" i="7" s="1"/>
  <c r="E1111" i="7"/>
  <c r="H1110" i="7" a="1"/>
  <c r="H1110" i="7" s="1"/>
  <c r="E1110" i="7"/>
  <c r="H1109" i="7" a="1"/>
  <c r="H1109" i="7" s="1"/>
  <c r="E1109" i="7"/>
  <c r="H1108" i="7" a="1"/>
  <c r="H1108" i="7" s="1"/>
  <c r="E1108" i="7"/>
  <c r="H1107" i="7" a="1"/>
  <c r="H1107" i="7" s="1"/>
  <c r="E1107" i="7"/>
  <c r="H1106" i="7" a="1"/>
  <c r="H1106" i="7" s="1"/>
  <c r="E1106" i="7"/>
  <c r="H1101" i="7" a="1"/>
  <c r="H1101" i="7" s="1"/>
  <c r="E1101" i="7"/>
  <c r="H1100" i="7" a="1"/>
  <c r="H1100" i="7" s="1"/>
  <c r="E1100" i="7"/>
  <c r="H1072" i="7" l="1" a="1"/>
  <c r="H1072" i="7" s="1"/>
  <c r="E1072" i="7"/>
  <c r="H1071" i="7" a="1"/>
  <c r="H1071" i="7" s="1"/>
  <c r="E1071" i="7"/>
  <c r="H1070" i="7" a="1"/>
  <c r="H1070" i="7" s="1"/>
  <c r="E1070" i="7"/>
  <c r="H1088" i="7" a="1"/>
  <c r="H1088" i="7" s="1"/>
  <c r="E1088" i="7"/>
  <c r="H1087" i="7" a="1"/>
  <c r="H1087" i="7" s="1"/>
  <c r="E1087" i="7"/>
  <c r="H1086" i="7" a="1"/>
  <c r="H1086" i="7" s="1"/>
  <c r="E1086" i="7"/>
  <c r="H1085" i="7" a="1"/>
  <c r="H1085" i="7" s="1"/>
  <c r="E1085" i="7"/>
  <c r="H1099" i="7" a="1"/>
  <c r="H1099" i="7" s="1"/>
  <c r="E1099" i="7"/>
  <c r="H1098" i="7" a="1"/>
  <c r="H1098" i="7" s="1"/>
  <c r="E1098" i="7"/>
  <c r="H1097" i="7" a="1"/>
  <c r="H1097" i="7" s="1"/>
  <c r="E1097" i="7"/>
  <c r="H1096" i="7" a="1"/>
  <c r="H1096" i="7" s="1"/>
  <c r="E1096" i="7"/>
  <c r="H1095" i="7" a="1"/>
  <c r="H1095" i="7" s="1"/>
  <c r="E1095" i="7"/>
  <c r="H1094" i="7" a="1"/>
  <c r="H1094" i="7" s="1"/>
  <c r="E1094" i="7"/>
  <c r="H1093" i="7" a="1"/>
  <c r="H1093" i="7" s="1"/>
  <c r="E1093" i="7"/>
  <c r="H1092" i="7" a="1"/>
  <c r="H1092" i="7" s="1"/>
  <c r="E1092" i="7"/>
  <c r="H1091" i="7" a="1"/>
  <c r="H1091" i="7" s="1"/>
  <c r="E1091" i="7"/>
  <c r="H1090" i="7" a="1"/>
  <c r="H1090" i="7" s="1"/>
  <c r="E1090" i="7"/>
  <c r="H1089" i="7" a="1"/>
  <c r="H1089" i="7" s="1"/>
  <c r="E1089" i="7"/>
  <c r="H1084" i="7" a="1"/>
  <c r="H1084" i="7" s="1"/>
  <c r="E1084" i="7"/>
  <c r="H1083" i="7" a="1"/>
  <c r="H1083" i="7" s="1"/>
  <c r="E1083" i="7"/>
  <c r="H1082" i="7" a="1"/>
  <c r="H1082" i="7" s="1"/>
  <c r="E1082" i="7"/>
  <c r="H1081" i="7" a="1"/>
  <c r="H1081" i="7" s="1"/>
  <c r="E1081" i="7"/>
  <c r="H1080" i="7" a="1"/>
  <c r="H1080" i="7" s="1"/>
  <c r="E1080" i="7"/>
  <c r="H1079" i="7" a="1"/>
  <c r="H1079" i="7" s="1"/>
  <c r="E1079" i="7"/>
  <c r="H1078" i="7" a="1"/>
  <c r="H1078" i="7" s="1"/>
  <c r="E1078" i="7"/>
  <c r="H1077" i="7" a="1"/>
  <c r="H1077" i="7" s="1"/>
  <c r="E1077" i="7"/>
  <c r="H1076" i="7" l="1" a="1"/>
  <c r="H1076" i="7" s="1"/>
  <c r="E1076" i="7"/>
  <c r="E1075" i="7"/>
  <c r="E1074" i="7"/>
  <c r="H1073" i="7" a="1"/>
  <c r="H1073" i="7" s="1"/>
  <c r="E1073" i="7"/>
  <c r="M1034" i="7" l="1"/>
  <c r="M1030" i="7"/>
  <c r="J12" i="9" l="1"/>
  <c r="H1069" i="7" a="1"/>
  <c r="H1069" i="7" s="1"/>
  <c r="E1069" i="7"/>
  <c r="H1068" i="7" a="1"/>
  <c r="H1068" i="7" s="1"/>
  <c r="E1068" i="7"/>
  <c r="H1067" i="7" a="1"/>
  <c r="H1067" i="7" s="1"/>
  <c r="E1067" i="7"/>
  <c r="H1066" i="7" a="1"/>
  <c r="H1066" i="7" s="1"/>
  <c r="E1066" i="7"/>
  <c r="H1065" i="7" a="1"/>
  <c r="H1065" i="7" s="1"/>
  <c r="E1065" i="7"/>
  <c r="H1064" i="7" a="1"/>
  <c r="H1064" i="7" s="1"/>
  <c r="E1064" i="7"/>
  <c r="H1063" i="7" a="1"/>
  <c r="H1063" i="7" s="1"/>
  <c r="E1063" i="7"/>
  <c r="H1062" i="7" a="1"/>
  <c r="H1062" i="7" s="1"/>
  <c r="E1062" i="7"/>
  <c r="H1061" i="7" a="1"/>
  <c r="H1061" i="7" s="1"/>
  <c r="E1061" i="7"/>
  <c r="H1060" i="7" a="1"/>
  <c r="H1060" i="7" s="1"/>
  <c r="E1060" i="7"/>
  <c r="H1059" i="7" a="1"/>
  <c r="H1059" i="7" s="1"/>
  <c r="E1059" i="7"/>
  <c r="H1058" i="7" a="1"/>
  <c r="H1058" i="7" s="1"/>
  <c r="E1058" i="7"/>
  <c r="H1057" i="7" l="1" a="1"/>
  <c r="H1057" i="7" s="1"/>
  <c r="E1057" i="7"/>
  <c r="H1056" i="7" a="1"/>
  <c r="H1056" i="7" s="1"/>
  <c r="E1056" i="7"/>
  <c r="E1055" i="7"/>
  <c r="E1054" i="7"/>
  <c r="H1053" i="7" a="1"/>
  <c r="H1053" i="7" s="1"/>
  <c r="E1053" i="7"/>
  <c r="H1049" i="7" a="1"/>
  <c r="H1049" i="7" s="1"/>
  <c r="E1049" i="7"/>
  <c r="H1048" i="7" a="1"/>
  <c r="H1048" i="7" s="1"/>
  <c r="E1048" i="7"/>
  <c r="H1047" i="7" a="1"/>
  <c r="H1047" i="7" s="1"/>
  <c r="E1047" i="7"/>
  <c r="H1046" i="7" l="1" a="1"/>
  <c r="H1046" i="7" s="1"/>
  <c r="E1046" i="7"/>
  <c r="H1045" i="7" a="1"/>
  <c r="H1045" i="7" s="1"/>
  <c r="E1045" i="7"/>
  <c r="H1044" i="7" a="1"/>
  <c r="H1044" i="7" s="1"/>
  <c r="E1044" i="7"/>
  <c r="H1017" i="7" a="1"/>
  <c r="H1017" i="7" s="1"/>
  <c r="E1017" i="7"/>
  <c r="H1016" i="7" a="1"/>
  <c r="H1016" i="7" s="1"/>
  <c r="E1016" i="7"/>
  <c r="H1052" i="7" a="1"/>
  <c r="H1052" i="7" s="1"/>
  <c r="E1052" i="7"/>
  <c r="H1051" i="7" a="1"/>
  <c r="H1051" i="7" s="1"/>
  <c r="E1051" i="7"/>
  <c r="H1050" i="7" a="1"/>
  <c r="H1050" i="7" s="1"/>
  <c r="E1050" i="7"/>
  <c r="H1043" i="7" l="1" a="1"/>
  <c r="H1043" i="7" s="1"/>
  <c r="E1043" i="7"/>
  <c r="H1042" i="7" a="1"/>
  <c r="H1042" i="7" s="1"/>
  <c r="E1042" i="7"/>
  <c r="H1041" i="7" a="1"/>
  <c r="H1041" i="7" s="1"/>
  <c r="E1041" i="7"/>
  <c r="H1040" i="7" a="1"/>
  <c r="H1040" i="7" s="1"/>
  <c r="E1040" i="7"/>
  <c r="H1039" i="7" a="1"/>
  <c r="H1039" i="7" s="1"/>
  <c r="E1039" i="7"/>
  <c r="H1038" i="7" a="1"/>
  <c r="H1038" i="7" s="1"/>
  <c r="E1038" i="7"/>
  <c r="H1037" i="7" a="1"/>
  <c r="H1037" i="7" s="1"/>
  <c r="E1037" i="7"/>
  <c r="H1036" i="7" a="1"/>
  <c r="H1036" i="7" s="1"/>
  <c r="E1036" i="7"/>
  <c r="H1035" i="7" a="1"/>
  <c r="H1035" i="7" s="1"/>
  <c r="E1035" i="7"/>
  <c r="H1034" i="7" a="1"/>
  <c r="H1034" i="7" s="1"/>
  <c r="E1034" i="7"/>
  <c r="H1033" i="7" a="1"/>
  <c r="H1033" i="7" s="1"/>
  <c r="E1033" i="7"/>
  <c r="H1032" i="7" a="1"/>
  <c r="H1032" i="7" s="1"/>
  <c r="E1032" i="7"/>
  <c r="H1031" i="7" a="1"/>
  <c r="H1031" i="7" s="1"/>
  <c r="E1031" i="7"/>
  <c r="H1030" i="7" a="1"/>
  <c r="H1030" i="7" s="1"/>
  <c r="E1030" i="7"/>
  <c r="H1029" i="7" a="1"/>
  <c r="H1029" i="7" s="1"/>
  <c r="E1029" i="7"/>
  <c r="H1028" i="7" a="1"/>
  <c r="H1028" i="7" s="1"/>
  <c r="E1028" i="7"/>
  <c r="H1027" i="7" a="1"/>
  <c r="H1027" i="7" s="1"/>
  <c r="E1027" i="7"/>
  <c r="H1026" i="7" a="1"/>
  <c r="H1026" i="7" s="1"/>
  <c r="E1026" i="7"/>
  <c r="H1025" i="7" a="1"/>
  <c r="H1025" i="7" s="1"/>
  <c r="E1025" i="7"/>
  <c r="H1024" i="7" a="1"/>
  <c r="H1024" i="7" s="1"/>
  <c r="E1024" i="7"/>
  <c r="H1023" i="7" a="1"/>
  <c r="H1023" i="7" s="1"/>
  <c r="E1023" i="7"/>
  <c r="H1022" i="7" a="1"/>
  <c r="H1022" i="7" s="1"/>
  <c r="E1022" i="7"/>
  <c r="H1021" i="7" a="1"/>
  <c r="H1021" i="7" s="1"/>
  <c r="E1021" i="7"/>
  <c r="H1020" i="7" a="1"/>
  <c r="H1020" i="7" s="1"/>
  <c r="E1020" i="7"/>
  <c r="H1019" i="7" a="1"/>
  <c r="H1019" i="7" s="1"/>
  <c r="E1019" i="7"/>
  <c r="H1018" i="7" a="1"/>
  <c r="H1018" i="7" s="1"/>
  <c r="E1018" i="7"/>
  <c r="H1015" i="7" l="1" a="1"/>
  <c r="H1015" i="7" s="1"/>
  <c r="E1015" i="7"/>
  <c r="H1014" i="7" a="1"/>
  <c r="H1014" i="7" s="1"/>
  <c r="E1014" i="7"/>
  <c r="H1003" i="7" a="1"/>
  <c r="H1003" i="7" s="1"/>
  <c r="E1003" i="7"/>
  <c r="H1002" i="7" a="1"/>
  <c r="H1002" i="7" s="1"/>
  <c r="E1002" i="7"/>
  <c r="H997" i="7" a="1"/>
  <c r="H997" i="7" s="1"/>
  <c r="E997" i="7"/>
  <c r="H996" i="7" a="1"/>
  <c r="H996" i="7" s="1"/>
  <c r="E996" i="7"/>
  <c r="H995" i="7" a="1"/>
  <c r="H995" i="7" s="1"/>
  <c r="E995" i="7"/>
  <c r="H994" i="7" a="1"/>
  <c r="H994" i="7" s="1"/>
  <c r="E994" i="7"/>
  <c r="H874" i="7" l="1" a="1"/>
  <c r="H874" i="7" s="1"/>
  <c r="E874" i="7"/>
  <c r="H873" i="7" a="1"/>
  <c r="H873" i="7" s="1"/>
  <c r="E873" i="7"/>
  <c r="H1013" i="7" l="1" a="1"/>
  <c r="H1013" i="7" s="1"/>
  <c r="E1013" i="7"/>
  <c r="H1012" i="7" a="1"/>
  <c r="H1012" i="7" s="1"/>
  <c r="E1012" i="7"/>
  <c r="H1011" i="7" a="1"/>
  <c r="H1011" i="7" s="1"/>
  <c r="E1011" i="7"/>
  <c r="H1010" i="7" a="1"/>
  <c r="H1010" i="7" s="1"/>
  <c r="E1010" i="7"/>
  <c r="H1009" i="7" a="1"/>
  <c r="H1009" i="7" s="1"/>
  <c r="E1009" i="7"/>
  <c r="H1008" i="7" a="1"/>
  <c r="H1008" i="7" s="1"/>
  <c r="E1008" i="7"/>
  <c r="H1007" i="7" a="1"/>
  <c r="H1007" i="7" s="1"/>
  <c r="E1007" i="7"/>
  <c r="E1006" i="7"/>
  <c r="E1005" i="7"/>
  <c r="H1004" i="7" a="1"/>
  <c r="H1004" i="7" s="1"/>
  <c r="E1004" i="7"/>
  <c r="H1001" i="7" a="1"/>
  <c r="H1001" i="7" s="1"/>
  <c r="E1001" i="7"/>
  <c r="H1000" i="7" a="1"/>
  <c r="H1000" i="7" s="1"/>
  <c r="E1000" i="7"/>
  <c r="E999" i="7"/>
  <c r="E998" i="7"/>
  <c r="H962" i="7" a="1"/>
  <c r="H962" i="7" s="1"/>
  <c r="E962" i="7"/>
  <c r="H961" i="7" a="1"/>
  <c r="H961" i="7" s="1"/>
  <c r="E961" i="7"/>
  <c r="E960" i="7"/>
  <c r="E959" i="7"/>
  <c r="H993" i="7" l="1" a="1"/>
  <c r="H993" i="7" s="1"/>
  <c r="E993" i="7"/>
  <c r="H992" i="7" a="1"/>
  <c r="H992" i="7" s="1"/>
  <c r="E992" i="7"/>
  <c r="H991" i="7" a="1"/>
  <c r="H991" i="7" s="1"/>
  <c r="E991" i="7"/>
  <c r="H990" i="7" a="1"/>
  <c r="H990" i="7" s="1"/>
  <c r="E990" i="7"/>
  <c r="H989" i="7" a="1"/>
  <c r="H989" i="7" s="1"/>
  <c r="E989" i="7"/>
  <c r="H988" i="7" a="1"/>
  <c r="H988" i="7" s="1"/>
  <c r="E988" i="7"/>
  <c r="H987" i="7" a="1"/>
  <c r="H987" i="7" s="1"/>
  <c r="E987" i="7"/>
  <c r="H986" i="7" a="1"/>
  <c r="H986" i="7" s="1"/>
  <c r="E986" i="7"/>
  <c r="H985" i="7" a="1"/>
  <c r="H985" i="7" s="1"/>
  <c r="E985" i="7"/>
  <c r="H984" i="7" a="1"/>
  <c r="H984" i="7" s="1"/>
  <c r="E984" i="7"/>
  <c r="H937" i="7" a="1"/>
  <c r="H937" i="7" s="1"/>
  <c r="E937" i="7"/>
  <c r="H936" i="7" a="1"/>
  <c r="H936" i="7" s="1"/>
  <c r="E936" i="7"/>
  <c r="H976" i="7" l="1" a="1"/>
  <c r="H976" i="7" s="1"/>
  <c r="E976" i="7"/>
  <c r="H975" i="7" a="1"/>
  <c r="H975" i="7" s="1"/>
  <c r="E975" i="7"/>
  <c r="H974" i="7" a="1"/>
  <c r="H974" i="7" s="1"/>
  <c r="E974" i="7"/>
  <c r="H973" i="7" a="1"/>
  <c r="H973" i="7" s="1"/>
  <c r="E973" i="7"/>
  <c r="H972" i="7" a="1"/>
  <c r="H972" i="7" s="1"/>
  <c r="E972" i="7"/>
  <c r="H971" i="7" a="1"/>
  <c r="H971" i="7" s="1"/>
  <c r="E971" i="7"/>
  <c r="H970" i="7" a="1"/>
  <c r="H970" i="7" s="1"/>
  <c r="E970" i="7"/>
  <c r="H969" i="7" a="1"/>
  <c r="H969" i="7" s="1"/>
  <c r="E969" i="7"/>
  <c r="H968" i="7" a="1"/>
  <c r="H968" i="7" s="1"/>
  <c r="E968" i="7"/>
  <c r="H967" i="7" a="1"/>
  <c r="H967" i="7" s="1"/>
  <c r="E967" i="7"/>
  <c r="H966" i="7" a="1"/>
  <c r="H966" i="7" s="1"/>
  <c r="E966" i="7"/>
  <c r="H965" i="7" a="1"/>
  <c r="H965" i="7" s="1"/>
  <c r="E965" i="7"/>
  <c r="H983" i="7" l="1" a="1"/>
  <c r="H983" i="7" s="1"/>
  <c r="E983" i="7"/>
  <c r="H982" i="7" a="1"/>
  <c r="H982" i="7" s="1"/>
  <c r="E982" i="7"/>
  <c r="H964" i="7" a="1"/>
  <c r="H964" i="7" s="1"/>
  <c r="E964" i="7"/>
  <c r="H963" i="7" a="1"/>
  <c r="H963" i="7" s="1"/>
  <c r="E963" i="7"/>
  <c r="H935" i="7" a="1"/>
  <c r="H935" i="7" s="1"/>
  <c r="E935" i="7"/>
  <c r="H934" i="7" a="1"/>
  <c r="H934" i="7" s="1"/>
  <c r="E934" i="7"/>
  <c r="H981" i="7" a="1"/>
  <c r="H981" i="7" s="1"/>
  <c r="E981" i="7"/>
  <c r="H980" i="7" a="1"/>
  <c r="H980" i="7" s="1"/>
  <c r="E980" i="7"/>
  <c r="E979" i="7"/>
  <c r="E978" i="7"/>
  <c r="H977" i="7" a="1"/>
  <c r="H977" i="7" s="1"/>
  <c r="E977" i="7"/>
  <c r="H958" i="7" a="1"/>
  <c r="H958" i="7" s="1"/>
  <c r="E958" i="7"/>
  <c r="H957" i="7" a="1"/>
  <c r="H957" i="7" s="1"/>
  <c r="E957" i="7"/>
  <c r="H956" i="7" a="1"/>
  <c r="H956" i="7" s="1"/>
  <c r="E956" i="7"/>
  <c r="H955" i="7" a="1"/>
  <c r="H955" i="7" s="1"/>
  <c r="E955" i="7"/>
  <c r="H953" i="7" a="1"/>
  <c r="H953" i="7" s="1"/>
  <c r="E953" i="7"/>
  <c r="H952" i="7" a="1"/>
  <c r="H952" i="7" s="1"/>
  <c r="E952" i="7"/>
  <c r="H951" i="7" a="1"/>
  <c r="H951" i="7" s="1"/>
  <c r="E951" i="7"/>
  <c r="H950" i="7" a="1"/>
  <c r="H950" i="7" s="1"/>
  <c r="E950" i="7"/>
  <c r="H949" i="7" a="1"/>
  <c r="H949" i="7" s="1"/>
  <c r="E949" i="7"/>
  <c r="E948" i="7"/>
  <c r="E947" i="7"/>
  <c r="H946" i="7" a="1"/>
  <c r="H946" i="7" s="1"/>
  <c r="E946" i="7"/>
  <c r="H945" i="7" l="1" a="1"/>
  <c r="H945" i="7" s="1"/>
  <c r="E945" i="7"/>
  <c r="H944" i="7" a="1"/>
  <c r="H944" i="7" s="1"/>
  <c r="E944" i="7"/>
  <c r="H943" i="7" a="1"/>
  <c r="H943" i="7" s="1"/>
  <c r="E943" i="7"/>
  <c r="H942" i="7" a="1"/>
  <c r="H942" i="7" s="1"/>
  <c r="E942" i="7"/>
  <c r="H941" i="7" a="1"/>
  <c r="H941" i="7" s="1"/>
  <c r="E941" i="7"/>
  <c r="H940" i="7" a="1"/>
  <c r="H940" i="7" s="1"/>
  <c r="E940" i="7"/>
  <c r="H939" i="7" a="1"/>
  <c r="H939" i="7" s="1"/>
  <c r="E939" i="7"/>
  <c r="H938" i="7" a="1"/>
  <c r="H938" i="7" s="1"/>
  <c r="E938" i="7"/>
  <c r="H933" i="7" a="1"/>
  <c r="H933" i="7" s="1"/>
  <c r="E933" i="7"/>
  <c r="H932" i="7" a="1"/>
  <c r="H932" i="7" s="1"/>
  <c r="E932" i="7"/>
  <c r="H931" i="7" a="1"/>
  <c r="H931" i="7" s="1"/>
  <c r="E931" i="7"/>
  <c r="H930" i="7" a="1"/>
  <c r="H930" i="7" s="1"/>
  <c r="E930" i="7"/>
  <c r="H929" i="7" a="1"/>
  <c r="H929" i="7" s="1"/>
  <c r="E929" i="7"/>
  <c r="H928" i="7" a="1"/>
  <c r="H928" i="7" s="1"/>
  <c r="E928" i="7"/>
  <c r="H927" i="7" a="1"/>
  <c r="H927" i="7" s="1"/>
  <c r="E927" i="7"/>
  <c r="H926" i="7" a="1"/>
  <c r="H926" i="7" s="1"/>
  <c r="E926" i="7"/>
  <c r="H905" i="7" a="1"/>
  <c r="H905" i="7" s="1"/>
  <c r="E905" i="7"/>
  <c r="H904" i="7" a="1"/>
  <c r="H904" i="7" s="1"/>
  <c r="E904" i="7"/>
  <c r="E876" i="7"/>
  <c r="H877" i="7" a="1"/>
  <c r="H877" i="7" s="1"/>
  <c r="E877" i="7"/>
  <c r="H875" i="7" a="1"/>
  <c r="H875" i="7" s="1"/>
  <c r="E875" i="7"/>
  <c r="H925" i="7" a="1"/>
  <c r="H925" i="7" s="1"/>
  <c r="E925" i="7"/>
  <c r="H924" i="7" a="1"/>
  <c r="H924" i="7" s="1"/>
  <c r="E924" i="7"/>
  <c r="H923" i="7" a="1"/>
  <c r="H923" i="7" s="1"/>
  <c r="E923" i="7"/>
  <c r="H922" i="7" a="1"/>
  <c r="H922" i="7" s="1"/>
  <c r="E922" i="7"/>
  <c r="H921" i="7" a="1"/>
  <c r="H921" i="7" s="1"/>
  <c r="E921" i="7"/>
  <c r="H913" i="7" a="1"/>
  <c r="H913" i="7" s="1"/>
  <c r="E913" i="7"/>
  <c r="H912" i="7" a="1"/>
  <c r="H912" i="7" s="1"/>
  <c r="E912" i="7"/>
  <c r="H911" i="7" a="1"/>
  <c r="H911" i="7" s="1"/>
  <c r="E911" i="7"/>
  <c r="H920" i="7" a="1"/>
  <c r="H920" i="7" s="1"/>
  <c r="E920" i="7"/>
  <c r="H919" i="7" a="1"/>
  <c r="H919" i="7" s="1"/>
  <c r="E919" i="7"/>
  <c r="H918" i="7" a="1"/>
  <c r="H918" i="7" s="1"/>
  <c r="E918" i="7"/>
  <c r="H917" i="7" a="1"/>
  <c r="H917" i="7" s="1"/>
  <c r="E917" i="7"/>
  <c r="E916" i="7"/>
  <c r="E915" i="7"/>
  <c r="H914" i="7" a="1"/>
  <c r="H914" i="7" s="1"/>
  <c r="E914" i="7"/>
  <c r="H910" i="7" a="1"/>
  <c r="H910" i="7" s="1"/>
  <c r="E910" i="7"/>
  <c r="H909" i="7" a="1"/>
  <c r="H909" i="7" s="1"/>
  <c r="E909" i="7"/>
  <c r="E908" i="7"/>
  <c r="E907" i="7"/>
  <c r="H906" i="7" a="1"/>
  <c r="H906" i="7" s="1"/>
  <c r="E906" i="7"/>
  <c r="H903" i="7" l="1" a="1"/>
  <c r="H903" i="7" s="1"/>
  <c r="E903" i="7"/>
  <c r="H902" i="7" a="1"/>
  <c r="H902" i="7" s="1"/>
  <c r="E902" i="7"/>
  <c r="H901" i="7" a="1"/>
  <c r="H901" i="7" s="1"/>
  <c r="E901" i="7"/>
  <c r="H900" i="7" a="1"/>
  <c r="H900" i="7" s="1"/>
  <c r="E900" i="7"/>
  <c r="E899" i="7"/>
  <c r="E898" i="7"/>
  <c r="H897" i="7" a="1"/>
  <c r="H897" i="7" s="1"/>
  <c r="E897" i="7"/>
  <c r="E893" i="7"/>
  <c r="E894" i="7"/>
  <c r="E895" i="7"/>
  <c r="E896" i="7"/>
  <c r="H896" i="7" a="1"/>
  <c r="H896" i="7" s="1"/>
  <c r="H893" i="7" a="1"/>
  <c r="H893" i="7" s="1"/>
  <c r="E880" i="7" l="1"/>
  <c r="E879" i="7"/>
  <c r="E878" i="7"/>
  <c r="H892" i="7" a="1"/>
  <c r="H892" i="7" s="1"/>
  <c r="E892" i="7"/>
  <c r="H891" i="7" a="1"/>
  <c r="H891" i="7" s="1"/>
  <c r="E891" i="7"/>
  <c r="H890" i="7" a="1"/>
  <c r="H890" i="7" s="1"/>
  <c r="E890" i="7"/>
  <c r="H889" i="7" a="1"/>
  <c r="H889" i="7" s="1"/>
  <c r="E889" i="7"/>
  <c r="H888" i="7" a="1"/>
  <c r="H888" i="7" s="1"/>
  <c r="E888" i="7"/>
  <c r="H887" i="7" a="1"/>
  <c r="H887" i="7" s="1"/>
  <c r="E887" i="7"/>
  <c r="H886" i="7" a="1"/>
  <c r="H886" i="7" s="1"/>
  <c r="E886" i="7"/>
  <c r="H885" i="7" a="1"/>
  <c r="H885" i="7" s="1"/>
  <c r="E885" i="7"/>
  <c r="H884" i="7" a="1"/>
  <c r="H884" i="7" s="1"/>
  <c r="E884" i="7"/>
  <c r="H883" i="7" a="1"/>
  <c r="H883" i="7" s="1"/>
  <c r="E883" i="7"/>
  <c r="H866" i="7" a="1"/>
  <c r="H866" i="7" s="1"/>
  <c r="E866" i="7"/>
  <c r="H865" i="7" a="1"/>
  <c r="H865" i="7" s="1"/>
  <c r="E865" i="7"/>
  <c r="H864" i="7" a="1"/>
  <c r="H864" i="7" s="1"/>
  <c r="E864" i="7"/>
  <c r="H870" i="7" a="1"/>
  <c r="H870" i="7" s="1"/>
  <c r="E870" i="7"/>
  <c r="H869" i="7" a="1"/>
  <c r="H869" i="7" s="1"/>
  <c r="E869" i="7"/>
  <c r="H868" i="7" a="1"/>
  <c r="H868" i="7" s="1"/>
  <c r="E868" i="7"/>
  <c r="H867" i="7" a="1"/>
  <c r="H867" i="7" s="1"/>
  <c r="E867" i="7"/>
  <c r="H872" i="7" a="1"/>
  <c r="H872" i="7" s="1"/>
  <c r="E872" i="7"/>
  <c r="H871" i="7" a="1"/>
  <c r="H871" i="7" s="1"/>
  <c r="E871" i="7"/>
  <c r="H882" i="7" a="1"/>
  <c r="H882" i="7" s="1"/>
  <c r="E882" i="7"/>
  <c r="H881" i="7" a="1"/>
  <c r="H881" i="7" s="1"/>
  <c r="E881" i="7"/>
  <c r="H863" i="7" l="1" a="1"/>
  <c r="H863" i="7" s="1"/>
  <c r="E863" i="7"/>
  <c r="H862" i="7" a="1"/>
  <c r="H862" i="7" s="1"/>
  <c r="E862" i="7"/>
  <c r="H861" i="7" a="1"/>
  <c r="H861" i="7" s="1"/>
  <c r="E861" i="7"/>
  <c r="H860" i="7" a="1"/>
  <c r="H860" i="7" s="1"/>
  <c r="E860" i="7"/>
  <c r="H859" i="7" a="1"/>
  <c r="H859" i="7" s="1"/>
  <c r="E859" i="7"/>
  <c r="H858" i="7" a="1"/>
  <c r="H858" i="7" s="1"/>
  <c r="E858" i="7"/>
  <c r="H857" i="7" a="1"/>
  <c r="H857" i="7" s="1"/>
  <c r="E857" i="7"/>
  <c r="H856" i="7" a="1"/>
  <c r="H856" i="7" s="1"/>
  <c r="E856" i="7"/>
  <c r="H855" i="7" a="1"/>
  <c r="H855" i="7" s="1"/>
  <c r="E855" i="7"/>
  <c r="H854" i="7" a="1"/>
  <c r="H854" i="7" s="1"/>
  <c r="E854" i="7"/>
  <c r="H853" i="7" a="1"/>
  <c r="H853" i="7" s="1"/>
  <c r="E853" i="7"/>
  <c r="H852" i="7" a="1"/>
  <c r="H852" i="7" s="1"/>
  <c r="E852" i="7"/>
  <c r="H851" i="7" a="1"/>
  <c r="H851" i="7" s="1"/>
  <c r="E851" i="7"/>
  <c r="H850" i="7" a="1"/>
  <c r="H850" i="7" s="1"/>
  <c r="E850" i="7"/>
  <c r="H845" i="7" a="1"/>
  <c r="H845" i="7" s="1"/>
  <c r="E845" i="7"/>
  <c r="H844" i="7" a="1"/>
  <c r="H844" i="7" s="1"/>
  <c r="E844" i="7"/>
  <c r="H843" i="7" a="1"/>
  <c r="H843" i="7" s="1"/>
  <c r="E843" i="7"/>
  <c r="H847" i="7" a="1"/>
  <c r="H847" i="7" s="1"/>
  <c r="E847" i="7"/>
  <c r="H846" i="7" a="1"/>
  <c r="H846" i="7" s="1"/>
  <c r="E846" i="7"/>
  <c r="H849" i="7" a="1"/>
  <c r="H849" i="7" s="1"/>
  <c r="E849" i="7"/>
  <c r="H848" i="7" a="1"/>
  <c r="H848" i="7" s="1"/>
  <c r="E848" i="7"/>
  <c r="H842" i="7" a="1"/>
  <c r="H842" i="7" s="1"/>
  <c r="E842" i="7"/>
  <c r="H841" i="7" a="1"/>
  <c r="H841" i="7" s="1"/>
  <c r="E841" i="7"/>
  <c r="H840" i="7" a="1"/>
  <c r="H840" i="7" s="1"/>
  <c r="E840" i="7"/>
  <c r="H839" i="7" a="1"/>
  <c r="H839" i="7" s="1"/>
  <c r="E839" i="7"/>
  <c r="E572" i="7" l="1"/>
  <c r="K571" i="7"/>
  <c r="E571" i="7"/>
  <c r="H838" i="7" l="1" a="1"/>
  <c r="H838" i="7" s="1"/>
  <c r="E838" i="7"/>
  <c r="H837" i="7" a="1"/>
  <c r="H837" i="7" s="1"/>
  <c r="E837" i="7"/>
  <c r="E836" i="7"/>
  <c r="E835" i="7"/>
  <c r="H834" i="7" a="1"/>
  <c r="H834" i="7" s="1"/>
  <c r="E834" i="7"/>
  <c r="H833" i="7" a="1"/>
  <c r="H833" i="7" s="1"/>
  <c r="E833" i="7"/>
  <c r="H832" i="7" a="1"/>
  <c r="H832" i="7" s="1"/>
  <c r="E832" i="7"/>
  <c r="E831" i="7"/>
  <c r="E830" i="7"/>
  <c r="H829" i="7" a="1"/>
  <c r="H829" i="7" s="1"/>
  <c r="E829" i="7"/>
  <c r="H828" i="7" a="1"/>
  <c r="H828" i="7" s="1"/>
  <c r="E828" i="7"/>
  <c r="H827" i="7" a="1"/>
  <c r="H827" i="7" s="1"/>
  <c r="E827" i="7"/>
  <c r="E826" i="7"/>
  <c r="E825" i="7"/>
  <c r="H816" i="7" l="1" a="1"/>
  <c r="H816" i="7" s="1"/>
  <c r="E816" i="7"/>
  <c r="H815" i="7" a="1"/>
  <c r="H815" i="7" s="1"/>
  <c r="E815" i="7"/>
  <c r="H800" i="7" a="1"/>
  <c r="H800" i="7" s="1"/>
  <c r="E800" i="7"/>
  <c r="H799" i="7" a="1"/>
  <c r="H799" i="7" s="1"/>
  <c r="E799" i="7"/>
  <c r="H798" i="7" a="1"/>
  <c r="H798" i="7" s="1"/>
  <c r="E798" i="7"/>
  <c r="H797" i="7" a="1"/>
  <c r="H797" i="7" s="1"/>
  <c r="E797" i="7"/>
  <c r="H824" i="7" a="1"/>
  <c r="H824" i="7" s="1"/>
  <c r="E824" i="7"/>
  <c r="H823" i="7" a="1"/>
  <c r="H823" i="7" s="1"/>
  <c r="E823" i="7"/>
  <c r="H822" i="7" a="1"/>
  <c r="H822" i="7" s="1"/>
  <c r="E822" i="7"/>
  <c r="H821" i="7" a="1"/>
  <c r="H821" i="7" s="1"/>
  <c r="E821" i="7"/>
  <c r="H820" i="7" a="1"/>
  <c r="H820" i="7" s="1"/>
  <c r="E820" i="7"/>
  <c r="H819" i="7" a="1"/>
  <c r="H819" i="7" s="1"/>
  <c r="E819" i="7"/>
  <c r="H818" i="7" a="1"/>
  <c r="H818" i="7" s="1"/>
  <c r="E818" i="7"/>
  <c r="H817" i="7" a="1"/>
  <c r="H817" i="7" s="1"/>
  <c r="E817" i="7"/>
  <c r="H814" i="7" a="1"/>
  <c r="H814" i="7" s="1"/>
  <c r="E814" i="7"/>
  <c r="H813" i="7" a="1"/>
  <c r="H813" i="7" s="1"/>
  <c r="E813" i="7"/>
  <c r="H812" i="7" a="1"/>
  <c r="H812" i="7" s="1"/>
  <c r="E812" i="7"/>
  <c r="H811" i="7" a="1"/>
  <c r="H811" i="7" s="1"/>
  <c r="E811" i="7"/>
  <c r="H810" i="7" a="1"/>
  <c r="H810" i="7" s="1"/>
  <c r="E810" i="7"/>
  <c r="H809" i="7" a="1"/>
  <c r="H809" i="7" s="1"/>
  <c r="E809" i="7"/>
  <c r="H808" i="7" a="1"/>
  <c r="H808" i="7" s="1"/>
  <c r="E808" i="7"/>
  <c r="H807" i="7" a="1"/>
  <c r="H807" i="7" s="1"/>
  <c r="E807" i="7"/>
  <c r="E806" i="7"/>
  <c r="E805" i="7"/>
  <c r="H804" i="7" a="1"/>
  <c r="H804" i="7" s="1"/>
  <c r="E804" i="7"/>
  <c r="H803" i="7" a="1"/>
  <c r="H803" i="7" s="1"/>
  <c r="E803" i="7"/>
  <c r="E802" i="7"/>
  <c r="H801" i="7" a="1"/>
  <c r="H801" i="7" s="1"/>
  <c r="E801" i="7"/>
  <c r="H796" i="7" a="1"/>
  <c r="H796" i="7" s="1"/>
  <c r="E796" i="7"/>
  <c r="H795" i="7" a="1"/>
  <c r="H795" i="7" s="1"/>
  <c r="E795" i="7"/>
  <c r="E794" i="7"/>
  <c r="E793" i="7"/>
  <c r="H792" i="7" a="1"/>
  <c r="H792" i="7" s="1"/>
  <c r="E792" i="7"/>
  <c r="H791" i="7" a="1"/>
  <c r="H791" i="7" s="1"/>
  <c r="E791" i="7"/>
  <c r="H790" i="7" a="1"/>
  <c r="H790" i="7" s="1"/>
  <c r="E790" i="7"/>
  <c r="H789" i="7" a="1"/>
  <c r="H789" i="7" s="1"/>
  <c r="E789" i="7"/>
  <c r="H788" i="7" a="1"/>
  <c r="H788" i="7" s="1"/>
  <c r="E788" i="7"/>
  <c r="H787" i="7" a="1"/>
  <c r="H787" i="7" s="1"/>
  <c r="E787" i="7"/>
  <c r="H786" i="7" a="1"/>
  <c r="H786" i="7" s="1"/>
  <c r="E786" i="7"/>
  <c r="H785" i="7" a="1"/>
  <c r="H785" i="7" s="1"/>
  <c r="E785" i="7"/>
  <c r="H784" i="7" a="1"/>
  <c r="H784" i="7" s="1"/>
  <c r="E784" i="7"/>
  <c r="H783" i="7" a="1"/>
  <c r="H783" i="7" s="1"/>
  <c r="E783" i="7"/>
  <c r="H782" i="7" a="1"/>
  <c r="H782" i="7" s="1"/>
  <c r="E782" i="7"/>
  <c r="F13" i="9"/>
  <c r="G13" i="9" s="1"/>
  <c r="K13" i="9" s="1"/>
  <c r="F14" i="9"/>
  <c r="G14" i="9" s="1"/>
  <c r="F12" i="9"/>
  <c r="G12" i="9" s="1"/>
  <c r="K12" i="9" s="1"/>
  <c r="K14" i="9" l="1"/>
  <c r="K15" i="9" s="1"/>
  <c r="G15" i="9"/>
  <c r="H781" i="7" l="1" a="1"/>
  <c r="H781" i="7" s="1"/>
  <c r="E781" i="7"/>
  <c r="H780" i="7" a="1"/>
  <c r="H780" i="7" s="1"/>
  <c r="E780" i="7"/>
  <c r="H779" i="7" a="1"/>
  <c r="H779" i="7" s="1"/>
  <c r="E779" i="7"/>
  <c r="H778" i="7" l="1" a="1"/>
  <c r="H778" i="7" s="1"/>
  <c r="E778" i="7"/>
  <c r="H777" i="7" a="1"/>
  <c r="H777" i="7" s="1"/>
  <c r="E777" i="7"/>
  <c r="H776" i="7" a="1"/>
  <c r="H776" i="7" s="1"/>
  <c r="E776" i="7"/>
  <c r="H772" i="7" a="1"/>
  <c r="H772" i="7" s="1"/>
  <c r="E772" i="7"/>
  <c r="H771" i="7" a="1"/>
  <c r="H771" i="7" s="1"/>
  <c r="E771" i="7"/>
  <c r="H775" i="7" a="1"/>
  <c r="H775" i="7" s="1"/>
  <c r="E775" i="7"/>
  <c r="H774" i="7" a="1"/>
  <c r="H774" i="7" s="1"/>
  <c r="E774" i="7"/>
  <c r="H773" i="7" a="1"/>
  <c r="H773" i="7" s="1"/>
  <c r="E773" i="7"/>
  <c r="H766" i="7" a="1"/>
  <c r="H766" i="7" s="1"/>
  <c r="E766" i="7"/>
  <c r="H765" i="7" a="1"/>
  <c r="H765" i="7" s="1"/>
  <c r="E765" i="7"/>
  <c r="H768" i="7" a="1"/>
  <c r="H768" i="7" s="1"/>
  <c r="E768" i="7"/>
  <c r="H767" i="7" a="1"/>
  <c r="H767" i="7" s="1"/>
  <c r="E767" i="7"/>
  <c r="H764" i="7" a="1"/>
  <c r="H764" i="7" s="1"/>
  <c r="E764" i="7"/>
  <c r="H763" i="7" a="1"/>
  <c r="H763" i="7" s="1"/>
  <c r="E763" i="7"/>
  <c r="N744" i="7"/>
  <c r="H746" i="7" a="1"/>
  <c r="H746" i="7" s="1"/>
  <c r="E746" i="7"/>
  <c r="H745" i="7" a="1"/>
  <c r="H745" i="7" s="1"/>
  <c r="E745" i="7"/>
  <c r="H744" i="7" a="1"/>
  <c r="H744" i="7" s="1"/>
  <c r="E744" i="7"/>
  <c r="N740" i="7"/>
  <c r="H743" i="7" a="1"/>
  <c r="H743" i="7" s="1"/>
  <c r="E743" i="7"/>
  <c r="H742" i="7" a="1"/>
  <c r="H742" i="7" s="1"/>
  <c r="E742" i="7"/>
  <c r="H741" i="7" a="1"/>
  <c r="H741" i="7" s="1"/>
  <c r="E741" i="7"/>
  <c r="H740" i="7" a="1"/>
  <c r="H740" i="7" s="1"/>
  <c r="E740" i="7"/>
  <c r="H739" i="7" a="1"/>
  <c r="H739" i="7" s="1"/>
  <c r="E739" i="7"/>
  <c r="H738" i="7" a="1"/>
  <c r="H738" i="7" s="1"/>
  <c r="E738" i="7"/>
  <c r="H770" i="7" a="1"/>
  <c r="H770" i="7" s="1"/>
  <c r="E770" i="7"/>
  <c r="H769" i="7" a="1"/>
  <c r="H769" i="7" s="1"/>
  <c r="E769" i="7"/>
  <c r="E757" i="7" l="1"/>
  <c r="H759" i="7" a="1"/>
  <c r="H759" i="7" s="1"/>
  <c r="E759" i="7"/>
  <c r="H758" i="7" a="1"/>
  <c r="H758" i="7" s="1"/>
  <c r="E758" i="7"/>
  <c r="E756" i="7"/>
  <c r="H755" i="7" a="1"/>
  <c r="H755" i="7" s="1"/>
  <c r="E755" i="7"/>
  <c r="H750" i="7" a="1"/>
  <c r="H750" i="7" s="1"/>
  <c r="E750" i="7"/>
  <c r="H749" i="7" a="1"/>
  <c r="H749" i="7" s="1"/>
  <c r="E749" i="7"/>
  <c r="E748" i="7"/>
  <c r="H747" i="7" a="1"/>
  <c r="H747" i="7" s="1"/>
  <c r="E747" i="7"/>
  <c r="H762" i="7" a="1"/>
  <c r="H762" i="7" s="1"/>
  <c r="E762" i="7"/>
  <c r="E761" i="7"/>
  <c r="H760" i="7" a="1"/>
  <c r="H760" i="7" s="1"/>
  <c r="E760" i="7"/>
  <c r="H754" i="7" a="1"/>
  <c r="H754" i="7" s="1"/>
  <c r="E754" i="7"/>
  <c r="H753" i="7" a="1"/>
  <c r="H753" i="7" s="1"/>
  <c r="E753" i="7"/>
  <c r="E752" i="7"/>
  <c r="H751" i="7" a="1"/>
  <c r="H751" i="7" s="1"/>
  <c r="E751" i="7"/>
  <c r="H737" i="7" a="1"/>
  <c r="H737" i="7" s="1"/>
  <c r="E737" i="7"/>
  <c r="H736" i="7" a="1"/>
  <c r="H736" i="7" s="1"/>
  <c r="E736" i="7"/>
  <c r="H735" i="7" a="1"/>
  <c r="H735" i="7" s="1"/>
  <c r="E735" i="7"/>
  <c r="H734" i="7" a="1"/>
  <c r="H734" i="7" s="1"/>
  <c r="E734" i="7"/>
  <c r="H733" i="7" a="1"/>
  <c r="H733" i="7" s="1"/>
  <c r="E733" i="7"/>
  <c r="H732" i="7" a="1"/>
  <c r="H732" i="7" s="1"/>
  <c r="E732" i="7"/>
  <c r="H731" i="7" a="1"/>
  <c r="H731" i="7" s="1"/>
  <c r="E731" i="7"/>
  <c r="H730" i="7" a="1"/>
  <c r="H730" i="7" s="1"/>
  <c r="E730" i="7"/>
  <c r="H729" i="7" a="1"/>
  <c r="H729" i="7" s="1"/>
  <c r="E729" i="7"/>
  <c r="H728" i="7" a="1"/>
  <c r="H728" i="7" s="1"/>
  <c r="E728" i="7"/>
  <c r="H727" i="7" a="1"/>
  <c r="H727" i="7" s="1"/>
  <c r="E727" i="7"/>
  <c r="H723" i="7" a="1"/>
  <c r="H723" i="7" s="1"/>
  <c r="E723" i="7"/>
  <c r="H722" i="7" a="1"/>
  <c r="H722" i="7" s="1"/>
  <c r="E722" i="7"/>
  <c r="H721" i="7" a="1"/>
  <c r="H721" i="7" s="1"/>
  <c r="E721" i="7"/>
  <c r="H716" i="7" a="1"/>
  <c r="H716" i="7" s="1"/>
  <c r="E716" i="7"/>
  <c r="H715" i="7" a="1"/>
  <c r="H715" i="7" s="1"/>
  <c r="E715" i="7"/>
  <c r="H714" i="7" a="1"/>
  <c r="H714" i="7" s="1"/>
  <c r="E714" i="7"/>
  <c r="H726" i="7" a="1"/>
  <c r="H726" i="7" s="1"/>
  <c r="E726" i="7"/>
  <c r="H725" i="7" a="1"/>
  <c r="H725" i="7" s="1"/>
  <c r="E725" i="7"/>
  <c r="H724" i="7" a="1"/>
  <c r="H724" i="7" s="1"/>
  <c r="E724" i="7"/>
  <c r="H718" i="7" a="1"/>
  <c r="H718" i="7" s="1"/>
  <c r="E718" i="7"/>
  <c r="H717" i="7" a="1"/>
  <c r="H717" i="7" s="1"/>
  <c r="E717" i="7"/>
  <c r="H713" i="7" a="1"/>
  <c r="H713" i="7" s="1"/>
  <c r="E713" i="7"/>
  <c r="H712" i="7" a="1"/>
  <c r="H712" i="7" s="1"/>
  <c r="E712" i="7"/>
  <c r="E711" i="7"/>
  <c r="H710" i="7" a="1"/>
  <c r="H710" i="7" s="1"/>
  <c r="E710" i="7"/>
  <c r="H720" i="7" a="1"/>
  <c r="H720" i="7" s="1"/>
  <c r="E720" i="7"/>
  <c r="H719" i="7" a="1"/>
  <c r="H719" i="7" s="1"/>
  <c r="E719" i="7"/>
  <c r="H709" i="7" a="1"/>
  <c r="H709" i="7" s="1"/>
  <c r="E709" i="7"/>
  <c r="H708" i="7" a="1"/>
  <c r="H708" i="7" s="1"/>
  <c r="E708" i="7"/>
  <c r="H707" i="7" a="1"/>
  <c r="H707" i="7" s="1"/>
  <c r="E707" i="7"/>
  <c r="H706" i="7" a="1"/>
  <c r="H706" i="7" s="1"/>
  <c r="E706" i="7"/>
  <c r="H705" i="7" a="1"/>
  <c r="H705" i="7" s="1"/>
  <c r="E705" i="7"/>
  <c r="H704" i="7" a="1"/>
  <c r="H704" i="7" s="1"/>
  <c r="E704" i="7"/>
  <c r="H703" i="7" a="1"/>
  <c r="H703" i="7" s="1"/>
  <c r="E703" i="7"/>
  <c r="H702" i="7" a="1"/>
  <c r="H702" i="7" s="1"/>
  <c r="E702" i="7"/>
  <c r="H701" i="7" a="1"/>
  <c r="H701" i="7" s="1"/>
  <c r="E701" i="7"/>
  <c r="H700" i="7" a="1"/>
  <c r="H700" i="7" s="1"/>
  <c r="E700" i="7"/>
  <c r="E697" i="7"/>
  <c r="H699" i="7" a="1"/>
  <c r="H699" i="7" s="1"/>
  <c r="E699" i="7"/>
  <c r="H698" i="7" a="1"/>
  <c r="H698" i="7" s="1"/>
  <c r="E698" i="7"/>
  <c r="H696" i="7" a="1"/>
  <c r="H696" i="7" s="1"/>
  <c r="E696" i="7"/>
  <c r="H695" i="7" a="1"/>
  <c r="H695" i="7" s="1"/>
  <c r="E695" i="7"/>
  <c r="H694" i="7" a="1"/>
  <c r="H694" i="7" s="1"/>
  <c r="E694" i="7"/>
  <c r="H693" i="7" a="1"/>
  <c r="H693" i="7" s="1"/>
  <c r="E693" i="7"/>
  <c r="H692" i="7" a="1"/>
  <c r="H692" i="7" s="1"/>
  <c r="E692" i="7"/>
  <c r="H691" i="7" a="1"/>
  <c r="H691" i="7" s="1"/>
  <c r="E691" i="7"/>
  <c r="H690" i="7" a="1"/>
  <c r="H690" i="7" s="1"/>
  <c r="E690" i="7"/>
  <c r="H689" i="7" a="1"/>
  <c r="H689" i="7" s="1"/>
  <c r="E689" i="7"/>
  <c r="H688" i="7" a="1"/>
  <c r="H688" i="7" s="1"/>
  <c r="E688" i="7"/>
  <c r="H687" i="7" a="1"/>
  <c r="H687" i="7" s="1"/>
  <c r="E687" i="7"/>
  <c r="H686" i="7" a="1"/>
  <c r="H686" i="7" s="1"/>
  <c r="E686" i="7"/>
  <c r="H685" i="7" a="1"/>
  <c r="H685" i="7" s="1"/>
  <c r="E685" i="7"/>
  <c r="H684" i="7" a="1"/>
  <c r="H684" i="7" s="1"/>
  <c r="E684" i="7"/>
  <c r="H683" i="7" a="1"/>
  <c r="H683" i="7" s="1"/>
  <c r="E683" i="7"/>
  <c r="H682" i="7" a="1"/>
  <c r="H682" i="7" s="1"/>
  <c r="E682" i="7"/>
  <c r="H681" i="7" a="1"/>
  <c r="H681" i="7" s="1"/>
  <c r="E681" i="7"/>
  <c r="H680" i="7" a="1"/>
  <c r="H680" i="7" s="1"/>
  <c r="E680" i="7"/>
  <c r="H679" i="7" a="1"/>
  <c r="H679" i="7" s="1"/>
  <c r="E679" i="7"/>
  <c r="H678" i="7" a="1"/>
  <c r="H678" i="7" s="1"/>
  <c r="E678" i="7"/>
  <c r="H677" i="7" a="1"/>
  <c r="H677" i="7" s="1"/>
  <c r="E677" i="7"/>
  <c r="H676" i="7" a="1"/>
  <c r="H676" i="7" s="1"/>
  <c r="E676" i="7"/>
  <c r="H675" i="7" a="1"/>
  <c r="H675" i="7" s="1"/>
  <c r="E675" i="7"/>
  <c r="H674" i="7" a="1"/>
  <c r="H674" i="7" s="1"/>
  <c r="E674" i="7"/>
  <c r="H673" i="7" a="1"/>
  <c r="H673" i="7" s="1"/>
  <c r="E673" i="7"/>
  <c r="H672" i="7" a="1"/>
  <c r="H672" i="7" s="1"/>
  <c r="E672" i="7"/>
  <c r="H671" i="7" a="1"/>
  <c r="H671" i="7" s="1"/>
  <c r="E671" i="7"/>
  <c r="H670" i="7" a="1"/>
  <c r="H670" i="7" s="1"/>
  <c r="E670" i="7"/>
  <c r="H669" i="7" a="1"/>
  <c r="H669" i="7" s="1"/>
  <c r="E669" i="7"/>
  <c r="H668" i="7" a="1"/>
  <c r="H668" i="7" s="1"/>
  <c r="E668" i="7"/>
  <c r="H667" i="7" a="1"/>
  <c r="H667" i="7" s="1"/>
  <c r="E667" i="7"/>
  <c r="H666" i="7" a="1"/>
  <c r="H666" i="7" s="1"/>
  <c r="E666" i="7"/>
  <c r="H665" i="7" a="1"/>
  <c r="H665" i="7" s="1"/>
  <c r="E665" i="7"/>
  <c r="H664" i="7" a="1"/>
  <c r="H664" i="7" s="1"/>
  <c r="E664" i="7"/>
  <c r="H663" i="7" a="1"/>
  <c r="H663" i="7" s="1"/>
  <c r="E663" i="7"/>
  <c r="H662" i="7" a="1"/>
  <c r="H662" i="7" s="1"/>
  <c r="E662" i="7"/>
  <c r="H661" i="7" a="1"/>
  <c r="H661" i="7" s="1"/>
  <c r="E661" i="7"/>
  <c r="H660" i="7" a="1"/>
  <c r="H660" i="7" s="1"/>
  <c r="E660" i="7"/>
  <c r="H659" i="7" a="1"/>
  <c r="H659" i="7" s="1"/>
  <c r="E659" i="7"/>
  <c r="H658" i="7" l="1" a="1"/>
  <c r="H658" i="7" s="1"/>
  <c r="E658" i="7"/>
  <c r="H657" i="7" a="1"/>
  <c r="H657" i="7" s="1"/>
  <c r="E657" i="7"/>
  <c r="H656" i="7" a="1"/>
  <c r="H656" i="7" s="1"/>
  <c r="E656" i="7"/>
  <c r="H655" i="7" a="1"/>
  <c r="H655" i="7" s="1"/>
  <c r="E655" i="7"/>
  <c r="H654" i="7" a="1"/>
  <c r="H654" i="7" s="1"/>
  <c r="E654" i="7"/>
  <c r="H409" i="7" l="1" a="1"/>
  <c r="H409" i="7" s="1"/>
  <c r="H410" i="7" a="1"/>
  <c r="H410" i="7" s="1"/>
  <c r="H411" i="7" a="1"/>
  <c r="H411" i="7" s="1"/>
  <c r="H412" i="7" a="1"/>
  <c r="H412" i="7" s="1"/>
  <c r="H413" i="7" a="1"/>
  <c r="H413" i="7" s="1"/>
  <c r="H414" i="7" a="1"/>
  <c r="H414" i="7" s="1"/>
  <c r="H418" i="7" a="1"/>
  <c r="H418" i="7" s="1"/>
  <c r="H419" i="7" a="1"/>
  <c r="H419" i="7" s="1"/>
  <c r="H420" i="7" a="1"/>
  <c r="H420" i="7" s="1"/>
  <c r="H421" i="7" a="1"/>
  <c r="H421" i="7" s="1"/>
  <c r="H422" i="7" a="1"/>
  <c r="H422" i="7" s="1"/>
  <c r="H423" i="7" a="1"/>
  <c r="H423" i="7" s="1"/>
  <c r="H424" i="7" a="1"/>
  <c r="H424" i="7" s="1"/>
  <c r="H425" i="7" a="1"/>
  <c r="H425" i="7" s="1"/>
  <c r="H426" i="7" a="1"/>
  <c r="H426" i="7" s="1"/>
  <c r="H427" i="7" a="1"/>
  <c r="H427" i="7" s="1"/>
  <c r="H428" i="7" a="1"/>
  <c r="H428" i="7" s="1"/>
  <c r="H429" i="7" a="1"/>
  <c r="H429" i="7" s="1"/>
  <c r="H430" i="7" a="1"/>
  <c r="H430" i="7" s="1"/>
  <c r="H431" i="7" a="1"/>
  <c r="H431" i="7" s="1"/>
  <c r="H432" i="7" a="1"/>
  <c r="H432" i="7" s="1"/>
  <c r="H433" i="7" a="1"/>
  <c r="H433" i="7" s="1"/>
  <c r="H434" i="7" a="1"/>
  <c r="H434" i="7" s="1"/>
  <c r="H435" i="7" a="1"/>
  <c r="H435" i="7" s="1"/>
  <c r="H436" i="7" a="1"/>
  <c r="H436" i="7" s="1"/>
  <c r="H437" i="7" a="1"/>
  <c r="H437" i="7" s="1"/>
  <c r="H438" i="7" a="1"/>
  <c r="H438" i="7" s="1"/>
  <c r="H439" i="7" a="1"/>
  <c r="H439" i="7" s="1"/>
  <c r="H440" i="7" a="1"/>
  <c r="H440" i="7" s="1"/>
  <c r="H441" i="7" a="1"/>
  <c r="H441" i="7" s="1"/>
  <c r="H442" i="7" a="1"/>
  <c r="H442" i="7" s="1"/>
  <c r="H443" i="7" a="1"/>
  <c r="H443" i="7" s="1"/>
  <c r="H444" i="7" a="1"/>
  <c r="H444" i="7" s="1"/>
  <c r="H445" i="7" a="1"/>
  <c r="H445" i="7" s="1"/>
  <c r="H446" i="7" a="1"/>
  <c r="H446" i="7" s="1"/>
  <c r="H447" i="7" a="1"/>
  <c r="H447" i="7" s="1"/>
  <c r="H448" i="7" a="1"/>
  <c r="H448" i="7" s="1"/>
  <c r="H449" i="7" a="1"/>
  <c r="H449" i="7" s="1"/>
  <c r="H450" i="7" a="1"/>
  <c r="H450" i="7" s="1"/>
  <c r="H451" i="7" a="1"/>
  <c r="H451" i="7" s="1"/>
  <c r="H452" i="7" a="1"/>
  <c r="H452" i="7" s="1"/>
  <c r="H453" i="7" a="1"/>
  <c r="H453" i="7" s="1"/>
  <c r="H454" i="7" a="1"/>
  <c r="H454" i="7" s="1"/>
  <c r="H455" i="7" a="1"/>
  <c r="H455" i="7" s="1"/>
  <c r="H456" i="7" a="1"/>
  <c r="H456" i="7" s="1"/>
  <c r="H457" i="7" a="1"/>
  <c r="H457" i="7" s="1"/>
  <c r="H458" i="7" a="1"/>
  <c r="H458" i="7" s="1"/>
  <c r="H459" i="7" a="1"/>
  <c r="H459" i="7" s="1"/>
  <c r="H460" i="7" a="1"/>
  <c r="H460" i="7" s="1"/>
  <c r="H461" i="7" a="1"/>
  <c r="H461" i="7" s="1"/>
  <c r="H462" i="7" a="1"/>
  <c r="H462" i="7" s="1"/>
  <c r="H463" i="7" a="1"/>
  <c r="H463" i="7" s="1"/>
  <c r="H464" i="7" a="1"/>
  <c r="H464" i="7" s="1"/>
  <c r="H465" i="7" a="1"/>
  <c r="H465" i="7" s="1"/>
  <c r="H466" i="7" a="1"/>
  <c r="H466" i="7" s="1"/>
  <c r="H467" i="7" a="1"/>
  <c r="H467" i="7" s="1"/>
  <c r="H468" i="7" a="1"/>
  <c r="H468" i="7" s="1"/>
  <c r="H469" i="7" a="1"/>
  <c r="H469" i="7" s="1"/>
  <c r="H470" i="7" a="1"/>
  <c r="H470" i="7" s="1"/>
  <c r="H471" i="7" a="1"/>
  <c r="H471" i="7" s="1"/>
  <c r="H472" i="7" a="1"/>
  <c r="H472" i="7" s="1"/>
  <c r="H473" i="7" a="1"/>
  <c r="H473" i="7" s="1"/>
  <c r="H474" i="7" a="1"/>
  <c r="H474" i="7" s="1"/>
  <c r="H475" i="7" a="1"/>
  <c r="H475" i="7" s="1"/>
  <c r="H476" i="7" a="1"/>
  <c r="H476" i="7" s="1"/>
  <c r="H477" i="7" a="1"/>
  <c r="H477" i="7" s="1"/>
  <c r="H478" i="7" a="1"/>
  <c r="H478" i="7" s="1"/>
  <c r="H479" i="7" a="1"/>
  <c r="H479" i="7" s="1"/>
  <c r="H480" i="7" a="1"/>
  <c r="H480" i="7" s="1"/>
  <c r="H481" i="7" a="1"/>
  <c r="H481" i="7" s="1"/>
  <c r="H482" i="7" a="1"/>
  <c r="H482" i="7" s="1"/>
  <c r="H483" i="7" a="1"/>
  <c r="H483" i="7" s="1"/>
  <c r="H484" i="7" a="1"/>
  <c r="H484" i="7" s="1"/>
  <c r="H485" i="7" a="1"/>
  <c r="H485" i="7" s="1"/>
  <c r="H486" i="7" a="1"/>
  <c r="H486" i="7" s="1"/>
  <c r="H487" i="7" a="1"/>
  <c r="H487" i="7" s="1"/>
  <c r="H488" i="7" a="1"/>
  <c r="H488" i="7" s="1"/>
  <c r="H489" i="7" a="1"/>
  <c r="H489" i="7" s="1"/>
  <c r="H490" i="7" a="1"/>
  <c r="H490" i="7" s="1"/>
  <c r="H491" i="7" a="1"/>
  <c r="H491" i="7" s="1"/>
  <c r="H492" i="7" a="1"/>
  <c r="H492" i="7" s="1"/>
  <c r="H493" i="7" a="1"/>
  <c r="H493" i="7" s="1"/>
  <c r="H494" i="7" a="1"/>
  <c r="H494" i="7" s="1"/>
  <c r="H495" i="7" a="1"/>
  <c r="H495" i="7" s="1"/>
  <c r="H496" i="7" a="1"/>
  <c r="H496" i="7" s="1"/>
  <c r="H497" i="7" a="1"/>
  <c r="H497" i="7" s="1"/>
  <c r="H498" i="7" a="1"/>
  <c r="H498" i="7" s="1"/>
  <c r="H499" i="7" a="1"/>
  <c r="H499" i="7" s="1"/>
  <c r="H500" i="7" a="1"/>
  <c r="H500" i="7" s="1"/>
  <c r="H501" i="7" a="1"/>
  <c r="H501" i="7" s="1"/>
  <c r="H502" i="7" a="1"/>
  <c r="H502" i="7" s="1"/>
  <c r="H503" i="7" a="1"/>
  <c r="H503" i="7" s="1"/>
  <c r="H504" i="7" a="1"/>
  <c r="H504" i="7" s="1"/>
  <c r="H505" i="7" a="1"/>
  <c r="H505" i="7" s="1"/>
  <c r="H506" i="7" a="1"/>
  <c r="H506" i="7" s="1"/>
  <c r="H507" i="7" a="1"/>
  <c r="H507" i="7" s="1"/>
  <c r="H508" i="7" a="1"/>
  <c r="H508" i="7" s="1"/>
  <c r="H509" i="7" a="1"/>
  <c r="H509" i="7" s="1"/>
  <c r="H510" i="7" a="1"/>
  <c r="H510" i="7" s="1"/>
  <c r="H511" i="7" a="1"/>
  <c r="H511" i="7" s="1"/>
  <c r="H512" i="7" a="1"/>
  <c r="H512" i="7" s="1"/>
  <c r="H513" i="7" a="1"/>
  <c r="H513" i="7" s="1"/>
  <c r="H514" i="7" a="1"/>
  <c r="H514" i="7" s="1"/>
  <c r="H515" i="7" a="1"/>
  <c r="H515" i="7" s="1"/>
  <c r="H516" i="7" a="1"/>
  <c r="H516" i="7" s="1"/>
  <c r="H517" i="7" a="1"/>
  <c r="H517" i="7" s="1"/>
  <c r="H518" i="7" a="1"/>
  <c r="H518" i="7" s="1"/>
  <c r="H519" i="7" a="1"/>
  <c r="H519" i="7" s="1"/>
  <c r="H520" i="7" a="1"/>
  <c r="H520" i="7" s="1"/>
  <c r="H521" i="7" a="1"/>
  <c r="H521" i="7" s="1"/>
  <c r="H522" i="7" a="1"/>
  <c r="H522" i="7" s="1"/>
  <c r="H523" i="7" a="1"/>
  <c r="H523" i="7" s="1"/>
  <c r="H524" i="7" a="1"/>
  <c r="H524" i="7" s="1"/>
  <c r="H525" i="7" a="1"/>
  <c r="H525" i="7" s="1"/>
  <c r="H526" i="7" a="1"/>
  <c r="H526" i="7" s="1"/>
  <c r="H527" i="7" a="1"/>
  <c r="H527" i="7" s="1"/>
  <c r="H528" i="7" a="1"/>
  <c r="H528" i="7" s="1"/>
  <c r="H529" i="7" a="1"/>
  <c r="H529" i="7" s="1"/>
  <c r="H530" i="7" a="1"/>
  <c r="H530" i="7" s="1"/>
  <c r="H531" i="7" a="1"/>
  <c r="H531" i="7" s="1"/>
  <c r="H532" i="7" a="1"/>
  <c r="H532" i="7" s="1"/>
  <c r="H533" i="7" a="1"/>
  <c r="H533" i="7" s="1"/>
  <c r="H534" i="7" a="1"/>
  <c r="H534" i="7" s="1"/>
  <c r="H535" i="7" a="1"/>
  <c r="H535" i="7" s="1"/>
  <c r="H536" i="7" a="1"/>
  <c r="H536" i="7" s="1"/>
  <c r="H537" i="7" a="1"/>
  <c r="H537" i="7" s="1"/>
  <c r="H538" i="7" a="1"/>
  <c r="H538" i="7" s="1"/>
  <c r="H539" i="7" a="1"/>
  <c r="H539" i="7" s="1"/>
  <c r="H540" i="7" a="1"/>
  <c r="H540" i="7" s="1"/>
  <c r="H541" i="7" a="1"/>
  <c r="H541" i="7" s="1"/>
  <c r="H542" i="7" a="1"/>
  <c r="H542" i="7" s="1"/>
  <c r="H543" i="7" a="1"/>
  <c r="H543" i="7" s="1"/>
  <c r="H544" i="7" a="1"/>
  <c r="H544" i="7" s="1"/>
  <c r="H545" i="7" a="1"/>
  <c r="H545" i="7" s="1"/>
  <c r="H546" i="7" a="1"/>
  <c r="H546" i="7" s="1"/>
  <c r="H547" i="7" a="1"/>
  <c r="H547" i="7" s="1"/>
  <c r="H548" i="7" a="1"/>
  <c r="H548" i="7" s="1"/>
  <c r="H549" i="7" a="1"/>
  <c r="H549" i="7" s="1"/>
  <c r="H550" i="7" a="1"/>
  <c r="H550" i="7" s="1"/>
  <c r="H551" i="7" a="1"/>
  <c r="H551" i="7" s="1"/>
  <c r="H552" i="7" a="1"/>
  <c r="H552" i="7" s="1"/>
  <c r="H553" i="7" a="1"/>
  <c r="H553" i="7" s="1"/>
  <c r="H554" i="7" a="1"/>
  <c r="H554" i="7" s="1"/>
  <c r="H555" i="7" a="1"/>
  <c r="H555" i="7" s="1"/>
  <c r="H556" i="7" a="1"/>
  <c r="H556" i="7" s="1"/>
  <c r="H557" i="7" a="1"/>
  <c r="H557" i="7" s="1"/>
  <c r="H558" i="7" a="1"/>
  <c r="H558" i="7" s="1"/>
  <c r="H559" i="7" a="1"/>
  <c r="H559" i="7" s="1"/>
  <c r="H560" i="7" a="1"/>
  <c r="H560" i="7" s="1"/>
  <c r="H561" i="7" a="1"/>
  <c r="H561" i="7" s="1"/>
  <c r="H562" i="7" a="1"/>
  <c r="H562" i="7" s="1"/>
  <c r="H563" i="7" a="1"/>
  <c r="H563" i="7" s="1"/>
  <c r="H564" i="7" a="1"/>
  <c r="H564" i="7" s="1"/>
  <c r="H565" i="7" a="1"/>
  <c r="H565" i="7" s="1"/>
  <c r="H566" i="7" a="1"/>
  <c r="H566" i="7" s="1"/>
  <c r="H567" i="7" a="1"/>
  <c r="H567" i="7" s="1"/>
  <c r="H568" i="7" a="1"/>
  <c r="H568" i="7" s="1"/>
  <c r="H569" i="7" a="1"/>
  <c r="H569" i="7" s="1"/>
  <c r="H570" i="7" a="1"/>
  <c r="H570" i="7" s="1"/>
  <c r="H573" i="7" a="1"/>
  <c r="H573" i="7" s="1"/>
  <c r="H574" i="7" a="1"/>
  <c r="H574" i="7" s="1"/>
  <c r="H575" i="7" a="1"/>
  <c r="H575" i="7" s="1"/>
  <c r="H576" i="7" a="1"/>
  <c r="H576" i="7" s="1"/>
  <c r="H577" i="7" a="1"/>
  <c r="H577" i="7" s="1"/>
  <c r="H578" i="7" a="1"/>
  <c r="H578" i="7" s="1"/>
  <c r="H579" i="7" a="1"/>
  <c r="H579" i="7" s="1"/>
  <c r="H580" i="7" a="1"/>
  <c r="H580" i="7" s="1"/>
  <c r="H581" i="7" a="1"/>
  <c r="H581" i="7" s="1"/>
  <c r="H582" i="7" a="1"/>
  <c r="H582" i="7" s="1"/>
  <c r="H583" i="7" a="1"/>
  <c r="H583" i="7" s="1"/>
  <c r="H584" i="7" a="1"/>
  <c r="H584" i="7" s="1"/>
  <c r="H585" i="7" a="1"/>
  <c r="H585" i="7" s="1"/>
  <c r="H586" i="7" a="1"/>
  <c r="H586" i="7" s="1"/>
  <c r="H587" i="7" a="1"/>
  <c r="H587" i="7" s="1"/>
  <c r="H588" i="7" a="1"/>
  <c r="H588" i="7" s="1"/>
  <c r="H589" i="7" a="1"/>
  <c r="H589" i="7" s="1"/>
  <c r="H590" i="7" a="1"/>
  <c r="H590" i="7" s="1"/>
  <c r="H591" i="7" a="1"/>
  <c r="H591" i="7" s="1"/>
  <c r="H592" i="7" a="1"/>
  <c r="H592" i="7" s="1"/>
  <c r="H593" i="7" a="1"/>
  <c r="H593" i="7" s="1"/>
  <c r="H594" i="7" a="1"/>
  <c r="H594" i="7" s="1"/>
  <c r="H595" i="7" a="1"/>
  <c r="H595" i="7" s="1"/>
  <c r="H596" i="7" a="1"/>
  <c r="H596" i="7" s="1"/>
  <c r="H597" i="7" a="1"/>
  <c r="H597" i="7" s="1"/>
  <c r="H598" i="7" a="1"/>
  <c r="H598" i="7" s="1"/>
  <c r="H599" i="7" a="1"/>
  <c r="H599" i="7" s="1"/>
  <c r="H600" i="7" a="1"/>
  <c r="H600" i="7" s="1"/>
  <c r="H601" i="7" a="1"/>
  <c r="H601" i="7" s="1"/>
  <c r="H602" i="7" a="1"/>
  <c r="H602" i="7" s="1"/>
  <c r="H603" i="7" a="1"/>
  <c r="H603" i="7" s="1"/>
  <c r="H604" i="7" a="1"/>
  <c r="H604" i="7" s="1"/>
  <c r="H605" i="7" a="1"/>
  <c r="H605" i="7" s="1"/>
  <c r="H606" i="7" a="1"/>
  <c r="H606" i="7" s="1"/>
  <c r="H607" i="7" a="1"/>
  <c r="H607" i="7" s="1"/>
  <c r="H608" i="7" a="1"/>
  <c r="H608" i="7" s="1"/>
  <c r="H609" i="7" a="1"/>
  <c r="H609" i="7" s="1"/>
  <c r="H610" i="7" a="1"/>
  <c r="H610" i="7" s="1"/>
  <c r="H611" i="7" a="1"/>
  <c r="H611" i="7" s="1"/>
  <c r="H612" i="7" a="1"/>
  <c r="H612" i="7" s="1"/>
  <c r="H613" i="7" a="1"/>
  <c r="H613" i="7" s="1"/>
  <c r="H614" i="7" a="1"/>
  <c r="H614" i="7" s="1"/>
  <c r="H615" i="7" a="1"/>
  <c r="H615" i="7" s="1"/>
  <c r="H616" i="7" a="1"/>
  <c r="H616" i="7" s="1"/>
  <c r="H617" i="7" a="1"/>
  <c r="H617" i="7" s="1"/>
  <c r="H618" i="7" a="1"/>
  <c r="H618" i="7" s="1"/>
  <c r="H619" i="7" a="1"/>
  <c r="H619" i="7" s="1"/>
  <c r="H620" i="7" a="1"/>
  <c r="H620" i="7" s="1"/>
  <c r="H621" i="7" a="1"/>
  <c r="H621" i="7" s="1"/>
  <c r="H622" i="7" a="1"/>
  <c r="H622" i="7" s="1"/>
  <c r="H623" i="7" a="1"/>
  <c r="H623" i="7" s="1"/>
  <c r="H624" i="7" a="1"/>
  <c r="H624" i="7" s="1"/>
  <c r="H625" i="7" a="1"/>
  <c r="H625" i="7" s="1"/>
  <c r="H626" i="7" a="1"/>
  <c r="H626" i="7" s="1"/>
  <c r="H627" i="7" a="1"/>
  <c r="H627" i="7" s="1"/>
  <c r="H628" i="7" a="1"/>
  <c r="H628" i="7" s="1"/>
  <c r="H629" i="7" a="1"/>
  <c r="H629" i="7" s="1"/>
  <c r="H630" i="7" a="1"/>
  <c r="H630" i="7" s="1"/>
  <c r="H631" i="7" a="1"/>
  <c r="H631" i="7" s="1"/>
  <c r="H632" i="7" a="1"/>
  <c r="H632" i="7" s="1"/>
  <c r="H633" i="7" a="1"/>
  <c r="H633" i="7" s="1"/>
  <c r="H634" i="7" a="1"/>
  <c r="H634" i="7" s="1"/>
  <c r="H635" i="7" a="1"/>
  <c r="H635" i="7" s="1"/>
  <c r="H636" i="7" a="1"/>
  <c r="H636" i="7" s="1"/>
  <c r="H637" i="7" a="1"/>
  <c r="H637" i="7" s="1"/>
  <c r="H638" i="7" a="1"/>
  <c r="H638" i="7" s="1"/>
  <c r="H639" i="7" a="1"/>
  <c r="H639" i="7" s="1"/>
  <c r="H640" i="7" a="1"/>
  <c r="H640" i="7" s="1"/>
  <c r="H641" i="7" a="1"/>
  <c r="H641" i="7" s="1"/>
  <c r="H642" i="7" a="1"/>
  <c r="H642" i="7" s="1"/>
  <c r="H643" i="7" a="1"/>
  <c r="H643" i="7" s="1"/>
  <c r="H644" i="7" a="1"/>
  <c r="H644" i="7" s="1"/>
  <c r="H645" i="7" a="1"/>
  <c r="H645" i="7" s="1"/>
  <c r="H646" i="7" a="1"/>
  <c r="H646" i="7" s="1"/>
  <c r="H647" i="7" a="1"/>
  <c r="H647" i="7" s="1"/>
  <c r="H648" i="7" a="1"/>
  <c r="H648" i="7" s="1"/>
  <c r="H649" i="7" a="1"/>
  <c r="H649" i="7" s="1"/>
  <c r="H650" i="7" a="1"/>
  <c r="H650" i="7" s="1"/>
  <c r="H651" i="7" a="1"/>
  <c r="H651" i="7" s="1"/>
  <c r="H652" i="7" a="1"/>
  <c r="H652" i="7" s="1"/>
  <c r="H653" i="7" a="1"/>
  <c r="H653" i="7" s="1"/>
  <c r="E653" i="7"/>
  <c r="E652" i="7"/>
  <c r="E651" i="7"/>
  <c r="E642" i="7" l="1"/>
  <c r="E641" i="7"/>
  <c r="E650" i="7" l="1"/>
  <c r="E649" i="7"/>
  <c r="E648" i="7"/>
  <c r="E647" i="7"/>
  <c r="E646" i="7"/>
  <c r="E645" i="7"/>
  <c r="E644" i="7"/>
  <c r="E643" i="7"/>
  <c r="E640" i="7" l="1"/>
  <c r="E639" i="7"/>
  <c r="E638" i="7"/>
  <c r="E637" i="7"/>
  <c r="E636" i="7"/>
  <c r="E635" i="7" l="1"/>
  <c r="E634" i="7"/>
  <c r="E633" i="7"/>
  <c r="E632" i="7"/>
  <c r="E631" i="7"/>
  <c r="E615" i="7"/>
  <c r="E614" i="7"/>
  <c r="E630" i="7" l="1"/>
  <c r="E629" i="7"/>
  <c r="E628" i="7"/>
  <c r="E627" i="7"/>
  <c r="E626" i="7"/>
  <c r="E620" i="7"/>
  <c r="E619" i="7"/>
  <c r="E625" i="7"/>
  <c r="E624" i="7"/>
  <c r="E623" i="7" l="1"/>
  <c r="E622" i="7"/>
  <c r="E621" i="7"/>
  <c r="E618" i="7"/>
  <c r="E617" i="7"/>
  <c r="E616" i="7"/>
  <c r="E613" i="7"/>
  <c r="E612" i="7"/>
  <c r="E611" i="7"/>
  <c r="E610" i="7"/>
  <c r="E609" i="7"/>
  <c r="E608" i="7"/>
  <c r="E607" i="7"/>
  <c r="E606" i="7"/>
  <c r="E529" i="7" l="1"/>
  <c r="E528" i="7"/>
  <c r="E605" i="7" l="1"/>
  <c r="E604" i="7"/>
  <c r="E603" i="7"/>
  <c r="E602" i="7"/>
  <c r="E601" i="7"/>
  <c r="E600" i="7"/>
  <c r="E599" i="7"/>
  <c r="E598" i="7"/>
  <c r="E597" i="7" l="1"/>
  <c r="E596" i="7"/>
  <c r="E595" i="7"/>
  <c r="E594" i="7"/>
  <c r="E593" i="7"/>
  <c r="E592" i="7"/>
  <c r="E591" i="7"/>
  <c r="E590" i="7"/>
  <c r="E589" i="7"/>
  <c r="E588" i="7"/>
  <c r="E539" i="7" l="1"/>
  <c r="E538" i="7"/>
  <c r="E425" i="7"/>
  <c r="E424" i="7"/>
  <c r="E587" i="7" l="1"/>
  <c r="E586" i="7"/>
  <c r="E585" i="7"/>
  <c r="E584" i="7"/>
  <c r="E583" i="7"/>
  <c r="E582" i="7"/>
  <c r="E581" i="7"/>
  <c r="E580" i="7"/>
  <c r="E579" i="7"/>
  <c r="E578" i="7"/>
  <c r="E577" i="7"/>
  <c r="E576" i="7"/>
  <c r="E575" i="7"/>
  <c r="E574" i="7"/>
  <c r="E573" i="7"/>
  <c r="E570" i="7" l="1"/>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l="1"/>
  <c r="E541" i="7"/>
  <c r="E540" i="7"/>
  <c r="E537" i="7"/>
  <c r="E536" i="7"/>
  <c r="E535" i="7"/>
  <c r="E534" i="7"/>
  <c r="E533" i="7"/>
  <c r="E532" i="7"/>
  <c r="E531" i="7"/>
  <c r="E530" i="7"/>
  <c r="E527" i="7"/>
  <c r="E526" i="7"/>
  <c r="E525" i="7"/>
  <c r="E524" i="7"/>
  <c r="E523" i="7"/>
  <c r="E522" i="7"/>
  <c r="E521" i="7"/>
  <c r="E520" i="7"/>
  <c r="E519" i="7"/>
  <c r="E518" i="7"/>
  <c r="E517" i="7" l="1"/>
  <c r="E516" i="7"/>
  <c r="E515" i="7"/>
  <c r="E455" i="7"/>
  <c r="E454" i="7"/>
  <c r="E514" i="7"/>
  <c r="E513" i="7"/>
  <c r="E506" i="7"/>
  <c r="E505" i="7"/>
  <c r="E504" i="7"/>
  <c r="E503" i="7"/>
  <c r="E512" i="7" l="1"/>
  <c r="E511" i="7"/>
  <c r="E510" i="7"/>
  <c r="E509" i="7"/>
  <c r="E508" i="7"/>
  <c r="E507" i="7"/>
  <c r="E481" i="7" l="1"/>
  <c r="E482" i="7"/>
  <c r="E480" i="7"/>
  <c r="E502" i="7"/>
  <c r="E501" i="7"/>
  <c r="E497" i="7"/>
  <c r="E496" i="7"/>
  <c r="E492" i="7"/>
  <c r="E491" i="7"/>
  <c r="E490" i="7"/>
  <c r="E489" i="7"/>
  <c r="E500" i="7"/>
  <c r="E499" i="7"/>
  <c r="E498" i="7"/>
  <c r="E495" i="7"/>
  <c r="E494" i="7"/>
  <c r="E493" i="7"/>
  <c r="E488" i="7"/>
  <c r="E487" i="7"/>
  <c r="E486" i="7"/>
  <c r="E485" i="7"/>
  <c r="E484" i="7"/>
  <c r="E483" i="7"/>
  <c r="E473" i="7"/>
  <c r="E472" i="7"/>
  <c r="E471" i="7"/>
  <c r="E470" i="7"/>
  <c r="E469" i="7"/>
  <c r="E468" i="7"/>
  <c r="E467" i="7"/>
  <c r="E466" i="7"/>
  <c r="E479" i="7"/>
  <c r="E478" i="7"/>
  <c r="E477" i="7"/>
  <c r="E475" i="7"/>
  <c r="E476" i="7" l="1"/>
  <c r="E474" i="7"/>
  <c r="E465" i="7"/>
  <c r="E464" i="7"/>
  <c r="E463" i="7"/>
  <c r="E462" i="7"/>
  <c r="E461" i="7"/>
  <c r="E460" i="7"/>
  <c r="E459" i="7"/>
  <c r="E458" i="7"/>
  <c r="E457" i="7"/>
  <c r="E456" i="7"/>
  <c r="E434" i="7" l="1"/>
  <c r="E435" i="7"/>
  <c r="E436" i="7"/>
  <c r="E437" i="7"/>
  <c r="E438" i="7"/>
  <c r="E439" i="7"/>
  <c r="E440" i="7"/>
  <c r="E441" i="7"/>
  <c r="E442" i="7"/>
  <c r="E443" i="7"/>
  <c r="E444" i="7"/>
  <c r="E445" i="7"/>
  <c r="E446" i="7"/>
  <c r="E447" i="7"/>
  <c r="E448" i="7"/>
  <c r="E449" i="7"/>
  <c r="E450" i="7"/>
  <c r="E451" i="7"/>
  <c r="E452" i="7"/>
  <c r="E453" i="7"/>
  <c r="M433" i="7" l="1"/>
  <c r="E433" i="7" l="1"/>
  <c r="E432" i="7"/>
  <c r="E431" i="7"/>
  <c r="E430" i="7"/>
  <c r="E429" i="7"/>
  <c r="E428" i="7"/>
  <c r="E427" i="7"/>
  <c r="E426" i="7"/>
  <c r="E423" i="7" l="1"/>
  <c r="E422" i="7"/>
  <c r="E421" i="7"/>
  <c r="E420" i="7"/>
  <c r="E419" i="7"/>
  <c r="E418" i="7"/>
  <c r="E414" i="7" l="1"/>
  <c r="E413" i="7"/>
  <c r="E412" i="7"/>
  <c r="E411" i="7" l="1"/>
  <c r="E410" i="7" l="1"/>
  <c r="G36" i="9" l="1"/>
  <c r="H36" i="9" s="1"/>
  <c r="G35" i="9"/>
  <c r="H35" i="9" s="1"/>
  <c r="H37" i="9" l="1"/>
  <c r="G28" i="8" l="1"/>
  <c r="C87" i="17" l="1"/>
  <c r="E19" i="17" l="1"/>
  <c r="C115" i="17"/>
  <c r="C19" i="17"/>
  <c r="E58" i="17" l="1"/>
  <c r="C58" i="17"/>
  <c r="E409" i="7" l="1"/>
  <c r="E107" i="17" l="1"/>
  <c r="E120" i="17"/>
  <c r="E102" i="17"/>
  <c r="E115" i="17"/>
  <c r="C30" i="17"/>
  <c r="C102" i="17" l="1"/>
  <c r="C107" i="17" s="1"/>
  <c r="G49" i="27" l="1"/>
  <c r="G48" i="27"/>
  <c r="G47" i="27"/>
  <c r="G46" i="27"/>
  <c r="G45" i="27"/>
  <c r="G44" i="27"/>
  <c r="G43" i="27"/>
  <c r="G38" i="27"/>
  <c r="G37" i="27"/>
  <c r="G36" i="27"/>
  <c r="G35" i="27"/>
  <c r="G34" i="27"/>
  <c r="G33" i="27"/>
  <c r="G32" i="27"/>
  <c r="G31" i="27"/>
  <c r="G28" i="27"/>
  <c r="G27" i="27"/>
  <c r="G26" i="27"/>
  <c r="G20" i="27"/>
  <c r="G19" i="27"/>
  <c r="G18" i="27"/>
  <c r="G17" i="27"/>
  <c r="G16" i="27"/>
  <c r="G15" i="27"/>
  <c r="G14" i="27"/>
  <c r="G13" i="27"/>
  <c r="G12" i="27"/>
  <c r="G11" i="27"/>
  <c r="G10" i="27"/>
  <c r="G9" i="27"/>
  <c r="G8" i="27"/>
  <c r="F8" i="27"/>
  <c r="E8" i="27"/>
  <c r="G7" i="27"/>
  <c r="F7" i="27"/>
  <c r="E7" i="27"/>
  <c r="G48" i="8" l="1"/>
  <c r="G49" i="8"/>
  <c r="G47" i="8" l="1"/>
  <c r="D38" i="9" l="1"/>
  <c r="G45" i="8" l="1"/>
  <c r="G46" i="8"/>
  <c r="G44" i="8" l="1"/>
  <c r="C119" i="17" l="1"/>
  <c r="C120" i="17" s="1"/>
  <c r="D86" i="17" l="1"/>
  <c r="D88" i="17" s="1"/>
  <c r="E51" i="17"/>
  <c r="E37" i="17"/>
  <c r="E30" i="17"/>
  <c r="J42" i="8" l="1"/>
  <c r="J42" i="27"/>
  <c r="I42" i="27"/>
  <c r="H42" i="27"/>
  <c r="N47" i="27"/>
  <c r="K57" i="27"/>
  <c r="O25" i="27"/>
  <c r="O21" i="27"/>
  <c r="H25" i="27"/>
  <c r="H22" i="27"/>
  <c r="N37" i="27"/>
  <c r="K56" i="27"/>
  <c r="N32" i="27"/>
  <c r="O45" i="27"/>
  <c r="O50" i="27"/>
  <c r="N26" i="27"/>
  <c r="N34" i="27"/>
  <c r="O20" i="27"/>
  <c r="O51" i="27"/>
  <c r="O30" i="27"/>
  <c r="O22" i="27"/>
  <c r="I25" i="27"/>
  <c r="I22" i="27"/>
  <c r="I24" i="27"/>
  <c r="O52" i="27"/>
  <c r="O28" i="27"/>
  <c r="N35" i="27"/>
  <c r="N44" i="27"/>
  <c r="J56" i="27"/>
  <c r="N56" i="27" s="1"/>
  <c r="N31" i="27"/>
  <c r="N49" i="27"/>
  <c r="N36" i="27"/>
  <c r="N27" i="27"/>
  <c r="O23" i="27"/>
  <c r="H24" i="27"/>
  <c r="H21" i="27"/>
  <c r="H23" i="27"/>
  <c r="O29" i="27"/>
  <c r="O24" i="27"/>
  <c r="I21" i="27"/>
  <c r="I23" i="27"/>
  <c r="H20" i="27"/>
  <c r="I20" i="27"/>
  <c r="J57" i="27"/>
  <c r="J61" i="27"/>
  <c r="H61" i="27"/>
  <c r="I61" i="27"/>
  <c r="I59" i="27"/>
  <c r="K59" i="27"/>
  <c r="H59" i="27"/>
  <c r="J59" i="27"/>
  <c r="K58" i="27"/>
  <c r="H58" i="27"/>
  <c r="I58" i="27"/>
  <c r="J58" i="27"/>
  <c r="J53" i="27"/>
  <c r="I53" i="27"/>
  <c r="J60" i="27"/>
  <c r="I52" i="27"/>
  <c r="I60" i="27"/>
  <c r="J41" i="27"/>
  <c r="H41" i="27"/>
  <c r="I41" i="27"/>
  <c r="I39" i="27"/>
  <c r="H30" i="27"/>
  <c r="H51" i="27"/>
  <c r="J39" i="27"/>
  <c r="I29" i="27"/>
  <c r="H39" i="27"/>
  <c r="K39" i="27"/>
  <c r="I51" i="27"/>
  <c r="I30" i="27"/>
  <c r="H52" i="27"/>
  <c r="H29" i="27"/>
  <c r="K40" i="27"/>
  <c r="J40" i="27"/>
  <c r="H60" i="27"/>
  <c r="H9" i="27"/>
  <c r="H67" i="27"/>
  <c r="J67" i="27"/>
  <c r="J66" i="27"/>
  <c r="I63" i="27"/>
  <c r="H66" i="27"/>
  <c r="I62" i="27"/>
  <c r="H63" i="27"/>
  <c r="J63" i="27"/>
  <c r="H62" i="27"/>
  <c r="I64" i="27"/>
  <c r="J65" i="27"/>
  <c r="I66" i="27"/>
  <c r="H64" i="27"/>
  <c r="J62" i="27"/>
  <c r="H65" i="27"/>
  <c r="I67" i="27"/>
  <c r="I65" i="27"/>
  <c r="I50" i="27"/>
  <c r="I54" i="27"/>
  <c r="H56" i="27"/>
  <c r="D27" i="4" s="1"/>
  <c r="F27" i="4" s="1"/>
  <c r="H53" i="27"/>
  <c r="H48" i="27"/>
  <c r="I46" i="27"/>
  <c r="H45" i="27"/>
  <c r="I38" i="27"/>
  <c r="H37" i="27"/>
  <c r="I34" i="27"/>
  <c r="H27" i="27"/>
  <c r="I19" i="27"/>
  <c r="H18" i="27"/>
  <c r="J16" i="27"/>
  <c r="I15" i="27"/>
  <c r="H14" i="27"/>
  <c r="D22" i="5" s="1"/>
  <c r="K12" i="27"/>
  <c r="I11" i="27"/>
  <c r="J8" i="27"/>
  <c r="I7" i="27"/>
  <c r="H46" i="27"/>
  <c r="I31" i="27"/>
  <c r="H15" i="27"/>
  <c r="K13" i="27"/>
  <c r="I12" i="27"/>
  <c r="H11" i="27"/>
  <c r="I36" i="27"/>
  <c r="H31" i="27"/>
  <c r="I26" i="27"/>
  <c r="H16" i="27"/>
  <c r="I13" i="27"/>
  <c r="H8" i="27"/>
  <c r="I57" i="27"/>
  <c r="I55" i="27"/>
  <c r="H49" i="27"/>
  <c r="D21" i="5" s="1"/>
  <c r="I43" i="27"/>
  <c r="H38" i="27"/>
  <c r="I35" i="27"/>
  <c r="H34" i="27"/>
  <c r="H19" i="27"/>
  <c r="J17" i="27"/>
  <c r="I16" i="27"/>
  <c r="J9" i="27"/>
  <c r="I8" i="27"/>
  <c r="H7" i="27"/>
  <c r="J48" i="27"/>
  <c r="H47" i="27"/>
  <c r="H43" i="27"/>
  <c r="H35" i="27"/>
  <c r="I32" i="27"/>
  <c r="K54" i="27"/>
  <c r="H57" i="27"/>
  <c r="H55" i="27"/>
  <c r="H54" i="27"/>
  <c r="L54" i="27" s="1"/>
  <c r="I56" i="27"/>
  <c r="H50" i="27"/>
  <c r="I48" i="27"/>
  <c r="J46" i="27"/>
  <c r="I45" i="27"/>
  <c r="H44" i="27"/>
  <c r="D23" i="5" s="1"/>
  <c r="J38" i="27"/>
  <c r="I37" i="27"/>
  <c r="H36" i="27"/>
  <c r="H32" i="27"/>
  <c r="I27" i="27"/>
  <c r="H26" i="27"/>
  <c r="I18" i="27"/>
  <c r="H17" i="27"/>
  <c r="K15" i="27"/>
  <c r="I14" i="27"/>
  <c r="H13" i="27"/>
  <c r="K11" i="27"/>
  <c r="J7" i="27"/>
  <c r="I44" i="27"/>
  <c r="K38" i="27"/>
  <c r="I17" i="27"/>
  <c r="K14" i="27"/>
  <c r="H12" i="27"/>
  <c r="I9" i="27"/>
  <c r="D8" i="17"/>
  <c r="A5" i="17"/>
  <c r="L42" i="27" l="1"/>
  <c r="E9" i="3"/>
  <c r="L66" i="27"/>
  <c r="L67" i="27"/>
  <c r="M57" i="27"/>
  <c r="M58" i="27"/>
  <c r="M59" i="27"/>
  <c r="L53" i="27"/>
  <c r="L60" i="27"/>
  <c r="E15" i="3"/>
  <c r="E12" i="3"/>
  <c r="E11" i="3"/>
  <c r="L41" i="27"/>
  <c r="E16" i="3"/>
  <c r="M39" i="27"/>
  <c r="L39" i="27"/>
  <c r="D9" i="5"/>
  <c r="E10" i="3"/>
  <c r="B24" i="4"/>
  <c r="D38" i="5"/>
  <c r="D33" i="5"/>
  <c r="B23" i="4"/>
  <c r="D37" i="5"/>
  <c r="D27" i="5"/>
  <c r="D20" i="5"/>
  <c r="D15" i="5"/>
  <c r="D16" i="5"/>
  <c r="D19" i="5"/>
  <c r="D13" i="5"/>
  <c r="L65" i="27"/>
  <c r="L63" i="27"/>
  <c r="L62" i="27"/>
  <c r="L61" i="27"/>
  <c r="E16" i="2" s="1"/>
  <c r="D26" i="4"/>
  <c r="F26" i="4" s="1"/>
  <c r="D25" i="4"/>
  <c r="E22" i="4"/>
  <c r="M54" i="27"/>
  <c r="E25" i="4"/>
  <c r="E14" i="2" l="1"/>
  <c r="E13" i="2"/>
  <c r="E29" i="4"/>
  <c r="F25" i="4"/>
  <c r="E15" i="2" l="1"/>
  <c r="C24" i="4" l="1"/>
  <c r="F24" i="4" s="1"/>
  <c r="G43" i="8" l="1"/>
  <c r="K43" i="27"/>
  <c r="D34" i="9" l="1"/>
  <c r="D31" i="9"/>
  <c r="D4" i="9"/>
  <c r="G31" i="9" l="1"/>
  <c r="F8" i="8" l="1"/>
  <c r="F7" i="8"/>
  <c r="O23" i="8" l="1"/>
  <c r="O22" i="8"/>
  <c r="O21" i="8"/>
  <c r="O24" i="8"/>
  <c r="O25" i="8"/>
  <c r="O20" i="8"/>
  <c r="J60" i="8"/>
  <c r="J59" i="8"/>
  <c r="K59" i="8"/>
  <c r="K58" i="8"/>
  <c r="J58" i="8"/>
  <c r="O52" i="8"/>
  <c r="J39" i="8"/>
  <c r="K39" i="8"/>
  <c r="K38" i="8"/>
  <c r="J38" i="8"/>
  <c r="O51" i="8"/>
  <c r="J61" i="8"/>
  <c r="O30" i="8"/>
  <c r="O29" i="8"/>
  <c r="J67" i="8"/>
  <c r="J62" i="8"/>
  <c r="J66" i="8"/>
  <c r="J65" i="8"/>
  <c r="J63" i="8"/>
  <c r="N36" i="8"/>
  <c r="N31" i="8"/>
  <c r="J8" i="8"/>
  <c r="K19" i="8"/>
  <c r="J46" i="8"/>
  <c r="K54" i="8"/>
  <c r="N37" i="8"/>
  <c r="K13" i="8"/>
  <c r="N32" i="8"/>
  <c r="N44" i="8"/>
  <c r="O50" i="8"/>
  <c r="J17" i="8"/>
  <c r="K57" i="8"/>
  <c r="K15" i="8"/>
  <c r="N34" i="8"/>
  <c r="J41" i="8"/>
  <c r="J53" i="8"/>
  <c r="J16" i="8"/>
  <c r="D31" i="5" s="1"/>
  <c r="N35" i="8"/>
  <c r="K14" i="8"/>
  <c r="J48" i="8"/>
  <c r="J9" i="8"/>
  <c r="K43" i="8"/>
  <c r="N49" i="8"/>
  <c r="K11" i="8"/>
  <c r="O45" i="8"/>
  <c r="N47" i="8"/>
  <c r="J56" i="8"/>
  <c r="N56" i="8" s="1"/>
  <c r="K12" i="8"/>
  <c r="K56" i="8"/>
  <c r="K18" i="8"/>
  <c r="J57" i="8"/>
  <c r="N26" i="8"/>
  <c r="N27" i="8"/>
  <c r="J7" i="8"/>
  <c r="G38" i="8"/>
  <c r="D39" i="5" l="1"/>
  <c r="D40" i="5" s="1"/>
  <c r="G37" i="8"/>
  <c r="K18" i="27" l="1"/>
  <c r="K19" i="27" l="1"/>
  <c r="E8" i="8"/>
  <c r="E7" i="8"/>
  <c r="G9" i="8"/>
  <c r="G8" i="8"/>
  <c r="G10" i="8"/>
  <c r="G12" i="8"/>
  <c r="G13" i="8"/>
  <c r="G14" i="8"/>
  <c r="G15" i="8"/>
  <c r="G16" i="8"/>
  <c r="G17" i="8"/>
  <c r="G18" i="8"/>
  <c r="G19" i="8"/>
  <c r="G20" i="8"/>
  <c r="G26" i="8"/>
  <c r="G27" i="8"/>
  <c r="G31" i="8"/>
  <c r="G32" i="8"/>
  <c r="G33" i="8"/>
  <c r="G34" i="8"/>
  <c r="G35" i="8"/>
  <c r="G36" i="8"/>
  <c r="G7" i="8"/>
  <c r="I42" i="8" l="1"/>
  <c r="H42" i="8"/>
  <c r="I22" i="8"/>
  <c r="I23" i="8"/>
  <c r="H22" i="8"/>
  <c r="H23" i="8"/>
  <c r="I25" i="8"/>
  <c r="H24" i="8"/>
  <c r="I21" i="8"/>
  <c r="H25" i="8"/>
  <c r="H21" i="8"/>
  <c r="I24" i="8"/>
  <c r="I11" i="8"/>
  <c r="H11" i="8"/>
  <c r="B15" i="5" s="1"/>
  <c r="I60" i="8"/>
  <c r="B32" i="5" s="1"/>
  <c r="I58" i="8"/>
  <c r="H58" i="8"/>
  <c r="I59" i="8"/>
  <c r="H59" i="8"/>
  <c r="H41" i="8"/>
  <c r="I41" i="8"/>
  <c r="H52" i="8"/>
  <c r="I52" i="8"/>
  <c r="H39" i="8"/>
  <c r="I39" i="8"/>
  <c r="I51" i="8"/>
  <c r="H51" i="8"/>
  <c r="I29" i="8"/>
  <c r="H29" i="8"/>
  <c r="I61" i="8"/>
  <c r="H61" i="8"/>
  <c r="H65" i="8"/>
  <c r="H60" i="8"/>
  <c r="I67" i="8"/>
  <c r="H66" i="8"/>
  <c r="B33" i="5"/>
  <c r="I65" i="8"/>
  <c r="H62" i="8"/>
  <c r="I66" i="8"/>
  <c r="I64" i="8"/>
  <c r="H64" i="8"/>
  <c r="I63" i="8"/>
  <c r="H67" i="8"/>
  <c r="H63" i="8"/>
  <c r="I62" i="8"/>
  <c r="H14" i="8"/>
  <c r="I46" i="8"/>
  <c r="H9" i="8"/>
  <c r="I14" i="8"/>
  <c r="I32" i="8"/>
  <c r="I50" i="8"/>
  <c r="I15" i="8"/>
  <c r="I34" i="8"/>
  <c r="H8" i="8"/>
  <c r="I13" i="8"/>
  <c r="H20" i="8"/>
  <c r="H43" i="8"/>
  <c r="I8" i="8"/>
  <c r="H34" i="8"/>
  <c r="H19" i="8"/>
  <c r="H48" i="8"/>
  <c r="H10" i="8"/>
  <c r="H26" i="8"/>
  <c r="I48" i="8"/>
  <c r="I44" i="8"/>
  <c r="H15" i="8"/>
  <c r="H46" i="8"/>
  <c r="H54" i="8"/>
  <c r="H53" i="8"/>
  <c r="I9" i="8"/>
  <c r="I26" i="8"/>
  <c r="I35" i="8"/>
  <c r="H17" i="8"/>
  <c r="H36" i="8"/>
  <c r="H44" i="8"/>
  <c r="H50" i="8"/>
  <c r="I57" i="8"/>
  <c r="H35" i="8"/>
  <c r="H55" i="8"/>
  <c r="I55" i="8"/>
  <c r="H18" i="8"/>
  <c r="H37" i="8"/>
  <c r="I54" i="8"/>
  <c r="H16" i="8"/>
  <c r="H31" i="8"/>
  <c r="I20" i="8"/>
  <c r="H45" i="8"/>
  <c r="C14" i="3" s="1"/>
  <c r="H57" i="8"/>
  <c r="H13" i="8"/>
  <c r="I18" i="8"/>
  <c r="H32" i="8"/>
  <c r="C23" i="3" s="1"/>
  <c r="I37" i="8"/>
  <c r="I45" i="8"/>
  <c r="C13" i="3" s="1"/>
  <c r="I53" i="8"/>
  <c r="I17" i="8"/>
  <c r="I36" i="8"/>
  <c r="H47" i="8"/>
  <c r="B20" i="5" s="1"/>
  <c r="I12" i="8"/>
  <c r="I31" i="8"/>
  <c r="I43" i="8"/>
  <c r="H49" i="8"/>
  <c r="I19" i="8"/>
  <c r="H56" i="8"/>
  <c r="B39" i="5" s="1"/>
  <c r="H12" i="8"/>
  <c r="I16" i="8"/>
  <c r="H27" i="8"/>
  <c r="C29" i="3" s="1"/>
  <c r="B17" i="5" s="1"/>
  <c r="I27" i="8"/>
  <c r="H7" i="8"/>
  <c r="I7" i="8"/>
  <c r="C23" i="4"/>
  <c r="C8" i="4"/>
  <c r="B10" i="4"/>
  <c r="B9" i="4"/>
  <c r="B43" i="5"/>
  <c r="E62" i="17"/>
  <c r="E30" i="3"/>
  <c r="E64" i="17"/>
  <c r="E63" i="17"/>
  <c r="E13" i="3"/>
  <c r="D30" i="5"/>
  <c r="D34" i="5" s="1"/>
  <c r="E23" i="3"/>
  <c r="D10" i="5"/>
  <c r="E31" i="3"/>
  <c r="D18" i="5" s="1"/>
  <c r="C22" i="4"/>
  <c r="D43" i="5"/>
  <c r="E29" i="3"/>
  <c r="D17" i="5" s="1"/>
  <c r="B22" i="4"/>
  <c r="L42" i="8" l="1"/>
  <c r="C9" i="3"/>
  <c r="L67" i="8"/>
  <c r="L66" i="8"/>
  <c r="C13" i="2" s="1"/>
  <c r="B27" i="5"/>
  <c r="B29" i="5"/>
  <c r="B28" i="5"/>
  <c r="B31" i="5"/>
  <c r="E46" i="8"/>
  <c r="B22" i="5"/>
  <c r="B30" i="5"/>
  <c r="L60" i="8"/>
  <c r="M58" i="8"/>
  <c r="M59" i="8"/>
  <c r="C30" i="3"/>
  <c r="C16" i="3"/>
  <c r="L39" i="8"/>
  <c r="M39" i="8"/>
  <c r="C11" i="3"/>
  <c r="B11" i="5" s="1"/>
  <c r="C12" i="3"/>
  <c r="B12" i="5" s="1"/>
  <c r="L65" i="8"/>
  <c r="C31" i="3"/>
  <c r="B18" i="5" s="1"/>
  <c r="B14" i="5"/>
  <c r="M43" i="8"/>
  <c r="L63" i="8"/>
  <c r="L61" i="8"/>
  <c r="C16" i="2" s="1"/>
  <c r="L62" i="8"/>
  <c r="M19" i="8"/>
  <c r="C31" i="2" s="1"/>
  <c r="L46" i="8"/>
  <c r="L41" i="8"/>
  <c r="M54" i="8"/>
  <c r="E11" i="4" s="1"/>
  <c r="E15" i="4" s="1"/>
  <c r="C32" i="2" s="1"/>
  <c r="M18" i="8"/>
  <c r="C30" i="2" s="1"/>
  <c r="M14" i="8"/>
  <c r="L7" i="8"/>
  <c r="C10" i="2" s="1"/>
  <c r="F4" i="2" s="1"/>
  <c r="M12" i="8"/>
  <c r="L16" i="8"/>
  <c r="C19" i="2" s="1"/>
  <c r="M13" i="8"/>
  <c r="M15" i="8"/>
  <c r="M57" i="8"/>
  <c r="L17" i="8"/>
  <c r="L48" i="8"/>
  <c r="L8" i="8"/>
  <c r="L9" i="8"/>
  <c r="C24" i="2" s="1"/>
  <c r="M11" i="8"/>
  <c r="L53" i="8"/>
  <c r="B13" i="5"/>
  <c r="C10" i="3"/>
  <c r="B10" i="5" s="1"/>
  <c r="E86" i="17"/>
  <c r="E88" i="17" s="1"/>
  <c r="B38" i="5"/>
  <c r="B37" i="5"/>
  <c r="D13" i="4"/>
  <c r="C29" i="4"/>
  <c r="B19" i="5"/>
  <c r="B16" i="5"/>
  <c r="C10" i="4"/>
  <c r="F10" i="4" s="1"/>
  <c r="C50" i="17"/>
  <c r="E61" i="17"/>
  <c r="C9" i="4"/>
  <c r="F9" i="4" s="1"/>
  <c r="C49" i="17"/>
  <c r="F23" i="4"/>
  <c r="E33" i="3"/>
  <c r="E27" i="3"/>
  <c r="E28" i="3"/>
  <c r="E25" i="3"/>
  <c r="E22" i="3"/>
  <c r="E26" i="3"/>
  <c r="M12" i="27"/>
  <c r="L48" i="27"/>
  <c r="E20" i="2" s="1"/>
  <c r="L46" i="27"/>
  <c r="L9" i="27"/>
  <c r="E24" i="2" s="1"/>
  <c r="M11" i="27"/>
  <c r="E41" i="17"/>
  <c r="M18" i="27"/>
  <c r="E30" i="2" s="1"/>
  <c r="E50" i="2" s="1"/>
  <c r="I56" i="8" s="1"/>
  <c r="M56" i="8" s="1"/>
  <c r="C37" i="2" s="1"/>
  <c r="L16" i="27"/>
  <c r="E19" i="2" s="1"/>
  <c r="M14" i="27"/>
  <c r="L17" i="27"/>
  <c r="L8" i="27"/>
  <c r="M19" i="27"/>
  <c r="E31" i="2" s="1"/>
  <c r="M13" i="27"/>
  <c r="M15" i="27"/>
  <c r="M38" i="27"/>
  <c r="L38" i="27"/>
  <c r="L7" i="27"/>
  <c r="E10" i="2" s="1"/>
  <c r="M43" i="27"/>
  <c r="E36" i="2" s="1"/>
  <c r="C48" i="17"/>
  <c r="B8" i="4"/>
  <c r="C26" i="3"/>
  <c r="C22" i="3"/>
  <c r="C25" i="3"/>
  <c r="C33" i="3"/>
  <c r="B23" i="5"/>
  <c r="B21" i="5"/>
  <c r="C28" i="3"/>
  <c r="E43" i="17"/>
  <c r="C27" i="3"/>
  <c r="C63" i="17"/>
  <c r="C36" i="17"/>
  <c r="C37" i="17" s="1"/>
  <c r="C61" i="17"/>
  <c r="C64" i="17"/>
  <c r="C62" i="17"/>
  <c r="C24" i="5"/>
  <c r="C40" i="5"/>
  <c r="C34" i="5"/>
  <c r="D34" i="3"/>
  <c r="D18" i="3"/>
  <c r="D53" i="8" l="1"/>
  <c r="E21" i="2"/>
  <c r="C21" i="2"/>
  <c r="H17" i="2"/>
  <c r="C36" i="2"/>
  <c r="C14" i="2"/>
  <c r="C15" i="2" s="1"/>
  <c r="C88" i="17"/>
  <c r="C86" i="17" s="1"/>
  <c r="H14" i="2"/>
  <c r="C23" i="2"/>
  <c r="C20" i="2"/>
  <c r="E11" i="2"/>
  <c r="E12" i="2" s="1"/>
  <c r="E23" i="2"/>
  <c r="I6" i="5" s="1"/>
  <c r="E7" i="17"/>
  <c r="E8" i="17" s="1"/>
  <c r="B40" i="5"/>
  <c r="D11" i="4"/>
  <c r="F11" i="4" s="1"/>
  <c r="F13" i="4"/>
  <c r="D12" i="4"/>
  <c r="F12" i="4" s="1"/>
  <c r="C50" i="2"/>
  <c r="C51" i="17"/>
  <c r="B29" i="4"/>
  <c r="B34" i="5"/>
  <c r="C41" i="17"/>
  <c r="C43" i="17"/>
  <c r="C42" i="17"/>
  <c r="E42" i="17"/>
  <c r="E44" i="17" s="1"/>
  <c r="C42" i="5"/>
  <c r="C44" i="5" s="1"/>
  <c r="C15" i="4"/>
  <c r="B15" i="4"/>
  <c r="H6" i="5" l="1"/>
  <c r="J21" i="2"/>
  <c r="I14" i="2"/>
  <c r="I12" i="2" s="1"/>
  <c r="C12" i="17"/>
  <c r="H10" i="2"/>
  <c r="B24" i="5"/>
  <c r="C124" i="17"/>
  <c r="E72" i="17"/>
  <c r="E77" i="17" s="1"/>
  <c r="E124" i="17"/>
  <c r="E69" i="17"/>
  <c r="C7" i="17"/>
  <c r="C8" i="17" s="1"/>
  <c r="C44" i="17"/>
  <c r="C41" i="3"/>
  <c r="C66" i="3" s="1"/>
  <c r="C72" i="17"/>
  <c r="C77" i="17" s="1"/>
  <c r="E41" i="3"/>
  <c r="D48" i="5"/>
  <c r="B48" i="5"/>
  <c r="M10548" i="7" l="1"/>
  <c r="M10485" i="7"/>
  <c r="M10520" i="7"/>
  <c r="M10406" i="7"/>
  <c r="M10440" i="7"/>
  <c r="M10339" i="7"/>
  <c r="M10367" i="7"/>
  <c r="M10281" i="7"/>
  <c r="M10306" i="7"/>
  <c r="M10211" i="7"/>
  <c r="M10243" i="7"/>
  <c r="M10150" i="7"/>
  <c r="M10181" i="7"/>
  <c r="M10084" i="7"/>
  <c r="M10114" i="7"/>
  <c r="M10029" i="7"/>
  <c r="M10054" i="7"/>
  <c r="M9968" i="7"/>
  <c r="M9997" i="7"/>
  <c r="M9775" i="7"/>
  <c r="M9871" i="7"/>
  <c r="M9638" i="7"/>
  <c r="M9701" i="7"/>
  <c r="M9492" i="7"/>
  <c r="M9553" i="7"/>
  <c r="M9358" i="7"/>
  <c r="M9426" i="7"/>
  <c r="M9227" i="7"/>
  <c r="M9306" i="7"/>
  <c r="M9085" i="7"/>
  <c r="M9174" i="7"/>
  <c r="M8826" i="7"/>
  <c r="M8950" i="7"/>
  <c r="M8685" i="7"/>
  <c r="M8753" i="7"/>
  <c r="M8458" i="7"/>
  <c r="M8574" i="7"/>
  <c r="M8228" i="7"/>
  <c r="M8352" i="7"/>
  <c r="M8000" i="7"/>
  <c r="M8149" i="7"/>
  <c r="M7833" i="7"/>
  <c r="M7914" i="7"/>
  <c r="M7745" i="7"/>
  <c r="M7551" i="7"/>
  <c r="M7633" i="7"/>
  <c r="M7384" i="7"/>
  <c r="M7476" i="7"/>
  <c r="M7224" i="7"/>
  <c r="M7302" i="7"/>
  <c r="M7121" i="7"/>
  <c r="M7185" i="7"/>
  <c r="M7001" i="7"/>
  <c r="M7049" i="7"/>
  <c r="M6922" i="7"/>
  <c r="M6950" i="7"/>
  <c r="M6788" i="7"/>
  <c r="M6848" i="7"/>
  <c r="M6700" i="7"/>
  <c r="M6752" i="7"/>
  <c r="M6506" i="7"/>
  <c r="M6653" i="7"/>
  <c r="M6410" i="7"/>
  <c r="M6439" i="7"/>
  <c r="M6340" i="7"/>
  <c r="M6372" i="7"/>
  <c r="M6263" i="7"/>
  <c r="M6307" i="7"/>
  <c r="B46" i="5"/>
  <c r="B42" i="5" l="1"/>
  <c r="B44" i="5" s="1"/>
  <c r="H8" i="5" s="1"/>
  <c r="G3" i="27" l="1"/>
  <c r="G5" i="7"/>
  <c r="G3" i="8"/>
  <c r="K5341" i="7" l="1"/>
  <c r="K5935" i="7"/>
  <c r="N33" i="27" l="1"/>
  <c r="D22" i="4" s="1"/>
  <c r="F22" i="4" s="1"/>
  <c r="L5342" i="7"/>
  <c r="I33" i="27"/>
  <c r="H33" i="27"/>
  <c r="E21" i="3" s="1"/>
  <c r="E34" i="3" s="1"/>
  <c r="N33" i="8"/>
  <c r="I33" i="8"/>
  <c r="H33" i="8"/>
  <c r="C21" i="3" s="1"/>
  <c r="C34" i="3" s="1"/>
  <c r="L5936" i="7"/>
  <c r="K10" i="27" l="1"/>
  <c r="H10" i="27"/>
  <c r="I10" i="27"/>
  <c r="K10" i="8"/>
  <c r="I10" i="8"/>
  <c r="G10" i="3"/>
  <c r="G13" i="3" s="1"/>
  <c r="D14" i="5" l="1"/>
  <c r="D24" i="5" s="1"/>
  <c r="E60" i="17"/>
  <c r="E65" i="17" s="1"/>
  <c r="M10" i="27"/>
  <c r="E38" i="2" s="1"/>
  <c r="E39" i="2" s="1"/>
  <c r="M10" i="8"/>
  <c r="C60" i="17"/>
  <c r="C65" i="17" s="1"/>
  <c r="C38" i="2" l="1"/>
  <c r="C39" i="2" s="1"/>
  <c r="D42" i="5"/>
  <c r="D44" i="5" s="1"/>
  <c r="I8" i="5" s="1"/>
  <c r="D46" i="5"/>
  <c r="L15" i="9" l="1"/>
  <c r="M15" i="9" s="1"/>
  <c r="L10186" i="7"/>
  <c r="O28" i="8" s="1"/>
  <c r="D8" i="4" s="1"/>
  <c r="F8" i="4" s="1"/>
  <c r="H28" i="27" l="1"/>
  <c r="I28" i="27"/>
  <c r="H30" i="8"/>
  <c r="L10443" i="7"/>
  <c r="I30" i="8"/>
  <c r="H40" i="8"/>
  <c r="J40" i="8" l="1"/>
  <c r="K40" i="8"/>
  <c r="I40" i="27"/>
  <c r="H40" i="27"/>
  <c r="I40" i="8"/>
  <c r="L40" i="8" l="1"/>
  <c r="L40" i="27"/>
  <c r="E17" i="3"/>
  <c r="E18" i="3" s="1"/>
  <c r="E36" i="3" s="1"/>
  <c r="M40" i="27"/>
  <c r="G1" i="27"/>
  <c r="M40" i="8"/>
  <c r="C17" i="3"/>
  <c r="C17" i="2" l="1"/>
  <c r="I17" i="2" s="1"/>
  <c r="I15" i="2" s="1"/>
  <c r="M10550" i="7" s="1"/>
  <c r="E17" i="2"/>
  <c r="E18" i="2" s="1"/>
  <c r="E25" i="2" s="1"/>
  <c r="E123" i="17"/>
  <c r="E125" i="17" s="1"/>
  <c r="D28" i="4"/>
  <c r="E38" i="3"/>
  <c r="H28" i="8"/>
  <c r="K6" i="7"/>
  <c r="I28" i="8"/>
  <c r="L6" i="7"/>
  <c r="H38" i="8"/>
  <c r="L2" i="7" l="1"/>
  <c r="M6924" i="7"/>
  <c r="M6850" i="7"/>
  <c r="M7003" i="7"/>
  <c r="M8687" i="7"/>
  <c r="M10522" i="7"/>
  <c r="M6412" i="7"/>
  <c r="M9229" i="7"/>
  <c r="M7747" i="7"/>
  <c r="M6265" i="7"/>
  <c r="M10213" i="7"/>
  <c r="M7051" i="7"/>
  <c r="M7386" i="7"/>
  <c r="M9970" i="7"/>
  <c r="M9640" i="7"/>
  <c r="M6952" i="7"/>
  <c r="M9703" i="7"/>
  <c r="M9555" i="7"/>
  <c r="M10369" i="7"/>
  <c r="M8576" i="7"/>
  <c r="M7553" i="7"/>
  <c r="M8952" i="7"/>
  <c r="M8354" i="7"/>
  <c r="M10116" i="7"/>
  <c r="M7226" i="7"/>
  <c r="M10245" i="7"/>
  <c r="C18" i="2"/>
  <c r="M8460" i="7"/>
  <c r="M10152" i="7"/>
  <c r="M6309" i="7"/>
  <c r="M9428" i="7"/>
  <c r="M9087" i="7"/>
  <c r="M10408" i="7"/>
  <c r="M7635" i="7"/>
  <c r="M7916" i="7"/>
  <c r="M10487" i="7"/>
  <c r="M8230" i="7"/>
  <c r="M8151" i="7"/>
  <c r="M10086" i="7"/>
  <c r="M6342" i="7"/>
  <c r="M9777" i="7"/>
  <c r="M10442" i="7"/>
  <c r="M9308" i="7"/>
  <c r="M7304" i="7"/>
  <c r="M9494" i="7"/>
  <c r="M7835" i="7"/>
  <c r="M8002" i="7"/>
  <c r="M9999" i="7"/>
  <c r="M10056" i="7"/>
  <c r="M6441" i="7"/>
  <c r="M7478" i="7"/>
  <c r="M9873" i="7"/>
  <c r="M10308" i="7"/>
  <c r="M8828" i="7"/>
  <c r="M8755" i="7"/>
  <c r="M10283" i="7"/>
  <c r="M6702" i="7"/>
  <c r="M10031" i="7"/>
  <c r="M9176" i="7"/>
  <c r="M6655" i="7"/>
  <c r="M7187" i="7"/>
  <c r="M9360" i="7"/>
  <c r="M7123" i="7"/>
  <c r="M6508" i="7"/>
  <c r="M10341" i="7"/>
  <c r="M10183" i="7"/>
  <c r="M6754" i="7"/>
  <c r="M6374" i="7"/>
  <c r="M6790" i="7"/>
  <c r="F28" i="4"/>
  <c r="F29" i="4" s="1"/>
  <c r="D29" i="4"/>
  <c r="E33" i="2" s="1"/>
  <c r="E34" i="2" s="1"/>
  <c r="J6" i="7"/>
  <c r="I38" i="8"/>
  <c r="C15" i="3" s="1"/>
  <c r="C69" i="17" s="1"/>
  <c r="L3" i="7" l="1"/>
  <c r="E41" i="2"/>
  <c r="G27" i="2" s="1"/>
  <c r="E43" i="2"/>
  <c r="E47" i="2"/>
  <c r="E46" i="2"/>
  <c r="C18" i="3"/>
  <c r="C36" i="3" s="1"/>
  <c r="C123" i="17" s="1"/>
  <c r="C125" i="17" s="1"/>
  <c r="G1" i="8"/>
  <c r="M38" i="8"/>
  <c r="L38" i="8"/>
  <c r="C11" i="2" s="1"/>
  <c r="E45" i="2" l="1"/>
  <c r="E68" i="17"/>
  <c r="C69" i="3"/>
  <c r="C74" i="3" s="1"/>
  <c r="C38" i="3"/>
  <c r="D14" i="4"/>
  <c r="D15" i="4" s="1"/>
  <c r="C33" i="2" s="1"/>
  <c r="C34" i="2" s="1"/>
  <c r="F1" i="2" s="1"/>
  <c r="I10" i="2"/>
  <c r="I8" i="2" s="1"/>
  <c r="C12" i="2"/>
  <c r="C25" i="2" s="1"/>
  <c r="E36" i="9" l="1"/>
  <c r="D37" i="9"/>
  <c r="E70" i="17"/>
  <c r="E73" i="17" s="1"/>
  <c r="E76" i="17"/>
  <c r="E78" i="17" s="1"/>
  <c r="F14" i="4"/>
  <c r="F15" i="4" s="1"/>
  <c r="M9231" i="7"/>
  <c r="M9705" i="7"/>
  <c r="M10673" i="7"/>
  <c r="M7388" i="7"/>
  <c r="M10185" i="7"/>
  <c r="M6510" i="7"/>
  <c r="M9875" i="7"/>
  <c r="M8830" i="7"/>
  <c r="M8462" i="7"/>
  <c r="M10444" i="7"/>
  <c r="M6311" i="7"/>
  <c r="M6376" i="7"/>
  <c r="M7637" i="7"/>
  <c r="M10343" i="7"/>
  <c r="M10118" i="7"/>
  <c r="M10088" i="7"/>
  <c r="M10310" i="7"/>
  <c r="M9178" i="7"/>
  <c r="M8004" i="7"/>
  <c r="M8689" i="7"/>
  <c r="M9496" i="7"/>
  <c r="M10058" i="7"/>
  <c r="M9362" i="7"/>
  <c r="M8578" i="7"/>
  <c r="M9779" i="7"/>
  <c r="M9430" i="7"/>
  <c r="M9089" i="7"/>
  <c r="M6954" i="7"/>
  <c r="M6344" i="7"/>
  <c r="M7306" i="7"/>
  <c r="M6414" i="7"/>
  <c r="M10154" i="7"/>
  <c r="M7228" i="7"/>
  <c r="M6267" i="7"/>
  <c r="M7749" i="7"/>
  <c r="M8757" i="7"/>
  <c r="M10613" i="7"/>
  <c r="M10285" i="7"/>
  <c r="M10247" i="7"/>
  <c r="M7480" i="7"/>
  <c r="M7837" i="7"/>
  <c r="M6443" i="7"/>
  <c r="M8232" i="7"/>
  <c r="M6657" i="7"/>
  <c r="M8356" i="7"/>
  <c r="M10033" i="7"/>
  <c r="M7053" i="7"/>
  <c r="M10524" i="7"/>
  <c r="M8954" i="7"/>
  <c r="M6852" i="7"/>
  <c r="M7918" i="7"/>
  <c r="M8153" i="7"/>
  <c r="M6704" i="7"/>
  <c r="M7189" i="7"/>
  <c r="M6792" i="7"/>
  <c r="M6756" i="7"/>
  <c r="M10410" i="7"/>
  <c r="M10215" i="7"/>
  <c r="M9557" i="7"/>
  <c r="M7555" i="7"/>
  <c r="M9642" i="7"/>
  <c r="M6926" i="7"/>
  <c r="M10489" i="7"/>
  <c r="M10581" i="7"/>
  <c r="M9972" i="7"/>
  <c r="M9310" i="7"/>
  <c r="M10552" i="7"/>
  <c r="M10371" i="7"/>
  <c r="M7005" i="7"/>
  <c r="M10001" i="7"/>
  <c r="M7125" i="7"/>
  <c r="C46" i="2"/>
  <c r="D8" i="9"/>
  <c r="C43" i="2"/>
  <c r="D36" i="9"/>
  <c r="C47" i="2"/>
  <c r="C41" i="2"/>
  <c r="L4" i="7" s="1"/>
  <c r="J10" i="2"/>
  <c r="H11" i="2" s="1"/>
  <c r="G47" i="2" l="1"/>
  <c r="E35" i="9"/>
  <c r="D35" i="9"/>
  <c r="G2" i="27"/>
  <c r="G28" i="2"/>
  <c r="G2" i="8"/>
  <c r="C68" i="17"/>
  <c r="I3" i="2"/>
  <c r="C45" i="2"/>
  <c r="C70" i="17" l="1"/>
  <c r="C73" i="17" s="1"/>
  <c r="C76" i="17"/>
  <c r="C78"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INVESTOR_LIST" description="Connection to the 'INVESTOR_LIST' query in the workbook." type="5" refreshedVersion="8" background="1" saveData="1">
    <dbPr connection="Provider=Microsoft.Mashup.OleDb.1;Data Source=$Workbook$;Location=INVESTOR_LIST;Extended Properties=&quot;&quot;" command="SELECT * FROM [INVESTOR_LIST]"/>
  </connection>
  <connection id="2" xr16:uid="{00000000-0015-0000-FFFF-FFFF01000000}" keepAlive="1" name="Query - INVESTORS" description="Connection to the 'INVESTORS' query in the workbook." type="5" refreshedVersion="7" background="1" saveData="1">
    <dbPr connection="Provider=Microsoft.Mashup.OleDb.1;Data Source=$Workbook$;Location=INVESTORS;Extended Properties=&quot;&quot;" command="SELECT * FROM [INVESTOR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<sst xmlns="http://schemas.openxmlformats.org/spreadsheetml/2006/main" count="32744" uniqueCount="2009">
  <si>
    <t>Particulars</t>
  </si>
  <si>
    <t>Assets</t>
  </si>
  <si>
    <t>Equity &amp; Liabilities</t>
  </si>
  <si>
    <t>Current Liabilities</t>
  </si>
  <si>
    <t>Total Equity and Liabilities</t>
  </si>
  <si>
    <t>Net Asset Value (NAV)</t>
  </si>
  <si>
    <t xml:space="preserve">     Accounts Receivable</t>
  </si>
  <si>
    <t xml:space="preserve">     Preliminary &amp; Issue Expenses</t>
  </si>
  <si>
    <t xml:space="preserve">               Total Assets</t>
  </si>
  <si>
    <t xml:space="preserve">     Unit Premium</t>
  </si>
  <si>
    <t xml:space="preserve">     Retained Earnings</t>
  </si>
  <si>
    <t xml:space="preserve">           At Cost</t>
  </si>
  <si>
    <t xml:space="preserve">           At Market Price</t>
  </si>
  <si>
    <t>Net Profit For the Period</t>
  </si>
  <si>
    <t>Unit Capital</t>
  </si>
  <si>
    <t>Total Equity</t>
  </si>
  <si>
    <t>Net Cash Flow from Operating Activities</t>
  </si>
  <si>
    <t>Net Cash Flows</t>
  </si>
  <si>
    <t>Notes</t>
  </si>
  <si>
    <t xml:space="preserve">Taka </t>
  </si>
  <si>
    <t>Taka</t>
  </si>
  <si>
    <t xml:space="preserve">INCOME </t>
  </si>
  <si>
    <t xml:space="preserve">     Interest Income</t>
  </si>
  <si>
    <t xml:space="preserve">     Net gain on sale of marketable securities</t>
  </si>
  <si>
    <t xml:space="preserve">     Dividend Income</t>
  </si>
  <si>
    <t xml:space="preserve">              TOTAL</t>
  </si>
  <si>
    <t>EXPENSES</t>
  </si>
  <si>
    <t xml:space="preserve">     Trustee Fees</t>
  </si>
  <si>
    <t xml:space="preserve">     Custodian Fees</t>
  </si>
  <si>
    <t xml:space="preserve">     IPO Application Fees</t>
  </si>
  <si>
    <t xml:space="preserve">     Brokerage Commission</t>
  </si>
  <si>
    <t xml:space="preserve">     Audit Fees</t>
  </si>
  <si>
    <t xml:space="preserve">     Bank Charge &amp; excise duty</t>
  </si>
  <si>
    <t xml:space="preserve">     Newspaper Publication expense</t>
  </si>
  <si>
    <t xml:space="preserve">     Other Operating Expense</t>
  </si>
  <si>
    <t>Retained    Earnings</t>
  </si>
  <si>
    <t>Cash flows from operating activities:</t>
  </si>
  <si>
    <t xml:space="preserve">          Interest Income</t>
  </si>
  <si>
    <t xml:space="preserve">          Dividend Income</t>
  </si>
  <si>
    <t xml:space="preserve">          Management Fees</t>
  </si>
  <si>
    <t xml:space="preserve">          Trustee Fees</t>
  </si>
  <si>
    <t xml:space="preserve">          Bank Charges &amp; Excise Duty</t>
  </si>
  <si>
    <t>Cash Flow from Investing Activities:</t>
  </si>
  <si>
    <t xml:space="preserve">         Net Investment in Shares and securities</t>
  </si>
  <si>
    <t xml:space="preserve">         Proceeds from encashment of FDR</t>
  </si>
  <si>
    <t xml:space="preserve">                   Net Cash from Investing Activities</t>
  </si>
  <si>
    <t>Cash Flow from Financing Activities:</t>
  </si>
  <si>
    <t xml:space="preserve">                Net Cash from Financing Activities</t>
  </si>
  <si>
    <t xml:space="preserve">             Net Operating Cash Flow per Unit</t>
  </si>
  <si>
    <t>Managing Director</t>
  </si>
  <si>
    <t>Accrued Management Fee</t>
  </si>
  <si>
    <t>Accrued Trustee Fee</t>
  </si>
  <si>
    <t>Accrued Custodian Fee</t>
  </si>
  <si>
    <t>Accrued Audit Fee</t>
  </si>
  <si>
    <t>Accrued CDBL Fee</t>
  </si>
  <si>
    <t>Cash and cash equivalents</t>
  </si>
  <si>
    <t>Unit premium reserve</t>
  </si>
  <si>
    <t>Account Name</t>
  </si>
  <si>
    <t xml:space="preserve">Debit </t>
  </si>
  <si>
    <t>Credit</t>
  </si>
  <si>
    <t>Transaction</t>
  </si>
  <si>
    <t xml:space="preserve">Accounts </t>
  </si>
  <si>
    <t>Interest income</t>
  </si>
  <si>
    <t>Bank charges and excise duties</t>
  </si>
  <si>
    <t>Preliminary &amp; issue expenses</t>
  </si>
  <si>
    <t>Accounts Name</t>
  </si>
  <si>
    <t>Normal Balance</t>
  </si>
  <si>
    <t>Interest Receivables from Bank A/C</t>
  </si>
  <si>
    <t>Year</t>
  </si>
  <si>
    <t>Month</t>
  </si>
  <si>
    <t>Day</t>
  </si>
  <si>
    <t>Value</t>
  </si>
  <si>
    <t>Opening Balance</t>
  </si>
  <si>
    <t>Unit capital raised during the period</t>
  </si>
  <si>
    <t>Unit surrendered</t>
  </si>
  <si>
    <t>Net profit during the period</t>
  </si>
  <si>
    <t>Ending Balance</t>
  </si>
  <si>
    <t xml:space="preserve">     Unrealized gain/(loss) on securities</t>
  </si>
  <si>
    <t>Transaction Type</t>
  </si>
  <si>
    <t>Unit Premium
 Reserve</t>
  </si>
  <si>
    <t>Investments in stock</t>
  </si>
  <si>
    <t>Brokerage commission</t>
  </si>
  <si>
    <t>Unrealized gain on securities</t>
  </si>
  <si>
    <t>Unrealized loss on securities</t>
  </si>
  <si>
    <t>No of Units Outstanding</t>
  </si>
  <si>
    <t xml:space="preserve">          Brokerage commission</t>
  </si>
  <si>
    <t>NC</t>
  </si>
  <si>
    <t>Amortization of preliminary and issue expense</t>
  </si>
  <si>
    <t>Fixed Deposit Receipts (FDR)</t>
  </si>
  <si>
    <t>Management Fee</t>
  </si>
  <si>
    <t xml:space="preserve">      Accounts Payable</t>
  </si>
  <si>
    <t>Trustee fee</t>
  </si>
  <si>
    <t>BSEC Annual Fee</t>
  </si>
  <si>
    <t>Accrued BSEC fee</t>
  </si>
  <si>
    <t>Audit fee</t>
  </si>
  <si>
    <t>CDBL charges</t>
  </si>
  <si>
    <t>Investment at cost price</t>
  </si>
  <si>
    <t>fair value adjustment</t>
  </si>
  <si>
    <t>Fair value adjustment</t>
  </si>
  <si>
    <t>Carry Forward Balance</t>
  </si>
  <si>
    <t>Dividend paid during the year</t>
  </si>
  <si>
    <t xml:space="preserve">         Preliminary &amp; issue expenses</t>
  </si>
  <si>
    <t>DEBIT</t>
  </si>
  <si>
    <t>CREDIT</t>
  </si>
  <si>
    <t>Beginning</t>
  </si>
  <si>
    <t>Ending</t>
  </si>
  <si>
    <t>For Balance Sheet</t>
  </si>
  <si>
    <t>For Retained Earnings</t>
  </si>
  <si>
    <t>Desired Reporting Period</t>
  </si>
  <si>
    <t>During the Reporting Period</t>
  </si>
  <si>
    <t>Check of Trial Balance</t>
  </si>
  <si>
    <t>Check of Balance Sheet</t>
  </si>
  <si>
    <t>Check of Cash Balance</t>
  </si>
  <si>
    <t>Check of Balance Seet</t>
  </si>
  <si>
    <t>Check of Journal Entries</t>
  </si>
  <si>
    <t>DBH</t>
  </si>
  <si>
    <t>Date</t>
  </si>
  <si>
    <t>Net Asset Value</t>
  </si>
  <si>
    <t>Preliminary &amp; Issue Expenses</t>
  </si>
  <si>
    <t>Fixed Deposit Receipts (FDR):</t>
  </si>
  <si>
    <t>Institution</t>
  </si>
  <si>
    <t>Amount</t>
  </si>
  <si>
    <t>Int. Rate</t>
  </si>
  <si>
    <t>Initiation Date</t>
  </si>
  <si>
    <t>Tenure (M)</t>
  </si>
  <si>
    <t>Last Day of Accounting Period</t>
  </si>
  <si>
    <t>Weekly Expenses:</t>
  </si>
  <si>
    <t>Trustee Fee</t>
  </si>
  <si>
    <t>Audit Fee</t>
  </si>
  <si>
    <t>CDBL Fee</t>
  </si>
  <si>
    <t>Fund Initiation Day</t>
  </si>
  <si>
    <t>Interest receivables from FDR</t>
  </si>
  <si>
    <t>On date</t>
  </si>
  <si>
    <t xml:space="preserve">        Proceeds from issuance of units</t>
  </si>
  <si>
    <t xml:space="preserve">        Proceeds made for re-purchase of units</t>
  </si>
  <si>
    <t xml:space="preserve">        Dividend Payment</t>
  </si>
  <si>
    <t xml:space="preserve">      Cash &amp; Cash Equivalent at the beginning of the Period</t>
  </si>
  <si>
    <t xml:space="preserve">      Cash &amp; Cash Equivalent at the end of the Period</t>
  </si>
  <si>
    <t xml:space="preserve">     CDBL Charges</t>
  </si>
  <si>
    <t xml:space="preserve">     CDBL settlement &amp; demat charges</t>
  </si>
  <si>
    <t xml:space="preserve">     Amortization of preliminary &amp; issue expenses</t>
  </si>
  <si>
    <t xml:space="preserve">     BSEC Annual Fees</t>
  </si>
  <si>
    <t xml:space="preserve">     Management fees</t>
  </si>
  <si>
    <t>Payable to broker</t>
  </si>
  <si>
    <t>Rate</t>
  </si>
  <si>
    <t>Total</t>
  </si>
  <si>
    <t>Quantity</t>
  </si>
  <si>
    <t>Delta Brac Housing Finance Corporation Ltd</t>
  </si>
  <si>
    <t>Fixed Deposit Receipt (FDR)</t>
  </si>
  <si>
    <t>Cash and Cash Equivalents</t>
  </si>
  <si>
    <t>Cash at Bank</t>
  </si>
  <si>
    <t>Midland Bank Limited:</t>
  </si>
  <si>
    <t xml:space="preserve">       A/C No: 0001-1090000732</t>
  </si>
  <si>
    <t xml:space="preserve">       A/C No: 0001-1060000093</t>
  </si>
  <si>
    <t xml:space="preserve">        Less: Amortization Made During the Period</t>
  </si>
  <si>
    <t xml:space="preserve">         Opening Balance</t>
  </si>
  <si>
    <t xml:space="preserve">         Add: Subscription during the Period</t>
  </si>
  <si>
    <t>Unit Premium</t>
  </si>
  <si>
    <t xml:space="preserve">          Add: Unit premium reserve during the period</t>
  </si>
  <si>
    <t xml:space="preserve">         Less: Premium reimbursed for repurchase of units</t>
  </si>
  <si>
    <t>Liability for Expenses</t>
  </si>
  <si>
    <t xml:space="preserve">         Management fee</t>
  </si>
  <si>
    <t xml:space="preserve">         Trustee fee</t>
  </si>
  <si>
    <t xml:space="preserve">         Annual BSEC fee</t>
  </si>
  <si>
    <t xml:space="preserve">         Audit fee</t>
  </si>
  <si>
    <t xml:space="preserve">         CDBL fee</t>
  </si>
  <si>
    <t>NAV per unit at cost price</t>
  </si>
  <si>
    <t xml:space="preserve">        Net Asset Value at Market Price</t>
  </si>
  <si>
    <t xml:space="preserve">        Less: Unrealized gain/(loss) </t>
  </si>
  <si>
    <t xml:space="preserve">        Net Asset Value at Cost Price</t>
  </si>
  <si>
    <t xml:space="preserve">        No of units outstanding</t>
  </si>
  <si>
    <t>NAV per unit at Cost Price</t>
  </si>
  <si>
    <t>NAV per unit at market price</t>
  </si>
  <si>
    <t>NAV per unit at Market Price</t>
  </si>
  <si>
    <t>Interest Income</t>
  </si>
  <si>
    <t>Summit Power Limited</t>
  </si>
  <si>
    <t xml:space="preserve">               Total Equity</t>
  </si>
  <si>
    <t xml:space="preserve">Net Asset Value (NAV) per unit: </t>
  </si>
  <si>
    <t xml:space="preserve">     Fixed Deposit Receipts (FDR)</t>
  </si>
  <si>
    <t>Unitholders' Equity</t>
  </si>
  <si>
    <t>EKUSH FIRST UNIT FUND
Notes to the Financial Statements</t>
  </si>
  <si>
    <t xml:space="preserve">          BSEC Annual Fee</t>
  </si>
  <si>
    <t>31 December, 2019</t>
  </si>
  <si>
    <r>
      <t xml:space="preserve">     </t>
    </r>
    <r>
      <rPr>
        <u/>
        <sz val="10"/>
        <color theme="0"/>
        <rFont val="Arial"/>
        <family val="2"/>
      </rPr>
      <t>Unitholders' Equity</t>
    </r>
  </si>
  <si>
    <t xml:space="preserve">     Unit Capital</t>
  </si>
  <si>
    <t>Earnings Per Unit</t>
  </si>
  <si>
    <t>These financial statement should be read in conjunction with annexed notes.</t>
  </si>
  <si>
    <t xml:space="preserve">             Total Liabilities</t>
  </si>
  <si>
    <t xml:space="preserve">         Less: Redeemption during the Period</t>
  </si>
  <si>
    <t>Other operating expenses</t>
  </si>
  <si>
    <t xml:space="preserve">          Other Operating Expense</t>
  </si>
  <si>
    <t>Dividend income</t>
  </si>
  <si>
    <t>Dividend receivable</t>
  </si>
  <si>
    <t xml:space="preserve">          CDBL Fee</t>
  </si>
  <si>
    <t>Custodian fee</t>
  </si>
  <si>
    <t xml:space="preserve">          Custodian Fee</t>
  </si>
  <si>
    <t>IPO Application</t>
  </si>
  <si>
    <t>IPO Application Fee</t>
  </si>
  <si>
    <t xml:space="preserve">     IPO Application</t>
  </si>
  <si>
    <t>Receivable from broker</t>
  </si>
  <si>
    <t>Realized gain</t>
  </si>
  <si>
    <t xml:space="preserve">         IPO Application</t>
  </si>
  <si>
    <t xml:space="preserve">          IPO Application Fee</t>
  </si>
  <si>
    <t>Energypac Power Generation Limited</t>
  </si>
  <si>
    <t>Accounts Receivable</t>
  </si>
  <si>
    <t xml:space="preserve">        Interest from Bank</t>
  </si>
  <si>
    <t xml:space="preserve">        Interest income from FDR</t>
  </si>
  <si>
    <t>Net Gain on Sale of Marketable Securities</t>
  </si>
  <si>
    <t>Dividend Income</t>
  </si>
  <si>
    <t xml:space="preserve">        Grameen Phone Limited</t>
  </si>
  <si>
    <t xml:space="preserve">        SouthEast Bank 1st Mutual Fund</t>
  </si>
  <si>
    <t xml:space="preserve">        NLI 1st Mutual Fund</t>
  </si>
  <si>
    <t>Earnings per Unit</t>
  </si>
  <si>
    <t xml:space="preserve">        Net Income for the period</t>
  </si>
  <si>
    <t>Other Income</t>
  </si>
  <si>
    <t>Realized Gain/(Loss)</t>
  </si>
  <si>
    <t>Eastern Bank Limited</t>
  </si>
  <si>
    <t>The ACME Laboratories Limited</t>
  </si>
  <si>
    <t>Singer Bangladesh Limited</t>
  </si>
  <si>
    <t>Crystal Insurance Company Limited</t>
  </si>
  <si>
    <t>Olympic Industries</t>
  </si>
  <si>
    <t>Square Pharmaceuticals Limited</t>
  </si>
  <si>
    <t>British American Tobacco Bangladesh Company</t>
  </si>
  <si>
    <t>BRAC Bank</t>
  </si>
  <si>
    <t>Linde Bangladesh Limited</t>
  </si>
  <si>
    <t xml:space="preserve">             TOTAL</t>
  </si>
  <si>
    <t>ROBI Axiata Limited</t>
  </si>
  <si>
    <t>UG/(UL)</t>
  </si>
  <si>
    <t>FVA</t>
  </si>
  <si>
    <t>NAV*</t>
  </si>
  <si>
    <t>Dividend Receivable from Sumit Power Limited</t>
  </si>
  <si>
    <t>The City Bank Limited:</t>
  </si>
  <si>
    <t xml:space="preserve">       A/C No: </t>
  </si>
  <si>
    <t xml:space="preserve">        Opening Balance</t>
  </si>
  <si>
    <t xml:space="preserve">       Square Pharmaceuticals Limited</t>
  </si>
  <si>
    <t xml:space="preserve">       British American Tobacco Bangladesh Company</t>
  </si>
  <si>
    <t xml:space="preserve">       BRAC Bank</t>
  </si>
  <si>
    <t xml:space="preserve">       Associated Oxygen Limited</t>
  </si>
  <si>
    <t xml:space="preserve">       Summit Power Limited</t>
  </si>
  <si>
    <t xml:space="preserve">       ROBI Axiata Limited</t>
  </si>
  <si>
    <t xml:space="preserve">       Dominage Steel Building Systems Limited</t>
  </si>
  <si>
    <t xml:space="preserve">       National Life 1st Mutual Fund</t>
  </si>
  <si>
    <t xml:space="preserve">       Southeast Bank 1st Mutual Fund</t>
  </si>
  <si>
    <t xml:space="preserve">     Gain on Sale of Marketable Securities</t>
  </si>
  <si>
    <t xml:space="preserve">     Loss on Sale of Marketable Securities</t>
  </si>
  <si>
    <t xml:space="preserve">       Eastern Bank Limited</t>
  </si>
  <si>
    <t xml:space="preserve">     Net Gain on Sale of Marketable Securities</t>
  </si>
  <si>
    <t xml:space="preserve">        Sumit Power Limited</t>
  </si>
  <si>
    <t>Unrealized gain/(loss) on securities</t>
  </si>
  <si>
    <t xml:space="preserve">     Opening Balance</t>
  </si>
  <si>
    <t xml:space="preserve">STATEMENT OF FINANCIAL POSITION </t>
  </si>
  <si>
    <t xml:space="preserve">STATEMENT OF PROFIT &amp; LOSS AND OTHER COMPREHENSIVE INCOME </t>
  </si>
  <si>
    <t>STATEMENT OF CHANGES IN EQUITY</t>
  </si>
  <si>
    <t>STATEMENT OF CASH FLOW</t>
  </si>
  <si>
    <t xml:space="preserve">     Closing Balance (Note:1)</t>
  </si>
  <si>
    <t>From 01 January, 2020 to 31 December, 2020</t>
  </si>
  <si>
    <t>Accounts Payable</t>
  </si>
  <si>
    <t xml:space="preserve">      UCB Capital Limited</t>
  </si>
  <si>
    <t xml:space="preserve">       SHELTECH Brokerage Limited</t>
  </si>
  <si>
    <t>Earning per unit at Market Price</t>
  </si>
  <si>
    <t>31 December, 2020</t>
  </si>
  <si>
    <t>Dividend Receivable from Dominage Steel Building Systems Ltd</t>
  </si>
  <si>
    <t xml:space="preserve">        Dominage Steel Building Systems Ltd</t>
  </si>
  <si>
    <t>Ekush First Unit Fund</t>
  </si>
  <si>
    <t>Notes to the Financial Statements</t>
  </si>
  <si>
    <t>for the year ended 31 December 2020</t>
  </si>
  <si>
    <t>Legal Status and Nature of the Company</t>
  </si>
  <si>
    <t>The Fund and Its Objectives</t>
  </si>
  <si>
    <t>Principal Activities</t>
  </si>
  <si>
    <t>Ekush First Unit Fund is an open end Mutual Fund, which is a professionally managed portfolio of equity stocks and fixed income instruments. Investors buy units of the fund and the Asset Manager pools that money to make investments on their behalf. An unit represents a portion of the Fund’s holdings.</t>
  </si>
  <si>
    <t>Objectives</t>
  </si>
  <si>
    <t>The primary objective of the Fund is to achieve superior risk adjusted return in the forms of Capital Appreciation, dividend, interest income and to provide attractive dividend payments to the unit holders.</t>
  </si>
  <si>
    <t>Summary of Significant Accounting Policies</t>
  </si>
  <si>
    <t>These financial statements are prepared on the accrual basis of accounting, under the historical cost convention, as modified for investments, which are “market-to-market” and in conformity with the International financial Reporting Standards (IFRS) adopted by the Institute of Chartered Accountants of Bangladesh (ICAB), International Accounting Standards (IAS) adopted by the Institute of Chartered Accountants of Bangladesh (ICAB) and also in compliance with requirements of Bangladesh Securities and Exchange Commission (Mutual Fund) Rules, 2001 and other laws &amp; regulations applicable in Bangladesh.</t>
  </si>
  <si>
    <t>Preparation of the Financial Statements</t>
  </si>
  <si>
    <t>IAS-1, “Presentation of Financial Statements” requires that a cash flow statement be prepared as it provides information about cash flows of the enterprise which is useful in providing users of financial statements with basis to assess the ability of the enterprise to generate cash and cash equivalents and needs of the enterprise to utilize those cash flows. Statement of cash flows has been prepared under the direct method for the period, classified by operating, investing and financing activities as prescribed in paragraph 10 and 18(a) of IAS 7: “Statement of Cash Flows”. In accordance with Mutual Fund Rules, 2001, proceeds from investments have been shown under investing activities. However, the amount of resultant gain on sale of investment has been shown in operating activities.</t>
  </si>
  <si>
    <t>Statement of Cash Flows</t>
  </si>
  <si>
    <t>Statement of Changes in Equity</t>
  </si>
  <si>
    <t>The statement of changes in equity reflects information oabout the increase or decrease in net assets or wealth.</t>
  </si>
  <si>
    <t>Functional and Presentation Currency</t>
  </si>
  <si>
    <t>Thee financial statements are presented in Taka which is fund’s functional currency.</t>
  </si>
  <si>
    <t>Reporting Period</t>
  </si>
  <si>
    <t>These Financial Statements covers period from January 01, 2020 to December 31, 2020.</t>
  </si>
  <si>
    <t>Investment Policy</t>
  </si>
  <si>
    <t>Valuation of Investments</t>
  </si>
  <si>
    <t>The listed securities are valued at the closing quoted market price only on the Dhaka Stock Exchange on the date of valuation i.e. on December 31, 2020.</t>
  </si>
  <si>
    <t>Dividend Policy</t>
  </si>
  <si>
    <t>(a) After the close of annual accounts, the Trustee, as appears, shall declare dividend for the Fund.
(b) It shall distribute at least 70% of the Annual Income derived from realized gains of the Fund, as dividend, at the end of the accounting year.
(c) No Dividend may be declared or paid other than from earnings of the Fund available for distribution.
Surplus arising simply from the valuation of investments may not be available for dividend.</t>
  </si>
  <si>
    <t>The Fund shall pay a management fee to the Asset Management Company @2.50 percent per annum of the weekly average NAV up to Tk. 5.00 crore and @2.00% percent per annum for additional amount of the weekly average NAV up to Tk. 50.00 crore over Tk. 25.00 crore and @1.00 percent per annum for additional amount of the weekly average NAV over Tk. 50.00 crore, accrued and payable quarterly.</t>
  </si>
  <si>
    <t xml:space="preserve">
The trustee shall be paid an annual Trusteeship fee at the following rate on semi-annual in advance basis:</t>
  </si>
  <si>
    <t>NAV (BDT)                                                        Fees
 NAV of the first 200 crore of fund         0.10%
 NAV of the first 100 crore of fund         0.09%
 NAV of the remaining fund                     0.08%</t>
  </si>
  <si>
    <t>The fee for Custodian services will be 0.07% per annum of balance securities held by the fund, calculated on the average market value per month. Besides this, the fund will bear all other expenses via (a) transaction fee of BDT. 200 per transaction (b) local duties and fees like stamp duty on transaction, stamp duty on transfer deed (c) levies, brokerage, register’s fees, local counsel/representation, external auditors at the client’s request, depository fees etc. However, a fee cap of 0.08% per annum on balance securities held by the fund, calculated on the average market value per month would be applicable if the total expenses (including custodian fees, transaction fees &amp; other expenses, mentioned above) per annum go higher than the mentioned fee cap amount. The fee for Custodian services will be realized semi-annually.</t>
  </si>
  <si>
    <t>Custodian Fee</t>
  </si>
  <si>
    <t>Annual fee for the Fund payable in advance, based on face value of total fund size is payable as follow:
 Fund Size                                                                  Annual CDBL Fee
 Up to BDT. 5 crore                                                 BDT. 00,000.00/-
 Above BDT. 5 crore up to BDT. 20 crore       BDT. 20,000.00/-
 Above BDT. 20 crore                                            BDT. 40,000.00/-</t>
  </si>
  <si>
    <t>The Fund has paid TK.200,000/- (Taka two lac) only to the Securities and Exchange    Commission (SEC) as registration fee. In addition to that the fund will have to pay @10% of the year end NAV at Market price of the Fund on advance basis only per annum.</t>
  </si>
  <si>
    <t>Fund Registration and Annual Fee</t>
  </si>
  <si>
    <t>(a) Dividend income is recognized when the right to receive the payment is established i.e. on the  ex-dividend date;
(b) Capital gains are recognized on realization. Gain or loss from Securities  are recognized at point of sale for Securities which are sold. Foe unsold Securities, at the year end based on the difference between market value and cost unrealized gain or losses is accounted for:
(c) Bonus shares have been recognized at zero cost; and
(d) Interest on Fixed Deposit and Short -Term Deposit is recognized as income on accrual basis.</t>
  </si>
  <si>
    <t>Revenue Recognition</t>
  </si>
  <si>
    <t>Taxation</t>
  </si>
  <si>
    <t>The income of the Fund is exempted from income tax under the SRO NO.333-Ain/IT/2011 dated November 10, 2011: under section 44(4) clause (b) of income Tax Ordinance; 1984: hence no provision for tax has been made during the year in the books of the statement of Profit or Loss and other Comprehensive Income.</t>
  </si>
  <si>
    <t>As per Bangladesh Securities and Exchange Commission (Mutual Fund) Rules, 2001 Preliminary &amp; Issue Expenses are being written off over a period of 7 (seven) years.</t>
  </si>
  <si>
    <t>The fund calculates Net Asset Value per share using the cost and market value, which has been     shown on the face of statement of financial position and the computation of NAV per units is stated in NAV per Unit.</t>
  </si>
  <si>
    <t>Net Asset Value (NAV) Per Unit</t>
  </si>
  <si>
    <t>The fund calculates Earning Per Unit (EPU) in accordance with IAS 33: "Earning per Share", this has been shown on the face of the Income Statement</t>
  </si>
  <si>
    <t>Earning Per Unit</t>
  </si>
  <si>
    <t>Events after the Reporting Period</t>
  </si>
  <si>
    <t>The Board of Trustees of the Fund has declared no dividend for th</t>
  </si>
  <si>
    <t>General</t>
  </si>
  <si>
    <t>Figures appearing in these financial statements have been rounded off to nearest BDT.</t>
  </si>
  <si>
    <r>
      <t xml:space="preserve">Ekush First Unit Fund (hereinafter referred to as “the Fund”) was established as a Trust under the Trust Act, 1882 and registered with Sub-Registrar’s Office under the Registration Act 1908, on November 24, 2019. The Fund received Registration Certificate from the Bangladesh Securities and Exchange Commission (BSEC) on December 23, 2019 under the Securities and Exchange Commission (Mutual Fund) Rules 2001. The BSEC approved the Fund and provided consent on November 11, 2019. The initial size of the Fund is BDT. 100,000,000.00 (BDT. Ten Crore) divided into 10,000,000 (One Crore) units of BDT. 10 each. Subsequently, the unit capital of the fund now stands at BDT. 137,352,710.00.
</t>
    </r>
    <r>
      <rPr>
        <u/>
        <sz val="11"/>
        <color theme="1"/>
        <rFont val="Calibri"/>
        <family val="2"/>
        <scheme val="minor"/>
      </rPr>
      <t>Key Partners of the Fund are as follows:</t>
    </r>
    <r>
      <rPr>
        <sz val="11"/>
        <color theme="1"/>
        <rFont val="Calibri"/>
        <family val="2"/>
        <scheme val="minor"/>
      </rPr>
      <t xml:space="preserve">
Sponsor : Ekush Wealth Management Limited
Registered Address : Property Heights (1st Floor), 12 R.K. Mission Road, Dhaka - 1203
Trustee : Shandhani Life Insurance Company Limited
Registered Address : Shandhani Life Tower, Plot – 34, Bangla Motor, Dhaka - 1000
Custodian : BRAC Bank Limited
Registered Address : Anik Tower, 220/B, Tejgaon-Gulshan Link Road, Tejgaon, Dhaka - 1208
Asset Manager : Ekush Wealth Management Limited
Registered Address : Property Heights (1st Floor), 12 R.K. Mission Road, Dhaka – 1203</t>
    </r>
  </si>
  <si>
    <t>(i) The Fund shall invest subject to the Bangladesh Security Exchange Commission rules and only in those securities, deposits and investments approved by Bangladesh Securities and Exchange Commission and/or the Bangladesh Bank and/or the Insurance Development &amp; Regulatory Authority (IDRA) of Bangladesh or any other competent authority in this regard.
(ii) Not less than 60% (sixty percent) of the total assets of the Scheme of the Fund shall be invested in capital market instruments out of which at least 50% (fifty percent) percent shall be invested in listed securities.
(iii) Not more than 25% (twenty five percent) of the total asset of the Scheme of the Fund shall be invested in Fixed Income Securities (FIS).
(iv) Not more than 15% (fifteen percent) of the total asset of the Scheme shall be invested in Pre-IPOs at one time.
(v) All money collected under the Fund shall be invested only in cashable/transferable instruments, securities whether in money market or capital market or privately placed pre-IPO equity, preference shares, debentures or securitized debts. 
(vi) The Fund shall get the securities purchased or transferred in the name of the Fund.
(vii) Only the Asset Management Company will make the investment decisions and place orders for securities to be purchased or sold for the Scheme's portfolio.</t>
  </si>
  <si>
    <t>Proceeds from Sale</t>
  </si>
  <si>
    <t>Name of the Stocks</t>
  </si>
  <si>
    <t>Cost of Sold Stocks</t>
  </si>
  <si>
    <t>Dividend Equalization Reserve</t>
  </si>
  <si>
    <t xml:space="preserve">     Dividend Equalization Reserve</t>
  </si>
  <si>
    <t>Dividend Payable</t>
  </si>
  <si>
    <t>Retained Earnings</t>
  </si>
  <si>
    <t xml:space="preserve">      Dividend Payable</t>
  </si>
  <si>
    <t>A00002</t>
  </si>
  <si>
    <t>A00003</t>
  </si>
  <si>
    <t>A00004</t>
  </si>
  <si>
    <t>A00005</t>
  </si>
  <si>
    <t>A00006</t>
  </si>
  <si>
    <t>A00007</t>
  </si>
  <si>
    <t>A00008</t>
  </si>
  <si>
    <t>A00009</t>
  </si>
  <si>
    <t>A00010</t>
  </si>
  <si>
    <t>A00011</t>
  </si>
  <si>
    <t>A00012</t>
  </si>
  <si>
    <t>A00013</t>
  </si>
  <si>
    <t>A00014</t>
  </si>
  <si>
    <t>A00015</t>
  </si>
  <si>
    <t>A00016</t>
  </si>
  <si>
    <t>A00017</t>
  </si>
  <si>
    <t>A00018</t>
  </si>
  <si>
    <t>A00019</t>
  </si>
  <si>
    <t>A00020</t>
  </si>
  <si>
    <t>A00021</t>
  </si>
  <si>
    <t>A00022</t>
  </si>
  <si>
    <t>A00023</t>
  </si>
  <si>
    <t>A00024</t>
  </si>
  <si>
    <t>A00025</t>
  </si>
  <si>
    <t>A00026</t>
  </si>
  <si>
    <t>A00027</t>
  </si>
  <si>
    <t>A00028</t>
  </si>
  <si>
    <t>A00029</t>
  </si>
  <si>
    <t>A00030</t>
  </si>
  <si>
    <t>A00031</t>
  </si>
  <si>
    <t>A00032</t>
  </si>
  <si>
    <t>A00033</t>
  </si>
  <si>
    <t>A00034</t>
  </si>
  <si>
    <t>A00035</t>
  </si>
  <si>
    <t>A00036</t>
  </si>
  <si>
    <t>A00037</t>
  </si>
  <si>
    <t>A00038</t>
  </si>
  <si>
    <t>A00039</t>
  </si>
  <si>
    <t>A00040</t>
  </si>
  <si>
    <t>A00041</t>
  </si>
  <si>
    <t>A00042</t>
  </si>
  <si>
    <t>A00043</t>
  </si>
  <si>
    <t>A00044</t>
  </si>
  <si>
    <t>A00045</t>
  </si>
  <si>
    <t>A00046</t>
  </si>
  <si>
    <t>A00047</t>
  </si>
  <si>
    <t>A00048</t>
  </si>
  <si>
    <t>A00049</t>
  </si>
  <si>
    <t>A00050</t>
  </si>
  <si>
    <t>A00051</t>
  </si>
  <si>
    <t>A00052</t>
  </si>
  <si>
    <t>A00053</t>
  </si>
  <si>
    <t>A00054</t>
  </si>
  <si>
    <t>A00055</t>
  </si>
  <si>
    <t>A00056</t>
  </si>
  <si>
    <t>A00057</t>
  </si>
  <si>
    <t>A00058</t>
  </si>
  <si>
    <t>A00059</t>
  </si>
  <si>
    <t>A00060</t>
  </si>
  <si>
    <t>A00061</t>
  </si>
  <si>
    <t>A00062</t>
  </si>
  <si>
    <t>A00063</t>
  </si>
  <si>
    <t>A00064</t>
  </si>
  <si>
    <t>A00065</t>
  </si>
  <si>
    <t>A00066</t>
  </si>
  <si>
    <t>A00067</t>
  </si>
  <si>
    <t>A00068</t>
  </si>
  <si>
    <t>A00069</t>
  </si>
  <si>
    <t>A00070</t>
  </si>
  <si>
    <t>A00071</t>
  </si>
  <si>
    <t>A00072</t>
  </si>
  <si>
    <t>A00073</t>
  </si>
  <si>
    <t>A00074</t>
  </si>
  <si>
    <t>A00075</t>
  </si>
  <si>
    <t>A00076</t>
  </si>
  <si>
    <t>A00077</t>
  </si>
  <si>
    <t>A00078</t>
  </si>
  <si>
    <t>A00079</t>
  </si>
  <si>
    <t>A00080</t>
  </si>
  <si>
    <t>A00081</t>
  </si>
  <si>
    <t>A00082</t>
  </si>
  <si>
    <t>A00083</t>
  </si>
  <si>
    <t>A00084</t>
  </si>
  <si>
    <t>A00085</t>
  </si>
  <si>
    <t>A00086</t>
  </si>
  <si>
    <t>A00087</t>
  </si>
  <si>
    <t>A00088</t>
  </si>
  <si>
    <t>A00089</t>
  </si>
  <si>
    <t>A00090</t>
  </si>
  <si>
    <t>A00091</t>
  </si>
  <si>
    <t>A00092</t>
  </si>
  <si>
    <t>A00093</t>
  </si>
  <si>
    <t>A00096</t>
  </si>
  <si>
    <t>A00097</t>
  </si>
  <si>
    <t>A00098</t>
  </si>
  <si>
    <t>A00099</t>
  </si>
  <si>
    <t>A00102</t>
  </si>
  <si>
    <t>A00109</t>
  </si>
  <si>
    <t>A00113</t>
  </si>
  <si>
    <t>A00115</t>
  </si>
  <si>
    <t>A00116</t>
  </si>
  <si>
    <t>A00119</t>
  </si>
  <si>
    <t>A00120</t>
  </si>
  <si>
    <t>A00121</t>
  </si>
  <si>
    <t>A00123</t>
  </si>
  <si>
    <t>A00124</t>
  </si>
  <si>
    <t>A00125</t>
  </si>
  <si>
    <t>A00126</t>
  </si>
  <si>
    <t>A00127</t>
  </si>
  <si>
    <t>A00131</t>
  </si>
  <si>
    <t>A00134</t>
  </si>
  <si>
    <t>A00136</t>
  </si>
  <si>
    <t>A00144</t>
  </si>
  <si>
    <t>A00145</t>
  </si>
  <si>
    <t>A00146</t>
  </si>
  <si>
    <t>A00147</t>
  </si>
  <si>
    <t>A00149</t>
  </si>
  <si>
    <t>A00150</t>
  </si>
  <si>
    <t>A00151</t>
  </si>
  <si>
    <t>A00152</t>
  </si>
  <si>
    <t>A00153</t>
  </si>
  <si>
    <t>A00154</t>
  </si>
  <si>
    <t>A00156</t>
  </si>
  <si>
    <t>A00157</t>
  </si>
  <si>
    <t>A00158</t>
  </si>
  <si>
    <t>A00159</t>
  </si>
  <si>
    <t>A00160</t>
  </si>
  <si>
    <t>A00163</t>
  </si>
  <si>
    <t>A00168</t>
  </si>
  <si>
    <t>A00169</t>
  </si>
  <si>
    <t>A00170</t>
  </si>
  <si>
    <t>A00171</t>
  </si>
  <si>
    <t>A00172</t>
  </si>
  <si>
    <t>A00173</t>
  </si>
  <si>
    <t>A00174</t>
  </si>
  <si>
    <t>A00177</t>
  </si>
  <si>
    <t>A00178</t>
  </si>
  <si>
    <t>A00179</t>
  </si>
  <si>
    <t>A00180</t>
  </si>
  <si>
    <t>A00181</t>
  </si>
  <si>
    <t>A00182</t>
  </si>
  <si>
    <t>A00183</t>
  </si>
  <si>
    <t>A00184</t>
  </si>
  <si>
    <t>A00185</t>
  </si>
  <si>
    <t>A00186</t>
  </si>
  <si>
    <t>A00188</t>
  </si>
  <si>
    <t>A00189</t>
  </si>
  <si>
    <t>A00190</t>
  </si>
  <si>
    <t>A00191</t>
  </si>
  <si>
    <t>A00192</t>
  </si>
  <si>
    <t>A00193</t>
  </si>
  <si>
    <t>A00194</t>
  </si>
  <si>
    <t>A00195</t>
  </si>
  <si>
    <t>A00199</t>
  </si>
  <si>
    <t>A00200</t>
  </si>
  <si>
    <t>A00201</t>
  </si>
  <si>
    <t>A00202</t>
  </si>
  <si>
    <t>A00203</t>
  </si>
  <si>
    <t>A00206</t>
  </si>
  <si>
    <t>Withholding Tax Payable</t>
  </si>
  <si>
    <t>Realized Loss</t>
  </si>
  <si>
    <t>A00209</t>
  </si>
  <si>
    <t>A00210</t>
  </si>
  <si>
    <t>A00211</t>
  </si>
  <si>
    <t>A00214</t>
  </si>
  <si>
    <t>A00215</t>
  </si>
  <si>
    <t>A00216</t>
  </si>
  <si>
    <t>A00219</t>
  </si>
  <si>
    <t>A00221</t>
  </si>
  <si>
    <t>A00222</t>
  </si>
  <si>
    <t>INVESTOR NAME</t>
  </si>
  <si>
    <t>INVESTOR CODE</t>
  </si>
  <si>
    <t>HARI PADA SAHA</t>
  </si>
  <si>
    <t>EKUSH WEALTH MANAGEMENT LIMITED</t>
  </si>
  <si>
    <t>SADIA AHMED</t>
  </si>
  <si>
    <t>MORSHEDA MIM</t>
  </si>
  <si>
    <t>AHMAD ZAHID ZAKI</t>
  </si>
  <si>
    <t>JNANDIP PAUL</t>
  </si>
  <si>
    <t>NANI GOPAL DATTA</t>
  </si>
  <si>
    <t>SWADESH RANJAN SAHA</t>
  </si>
  <si>
    <t>SYED ADNAN HUDA</t>
  </si>
  <si>
    <t>A00094</t>
  </si>
  <si>
    <t>CHAONIKA SAHA</t>
  </si>
  <si>
    <t>A00095</t>
  </si>
  <si>
    <t>SK FEROZ ALAM</t>
  </si>
  <si>
    <t>SHAMSUZZAMAN</t>
  </si>
  <si>
    <t>KAMRUL MOMIN</t>
  </si>
  <si>
    <t>A00100</t>
  </si>
  <si>
    <t>MD RAFIQUL ISLAM KHAN</t>
  </si>
  <si>
    <t>A00101</t>
  </si>
  <si>
    <t>ADNAN RASHID</t>
  </si>
  <si>
    <t>MD. MESBAH UDDIN KHAN</t>
  </si>
  <si>
    <t>A00103</t>
  </si>
  <si>
    <t>NASIR UDDIN BABU</t>
  </si>
  <si>
    <t>A00104</t>
  </si>
  <si>
    <t>RIZIA SULTANA AND MOFAZZAL MAMUN KHAN</t>
  </si>
  <si>
    <t>A00105</t>
  </si>
  <si>
    <t>SYED REZWANUL HUQ</t>
  </si>
  <si>
    <t>A00106</t>
  </si>
  <si>
    <t>NAZMUL AHSAN</t>
  </si>
  <si>
    <t>A00107</t>
  </si>
  <si>
    <t>NABADIP ROY</t>
  </si>
  <si>
    <t>A00108</t>
  </si>
  <si>
    <t>RAHNUMA SANJANA</t>
  </si>
  <si>
    <t>MD. NABIL BARKET</t>
  </si>
  <si>
    <t>A00110</t>
  </si>
  <si>
    <t>RASEDUL ISLAM</t>
  </si>
  <si>
    <t>A00111</t>
  </si>
  <si>
    <t>MOHAMMED HAFIZ UDDIN</t>
  </si>
  <si>
    <t>A00112</t>
  </si>
  <si>
    <t>MD. MONIRUZZAMAN</t>
  </si>
  <si>
    <t>S.M. FERDAUS HOSSAIN</t>
  </si>
  <si>
    <t>A00114</t>
  </si>
  <si>
    <t>N M AL HOSSAIN</t>
  </si>
  <si>
    <t>MOHAMMAD SAIFUDDOWLA</t>
  </si>
  <si>
    <t>A00117</t>
  </si>
  <si>
    <t>MD ABDUL AZIZ</t>
  </si>
  <si>
    <t>A00118</t>
  </si>
  <si>
    <t>A00122</t>
  </si>
  <si>
    <t>A00128</t>
  </si>
  <si>
    <t>A00129</t>
  </si>
  <si>
    <t>A00130</t>
  </si>
  <si>
    <t>A00132</t>
  </si>
  <si>
    <t>A00133</t>
  </si>
  <si>
    <t>A00135</t>
  </si>
  <si>
    <t>A00137</t>
  </si>
  <si>
    <t>A00138</t>
  </si>
  <si>
    <t>A00139</t>
  </si>
  <si>
    <t>A00140</t>
  </si>
  <si>
    <t>A00141</t>
  </si>
  <si>
    <t>A00142</t>
  </si>
  <si>
    <t>A00143</t>
  </si>
  <si>
    <t>A00148</t>
  </si>
  <si>
    <t>A00155</t>
  </si>
  <si>
    <t>A00161</t>
  </si>
  <si>
    <t>A00162</t>
  </si>
  <si>
    <t>A00164</t>
  </si>
  <si>
    <t>A00165</t>
  </si>
  <si>
    <t>A00166</t>
  </si>
  <si>
    <t>A00167</t>
  </si>
  <si>
    <t>A00175</t>
  </si>
  <si>
    <t>A00176</t>
  </si>
  <si>
    <t>KAMRUL HASAN MAHMUD</t>
  </si>
  <si>
    <t>MD. ALAMGIR HOSSAIN</t>
  </si>
  <si>
    <t>MD. SAJID SAADAT ALI</t>
  </si>
  <si>
    <t>HASIB MUSTABSIR</t>
  </si>
  <si>
    <t>MD. HARUN OR RASHID</t>
  </si>
  <si>
    <t>MUHAMMAD TANVIR ARAFAT</t>
  </si>
  <si>
    <t>A00196</t>
  </si>
  <si>
    <t>MD. WALI ULLAH</t>
  </si>
  <si>
    <t>A00197</t>
  </si>
  <si>
    <t>MD. NIAZ MURSHED</t>
  </si>
  <si>
    <t>A00198</t>
  </si>
  <si>
    <t>DBH EMPLOYEES GRATUITY FUND</t>
  </si>
  <si>
    <t>JOHORA KHATUN</t>
  </si>
  <si>
    <t>MAHMUD ALI ALAMGIR</t>
  </si>
  <si>
    <t>REZIA RAHMAT</t>
  </si>
  <si>
    <t>MUNTASIR HASAN</t>
  </si>
  <si>
    <t>A00204</t>
  </si>
  <si>
    <t>NAZNIN AKTER</t>
  </si>
  <si>
    <t>A00205</t>
  </si>
  <si>
    <t>RAKIBUL ISLAM</t>
  </si>
  <si>
    <t>A00207</t>
  </si>
  <si>
    <t>ZUBAYER SARWAR</t>
  </si>
  <si>
    <t>A00208</t>
  </si>
  <si>
    <t>CHOWDHURY MD. RAIYAN ALAM</t>
  </si>
  <si>
    <t>FARUQUE AHMED &amp; ZAHEDA BEGUM HENA</t>
  </si>
  <si>
    <t>MOHAMMAD HABIB RASHID</t>
  </si>
  <si>
    <t>MAHFUZUL ISLAM</t>
  </si>
  <si>
    <t>A00212</t>
  </si>
  <si>
    <t>FARHANA AKHTER</t>
  </si>
  <si>
    <t>A00213</t>
  </si>
  <si>
    <t>NOOR AL-RAFI</t>
  </si>
  <si>
    <t>K.M SAKIB AHMED</t>
  </si>
  <si>
    <t>SK FEROZ ALAM &amp; MD BULBUL ISLAM</t>
  </si>
  <si>
    <t>TAPU GUHA</t>
  </si>
  <si>
    <t>A00217</t>
  </si>
  <si>
    <t>MOHAMMAD SAMIR UDDIN</t>
  </si>
  <si>
    <t>A00218</t>
  </si>
  <si>
    <t>K M ROHAN AHMED</t>
  </si>
  <si>
    <t>TAHMID HASAN</t>
  </si>
  <si>
    <t>MIDLAND BANK LIMITED</t>
  </si>
  <si>
    <t>MOHAMMAD AKIB NAWAZ</t>
  </si>
  <si>
    <t>A00223</t>
  </si>
  <si>
    <t>A00224</t>
  </si>
  <si>
    <t>BIJOY CHANDRA DAS</t>
  </si>
  <si>
    <t>A00225</t>
  </si>
  <si>
    <t>RAIS-UR-RUBBI</t>
  </si>
  <si>
    <t>A00226</t>
  </si>
  <si>
    <t>FATEMA-TUZ JOHURA NILA</t>
  </si>
  <si>
    <t>A00227</t>
  </si>
  <si>
    <t xml:space="preserve">          Audit Fee</t>
  </si>
  <si>
    <t>A00228</t>
  </si>
  <si>
    <t>A00229</t>
  </si>
  <si>
    <t>BALARAM CHANDRA SAHA</t>
  </si>
  <si>
    <t>BACKBONE</t>
  </si>
  <si>
    <t>A00230</t>
  </si>
  <si>
    <t>GOPI NATH GHOSH</t>
  </si>
  <si>
    <t>A00231</t>
  </si>
  <si>
    <t>SULTANA RAZIA</t>
  </si>
  <si>
    <t>SECURE LINK SERVICES BANGLADESH LIMITED</t>
  </si>
  <si>
    <t>QUAZI TOWFIQUE UDDIN</t>
  </si>
  <si>
    <t>MD. FERDAUS WAHID</t>
  </si>
  <si>
    <t>A00232</t>
  </si>
  <si>
    <t>A00233</t>
  </si>
  <si>
    <t>A00234</t>
  </si>
  <si>
    <t>A00235</t>
  </si>
  <si>
    <t>A00236</t>
  </si>
  <si>
    <t>A00237</t>
  </si>
  <si>
    <t>MD SHAFIUL AZAM</t>
  </si>
  <si>
    <t>IVA JAMAL</t>
  </si>
  <si>
    <t>A00238</t>
  </si>
  <si>
    <t>ILINE JAMAL</t>
  </si>
  <si>
    <t>TARUN KUMAR SARKER</t>
  </si>
  <si>
    <t>A00239</t>
  </si>
  <si>
    <t>A00240</t>
  </si>
  <si>
    <t>JHARNA AHMED</t>
  </si>
  <si>
    <t>A00241</t>
  </si>
  <si>
    <t>A00242</t>
  </si>
  <si>
    <t>A00243</t>
  </si>
  <si>
    <t>A00244</t>
  </si>
  <si>
    <t>A00245</t>
  </si>
  <si>
    <t>A00246</t>
  </si>
  <si>
    <t>MD KAMAL HOSSAIN</t>
  </si>
  <si>
    <t>MD ABDULLAH-AL- MAMUN</t>
  </si>
  <si>
    <t>MD. MEHEDI HASSAN MILON</t>
  </si>
  <si>
    <t>MOHAMMAD SAMIUL ALAM</t>
  </si>
  <si>
    <t>ZAFOR UDDIN AHMED</t>
  </si>
  <si>
    <t>ABACI INVESTMENTS LTD. EC PROVIDENT FUND</t>
  </si>
  <si>
    <t>A00247</t>
  </si>
  <si>
    <t>A00248</t>
  </si>
  <si>
    <t>A00249</t>
  </si>
  <si>
    <t>A00250</t>
  </si>
  <si>
    <t>SHANTA PAUL</t>
  </si>
  <si>
    <t>ANJAN MALLIK</t>
  </si>
  <si>
    <t>HASINA JANNAT</t>
  </si>
  <si>
    <t>MR. NAYAN KUMAR CHOWDHURY</t>
  </si>
  <si>
    <t>A00251</t>
  </si>
  <si>
    <t>A00252</t>
  </si>
  <si>
    <t>NITYANANDA BISWAS</t>
  </si>
  <si>
    <t>A00253</t>
  </si>
  <si>
    <t>A00254</t>
  </si>
  <si>
    <t>SARDER SAYED AKRAM</t>
  </si>
  <si>
    <t>MD. ATIQUR RAHMAN</t>
  </si>
  <si>
    <t>A00255</t>
  </si>
  <si>
    <t>MAHMUDUL HASSAN</t>
  </si>
  <si>
    <t>A00256</t>
  </si>
  <si>
    <t>TANVIR HASAN</t>
  </si>
  <si>
    <t>A00257</t>
  </si>
  <si>
    <t>S. M. ALI MANZIR PALLAB</t>
  </si>
  <si>
    <t>A00258</t>
  </si>
  <si>
    <t>MD. WALID - AL - ZUBAYER</t>
  </si>
  <si>
    <t>Total Div</t>
  </si>
  <si>
    <t>Per Unit Dev</t>
  </si>
  <si>
    <t>A00259</t>
  </si>
  <si>
    <t>MEHEDI HASSAN RONI</t>
  </si>
  <si>
    <t>A00260</t>
  </si>
  <si>
    <t>CHANCHAL KUMAR SAHA</t>
  </si>
  <si>
    <t>A00261</t>
  </si>
  <si>
    <t>MEHERUN NESSA JUTHY</t>
  </si>
  <si>
    <t>A00262</t>
  </si>
  <si>
    <t>MASTURA MUNIAT</t>
  </si>
  <si>
    <t>A00263</t>
  </si>
  <si>
    <t>JOY SHREE SAHA</t>
  </si>
  <si>
    <t>A00264</t>
  </si>
  <si>
    <t>A S SALAHUDDIN AHMED</t>
  </si>
  <si>
    <t>A00265</t>
  </si>
  <si>
    <t>MOHAMMED SAJEDUR RAHMAN</t>
  </si>
  <si>
    <t>A00266</t>
  </si>
  <si>
    <t>JUBAIR MOHAMMAD HASAN</t>
  </si>
  <si>
    <t>A00267</t>
  </si>
  <si>
    <t>HABIB REDWAN RAFI</t>
  </si>
  <si>
    <t>A00268</t>
  </si>
  <si>
    <t>NAUSHEEN AHMED</t>
  </si>
  <si>
    <t>A00269</t>
  </si>
  <si>
    <t>A00270</t>
  </si>
  <si>
    <t>QAZI MUSADDEQ AHMAD</t>
  </si>
  <si>
    <t>IFTAKHAR AHMED</t>
  </si>
  <si>
    <t>MD. MANAZIR KABIR</t>
  </si>
  <si>
    <t>MD. WALIULLAH. SWADESH RANJAN SAHA &amp; MD. MIZZNUR RAHMAN</t>
  </si>
  <si>
    <t>IMTIAJ ARA</t>
  </si>
  <si>
    <t>NADIRA AKTER</t>
  </si>
  <si>
    <t>A00271</t>
  </si>
  <si>
    <t>ABDULLAH-AL-FAHIM</t>
  </si>
  <si>
    <t>A00272</t>
  </si>
  <si>
    <t>SAJAN KUMAR BASAK</t>
  </si>
  <si>
    <t>A00273</t>
  </si>
  <si>
    <t>JAHAN ARA BEGUM</t>
  </si>
  <si>
    <t>A00274</t>
  </si>
  <si>
    <t>MOHAMMAD SHAHIDUL ISLAM</t>
  </si>
  <si>
    <t>A00275</t>
  </si>
  <si>
    <t>MD. MARUF SIKDER</t>
  </si>
  <si>
    <t>A00276</t>
  </si>
  <si>
    <t>MD. ARIFUL ISLAM</t>
  </si>
  <si>
    <t>A00277</t>
  </si>
  <si>
    <t>SK. MOINUL HASSAN</t>
  </si>
  <si>
    <t>A00278</t>
  </si>
  <si>
    <t>MD. AHSAN-UZ ZAMAN</t>
  </si>
  <si>
    <t>A00279</t>
  </si>
  <si>
    <t>GOURI TOSH PAUL</t>
  </si>
  <si>
    <t>A00280</t>
  </si>
  <si>
    <t>FARHAN SHAHRIAR DIPTO</t>
  </si>
  <si>
    <t>A00281</t>
  </si>
  <si>
    <t>RAJIB SAHA</t>
  </si>
  <si>
    <t>A00282</t>
  </si>
  <si>
    <t>ALVI RAHMAN</t>
  </si>
  <si>
    <t>A00283</t>
  </si>
  <si>
    <t>MOHAMMAD MIZANUR RAHMAN</t>
  </si>
  <si>
    <t>A00284</t>
  </si>
  <si>
    <t>UMME SALMA KATHA</t>
  </si>
  <si>
    <t>A00285</t>
  </si>
  <si>
    <t>MD. ZAHIRUL ISLAM</t>
  </si>
  <si>
    <t>A00286</t>
  </si>
  <si>
    <t>ASRAFUZZAMAN</t>
  </si>
  <si>
    <t>A00287</t>
  </si>
  <si>
    <t>MD. RAFIQUR RAHMAN</t>
  </si>
  <si>
    <t>A00288</t>
  </si>
  <si>
    <t>MD ABDUS SAMAD AZAD</t>
  </si>
  <si>
    <t>A00289</t>
  </si>
  <si>
    <t>MAHBUB-UL-ANAM KHAN</t>
  </si>
  <si>
    <t>A00290</t>
  </si>
  <si>
    <t>NUR ELAHEE MOLLA</t>
  </si>
  <si>
    <t>A00291</t>
  </si>
  <si>
    <t>SAYEM AHMED</t>
  </si>
  <si>
    <t>A00292</t>
  </si>
  <si>
    <t>RAIS UDDIN AHMAD</t>
  </si>
  <si>
    <t>A00293</t>
  </si>
  <si>
    <t>BENOZEER AHMED</t>
  </si>
  <si>
    <t>A00294</t>
  </si>
  <si>
    <t>SUMAIYA CHOWDHURY RUPTY</t>
  </si>
  <si>
    <t>GREEN DELTA SECURITIES LIMITED</t>
  </si>
  <si>
    <t>HARUNUR RASHID</t>
  </si>
  <si>
    <t>A00295</t>
  </si>
  <si>
    <t>SARWAR</t>
  </si>
  <si>
    <t>A00296</t>
  </si>
  <si>
    <t>SOHEL MAHMOOD</t>
  </si>
  <si>
    <t>A00297</t>
  </si>
  <si>
    <t>MOSTAFIZUR RAHMAN</t>
  </si>
  <si>
    <t>A00298</t>
  </si>
  <si>
    <t>MUSHFIQUR RAHMAN</t>
  </si>
  <si>
    <t>A00299</t>
  </si>
  <si>
    <t>MD. ASHADUL HOQUE</t>
  </si>
  <si>
    <t>A00300</t>
  </si>
  <si>
    <t>JANNATUL FERDOUS SHARNA</t>
  </si>
  <si>
    <t>A00301</t>
  </si>
  <si>
    <t>A.T.M. MORSHED KAMAL</t>
  </si>
  <si>
    <t>A00302</t>
  </si>
  <si>
    <t>A00303</t>
  </si>
  <si>
    <t>KHANDAKAR MOHAMMAD NURUL HADIUZZAMAN</t>
  </si>
  <si>
    <t>SYED NAYEEMUDDIN HOSSAIN</t>
  </si>
  <si>
    <t>A00304</t>
  </si>
  <si>
    <t>ANWAR ZAHID</t>
  </si>
  <si>
    <t>A00220</t>
  </si>
  <si>
    <t>A00305</t>
  </si>
  <si>
    <t>SHIHAB MAHMUD</t>
  </si>
  <si>
    <t>A00187</t>
  </si>
  <si>
    <t>SHAHNAZ PARVEEN</t>
  </si>
  <si>
    <t>HABIBA CHOWDHURY SHELI</t>
  </si>
  <si>
    <t>A00306</t>
  </si>
  <si>
    <t>CHAYAN KUMAR BARUA</t>
  </si>
  <si>
    <t>A00307</t>
  </si>
  <si>
    <t>A00308</t>
  </si>
  <si>
    <t>MD. MOSABBIR ALAM</t>
  </si>
  <si>
    <t>SAMMIR BIN DELOWER</t>
  </si>
  <si>
    <t>A00309</t>
  </si>
  <si>
    <t>UNMESH RAY HIMEL</t>
  </si>
  <si>
    <t>A00310</t>
  </si>
  <si>
    <t>BABITA RANI BARMAN</t>
  </si>
  <si>
    <t>MOHAMMAD MARUFUR RAHMAN SIKDER</t>
  </si>
  <si>
    <t>SHARMEEN MAHMUD</t>
  </si>
  <si>
    <t>A00311</t>
  </si>
  <si>
    <t>MST. NASIRA KHATUN</t>
  </si>
  <si>
    <t>A00312</t>
  </si>
  <si>
    <t>REDOY BARMON</t>
  </si>
  <si>
    <t>A00313</t>
  </si>
  <si>
    <t>RAFAYET ULLAH</t>
  </si>
  <si>
    <t>A00314</t>
  </si>
  <si>
    <t>A00315</t>
  </si>
  <si>
    <t>ZAKIA SULTANA</t>
  </si>
  <si>
    <t>MOUMITA ROY</t>
  </si>
  <si>
    <t>A00316</t>
  </si>
  <si>
    <t>MONSURUL MOHAMMAD SHAHRIAR</t>
  </si>
  <si>
    <t>A00317</t>
  </si>
  <si>
    <t>Unit Subscription - LUMPSUM</t>
  </si>
  <si>
    <t>For the period from January 1 to December 31, 2021</t>
  </si>
  <si>
    <t>January 01 to December 31, 2021</t>
  </si>
  <si>
    <t>SHARMIN JAHAN SHANTA</t>
  </si>
  <si>
    <t>A00318</t>
  </si>
  <si>
    <t>MD. MIZANUR RAHMAN</t>
  </si>
  <si>
    <t>A00319</t>
  </si>
  <si>
    <t>MD. SAIFULLAH AL AZAD</t>
  </si>
  <si>
    <t>A00320</t>
  </si>
  <si>
    <t>MD. JAHIRUL ISLAM</t>
  </si>
  <si>
    <t>A00321</t>
  </si>
  <si>
    <t>AHMED BIN MONSUR</t>
  </si>
  <si>
    <t>A00322</t>
  </si>
  <si>
    <t>MUNTASIR MAHMUD RAHMAN</t>
  </si>
  <si>
    <t>A00323</t>
  </si>
  <si>
    <t>MD. NAHIDUR RASHID</t>
  </si>
  <si>
    <t>A00324</t>
  </si>
  <si>
    <t>SAJED MADBAR</t>
  </si>
  <si>
    <t>A00325</t>
  </si>
  <si>
    <t>THE GSP FINANCE COMPANY (BANGLADESH) LIMITED EMPLOYEES PROVIDENT FUND</t>
  </si>
  <si>
    <t>A00326</t>
  </si>
  <si>
    <t>A00327</t>
  </si>
  <si>
    <t>M.A. MALEK SIDDIQUE WALI &amp; CO.</t>
  </si>
  <si>
    <t>SAILENDRA SAHA</t>
  </si>
  <si>
    <t>A00328</t>
  </si>
  <si>
    <t>ASHRAFUL ISLAM</t>
  </si>
  <si>
    <t>A00329</t>
  </si>
  <si>
    <t>TANIA KABIR</t>
  </si>
  <si>
    <t>A00330</t>
  </si>
  <si>
    <t>MD. SHEFATH-UL-ISLAM</t>
  </si>
  <si>
    <t>A00331</t>
  </si>
  <si>
    <t>MOHAMMED FUAD ZIBRAN</t>
  </si>
  <si>
    <t>A00332</t>
  </si>
  <si>
    <t>MD. GOLAM MORTAZA</t>
  </si>
  <si>
    <t>A00333</t>
  </si>
  <si>
    <t>SUSMITA DHAR</t>
  </si>
  <si>
    <t>A00334</t>
  </si>
  <si>
    <t>SHAHED UDDIN MOHAMMED PARVEZ</t>
  </si>
  <si>
    <t>A00335</t>
  </si>
  <si>
    <t>A00336</t>
  </si>
  <si>
    <t>BISHWAJIT BASAK</t>
  </si>
  <si>
    <t>A00337</t>
  </si>
  <si>
    <t>MOHAMMED ZAHID HOSSAIN</t>
  </si>
  <si>
    <t>A00338</t>
  </si>
  <si>
    <t>A00339</t>
  </si>
  <si>
    <t>ASMAR OSMAN</t>
  </si>
  <si>
    <t>A00340</t>
  </si>
  <si>
    <t>A00341</t>
  </si>
  <si>
    <t>FAISAL BIN MALEQUE</t>
  </si>
  <si>
    <t>A00342</t>
  </si>
  <si>
    <t>MD. IMRAN HOSSAIN</t>
  </si>
  <si>
    <t>A00343</t>
  </si>
  <si>
    <t>A00344</t>
  </si>
  <si>
    <t>KAZI RASEL</t>
  </si>
  <si>
    <t>A00345</t>
  </si>
  <si>
    <t>ANJANA SAHA</t>
  </si>
  <si>
    <t>TANIZA MAZED</t>
  </si>
  <si>
    <t>MD. SHAHIDUL ISLAM</t>
  </si>
  <si>
    <t>PRATIMA DEV</t>
  </si>
  <si>
    <t>UCB STOCK BROKERAGE LIMITED</t>
  </si>
  <si>
    <t>NATIONAL BANK LTD</t>
  </si>
  <si>
    <t>PHOENIX INSURANCE CO. LTD. EMPL. P.F.</t>
  </si>
  <si>
    <t>SATCOM IT LTD. PROVIDENT FUND</t>
  </si>
  <si>
    <t>MOHAMMAD MONJUR ALAM</t>
  </si>
  <si>
    <t>PHOENIX INSURANCE CO. LTD.</t>
  </si>
  <si>
    <t>ASHIT BARAN SAHA</t>
  </si>
  <si>
    <t>MOHAMMAD SAYDUZZAMAN</t>
  </si>
  <si>
    <t>RAHNUMA SULTANA</t>
  </si>
  <si>
    <t>COMMUNITY BANK BANGLADESH LIMITED</t>
  </si>
  <si>
    <t>MAYA RANI SAHA</t>
  </si>
  <si>
    <t>SUHAIEB CHOWDHURY</t>
  </si>
  <si>
    <t>SHAHRIAR MAHMOOD</t>
  </si>
  <si>
    <t>MD MIZANUR RAHMAN</t>
  </si>
  <si>
    <t>FAIYEAD AHMEDUL HYE</t>
  </si>
  <si>
    <t>SAILA SATTER</t>
  </si>
  <si>
    <t>MD KAMRUL ISLAM</t>
  </si>
  <si>
    <t>MD. ZAHIR UDDIN</t>
  </si>
  <si>
    <t>BIPLAB SAHA</t>
  </si>
  <si>
    <t>SAIDA HOMAIRA</t>
  </si>
  <si>
    <t>NEXXEN EQUITY MANAGEMENT LIMITED</t>
  </si>
  <si>
    <t>A00346</t>
  </si>
  <si>
    <t>EVEREST PHARMACEUTICALS LTD. EMPLOYEES CONTRIBUTORY PROVIDENT FUND</t>
  </si>
  <si>
    <t>A00347</t>
  </si>
  <si>
    <t>A.K.M. ANWARUL HOQ</t>
  </si>
  <si>
    <t>A00348</t>
  </si>
  <si>
    <t>MOHAMMAD MOZNU MOLLAH</t>
  </si>
  <si>
    <t>A00349</t>
  </si>
  <si>
    <t>MD. ZAKIR HOSSAIN</t>
  </si>
  <si>
    <t>A00350</t>
  </si>
  <si>
    <t>MOHAMMAD SAIFUL ISLAM</t>
  </si>
  <si>
    <t>A00351</t>
  </si>
  <si>
    <t>SHIULI RANI SAHA</t>
  </si>
  <si>
    <t>A00352</t>
  </si>
  <si>
    <t>VANGUARD AML GROWTH FUND</t>
  </si>
  <si>
    <t>A00353</t>
  </si>
  <si>
    <t>BRAC BANK LIMITED</t>
  </si>
  <si>
    <t>A00354</t>
  </si>
  <si>
    <t>NRB COMMERCIAL BANK LIMITED</t>
  </si>
  <si>
    <t>A00355</t>
  </si>
  <si>
    <t>HOSNEARA ISLAM</t>
  </si>
  <si>
    <t>A00356</t>
  </si>
  <si>
    <t>MOHAMMAD MOINUL ISLAM</t>
  </si>
  <si>
    <t>A00357</t>
  </si>
  <si>
    <t>MOHAMMAD AMDADUL HOQUE</t>
  </si>
  <si>
    <t>A00358</t>
  </si>
  <si>
    <t>HAFIZA AFRIN TONNY</t>
  </si>
  <si>
    <t>A00359</t>
  </si>
  <si>
    <t>NBL CAPITAL AND EQUITY MANAGEMENT LTD</t>
  </si>
  <si>
    <t>A00360</t>
  </si>
  <si>
    <t>ARIF AHMED</t>
  </si>
  <si>
    <t>A00361</t>
  </si>
  <si>
    <t>MOHAMMAD YASEEN</t>
  </si>
  <si>
    <t>A00362</t>
  </si>
  <si>
    <t>MD. TARIF AZAD KHAN</t>
  </si>
  <si>
    <t>A00363</t>
  </si>
  <si>
    <t>MD. AZHARUL KARIM</t>
  </si>
  <si>
    <t>A00364</t>
  </si>
  <si>
    <t>BANGLADESH FUND</t>
  </si>
  <si>
    <t>A00365</t>
  </si>
  <si>
    <t>NAYEEMA TASNEEM</t>
  </si>
  <si>
    <t>A00366</t>
  </si>
  <si>
    <t>A00367</t>
  </si>
  <si>
    <t>MD. NAZIMUL HAQUE HAQUANNI</t>
  </si>
  <si>
    <t>A00368</t>
  </si>
  <si>
    <t>ASRAAR HOSSAIN</t>
  </si>
  <si>
    <t>A00369</t>
  </si>
  <si>
    <t>ZAIN MOHAMMAD YASEEN</t>
  </si>
  <si>
    <t>A00370</t>
  </si>
  <si>
    <t>MD. AL AMIN SARKER</t>
  </si>
  <si>
    <t>A00371</t>
  </si>
  <si>
    <t>MD. ASIF RAIHAN</t>
  </si>
  <si>
    <t>A00372</t>
  </si>
  <si>
    <t>ZINAT MAHRUKH BANU</t>
  </si>
  <si>
    <t>A00373</t>
  </si>
  <si>
    <t>B.M. MIRAZ HOSSAIN</t>
  </si>
  <si>
    <t>A00374</t>
  </si>
  <si>
    <t>DELTA BRAC HOUSING FINANCE CORPORATION LTD</t>
  </si>
  <si>
    <t>A00375</t>
  </si>
  <si>
    <t>RASIDA BEGUM</t>
  </si>
  <si>
    <t>A00376</t>
  </si>
  <si>
    <t>A00377</t>
  </si>
  <si>
    <t>SHABBIR KHAN</t>
  </si>
  <si>
    <t>A00378</t>
  </si>
  <si>
    <t>EDGE VENTURES LIMITED</t>
  </si>
  <si>
    <t>A00379</t>
  </si>
  <si>
    <t>CITY BROKERAGE LIMITED</t>
  </si>
  <si>
    <t>A00380</t>
  </si>
  <si>
    <t>ANIK KUMAR GUPTA</t>
  </si>
  <si>
    <t>A00381</t>
  </si>
  <si>
    <t>A00382</t>
  </si>
  <si>
    <t>AZIZUL ISLAM</t>
  </si>
  <si>
    <t>A00383</t>
  </si>
  <si>
    <t>A00384</t>
  </si>
  <si>
    <t>A00385</t>
  </si>
  <si>
    <t>MD. TANZIRUL AMIN</t>
  </si>
  <si>
    <t>A00386</t>
  </si>
  <si>
    <t>SYED ASIF HOSSAIN</t>
  </si>
  <si>
    <t>A00387</t>
  </si>
  <si>
    <t>Brokerage Commission</t>
  </si>
  <si>
    <t>Payable to Broker</t>
  </si>
  <si>
    <t>MD. JAHANGIR ALAM</t>
  </si>
  <si>
    <t>BISWAS ARIFUR RAHMAN</t>
  </si>
  <si>
    <t>JEWEL SAHA</t>
  </si>
  <si>
    <t>SHIBBIR AHMED</t>
  </si>
  <si>
    <t>SHYAMAL KRISHNA SAHA</t>
  </si>
  <si>
    <t>NASRIN AKHTER</t>
  </si>
  <si>
    <t>MRINMOY GHOSH</t>
  </si>
  <si>
    <t>MOHAMMAD NAZMUL HOSSAIN</t>
  </si>
  <si>
    <t>ABDUL HAI BHUYAN</t>
  </si>
  <si>
    <t>ALI IMAM</t>
  </si>
  <si>
    <t>UCIL EMPLOYEES' PROVIDENT FUND</t>
  </si>
  <si>
    <t>MD. ZAKIR HOSSEN</t>
  </si>
  <si>
    <t>MRIDUL KUMAR DEY</t>
  </si>
  <si>
    <t>MAMUNUR RASHID</t>
  </si>
  <si>
    <t>MINHAJ UDDIN</t>
  </si>
  <si>
    <t>CRAB EMPLOYEES PROVIDENT FUND</t>
  </si>
  <si>
    <t>CRAB EMPLOYEES GRATUITY FUND</t>
  </si>
  <si>
    <t>MD. BADI-UZ-ZAMAN</t>
  </si>
  <si>
    <t>FAHMIDA HAQUE</t>
  </si>
  <si>
    <t>NUR HAIDAR SARKER</t>
  </si>
  <si>
    <t>UNICAP SECURITIES LIMITED</t>
  </si>
  <si>
    <t>ICB ASSET MANAGEMENT COMPANY LIMITED</t>
  </si>
  <si>
    <t>TANVIR AHMED SIDDIQUI</t>
  </si>
  <si>
    <t>MOHAMMED SELIM</t>
  </si>
  <si>
    <t>MD. MOMINUL HOQUE</t>
  </si>
  <si>
    <t>EHTESHAMUL HAQUE</t>
  </si>
  <si>
    <t>SAYEDA SALAHUDDIN</t>
  </si>
  <si>
    <t>SHAILA SALAHUDDIN</t>
  </si>
  <si>
    <t>M. AMIRULLAH</t>
  </si>
  <si>
    <t>MONIR AHMED</t>
  </si>
  <si>
    <t>MD. SHIFUL ISLAM</t>
  </si>
  <si>
    <t>RAJIB ROY</t>
  </si>
  <si>
    <t>ASIAN TIGER SANDHANI LIFE GROWTH FUND</t>
  </si>
  <si>
    <t>M A QUAYOOM</t>
  </si>
  <si>
    <t>AROORA SAMEERA CHOWDHURY</t>
  </si>
  <si>
    <t>ABACI INVESTMENTS LIMITED</t>
  </si>
  <si>
    <t>MD. SAJEDUL HUDA NOVEL</t>
  </si>
  <si>
    <t>CAPITEC POPULAR LIFE UNIT FUND</t>
  </si>
  <si>
    <t>FARDINA HAFIZ</t>
  </si>
  <si>
    <t>SHUVA SAHA</t>
  </si>
  <si>
    <t>KAZI AHSAN MARUF</t>
  </si>
  <si>
    <t>MD. OMAR FARUQUE Al QUADERI</t>
  </si>
  <si>
    <t>H M JAHID HASSAN</t>
  </si>
  <si>
    <t>SYED FAZLE RABBY</t>
  </si>
  <si>
    <t>KANKA SAHA</t>
  </si>
  <si>
    <t>MD EMDAD HOSSAIN</t>
  </si>
  <si>
    <t>ASIF AHMED</t>
  </si>
  <si>
    <t>REAZ UDDIN AHMED</t>
  </si>
  <si>
    <t>SUJAN BARUA</t>
  </si>
  <si>
    <t>SANJEEDA SARMIN BADHAN</t>
  </si>
  <si>
    <t>UNICAP INVESTMENTS LIMITED</t>
  </si>
  <si>
    <t>MD. GIAS UDDIN</t>
  </si>
  <si>
    <t>MD. SHAIFUL AZAM</t>
  </si>
  <si>
    <t>BILKISS ARA</t>
  </si>
  <si>
    <t>RELIANCE INSURANCE lIMITED</t>
  </si>
  <si>
    <t>JHARNA RANI SAHA</t>
  </si>
  <si>
    <t>RABEYA JAHAN SOAD</t>
  </si>
  <si>
    <t>SAKIN AMIN KHAN</t>
  </si>
  <si>
    <t>MD. KAMRUZZAMAN</t>
  </si>
  <si>
    <t>LILY RANI PAUL</t>
  </si>
  <si>
    <t>IFTEKHAR ALAM</t>
  </si>
  <si>
    <t>MOHAMMAD SHAHJAHAN</t>
  </si>
  <si>
    <t>KHAN SALAHUDDIN MOHAMMAD MINHAJ</t>
  </si>
  <si>
    <t>NARGISH JAHAN</t>
  </si>
  <si>
    <t>FAKARUDDIN ALI AHMED</t>
  </si>
  <si>
    <t>NANDINI SAHA</t>
  </si>
  <si>
    <t>SHANJIDA SULTANA</t>
  </si>
  <si>
    <t>ARIFUR RAHMAN</t>
  </si>
  <si>
    <t>AKASH DEEP PAUL</t>
  </si>
  <si>
    <t>MUQIT-AL RAHMAN</t>
  </si>
  <si>
    <t>YASIR MD FAZLE AMIN</t>
  </si>
  <si>
    <t>MD. SAIFUR RAHMAN</t>
  </si>
  <si>
    <t>MD. EMDAD HOSSAIN</t>
  </si>
  <si>
    <t>SHAHIDA NAHRIN BUBLY</t>
  </si>
  <si>
    <t>MD. ZAHID HOSSAIN</t>
  </si>
  <si>
    <t>RAFIKUL HASAN</t>
  </si>
  <si>
    <t>ABDULLAH AL MAMUN</t>
  </si>
  <si>
    <t>ARZUN KUMAR SARKAR</t>
  </si>
  <si>
    <t>MOHAMMED ALI XAHANGIR</t>
  </si>
  <si>
    <t>FAHMIDA KHAN</t>
  </si>
  <si>
    <t>ARKO SAHA</t>
  </si>
  <si>
    <t>HARUN IBNE HOQUE</t>
  </si>
  <si>
    <t>MOHAMMAD MOHIBUL ISLAM</t>
  </si>
  <si>
    <t>RAJIB CHOWDHURY</t>
  </si>
  <si>
    <t>ASMA UL HUSNA</t>
  </si>
  <si>
    <t>MOHAMMAD JASIM UDDIN</t>
  </si>
  <si>
    <t>SULTANA AFCHANA AFRIN</t>
  </si>
  <si>
    <t>MD MINHAZUL AZIZ</t>
  </si>
  <si>
    <t>MOHAMMAD NASIR HOSSAIN</t>
  </si>
  <si>
    <t>MUHAMMAD TAREQ YUSUF</t>
  </si>
  <si>
    <t>ASHUTOSH TALUKDER</t>
  </si>
  <si>
    <t>MD. TAREQ IBRAHIM</t>
  </si>
  <si>
    <t>CWT EMERGING BD FIRST GROWTH FUND</t>
  </si>
  <si>
    <t>LITON KUMAR BANIK</t>
  </si>
  <si>
    <t>ASHISH KUMAR GHOSH</t>
  </si>
  <si>
    <t>SATINATH GHOSH</t>
  </si>
  <si>
    <t>JANATA BANK LIMITED</t>
  </si>
  <si>
    <t>ANISUL HAQUE</t>
  </si>
  <si>
    <t>EDGE BANGLADESH MUTUAL FUND</t>
  </si>
  <si>
    <t>EDGE AMC GROWTH FUND</t>
  </si>
  <si>
    <t>SHAHRIN ANWAR</t>
  </si>
  <si>
    <t>RAFIQUL ANOWAR</t>
  </si>
  <si>
    <t>AMIT KANTI SARKER</t>
  </si>
  <si>
    <t>ABU NAYEEM MOHAMMAD MAHFUZ</t>
  </si>
  <si>
    <t>MUMINUL ALAM</t>
  </si>
  <si>
    <t>MOHAMMAD ALAUDDIN</t>
  </si>
  <si>
    <t>ISTIAK AHMED PROBAL</t>
  </si>
  <si>
    <t>MD MAHDI HASAN</t>
  </si>
  <si>
    <t>MD TOFIQUL ISLAM CHOWDHURY</t>
  </si>
  <si>
    <t>SUMAN KUMAR KUNDU</t>
  </si>
  <si>
    <t>REAZUL HAQUE</t>
  </si>
  <si>
    <t>TRIPTI BARUA</t>
  </si>
  <si>
    <t>AL MAMUN</t>
  </si>
  <si>
    <t>MOHAMMAD ABDUL HANNAN</t>
  </si>
  <si>
    <t>PHOENIX FINANCE &amp; INVESTMENTS LTD</t>
  </si>
  <si>
    <t>MADHURI KUNDU</t>
  </si>
  <si>
    <t>EVANA YEASMIN</t>
  </si>
  <si>
    <t>FAHIM AHASAN CHOUDHURY</t>
  </si>
  <si>
    <t>SHAHARIAR ALAM</t>
  </si>
  <si>
    <t>MANABENDRA KUMAR DAS</t>
  </si>
  <si>
    <t>KHANDAKER MAHAMADUR AZAD</t>
  </si>
  <si>
    <t>FAZLE RABBI PATHAN</t>
  </si>
  <si>
    <t>SABRIA ISLAM TALUKDER</t>
  </si>
  <si>
    <t>KABIR AHMED TALUKDER</t>
  </si>
  <si>
    <t>MOHAMMAD ENAMUR RAHMAN</t>
  </si>
  <si>
    <t>RAIHAN RASHID MAJUMDAR</t>
  </si>
  <si>
    <t>RABITA RASHID MAJUMDER</t>
  </si>
  <si>
    <t>REZWAN UR RASHID MAJUMDAR</t>
  </si>
  <si>
    <t>KAZI MD. ANISUR RAHMAN</t>
  </si>
  <si>
    <t>FARUK-E AZAM bIN HAIDER</t>
  </si>
  <si>
    <t>LUNA AKTHER</t>
  </si>
  <si>
    <t>SAJJAD CHOWDHURY</t>
  </si>
  <si>
    <t>MOHAMMAD DELOWAR HOSSAIN MRIDHA</t>
  </si>
  <si>
    <t>REZAUR RAHMAN</t>
  </si>
  <si>
    <t>A00388</t>
  </si>
  <si>
    <t>FOUZIA RAHMAN</t>
  </si>
  <si>
    <t>A00389</t>
  </si>
  <si>
    <t>SABBIR AHMED HEMO</t>
  </si>
  <si>
    <t>A00390</t>
  </si>
  <si>
    <t>SHAIKH MD. ABU HASAN</t>
  </si>
  <si>
    <t>A00391</t>
  </si>
  <si>
    <t>EKUSH WEALTH MANAGEMENT LIMITED EMPLOYEES CONTRIBUTORY PROVIDENT FUND</t>
  </si>
  <si>
    <t>A00392</t>
  </si>
  <si>
    <t>MD. MUKIT MURSHED</t>
  </si>
  <si>
    <t>A00393</t>
  </si>
  <si>
    <t>MD. WABAIDULLAH RAHAMAN</t>
  </si>
  <si>
    <t>A00394</t>
  </si>
  <si>
    <t>B. M. ASIFUR RAHMAN FARHAD</t>
  </si>
  <si>
    <t>A00395</t>
  </si>
  <si>
    <t>C</t>
  </si>
  <si>
    <t>Unit Premium Reserve</t>
  </si>
  <si>
    <t>Trade of Securities in UNICAP Securities Limited</t>
  </si>
  <si>
    <t>Bank Charges</t>
  </si>
  <si>
    <t>Unit Surrender - LUMPSUM</t>
  </si>
  <si>
    <t>Accrued Interest Income</t>
  </si>
  <si>
    <t>Payment to UNICAP Securities for Trade</t>
  </si>
  <si>
    <t>Fair Value Adjustment to Reach Investment at Market Price</t>
  </si>
  <si>
    <t xml:space="preserve"> </t>
  </si>
  <si>
    <t xml:space="preserve">Weekly charge of preliminary &amp; issue expense </t>
  </si>
  <si>
    <t>Weekly charge of management fee</t>
  </si>
  <si>
    <t>Weekly charge of trustee fee</t>
  </si>
  <si>
    <t>Unrealized Loss on Securities</t>
  </si>
  <si>
    <t>Fair Value Adjustment</t>
  </si>
  <si>
    <t>MD. ABDUL KARIM</t>
  </si>
  <si>
    <t>Trade of Securities in CITY BROKERAGE Limited</t>
  </si>
  <si>
    <t>Payment to CITY BROKERAGE for Trade</t>
  </si>
  <si>
    <t>PAYMENT TO DSE FOR ESS REGISTRATION</t>
  </si>
  <si>
    <t>Trade of Securities in UCB STOCK BROKERAGE Limited</t>
  </si>
  <si>
    <t>Payment to CITY BROKERAGE LIMITED for Trade</t>
  </si>
  <si>
    <t>Payment to UCB STOCK BROKERAGE Limited for Trade</t>
  </si>
  <si>
    <t>Unit Subscription - SIP</t>
  </si>
  <si>
    <t>Fixed Deposit Receipts (FDR) with IDLC Finance Limited</t>
  </si>
  <si>
    <t>Dividend Receivable from Grameenphone Limited</t>
  </si>
  <si>
    <t>Trade of Securities at UNICAP Securities Limited</t>
  </si>
  <si>
    <t>Trade of Securities at CITY Brokerage Limited</t>
  </si>
  <si>
    <t>Payment to Unicap Securities Limited for Trade</t>
  </si>
  <si>
    <t>Fixed Deposit Receipts (FDR) with IPDC FINANCE LIMITED</t>
  </si>
  <si>
    <t>Fixed Deposit Receipts (FDR) with DBH</t>
  </si>
  <si>
    <t>Dividend Receivable from BATBC</t>
  </si>
  <si>
    <t>Payment of Preliminary expense from the fund</t>
  </si>
  <si>
    <t>Payment to Telnet Communication</t>
  </si>
  <si>
    <t>A00400</t>
  </si>
  <si>
    <t>MOHAMMAD IQBAL REZWAN</t>
  </si>
  <si>
    <t>AMARSTOCK LTD. EMP. PF.</t>
  </si>
  <si>
    <t>MD. NIZAM UDDIN</t>
  </si>
  <si>
    <t>FAHMIDA SHARMIN NOWRIN</t>
  </si>
  <si>
    <t>A00396</t>
  </si>
  <si>
    <t>A00397</t>
  </si>
  <si>
    <t>A00398</t>
  </si>
  <si>
    <t>MOHAMMAD GULAM KIBRIAH</t>
  </si>
  <si>
    <t>A00399</t>
  </si>
  <si>
    <t>MUTUAL TRUST BANK LIMITED</t>
  </si>
  <si>
    <t>SAJAL KANTI HOWLADER</t>
  </si>
  <si>
    <t>A00401</t>
  </si>
  <si>
    <t>TOFIQ AHAMED</t>
  </si>
  <si>
    <t>A00402</t>
  </si>
  <si>
    <t>MIR ARIFUL ISLAM</t>
  </si>
  <si>
    <t>A00403</t>
  </si>
  <si>
    <t>Dividend Receivable from BERGER</t>
  </si>
  <si>
    <t>Dividend Received from BERGER</t>
  </si>
  <si>
    <t>EGF BO Account Maintenance Fee</t>
  </si>
  <si>
    <t>CDBL Charges - EGF - FEB 2022</t>
  </si>
  <si>
    <t>Sale proceed received from UNICAP Securities Limited</t>
  </si>
  <si>
    <t>CDBL Charges - EGF INITIAL UNITS TRANSFER</t>
  </si>
  <si>
    <t>IPO Application of STAR ADHESIVES LIMITED</t>
  </si>
  <si>
    <t>Dividend Receivable from BRACBANK</t>
  </si>
  <si>
    <t>Sale proceed received from City Brokerage Limited</t>
  </si>
  <si>
    <t>Allotment of STAR ADHESIVES LIMITED</t>
  </si>
  <si>
    <t>IDLC</t>
  </si>
  <si>
    <t>IPDC</t>
  </si>
  <si>
    <t>Monthly Interest</t>
  </si>
  <si>
    <t>Total Interest</t>
  </si>
  <si>
    <t>Today</t>
  </si>
  <si>
    <t>Accrued</t>
  </si>
  <si>
    <t>Entried</t>
  </si>
  <si>
    <t>Interest Income from FDR is being Accrued</t>
  </si>
  <si>
    <t>Payment to Financial Express</t>
  </si>
  <si>
    <t>Dividend Receivable from IDLC</t>
  </si>
  <si>
    <t>Dividend Received from BATBC</t>
  </si>
  <si>
    <t>MD. NASIR UDDIN ROBIN</t>
  </si>
  <si>
    <t>MERINA TABASSUM AND MD. MONIRUL ISLAM</t>
  </si>
  <si>
    <t>MOHAMMAD ASRARUL HAQUE</t>
  </si>
  <si>
    <t>A00404</t>
  </si>
  <si>
    <t>SHAHINOOR KHANUM</t>
  </si>
  <si>
    <t>A00405</t>
  </si>
  <si>
    <t>SAYDA SULTANA</t>
  </si>
  <si>
    <t>A00406</t>
  </si>
  <si>
    <t>A00407</t>
  </si>
  <si>
    <t>MD. TAZUL ISLAM</t>
  </si>
  <si>
    <t>A00408</t>
  </si>
  <si>
    <t>A00409</t>
  </si>
  <si>
    <t>MD. RAKEBUL ISLAM</t>
  </si>
  <si>
    <t>A00410</t>
  </si>
  <si>
    <t>Dividend Received from GP</t>
  </si>
  <si>
    <t>CDBL Charges</t>
  </si>
  <si>
    <t>MD. ABDUL MOTALEB</t>
  </si>
  <si>
    <t>A00411</t>
  </si>
  <si>
    <t>MD. BABUL MIAH</t>
  </si>
  <si>
    <t>A00412</t>
  </si>
  <si>
    <t>ARCHONA SAHA</t>
  </si>
  <si>
    <t>A00413</t>
  </si>
  <si>
    <t>TOWHIDUR RAHMAN CHOWDHURY</t>
  </si>
  <si>
    <t>A00414</t>
  </si>
  <si>
    <t>SYED SADEK HUSSAIN</t>
  </si>
  <si>
    <t>A00415</t>
  </si>
  <si>
    <t>Sale proceed received from The City Brokerage Limited</t>
  </si>
  <si>
    <t>Payment made to UNICAP Securities Limited</t>
  </si>
  <si>
    <t>CDBL Charges - EGF - APR 2022</t>
  </si>
  <si>
    <t>Dividend Received from IDLC</t>
  </si>
  <si>
    <t>Dividend Receivable from EBL</t>
  </si>
  <si>
    <t>Dividend Received from EBL</t>
  </si>
  <si>
    <t>NATEQ BE NAZIR IBN MINAR</t>
  </si>
  <si>
    <t>A00416</t>
  </si>
  <si>
    <t>IPO Application of MEGHNA INSURANCE COMPANY LIMITED</t>
  </si>
  <si>
    <t>IPO Allotment of MEGHNA INSURANCE COMPANY LIMITED</t>
  </si>
  <si>
    <t>IPO Application of BD Paints Limited</t>
  </si>
  <si>
    <t>Dividend Received from BRACBANK</t>
  </si>
  <si>
    <t>NANDA DULAL SAHA</t>
  </si>
  <si>
    <t>A00417</t>
  </si>
  <si>
    <t>MD. SOHEL ANWAR</t>
  </si>
  <si>
    <t>A00418</t>
  </si>
  <si>
    <t>MAZED AHMED ABDULLAH</t>
  </si>
  <si>
    <t>A00419</t>
  </si>
  <si>
    <t>IPO Allotment of BD PAINTS LIMITED</t>
  </si>
  <si>
    <t>IPO Application of Achia Sea Foods Limited</t>
  </si>
  <si>
    <t>MAISHA MUSSARRAT</t>
  </si>
  <si>
    <t>A00420</t>
  </si>
  <si>
    <t>MD MOHSINUR RAHMAN</t>
  </si>
  <si>
    <t>A00421</t>
  </si>
  <si>
    <t>Payment of ANNUAL BSEC FEE</t>
  </si>
  <si>
    <t>SIDDHARTHA SANKAR MALLICK</t>
  </si>
  <si>
    <t>A00422</t>
  </si>
  <si>
    <t>MYAT MOE KHAING</t>
  </si>
  <si>
    <t>A00423</t>
  </si>
  <si>
    <t>SRIJON GHOSH</t>
  </si>
  <si>
    <t>A00424</t>
  </si>
  <si>
    <t>MD. A. RAZZAK</t>
  </si>
  <si>
    <t>A00425</t>
  </si>
  <si>
    <t>TAMRIN AL DEEN</t>
  </si>
  <si>
    <t>A00426</t>
  </si>
  <si>
    <t>ROKSABA KASEM</t>
  </si>
  <si>
    <t>A00427</t>
  </si>
  <si>
    <t>NASRIN AHMED HELA</t>
  </si>
  <si>
    <t>A00428</t>
  </si>
  <si>
    <t>KALLANI ISLAM</t>
  </si>
  <si>
    <t>A00429</t>
  </si>
  <si>
    <t>Interest Income from Bank Balances</t>
  </si>
  <si>
    <t>Source Taxes and Excise Duties</t>
  </si>
  <si>
    <t>Dividend Receivable from MARICO Bangladesh Limited</t>
  </si>
  <si>
    <t>PAID</t>
  </si>
  <si>
    <t>Interest Income Received in Cash from IPDC</t>
  </si>
  <si>
    <t>Fixed Deposit Receipts (FDR) are renewed with IDLC Finance Limited</t>
  </si>
  <si>
    <t>Interest Income Received in Cash from IPDC and FDR is withdrawan</t>
  </si>
  <si>
    <t>Interest Income Received in Cash from IDLC and FDR is withdrawan</t>
  </si>
  <si>
    <t>Fixed Deposit Receipts (FDR) are renewed with IPDC Finance Limited</t>
  </si>
  <si>
    <t>Allocation of Achia Sea Foods Limited</t>
  </si>
  <si>
    <t>IPO Application of NAVANA Pharmaceuticals Limited</t>
  </si>
  <si>
    <t>BO renewal fee….custodian</t>
  </si>
  <si>
    <t>Half Yearly Ac Mnt Fee from - Jan to Jun of 2022</t>
  </si>
  <si>
    <t>VAT on Half Yearly Ac Mnt Fee from - Jan to Jun of 2022</t>
  </si>
  <si>
    <t>Allocation of NAVANA Pharmaceuticals Limited</t>
  </si>
  <si>
    <t>Trade of Securities at Sheltech Brokerage Limited</t>
  </si>
  <si>
    <t>Bank Charges for Transfer certificate and statement issuing charge</t>
  </si>
  <si>
    <t>Dividend Received from MARICO Bangladesh Limited</t>
  </si>
  <si>
    <t>Trade (B) of Securities at Sheltech Brokerage Limited</t>
  </si>
  <si>
    <t>Sale proceed received from Sheltech Brokerage Limited</t>
  </si>
  <si>
    <t>Buy proceed paid to Sheltech Brokerage Limited</t>
  </si>
  <si>
    <t>Trade (B,S) of Securities at Sheltech Brokerage Limited</t>
  </si>
  <si>
    <t>MD SHAHADAT HOSSAIN</t>
  </si>
  <si>
    <t>A00431</t>
  </si>
  <si>
    <t>AHMED ASIF</t>
  </si>
  <si>
    <t>A00432</t>
  </si>
  <si>
    <t>AHMED FARUK</t>
  </si>
  <si>
    <t>A00433</t>
  </si>
  <si>
    <t>SYED AHMAD</t>
  </si>
  <si>
    <t>A00434</t>
  </si>
  <si>
    <t>ISHRAT NUR</t>
  </si>
  <si>
    <t>A00435</t>
  </si>
  <si>
    <t>SADIA SYED TAHIA</t>
  </si>
  <si>
    <t>A00436</t>
  </si>
  <si>
    <t>MD. RIFAT MUNJUR SUNNY</t>
  </si>
  <si>
    <t>A00437</t>
  </si>
  <si>
    <t>SANDHANI ASSET MANAGEMENT LIMITED</t>
  </si>
  <si>
    <t>A00438</t>
  </si>
  <si>
    <t>MD. MOSTAFIJUR RAHMAN</t>
  </si>
  <si>
    <t>A00430</t>
  </si>
  <si>
    <t>Bank Charges - Charge RTGS Charge A00191 L</t>
  </si>
  <si>
    <t>FDR Interest Received - DBH 71010111044</t>
  </si>
  <si>
    <t>FDR Interest Received - DBH 71010111045</t>
  </si>
  <si>
    <t>IPO Application of ICB AMCL CMSF Golden Jubilee Mutual Fund (GLDNJMF)</t>
  </si>
  <si>
    <t>CDBL Charges for July 2022</t>
  </si>
  <si>
    <t>Investment in Sandhani AML SLIC Fixed Income Fund</t>
  </si>
  <si>
    <t>Interest Income from FDR is being Accrued - DBH Finance Limited</t>
  </si>
  <si>
    <t xml:space="preserve">Interest Income from FDR is being Accrued - IPDC Finance Limited </t>
  </si>
  <si>
    <t>Interest Income from FDR is being Accrued - IDLC Finance Limited</t>
  </si>
  <si>
    <t>dividend receivable from MARICO - Interim Dividend - ended June 30, 2022</t>
  </si>
  <si>
    <t>Dividend Received from MARICO BANGLADESH - Year ended March 31, 2022</t>
  </si>
  <si>
    <t xml:space="preserve">Interest Income from FDR - IPDC Finance Limited </t>
  </si>
  <si>
    <t>IPO Allotment of ICB AMCL CMSF Golden Jubilee Mutual Fund (GLDNJMF)</t>
  </si>
  <si>
    <t>Trade (S) of Unicap Securities Limited</t>
  </si>
  <si>
    <t>Payment to Telnet Communication - August 2022</t>
  </si>
  <si>
    <t>Sale proceed received from Unicap Securities Limited</t>
  </si>
  <si>
    <t>Custodian Fee - January to June 2022</t>
  </si>
  <si>
    <t>CDBL Charges for August 2022</t>
  </si>
  <si>
    <t>Dividend Received from MARICO - Interim Dividend - ended June 30, 2022</t>
  </si>
  <si>
    <t>Buy proceed paid to Unicap Securities Limited</t>
  </si>
  <si>
    <t>Trade (B) of Securities at Unicap Securities Limited</t>
  </si>
  <si>
    <t>Unit Surrender - SIP</t>
  </si>
  <si>
    <t>IPO Application of Chatered Life Insurance Company Ltd (CLICL)</t>
  </si>
  <si>
    <t>Dividend Receivable from IBNSINA - Year ended June 30, 2022</t>
  </si>
  <si>
    <t>Management fee Paid - February 3 to August 2</t>
  </si>
  <si>
    <t>IPO Application of Asiatic Laboratories Limited (ASIATICLAB)</t>
  </si>
  <si>
    <t>IPO Allotment of Chatered Life Insurance Company Ltd (CLICL)</t>
  </si>
  <si>
    <t>Payment to Telnet Communication - September 2022</t>
  </si>
  <si>
    <t>CDBL Charges for September 2022</t>
  </si>
  <si>
    <t>Accrued Trustee Fee Paid - Feb 2 to june 30</t>
  </si>
  <si>
    <t>Bank Charges - Charge RTGS Fund Withdraw- L A00183</t>
  </si>
  <si>
    <t>Dividend Receivable from BSCCL - Year ended June 30, 2022</t>
  </si>
  <si>
    <t>CDBL Charges for October 2022</t>
  </si>
  <si>
    <t>Payment to Telnet Communication - October 2022</t>
  </si>
  <si>
    <t>Dividend Receivable from RENATA - Year ended June 30, 2022</t>
  </si>
  <si>
    <t>Unit Subscription - LUMPSUMP</t>
  </si>
  <si>
    <t>Bank Charges - Charge BACH Clearing Charge &amp; Vat</t>
  </si>
  <si>
    <t>Dividend Receivable from BATBC - period ended September 30, 2022</t>
  </si>
  <si>
    <t>IPO Application of Islami Commercial Insurance Company Ltd. (ICICL)</t>
  </si>
  <si>
    <t>Dividend Received from IBNSINA - Year ended June 30, 2022</t>
  </si>
  <si>
    <t xml:space="preserve">Bank Charges - Charge BACH Clearing Charge &amp; Vat </t>
  </si>
  <si>
    <t>A00443</t>
  </si>
  <si>
    <t>A00439</t>
  </si>
  <si>
    <t>A00440</t>
  </si>
  <si>
    <t>A00441</t>
  </si>
  <si>
    <t>A00442</t>
  </si>
  <si>
    <t>RASHEDUL ISLAM</t>
  </si>
  <si>
    <t>NUSRAT JAHAN TISHA</t>
  </si>
  <si>
    <t>SAIKAT DAS SHANTO</t>
  </si>
  <si>
    <t>KHAN MUHAMMAD FAISOL</t>
  </si>
  <si>
    <t>TAPASH KUMAR PAUL</t>
  </si>
  <si>
    <t>Dividend Receivable from SQURPHARMA - Year ended June 30, 2022</t>
  </si>
  <si>
    <t>FDR Renew with IDLC</t>
  </si>
  <si>
    <t>FDR Encash - IDLC (10252255339824)</t>
  </si>
  <si>
    <t>FDR Encash - IDLC (10252255339823)</t>
  </si>
  <si>
    <t>FDR Encash - IDLC (10252255339818)</t>
  </si>
  <si>
    <t>FDR Encash - IDLC (10252255339819)</t>
  </si>
  <si>
    <t>IPO Allotment of Islami Commercial Insurance Company Ltd. (ICICL)</t>
  </si>
  <si>
    <t>Trade (B) of Securities at UCB Stock Brokerage Limited.</t>
  </si>
  <si>
    <t>Buy proceed paid to UCB Stock Brokerage Limited.</t>
  </si>
  <si>
    <t>FDR Encash - IPDC (100125-1000028612)</t>
  </si>
  <si>
    <t>FDR Encash - IPDC (100125-1000028613)</t>
  </si>
  <si>
    <t>FDR Encash - IPDC (100125-1000028614)</t>
  </si>
  <si>
    <t>FDR Encash - IPDC (100125-1000028616)</t>
  </si>
  <si>
    <t>Interest Income Received in Cash from IPDC (100125-1000028615)</t>
  </si>
  <si>
    <t>Interest Income Received in Cash from IPDC (100125-1000028617)</t>
  </si>
  <si>
    <t>FDR Renew with IPDC 
(100125-1000028615)</t>
  </si>
  <si>
    <t>FDR Renew with IPDC 
(100125-1000028617)</t>
  </si>
  <si>
    <t>FDR Renew with IDLC
(10252255339814)</t>
  </si>
  <si>
    <t>FDR Renew with IDLC
(10252255339815)</t>
  </si>
  <si>
    <t>FDR Renew with IDLC
(10252255339816)</t>
  </si>
  <si>
    <t>FDR Renew with IDLC
(10252255339817)</t>
  </si>
  <si>
    <t>FDR Renew with IDLC
(10252255339820)</t>
  </si>
  <si>
    <t>FDR Renew with IDLC
(10252255339821)</t>
  </si>
  <si>
    <t>FDR Renew with IDLC
(10252255339822)</t>
  </si>
  <si>
    <t>FDR Renew with DBH
(710001106356)</t>
  </si>
  <si>
    <t>FDR Renew with DBH 
(710001106357)</t>
  </si>
  <si>
    <t>Interest Income Received in Cash from DBH
(710001106356)</t>
  </si>
  <si>
    <t>Interest Income Received in Cash from DBH
(710001106357)</t>
  </si>
  <si>
    <t>Dividend Received from BATBC - period ended September 30, 2022</t>
  </si>
  <si>
    <t>CDBL Charges for November 2022</t>
  </si>
  <si>
    <t xml:space="preserve">Interest Income from FDR is being Accrued - IDLC Finance Limited </t>
  </si>
  <si>
    <t>Bank Charges - RTGS Charge Fund Withdraw</t>
  </si>
  <si>
    <t>Payment to Telnet Communication - November 2022</t>
  </si>
  <si>
    <t>Management fee Paid - August 3 to November 2</t>
  </si>
  <si>
    <t>Fixed Deposit Receipt (FDR) with DBH Finance
(710001111346)</t>
  </si>
  <si>
    <t>91-Day Treasury Bill Purchase</t>
  </si>
  <si>
    <t>Dividend Received from BSCCL - Year ended June 30, 2022</t>
  </si>
  <si>
    <t>Interest Income from FDR is being Accrued - BD Finance Limited</t>
  </si>
  <si>
    <t>For the period from January 1 to December 31, 2022</t>
  </si>
  <si>
    <t>For the period of January 1 to December 31, 2022</t>
  </si>
  <si>
    <t>January 01 to December 31, 2022</t>
  </si>
  <si>
    <t>For the period from January 01 to December 31, 2022</t>
  </si>
  <si>
    <t>Interest Income - Bank</t>
  </si>
  <si>
    <t>Head of Compliance</t>
  </si>
  <si>
    <t>Ekush Wealth Management Limited</t>
  </si>
  <si>
    <t>Trustee</t>
  </si>
  <si>
    <t>Shandhani Life Insurance Company Limited</t>
  </si>
  <si>
    <t xml:space="preserve"> These financial statement should be read in conjunction with annexed notes. </t>
  </si>
  <si>
    <t>EKUSH GROWTH FUND</t>
  </si>
  <si>
    <t>BS</t>
  </si>
  <si>
    <t>Difference</t>
  </si>
  <si>
    <t>Audit Fee Payable</t>
  </si>
  <si>
    <t>Bank Charges RTGS Charge</t>
  </si>
  <si>
    <t>Trade (B,S) of Securities at Unicap Securities Limited</t>
  </si>
  <si>
    <t>Dividend Received from RENATA - Year ended June 30, 2022</t>
  </si>
  <si>
    <t>Dividend Received from SQURPHARMA - Year ended June 30, 2022</t>
  </si>
  <si>
    <t>CDBL Charges for December 2022</t>
  </si>
  <si>
    <t>Payment to Telnet Communication - December 2022</t>
  </si>
  <si>
    <t xml:space="preserve">Bank Charges Cheque Book Issue </t>
  </si>
  <si>
    <t>Bank Charges Statement Charge - BRAC</t>
  </si>
  <si>
    <t>Audit Payment for year ended 31 December 2022</t>
  </si>
  <si>
    <t>CDBL Charges for January 2022</t>
  </si>
  <si>
    <t>IPO Application of Midland Bank Limited (MIDLANDBNK)</t>
  </si>
  <si>
    <t>RITA RANI GHOSH</t>
  </si>
  <si>
    <t>A00444</t>
  </si>
  <si>
    <t>FAHMIDA SAEED SAKI</t>
  </si>
  <si>
    <t>A00445</t>
  </si>
  <si>
    <t>MD. MAHMUDUL KABIR</t>
  </si>
  <si>
    <t>A00446</t>
  </si>
  <si>
    <t>MOHAMMAD PARVEZ RANA</t>
  </si>
  <si>
    <t>A00447</t>
  </si>
  <si>
    <t>RABIA AFROZA</t>
  </si>
  <si>
    <t>A00448</t>
  </si>
  <si>
    <t>A00449</t>
  </si>
  <si>
    <t>REKHA PARVIN</t>
  </si>
  <si>
    <t>A00450</t>
  </si>
  <si>
    <t>MD. IFTEKHARUL ISLAM BHUIYAN</t>
  </si>
  <si>
    <t>A00451</t>
  </si>
  <si>
    <t>ROYAL CAPITAL LIMITED</t>
  </si>
  <si>
    <t>A00452</t>
  </si>
  <si>
    <t>MD JAMAL HOSSAIN</t>
  </si>
  <si>
    <t>A00453</t>
  </si>
  <si>
    <t>MOHAMMAD HASAN SHAHRIAR MASUD</t>
  </si>
  <si>
    <t>A00454</t>
  </si>
  <si>
    <t>TAPATI RANI DAS</t>
  </si>
  <si>
    <t>A00455</t>
  </si>
  <si>
    <t>A00456</t>
  </si>
  <si>
    <t>AMARSTOCK LIMITED</t>
  </si>
  <si>
    <t>A00457</t>
  </si>
  <si>
    <t>MOHAMMAD ISMAIL</t>
  </si>
  <si>
    <t>A00458</t>
  </si>
  <si>
    <t>DHAKA IMPERIAL COLLEGE EMPLOYEES PROVIDENT FUND</t>
  </si>
  <si>
    <t>A00459</t>
  </si>
  <si>
    <t>MOIN UDDIN SIDDIQUE</t>
  </si>
  <si>
    <t>A00460</t>
  </si>
  <si>
    <t>A00461</t>
  </si>
  <si>
    <t>MALLIKA BISWAS</t>
  </si>
  <si>
    <t>A00462</t>
  </si>
  <si>
    <t>DHAKA IMPERIAL COLLEGE TEACHERS STAFF MULTIPURPOSE CO-OPERATIVE SOCIETY LTD.</t>
  </si>
  <si>
    <t>Dividend Receivable from GP - Year 2022</t>
  </si>
  <si>
    <t>Dividend Receivable from BATBC - year ended December 31, 2022</t>
  </si>
  <si>
    <t>Fixed Deposit Receipt (FDR) with IDLC
(10552255339812)</t>
  </si>
  <si>
    <t>Fixed Deposit Receipt (FDR) with BD Finance
(0006-22000000305, 0006-22000000306)</t>
  </si>
  <si>
    <t>Payment to Telnet Communication - February 2023</t>
  </si>
  <si>
    <t>Payment to Telnet Communication - January 2023</t>
  </si>
  <si>
    <t>FDR Renew with IPDC
(100125-1000028615)</t>
  </si>
  <si>
    <t>FDR Renew with IPDC
(100125-1000028617)</t>
  </si>
  <si>
    <t>CDBL Charges for February 2022</t>
  </si>
  <si>
    <t>KHAN MUHAMMAD KAWSER AHMED</t>
  </si>
  <si>
    <t>FDR Renew with DBH
(710001111346)</t>
  </si>
  <si>
    <t>91-Day Treasury Bill Matured</t>
  </si>
  <si>
    <t>IPO Allotment of Midland Bank Limited (MIDLANDBNK)</t>
  </si>
  <si>
    <t>FDR Renew with IDLC
(10552255339810)</t>
  </si>
  <si>
    <t>FDR Renew with IDLC
(10552255339811)</t>
  </si>
  <si>
    <t>FDR Encash - IDLC (10552255339812)</t>
  </si>
  <si>
    <t>0001-1060000119</t>
  </si>
  <si>
    <t>0001-1090000974</t>
  </si>
  <si>
    <t>As on March 31, 2022</t>
  </si>
  <si>
    <t>Receivable from FDR</t>
  </si>
  <si>
    <t>FDR Encash - BD Finance</t>
  </si>
  <si>
    <t>Interest Income from 91 Days T-Bill</t>
  </si>
  <si>
    <t>Interest Income from 91 Days T-Bill - Correction Jurnal</t>
  </si>
  <si>
    <t>Bond Premium</t>
  </si>
  <si>
    <t>Redemption Receivable</t>
  </si>
  <si>
    <t>Redemption of Investment</t>
  </si>
  <si>
    <t>Interest Receivables from Bond</t>
  </si>
  <si>
    <t>Investment in T-Bill</t>
  </si>
  <si>
    <t>Interest Receivables from T-Bill</t>
  </si>
  <si>
    <t>Unit Subscription Correction</t>
  </si>
  <si>
    <t>Interest Income from T-Bill</t>
  </si>
  <si>
    <t>Interest Income from FDR</t>
  </si>
  <si>
    <t>Custodian Fee - July to December 2022</t>
  </si>
  <si>
    <t>IPO Application of Trust Islami Life Insurance Ltd. (TILIL)</t>
  </si>
  <si>
    <t>Management fee Paid - November 3 to February 2 Partially</t>
  </si>
  <si>
    <t>Dividend Received from BATBC - year ended December 31, 2022</t>
  </si>
  <si>
    <t>UMME SAIKA NILA</t>
  </si>
  <si>
    <t>A00463</t>
  </si>
  <si>
    <t>MOHAMMAD HUMAYAN RASHID</t>
  </si>
  <si>
    <t>A00464</t>
  </si>
  <si>
    <t>EDGE HIGH QUALITY INCOME FUND</t>
  </si>
  <si>
    <t>A00465</t>
  </si>
  <si>
    <t>SANDHANI AML SLIC FIXED INCOME FUND</t>
  </si>
  <si>
    <t>A00466</t>
  </si>
  <si>
    <t>SALMAN ZAMAL</t>
  </si>
  <si>
    <t>A00467</t>
  </si>
  <si>
    <t>MADHAB GHOSH</t>
  </si>
  <si>
    <t>A00468</t>
  </si>
  <si>
    <t>SOURAV SAHA</t>
  </si>
  <si>
    <t>A00469</t>
  </si>
  <si>
    <t>MUHAMMAD SHOHIDUZZAMAN</t>
  </si>
  <si>
    <t>A00470</t>
  </si>
  <si>
    <t>SABIRA SALAM RIDI</t>
  </si>
  <si>
    <t>A00471</t>
  </si>
  <si>
    <t>ABIR SAHA</t>
  </si>
  <si>
    <t>A00472</t>
  </si>
  <si>
    <t>Payment to Telnet Communication - March 2023</t>
  </si>
  <si>
    <t>IPO Allotment of Trust Islami Life Insurance Ltd. (TILIL)</t>
  </si>
  <si>
    <t>Trade (S) of Royal Capital Limited</t>
  </si>
  <si>
    <t>Sale proceed received from Royal Capital Limited</t>
  </si>
  <si>
    <t xml:space="preserve">Management fee Paid - February 3 to May 2 </t>
  </si>
  <si>
    <t>Dividend Received from GP - Year 2022</t>
  </si>
  <si>
    <t>NADIA FERDOUS NOOR</t>
  </si>
  <si>
    <t>SAMS SAIYADENA ZEESHA</t>
  </si>
  <si>
    <t>RAEZANA JITU</t>
  </si>
  <si>
    <t>MAMUN SIRAJUL ALAM</t>
  </si>
  <si>
    <t>A00473</t>
  </si>
  <si>
    <t>MICHAEL BEA</t>
  </si>
  <si>
    <t>A00474</t>
  </si>
  <si>
    <t>MD. MONIRUL ISLAM</t>
  </si>
  <si>
    <t>A00475</t>
  </si>
  <si>
    <t>A.K.M REZAUL KARIM</t>
  </si>
  <si>
    <t>A00476</t>
  </si>
  <si>
    <t>IPO Application of Al-Madina Pharmaceuticals Limited (AMPL)</t>
  </si>
  <si>
    <t>Payment to Telnet Communication - April 2023</t>
  </si>
  <si>
    <t>CDBL Charges for April 2022</t>
  </si>
  <si>
    <t>Dividend Receivable from BRAC Bank - year ended December 31, 2022</t>
  </si>
  <si>
    <t>IPO Allotment of Al-Madina Pharmaceuticals Limited (AMPL)</t>
  </si>
  <si>
    <t>Trade (B) of Securities at Royal Capital Limited</t>
  </si>
  <si>
    <t>Buy proceed paid to Royal Capital Limited</t>
  </si>
  <si>
    <t xml:space="preserve">Bank Charges </t>
  </si>
  <si>
    <t>Sale proceed received</t>
  </si>
  <si>
    <t>Dividend Receivable from MIDLAND Bank - year ended December 31, 2022</t>
  </si>
  <si>
    <t>1135-12700000002</t>
  </si>
  <si>
    <t>IPO Application of MK Footwear PLC (MKFOOTWEAR)</t>
  </si>
  <si>
    <t>Payment to Telnet Communication - May 2023</t>
  </si>
  <si>
    <t>FDR Renew with DBH
(710001106357)</t>
  </si>
  <si>
    <t>Dividend Received from BRAC Bank - year ended December 31, 2022</t>
  </si>
  <si>
    <t>FDR Renew with IDLC Finance
(10252255339814)</t>
  </si>
  <si>
    <t>FDR Renew with IDLC Finance
(10252255339815)</t>
  </si>
  <si>
    <t>FDR Renew with IDLC Finance
(10252255339816)</t>
  </si>
  <si>
    <t>FDR Renew with IDLC Finance
(10252255339817)</t>
  </si>
  <si>
    <t>FDR Renew with IDLC Finance
(10252255339820)</t>
  </si>
  <si>
    <t>FDR Renew with IDLC Finance
(10252255339821)</t>
  </si>
  <si>
    <t>FDR Renew with IDLC Finance
(10252255339822)</t>
  </si>
  <si>
    <t>NAYEEM JAHANGIR</t>
  </si>
  <si>
    <t>A00477</t>
  </si>
  <si>
    <t>S.M. SAIFUL ISLAM</t>
  </si>
  <si>
    <t>A00478</t>
  </si>
  <si>
    <t>KAZI MAZBAH UDDIN</t>
  </si>
  <si>
    <t>A00479</t>
  </si>
  <si>
    <t>MD. MOHIBULLAH CHOWDHURY</t>
  </si>
  <si>
    <t>A00480</t>
  </si>
  <si>
    <t>NUR-E-SALVEEN</t>
  </si>
  <si>
    <t>A00481</t>
  </si>
  <si>
    <t>MOHAMMAD HASAN</t>
  </si>
  <si>
    <t>A00482</t>
  </si>
  <si>
    <t>ABU MUSA MIRZA KAMRUZZMAN SHAHEE</t>
  </si>
  <si>
    <t>A00483</t>
  </si>
  <si>
    <t>MOHAMMED MUQEET HALIM</t>
  </si>
  <si>
    <t>A00484</t>
  </si>
  <si>
    <t>ASHIK IQBAL CHOWDHURY</t>
  </si>
  <si>
    <t>A00485</t>
  </si>
  <si>
    <t>SADIA PARVIN</t>
  </si>
  <si>
    <t>A00486</t>
  </si>
  <si>
    <t>SANJIB KUMAR ROY</t>
  </si>
  <si>
    <t>A00487</t>
  </si>
  <si>
    <t>SUMAN SAHA</t>
  </si>
  <si>
    <t>A00488</t>
  </si>
  <si>
    <t>FAZLE KARIM MURAD</t>
  </si>
  <si>
    <t>A00489</t>
  </si>
  <si>
    <t>MUSTAFA KAMAL MASUD</t>
  </si>
  <si>
    <t>A00490</t>
  </si>
  <si>
    <t>MOHAMMED SHARIFUL ISLAM</t>
  </si>
  <si>
    <t>A00491</t>
  </si>
  <si>
    <t>NUSRAT JAHAN</t>
  </si>
  <si>
    <t>A00492</t>
  </si>
  <si>
    <t>SIKDER FAZLE RABBI</t>
  </si>
  <si>
    <t>A00493</t>
  </si>
  <si>
    <t>MD SHAFIQUR RAHMAN MONSI</t>
  </si>
  <si>
    <t>A00494</t>
  </si>
  <si>
    <t>JISHAN SHAMSAD</t>
  </si>
  <si>
    <t>A00495</t>
  </si>
  <si>
    <t>RAJIV HASSAN</t>
  </si>
  <si>
    <t>A00496</t>
  </si>
  <si>
    <t>SHAHRIAR AZAD SHASHI</t>
  </si>
  <si>
    <t>A00497</t>
  </si>
  <si>
    <t>MD. BASHARAT HASAN</t>
  </si>
  <si>
    <t>A00498</t>
  </si>
  <si>
    <t>MUBTASIN KABIR</t>
  </si>
  <si>
    <t>A00499</t>
  </si>
  <si>
    <t>MUHAMMAD SAJJAD HOSSAIN</t>
  </si>
  <si>
    <t>A00500</t>
  </si>
  <si>
    <t>Unit Subscription - LUMPSUM A00428</t>
  </si>
  <si>
    <t>IPO Allotment of MK Footwear PLC (MKFOOTWEAR)</t>
  </si>
  <si>
    <t>FDR With COMMUNITY BANK BANGLADESH LTD</t>
  </si>
  <si>
    <t>Interest Income from FDR is being Accrued - Community Bank Ltd.</t>
  </si>
  <si>
    <t>Interest Income from Bank Balances-MDB</t>
  </si>
  <si>
    <t>Interest Income from Bank Balances-BRAC</t>
  </si>
  <si>
    <t>Interest Income from Bank Balances-Modhumoti</t>
  </si>
  <si>
    <t>BO Account Maintenance Fee</t>
  </si>
  <si>
    <t>Trade (S) of Amar Securities Limited</t>
  </si>
  <si>
    <t>Sale proceed received from Amar Securities Limited</t>
  </si>
  <si>
    <t>Management fee Paid - May 2 to August 3</t>
  </si>
  <si>
    <t>Accrued Trustee Fee Paid - July 1, 2022 to june 30, 2023</t>
  </si>
  <si>
    <t>Trade (B) of Securities at Amar Securities Limited</t>
  </si>
  <si>
    <t>Buy proceed paid to Amar Securities Limited</t>
  </si>
  <si>
    <t>Dividend Receivable &amp; Due from MIDLAND Bank - year ended December 31, 2022</t>
  </si>
  <si>
    <t>Custodian Fee - Jan to June 2023</t>
  </si>
  <si>
    <t>FDR Renew with IDLC
(10252255339816.)</t>
  </si>
  <si>
    <t xml:space="preserve">     Investment at Market Price</t>
  </si>
  <si>
    <t xml:space="preserve">     Advance, Deposit &amp; Prepayments</t>
  </si>
  <si>
    <t xml:space="preserve">     Cash &amp; Cash Equivalent</t>
  </si>
  <si>
    <t xml:space="preserve">      Liability for Expenses</t>
  </si>
  <si>
    <t>FDR Encashment with Community Bank BD Limited
(0014-TDCI23001298)</t>
  </si>
  <si>
    <t xml:space="preserve">     Investment in T-Bills</t>
  </si>
  <si>
    <t>FDR Renew with IDLC
(0014-TDCI23001281)</t>
  </si>
  <si>
    <t>Unit Subscription - Lumpsum</t>
  </si>
  <si>
    <t>Investment in 182 Days T-Bill</t>
  </si>
  <si>
    <t xml:space="preserve">     Investment in T-Bonds</t>
  </si>
  <si>
    <t>Investment at cost price T-Bill</t>
  </si>
  <si>
    <t>fair value adjustment T-Bond</t>
  </si>
  <si>
    <t>Investment at cost price T-Bond</t>
  </si>
  <si>
    <t>fair value adjustment T-Bill</t>
  </si>
  <si>
    <t>Interest Receivables from T-Bond</t>
  </si>
  <si>
    <t>Unrealized gain on T-Bill</t>
  </si>
  <si>
    <t>Unrealized gain on T-Bond</t>
  </si>
  <si>
    <t>Investments in T-Bond</t>
  </si>
  <si>
    <t>Interest Income from T-Bond</t>
  </si>
  <si>
    <t>Realized gain on T-Bill</t>
  </si>
  <si>
    <t>Realized gain on T-Bond</t>
  </si>
  <si>
    <t xml:space="preserve">     Unrealized gain/(loss) on T-Bill</t>
  </si>
  <si>
    <t xml:space="preserve">     Unrealized gain/(loss) on T-Bond</t>
  </si>
  <si>
    <t>Fair value adjustment T-Bill</t>
  </si>
  <si>
    <t>Fair value adjustment T-Bond</t>
  </si>
  <si>
    <t>T-Bill</t>
  </si>
  <si>
    <t>T-Bond</t>
  </si>
  <si>
    <t xml:space="preserve">     Net Gain on Sale of T-Bill</t>
  </si>
  <si>
    <t xml:space="preserve">     Net Gain on Sale of T-Bond</t>
  </si>
  <si>
    <t>Fair Value Adjustment of T-Bill</t>
  </si>
  <si>
    <t>FDR Encashment with DBH
(710001106356)</t>
  </si>
  <si>
    <t>FDR Encashment with DBH
(710001106357)</t>
  </si>
  <si>
    <t>FDR Encashment with DBH
(710001111346)</t>
  </si>
  <si>
    <t>FDR Encashment Received with Community Bank BD Limited
(0014-TDCI23001298)</t>
  </si>
  <si>
    <t>Dividend Receivable from BSCCL - year ended June 30, 2023</t>
  </si>
  <si>
    <t>Dividend Received from BSCCL - year ended June 30, 2023</t>
  </si>
  <si>
    <t>Dividend Receivable from RENATA - year ended June 30, 2023</t>
  </si>
  <si>
    <t>Management fee Paid - August 2 to November 3</t>
  </si>
  <si>
    <t>IPO Application of Agro Organica PLC (AOPLC)</t>
  </si>
  <si>
    <t>Purchase 91 Days T-Bill (BD0909127245)</t>
  </si>
  <si>
    <t>FDR Encashment with IDLC
(10252255339814)</t>
  </si>
  <si>
    <t>FDR Encashment with IDLC
(10252255339815)</t>
  </si>
  <si>
    <t>FDR Encashment with IDLC
(10252255339816.)</t>
  </si>
  <si>
    <t>FDR Encashment with IDLC
(10252255339817)</t>
  </si>
  <si>
    <t>FDR Encashment with IDLC
(10252255339820)</t>
  </si>
  <si>
    <t>FDR Encashment with IDLC
(10252255339821)</t>
  </si>
  <si>
    <t>FDR Encashment with IDLC
(10252255339822)</t>
  </si>
  <si>
    <t>Excess Duty Repayment</t>
  </si>
  <si>
    <t>FDR Encashment with IPDC
(100125-1000028615)</t>
  </si>
  <si>
    <t>FDR Encashment with IPDC
(100125-1000028617)</t>
  </si>
  <si>
    <t>IPO Allotment of Agro Organica PLC (AOPLC)</t>
  </si>
  <si>
    <t>Purchase 91 Days T-Bill (BD0909129241)</t>
  </si>
  <si>
    <t>Sale of T-Bill
(BD0909129241)</t>
  </si>
  <si>
    <t>Purchase 91 Days T-Bill (BD0909130249)</t>
  </si>
  <si>
    <t>Sale of T-Bill
(BD0909130249)</t>
  </si>
  <si>
    <t>1513-205101212001</t>
  </si>
  <si>
    <t>2051-012120002</t>
  </si>
  <si>
    <t>1310-000147453</t>
  </si>
  <si>
    <t>Purchase 91 Days T-Bill (BD0909131247)</t>
  </si>
  <si>
    <t>FDR Withdraw Receivable from IDLC
(10552255339810)</t>
  </si>
  <si>
    <t>FDR Withdraw Receivable from IDLC
(10552255339811)</t>
  </si>
  <si>
    <t>IPO Application of Sikder Insurance Company Limited (SICL)</t>
  </si>
  <si>
    <t>Sale of T-Bill
(BD0909131247)</t>
  </si>
  <si>
    <t xml:space="preserve">          Gain on Sale of Share and Securities</t>
  </si>
  <si>
    <t xml:space="preserve">          Gain on Sale of T-Bill</t>
  </si>
  <si>
    <t xml:space="preserve">         Net Investment in T- Bills</t>
  </si>
  <si>
    <t xml:space="preserve">          Gain on Sale of T-Bond</t>
  </si>
  <si>
    <t>BRAC</t>
  </si>
  <si>
    <t>Midland</t>
  </si>
  <si>
    <t>Modhumoti</t>
  </si>
  <si>
    <t>SBAC</t>
  </si>
  <si>
    <t>MTB</t>
  </si>
  <si>
    <t>Bank Charges - Midland</t>
  </si>
  <si>
    <t>Interest Income from Bank Balances- Midland</t>
  </si>
  <si>
    <t>Bank Charges Excess Duty - Midland</t>
  </si>
  <si>
    <t>Bank Charges - Modhumoti</t>
  </si>
  <si>
    <t>Bank Charges Excess Duty - Modhumoti</t>
  </si>
  <si>
    <t>Interest Income from Bank Balances- SBAC</t>
  </si>
  <si>
    <t>Bank Charges - SBAC</t>
  </si>
  <si>
    <t>Bank Charges - MTB</t>
  </si>
  <si>
    <t>Interest Income from Bank Balances- MTB</t>
  </si>
  <si>
    <t>FDR Withdraw Receivede from IDLC
(10552255339810)</t>
  </si>
  <si>
    <t>FDR Withdraw Receivede from IDLC
(10552255339811)</t>
  </si>
  <si>
    <t>Bank Charges - Brac</t>
  </si>
  <si>
    <t>Dividend Received from RENATA - year ended June 30, 2023</t>
  </si>
  <si>
    <t>IPO Allotment of Sikder Insurance Company Limited (SICL)</t>
  </si>
  <si>
    <t>Purchase 91 Days T-Bill (BD0909134241)</t>
  </si>
  <si>
    <t>Trade (B,S) of Amar Securities Limited</t>
  </si>
  <si>
    <t>FDR Withdraw Receivable from IDLC
(10552255339813)</t>
  </si>
  <si>
    <t>FDR Withdraw Receivable from IDLC
(10552255339814)</t>
  </si>
  <si>
    <t>FDR Withdraw Receivable from IDLC
(10552255339815)</t>
  </si>
  <si>
    <t>Purchase 91 Days T-Bill (BD0909133243)</t>
  </si>
  <si>
    <t>FDR Encashment with Community Bank BD Limited
(0014-TDCI23001281)</t>
  </si>
  <si>
    <t>Purchase 91 Days T-Bill (BD0909137244)</t>
  </si>
  <si>
    <t>FDR Interest From Community Bank BD Limited (0014-TDCI23001281)</t>
  </si>
  <si>
    <t>Purchase 91 Days T-Bill (BD0909138242)</t>
  </si>
  <si>
    <t>Dividend Declaired</t>
  </si>
  <si>
    <t>Purchase 91 Days T-Bill (BD0909140248)</t>
  </si>
  <si>
    <t>IPO Application of Web Coats PLC. (WEBCOATS)</t>
  </si>
  <si>
    <t>IPO Allotment of Web Coats PLC. (WEBCOATS)</t>
  </si>
  <si>
    <t xml:space="preserve">Dividend Paid </t>
  </si>
  <si>
    <t>IPO Allotment of Asiatic Lab Ltd (ASIATICLAB)</t>
  </si>
  <si>
    <t>Sale of T-Bill
(BD0909127245)</t>
  </si>
  <si>
    <t>Dividend Receivable from GP - year ended December 31, 2023</t>
  </si>
  <si>
    <t>Dividend Receivable from BATBC - year ended December 31, 2023</t>
  </si>
  <si>
    <t>Reinvestment of Dividend by Investor - CIP</t>
  </si>
  <si>
    <t>Sale of T-Bill (BD0909129241)</t>
  </si>
  <si>
    <t>Unit Surrender - Lumpsum</t>
  </si>
  <si>
    <t>Purchase 91 Days T-Bill (BD0909144240)</t>
  </si>
  <si>
    <t>Withholding Tax Payable for Telnet</t>
  </si>
  <si>
    <t>Withholding Tax Payable for News Paper</t>
  </si>
  <si>
    <t>Withholding Tax Paid for Telnet</t>
  </si>
  <si>
    <t>Withholding Tax Paid for Financial Express</t>
  </si>
  <si>
    <t>Withholding Tax Paid of Dividend Paid</t>
  </si>
  <si>
    <t>Purchase 2 Years T-Bond (BD0926381023)</t>
  </si>
  <si>
    <t>Fair Value Adjustment of T-Bond</t>
  </si>
  <si>
    <t>Sale of T-Bill
(BD0918215247)</t>
  </si>
  <si>
    <t>Sale of T-Bill
(BD0909133243)</t>
  </si>
  <si>
    <t>Sale of T-Bill
(BD0909134241)</t>
  </si>
  <si>
    <t>Purchase 5 Yr. T-Bond (BD0929401059)</t>
  </si>
  <si>
    <t>IPO Application of Techno Drugs Ltd. (TECHNODRUG)</t>
  </si>
  <si>
    <t>Bank Charges - BRAC</t>
  </si>
  <si>
    <t>Purchase 91 Days T-Bill (BD0909148241)</t>
  </si>
  <si>
    <t>Management fee return for tax payment</t>
  </si>
  <si>
    <t>IPO Application of Craftsman Footwear and Accessories Limited (CRAFTSMAN)</t>
  </si>
  <si>
    <t>Accrued Trustee Fee Paid - July 1, 2023 to Dec 31, 2023</t>
  </si>
  <si>
    <t>Dividend Received from BATBC - year ended December 31, 2023</t>
  </si>
  <si>
    <t>Purchase 91 Days T-Bill (BD0909149249)</t>
  </si>
  <si>
    <t>IPO Allotment of Techno Drugs Ltd. (TECHNODRUG)</t>
  </si>
  <si>
    <t>Dividend Received from GP - year ended December 31, 2023</t>
  </si>
  <si>
    <t>IPO Allocation of Craftsman Footwear and Accessories Limited (CRAFTSMAN)</t>
  </si>
  <si>
    <t>Sale of T-Bond
(BD0926381023)</t>
  </si>
  <si>
    <t>Sale of T-Bill
(BD0909137244)</t>
  </si>
  <si>
    <t>Dividend Receivable from BRAC - year ended June 30, 2023</t>
  </si>
  <si>
    <t>Withholding Tax Paid of Expenses</t>
  </si>
  <si>
    <t>Sale of T-Bill
(BD0909138242)</t>
  </si>
  <si>
    <t>Sale of T-Bond (BD0909140248</t>
  </si>
  <si>
    <t>Purchase 91 Days T-Bill (BD0909155244</t>
  </si>
  <si>
    <t>Management fee Paid - November 2 to Feb 3</t>
  </si>
  <si>
    <t>1012-050203825</t>
  </si>
  <si>
    <t>Management fee Paid - Feb 3 to May 2</t>
  </si>
  <si>
    <t>Dividend Received from BRAC - year ended December 31, 2023</t>
  </si>
  <si>
    <t>Management fee return</t>
  </si>
  <si>
    <t xml:space="preserve">Bank Charges - </t>
  </si>
  <si>
    <t>Purchase 91 Days T-Bill (BD0909164248</t>
  </si>
  <si>
    <t>Sale of T-Bill (BD0909155244)</t>
  </si>
  <si>
    <t>Interest Income from FDR is being Accrued - NRB Bank</t>
  </si>
  <si>
    <t>Sale of T-Bill (BD0909144240)
Still remaining to get 5,000,000</t>
  </si>
  <si>
    <t>Sale of T-Bill (BD0909144240)
Remaing Receive</t>
  </si>
  <si>
    <t>Interest Income - Midland</t>
  </si>
  <si>
    <t>Interest Income - BRAC</t>
  </si>
  <si>
    <t>Interest Income - SBAC</t>
  </si>
  <si>
    <t>Interest Income - MTB</t>
  </si>
  <si>
    <t>FDR With NRB (1013390204388)</t>
  </si>
  <si>
    <t>FDR With NRB (1013390204379)</t>
  </si>
  <si>
    <t>Bank Charges - NRB</t>
  </si>
  <si>
    <t>Interest Income - NRB</t>
  </si>
  <si>
    <t>Bank Charges Reverse- Midland</t>
  </si>
  <si>
    <t>Interest received- Community Bank Ltd.</t>
  </si>
  <si>
    <t>Trade (S) of CAL Securities Limited</t>
  </si>
  <si>
    <t>Sale proceed received from CAL Securities Limited</t>
  </si>
  <si>
    <t>Trade (B) of Securities at CAL Securities Limited</t>
  </si>
  <si>
    <t>Buy proceed paid to CAL Securities Limited</t>
  </si>
  <si>
    <t>Trade (B) of Securities at AMAR Securities Limited</t>
  </si>
  <si>
    <t>Buy proceed paid to AMAR Securities Limited</t>
  </si>
  <si>
    <t>Sale of T-Bill (BD0909149249</t>
  </si>
  <si>
    <t>Interest</t>
  </si>
  <si>
    <t>Brac</t>
  </si>
  <si>
    <t>NRB</t>
  </si>
  <si>
    <t>Interest Receivable from Bank</t>
  </si>
  <si>
    <t>INVESTMENT IN EDGE AMC GROWTH FUND</t>
  </si>
  <si>
    <t>Trade (B,S) of Securities at Amar Securities Limited</t>
  </si>
  <si>
    <t>Trade (B,S) of Securities at AMAR Securities Limited</t>
  </si>
  <si>
    <t>Trade of EDGE AMC GROWTH FUND</t>
  </si>
  <si>
    <t>Investment in EDGE Bangladesh Mutual Fund</t>
  </si>
  <si>
    <t>Buy 5 Yr T-Bond (BD0928221052</t>
  </si>
  <si>
    <t>Sale of T-Bond(BD0929401059</t>
  </si>
  <si>
    <t>Purchase 91 Days T-Bill (BD0909106249</t>
  </si>
  <si>
    <t>Dividend Receivable from MARICO - period ended June 30, 2024</t>
  </si>
  <si>
    <t>Trade (S) of Securities at AMAR Securities Limited</t>
  </si>
  <si>
    <t>Sale of T-Bill (BD0909155244</t>
  </si>
  <si>
    <t>Purchase 91 Days T-Bill (BD0909108245</t>
  </si>
  <si>
    <t>Withholding Tax Paid</t>
  </si>
  <si>
    <t>Purchase  T-Bond (BD0909108245</t>
  </si>
  <si>
    <t>Purchase T-Bond BRAC EPL (BD0935441156</t>
  </si>
  <si>
    <t>Dividend Received from MARICO - period ended June 30, 2024</t>
  </si>
  <si>
    <t>Trade (B) of Securities at Shanta Securities Limited</t>
  </si>
  <si>
    <t>Sale of T-Bill (BD0909164248</t>
  </si>
  <si>
    <t>Buy proceed paid to Shanta Securities Limited</t>
  </si>
  <si>
    <t>Sale of T-Bond (BD0935441156</t>
  </si>
  <si>
    <t>Sale of T-Bond (BD0934481104</t>
  </si>
  <si>
    <t>Purchase  T-Bond (BD0937901157</t>
  </si>
  <si>
    <t>Purchase  T-Bond (BD0944051202</t>
  </si>
  <si>
    <t>Trade (B,S) of Securities at Shanta Securities Limited</t>
  </si>
  <si>
    <t>Custodian Fee - Jan to Jun 2024</t>
  </si>
  <si>
    <t>Sale of T-Bond (BD0937901157</t>
  </si>
  <si>
    <t>Sale of T-Bond (BD0944051202</t>
  </si>
  <si>
    <t>Interest Income from T-Bond (BD0926381023)</t>
  </si>
  <si>
    <t>Purchase  T-Bond (BD0929151050</t>
  </si>
  <si>
    <t>Sale of T-Bond (BD0928221052</t>
  </si>
  <si>
    <t>Trade (S) of Shanta Securities Limited</t>
  </si>
  <si>
    <t>Sale proceed received from Shanta Securities Limited</t>
  </si>
  <si>
    <t>A00567</t>
  </si>
  <si>
    <t>Purchase  T-Bond (BD0939371151</t>
  </si>
  <si>
    <t>Accrued Trustee Fee Paid - Jan 1, 2024 to Jun 30, 2024</t>
  </si>
  <si>
    <t>FDR Interest From Community Bank BD Limited</t>
  </si>
  <si>
    <t>Trade (B,S) of Securities at CAL Securities Limited</t>
  </si>
  <si>
    <t>A00512</t>
  </si>
  <si>
    <t>Buy proceed paid to AmarSecurities Limited</t>
  </si>
  <si>
    <t>Share Sale proceed received from CAL Securities Limited</t>
  </si>
  <si>
    <t>Withholding Tax Paid to Government</t>
  </si>
  <si>
    <t>Share Sale proceed received from Amar Securities Limited</t>
  </si>
  <si>
    <t>Sale of T-Bond (BD0939371151</t>
  </si>
  <si>
    <t>Dividend Receivable from ACMELAB - year ended June 30, 2023</t>
  </si>
  <si>
    <t>Sale of T-Bill (BD0909106249</t>
  </si>
  <si>
    <t>Sale of T-Bond (BD0929151050</t>
  </si>
  <si>
    <t>Share Buy proceed paid to Amar Securities Limited</t>
  </si>
  <si>
    <t>Sale of T-Bill (BD0909108245</t>
  </si>
  <si>
    <t>A00503</t>
  </si>
  <si>
    <t>Management fee Paid - May 3 to November 2</t>
  </si>
  <si>
    <t>Dividend Receivable from BATBC - period ending September 30, 2024</t>
  </si>
  <si>
    <t>Dividend Receivable from MARICO - period ending September 30, 2024</t>
  </si>
  <si>
    <t>Coupon Interest Income from T-Bond (BD0928221052)</t>
  </si>
  <si>
    <t>FDR Interest From NRB Bank</t>
  </si>
  <si>
    <t>Purchase  T-Bond (BD0926421027</t>
  </si>
  <si>
    <t>Dividend Received from BATBC - period ending September 30, 2024</t>
  </si>
  <si>
    <t>Dividend Received from MARICO - period ending September 30, 2024</t>
  </si>
  <si>
    <t>Interest Receivable from Bank - Reverse</t>
  </si>
  <si>
    <t xml:space="preserve">         Net Investment in T- Bonds</t>
  </si>
  <si>
    <t xml:space="preserve">         Investment in FDR</t>
  </si>
  <si>
    <t>Dividend Receivable from Jamuna Oil- year ended June 30, 2024</t>
  </si>
  <si>
    <t>FDR With IPDC</t>
  </si>
  <si>
    <t>Interest Income from FDR is being Accrued - IPDC Finance</t>
  </si>
  <si>
    <t>Interest Receivable from FDR- Reverse</t>
  </si>
  <si>
    <t>Interest Income from FDR is Bank Charge - NRB Bank</t>
  </si>
  <si>
    <t>dividend REVERSE from MARICO - Interim Dividend - ended June 30, 2022</t>
  </si>
  <si>
    <t xml:space="preserve">     Dividend Reverse</t>
  </si>
  <si>
    <t>Dividend Receivablefrom SQURPHARMA - Year ended June 30, 2024</t>
  </si>
  <si>
    <t>Interest Income from FDR is being Accrued - IDLC Finance</t>
  </si>
  <si>
    <t>Dividend Received from SQURPHARMA - Year ended June 30, 2024</t>
  </si>
  <si>
    <t>Dividend Received from ACMELAB - year ended June 30, 2023</t>
  </si>
  <si>
    <t>FDR With IDLC</t>
  </si>
  <si>
    <t>Share Buy proceed paid to CAL Securities Limited</t>
  </si>
  <si>
    <t>Management fee Paid - November 3 to February 2</t>
  </si>
  <si>
    <t>Trade (S) of Modern Securities Limited</t>
  </si>
  <si>
    <t>Share Sell proceed received from Amar Securities Limited</t>
  </si>
  <si>
    <t>Share Sell proceed received from Modern Securities Limited</t>
  </si>
  <si>
    <t>Custodian Fee - Jul to Dec 2024</t>
  </si>
  <si>
    <t>Dividend Receivable from BATBC - year ended Dec 31, 2024</t>
  </si>
  <si>
    <t>Dividend Receivable from MARICO - year ended Dec 31, 2024</t>
  </si>
  <si>
    <t>Dividend Receivable from GP - year ended Dec 31, 2024</t>
  </si>
  <si>
    <t>Audit Payment</t>
  </si>
  <si>
    <t>Withholding Tax for Dividend Declaired for FY 2024</t>
  </si>
  <si>
    <t>CIP Dividend Paid for FY 2024</t>
  </si>
  <si>
    <t>Dividend Declaired for FY 2024</t>
  </si>
  <si>
    <t>A00529</t>
  </si>
  <si>
    <t>Cash Dividend Paid for FY 2024</t>
  </si>
  <si>
    <t>Share Sell proceed received from Amar Securities Limited - Return</t>
  </si>
  <si>
    <t>Dividend Received from JAMUNAOIL - year ended Dec 31, 2024</t>
  </si>
  <si>
    <t>Dividend Received from MARICO - year ended Dec 31, 2024</t>
  </si>
  <si>
    <t>Coupon Interest Income from T-Bond (BD0926381023)</t>
  </si>
  <si>
    <t>Share Sell proceed received from CAL Securities Limited</t>
  </si>
  <si>
    <t>Purchase  T-Bond (BD0928181058</t>
  </si>
  <si>
    <t>Purchase  T-Bond (BD0928221052</t>
  </si>
  <si>
    <t>Dividend Receivedfrom BATBC - year ended Dec 31, 2024</t>
  </si>
  <si>
    <t>FDR Interest From IDLC Finance Limited</t>
  </si>
  <si>
    <t>Purchase  T-Bond (BD0935371106</t>
  </si>
  <si>
    <t>Dividend Received from GP - year ended Dec 31, 2024</t>
  </si>
  <si>
    <t>Dividend Receivable from EBL - year ended Dec 31, 2024</t>
  </si>
  <si>
    <t>Dividend Receivable from Uttarabank - year ended Dec 31, 2024</t>
  </si>
  <si>
    <t>Bank Charges - Midland Withholding Tax Paid</t>
  </si>
  <si>
    <t>Accrued Trustee Fee Paid - Jul 1, 2024 to Dec 31, 2024</t>
  </si>
  <si>
    <t>Trade (B) of Securities at LankaBangla Securities Limited</t>
  </si>
  <si>
    <t>Share Buy proceed paid to LankaBangla Securities Limited</t>
  </si>
  <si>
    <t>Trade (S) of BRAC EPL Stock Brokerage Limited</t>
  </si>
  <si>
    <t>FDR Withdraw Receivable from IDLC</t>
  </si>
  <si>
    <t>Trade (B,S) of Securities at BRAC EPL Stock Brokeragee Limited</t>
  </si>
  <si>
    <t>Trade (B,S) of Securities at BRAC EPL Stock Brokerage Limited</t>
  </si>
  <si>
    <t>Trade (B) of Securities at BRAC EPL Stock Brokerage Limited</t>
  </si>
  <si>
    <t>Share Sell proceed received from BRAC EPL Stock Brokerage Limited</t>
  </si>
  <si>
    <t>Share Buy proceed paid to  BRAC EPL Stock Brokerage Limited</t>
  </si>
  <si>
    <t>Share Sell proceed received from Amar Securitiese Limited</t>
  </si>
  <si>
    <t>Dividend Receivable from JAMUNABANK - year ended Dec 31, 2024</t>
  </si>
  <si>
    <t>Coupon Interest Income from T-Bond (BD0928181058</t>
  </si>
  <si>
    <t>Management fee Paid - February 3 to May 2</t>
  </si>
  <si>
    <t>Trade (S) of BRAC EPL Stock Limited</t>
  </si>
  <si>
    <t>Trade (B,S) of Securities at BRAC EPL Stock Limited</t>
  </si>
  <si>
    <t>Dividend Receivable from BRACBANK - year ended Dec 31, 2024</t>
  </si>
  <si>
    <t>Trade (B,S) of Securities at Modern Securities Limited</t>
  </si>
  <si>
    <t>Trade (B) of Securities at BRAC EPL Stock Limited</t>
  </si>
  <si>
    <t>Share Buy proceed paid to BRAC EPL Stock Limited</t>
  </si>
  <si>
    <t>Share Buy proceed paid to Modern Securities Limited</t>
  </si>
  <si>
    <t>Share Sell proceed received from BRAC EPL Stock Limited</t>
  </si>
  <si>
    <t>Share Buy proceed paid to BRAC EPL Stock  Limited</t>
  </si>
  <si>
    <t>FDR With IPDC Finance Ltd</t>
  </si>
  <si>
    <t>Dividend Receivable from MARICO - Year 2024-2025</t>
  </si>
  <si>
    <t>FDR Withdraw from IPDC Finance</t>
  </si>
  <si>
    <t>Share Sell proceed received from Modern SecuritiesLimited</t>
  </si>
  <si>
    <t>Investment in Vanguard AML Growth Fund</t>
  </si>
  <si>
    <t>Purchase  T-Bond (BD0927471021</t>
  </si>
  <si>
    <t>Coupon Interest Income from T-Bond (BD0928221052</t>
  </si>
  <si>
    <t>Purchase  T-Bond (BD0940381157</t>
  </si>
  <si>
    <t>Trade (B,S) of Securities at AMAR  Limited</t>
  </si>
  <si>
    <t>Trade (B,S) of Securities at BRAC  Limited</t>
  </si>
  <si>
    <t>Trade (S) of BRAC Securities Limited</t>
  </si>
  <si>
    <t>Trade (S) of AmarSecurities Limited</t>
  </si>
  <si>
    <t>Trade (S) of Modern Limited</t>
  </si>
  <si>
    <t>Trade (S) of Amar Limited</t>
  </si>
  <si>
    <t>Sale of T-Bond (BD0926381023</t>
  </si>
  <si>
    <t>Share Buy proceed paid to BRAC Limited</t>
  </si>
  <si>
    <t>Purchase  T-Bond (</t>
  </si>
  <si>
    <t>Share Sell proceed received from BRAC Limited</t>
  </si>
  <si>
    <t>Trade (B,S) of Securities at BRAC EPL Stock Brokerage  Limited</t>
  </si>
  <si>
    <t>A00638</t>
  </si>
  <si>
    <t>A00641</t>
  </si>
  <si>
    <t>Coupon Interest Income from T-Bond (BD0937901157</t>
  </si>
  <si>
    <t>Coupon Interest Income from T-Bond (BD0942241201</t>
  </si>
  <si>
    <t>Dividend ReceivED from BRACBANK - year ended Dec 31, 2024</t>
  </si>
  <si>
    <t>Sale of T-Bond (BD0942241201</t>
  </si>
  <si>
    <t>Dividend Receivable from CITYBANK- Year 2024-2025</t>
  </si>
  <si>
    <t>Trade (B,S) of Securities at BRAC Limited</t>
  </si>
  <si>
    <t>Share Buy proceed paid to BRAC EPL Stock Brokerage Limited</t>
  </si>
  <si>
    <t>Purchase  T-Bond (BD0927011025</t>
  </si>
  <si>
    <t>Bank Charges - NRB Bank</t>
  </si>
  <si>
    <t>Trade (B,S) of Securities at BRAC EPL Stock  Limited</t>
  </si>
  <si>
    <t>Investment in UCB Income Plus Fund</t>
  </si>
  <si>
    <t>Purchase  T-Bond (BD0930481058</t>
  </si>
  <si>
    <t>Dividend Received from MARICO - Year 2024-2025</t>
  </si>
  <si>
    <t>Dividend Received from BRACBANK - year ended Dec 31, 2024</t>
  </si>
  <si>
    <t>Dividend Received from CITYBANK- Year 2024-2025</t>
  </si>
  <si>
    <t>Sale of T-Bond (BD0926421027</t>
  </si>
  <si>
    <t>Sale of T-Bond (BD0927471021</t>
  </si>
  <si>
    <t>Trade (B) of Securities at Modern Securities Limited</t>
  </si>
  <si>
    <t>Sale of T-Bond (BD0940381157</t>
  </si>
  <si>
    <t>Sale of T-Bond (BD0930401056</t>
  </si>
  <si>
    <t>Sale of T-Bond (BD0928181058</t>
  </si>
  <si>
    <t xml:space="preserve">Sale of T-Bond (BD0927011025	</t>
  </si>
  <si>
    <t>Dividend Receivable from MARICO- Year ended June 30, 2025</t>
  </si>
  <si>
    <t>Trade (B) of Securities at Prime Bank Securities Limited</t>
  </si>
  <si>
    <t>Trade (B,S) of Securities at Prime Bank Securities Limited</t>
  </si>
  <si>
    <t>Management fee Paid - May 3 to Aug 2</t>
  </si>
  <si>
    <t>Management fee Paid - May 3 to Aug 2 (Remain 200000)</t>
  </si>
  <si>
    <t>Share Buy proceed paid to Prime Bank Securities Limited</t>
  </si>
  <si>
    <t>Sale of T-Bond (</t>
  </si>
  <si>
    <t>Management fee Paid - May 3 to Aug 2 (Remain 0)</t>
  </si>
  <si>
    <t>Custodian Fee - Jan to Jun 2025</t>
  </si>
  <si>
    <t>Sale of T-Bond (BD0935451106</t>
  </si>
  <si>
    <t>Share Sell proceed received from Prime Bank Securities Limited</t>
  </si>
  <si>
    <t>Dividend Received from MARICO- Year ended June 30, 2025</t>
  </si>
  <si>
    <t>Trade (S) of Securities at Prime Bank Securities Limited</t>
  </si>
  <si>
    <t>Sale of T-Bond (BD0935371106</t>
  </si>
  <si>
    <t>IPO Application of Renata PLC (RENATA)</t>
  </si>
  <si>
    <t>Trade (S) of EDGE Bangladesh Mutual Fund</t>
  </si>
  <si>
    <t>Sale of T-Bond (BD0928461054</t>
  </si>
  <si>
    <t>Sell of UCB Income Plus Fund</t>
  </si>
  <si>
    <t>Management fee Paid - Aug 3 to Nov 2 (Remain 1,000,000)</t>
  </si>
  <si>
    <t>IPO Allocation of Renata PLC (RENATA)</t>
  </si>
  <si>
    <t>Interest Income from Renata Pre. Share</t>
  </si>
  <si>
    <t>Dividend Receivable from SQURPHARMA - Year ended June 30, 2025</t>
  </si>
  <si>
    <t>Dividend Receivable from OLYMPIC - Year ended June 30, 2025</t>
  </si>
  <si>
    <t>Dividend Receivable from RENATA - Year ended June 30, 2025</t>
  </si>
  <si>
    <t>Dividend Receivable from ACMELAB - Year ended June 30, 2025</t>
  </si>
  <si>
    <t>Trade (B) of Securities at MOdern Securities Limited</t>
  </si>
  <si>
    <t>Dividend Receivable from BSRMSTEEL - Year ended June 30, 2025</t>
  </si>
  <si>
    <t>Trade (B) of Securities at Prme Bank Securities Limited</t>
  </si>
  <si>
    <t>Management fee Paid - Aug 3 to Nov 2 (Remain 0)</t>
  </si>
  <si>
    <t>Dividend Receivable from MARICO- period ended September 30, 2025</t>
  </si>
  <si>
    <t>CDBL Annual Fee</t>
  </si>
  <si>
    <t>Daily</t>
  </si>
  <si>
    <t>Dividend Receivable from BSC- year ended June 30, 2025</t>
  </si>
  <si>
    <t>Dividend Received from MARICO- period ended September 30, 2025</t>
  </si>
  <si>
    <t>Accrued Trustee Fee Paid - Jan 1, 2025 to Jun 30, 2025</t>
  </si>
  <si>
    <t>Coupon Interest Income from T-Bond (BD0926421027</t>
  </si>
  <si>
    <t>Coupon Interest Income from T-Bond (BD0935371106</t>
  </si>
  <si>
    <t>Coupon Interest Income from T-Bond (BD0940381157</t>
  </si>
  <si>
    <t>Interest Income from FDR is being Accrued - Remaining</t>
  </si>
  <si>
    <t>Interest Income from Bank Acc</t>
  </si>
  <si>
    <t xml:space="preserve">Bank Charges - BRAC </t>
  </si>
  <si>
    <t>Dividend Received from OLYMPIC - Year ended June 30, 2025</t>
  </si>
  <si>
    <t>Dividend Received from SQURPHARMA - Year ended June 30, 2025</t>
  </si>
  <si>
    <t>Interest receivables from Renata Pre. Share</t>
  </si>
  <si>
    <t>Dividend Received from ACMELAB - Year ended June 30, 2025</t>
  </si>
  <si>
    <t>Dividend Received from RENATA - Year ended June 30, 2025</t>
  </si>
  <si>
    <t>dividend receivable from BSC -  year ended June 30, 2025</t>
  </si>
  <si>
    <t>Sale of Investments from VANGUARD AML GF</t>
  </si>
  <si>
    <t>Trade (B,S) of Securities at UCB Stock Brokerage Limited.</t>
  </si>
  <si>
    <t>Share Buy proceed paid to UCB Stock Brokerage Limited.</t>
  </si>
  <si>
    <t>Share Sale proceeds paid to Prime Bank Securities Limited</t>
  </si>
  <si>
    <t>Trade (S) of Securities at UCB Stock Brokerage Limited.</t>
  </si>
  <si>
    <t>Share Buy  proceeds paid to Prime Bank Securities Limited</t>
  </si>
  <si>
    <t>Trade (B) of Securities at UCB Stock Brokerage Limited</t>
  </si>
  <si>
    <t>Share Buy proceed paid to Prime Bank Securities Limited.</t>
  </si>
  <si>
    <t>Trade (B&amp;S) of Securities at UCB Stock Brokerage Limited.</t>
  </si>
  <si>
    <t>Dividend Declaired for FY 2025</t>
  </si>
  <si>
    <t>CIP Dividend Paid for FY 2025</t>
  </si>
  <si>
    <t>Share Sale proceeds paid to UCB Stock Brokerage Limited</t>
  </si>
  <si>
    <t>Dividend Paid Cash A00353</t>
  </si>
  <si>
    <t>Dividend Received from EDGE Bangladesh Mutual Fund - year ended Dec 31, 2025</t>
  </si>
  <si>
    <t>Trade (B,S) of Securities at UCB Stock Brokerage Limited</t>
  </si>
  <si>
    <t>Dividend Receivable from MARICO- period ended December 31, 2026</t>
  </si>
  <si>
    <t>FDR Interest Adjust</t>
  </si>
  <si>
    <t xml:space="preserve">Daily charge of preliminary &amp; issue expense </t>
  </si>
  <si>
    <t>Daily charge of management fee</t>
  </si>
  <si>
    <t>Daily charge of trustee fee</t>
  </si>
  <si>
    <t>Share Buy proceeds paid to UCB Stock Brokerage Limited</t>
  </si>
  <si>
    <t>Management fee Paid -  Nov 3 - Feb 2 (Remain 300,000)</t>
  </si>
  <si>
    <t>Share Buy  proceeds paid to UCB Stock Brokerage Limited</t>
  </si>
  <si>
    <t>Share Buy proceeds paid to Prime Bank Securities Limited</t>
  </si>
  <si>
    <t>Management fee Paid -  Nov 3 - Feb 2 (Remain 0)</t>
  </si>
  <si>
    <t>Dividend Received from MARICO- period ended December 31, 2026</t>
  </si>
  <si>
    <t>Dividend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</si>
</sst>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44" formatCode="_(&quot;$&quot;* #,##0.00_);_(&quot;$&quot;* \(#,##0.00\);_(&quot;$&quot;* &quot;-&quot;??_);_(@_)"/>
    <numFmt numFmtId="43" formatCode="_(* #,##0.00_);_(* \(#,##0.00\);_(* &quot;-&quot;??_);_(@_)"/>
    <numFmt numFmtId="164" formatCode="_-* #,##0.00_-;\-* #,##0.00_-;_-* &quot;-&quot;??_-;_-@_-"/>
    <numFmt numFmtId="165" formatCode="_(* #,##0_);_(* \(#,##0\);_(* &quot;-&quot;??_);_(@_)"/>
    <numFmt numFmtId="166" formatCode="_(* #,##0.000_);_(* \(#,##0.000\);_(* &quot;-&quot;??_);_(@_)"/>
    <numFmt numFmtId="167" formatCode="[$-409]mmmm\ d\,\ yyyy;@"/>
    <numFmt numFmtId="168" formatCode="0.00;[Red]0.00"/>
    <numFmt numFmtId="169" formatCode="_(* #,##0.0000_);_(* \(#,##0.0000\);_(* &quot;-&quot;??_);_(@_)"/>
    <numFmt numFmtId="170" formatCode="[$-409]d\-mmm\-yy;@"/>
    <numFmt numFmtId="171" formatCode="_(* #,##0.0_);_(* \(#,##0.0\);_(* &quot;-&quot;??_);_(@_)"/>
    <numFmt numFmtId="172" formatCode="[$-409]dd\-mmm\-yy;@"/>
    <numFmt numFmtId="173" formatCode="_(* #,##0.000000000000000000_);_(* \(#,##0.000000000000000000\);_(* &quot;-&quot;??_);_(@_)"/>
    <numFmt numFmtId="174" formatCode="0.000000000000000000000000000000000000000000000000000000000E+00"/>
    <numFmt numFmtId="175" formatCode="[$-F800]dddd\,\ mmmm\ dd\,\ yyyy"/>
    <numFmt numFmtId="176" formatCode="_(* #,##0.0000000_);_(* \(#,##0.0000000\);_(* &quot;-&quot;??_);_(@_)"/>
    <numFmt numFmtId="177" formatCode="0.000"/>
    <numFmt numFmtId="178" formatCode="_(* #,##0.000000000000_);_(* \(#,##0.000000000000\);_(* &quot;-&quot;??_);_(@_)"/>
  </numFmts>
  <fonts count="23" x14ac:knownFonts="1">
    <font>
      <sz val="11"/>
      <color theme="1"/>
      <name val="Calibri"/>
      <family val="2"/>
      <scheme val="minor"/>
    </font>
    <font>
      <sz val="11"/>
      <color theme="1"/>
      <name val="Calibri"/>
      <family val="2"/>
      <scheme val="minor"/>
    </font>
    <font>
      <b/>
      <sz val="10"/>
      <color theme="1"/>
      <name val="Arial"/>
      <family val="2"/>
    </font>
    <font>
      <sz val="10"/>
      <color theme="1"/>
      <name val="Arial"/>
      <family val="2"/>
    </font>
    <font>
      <b/>
      <sz val="11"/>
      <color theme="1"/>
      <name val="Calibri"/>
      <family val="2"/>
      <scheme val="minor"/>
    </font>
    <font>
      <sz val="10"/>
      <name val="Arial"/>
      <family val="2"/>
    </font>
    <font>
      <b/>
      <sz val="10"/>
      <name val="Arial"/>
      <family val="2"/>
    </font>
    <font>
      <sz val="9"/>
      <color theme="1"/>
      <name val="Arial"/>
      <family val="2"/>
    </font>
    <font>
      <sz val="10"/>
      <color theme="0"/>
      <name val="Arial"/>
      <family val="2"/>
    </font>
    <font>
      <u/>
      <sz val="10"/>
      <color theme="0"/>
      <name val="Arial"/>
      <family val="2"/>
    </font>
    <font>
      <sz val="8"/>
      <color theme="1"/>
      <name val="Calibri"/>
      <family val="2"/>
      <scheme val="minor"/>
    </font>
    <font>
      <b/>
      <sz val="12"/>
      <color theme="1"/>
      <name val="Calibri"/>
      <family val="2"/>
      <scheme val="minor"/>
    </font>
    <font>
      <b/>
      <sz val="9.5"/>
      <color theme="1"/>
      <name val="Arial"/>
      <family val="2"/>
    </font>
    <font>
      <b/>
      <sz val="9"/>
      <color theme="1"/>
      <name val="Arial"/>
      <family val="2"/>
    </font>
    <font>
      <sz val="9"/>
      <color theme="1"/>
      <name val="Calibri"/>
      <family val="2"/>
      <scheme val="minor"/>
    </font>
    <font>
      <sz val="8"/>
      <name val="Calibri"/>
      <family val="2"/>
      <scheme val="minor"/>
    </font>
    <font>
      <sz val="8"/>
      <color theme="0"/>
      <name val="Calibri"/>
      <family val="2"/>
      <scheme val="minor"/>
    </font>
    <font>
      <sz val="8"/>
      <color theme="1" tint="0.34998626667073579"/>
      <name val="Calibri"/>
      <family val="2"/>
      <scheme val="minor"/>
    </font>
    <font>
      <b/>
      <sz val="8"/>
      <color theme="1"/>
      <name val="Calibri"/>
      <family val="2"/>
      <scheme val="minor"/>
    </font>
    <font>
      <u/>
      <sz val="11"/>
      <color theme="1"/>
      <name val="Calibri"/>
      <family val="2"/>
      <scheme val="minor"/>
    </font>
    <font>
      <b/>
      <u/>
      <sz val="10"/>
      <color theme="1"/>
      <name val="Arial"/>
      <family val="2"/>
    </font>
    <font>
      <sz val="8"/>
      <color theme="1"/>
      <name val="Arial"/>
      <family val="2"/>
    </font>
    <font>
      <sz val="10"/>
      <color theme="0" tint="-0.499984740745262"/>
      <name val="Arial"/>
      <family val="2"/>
    </font>
  </fonts>
  <fills count="17">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C000"/>
        <bgColor indexed="64"/>
      </patternFill>
    </fill>
    <fill>
      <patternFill patternType="solid">
        <fgColor theme="9" tint="0.39997558519241921"/>
        <bgColor indexed="64"/>
      </patternFill>
    </fill>
    <fill>
      <patternFill patternType="solid">
        <fgColor theme="0"/>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5"/>
        <bgColor indexed="64"/>
      </patternFill>
    </fill>
    <fill>
      <patternFill patternType="solid">
        <fgColor rgb="FFFF0000"/>
        <bgColor indexed="64"/>
      </patternFill>
    </fill>
    <fill>
      <patternFill patternType="solid">
        <fgColor theme="7" tint="-0.249977111117893"/>
        <bgColor indexed="64"/>
      </patternFill>
    </fill>
  </fills>
  <borders count="33">
    <border>
      <left/>
      <right/>
      <top/>
      <bottom/>
      <diagonal/>
    </border>
    <border>
      <left style="medium">
        <color indexed="64"/>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uble">
        <color indexed="64"/>
      </bottom>
      <diagonal/>
    </border>
    <border>
      <left style="thin">
        <color indexed="64"/>
      </left>
      <right style="thin">
        <color indexed="64"/>
      </right>
      <top/>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theme="9"/>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s>
  <cellStyleXfs count="6">
    <xf numFmtId="0" fontId="0" fillId="0" borderId="0"/>
    <xf numFmtId="43" fontId="1" fillId="0" borderId="0" applyFont="0" applyFill="0" applyBorder="0" applyAlignment="0" applyProtection="0"/>
    <xf numFmtId="0" fontId="5" fillId="0" borderId="0"/>
    <xf numFmtId="9" fontId="1" fillId="0" borderId="0" applyFont="0" applyFill="0" applyBorder="0" applyAlignment="0" applyProtection="0"/>
    <xf numFmtId="0" fontId="5" fillId="0" borderId="0"/>
    <xf numFmtId="43" fontId="5" fillId="0" borderId="0" applyFont="0" applyFill="0" applyBorder="0" applyAlignment="0" applyProtection="0"/>
  </cellStyleXfs>
  <cellXfs count="554">
    <xf numFmtId="0" fontId="0" fillId="0" borderId="0" xfId="0"/>
    <xf numFmtId="0" fontId="2" fillId="0" borderId="0" xfId="0" applyFont="1"/>
    <xf numFmtId="0" fontId="3" fillId="0" borderId="0" xfId="0" applyFont="1"/>
    <xf numFmtId="165" fontId="3" fillId="0" borderId="0" xfId="1" applyNumberFormat="1" applyFont="1"/>
    <xf numFmtId="0" fontId="2" fillId="0" borderId="0" xfId="0" applyFont="1" applyAlignment="1">
      <alignment horizontal="center"/>
    </xf>
    <xf numFmtId="165" fontId="3" fillId="0" borderId="0" xfId="0" applyNumberFormat="1" applyFont="1"/>
    <xf numFmtId="165" fontId="3" fillId="0" borderId="0" xfId="1" applyNumberFormat="1" applyFont="1" applyBorder="1"/>
    <xf numFmtId="165" fontId="2" fillId="0" borderId="0" xfId="1" applyNumberFormat="1" applyFont="1" applyBorder="1"/>
    <xf numFmtId="0" fontId="3" fillId="0" borderId="0" xfId="0" applyFont="1" applyAlignment="1">
      <alignment vertical="center"/>
    </xf>
    <xf numFmtId="0" fontId="3" fillId="0" borderId="0" xfId="0" applyFont="1" applyAlignment="1">
      <alignment horizontal="center"/>
    </xf>
    <xf numFmtId="0" fontId="3" fillId="0" borderId="1" xfId="0" applyFont="1" applyBorder="1"/>
    <xf numFmtId="165" fontId="3" fillId="0" borderId="7" xfId="1" applyNumberFormat="1" applyFont="1" applyBorder="1"/>
    <xf numFmtId="0" fontId="3" fillId="0" borderId="2" xfId="0" applyFont="1" applyBorder="1"/>
    <xf numFmtId="165" fontId="3" fillId="0" borderId="6" xfId="1" applyNumberFormat="1" applyFont="1" applyBorder="1"/>
    <xf numFmtId="0" fontId="3" fillId="0" borderId="6" xfId="0" applyFont="1" applyBorder="1"/>
    <xf numFmtId="165" fontId="2" fillId="0" borderId="0" xfId="0" applyNumberFormat="1" applyFont="1"/>
    <xf numFmtId="165" fontId="3" fillId="0" borderId="0" xfId="0" applyNumberFormat="1" applyFont="1" applyAlignment="1">
      <alignment horizontal="left" vertical="center"/>
    </xf>
    <xf numFmtId="165" fontId="2" fillId="0" borderId="0" xfId="0" applyNumberFormat="1" applyFont="1" applyAlignment="1">
      <alignment horizontal="center"/>
    </xf>
    <xf numFmtId="165" fontId="6" fillId="0" borderId="0" xfId="2" applyNumberFormat="1" applyFont="1"/>
    <xf numFmtId="0" fontId="6" fillId="0" borderId="0" xfId="2" applyFont="1"/>
    <xf numFmtId="43" fontId="2" fillId="0" borderId="0" xfId="0" applyNumberFormat="1" applyFont="1"/>
    <xf numFmtId="0" fontId="2" fillId="0" borderId="0" xfId="0" applyFont="1" applyAlignment="1">
      <alignment horizontal="left" vertical="top"/>
    </xf>
    <xf numFmtId="165" fontId="3" fillId="0" borderId="3" xfId="1" applyNumberFormat="1" applyFont="1" applyBorder="1"/>
    <xf numFmtId="165" fontId="3" fillId="0" borderId="4" xfId="1" applyNumberFormat="1" applyFont="1" applyBorder="1"/>
    <xf numFmtId="0" fontId="0" fillId="0" borderId="0" xfId="0" applyAlignment="1">
      <alignment horizontal="center"/>
    </xf>
    <xf numFmtId="165" fontId="2" fillId="0" borderId="0" xfId="1" applyNumberFormat="1" applyFont="1"/>
    <xf numFmtId="43" fontId="3" fillId="0" borderId="0" xfId="0" applyNumberFormat="1" applyFont="1"/>
    <xf numFmtId="0" fontId="0" fillId="0" borderId="8" xfId="0" applyBorder="1"/>
    <xf numFmtId="0" fontId="0" fillId="0" borderId="8" xfId="0" applyBorder="1" applyAlignment="1">
      <alignment horizontal="center"/>
    </xf>
    <xf numFmtId="0" fontId="4" fillId="0" borderId="8" xfId="0" applyFont="1" applyBorder="1"/>
    <xf numFmtId="0" fontId="2" fillId="0" borderId="8" xfId="0" applyFont="1" applyBorder="1"/>
    <xf numFmtId="0" fontId="3" fillId="0" borderId="8" xfId="0" applyFont="1" applyBorder="1"/>
    <xf numFmtId="0" fontId="2" fillId="2" borderId="8" xfId="0" applyFont="1" applyFill="1" applyBorder="1" applyAlignment="1">
      <alignment horizontal="right"/>
    </xf>
    <xf numFmtId="165" fontId="3" fillId="2" borderId="0" xfId="1" applyNumberFormat="1" applyFont="1" applyFill="1"/>
    <xf numFmtId="165" fontId="3" fillId="2" borderId="8" xfId="1" applyNumberFormat="1" applyFont="1" applyFill="1" applyBorder="1"/>
    <xf numFmtId="0" fontId="2" fillId="3" borderId="8" xfId="0" applyFont="1" applyFill="1" applyBorder="1"/>
    <xf numFmtId="165" fontId="3" fillId="3" borderId="0" xfId="1" applyNumberFormat="1" applyFont="1" applyFill="1"/>
    <xf numFmtId="165" fontId="3" fillId="3" borderId="8" xfId="1" applyNumberFormat="1" applyFont="1" applyFill="1" applyBorder="1"/>
    <xf numFmtId="165" fontId="3" fillId="4" borderId="8" xfId="1" applyNumberFormat="1" applyFont="1" applyFill="1" applyBorder="1"/>
    <xf numFmtId="1" fontId="3" fillId="5" borderId="0" xfId="0" applyNumberFormat="1" applyFont="1" applyFill="1"/>
    <xf numFmtId="0" fontId="2" fillId="5" borderId="0" xfId="0" applyFont="1" applyFill="1"/>
    <xf numFmtId="0" fontId="2" fillId="5" borderId="0" xfId="0" applyFont="1" applyFill="1" applyAlignment="1">
      <alignment horizontal="center"/>
    </xf>
    <xf numFmtId="0" fontId="3" fillId="5" borderId="8" xfId="0" applyFont="1" applyFill="1" applyBorder="1"/>
    <xf numFmtId="0" fontId="3" fillId="5" borderId="8" xfId="0" applyFont="1" applyFill="1" applyBorder="1" applyAlignment="1">
      <alignment horizontal="center"/>
    </xf>
    <xf numFmtId="0" fontId="2" fillId="4" borderId="8" xfId="0" applyFont="1" applyFill="1" applyBorder="1" applyAlignment="1">
      <alignment horizontal="right"/>
    </xf>
    <xf numFmtId="165" fontId="3" fillId="0" borderId="0" xfId="1" applyNumberFormat="1" applyFont="1" applyAlignment="1">
      <alignment horizontal="center"/>
    </xf>
    <xf numFmtId="14" fontId="3" fillId="0" borderId="0" xfId="0" applyNumberFormat="1" applyFont="1"/>
    <xf numFmtId="165" fontId="2" fillId="0" borderId="8" xfId="1" applyNumberFormat="1" applyFont="1" applyBorder="1" applyAlignment="1">
      <alignment horizontal="right"/>
    </xf>
    <xf numFmtId="0" fontId="3" fillId="0" borderId="0" xfId="1" applyNumberFormat="1" applyFont="1"/>
    <xf numFmtId="10" fontId="3" fillId="0" borderId="0" xfId="3" applyNumberFormat="1" applyFont="1"/>
    <xf numFmtId="14" fontId="3" fillId="0" borderId="0" xfId="1" applyNumberFormat="1" applyFont="1"/>
    <xf numFmtId="169" fontId="3" fillId="0" borderId="0" xfId="0" applyNumberFormat="1" applyFont="1"/>
    <xf numFmtId="43" fontId="2" fillId="0" borderId="5" xfId="1" applyFont="1" applyBorder="1"/>
    <xf numFmtId="165" fontId="3" fillId="6" borderId="0" xfId="0" applyNumberFormat="1" applyFont="1" applyFill="1"/>
    <xf numFmtId="0" fontId="2" fillId="6" borderId="8" xfId="0" applyFont="1" applyFill="1" applyBorder="1"/>
    <xf numFmtId="165" fontId="3" fillId="6" borderId="0" xfId="1" applyNumberFormat="1" applyFont="1" applyFill="1"/>
    <xf numFmtId="165" fontId="3" fillId="6" borderId="8" xfId="1" applyNumberFormat="1" applyFont="1" applyFill="1" applyBorder="1"/>
    <xf numFmtId="0" fontId="3" fillId="6" borderId="0" xfId="0" applyFont="1" applyFill="1"/>
    <xf numFmtId="0" fontId="2" fillId="0" borderId="0" xfId="0" applyFont="1" applyAlignment="1">
      <alignment vertical="center"/>
    </xf>
    <xf numFmtId="167" fontId="2" fillId="0" borderId="0" xfId="0" applyNumberFormat="1" applyFont="1" applyAlignment="1">
      <alignment wrapText="1"/>
    </xf>
    <xf numFmtId="167" fontId="2" fillId="0" borderId="0" xfId="0" applyNumberFormat="1" applyFont="1" applyAlignment="1">
      <alignment vertical="center"/>
    </xf>
    <xf numFmtId="165" fontId="2" fillId="0" borderId="0" xfId="1" applyNumberFormat="1" applyFont="1" applyBorder="1" applyAlignment="1">
      <alignment horizontal="left" vertical="top"/>
    </xf>
    <xf numFmtId="165" fontId="2" fillId="0" borderId="0" xfId="1" applyNumberFormat="1" applyFont="1" applyAlignment="1">
      <alignment horizontal="center"/>
    </xf>
    <xf numFmtId="165" fontId="3" fillId="0" borderId="0" xfId="1" applyNumberFormat="1" applyFont="1" applyBorder="1" applyAlignment="1">
      <alignment horizontal="left" vertical="top"/>
    </xf>
    <xf numFmtId="165" fontId="2" fillId="0" borderId="0" xfId="1" applyNumberFormat="1" applyFont="1" applyAlignment="1"/>
    <xf numFmtId="165" fontId="2" fillId="0" borderId="0" xfId="1" applyNumberFormat="1" applyFont="1" applyBorder="1" applyAlignment="1">
      <alignment horizontal="center"/>
    </xf>
    <xf numFmtId="43" fontId="2" fillId="0" borderId="0" xfId="1" applyFont="1" applyBorder="1"/>
    <xf numFmtId="43" fontId="3" fillId="0" borderId="0" xfId="1" applyFont="1" applyBorder="1"/>
    <xf numFmtId="43" fontId="3" fillId="0" borderId="0" xfId="1" applyFont="1"/>
    <xf numFmtId="0" fontId="2" fillId="0" borderId="0" xfId="0" applyFont="1" applyAlignment="1">
      <alignment horizontal="center" vertical="top"/>
    </xf>
    <xf numFmtId="0" fontId="3" fillId="0" borderId="0" xfId="0" applyFont="1" applyAlignment="1">
      <alignment horizontal="center" vertical="center"/>
    </xf>
    <xf numFmtId="44" fontId="3" fillId="0" borderId="0" xfId="0" applyNumberFormat="1" applyFont="1"/>
    <xf numFmtId="44" fontId="2" fillId="0" borderId="0" xfId="0" applyNumberFormat="1" applyFont="1"/>
    <xf numFmtId="43" fontId="2" fillId="0" borderId="0" xfId="1" applyFont="1"/>
    <xf numFmtId="165" fontId="3" fillId="0" borderId="11" xfId="1" applyNumberFormat="1" applyFont="1" applyBorder="1"/>
    <xf numFmtId="44" fontId="2" fillId="0" borderId="0" xfId="0" applyNumberFormat="1" applyFont="1" applyAlignment="1">
      <alignment horizontal="center"/>
    </xf>
    <xf numFmtId="165" fontId="2" fillId="0" borderId="14" xfId="1" applyNumberFormat="1" applyFont="1" applyBorder="1"/>
    <xf numFmtId="165" fontId="3" fillId="0" borderId="12" xfId="1" applyNumberFormat="1" applyFont="1" applyBorder="1"/>
    <xf numFmtId="165" fontId="3" fillId="0" borderId="13" xfId="1" applyNumberFormat="1" applyFont="1" applyBorder="1"/>
    <xf numFmtId="165" fontId="3" fillId="0" borderId="15" xfId="1" applyNumberFormat="1" applyFont="1" applyBorder="1"/>
    <xf numFmtId="165" fontId="2" fillId="0" borderId="16" xfId="1" applyNumberFormat="1" applyFont="1" applyBorder="1"/>
    <xf numFmtId="165" fontId="3" fillId="0" borderId="8" xfId="1" applyNumberFormat="1" applyFont="1" applyBorder="1"/>
    <xf numFmtId="165" fontId="3" fillId="0" borderId="10" xfId="1" applyNumberFormat="1" applyFont="1" applyBorder="1"/>
    <xf numFmtId="170" fontId="2" fillId="0" borderId="0" xfId="0" applyNumberFormat="1" applyFont="1"/>
    <xf numFmtId="170" fontId="2" fillId="0" borderId="11" xfId="0" applyNumberFormat="1" applyFont="1" applyBorder="1" applyAlignment="1">
      <alignment horizontal="center"/>
    </xf>
    <xf numFmtId="165" fontId="2" fillId="0" borderId="11" xfId="0" applyNumberFormat="1" applyFont="1" applyBorder="1" applyAlignment="1">
      <alignment horizontal="center"/>
    </xf>
    <xf numFmtId="165" fontId="3" fillId="0" borderId="12" xfId="0" applyNumberFormat="1" applyFont="1" applyBorder="1"/>
    <xf numFmtId="165" fontId="3" fillId="0" borderId="15" xfId="0" applyNumberFormat="1" applyFont="1" applyBorder="1"/>
    <xf numFmtId="165" fontId="3" fillId="0" borderId="13" xfId="0" applyNumberFormat="1" applyFont="1" applyBorder="1"/>
    <xf numFmtId="165" fontId="2" fillId="0" borderId="8" xfId="0" applyNumberFormat="1" applyFont="1" applyBorder="1"/>
    <xf numFmtId="165" fontId="2" fillId="0" borderId="8" xfId="1" applyNumberFormat="1" applyFont="1" applyBorder="1"/>
    <xf numFmtId="167" fontId="3" fillId="0" borderId="0" xfId="0" applyNumberFormat="1" applyFont="1" applyAlignment="1">
      <alignment horizontal="right"/>
    </xf>
    <xf numFmtId="0" fontId="2" fillId="0" borderId="11" xfId="0" applyFont="1" applyBorder="1" applyAlignment="1">
      <alignment horizontal="center"/>
    </xf>
    <xf numFmtId="0" fontId="2" fillId="0" borderId="11" xfId="0" applyFont="1" applyBorder="1" applyAlignment="1">
      <alignment horizontal="center" vertical="center"/>
    </xf>
    <xf numFmtId="165" fontId="2" fillId="0" borderId="11" xfId="1" applyNumberFormat="1" applyFont="1" applyBorder="1" applyAlignment="1">
      <alignment horizontal="right" vertical="center"/>
    </xf>
    <xf numFmtId="0" fontId="2" fillId="0" borderId="11" xfId="0" applyFont="1" applyBorder="1" applyAlignment="1">
      <alignment horizontal="right" vertical="center" wrapText="1"/>
    </xf>
    <xf numFmtId="0" fontId="2" fillId="0" borderId="14" xfId="0" applyFont="1" applyBorder="1"/>
    <xf numFmtId="165" fontId="3" fillId="0" borderId="10" xfId="1" applyNumberFormat="1" applyFont="1" applyFill="1" applyBorder="1"/>
    <xf numFmtId="165" fontId="3" fillId="0" borderId="0" xfId="1" applyNumberFormat="1" applyFont="1" applyBorder="1" applyAlignment="1">
      <alignment horizontal="center"/>
    </xf>
    <xf numFmtId="165" fontId="2" fillId="0" borderId="11" xfId="1" applyNumberFormat="1" applyFont="1" applyBorder="1" applyAlignment="1">
      <alignment horizontal="center"/>
    </xf>
    <xf numFmtId="165" fontId="2" fillId="0" borderId="10" xfId="1" applyNumberFormat="1" applyFont="1" applyBorder="1"/>
    <xf numFmtId="165" fontId="2" fillId="0" borderId="0" xfId="0" applyNumberFormat="1" applyFont="1" applyAlignment="1">
      <alignment horizontal="left"/>
    </xf>
    <xf numFmtId="165" fontId="3" fillId="0" borderId="10" xfId="0" applyNumberFormat="1" applyFont="1" applyBorder="1"/>
    <xf numFmtId="165" fontId="8" fillId="0" borderId="0" xfId="0" applyNumberFormat="1" applyFont="1"/>
    <xf numFmtId="43" fontId="2" fillId="2" borderId="8" xfId="1" applyFont="1" applyFill="1" applyBorder="1" applyAlignment="1">
      <alignment horizontal="right"/>
    </xf>
    <xf numFmtId="43" fontId="3" fillId="2" borderId="0" xfId="1" applyFont="1" applyFill="1"/>
    <xf numFmtId="43" fontId="3" fillId="2" borderId="8" xfId="1" applyFont="1" applyFill="1" applyBorder="1"/>
    <xf numFmtId="0" fontId="0" fillId="0" borderId="10" xfId="0" applyBorder="1"/>
    <xf numFmtId="2" fontId="3" fillId="0" borderId="0" xfId="0" applyNumberFormat="1" applyFont="1"/>
    <xf numFmtId="0" fontId="5" fillId="0" borderId="0" xfId="0" applyFont="1" applyAlignment="1">
      <alignment horizontal="center" vertical="center"/>
    </xf>
    <xf numFmtId="0" fontId="5" fillId="0" borderId="0" xfId="0" applyFont="1" applyAlignment="1">
      <alignment horizontal="center"/>
    </xf>
    <xf numFmtId="43" fontId="2" fillId="0" borderId="14" xfId="1" applyFont="1" applyBorder="1"/>
    <xf numFmtId="16" fontId="2" fillId="0" borderId="0" xfId="0" applyNumberFormat="1" applyFont="1"/>
    <xf numFmtId="0" fontId="0" fillId="0" borderId="0" xfId="0" applyAlignment="1">
      <alignment horizontal="center" vertical="center"/>
    </xf>
    <xf numFmtId="43" fontId="0" fillId="0" borderId="0" xfId="1" applyFont="1" applyBorder="1"/>
    <xf numFmtId="0" fontId="2" fillId="0" borderId="9" xfId="0" applyFont="1" applyBorder="1" applyAlignment="1">
      <alignment horizontal="center" vertical="center"/>
    </xf>
    <xf numFmtId="165" fontId="0" fillId="0" borderId="0" xfId="1" applyNumberFormat="1" applyFont="1" applyAlignment="1">
      <alignment horizontal="center" vertical="center"/>
    </xf>
    <xf numFmtId="165" fontId="0" fillId="0" borderId="12" xfId="1" applyNumberFormat="1" applyFont="1" applyBorder="1" applyAlignment="1">
      <alignment horizontal="center" vertical="center"/>
    </xf>
    <xf numFmtId="165" fontId="0" fillId="0" borderId="15" xfId="1" applyNumberFormat="1" applyFont="1" applyBorder="1" applyAlignment="1">
      <alignment horizontal="center" vertical="center"/>
    </xf>
    <xf numFmtId="165" fontId="0" fillId="0" borderId="13" xfId="1" applyNumberFormat="1" applyFont="1" applyBorder="1" applyAlignment="1">
      <alignment horizontal="center" vertical="center"/>
    </xf>
    <xf numFmtId="165" fontId="1" fillId="0" borderId="11" xfId="1" applyNumberFormat="1" applyFont="1" applyBorder="1" applyAlignment="1">
      <alignment horizontal="center" vertical="center"/>
    </xf>
    <xf numFmtId="0" fontId="4" fillId="0" borderId="0" xfId="0" applyFont="1"/>
    <xf numFmtId="165" fontId="4" fillId="0" borderId="0" xfId="1" applyNumberFormat="1" applyFont="1" applyBorder="1" applyAlignment="1">
      <alignment horizontal="center" vertical="center"/>
    </xf>
    <xf numFmtId="14" fontId="2" fillId="0" borderId="11" xfId="1" applyNumberFormat="1" applyFont="1" applyBorder="1" applyAlignment="1">
      <alignment horizontal="right"/>
    </xf>
    <xf numFmtId="14" fontId="2" fillId="0" borderId="0" xfId="1" applyNumberFormat="1" applyFont="1"/>
    <xf numFmtId="165" fontId="2" fillId="0" borderId="11" xfId="1" applyNumberFormat="1" applyFont="1" applyBorder="1" applyAlignment="1">
      <alignment horizontal="right"/>
    </xf>
    <xf numFmtId="43" fontId="2" fillId="0" borderId="0" xfId="1" applyFont="1" applyAlignment="1">
      <alignment horizontal="right"/>
    </xf>
    <xf numFmtId="171" fontId="3" fillId="0" borderId="0" xfId="0" applyNumberFormat="1" applyFont="1"/>
    <xf numFmtId="41" fontId="3" fillId="0" borderId="0" xfId="0" applyNumberFormat="1" applyFont="1"/>
    <xf numFmtId="165" fontId="3" fillId="0" borderId="0" xfId="1" applyNumberFormat="1" applyFont="1" applyFill="1"/>
    <xf numFmtId="165" fontId="2" fillId="0" borderId="11" xfId="1" applyNumberFormat="1" applyFont="1" applyFill="1" applyBorder="1" applyAlignment="1">
      <alignment horizontal="center"/>
    </xf>
    <xf numFmtId="165" fontId="3" fillId="0" borderId="0" xfId="1" applyNumberFormat="1" applyFont="1" applyFill="1" applyBorder="1"/>
    <xf numFmtId="41" fontId="3" fillId="0" borderId="12" xfId="1" applyNumberFormat="1" applyFont="1" applyFill="1" applyBorder="1"/>
    <xf numFmtId="41" fontId="3" fillId="0" borderId="15" xfId="1" applyNumberFormat="1" applyFont="1" applyFill="1" applyBorder="1"/>
    <xf numFmtId="41" fontId="3" fillId="0" borderId="13" xfId="1" applyNumberFormat="1" applyFont="1" applyFill="1" applyBorder="1"/>
    <xf numFmtId="43" fontId="2" fillId="0" borderId="14" xfId="1" applyFont="1" applyFill="1" applyBorder="1"/>
    <xf numFmtId="165" fontId="2" fillId="0" borderId="0" xfId="1" applyNumberFormat="1" applyFont="1" applyFill="1" applyBorder="1"/>
    <xf numFmtId="165" fontId="12" fillId="0" borderId="0" xfId="1" applyNumberFormat="1" applyFont="1" applyAlignment="1">
      <alignment horizontal="right" wrapText="1"/>
    </xf>
    <xf numFmtId="165" fontId="12" fillId="0" borderId="11" xfId="1" applyNumberFormat="1" applyFont="1" applyBorder="1" applyAlignment="1">
      <alignment horizontal="right" wrapText="1"/>
    </xf>
    <xf numFmtId="0" fontId="7" fillId="0" borderId="0" xfId="0" applyFont="1"/>
    <xf numFmtId="165" fontId="7" fillId="0" borderId="0" xfId="1" applyNumberFormat="1" applyFont="1"/>
    <xf numFmtId="165" fontId="7" fillId="0" borderId="0" xfId="0" applyNumberFormat="1" applyFont="1"/>
    <xf numFmtId="43" fontId="7" fillId="0" borderId="0" xfId="1" applyFont="1"/>
    <xf numFmtId="165" fontId="7" fillId="6" borderId="0" xfId="0" applyNumberFormat="1" applyFont="1" applyFill="1"/>
    <xf numFmtId="1" fontId="7" fillId="5" borderId="0" xfId="0" applyNumberFormat="1" applyFont="1" applyFill="1"/>
    <xf numFmtId="0" fontId="13" fillId="5" borderId="0" xfId="0" applyFont="1" applyFill="1"/>
    <xf numFmtId="0" fontId="13" fillId="5" borderId="0" xfId="0" applyFont="1" applyFill="1" applyAlignment="1">
      <alignment horizontal="center"/>
    </xf>
    <xf numFmtId="0" fontId="13" fillId="0" borderId="0" xfId="0" applyFont="1"/>
    <xf numFmtId="0" fontId="13" fillId="0" borderId="8" xfId="0" applyFont="1" applyBorder="1"/>
    <xf numFmtId="0" fontId="7" fillId="5" borderId="8" xfId="0" applyFont="1" applyFill="1" applyBorder="1"/>
    <xf numFmtId="0" fontId="7" fillId="5" borderId="8" xfId="0" applyFont="1" applyFill="1" applyBorder="1" applyAlignment="1">
      <alignment horizontal="center"/>
    </xf>
    <xf numFmtId="43" fontId="7" fillId="0" borderId="0" xfId="0" applyNumberFormat="1" applyFont="1"/>
    <xf numFmtId="0" fontId="7" fillId="0" borderId="8" xfId="0" applyFont="1" applyBorder="1"/>
    <xf numFmtId="165" fontId="7" fillId="0" borderId="8" xfId="1" applyNumberFormat="1" applyFont="1" applyFill="1" applyBorder="1"/>
    <xf numFmtId="43" fontId="7" fillId="0" borderId="8" xfId="1" applyFont="1" applyFill="1" applyBorder="1"/>
    <xf numFmtId="165" fontId="7" fillId="0" borderId="0" xfId="1" applyNumberFormat="1" applyFont="1" applyFill="1" applyBorder="1"/>
    <xf numFmtId="0" fontId="10" fillId="0" borderId="0" xfId="0" applyFont="1" applyAlignment="1">
      <alignment wrapText="1"/>
    </xf>
    <xf numFmtId="0" fontId="16" fillId="0" borderId="0" xfId="0" applyFont="1" applyAlignment="1">
      <alignment wrapText="1"/>
    </xf>
    <xf numFmtId="0" fontId="16" fillId="0" borderId="0" xfId="0" applyFont="1" applyAlignment="1">
      <alignment horizontal="center" vertical="center" wrapText="1"/>
    </xf>
    <xf numFmtId="0" fontId="16" fillId="0" borderId="0" xfId="0" applyFont="1" applyAlignment="1">
      <alignment horizontal="center" wrapText="1"/>
    </xf>
    <xf numFmtId="0" fontId="18" fillId="0" borderId="8" xfId="0" applyFont="1" applyBorder="1" applyAlignment="1">
      <alignment horizontal="center" vertical="center" wrapText="1"/>
    </xf>
    <xf numFmtId="0" fontId="18" fillId="0" borderId="9" xfId="0" applyFont="1" applyBorder="1" applyAlignment="1">
      <alignment horizontal="center" vertical="center" wrapText="1"/>
    </xf>
    <xf numFmtId="165" fontId="18" fillId="0" borderId="9" xfId="0" applyNumberFormat="1" applyFont="1" applyBorder="1" applyAlignment="1">
      <alignment horizontal="center" vertical="center" wrapText="1"/>
    </xf>
    <xf numFmtId="0" fontId="18" fillId="0" borderId="0" xfId="0" applyFont="1" applyAlignment="1">
      <alignment wrapText="1"/>
    </xf>
    <xf numFmtId="1" fontId="10" fillId="0" borderId="0" xfId="0" applyNumberFormat="1" applyFont="1" applyAlignment="1">
      <alignment wrapText="1"/>
    </xf>
    <xf numFmtId="0" fontId="10" fillId="0" borderId="0" xfId="0" applyFont="1" applyAlignment="1">
      <alignment horizontal="left" wrapText="1"/>
    </xf>
    <xf numFmtId="43" fontId="10" fillId="0" borderId="0" xfId="0" applyNumberFormat="1" applyFont="1" applyAlignment="1">
      <alignment wrapText="1"/>
    </xf>
    <xf numFmtId="43" fontId="10" fillId="0" borderId="0" xfId="1" applyFont="1" applyFill="1" applyAlignment="1">
      <alignment wrapText="1"/>
    </xf>
    <xf numFmtId="44" fontId="2" fillId="0" borderId="0" xfId="0" applyNumberFormat="1" applyFont="1" applyAlignment="1">
      <alignment horizontal="left"/>
    </xf>
    <xf numFmtId="44" fontId="3" fillId="0" borderId="0" xfId="0" applyNumberFormat="1" applyFont="1" applyAlignment="1">
      <alignment horizontal="left"/>
    </xf>
    <xf numFmtId="165" fontId="2" fillId="0" borderId="12" xfId="1" applyNumberFormat="1" applyFont="1" applyBorder="1"/>
    <xf numFmtId="165" fontId="2" fillId="0" borderId="13" xfId="1" applyNumberFormat="1" applyFont="1" applyBorder="1"/>
    <xf numFmtId="0" fontId="0" fillId="0" borderId="15" xfId="0" applyBorder="1"/>
    <xf numFmtId="41" fontId="2" fillId="0" borderId="8" xfId="1" applyNumberFormat="1" applyFont="1" applyFill="1" applyBorder="1"/>
    <xf numFmtId="41" fontId="3" fillId="0" borderId="0" xfId="1" applyNumberFormat="1" applyFont="1" applyFill="1" applyBorder="1"/>
    <xf numFmtId="41" fontId="3" fillId="0" borderId="8" xfId="1" applyNumberFormat="1" applyFont="1" applyFill="1" applyBorder="1"/>
    <xf numFmtId="41" fontId="3" fillId="0" borderId="10" xfId="1" applyNumberFormat="1" applyFont="1" applyFill="1" applyBorder="1"/>
    <xf numFmtId="0" fontId="0" fillId="0" borderId="19" xfId="0" applyBorder="1" applyAlignment="1">
      <alignment vertical="top" wrapText="1"/>
    </xf>
    <xf numFmtId="0" fontId="4" fillId="8" borderId="11" xfId="0" applyFont="1" applyFill="1" applyBorder="1" applyAlignment="1">
      <alignment horizontal="left" vertical="top"/>
    </xf>
    <xf numFmtId="0" fontId="4" fillId="8" borderId="17" xfId="0" applyFont="1" applyFill="1" applyBorder="1" applyAlignment="1">
      <alignment vertical="top"/>
    </xf>
    <xf numFmtId="0" fontId="0" fillId="0" borderId="0" xfId="0" applyAlignment="1">
      <alignment vertical="top"/>
    </xf>
    <xf numFmtId="0" fontId="4" fillId="0" borderId="20" xfId="0" applyFont="1" applyBorder="1" applyAlignment="1">
      <alignment vertical="top"/>
    </xf>
    <xf numFmtId="0" fontId="4" fillId="0" borderId="21" xfId="0" applyFont="1" applyBorder="1" applyAlignment="1">
      <alignment vertical="top"/>
    </xf>
    <xf numFmtId="0" fontId="0" fillId="0" borderId="18" xfId="0" applyBorder="1" applyAlignment="1">
      <alignment vertical="top"/>
    </xf>
    <xf numFmtId="2" fontId="4" fillId="0" borderId="20" xfId="0" applyNumberFormat="1" applyFont="1" applyBorder="1" applyAlignment="1">
      <alignment vertical="top"/>
    </xf>
    <xf numFmtId="0" fontId="4" fillId="0" borderId="21" xfId="0" applyFont="1" applyBorder="1" applyAlignment="1">
      <alignment vertical="top" wrapText="1"/>
    </xf>
    <xf numFmtId="0" fontId="0" fillId="0" borderId="22" xfId="0" applyBorder="1" applyAlignment="1">
      <alignment vertical="top"/>
    </xf>
    <xf numFmtId="0" fontId="0" fillId="0" borderId="23" xfId="0" applyBorder="1" applyAlignment="1">
      <alignment vertical="top" wrapText="1"/>
    </xf>
    <xf numFmtId="0" fontId="0" fillId="0" borderId="13" xfId="0" applyBorder="1"/>
    <xf numFmtId="165" fontId="0" fillId="0" borderId="0" xfId="1" applyNumberFormat="1" applyFont="1" applyBorder="1"/>
    <xf numFmtId="165" fontId="0" fillId="0" borderId="10" xfId="1" applyNumberFormat="1" applyFont="1" applyBorder="1"/>
    <xf numFmtId="0" fontId="20" fillId="0" borderId="0" xfId="0" applyFont="1"/>
    <xf numFmtId="43" fontId="3" fillId="0" borderId="20" xfId="0" applyNumberFormat="1" applyFont="1" applyBorder="1"/>
    <xf numFmtId="43" fontId="3" fillId="0" borderId="9" xfId="0" applyNumberFormat="1" applyFont="1" applyBorder="1"/>
    <xf numFmtId="43" fontId="3" fillId="0" borderId="21" xfId="0" applyNumberFormat="1" applyFont="1" applyBorder="1"/>
    <xf numFmtId="173" fontId="0" fillId="0" borderId="0" xfId="0" applyNumberFormat="1"/>
    <xf numFmtId="0" fontId="0" fillId="0" borderId="17" xfId="0" applyBorder="1" applyAlignment="1">
      <alignment horizontal="center" vertical="center"/>
    </xf>
    <xf numFmtId="2" fontId="0" fillId="0" borderId="0" xfId="0" applyNumberFormat="1"/>
    <xf numFmtId="43" fontId="0" fillId="0" borderId="23" xfId="1" applyFont="1" applyBorder="1"/>
    <xf numFmtId="2" fontId="0" fillId="0" borderId="10" xfId="0" applyNumberFormat="1" applyBorder="1"/>
    <xf numFmtId="43" fontId="0" fillId="0" borderId="10" xfId="1" applyFont="1" applyBorder="1"/>
    <xf numFmtId="43" fontId="0" fillId="0" borderId="19" xfId="1" applyFont="1" applyBorder="1"/>
    <xf numFmtId="0" fontId="0" fillId="0" borderId="11" xfId="0" applyBorder="1" applyAlignment="1">
      <alignment horizontal="center" vertical="center"/>
    </xf>
    <xf numFmtId="170" fontId="0" fillId="0" borderId="15" xfId="0" applyNumberFormat="1" applyBorder="1"/>
    <xf numFmtId="170" fontId="0" fillId="0" borderId="13" xfId="0" applyNumberFormat="1" applyBorder="1"/>
    <xf numFmtId="43" fontId="10" fillId="0" borderId="0" xfId="1" applyFont="1" applyFill="1" applyBorder="1" applyAlignment="1">
      <alignment wrapText="1"/>
    </xf>
    <xf numFmtId="0" fontId="10" fillId="0" borderId="0" xfId="0" applyFont="1" applyAlignment="1">
      <alignment horizontal="center" wrapText="1"/>
    </xf>
    <xf numFmtId="4" fontId="3" fillId="0" borderId="0" xfId="0" applyNumberFormat="1" applyFont="1"/>
    <xf numFmtId="0" fontId="10" fillId="0" borderId="0" xfId="0" applyFont="1" applyAlignment="1">
      <alignment horizontal="center" vertical="center" wrapText="1"/>
    </xf>
    <xf numFmtId="43" fontId="17" fillId="0" borderId="0" xfId="1" applyFont="1" applyFill="1" applyAlignment="1">
      <alignment wrapText="1"/>
    </xf>
    <xf numFmtId="43" fontId="18" fillId="0" borderId="9" xfId="1" applyFont="1" applyFill="1" applyBorder="1" applyAlignment="1">
      <alignment horizontal="center" vertical="center" wrapText="1"/>
    </xf>
    <xf numFmtId="174" fontId="7" fillId="0" borderId="0" xfId="0" applyNumberFormat="1" applyFont="1"/>
    <xf numFmtId="43" fontId="3" fillId="0" borderId="25" xfId="1" applyFont="1" applyBorder="1"/>
    <xf numFmtId="0" fontId="3" fillId="0" borderId="24" xfId="0" applyFont="1" applyBorder="1"/>
    <xf numFmtId="43" fontId="7" fillId="0" borderId="0" xfId="1" applyFont="1" applyFill="1"/>
    <xf numFmtId="167" fontId="3" fillId="0" borderId="22" xfId="0" applyNumberFormat="1" applyFont="1" applyBorder="1"/>
    <xf numFmtId="43" fontId="3" fillId="0" borderId="11" xfId="1" applyFont="1" applyBorder="1" applyAlignment="1">
      <alignment horizontal="right" vertical="center"/>
    </xf>
    <xf numFmtId="167" fontId="2" fillId="0" borderId="11" xfId="0" applyNumberFormat="1" applyFont="1" applyBorder="1" applyAlignment="1">
      <alignment horizontal="center" vertical="center" wrapText="1"/>
    </xf>
    <xf numFmtId="166" fontId="3" fillId="0" borderId="25" xfId="1" applyNumberFormat="1" applyFont="1" applyBorder="1"/>
    <xf numFmtId="0" fontId="13" fillId="0" borderId="8" xfId="0" applyFont="1" applyBorder="1" applyAlignment="1">
      <alignment horizontal="right"/>
    </xf>
    <xf numFmtId="43" fontId="13" fillId="0" borderId="8" xfId="1" applyFont="1" applyFill="1" applyBorder="1" applyAlignment="1">
      <alignment horizontal="right"/>
    </xf>
    <xf numFmtId="1" fontId="10" fillId="0" borderId="9" xfId="0" applyNumberFormat="1" applyFont="1" applyBorder="1" applyAlignment="1">
      <alignment wrapText="1"/>
    </xf>
    <xf numFmtId="0" fontId="10" fillId="0" borderId="9" xfId="0" applyFont="1" applyBorder="1" applyAlignment="1">
      <alignment horizontal="center" vertical="center" wrapText="1"/>
    </xf>
    <xf numFmtId="0" fontId="10" fillId="0" borderId="9" xfId="0" applyFont="1" applyBorder="1" applyAlignment="1">
      <alignment horizontal="center" wrapText="1"/>
    </xf>
    <xf numFmtId="0" fontId="10" fillId="0" borderId="9" xfId="0" applyFont="1" applyBorder="1" applyAlignment="1">
      <alignment horizontal="left" wrapText="1"/>
    </xf>
    <xf numFmtId="43" fontId="10" fillId="0" borderId="9" xfId="1" applyFont="1" applyFill="1" applyBorder="1" applyAlignment="1">
      <alignment wrapText="1"/>
    </xf>
    <xf numFmtId="1" fontId="10" fillId="0" borderId="10" xfId="0" applyNumberFormat="1" applyFont="1" applyBorder="1" applyAlignment="1">
      <alignment wrapText="1"/>
    </xf>
    <xf numFmtId="0" fontId="10" fillId="0" borderId="10" xfId="0" applyFont="1" applyBorder="1" applyAlignment="1">
      <alignment horizontal="center" vertical="center" wrapText="1"/>
    </xf>
    <xf numFmtId="0" fontId="10" fillId="0" borderId="10" xfId="0" applyFont="1" applyBorder="1" applyAlignment="1">
      <alignment horizontal="center" wrapText="1"/>
    </xf>
    <xf numFmtId="0" fontId="10" fillId="0" borderId="10" xfId="0" applyFont="1" applyBorder="1" applyAlignment="1">
      <alignment horizontal="left" wrapText="1"/>
    </xf>
    <xf numFmtId="43" fontId="10" fillId="0" borderId="10" xfId="1" applyFont="1" applyFill="1" applyBorder="1" applyAlignment="1">
      <alignment wrapText="1"/>
    </xf>
    <xf numFmtId="0" fontId="10" fillId="0" borderId="9" xfId="0" applyFont="1" applyBorder="1" applyAlignment="1">
      <alignment wrapText="1"/>
    </xf>
    <xf numFmtId="0" fontId="10" fillId="0" borderId="10" xfId="0" applyFont="1" applyBorder="1" applyAlignment="1">
      <alignment wrapText="1"/>
    </xf>
    <xf numFmtId="14" fontId="10" fillId="0" borderId="9" xfId="0" applyNumberFormat="1" applyFont="1" applyBorder="1" applyAlignment="1">
      <alignment wrapText="1"/>
    </xf>
    <xf numFmtId="14" fontId="10" fillId="0" borderId="10" xfId="0" applyNumberFormat="1" applyFont="1" applyBorder="1" applyAlignment="1">
      <alignment wrapText="1"/>
    </xf>
    <xf numFmtId="14" fontId="10" fillId="0" borderId="0" xfId="0" applyNumberFormat="1" applyFont="1" applyAlignment="1">
      <alignment wrapText="1"/>
    </xf>
    <xf numFmtId="0" fontId="10" fillId="3" borderId="9" xfId="0" applyFont="1" applyFill="1" applyBorder="1" applyAlignment="1">
      <alignment wrapText="1"/>
    </xf>
    <xf numFmtId="1" fontId="10" fillId="3" borderId="9" xfId="0" applyNumberFormat="1" applyFont="1" applyFill="1" applyBorder="1" applyAlignment="1">
      <alignment wrapText="1"/>
    </xf>
    <xf numFmtId="172" fontId="10" fillId="3" borderId="9" xfId="0" applyNumberFormat="1" applyFont="1" applyFill="1" applyBorder="1" applyAlignment="1">
      <alignment wrapText="1"/>
    </xf>
    <xf numFmtId="0" fontId="10" fillId="3" borderId="9" xfId="0" applyFont="1" applyFill="1" applyBorder="1" applyAlignment="1">
      <alignment horizontal="center" vertical="center" wrapText="1"/>
    </xf>
    <xf numFmtId="0" fontId="10" fillId="3" borderId="9" xfId="0" applyFont="1" applyFill="1" applyBorder="1" applyAlignment="1">
      <alignment horizontal="center" wrapText="1"/>
    </xf>
    <xf numFmtId="0" fontId="10" fillId="3" borderId="9" xfId="0" applyFont="1" applyFill="1" applyBorder="1" applyAlignment="1">
      <alignment horizontal="left" wrapText="1"/>
    </xf>
    <xf numFmtId="43" fontId="10" fillId="3" borderId="9" xfId="1" applyFont="1" applyFill="1" applyBorder="1" applyAlignment="1">
      <alignment wrapText="1"/>
    </xf>
    <xf numFmtId="0" fontId="10" fillId="3" borderId="10" xfId="0" applyFont="1" applyFill="1" applyBorder="1" applyAlignment="1">
      <alignment wrapText="1"/>
    </xf>
    <xf numFmtId="0" fontId="10" fillId="3" borderId="10" xfId="0" applyFont="1" applyFill="1" applyBorder="1" applyAlignment="1">
      <alignment horizontal="center" vertical="center" wrapText="1"/>
    </xf>
    <xf numFmtId="0" fontId="10" fillId="3" borderId="10" xfId="0" applyFont="1" applyFill="1" applyBorder="1" applyAlignment="1">
      <alignment horizontal="center" wrapText="1"/>
    </xf>
    <xf numFmtId="0" fontId="10" fillId="3" borderId="10" xfId="0" applyFont="1" applyFill="1" applyBorder="1" applyAlignment="1">
      <alignment horizontal="left" wrapText="1"/>
    </xf>
    <xf numFmtId="43" fontId="10" fillId="3" borderId="10" xfId="1" applyFont="1" applyFill="1" applyBorder="1" applyAlignment="1">
      <alignment wrapText="1"/>
    </xf>
    <xf numFmtId="1" fontId="10" fillId="3" borderId="10" xfId="0" applyNumberFormat="1" applyFont="1" applyFill="1" applyBorder="1" applyAlignment="1">
      <alignment wrapText="1"/>
    </xf>
    <xf numFmtId="172" fontId="10" fillId="3" borderId="10" xfId="0" applyNumberFormat="1" applyFont="1" applyFill="1" applyBorder="1" applyAlignment="1">
      <alignment wrapText="1"/>
    </xf>
    <xf numFmtId="43" fontId="0" fillId="0" borderId="0" xfId="1" applyFont="1"/>
    <xf numFmtId="1" fontId="10" fillId="9" borderId="9" xfId="0" applyNumberFormat="1" applyFont="1" applyFill="1" applyBorder="1" applyAlignment="1">
      <alignment wrapText="1"/>
    </xf>
    <xf numFmtId="14" fontId="10" fillId="9" borderId="9" xfId="0" applyNumberFormat="1" applyFont="1" applyFill="1" applyBorder="1" applyAlignment="1">
      <alignment wrapText="1"/>
    </xf>
    <xf numFmtId="0" fontId="10" fillId="9" borderId="9" xfId="0" applyFont="1" applyFill="1" applyBorder="1" applyAlignment="1">
      <alignment horizontal="center" vertical="center" wrapText="1"/>
    </xf>
    <xf numFmtId="0" fontId="10" fillId="9" borderId="9" xfId="0" applyFont="1" applyFill="1" applyBorder="1" applyAlignment="1">
      <alignment horizontal="center" wrapText="1"/>
    </xf>
    <xf numFmtId="0" fontId="10" fillId="9" borderId="9" xfId="0" applyFont="1" applyFill="1" applyBorder="1" applyAlignment="1">
      <alignment horizontal="left" wrapText="1"/>
    </xf>
    <xf numFmtId="43" fontId="10" fillId="9" borderId="9" xfId="1" applyFont="1" applyFill="1" applyBorder="1" applyAlignment="1">
      <alignment wrapText="1"/>
    </xf>
    <xf numFmtId="1" fontId="10" fillId="9" borderId="0" xfId="0" applyNumberFormat="1" applyFont="1" applyFill="1" applyAlignment="1">
      <alignment wrapText="1"/>
    </xf>
    <xf numFmtId="14" fontId="10" fillId="9" borderId="0" xfId="0" applyNumberFormat="1" applyFont="1" applyFill="1" applyAlignment="1">
      <alignment wrapText="1"/>
    </xf>
    <xf numFmtId="0" fontId="10" fillId="9" borderId="0" xfId="0" applyFont="1" applyFill="1" applyAlignment="1">
      <alignment horizontal="center" vertical="center" wrapText="1"/>
    </xf>
    <xf numFmtId="0" fontId="10" fillId="9" borderId="0" xfId="0" applyFont="1" applyFill="1" applyAlignment="1">
      <alignment horizontal="center" wrapText="1"/>
    </xf>
    <xf numFmtId="0" fontId="10" fillId="9" borderId="0" xfId="0" applyFont="1" applyFill="1" applyAlignment="1">
      <alignment horizontal="left" wrapText="1"/>
    </xf>
    <xf numFmtId="43" fontId="10" fillId="9" borderId="0" xfId="1" applyFont="1" applyFill="1" applyBorder="1" applyAlignment="1">
      <alignment wrapText="1"/>
    </xf>
    <xf numFmtId="4" fontId="10" fillId="0" borderId="0" xfId="0" applyNumberFormat="1" applyFont="1" applyAlignment="1">
      <alignment wrapText="1"/>
    </xf>
    <xf numFmtId="0" fontId="10" fillId="3" borderId="0" xfId="0" applyFont="1" applyFill="1" applyAlignment="1">
      <alignment wrapText="1"/>
    </xf>
    <xf numFmtId="1" fontId="10" fillId="3" borderId="0" xfId="0" applyNumberFormat="1" applyFont="1" applyFill="1" applyAlignment="1">
      <alignment wrapText="1"/>
    </xf>
    <xf numFmtId="172" fontId="10" fillId="3" borderId="0" xfId="0" applyNumberFormat="1" applyFont="1" applyFill="1" applyAlignment="1">
      <alignment wrapText="1"/>
    </xf>
    <xf numFmtId="0" fontId="10" fillId="3" borderId="0" xfId="0" applyFont="1" applyFill="1" applyAlignment="1">
      <alignment horizontal="center" vertical="center" wrapText="1"/>
    </xf>
    <xf numFmtId="0" fontId="10" fillId="3" borderId="0" xfId="0" applyFont="1" applyFill="1" applyAlignment="1">
      <alignment horizontal="center" wrapText="1"/>
    </xf>
    <xf numFmtId="0" fontId="10" fillId="3" borderId="0" xfId="0" applyFont="1" applyFill="1" applyAlignment="1">
      <alignment horizontal="left" wrapText="1"/>
    </xf>
    <xf numFmtId="43" fontId="10" fillId="3" borderId="0" xfId="1" applyFont="1" applyFill="1" applyBorder="1" applyAlignment="1">
      <alignment wrapText="1"/>
    </xf>
    <xf numFmtId="172" fontId="10" fillId="0" borderId="9" xfId="0" applyNumberFormat="1" applyFont="1" applyBorder="1" applyAlignment="1">
      <alignment wrapText="1"/>
    </xf>
    <xf numFmtId="172" fontId="10" fillId="0" borderId="10" xfId="0" applyNumberFormat="1" applyFont="1" applyBorder="1" applyAlignment="1">
      <alignment wrapText="1"/>
    </xf>
    <xf numFmtId="165" fontId="2" fillId="0" borderId="8" xfId="1" applyNumberFormat="1" applyFont="1" applyBorder="1" applyAlignment="1">
      <alignment horizontal="center" vertical="center"/>
    </xf>
    <xf numFmtId="165" fontId="3" fillId="0" borderId="9" xfId="1" applyNumberFormat="1" applyFont="1" applyBorder="1"/>
    <xf numFmtId="165" fontId="3" fillId="7" borderId="0" xfId="1" applyNumberFormat="1" applyFont="1" applyFill="1"/>
    <xf numFmtId="172" fontId="10" fillId="0" borderId="0" xfId="0" applyNumberFormat="1" applyFont="1" applyAlignment="1">
      <alignment wrapText="1"/>
    </xf>
    <xf numFmtId="43" fontId="3" fillId="0" borderId="0" xfId="1" applyFont="1" applyAlignment="1">
      <alignment horizontal="center" vertical="center"/>
    </xf>
    <xf numFmtId="165" fontId="10" fillId="0" borderId="0" xfId="0" applyNumberFormat="1" applyFont="1" applyAlignment="1">
      <alignment wrapText="1"/>
    </xf>
    <xf numFmtId="175" fontId="3" fillId="0" borderId="0" xfId="1" applyNumberFormat="1" applyFont="1"/>
    <xf numFmtId="1" fontId="10" fillId="10" borderId="9" xfId="0" applyNumberFormat="1" applyFont="1" applyFill="1" applyBorder="1" applyAlignment="1">
      <alignment wrapText="1"/>
    </xf>
    <xf numFmtId="0" fontId="10" fillId="10" borderId="9" xfId="0" applyFont="1" applyFill="1" applyBorder="1" applyAlignment="1">
      <alignment wrapText="1"/>
    </xf>
    <xf numFmtId="14" fontId="10" fillId="10" borderId="9" xfId="0" applyNumberFormat="1" applyFont="1" applyFill="1" applyBorder="1" applyAlignment="1">
      <alignment wrapText="1"/>
    </xf>
    <xf numFmtId="0" fontId="10" fillId="10" borderId="9" xfId="0" applyFont="1" applyFill="1" applyBorder="1" applyAlignment="1">
      <alignment horizontal="center" vertical="center" wrapText="1"/>
    </xf>
    <xf numFmtId="0" fontId="10" fillId="10" borderId="9" xfId="0" applyFont="1" applyFill="1" applyBorder="1" applyAlignment="1">
      <alignment horizontal="center" wrapText="1"/>
    </xf>
    <xf numFmtId="0" fontId="10" fillId="10" borderId="9" xfId="0" applyFont="1" applyFill="1" applyBorder="1" applyAlignment="1">
      <alignment horizontal="left" wrapText="1"/>
    </xf>
    <xf numFmtId="43" fontId="10" fillId="10" borderId="9" xfId="1" applyFont="1" applyFill="1" applyBorder="1" applyAlignment="1">
      <alignment wrapText="1"/>
    </xf>
    <xf numFmtId="1" fontId="10" fillId="10" borderId="10" xfId="0" applyNumberFormat="1" applyFont="1" applyFill="1" applyBorder="1" applyAlignment="1">
      <alignment wrapText="1"/>
    </xf>
    <xf numFmtId="0" fontId="10" fillId="10" borderId="10" xfId="0" applyFont="1" applyFill="1" applyBorder="1" applyAlignment="1">
      <alignment wrapText="1"/>
    </xf>
    <xf numFmtId="14" fontId="10" fillId="10" borderId="10" xfId="0" applyNumberFormat="1" applyFont="1" applyFill="1" applyBorder="1" applyAlignment="1">
      <alignment wrapText="1"/>
    </xf>
    <xf numFmtId="0" fontId="10" fillId="10" borderId="10" xfId="0" applyFont="1" applyFill="1" applyBorder="1" applyAlignment="1">
      <alignment horizontal="center" vertical="center" wrapText="1"/>
    </xf>
    <xf numFmtId="0" fontId="10" fillId="10" borderId="10" xfId="0" applyFont="1" applyFill="1" applyBorder="1" applyAlignment="1">
      <alignment horizontal="center" wrapText="1"/>
    </xf>
    <xf numFmtId="0" fontId="10" fillId="10" borderId="10" xfId="0" applyFont="1" applyFill="1" applyBorder="1" applyAlignment="1">
      <alignment horizontal="left" wrapText="1"/>
    </xf>
    <xf numFmtId="43" fontId="10" fillId="10" borderId="10" xfId="1" applyFont="1" applyFill="1" applyBorder="1" applyAlignment="1">
      <alignment wrapText="1"/>
    </xf>
    <xf numFmtId="4" fontId="10" fillId="0" borderId="10" xfId="0" applyNumberFormat="1" applyFont="1" applyBorder="1" applyAlignment="1">
      <alignment wrapText="1"/>
    </xf>
    <xf numFmtId="43" fontId="10" fillId="11" borderId="9" xfId="1" applyFont="1" applyFill="1" applyBorder="1" applyAlignment="1">
      <alignment wrapText="1"/>
    </xf>
    <xf numFmtId="176" fontId="3" fillId="0" borderId="0" xfId="0" applyNumberFormat="1" applyFont="1"/>
    <xf numFmtId="165" fontId="3" fillId="0" borderId="15" xfId="1" applyNumberFormat="1" applyFont="1" applyBorder="1" applyAlignment="1">
      <alignment horizontal="right"/>
    </xf>
    <xf numFmtId="43" fontId="10" fillId="0" borderId="26" xfId="1" applyFont="1" applyBorder="1"/>
    <xf numFmtId="43" fontId="10" fillId="0" borderId="26" xfId="1" applyFont="1" applyBorder="1" applyAlignment="1">
      <alignment horizontal="center" vertical="center"/>
    </xf>
    <xf numFmtId="165" fontId="10" fillId="0" borderId="0" xfId="1" applyNumberFormat="1" applyFont="1"/>
    <xf numFmtId="43" fontId="10" fillId="0" borderId="0" xfId="1" applyFont="1" applyBorder="1" applyAlignment="1">
      <alignment horizontal="center" vertical="center"/>
    </xf>
    <xf numFmtId="43" fontId="10" fillId="0" borderId="0" xfId="1" applyFont="1"/>
    <xf numFmtId="43" fontId="10" fillId="0" borderId="26" xfId="1" applyFont="1" applyFill="1" applyBorder="1" applyAlignment="1">
      <alignment horizontal="center" vertical="center"/>
    </xf>
    <xf numFmtId="43" fontId="10" fillId="0" borderId="26" xfId="1" applyFont="1" applyFill="1" applyBorder="1"/>
    <xf numFmtId="165" fontId="7" fillId="0" borderId="0" xfId="0" applyNumberFormat="1" applyFont="1" applyAlignment="1">
      <alignment horizontal="center" vertical="center" wrapText="1"/>
    </xf>
    <xf numFmtId="165" fontId="3" fillId="0" borderId="27" xfId="1" applyNumberFormat="1" applyFont="1" applyBorder="1"/>
    <xf numFmtId="0" fontId="3" fillId="0" borderId="28" xfId="0" applyFont="1" applyBorder="1"/>
    <xf numFmtId="43" fontId="3" fillId="0" borderId="29" xfId="0" applyNumberFormat="1" applyFont="1" applyBorder="1"/>
    <xf numFmtId="166" fontId="2" fillId="0" borderId="0" xfId="0" applyNumberFormat="1" applyFont="1"/>
    <xf numFmtId="166" fontId="3" fillId="0" borderId="0" xfId="0" applyNumberFormat="1" applyFont="1"/>
    <xf numFmtId="1" fontId="10" fillId="12" borderId="0" xfId="0" applyNumberFormat="1" applyFont="1" applyFill="1" applyAlignment="1">
      <alignment wrapText="1"/>
    </xf>
    <xf numFmtId="0" fontId="10" fillId="12" borderId="9" xfId="0" applyFont="1" applyFill="1" applyBorder="1" applyAlignment="1">
      <alignment wrapText="1"/>
    </xf>
    <xf numFmtId="14" fontId="10" fillId="12" borderId="9" xfId="0" applyNumberFormat="1" applyFont="1" applyFill="1" applyBorder="1" applyAlignment="1">
      <alignment wrapText="1"/>
    </xf>
    <xf numFmtId="0" fontId="10" fillId="12" borderId="9" xfId="0" applyFont="1" applyFill="1" applyBorder="1" applyAlignment="1">
      <alignment horizontal="center" vertical="center" wrapText="1"/>
    </xf>
    <xf numFmtId="0" fontId="10" fillId="12" borderId="0" xfId="0" applyFont="1" applyFill="1" applyAlignment="1">
      <alignment horizontal="center" vertical="center" wrapText="1"/>
    </xf>
    <xf numFmtId="0" fontId="10" fillId="12" borderId="0" xfId="0" applyFont="1" applyFill="1" applyAlignment="1">
      <alignment horizontal="center" wrapText="1"/>
    </xf>
    <xf numFmtId="0" fontId="10" fillId="12" borderId="0" xfId="0" applyFont="1" applyFill="1" applyAlignment="1">
      <alignment horizontal="left" wrapText="1"/>
    </xf>
    <xf numFmtId="4" fontId="10" fillId="12" borderId="0" xfId="0" applyNumberFormat="1" applyFont="1" applyFill="1" applyAlignment="1">
      <alignment wrapText="1"/>
    </xf>
    <xf numFmtId="43" fontId="10" fillId="12" borderId="0" xfId="1" applyFont="1" applyFill="1" applyBorder="1" applyAlignment="1">
      <alignment wrapText="1"/>
    </xf>
    <xf numFmtId="1" fontId="10" fillId="12" borderId="10" xfId="0" applyNumberFormat="1" applyFont="1" applyFill="1" applyBorder="1" applyAlignment="1">
      <alignment wrapText="1"/>
    </xf>
    <xf numFmtId="14" fontId="10" fillId="12" borderId="10" xfId="0" applyNumberFormat="1" applyFont="1" applyFill="1" applyBorder="1" applyAlignment="1">
      <alignment wrapText="1"/>
    </xf>
    <xf numFmtId="0" fontId="10" fillId="12" borderId="10" xfId="0" applyFont="1" applyFill="1" applyBorder="1" applyAlignment="1">
      <alignment horizontal="center" vertical="center" wrapText="1"/>
    </xf>
    <xf numFmtId="0" fontId="10" fillId="12" borderId="10" xfId="0" applyFont="1" applyFill="1" applyBorder="1" applyAlignment="1">
      <alignment wrapText="1"/>
    </xf>
    <xf numFmtId="0" fontId="10" fillId="12" borderId="9" xfId="0" applyFont="1" applyFill="1" applyBorder="1" applyAlignment="1">
      <alignment horizontal="center" wrapText="1"/>
    </xf>
    <xf numFmtId="0" fontId="10" fillId="12" borderId="10" xfId="0" applyFont="1" applyFill="1" applyBorder="1" applyAlignment="1">
      <alignment horizontal="center" wrapText="1"/>
    </xf>
    <xf numFmtId="0" fontId="7" fillId="0" borderId="8" xfId="1" applyNumberFormat="1" applyFont="1" applyFill="1" applyBorder="1"/>
    <xf numFmtId="1" fontId="10" fillId="13" borderId="0" xfId="0" applyNumberFormat="1" applyFont="1" applyFill="1" applyAlignment="1">
      <alignment wrapText="1"/>
    </xf>
    <xf numFmtId="0" fontId="10" fillId="13" borderId="9" xfId="0" applyFont="1" applyFill="1" applyBorder="1" applyAlignment="1">
      <alignment wrapText="1"/>
    </xf>
    <xf numFmtId="14" fontId="10" fillId="13" borderId="9" xfId="0" applyNumberFormat="1" applyFont="1" applyFill="1" applyBorder="1" applyAlignment="1">
      <alignment wrapText="1"/>
    </xf>
    <xf numFmtId="0" fontId="10" fillId="13" borderId="9" xfId="0" applyFont="1" applyFill="1" applyBorder="1" applyAlignment="1">
      <alignment horizontal="center" vertical="center" wrapText="1"/>
    </xf>
    <xf numFmtId="0" fontId="10" fillId="13" borderId="0" xfId="0" applyFont="1" applyFill="1" applyAlignment="1">
      <alignment horizontal="center" vertical="center" wrapText="1"/>
    </xf>
    <xf numFmtId="0" fontId="10" fillId="13" borderId="9" xfId="0" applyFont="1" applyFill="1" applyBorder="1" applyAlignment="1">
      <alignment horizontal="center" wrapText="1"/>
    </xf>
    <xf numFmtId="0" fontId="10" fillId="13" borderId="0" xfId="0" applyFont="1" applyFill="1" applyAlignment="1">
      <alignment horizontal="center" wrapText="1"/>
    </xf>
    <xf numFmtId="0" fontId="10" fillId="13" borderId="0" xfId="0" applyFont="1" applyFill="1" applyAlignment="1">
      <alignment horizontal="left" wrapText="1"/>
    </xf>
    <xf numFmtId="4" fontId="10" fillId="13" borderId="0" xfId="0" applyNumberFormat="1" applyFont="1" applyFill="1" applyAlignment="1">
      <alignment wrapText="1"/>
    </xf>
    <xf numFmtId="43" fontId="10" fillId="13" borderId="0" xfId="1" applyFont="1" applyFill="1" applyBorder="1" applyAlignment="1">
      <alignment wrapText="1"/>
    </xf>
    <xf numFmtId="0" fontId="10" fillId="13" borderId="10" xfId="0" applyFont="1" applyFill="1" applyBorder="1" applyAlignment="1">
      <alignment wrapText="1"/>
    </xf>
    <xf numFmtId="14" fontId="10" fillId="13" borderId="10" xfId="0" applyNumberFormat="1" applyFont="1" applyFill="1" applyBorder="1" applyAlignment="1">
      <alignment wrapText="1"/>
    </xf>
    <xf numFmtId="0" fontId="10" fillId="13" borderId="10" xfId="0" applyFont="1" applyFill="1" applyBorder="1" applyAlignment="1">
      <alignment horizontal="center" vertical="center" wrapText="1"/>
    </xf>
    <xf numFmtId="0" fontId="10" fillId="13" borderId="10" xfId="0" applyFont="1" applyFill="1" applyBorder="1" applyAlignment="1">
      <alignment horizontal="center" wrapText="1"/>
    </xf>
    <xf numFmtId="1" fontId="10" fillId="13" borderId="9" xfId="0" applyNumberFormat="1" applyFont="1" applyFill="1" applyBorder="1" applyAlignment="1">
      <alignment wrapText="1"/>
    </xf>
    <xf numFmtId="0" fontId="10" fillId="13" borderId="9" xfId="0" applyFont="1" applyFill="1" applyBorder="1" applyAlignment="1">
      <alignment horizontal="left" wrapText="1"/>
    </xf>
    <xf numFmtId="43" fontId="10" fillId="13" borderId="9" xfId="1" applyFont="1" applyFill="1" applyBorder="1" applyAlignment="1">
      <alignment wrapText="1"/>
    </xf>
    <xf numFmtId="1" fontId="10" fillId="13" borderId="10" xfId="0" applyNumberFormat="1" applyFont="1" applyFill="1" applyBorder="1" applyAlignment="1">
      <alignment wrapText="1"/>
    </xf>
    <xf numFmtId="0" fontId="10" fillId="13" borderId="10" xfId="0" applyFont="1" applyFill="1" applyBorder="1" applyAlignment="1">
      <alignment horizontal="left" wrapText="1"/>
    </xf>
    <xf numFmtId="43" fontId="10" fillId="13" borderId="10" xfId="1" applyFont="1" applyFill="1" applyBorder="1" applyAlignment="1">
      <alignment wrapText="1"/>
    </xf>
    <xf numFmtId="43" fontId="7" fillId="0" borderId="0" xfId="1" applyFont="1" applyFill="1" applyBorder="1"/>
    <xf numFmtId="43" fontId="3" fillId="0" borderId="29" xfId="1" applyFont="1" applyBorder="1"/>
    <xf numFmtId="43" fontId="2" fillId="0" borderId="0" xfId="1" applyFont="1" applyFill="1" applyBorder="1"/>
    <xf numFmtId="1" fontId="10" fillId="0" borderId="8" xfId="0" applyNumberFormat="1" applyFont="1" applyBorder="1" applyAlignment="1">
      <alignment wrapText="1"/>
    </xf>
    <xf numFmtId="172" fontId="10" fillId="0" borderId="8" xfId="0" applyNumberFormat="1" applyFont="1" applyBorder="1" applyAlignment="1">
      <alignment wrapText="1"/>
    </xf>
    <xf numFmtId="165" fontId="3" fillId="0" borderId="0" xfId="0" applyNumberFormat="1" applyFont="1" applyAlignment="1">
      <alignment horizontal="right"/>
    </xf>
    <xf numFmtId="10" fontId="3" fillId="0" borderId="0" xfId="3" applyNumberFormat="1" applyFont="1" applyAlignment="1">
      <alignment horizontal="right"/>
    </xf>
    <xf numFmtId="165" fontId="3" fillId="0" borderId="0" xfId="3" applyNumberFormat="1" applyFont="1" applyAlignment="1">
      <alignment horizontal="right"/>
    </xf>
    <xf numFmtId="43" fontId="3" fillId="0" borderId="25" xfId="0" applyNumberFormat="1" applyFont="1" applyBorder="1"/>
    <xf numFmtId="0" fontId="3" fillId="0" borderId="25" xfId="0" applyFont="1" applyBorder="1"/>
    <xf numFmtId="4" fontId="10" fillId="0" borderId="9" xfId="0" applyNumberFormat="1" applyFont="1" applyBorder="1" applyAlignment="1">
      <alignment wrapText="1"/>
    </xf>
    <xf numFmtId="1" fontId="10" fillId="12" borderId="9" xfId="0" applyNumberFormat="1" applyFont="1" applyFill="1" applyBorder="1" applyAlignment="1">
      <alignment wrapText="1"/>
    </xf>
    <xf numFmtId="165" fontId="22" fillId="0" borderId="15" xfId="1" applyNumberFormat="1" applyFont="1" applyBorder="1"/>
    <xf numFmtId="0" fontId="2" fillId="0" borderId="20" xfId="0" applyFont="1" applyBorder="1" applyAlignment="1">
      <alignment horizontal="center" vertical="center"/>
    </xf>
    <xf numFmtId="0" fontId="2" fillId="0" borderId="21" xfId="0" applyFont="1" applyBorder="1" applyAlignment="1">
      <alignment horizontal="center" vertical="center"/>
    </xf>
    <xf numFmtId="43" fontId="3" fillId="0" borderId="30" xfId="0" applyNumberFormat="1" applyFont="1" applyBorder="1"/>
    <xf numFmtId="43" fontId="3" fillId="0" borderId="17" xfId="0" applyNumberFormat="1" applyFont="1" applyBorder="1"/>
    <xf numFmtId="0" fontId="10" fillId="12" borderId="9" xfId="0" applyFont="1" applyFill="1" applyBorder="1" applyAlignment="1">
      <alignment horizontal="left" wrapText="1"/>
    </xf>
    <xf numFmtId="43" fontId="10" fillId="12" borderId="9" xfId="1" applyFont="1" applyFill="1" applyBorder="1" applyAlignment="1">
      <alignment wrapText="1"/>
    </xf>
    <xf numFmtId="0" fontId="10" fillId="12" borderId="10" xfId="0" applyFont="1" applyFill="1" applyBorder="1" applyAlignment="1">
      <alignment horizontal="left" wrapText="1"/>
    </xf>
    <xf numFmtId="43" fontId="10" fillId="12" borderId="10" xfId="1" applyFont="1" applyFill="1" applyBorder="1" applyAlignment="1">
      <alignment wrapText="1"/>
    </xf>
    <xf numFmtId="43" fontId="3" fillId="0" borderId="0" xfId="1" applyFont="1" applyAlignment="1">
      <alignment horizontal="right"/>
    </xf>
    <xf numFmtId="49" fontId="3" fillId="0" borderId="0" xfId="0" applyNumberFormat="1" applyFont="1" applyAlignment="1">
      <alignment horizontal="right"/>
    </xf>
    <xf numFmtId="0" fontId="10" fillId="13" borderId="0" xfId="0" applyFont="1" applyFill="1" applyAlignment="1">
      <alignment wrapText="1"/>
    </xf>
    <xf numFmtId="14" fontId="10" fillId="13" borderId="0" xfId="0" applyNumberFormat="1" applyFont="1" applyFill="1" applyAlignment="1">
      <alignment wrapText="1"/>
    </xf>
    <xf numFmtId="43" fontId="3" fillId="7" borderId="0" xfId="0" applyNumberFormat="1" applyFont="1" applyFill="1"/>
    <xf numFmtId="43" fontId="3" fillId="7" borderId="0" xfId="1" applyFont="1" applyFill="1"/>
    <xf numFmtId="0" fontId="10" fillId="7" borderId="0" xfId="0" applyFont="1" applyFill="1" applyAlignment="1">
      <alignment horizontal="left" wrapText="1"/>
    </xf>
    <xf numFmtId="43" fontId="10" fillId="7" borderId="9" xfId="1" applyFont="1" applyFill="1" applyBorder="1" applyAlignment="1">
      <alignment wrapText="1"/>
    </xf>
    <xf numFmtId="165" fontId="22" fillId="0" borderId="0" xfId="1" applyNumberFormat="1" applyFont="1"/>
    <xf numFmtId="0" fontId="10" fillId="0" borderId="9" xfId="0" applyFont="1" applyBorder="1" applyAlignment="1">
      <alignment horizontal="left"/>
    </xf>
    <xf numFmtId="0" fontId="10" fillId="0" borderId="0" xfId="0" applyFont="1" applyAlignment="1">
      <alignment horizontal="left"/>
    </xf>
    <xf numFmtId="0" fontId="10" fillId="0" borderId="10" xfId="0" applyFont="1" applyBorder="1" applyAlignment="1">
      <alignment horizontal="left"/>
    </xf>
    <xf numFmtId="1" fontId="10" fillId="11" borderId="9" xfId="0" applyNumberFormat="1" applyFont="1" applyFill="1" applyBorder="1" applyAlignment="1">
      <alignment wrapText="1"/>
    </xf>
    <xf numFmtId="0" fontId="10" fillId="11" borderId="9" xfId="0" applyFont="1" applyFill="1" applyBorder="1" applyAlignment="1">
      <alignment wrapText="1"/>
    </xf>
    <xf numFmtId="14" fontId="10" fillId="11" borderId="9" xfId="0" applyNumberFormat="1" applyFont="1" applyFill="1" applyBorder="1" applyAlignment="1">
      <alignment wrapText="1"/>
    </xf>
    <xf numFmtId="0" fontId="10" fillId="11" borderId="9" xfId="0" applyFont="1" applyFill="1" applyBorder="1" applyAlignment="1">
      <alignment horizontal="center" vertical="center" wrapText="1"/>
    </xf>
    <xf numFmtId="0" fontId="10" fillId="11" borderId="9" xfId="0" applyFont="1" applyFill="1" applyBorder="1" applyAlignment="1">
      <alignment horizontal="center" wrapText="1"/>
    </xf>
    <xf numFmtId="0" fontId="10" fillId="11" borderId="9" xfId="0" applyFont="1" applyFill="1" applyBorder="1" applyAlignment="1">
      <alignment horizontal="left" wrapText="1"/>
    </xf>
    <xf numFmtId="0" fontId="10" fillId="11" borderId="0" xfId="0" applyFont="1" applyFill="1" applyAlignment="1">
      <alignment wrapText="1"/>
    </xf>
    <xf numFmtId="1" fontId="10" fillId="11" borderId="10" xfId="0" applyNumberFormat="1" applyFont="1" applyFill="1" applyBorder="1" applyAlignment="1">
      <alignment wrapText="1"/>
    </xf>
    <xf numFmtId="0" fontId="10" fillId="11" borderId="10" xfId="0" applyFont="1" applyFill="1" applyBorder="1" applyAlignment="1">
      <alignment wrapText="1"/>
    </xf>
    <xf numFmtId="14" fontId="10" fillId="11" borderId="10" xfId="0" applyNumberFormat="1" applyFont="1" applyFill="1" applyBorder="1" applyAlignment="1">
      <alignment wrapText="1"/>
    </xf>
    <xf numFmtId="0" fontId="10" fillId="11" borderId="10" xfId="0" applyFont="1" applyFill="1" applyBorder="1" applyAlignment="1">
      <alignment horizontal="center" vertical="center" wrapText="1"/>
    </xf>
    <xf numFmtId="0" fontId="10" fillId="11" borderId="10" xfId="0" applyFont="1" applyFill="1" applyBorder="1" applyAlignment="1">
      <alignment horizontal="center" wrapText="1"/>
    </xf>
    <xf numFmtId="0" fontId="10" fillId="11" borderId="10" xfId="0" applyFont="1" applyFill="1" applyBorder="1" applyAlignment="1">
      <alignment horizontal="left" wrapText="1"/>
    </xf>
    <xf numFmtId="14" fontId="0" fillId="0" borderId="0" xfId="0" applyNumberFormat="1"/>
    <xf numFmtId="0" fontId="0" fillId="0" borderId="24" xfId="0" applyBorder="1"/>
    <xf numFmtId="0" fontId="0" fillId="0" borderId="27" xfId="0" applyBorder="1"/>
    <xf numFmtId="43" fontId="0" fillId="0" borderId="2" xfId="1" applyFont="1" applyBorder="1"/>
    <xf numFmtId="43" fontId="0" fillId="0" borderId="31" xfId="1" applyFont="1" applyBorder="1"/>
    <xf numFmtId="43" fontId="0" fillId="0" borderId="4" xfId="1" applyFont="1" applyBorder="1"/>
    <xf numFmtId="43" fontId="0" fillId="0" borderId="22" xfId="1" applyFont="1" applyBorder="1"/>
    <xf numFmtId="43" fontId="3" fillId="0" borderId="22" xfId="1" applyFont="1" applyBorder="1" applyAlignment="1">
      <alignment horizontal="right"/>
    </xf>
    <xf numFmtId="164" fontId="10" fillId="0" borderId="0" xfId="0" applyNumberFormat="1" applyFont="1" applyAlignment="1">
      <alignment wrapText="1"/>
    </xf>
    <xf numFmtId="164" fontId="7" fillId="0" borderId="0" xfId="0" applyNumberFormat="1" applyFont="1"/>
    <xf numFmtId="1" fontId="10" fillId="14" borderId="9" xfId="0" applyNumberFormat="1" applyFont="1" applyFill="1" applyBorder="1" applyAlignment="1">
      <alignment wrapText="1"/>
    </xf>
    <xf numFmtId="0" fontId="10" fillId="14" borderId="9" xfId="0" applyFont="1" applyFill="1" applyBorder="1" applyAlignment="1">
      <alignment wrapText="1"/>
    </xf>
    <xf numFmtId="14" fontId="10" fillId="14" borderId="9" xfId="0" applyNumberFormat="1" applyFont="1" applyFill="1" applyBorder="1" applyAlignment="1">
      <alignment wrapText="1"/>
    </xf>
    <xf numFmtId="0" fontId="10" fillId="14" borderId="9" xfId="0" applyFont="1" applyFill="1" applyBorder="1" applyAlignment="1">
      <alignment horizontal="center" vertical="center" wrapText="1"/>
    </xf>
    <xf numFmtId="0" fontId="10" fillId="14" borderId="9" xfId="0" applyFont="1" applyFill="1" applyBorder="1" applyAlignment="1">
      <alignment horizontal="center" wrapText="1"/>
    </xf>
    <xf numFmtId="0" fontId="10" fillId="14" borderId="9" xfId="0" applyFont="1" applyFill="1" applyBorder="1" applyAlignment="1">
      <alignment horizontal="left" wrapText="1"/>
    </xf>
    <xf numFmtId="43" fontId="10" fillId="14" borderId="9" xfId="1" applyFont="1" applyFill="1" applyBorder="1" applyAlignment="1">
      <alignment wrapText="1"/>
    </xf>
    <xf numFmtId="1" fontId="10" fillId="14" borderId="10" xfId="0" applyNumberFormat="1" applyFont="1" applyFill="1" applyBorder="1" applyAlignment="1">
      <alignment wrapText="1"/>
    </xf>
    <xf numFmtId="0" fontId="10" fillId="14" borderId="10" xfId="0" applyFont="1" applyFill="1" applyBorder="1" applyAlignment="1">
      <alignment wrapText="1"/>
    </xf>
    <xf numFmtId="14" fontId="10" fillId="14" borderId="10" xfId="0" applyNumberFormat="1" applyFont="1" applyFill="1" applyBorder="1" applyAlignment="1">
      <alignment wrapText="1"/>
    </xf>
    <xf numFmtId="0" fontId="10" fillId="14" borderId="10" xfId="0" applyFont="1" applyFill="1" applyBorder="1" applyAlignment="1">
      <alignment horizontal="center" vertical="center" wrapText="1"/>
    </xf>
    <xf numFmtId="0" fontId="10" fillId="14" borderId="10" xfId="0" applyFont="1" applyFill="1" applyBorder="1" applyAlignment="1">
      <alignment horizontal="center" wrapText="1"/>
    </xf>
    <xf numFmtId="0" fontId="10" fillId="14" borderId="10" xfId="0" applyFont="1" applyFill="1" applyBorder="1" applyAlignment="1">
      <alignment horizontal="left" wrapText="1"/>
    </xf>
    <xf numFmtId="43" fontId="10" fillId="14" borderId="10" xfId="1" applyFont="1" applyFill="1" applyBorder="1" applyAlignment="1">
      <alignment wrapText="1"/>
    </xf>
    <xf numFmtId="166" fontId="3" fillId="0" borderId="0" xfId="1" applyNumberFormat="1" applyFont="1" applyBorder="1"/>
    <xf numFmtId="43" fontId="10" fillId="7" borderId="0" xfId="1" applyFont="1" applyFill="1" applyBorder="1" applyAlignment="1">
      <alignment wrapText="1"/>
    </xf>
    <xf numFmtId="0" fontId="10" fillId="15" borderId="9" xfId="0" applyFont="1" applyFill="1" applyBorder="1" applyAlignment="1">
      <alignment horizontal="left" wrapText="1"/>
    </xf>
    <xf numFmtId="43" fontId="10" fillId="15" borderId="9" xfId="1" applyFont="1" applyFill="1" applyBorder="1" applyAlignment="1">
      <alignment wrapText="1"/>
    </xf>
    <xf numFmtId="0" fontId="10" fillId="15" borderId="10" xfId="0" applyFont="1" applyFill="1" applyBorder="1" applyAlignment="1">
      <alignment horizontal="left" wrapText="1"/>
    </xf>
    <xf numFmtId="43" fontId="10" fillId="15" borderId="10" xfId="1" applyFont="1" applyFill="1" applyBorder="1" applyAlignment="1">
      <alignment wrapText="1"/>
    </xf>
    <xf numFmtId="43" fontId="10" fillId="0" borderId="0" xfId="1" applyFont="1" applyAlignment="1">
      <alignment wrapText="1"/>
    </xf>
    <xf numFmtId="1" fontId="10" fillId="7" borderId="9" xfId="0" applyNumberFormat="1" applyFont="1" applyFill="1" applyBorder="1" applyAlignment="1">
      <alignment wrapText="1"/>
    </xf>
    <xf numFmtId="0" fontId="10" fillId="7" borderId="9" xfId="0" applyFont="1" applyFill="1" applyBorder="1" applyAlignment="1">
      <alignment wrapText="1"/>
    </xf>
    <xf numFmtId="14" fontId="10" fillId="7" borderId="9" xfId="0" applyNumberFormat="1" applyFont="1" applyFill="1" applyBorder="1" applyAlignment="1">
      <alignment wrapText="1"/>
    </xf>
    <xf numFmtId="0" fontId="10" fillId="7" borderId="9" xfId="0" applyFont="1" applyFill="1" applyBorder="1" applyAlignment="1">
      <alignment horizontal="center" vertical="center" wrapText="1"/>
    </xf>
    <xf numFmtId="0" fontId="10" fillId="7" borderId="9" xfId="0" applyFont="1" applyFill="1" applyBorder="1" applyAlignment="1">
      <alignment horizontal="center" wrapText="1"/>
    </xf>
    <xf numFmtId="0" fontId="10" fillId="7" borderId="0" xfId="0" applyFont="1" applyFill="1" applyAlignment="1">
      <alignment wrapText="1"/>
    </xf>
    <xf numFmtId="1" fontId="10" fillId="7" borderId="10" xfId="0" applyNumberFormat="1" applyFont="1" applyFill="1" applyBorder="1" applyAlignment="1">
      <alignment wrapText="1"/>
    </xf>
    <xf numFmtId="0" fontId="10" fillId="7" borderId="10" xfId="0" applyFont="1" applyFill="1" applyBorder="1" applyAlignment="1">
      <alignment wrapText="1"/>
    </xf>
    <xf numFmtId="14" fontId="10" fillId="7" borderId="10" xfId="0" applyNumberFormat="1" applyFont="1" applyFill="1" applyBorder="1" applyAlignment="1">
      <alignment wrapText="1"/>
    </xf>
    <xf numFmtId="0" fontId="10" fillId="7" borderId="10" xfId="0" applyFont="1" applyFill="1" applyBorder="1" applyAlignment="1">
      <alignment horizontal="center" vertical="center" wrapText="1"/>
    </xf>
    <xf numFmtId="0" fontId="10" fillId="7" borderId="10" xfId="0" applyFont="1" applyFill="1" applyBorder="1" applyAlignment="1">
      <alignment horizontal="center" wrapText="1"/>
    </xf>
    <xf numFmtId="0" fontId="10" fillId="7" borderId="10" xfId="0" applyFont="1" applyFill="1" applyBorder="1" applyAlignment="1">
      <alignment horizontal="left" wrapText="1"/>
    </xf>
    <xf numFmtId="43" fontId="10" fillId="7" borderId="10" xfId="1" applyFont="1" applyFill="1" applyBorder="1" applyAlignment="1">
      <alignment wrapText="1"/>
    </xf>
    <xf numFmtId="0" fontId="10" fillId="7" borderId="9" xfId="0" applyFont="1" applyFill="1" applyBorder="1" applyAlignment="1">
      <alignment horizontal="left" wrapText="1"/>
    </xf>
    <xf numFmtId="178" fontId="10" fillId="0" borderId="0" xfId="0" applyNumberFormat="1" applyFont="1" applyAlignment="1">
      <alignment wrapText="1"/>
    </xf>
    <xf numFmtId="0" fontId="4" fillId="0" borderId="28" xfId="0" applyFont="1" applyBorder="1" applyAlignment="1">
      <alignment horizontal="center"/>
    </xf>
    <xf numFmtId="43" fontId="4" fillId="0" borderId="28" xfId="1" applyFont="1" applyBorder="1" applyAlignment="1">
      <alignment horizontal="center"/>
    </xf>
    <xf numFmtId="43" fontId="4" fillId="0" borderId="5" xfId="1" applyFont="1" applyBorder="1" applyAlignment="1">
      <alignment horizontal="center"/>
    </xf>
    <xf numFmtId="43" fontId="4" fillId="0" borderId="32" xfId="1" applyFont="1" applyBorder="1" applyAlignment="1">
      <alignment horizontal="center"/>
    </xf>
    <xf numFmtId="43" fontId="4" fillId="0" borderId="29" xfId="1" applyFont="1" applyBorder="1" applyAlignment="1">
      <alignment horizontal="center"/>
    </xf>
    <xf numFmtId="4" fontId="7" fillId="0" borderId="0" xfId="0" applyNumberFormat="1" applyFont="1"/>
    <xf numFmtId="4" fontId="10" fillId="7" borderId="0" xfId="0" applyNumberFormat="1" applyFont="1" applyFill="1" applyAlignment="1">
      <alignment wrapText="1"/>
    </xf>
    <xf numFmtId="0" fontId="10" fillId="7" borderId="0" xfId="0" applyFont="1" applyFill="1" applyAlignment="1">
      <alignment horizontal="center" wrapText="1"/>
    </xf>
    <xf numFmtId="165" fontId="10" fillId="0" borderId="0" xfId="1" applyNumberFormat="1" applyFont="1" applyAlignment="1">
      <alignment wrapText="1"/>
    </xf>
    <xf numFmtId="2" fontId="10" fillId="0" borderId="0" xfId="0" applyNumberFormat="1" applyFont="1" applyAlignment="1">
      <alignment wrapText="1"/>
    </xf>
    <xf numFmtId="43" fontId="0" fillId="0" borderId="0" xfId="0" applyNumberFormat="1"/>
    <xf numFmtId="165" fontId="3" fillId="0" borderId="12" xfId="1" applyNumberFormat="1" applyFont="1" applyFill="1" applyBorder="1"/>
    <xf numFmtId="165" fontId="3" fillId="0" borderId="15" xfId="1" applyNumberFormat="1" applyFont="1" applyFill="1" applyBorder="1"/>
    <xf numFmtId="165" fontId="3" fillId="0" borderId="13" xfId="1" applyNumberFormat="1" applyFont="1" applyFill="1" applyBorder="1"/>
    <xf numFmtId="3" fontId="3" fillId="0" borderId="0" xfId="0" applyNumberFormat="1" applyFont="1"/>
    <xf numFmtId="0" fontId="14" fillId="0" borderId="0" xfId="0" applyFont="1"/>
    <xf numFmtId="0" fontId="10" fillId="10" borderId="0" xfId="0" applyFont="1" applyFill="1" applyAlignment="1">
      <alignment horizontal="center" vertical="center" wrapText="1"/>
    </xf>
    <xf numFmtId="0" fontId="10" fillId="10" borderId="0" xfId="0" applyFont="1" applyFill="1" applyAlignment="1">
      <alignment horizontal="center" wrapText="1"/>
    </xf>
    <xf numFmtId="0" fontId="10" fillId="10" borderId="0" xfId="0" applyFont="1" applyFill="1" applyAlignment="1">
      <alignment horizontal="left" wrapText="1"/>
    </xf>
    <xf numFmtId="165" fontId="6" fillId="0" borderId="0" xfId="2" applyNumberFormat="1" applyFont="1" applyAlignment="1">
      <alignment horizontal="center"/>
    </xf>
    <xf numFmtId="165" fontId="3" fillId="0" borderId="0" xfId="0" applyNumberFormat="1" applyFont="1" applyAlignment="1">
      <alignment horizontal="center"/>
    </xf>
    <xf numFmtId="165" fontId="21" fillId="0" borderId="0" xfId="0" applyNumberFormat="1" applyFont="1" applyAlignment="1">
      <alignment horizontal="center"/>
    </xf>
    <xf numFmtId="170" fontId="2" fillId="0" borderId="0" xfId="0" applyNumberFormat="1" applyFont="1" applyAlignment="1">
      <alignment horizontal="center"/>
    </xf>
    <xf numFmtId="165" fontId="22" fillId="0" borderId="0" xfId="1" applyNumberFormat="1" applyFont="1" applyBorder="1"/>
    <xf numFmtId="1" fontId="10" fillId="10" borderId="0" xfId="0" applyNumberFormat="1" applyFont="1" applyFill="1" applyAlignment="1">
      <alignment wrapText="1"/>
    </xf>
    <xf numFmtId="0" fontId="10" fillId="10" borderId="0" xfId="0" applyFont="1" applyFill="1" applyAlignment="1">
      <alignment wrapText="1"/>
    </xf>
    <xf numFmtId="14" fontId="10" fillId="10" borderId="0" xfId="0" applyNumberFormat="1" applyFont="1" applyFill="1" applyAlignment="1">
      <alignment wrapText="1"/>
    </xf>
    <xf numFmtId="43" fontId="10" fillId="10" borderId="0" xfId="1" applyFont="1" applyFill="1" applyBorder="1" applyAlignment="1">
      <alignment wrapText="1"/>
    </xf>
    <xf numFmtId="0" fontId="10" fillId="16" borderId="9" xfId="0" applyFont="1" applyFill="1" applyBorder="1" applyAlignment="1">
      <alignment horizontal="left" wrapText="1"/>
    </xf>
    <xf numFmtId="43" fontId="10" fillId="16" borderId="9" xfId="1" applyFont="1" applyFill="1" applyBorder="1" applyAlignment="1">
      <alignment wrapText="1"/>
    </xf>
    <xf numFmtId="43" fontId="16" fillId="0" borderId="0" xfId="1" applyFont="1" applyFill="1" applyAlignment="1">
      <alignment wrapText="1"/>
    </xf>
    <xf numFmtId="166" fontId="7" fillId="0" borderId="0" xfId="0" applyNumberFormat="1" applyFont="1"/>
    <xf numFmtId="165" fontId="3" fillId="7" borderId="0" xfId="0" applyNumberFormat="1" applyFont="1" applyFill="1"/>
    <xf numFmtId="0" fontId="10" fillId="10" borderId="9" xfId="0" applyFont="1" applyFill="1" applyBorder="1" applyAlignment="1">
      <alignment horizontal="center" vertical="center" wrapText="1"/>
    </xf>
    <xf numFmtId="0" fontId="10" fillId="10" borderId="10" xfId="0" applyFont="1" applyFill="1" applyBorder="1" applyAlignment="1">
      <alignment horizontal="center" vertical="center" wrapText="1"/>
    </xf>
    <xf numFmtId="0" fontId="10" fillId="13" borderId="9" xfId="0" applyFont="1" applyFill="1" applyBorder="1" applyAlignment="1">
      <alignment horizontal="center" vertical="center" wrapText="1"/>
    </xf>
    <xf numFmtId="0" fontId="10" fillId="13" borderId="10"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0" xfId="0" applyFont="1" applyAlignment="1">
      <alignment horizontal="center" vertical="center" wrapText="1"/>
    </xf>
    <xf numFmtId="0" fontId="10" fillId="10" borderId="0" xfId="0" applyFont="1" applyFill="1" applyAlignment="1">
      <alignment horizontal="center" vertical="center" wrapText="1"/>
    </xf>
    <xf numFmtId="0" fontId="10" fillId="12" borderId="9" xfId="0" applyFont="1" applyFill="1" applyBorder="1" applyAlignment="1">
      <alignment horizontal="center" vertical="center" wrapText="1"/>
    </xf>
    <xf numFmtId="0" fontId="10" fillId="12" borderId="10" xfId="0"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10" fillId="14" borderId="9" xfId="0" applyFont="1" applyFill="1" applyBorder="1" applyAlignment="1">
      <alignment horizontal="center" vertical="center" wrapText="1"/>
    </xf>
    <xf numFmtId="0" fontId="10" fillId="14" borderId="10" xfId="0" applyFont="1" applyFill="1" applyBorder="1" applyAlignment="1">
      <alignment horizontal="center" vertical="center" wrapText="1"/>
    </xf>
    <xf numFmtId="0" fontId="10" fillId="3" borderId="0" xfId="0" applyFont="1" applyFill="1" applyAlignment="1">
      <alignment horizontal="center" vertical="center" wrapText="1"/>
    </xf>
    <xf numFmtId="43" fontId="16" fillId="0" borderId="0" xfId="1" applyFont="1" applyFill="1" applyAlignment="1">
      <alignment horizontal="center" wrapText="1"/>
    </xf>
    <xf numFmtId="0" fontId="10" fillId="0" borderId="0" xfId="0" applyFont="1" applyAlignment="1">
      <alignment horizontal="center" wrapText="1"/>
    </xf>
    <xf numFmtId="0" fontId="15" fillId="0" borderId="0" xfId="0" applyFont="1" applyAlignment="1">
      <alignment horizontal="center" wrapText="1"/>
    </xf>
    <xf numFmtId="166" fontId="15" fillId="0" borderId="0" xfId="0" applyNumberFormat="1" applyFont="1" applyAlignment="1">
      <alignment horizontal="center" wrapText="1"/>
    </xf>
    <xf numFmtId="0" fontId="10" fillId="9" borderId="9" xfId="0" applyFont="1" applyFill="1" applyBorder="1" applyAlignment="1">
      <alignment horizontal="center" vertical="center" wrapText="1"/>
    </xf>
    <xf numFmtId="0" fontId="10" fillId="9" borderId="0" xfId="0" applyFont="1" applyFill="1" applyAlignment="1">
      <alignment horizontal="center" vertical="center" wrapText="1"/>
    </xf>
    <xf numFmtId="0" fontId="10" fillId="13" borderId="0" xfId="0" applyFont="1" applyFill="1" applyAlignment="1">
      <alignment horizontal="center" vertical="center" wrapText="1"/>
    </xf>
    <xf numFmtId="0" fontId="10" fillId="11" borderId="9" xfId="0" applyFont="1" applyFill="1" applyBorder="1" applyAlignment="1">
      <alignment horizontal="center" vertical="center" wrapText="1"/>
    </xf>
    <xf numFmtId="0" fontId="10" fillId="11" borderId="10" xfId="0" applyFont="1" applyFill="1" applyBorder="1" applyAlignment="1">
      <alignment horizontal="center" vertical="center" wrapText="1"/>
    </xf>
    <xf numFmtId="0" fontId="13" fillId="5" borderId="8" xfId="0" applyFont="1" applyFill="1" applyBorder="1" applyAlignment="1">
      <alignment horizontal="center"/>
    </xf>
    <xf numFmtId="0" fontId="13" fillId="0" borderId="10" xfId="0" applyFont="1" applyBorder="1" applyAlignment="1">
      <alignment horizontal="center"/>
    </xf>
    <xf numFmtId="43" fontId="7" fillId="0" borderId="0" xfId="1" applyFont="1" applyAlignment="1">
      <alignment horizontal="center" vertical="center"/>
    </xf>
    <xf numFmtId="43" fontId="7" fillId="0" borderId="0" xfId="1" applyFont="1" applyAlignment="1">
      <alignment horizontal="center"/>
    </xf>
    <xf numFmtId="165" fontId="7" fillId="0" borderId="0" xfId="1" applyNumberFormat="1" applyFont="1" applyAlignment="1">
      <alignment horizontal="center"/>
    </xf>
    <xf numFmtId="0" fontId="2" fillId="5" borderId="8" xfId="0" applyFont="1" applyFill="1" applyBorder="1" applyAlignment="1">
      <alignment horizontal="center"/>
    </xf>
    <xf numFmtId="0" fontId="2" fillId="2" borderId="10" xfId="0" applyFont="1" applyFill="1" applyBorder="1" applyAlignment="1">
      <alignment horizontal="center"/>
    </xf>
    <xf numFmtId="0" fontId="2" fillId="3" borderId="10" xfId="0" applyFont="1" applyFill="1" applyBorder="1" applyAlignment="1">
      <alignment horizontal="center"/>
    </xf>
    <xf numFmtId="0" fontId="2" fillId="4" borderId="10" xfId="0" applyFont="1" applyFill="1" applyBorder="1" applyAlignment="1">
      <alignment horizontal="center"/>
    </xf>
    <xf numFmtId="165" fontId="3" fillId="0" borderId="0" xfId="1" applyNumberFormat="1" applyFont="1" applyAlignment="1">
      <alignment horizontal="center"/>
    </xf>
    <xf numFmtId="43" fontId="3" fillId="0" borderId="0" xfId="1" applyFont="1" applyAlignment="1">
      <alignment horizontal="center" vertical="center"/>
    </xf>
    <xf numFmtId="43" fontId="3" fillId="0" borderId="0" xfId="1" applyFont="1" applyAlignment="1">
      <alignment horizontal="center"/>
    </xf>
    <xf numFmtId="0" fontId="3" fillId="0" borderId="0" xfId="1" applyNumberFormat="1" applyFont="1" applyAlignment="1">
      <alignment horizontal="center"/>
    </xf>
    <xf numFmtId="168" fontId="6" fillId="0" borderId="0" xfId="2" applyNumberFormat="1" applyFont="1" applyAlignment="1">
      <alignment horizontal="center"/>
    </xf>
    <xf numFmtId="0" fontId="2" fillId="0" borderId="0" xfId="0" applyFont="1" applyAlignment="1">
      <alignment horizontal="center"/>
    </xf>
    <xf numFmtId="0" fontId="2" fillId="0" borderId="11" xfId="0" applyFont="1" applyBorder="1" applyAlignment="1">
      <alignment horizontal="center" vertical="center"/>
    </xf>
    <xf numFmtId="165" fontId="3" fillId="0" borderId="0" xfId="0" applyNumberFormat="1" applyFont="1" applyAlignment="1">
      <alignment horizontal="right"/>
    </xf>
    <xf numFmtId="165" fontId="3" fillId="0" borderId="0" xfId="0" applyNumberFormat="1" applyFont="1" applyAlignment="1">
      <alignment horizontal="center"/>
    </xf>
    <xf numFmtId="165" fontId="21" fillId="0" borderId="0" xfId="0" applyNumberFormat="1" applyFont="1" applyAlignment="1">
      <alignment horizontal="center"/>
    </xf>
    <xf numFmtId="165" fontId="2" fillId="0" borderId="11" xfId="0" applyNumberFormat="1" applyFont="1" applyBorder="1" applyAlignment="1">
      <alignment horizontal="center" vertical="center"/>
    </xf>
    <xf numFmtId="165" fontId="6" fillId="0" borderId="0" xfId="2" applyNumberFormat="1" applyFont="1" applyAlignment="1">
      <alignment horizontal="center"/>
    </xf>
    <xf numFmtId="165" fontId="2" fillId="0" borderId="0" xfId="0" applyNumberFormat="1" applyFont="1" applyAlignment="1">
      <alignment horizontal="center"/>
    </xf>
    <xf numFmtId="177" fontId="3" fillId="3" borderId="8" xfId="0" applyNumberFormat="1" applyFont="1" applyFill="1" applyBorder="1" applyAlignment="1">
      <alignment horizontal="center"/>
    </xf>
    <xf numFmtId="165" fontId="7" fillId="0" borderId="0" xfId="0" applyNumberFormat="1" applyFont="1" applyAlignment="1">
      <alignment horizontal="center" vertical="center" wrapText="1"/>
    </xf>
    <xf numFmtId="165" fontId="6" fillId="0" borderId="0" xfId="1" applyNumberFormat="1" applyFont="1" applyAlignment="1">
      <alignment horizontal="center"/>
    </xf>
    <xf numFmtId="165" fontId="2" fillId="0" borderId="0" xfId="1" applyNumberFormat="1" applyFont="1" applyAlignment="1">
      <alignment horizontal="center"/>
    </xf>
    <xf numFmtId="165" fontId="2" fillId="0" borderId="11" xfId="1" applyNumberFormat="1" applyFont="1" applyBorder="1" applyAlignment="1">
      <alignment horizontal="center" vertical="center"/>
    </xf>
    <xf numFmtId="0" fontId="0" fillId="0" borderId="28" xfId="0" applyBorder="1" applyAlignment="1">
      <alignment horizontal="center"/>
    </xf>
    <xf numFmtId="0" fontId="0" fillId="0" borderId="5" xfId="0" applyBorder="1" applyAlignment="1">
      <alignment horizontal="center"/>
    </xf>
    <xf numFmtId="0" fontId="0" fillId="0" borderId="29" xfId="0" applyBorder="1" applyAlignment="1">
      <alignment horizontal="center"/>
    </xf>
    <xf numFmtId="0" fontId="0" fillId="0" borderId="4" xfId="0" applyBorder="1" applyAlignment="1">
      <alignment horizontal="center"/>
    </xf>
    <xf numFmtId="49" fontId="0" fillId="0" borderId="28" xfId="0" applyNumberFormat="1" applyBorder="1" applyAlignment="1">
      <alignment horizontal="center"/>
    </xf>
    <xf numFmtId="49" fontId="0" fillId="0" borderId="29" xfId="0" applyNumberFormat="1" applyBorder="1" applyAlignment="1">
      <alignment horizontal="center"/>
    </xf>
    <xf numFmtId="0" fontId="2" fillId="0" borderId="8" xfId="0" applyFont="1" applyBorder="1" applyAlignment="1">
      <alignment horizontal="center" wrapText="1"/>
    </xf>
    <xf numFmtId="0" fontId="2" fillId="0" borderId="8" xfId="0" applyFont="1" applyBorder="1" applyAlignment="1">
      <alignment horizontal="center"/>
    </xf>
    <xf numFmtId="165" fontId="12" fillId="0" borderId="11" xfId="1" applyNumberFormat="1" applyFont="1" applyBorder="1" applyAlignment="1">
      <alignment horizontal="right" wrapText="1"/>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1" fontId="10" fillId="0" borderId="0" xfId="0" applyNumberFormat="1" applyFont="1" applyBorder="1" applyAlignment="1">
      <alignment wrapText="1"/>
    </xf>
    <xf numFmtId="0" fontId="10" fillId="0" borderId="0" xfId="0" applyFont="1" applyBorder="1" applyAlignment="1">
      <alignment wrapText="1"/>
    </xf>
    <xf numFmtId="14" fontId="10" fillId="0" borderId="0" xfId="0" applyNumberFormat="1" applyFont="1" applyBorder="1" applyAlignment="1">
      <alignment wrapText="1"/>
    </xf>
    <xf numFmtId="0" fontId="10" fillId="0" borderId="0"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0" xfId="0" applyFont="1" applyBorder="1" applyAlignment="1">
      <alignment horizontal="center" wrapText="1"/>
    </xf>
    <xf numFmtId="0" fontId="10" fillId="0" borderId="0" xfId="0" applyFont="1" applyBorder="1" applyAlignment="1">
      <alignment horizontal="left" wrapText="1"/>
    </xf>
    <xf numFmtId="1" fontId="10" fillId="10" borderId="0" xfId="0" applyNumberFormat="1" applyFont="1" applyFill="1" applyBorder="1" applyAlignment="1">
      <alignment wrapText="1"/>
    </xf>
    <xf numFmtId="0" fontId="10" fillId="10" borderId="0" xfId="0" applyFont="1" applyFill="1" applyBorder="1" applyAlignment="1">
      <alignment wrapText="1"/>
    </xf>
    <xf numFmtId="14" fontId="10" fillId="10" borderId="0" xfId="0" applyNumberFormat="1" applyFont="1" applyFill="1" applyBorder="1" applyAlignment="1">
      <alignment wrapText="1"/>
    </xf>
    <xf numFmtId="0" fontId="10" fillId="10" borderId="0" xfId="0" applyFont="1" applyFill="1" applyBorder="1" applyAlignment="1">
      <alignment horizontal="center" vertical="center" wrapText="1"/>
    </xf>
    <xf numFmtId="0" fontId="10" fillId="10" borderId="0" xfId="0" applyFont="1" applyFill="1" applyBorder="1" applyAlignment="1">
      <alignment horizontal="center" vertical="center" wrapText="1"/>
    </xf>
    <xf numFmtId="0" fontId="10" fillId="10" borderId="0" xfId="0" applyFont="1" applyFill="1" applyBorder="1" applyAlignment="1">
      <alignment horizontal="center" wrapText="1"/>
    </xf>
    <xf numFmtId="0" fontId="10" fillId="10" borderId="0" xfId="0" applyFont="1" applyFill="1" applyBorder="1" applyAlignment="1">
      <alignment horizontal="left" wrapText="1"/>
    </xf>
  </cellXfs>
  <cellStyles count="6">
    <cellStyle name="Comma" xfId="1" builtinId="3"/>
    <cellStyle name="Comma 2" xfId="5" xr:uid="{1E108D1D-DF85-45E5-9523-40058A590BF0}"/>
    <cellStyle name="Normal" xfId="0" builtinId="0"/>
    <cellStyle name="Normal 2 2 14" xfId="4" xr:uid="{00000000-0005-0000-0000-000002000000}"/>
    <cellStyle name="Normal_Quarterly Statement-March-2004" xfId="2" xr:uid="{00000000-0005-0000-0000-000003000000}"/>
    <cellStyle name="Percent" xfId="3" builtinId="5"/>
  </cellStyles>
  <dxfs count="28">
    <dxf>
      <font>
        <color theme="1"/>
      </font>
      <fill>
        <patternFill>
          <bgColor theme="9" tint="0.39994506668294322"/>
        </patternFill>
      </fill>
    </dxf>
    <dxf>
      <font>
        <color theme="1"/>
      </font>
      <fill>
        <patternFill>
          <bgColor theme="9" tint="0.39994506668294322"/>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0000"/>
        </patternFill>
      </fill>
    </dxf>
    <dxf>
      <numFmt numFmtId="0" formatCode="General"/>
      <alignment horizontal="center" vertical="center" textRotation="0" wrapText="0" indent="0" justifyLastLine="0" shrinkToFit="0" readingOrder="0"/>
    </dxf>
    <dxf>
      <numFmt numFmtId="0" formatCode="General"/>
    </dxf>
  </dxfs>
  <tableStyles count="0" defaultTableStyle="TableStyleMedium2" defaultPivotStyle="PivotStyleLight16"/>
  <colors>
    <mruColors>
      <color rgb="FFFFFF99"/>
      <color rgb="FFFFFFCC"/>
      <color rgb="FFFFCCFF"/>
      <color rgb="FFFF5050"/>
      <color rgb="FFFF9966"/>
      <color rgb="FFFF9999"/>
      <color rgb="FFFF00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0</xdr:col>
      <xdr:colOff>32084</xdr:colOff>
      <xdr:row>44</xdr:row>
      <xdr:rowOff>16043</xdr:rowOff>
    </xdr:from>
    <xdr:to>
      <xdr:col>0</xdr:col>
      <xdr:colOff>2101516</xdr:colOff>
      <xdr:row>44</xdr:row>
      <xdr:rowOff>16043</xdr:rowOff>
    </xdr:to>
    <xdr:cxnSp macro="">
      <xdr:nvCxnSpPr>
        <xdr:cNvPr id="2" name="Straight Connector 1">
          <a:extLst>
            <a:ext uri="{FF2B5EF4-FFF2-40B4-BE49-F238E27FC236}">
              <a16:creationId xmlns:a16="http://schemas.microsoft.com/office/drawing/2014/main" id="{1F93F898-9D16-43E5-B0BF-58A5F37971B7}"/>
            </a:ext>
          </a:extLst>
        </xdr:cNvPr>
        <xdr:cNvCxnSpPr/>
      </xdr:nvCxnSpPr>
      <xdr:spPr>
        <a:xfrm>
          <a:off x="32084" y="6782603"/>
          <a:ext cx="2069432"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424070</xdr:colOff>
      <xdr:row>44</xdr:row>
      <xdr:rowOff>19879</xdr:rowOff>
    </xdr:from>
    <xdr:to>
      <xdr:col>4</xdr:col>
      <xdr:colOff>1280928</xdr:colOff>
      <xdr:row>44</xdr:row>
      <xdr:rowOff>19879</xdr:rowOff>
    </xdr:to>
    <xdr:cxnSp macro="">
      <xdr:nvCxnSpPr>
        <xdr:cNvPr id="3" name="Straight Connector 2">
          <a:extLst>
            <a:ext uri="{FF2B5EF4-FFF2-40B4-BE49-F238E27FC236}">
              <a16:creationId xmlns:a16="http://schemas.microsoft.com/office/drawing/2014/main" id="{19808C45-A3A8-499C-A6CA-98D9720D6E56}"/>
            </a:ext>
          </a:extLst>
        </xdr:cNvPr>
        <xdr:cNvCxnSpPr/>
      </xdr:nvCxnSpPr>
      <xdr:spPr>
        <a:xfrm>
          <a:off x="4043570" y="6786439"/>
          <a:ext cx="2304658"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1795667</xdr:colOff>
      <xdr:row>50</xdr:row>
      <xdr:rowOff>13252</xdr:rowOff>
    </xdr:from>
    <xdr:to>
      <xdr:col>2</xdr:col>
      <xdr:colOff>823725</xdr:colOff>
      <xdr:row>50</xdr:row>
      <xdr:rowOff>13252</xdr:rowOff>
    </xdr:to>
    <xdr:cxnSp macro="">
      <xdr:nvCxnSpPr>
        <xdr:cNvPr id="4" name="Straight Connector 3">
          <a:extLst>
            <a:ext uri="{FF2B5EF4-FFF2-40B4-BE49-F238E27FC236}">
              <a16:creationId xmlns:a16="http://schemas.microsoft.com/office/drawing/2014/main" id="{42884EF3-67C5-48CD-8760-0FA21C06E598}"/>
            </a:ext>
          </a:extLst>
        </xdr:cNvPr>
        <xdr:cNvCxnSpPr/>
      </xdr:nvCxnSpPr>
      <xdr:spPr>
        <a:xfrm>
          <a:off x="1795667" y="7877092"/>
          <a:ext cx="2647558"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32084</xdr:colOff>
      <xdr:row>54</xdr:row>
      <xdr:rowOff>16043</xdr:rowOff>
    </xdr:from>
    <xdr:to>
      <xdr:col>0</xdr:col>
      <xdr:colOff>2101516</xdr:colOff>
      <xdr:row>54</xdr:row>
      <xdr:rowOff>16043</xdr:rowOff>
    </xdr:to>
    <xdr:cxnSp macro="">
      <xdr:nvCxnSpPr>
        <xdr:cNvPr id="2" name="Straight Connector 1">
          <a:extLst>
            <a:ext uri="{FF2B5EF4-FFF2-40B4-BE49-F238E27FC236}">
              <a16:creationId xmlns:a16="http://schemas.microsoft.com/office/drawing/2014/main" id="{707BACD7-2CEA-40A2-98AA-080129F5AE4C}"/>
            </a:ext>
          </a:extLst>
        </xdr:cNvPr>
        <xdr:cNvCxnSpPr/>
      </xdr:nvCxnSpPr>
      <xdr:spPr>
        <a:xfrm>
          <a:off x="32084" y="7178843"/>
          <a:ext cx="2069432"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424070</xdr:colOff>
      <xdr:row>54</xdr:row>
      <xdr:rowOff>19879</xdr:rowOff>
    </xdr:from>
    <xdr:to>
      <xdr:col>4</xdr:col>
      <xdr:colOff>1280928</xdr:colOff>
      <xdr:row>54</xdr:row>
      <xdr:rowOff>19879</xdr:rowOff>
    </xdr:to>
    <xdr:cxnSp macro="">
      <xdr:nvCxnSpPr>
        <xdr:cNvPr id="3" name="Straight Connector 2">
          <a:extLst>
            <a:ext uri="{FF2B5EF4-FFF2-40B4-BE49-F238E27FC236}">
              <a16:creationId xmlns:a16="http://schemas.microsoft.com/office/drawing/2014/main" id="{33F96318-9FDB-4DC9-9EF3-7FC1BFBAAEAF}"/>
            </a:ext>
          </a:extLst>
        </xdr:cNvPr>
        <xdr:cNvCxnSpPr/>
      </xdr:nvCxnSpPr>
      <xdr:spPr>
        <a:xfrm>
          <a:off x="3921650" y="7182679"/>
          <a:ext cx="2121778"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1795667</xdr:colOff>
      <xdr:row>60</xdr:row>
      <xdr:rowOff>13252</xdr:rowOff>
    </xdr:from>
    <xdr:to>
      <xdr:col>2</xdr:col>
      <xdr:colOff>823725</xdr:colOff>
      <xdr:row>60</xdr:row>
      <xdr:rowOff>13252</xdr:rowOff>
    </xdr:to>
    <xdr:cxnSp macro="">
      <xdr:nvCxnSpPr>
        <xdr:cNvPr id="4" name="Straight Connector 3">
          <a:extLst>
            <a:ext uri="{FF2B5EF4-FFF2-40B4-BE49-F238E27FC236}">
              <a16:creationId xmlns:a16="http://schemas.microsoft.com/office/drawing/2014/main" id="{C97BEB9D-52ED-440C-8BED-2B6BDCE490CA}"/>
            </a:ext>
          </a:extLst>
        </xdr:cNvPr>
        <xdr:cNvCxnSpPr/>
      </xdr:nvCxnSpPr>
      <xdr:spPr>
        <a:xfrm>
          <a:off x="1795667" y="8273332"/>
          <a:ext cx="2525638"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32084</xdr:colOff>
      <xdr:row>34</xdr:row>
      <xdr:rowOff>16043</xdr:rowOff>
    </xdr:from>
    <xdr:to>
      <xdr:col>0</xdr:col>
      <xdr:colOff>2101516</xdr:colOff>
      <xdr:row>34</xdr:row>
      <xdr:rowOff>16043</xdr:rowOff>
    </xdr:to>
    <xdr:cxnSp macro="">
      <xdr:nvCxnSpPr>
        <xdr:cNvPr id="2" name="Straight Connector 1">
          <a:extLst>
            <a:ext uri="{FF2B5EF4-FFF2-40B4-BE49-F238E27FC236}">
              <a16:creationId xmlns:a16="http://schemas.microsoft.com/office/drawing/2014/main" id="{1D271325-B896-458D-93DF-D24A0DE8C9B9}"/>
            </a:ext>
          </a:extLst>
        </xdr:cNvPr>
        <xdr:cNvCxnSpPr/>
      </xdr:nvCxnSpPr>
      <xdr:spPr>
        <a:xfrm>
          <a:off x="32084" y="4024163"/>
          <a:ext cx="2069432"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363107</xdr:colOff>
      <xdr:row>40</xdr:row>
      <xdr:rowOff>13252</xdr:rowOff>
    </xdr:from>
    <xdr:to>
      <xdr:col>3</xdr:col>
      <xdr:colOff>336045</xdr:colOff>
      <xdr:row>40</xdr:row>
      <xdr:rowOff>13252</xdr:rowOff>
    </xdr:to>
    <xdr:cxnSp macro="">
      <xdr:nvCxnSpPr>
        <xdr:cNvPr id="3" name="Straight Connector 2">
          <a:extLst>
            <a:ext uri="{FF2B5EF4-FFF2-40B4-BE49-F238E27FC236}">
              <a16:creationId xmlns:a16="http://schemas.microsoft.com/office/drawing/2014/main" id="{30BBDEAD-C8DF-4774-BFA3-5F37FD069ABE}"/>
            </a:ext>
          </a:extLst>
        </xdr:cNvPr>
        <xdr:cNvCxnSpPr/>
      </xdr:nvCxnSpPr>
      <xdr:spPr>
        <a:xfrm>
          <a:off x="2511947" y="5118652"/>
          <a:ext cx="1900798"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609600</xdr:colOff>
      <xdr:row>34</xdr:row>
      <xdr:rowOff>0</xdr:rowOff>
    </xdr:from>
    <xdr:to>
      <xdr:col>5</xdr:col>
      <xdr:colOff>895952</xdr:colOff>
      <xdr:row>34</xdr:row>
      <xdr:rowOff>0</xdr:rowOff>
    </xdr:to>
    <xdr:cxnSp macro="">
      <xdr:nvCxnSpPr>
        <xdr:cNvPr id="4" name="Straight Connector 3">
          <a:extLst>
            <a:ext uri="{FF2B5EF4-FFF2-40B4-BE49-F238E27FC236}">
              <a16:creationId xmlns:a16="http://schemas.microsoft.com/office/drawing/2014/main" id="{C84732B1-F457-457F-B0F2-BBA197E175D9}"/>
            </a:ext>
          </a:extLst>
        </xdr:cNvPr>
        <xdr:cNvCxnSpPr/>
      </xdr:nvCxnSpPr>
      <xdr:spPr>
        <a:xfrm>
          <a:off x="4686300" y="4008120"/>
          <a:ext cx="2130392"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32084</xdr:colOff>
      <xdr:row>53</xdr:row>
      <xdr:rowOff>16043</xdr:rowOff>
    </xdr:from>
    <xdr:to>
      <xdr:col>0</xdr:col>
      <xdr:colOff>2101516</xdr:colOff>
      <xdr:row>53</xdr:row>
      <xdr:rowOff>16043</xdr:rowOff>
    </xdr:to>
    <xdr:cxnSp macro="">
      <xdr:nvCxnSpPr>
        <xdr:cNvPr id="2" name="Straight Connector 1">
          <a:extLst>
            <a:ext uri="{FF2B5EF4-FFF2-40B4-BE49-F238E27FC236}">
              <a16:creationId xmlns:a16="http://schemas.microsoft.com/office/drawing/2014/main" id="{6921C7E2-08FF-43E4-8D50-25512DE07284}"/>
            </a:ext>
          </a:extLst>
        </xdr:cNvPr>
        <xdr:cNvCxnSpPr/>
      </xdr:nvCxnSpPr>
      <xdr:spPr>
        <a:xfrm>
          <a:off x="512144" y="8047523"/>
          <a:ext cx="2069432"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759350</xdr:colOff>
      <xdr:row>53</xdr:row>
      <xdr:rowOff>19879</xdr:rowOff>
    </xdr:from>
    <xdr:to>
      <xdr:col>3</xdr:col>
      <xdr:colOff>1258068</xdr:colOff>
      <xdr:row>53</xdr:row>
      <xdr:rowOff>19879</xdr:rowOff>
    </xdr:to>
    <xdr:cxnSp macro="">
      <xdr:nvCxnSpPr>
        <xdr:cNvPr id="3" name="Straight Connector 2">
          <a:extLst>
            <a:ext uri="{FF2B5EF4-FFF2-40B4-BE49-F238E27FC236}">
              <a16:creationId xmlns:a16="http://schemas.microsoft.com/office/drawing/2014/main" id="{090F79D9-5B17-4F54-BB6C-A9832A949E99}"/>
            </a:ext>
          </a:extLst>
        </xdr:cNvPr>
        <xdr:cNvCxnSpPr/>
      </xdr:nvCxnSpPr>
      <xdr:spPr>
        <a:xfrm>
          <a:off x="4721750" y="8051359"/>
          <a:ext cx="1961758"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2110740</xdr:colOff>
      <xdr:row>59</xdr:row>
      <xdr:rowOff>22860</xdr:rowOff>
    </xdr:from>
    <xdr:to>
      <xdr:col>1</xdr:col>
      <xdr:colOff>579120</xdr:colOff>
      <xdr:row>59</xdr:row>
      <xdr:rowOff>22860</xdr:rowOff>
    </xdr:to>
    <xdr:cxnSp macro="">
      <xdr:nvCxnSpPr>
        <xdr:cNvPr id="4" name="Straight Connector 3">
          <a:extLst>
            <a:ext uri="{FF2B5EF4-FFF2-40B4-BE49-F238E27FC236}">
              <a16:creationId xmlns:a16="http://schemas.microsoft.com/office/drawing/2014/main" id="{47984F7E-2169-4C1D-8615-1BD0BADF3BD0}"/>
            </a:ext>
          </a:extLst>
        </xdr:cNvPr>
        <xdr:cNvCxnSpPr/>
      </xdr:nvCxnSpPr>
      <xdr:spPr>
        <a:xfrm>
          <a:off x="2590800" y="9151620"/>
          <a:ext cx="1950720"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EFUF/EXCEL/NAV/2022/2022.06/2022.06.30/2022.06.23%20FIN%20STATS.xlsx" TargetMode="External"/><Relationship Id="rId1" Type="http://schemas.openxmlformats.org/officeDocument/2006/relationships/externalLinkPath" Target="/EFUF/EXCEL/NAV/2022/2022.06/2022.06.30/2022.06.23%20FIN%20STA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My%20Drive/Financial%20Data/First%20Unit/FUF%20NAV/2023/06/2023.06.22/2023.06.22%20FIN%20STATS.xlsx" TargetMode="External"/><Relationship Id="rId1" Type="http://schemas.openxmlformats.org/officeDocument/2006/relationships/externalLinkPath" Target="/My%20Drive/Financial%20Data/First%20Unit/FUF%20NAV/2023/06/2023.06.22/2023.06.22%20FIN%20STAT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kush%20First%20Unit%20Fund/FUF%20NAV/2026/2026.01.28/2026.01.28%20FIN%20STATS.xlsx" TargetMode="External"/><Relationship Id="rId2" Type="http://schemas.openxmlformats.org/officeDocument/2006/relationships/externalLinkPath" Target="file:///H:\Other%20computers\My%20Laptop\D\Financial%20Data\Ekush%20First%20Unit%20Fund\FUF%20NAV\2026\2026.01.28\2026.01.28%20FIN%20STATS.xlsx" TargetMode="External"/><Relationship Id="rId1" Type="http://schemas.openxmlformats.org/officeDocument/2006/relationships/externalLinkPath" Target="/Other%20computers/My%20Laptop/D/Financial%20Data/Ekush%20First%20Unit%20Fund/FUF%20NAV/2026/2026.01.28/2026.01.28%20FIN%20STA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rt of Accounts"/>
      <sheetName val="INVESTOR_LIST"/>
      <sheetName val="Journals"/>
      <sheetName val="TB-C"/>
      <sheetName val="TB-P"/>
      <sheetName val="BS"/>
      <sheetName val="E"/>
      <sheetName val="IS"/>
      <sheetName val="CF"/>
      <sheetName val="W C &amp; I"/>
      <sheetName val="Notes"/>
      <sheetName val="Policy Notes"/>
      <sheetName val="Trade-2021"/>
      <sheetName val="2022.06.23 FIN STAT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rt of Accounts"/>
      <sheetName val="INVESTOR_LIST"/>
      <sheetName val="Journals"/>
      <sheetName val="TB-C"/>
      <sheetName val="TB-P"/>
      <sheetName val="BS"/>
      <sheetName val="E"/>
      <sheetName val="IS"/>
      <sheetName val="CF"/>
      <sheetName val="W C &amp; I"/>
      <sheetName val="Notes"/>
      <sheetName val="Policy Notes"/>
      <sheetName val="Trade-2021"/>
      <sheetName val="2023.06.22 FIN STAT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hart of Accounts"/>
      <sheetName val="INVESTOR_LIST"/>
      <sheetName val="Journals"/>
      <sheetName val="TB-C"/>
      <sheetName val="TB-P"/>
      <sheetName val="BS"/>
      <sheetName val="IS"/>
      <sheetName val="E"/>
      <sheetName val="CF"/>
      <sheetName val="W C &amp; I"/>
      <sheetName val="Bank Interest"/>
      <sheetName val="Policy Notes"/>
      <sheetName val="2026.01.28 FIN STAT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00000000-0016-0000-0100-000000000000}" autoFormatId="16" applyNumberFormats="0" applyBorderFormats="0" applyFontFormats="0" applyPatternFormats="0" applyAlignmentFormats="0" applyWidthHeightFormats="0">
  <queryTableRefresh nextId="5">
    <queryTableFields count="2">
      <queryTableField id="3" name="INVESTOR NAME" tableColumnId="3"/>
      <queryTableField id="4" name="INVESTOR CODE"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INVESTOR_LIST" displayName="INVESTOR_LIST" ref="A1:B500" tableType="queryTable" totalsRowShown="0">
  <autoFilter ref="A1:B500" xr:uid="{00000000-0009-0000-0100-000002000000}"/>
  <tableColumns count="2">
    <tableColumn id="3" xr3:uid="{00000000-0010-0000-0000-000003000000}" uniqueName="3" name="INVESTOR NAME" queryTableFieldId="3" dataDxfId="27"/>
    <tableColumn id="4" xr3:uid="{00000000-0010-0000-0000-000004000000}" uniqueName="4" name="INVESTOR CODE" queryTableFieldId="4" dataDxfId="26"/>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B2:C60"/>
  <sheetViews>
    <sheetView topLeftCell="A3" workbookViewId="0">
      <selection activeCell="B36" sqref="B36"/>
    </sheetView>
  </sheetViews>
  <sheetFormatPr defaultRowHeight="14.4" x14ac:dyDescent="0.3"/>
  <cols>
    <col min="2" max="2" width="39.109375" bestFit="1" customWidth="1"/>
    <col min="3" max="3" width="15" bestFit="1" customWidth="1"/>
  </cols>
  <sheetData>
    <row r="2" spans="2:3" x14ac:dyDescent="0.3">
      <c r="B2" s="29" t="s">
        <v>65</v>
      </c>
      <c r="C2" s="29" t="s">
        <v>66</v>
      </c>
    </row>
    <row r="3" spans="2:3" x14ac:dyDescent="0.3">
      <c r="B3" t="s">
        <v>80</v>
      </c>
      <c r="C3" s="24" t="s">
        <v>102</v>
      </c>
    </row>
    <row r="4" spans="2:3" x14ac:dyDescent="0.3">
      <c r="B4" s="27" t="s">
        <v>67</v>
      </c>
      <c r="C4" s="28" t="s">
        <v>102</v>
      </c>
    </row>
    <row r="5" spans="2:3" x14ac:dyDescent="0.3">
      <c r="B5" s="27" t="s">
        <v>64</v>
      </c>
      <c r="C5" s="28" t="s">
        <v>102</v>
      </c>
    </row>
    <row r="6" spans="2:3" x14ac:dyDescent="0.3">
      <c r="B6" s="27" t="s">
        <v>50</v>
      </c>
      <c r="C6" s="28" t="s">
        <v>103</v>
      </c>
    </row>
    <row r="7" spans="2:3" x14ac:dyDescent="0.3">
      <c r="B7" s="27" t="s">
        <v>51</v>
      </c>
      <c r="C7" s="28" t="s">
        <v>103</v>
      </c>
    </row>
    <row r="8" spans="2:3" x14ac:dyDescent="0.3">
      <c r="B8" s="27" t="s">
        <v>52</v>
      </c>
      <c r="C8" s="28" t="s">
        <v>103</v>
      </c>
    </row>
    <row r="9" spans="2:3" x14ac:dyDescent="0.3">
      <c r="B9" s="27" t="s">
        <v>93</v>
      </c>
      <c r="C9" s="28" t="s">
        <v>103</v>
      </c>
    </row>
    <row r="10" spans="2:3" x14ac:dyDescent="0.3">
      <c r="B10" s="27" t="s">
        <v>53</v>
      </c>
      <c r="C10" s="28" t="s">
        <v>103</v>
      </c>
    </row>
    <row r="11" spans="2:3" x14ac:dyDescent="0.3">
      <c r="B11" s="27" t="s">
        <v>54</v>
      </c>
      <c r="C11" s="28" t="s">
        <v>103</v>
      </c>
    </row>
    <row r="12" spans="2:3" x14ac:dyDescent="0.3">
      <c r="B12" s="27" t="s">
        <v>88</v>
      </c>
      <c r="C12" s="28" t="s">
        <v>102</v>
      </c>
    </row>
    <row r="13" spans="2:3" x14ac:dyDescent="0.3">
      <c r="B13" s="27" t="s">
        <v>55</v>
      </c>
      <c r="C13" s="28" t="s">
        <v>102</v>
      </c>
    </row>
    <row r="14" spans="2:3" x14ac:dyDescent="0.3">
      <c r="B14" s="27" t="s">
        <v>14</v>
      </c>
      <c r="C14" s="28" t="s">
        <v>103</v>
      </c>
    </row>
    <row r="15" spans="2:3" x14ac:dyDescent="0.3">
      <c r="B15" s="27" t="s">
        <v>56</v>
      </c>
      <c r="C15" s="28" t="s">
        <v>103</v>
      </c>
    </row>
    <row r="16" spans="2:3" x14ac:dyDescent="0.3">
      <c r="B16" s="27" t="s">
        <v>62</v>
      </c>
      <c r="C16" s="28" t="s">
        <v>103</v>
      </c>
    </row>
    <row r="17" spans="2:3" x14ac:dyDescent="0.3">
      <c r="B17" s="27" t="s">
        <v>63</v>
      </c>
      <c r="C17" s="28" t="s">
        <v>102</v>
      </c>
    </row>
    <row r="18" spans="2:3" x14ac:dyDescent="0.3">
      <c r="B18" s="27" t="s">
        <v>81</v>
      </c>
      <c r="C18" s="28" t="s">
        <v>102</v>
      </c>
    </row>
    <row r="19" spans="2:3" x14ac:dyDescent="0.3">
      <c r="B19" s="27" t="s">
        <v>82</v>
      </c>
      <c r="C19" s="28" t="s">
        <v>103</v>
      </c>
    </row>
    <row r="20" spans="2:3" x14ac:dyDescent="0.3">
      <c r="B20" s="27" t="s">
        <v>1613</v>
      </c>
      <c r="C20" s="28"/>
    </row>
    <row r="21" spans="2:3" x14ac:dyDescent="0.3">
      <c r="B21" s="27" t="s">
        <v>1614</v>
      </c>
      <c r="C21" s="28"/>
    </row>
    <row r="22" spans="2:3" x14ac:dyDescent="0.3">
      <c r="B22" s="27" t="s">
        <v>83</v>
      </c>
      <c r="C22" s="28" t="s">
        <v>102</v>
      </c>
    </row>
    <row r="23" spans="2:3" x14ac:dyDescent="0.3">
      <c r="B23" s="27" t="s">
        <v>87</v>
      </c>
      <c r="C23" s="28" t="s">
        <v>102</v>
      </c>
    </row>
    <row r="24" spans="2:3" x14ac:dyDescent="0.3">
      <c r="B24" s="27" t="s">
        <v>89</v>
      </c>
      <c r="C24" s="28" t="s">
        <v>102</v>
      </c>
    </row>
    <row r="25" spans="2:3" x14ac:dyDescent="0.3">
      <c r="B25" s="27" t="s">
        <v>91</v>
      </c>
      <c r="C25" s="28" t="s">
        <v>102</v>
      </c>
    </row>
    <row r="26" spans="2:3" x14ac:dyDescent="0.3">
      <c r="B26" s="27" t="s">
        <v>92</v>
      </c>
      <c r="C26" s="28" t="s">
        <v>102</v>
      </c>
    </row>
    <row r="27" spans="2:3" x14ac:dyDescent="0.3">
      <c r="B27" s="27" t="s">
        <v>94</v>
      </c>
      <c r="C27" s="28" t="s">
        <v>102</v>
      </c>
    </row>
    <row r="28" spans="2:3" x14ac:dyDescent="0.3">
      <c r="B28" s="27" t="s">
        <v>95</v>
      </c>
      <c r="C28" s="28" t="s">
        <v>102</v>
      </c>
    </row>
    <row r="29" spans="2:3" x14ac:dyDescent="0.3">
      <c r="B29" s="27" t="s">
        <v>98</v>
      </c>
      <c r="C29" s="28" t="s">
        <v>102</v>
      </c>
    </row>
    <row r="30" spans="2:3" x14ac:dyDescent="0.3">
      <c r="B30" s="27" t="s">
        <v>1621</v>
      </c>
      <c r="C30" s="28"/>
    </row>
    <row r="31" spans="2:3" x14ac:dyDescent="0.3">
      <c r="B31" s="27" t="s">
        <v>1622</v>
      </c>
      <c r="C31" s="28"/>
    </row>
    <row r="32" spans="2:3" x14ac:dyDescent="0.3">
      <c r="B32" s="27" t="s">
        <v>131</v>
      </c>
      <c r="C32" s="28" t="s">
        <v>102</v>
      </c>
    </row>
    <row r="33" spans="2:3" x14ac:dyDescent="0.3">
      <c r="B33" s="27" t="s">
        <v>143</v>
      </c>
      <c r="C33" s="28" t="s">
        <v>103</v>
      </c>
    </row>
    <row r="34" spans="2:3" x14ac:dyDescent="0.3">
      <c r="B34" s="27" t="s">
        <v>189</v>
      </c>
      <c r="C34" s="28" t="s">
        <v>102</v>
      </c>
    </row>
    <row r="35" spans="2:3" x14ac:dyDescent="0.3">
      <c r="B35" s="27" t="s">
        <v>191</v>
      </c>
      <c r="C35" s="27" t="s">
        <v>103</v>
      </c>
    </row>
    <row r="36" spans="2:3" x14ac:dyDescent="0.3">
      <c r="B36" s="107" t="s">
        <v>192</v>
      </c>
      <c r="C36" s="107" t="s">
        <v>102</v>
      </c>
    </row>
    <row r="37" spans="2:3" x14ac:dyDescent="0.3">
      <c r="B37" s="27" t="s">
        <v>194</v>
      </c>
      <c r="C37" s="27" t="s">
        <v>102</v>
      </c>
    </row>
    <row r="38" spans="2:3" x14ac:dyDescent="0.3">
      <c r="B38" s="27" t="s">
        <v>196</v>
      </c>
      <c r="C38" s="27" t="s">
        <v>102</v>
      </c>
    </row>
    <row r="39" spans="2:3" x14ac:dyDescent="0.3">
      <c r="B39" s="107" t="s">
        <v>197</v>
      </c>
      <c r="C39" s="107" t="s">
        <v>102</v>
      </c>
    </row>
    <row r="40" spans="2:3" x14ac:dyDescent="0.3">
      <c r="B40" t="s">
        <v>199</v>
      </c>
      <c r="C40" t="s">
        <v>102</v>
      </c>
    </row>
    <row r="41" spans="2:3" x14ac:dyDescent="0.3">
      <c r="B41" t="s">
        <v>200</v>
      </c>
      <c r="C41" t="s">
        <v>103</v>
      </c>
    </row>
    <row r="42" spans="2:3" x14ac:dyDescent="0.3">
      <c r="B42" t="s">
        <v>1617</v>
      </c>
    </row>
    <row r="43" spans="2:3" x14ac:dyDescent="0.3">
      <c r="B43" t="s">
        <v>1618</v>
      </c>
    </row>
    <row r="44" spans="2:3" x14ac:dyDescent="0.3">
      <c r="B44" t="s">
        <v>214</v>
      </c>
      <c r="C44" t="s">
        <v>103</v>
      </c>
    </row>
    <row r="45" spans="2:3" x14ac:dyDescent="0.3">
      <c r="B45" t="s">
        <v>314</v>
      </c>
      <c r="C45" t="s">
        <v>103</v>
      </c>
    </row>
    <row r="46" spans="2:3" x14ac:dyDescent="0.3">
      <c r="B46" t="s">
        <v>317</v>
      </c>
    </row>
    <row r="47" spans="2:3" x14ac:dyDescent="0.3">
      <c r="B47" t="s">
        <v>316</v>
      </c>
      <c r="C47" t="s">
        <v>103</v>
      </c>
    </row>
    <row r="48" spans="2:3" x14ac:dyDescent="0.3">
      <c r="B48" t="s">
        <v>478</v>
      </c>
      <c r="C48" t="s">
        <v>103</v>
      </c>
    </row>
    <row r="49" spans="2:3" x14ac:dyDescent="0.3">
      <c r="B49" t="s">
        <v>1708</v>
      </c>
      <c r="C49" t="s">
        <v>103</v>
      </c>
    </row>
    <row r="50" spans="2:3" x14ac:dyDescent="0.3">
      <c r="B50" t="s">
        <v>1707</v>
      </c>
      <c r="C50" t="s">
        <v>103</v>
      </c>
    </row>
    <row r="51" spans="2:3" x14ac:dyDescent="0.3">
      <c r="B51" t="s">
        <v>479</v>
      </c>
    </row>
    <row r="52" spans="2:3" x14ac:dyDescent="0.3">
      <c r="B52" t="s">
        <v>1116</v>
      </c>
    </row>
    <row r="53" spans="2:3" x14ac:dyDescent="0.3">
      <c r="B53" t="s">
        <v>1457</v>
      </c>
    </row>
    <row r="54" spans="2:3" x14ac:dyDescent="0.3">
      <c r="B54" t="s">
        <v>1615</v>
      </c>
      <c r="C54" s="24" t="s">
        <v>102</v>
      </c>
    </row>
    <row r="55" spans="2:3" x14ac:dyDescent="0.3">
      <c r="B55" t="s">
        <v>1461</v>
      </c>
      <c r="C55" s="24" t="s">
        <v>102</v>
      </c>
    </row>
    <row r="56" spans="2:3" x14ac:dyDescent="0.3">
      <c r="B56" t="s">
        <v>1462</v>
      </c>
      <c r="C56" t="s">
        <v>102</v>
      </c>
    </row>
    <row r="57" spans="2:3" x14ac:dyDescent="0.3">
      <c r="B57" t="s">
        <v>1463</v>
      </c>
      <c r="C57" t="s">
        <v>103</v>
      </c>
    </row>
    <row r="58" spans="2:3" x14ac:dyDescent="0.3">
      <c r="B58" t="s">
        <v>1612</v>
      </c>
      <c r="C58" s="28" t="s">
        <v>102</v>
      </c>
    </row>
    <row r="59" spans="2:3" x14ac:dyDescent="0.3">
      <c r="B59" t="s">
        <v>1465</v>
      </c>
      <c r="C59" s="24" t="s">
        <v>102</v>
      </c>
    </row>
    <row r="60" spans="2:3" x14ac:dyDescent="0.3">
      <c r="B60" t="s">
        <v>1466</v>
      </c>
      <c r="C60" s="28" t="s">
        <v>102</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00"/>
  <sheetViews>
    <sheetView topLeftCell="A41" workbookViewId="0">
      <selection activeCell="A74" sqref="A74"/>
    </sheetView>
  </sheetViews>
  <sheetFormatPr defaultRowHeight="14.4" x14ac:dyDescent="0.3"/>
  <cols>
    <col min="1" max="1" width="78.5546875" bestFit="1" customWidth="1"/>
    <col min="2" max="2" width="19.88671875" bestFit="1" customWidth="1"/>
    <col min="3" max="3" width="78.5546875" bestFit="1" customWidth="1"/>
    <col min="4" max="4" width="15.33203125" bestFit="1" customWidth="1"/>
  </cols>
  <sheetData>
    <row r="1" spans="1:2" x14ac:dyDescent="0.3">
      <c r="A1" s="113" t="s">
        <v>489</v>
      </c>
      <c r="B1" s="113" t="s">
        <v>490</v>
      </c>
    </row>
    <row r="2" spans="1:2" x14ac:dyDescent="0.3">
      <c r="A2" t="s">
        <v>491</v>
      </c>
      <c r="B2" s="113" t="s">
        <v>319</v>
      </c>
    </row>
    <row r="3" spans="1:2" x14ac:dyDescent="0.3">
      <c r="A3" t="s">
        <v>492</v>
      </c>
      <c r="B3" s="113" t="s">
        <v>320</v>
      </c>
    </row>
    <row r="4" spans="1:2" x14ac:dyDescent="0.3">
      <c r="A4" t="s">
        <v>493</v>
      </c>
      <c r="B4" s="113" t="s">
        <v>321</v>
      </c>
    </row>
    <row r="5" spans="1:2" x14ac:dyDescent="0.3">
      <c r="A5" t="s">
        <v>494</v>
      </c>
      <c r="B5" s="113" t="s">
        <v>322</v>
      </c>
    </row>
    <row r="6" spans="1:2" x14ac:dyDescent="0.3">
      <c r="A6" t="s">
        <v>962</v>
      </c>
      <c r="B6" s="113" t="s">
        <v>323</v>
      </c>
    </row>
    <row r="7" spans="1:2" x14ac:dyDescent="0.3">
      <c r="A7" t="s">
        <v>963</v>
      </c>
      <c r="B7" s="113" t="s">
        <v>324</v>
      </c>
    </row>
    <row r="8" spans="1:2" x14ac:dyDescent="0.3">
      <c r="A8" t="s">
        <v>964</v>
      </c>
      <c r="B8" s="113" t="s">
        <v>325</v>
      </c>
    </row>
    <row r="9" spans="1:2" x14ac:dyDescent="0.3">
      <c r="A9" t="s">
        <v>965</v>
      </c>
      <c r="B9" s="113" t="s">
        <v>326</v>
      </c>
    </row>
    <row r="10" spans="1:2" x14ac:dyDescent="0.3">
      <c r="A10" t="s">
        <v>966</v>
      </c>
      <c r="B10" s="113" t="s">
        <v>327</v>
      </c>
    </row>
    <row r="11" spans="1:2" x14ac:dyDescent="0.3">
      <c r="A11" t="s">
        <v>967</v>
      </c>
      <c r="B11" s="113" t="s">
        <v>328</v>
      </c>
    </row>
    <row r="12" spans="1:2" x14ac:dyDescent="0.3">
      <c r="A12" t="s">
        <v>968</v>
      </c>
      <c r="B12" s="113" t="s">
        <v>329</v>
      </c>
    </row>
    <row r="13" spans="1:2" x14ac:dyDescent="0.3">
      <c r="A13" t="s">
        <v>969</v>
      </c>
      <c r="B13" s="113" t="s">
        <v>330</v>
      </c>
    </row>
    <row r="14" spans="1:2" x14ac:dyDescent="0.3">
      <c r="A14" t="s">
        <v>857</v>
      </c>
      <c r="B14" s="113" t="s">
        <v>331</v>
      </c>
    </row>
    <row r="15" spans="1:2" x14ac:dyDescent="0.3">
      <c r="A15" t="s">
        <v>970</v>
      </c>
      <c r="B15" s="113" t="s">
        <v>332</v>
      </c>
    </row>
    <row r="16" spans="1:2" x14ac:dyDescent="0.3">
      <c r="A16" t="s">
        <v>971</v>
      </c>
      <c r="B16" s="113" t="s">
        <v>333</v>
      </c>
    </row>
    <row r="17" spans="1:2" x14ac:dyDescent="0.3">
      <c r="A17" t="s">
        <v>972</v>
      </c>
      <c r="B17" s="113" t="s">
        <v>334</v>
      </c>
    </row>
    <row r="18" spans="1:2" x14ac:dyDescent="0.3">
      <c r="A18" t="s">
        <v>973</v>
      </c>
      <c r="B18" s="113" t="s">
        <v>335</v>
      </c>
    </row>
    <row r="19" spans="1:2" x14ac:dyDescent="0.3">
      <c r="A19" t="s">
        <v>858</v>
      </c>
      <c r="B19" s="113" t="s">
        <v>336</v>
      </c>
    </row>
    <row r="20" spans="1:2" x14ac:dyDescent="0.3">
      <c r="A20" t="s">
        <v>974</v>
      </c>
      <c r="B20" s="113" t="s">
        <v>337</v>
      </c>
    </row>
    <row r="21" spans="1:2" x14ac:dyDescent="0.3">
      <c r="A21" t="s">
        <v>975</v>
      </c>
      <c r="B21" s="113" t="s">
        <v>338</v>
      </c>
    </row>
    <row r="22" spans="1:2" x14ac:dyDescent="0.3">
      <c r="A22" t="s">
        <v>976</v>
      </c>
      <c r="B22" s="113" t="s">
        <v>339</v>
      </c>
    </row>
    <row r="23" spans="1:2" x14ac:dyDescent="0.3">
      <c r="A23" t="s">
        <v>977</v>
      </c>
      <c r="B23" s="113" t="s">
        <v>340</v>
      </c>
    </row>
    <row r="24" spans="1:2" x14ac:dyDescent="0.3">
      <c r="A24" t="s">
        <v>978</v>
      </c>
      <c r="B24" s="113" t="s">
        <v>341</v>
      </c>
    </row>
    <row r="25" spans="1:2" x14ac:dyDescent="0.3">
      <c r="A25" t="s">
        <v>979</v>
      </c>
      <c r="B25" s="113" t="s">
        <v>342</v>
      </c>
    </row>
    <row r="26" spans="1:2" x14ac:dyDescent="0.3">
      <c r="A26" t="s">
        <v>980</v>
      </c>
      <c r="B26" s="113" t="s">
        <v>343</v>
      </c>
    </row>
    <row r="27" spans="1:2" x14ac:dyDescent="0.3">
      <c r="A27" t="s">
        <v>859</v>
      </c>
      <c r="B27" s="113" t="s">
        <v>344</v>
      </c>
    </row>
    <row r="28" spans="1:2" x14ac:dyDescent="0.3">
      <c r="A28" t="s">
        <v>860</v>
      </c>
      <c r="B28" s="113" t="s">
        <v>345</v>
      </c>
    </row>
    <row r="29" spans="1:2" x14ac:dyDescent="0.3">
      <c r="A29" t="s">
        <v>981</v>
      </c>
      <c r="B29" s="113" t="s">
        <v>346</v>
      </c>
    </row>
    <row r="30" spans="1:2" x14ac:dyDescent="0.3">
      <c r="A30" t="s">
        <v>982</v>
      </c>
      <c r="B30" s="113" t="s">
        <v>347</v>
      </c>
    </row>
    <row r="31" spans="1:2" x14ac:dyDescent="0.3">
      <c r="A31" t="s">
        <v>983</v>
      </c>
      <c r="B31" s="113" t="s">
        <v>348</v>
      </c>
    </row>
    <row r="32" spans="1:2" x14ac:dyDescent="0.3">
      <c r="A32" t="s">
        <v>984</v>
      </c>
      <c r="B32" s="113" t="s">
        <v>349</v>
      </c>
    </row>
    <row r="33" spans="1:2" x14ac:dyDescent="0.3">
      <c r="A33" t="s">
        <v>985</v>
      </c>
      <c r="B33" s="113" t="s">
        <v>350</v>
      </c>
    </row>
    <row r="34" spans="1:2" x14ac:dyDescent="0.3">
      <c r="A34" t="s">
        <v>986</v>
      </c>
      <c r="B34" s="113" t="s">
        <v>351</v>
      </c>
    </row>
    <row r="35" spans="1:2" x14ac:dyDescent="0.3">
      <c r="A35" t="s">
        <v>987</v>
      </c>
      <c r="B35" s="113" t="s">
        <v>352</v>
      </c>
    </row>
    <row r="36" spans="1:2" x14ac:dyDescent="0.3">
      <c r="A36" t="s">
        <v>988</v>
      </c>
      <c r="B36" s="113" t="s">
        <v>353</v>
      </c>
    </row>
    <row r="37" spans="1:2" x14ac:dyDescent="0.3">
      <c r="A37" t="s">
        <v>989</v>
      </c>
      <c r="B37" s="113" t="s">
        <v>354</v>
      </c>
    </row>
    <row r="38" spans="1:2" x14ac:dyDescent="0.3">
      <c r="A38" t="s">
        <v>990</v>
      </c>
      <c r="B38" s="113" t="s">
        <v>355</v>
      </c>
    </row>
    <row r="39" spans="1:2" x14ac:dyDescent="0.3">
      <c r="A39" t="s">
        <v>991</v>
      </c>
      <c r="B39" s="113" t="s">
        <v>356</v>
      </c>
    </row>
    <row r="40" spans="1:2" x14ac:dyDescent="0.3">
      <c r="A40" t="s">
        <v>992</v>
      </c>
      <c r="B40" s="113" t="s">
        <v>357</v>
      </c>
    </row>
    <row r="41" spans="1:2" x14ac:dyDescent="0.3">
      <c r="A41" t="s">
        <v>993</v>
      </c>
      <c r="B41" s="113" t="s">
        <v>358</v>
      </c>
    </row>
    <row r="42" spans="1:2" x14ac:dyDescent="0.3">
      <c r="A42" t="s">
        <v>994</v>
      </c>
      <c r="B42" s="113" t="s">
        <v>359</v>
      </c>
    </row>
    <row r="43" spans="1:2" x14ac:dyDescent="0.3">
      <c r="A43" t="s">
        <v>861</v>
      </c>
      <c r="B43" s="113" t="s">
        <v>360</v>
      </c>
    </row>
    <row r="44" spans="1:2" x14ac:dyDescent="0.3">
      <c r="A44" t="s">
        <v>995</v>
      </c>
      <c r="B44" s="113" t="s">
        <v>361</v>
      </c>
    </row>
    <row r="45" spans="1:2" x14ac:dyDescent="0.3">
      <c r="A45" t="s">
        <v>996</v>
      </c>
      <c r="B45" s="113" t="s">
        <v>362</v>
      </c>
    </row>
    <row r="46" spans="1:2" x14ac:dyDescent="0.3">
      <c r="A46" t="s">
        <v>997</v>
      </c>
      <c r="B46" s="113" t="s">
        <v>363</v>
      </c>
    </row>
    <row r="47" spans="1:2" x14ac:dyDescent="0.3">
      <c r="A47" t="s">
        <v>862</v>
      </c>
      <c r="B47" s="113" t="s">
        <v>364</v>
      </c>
    </row>
    <row r="48" spans="1:2" x14ac:dyDescent="0.3">
      <c r="A48" t="s">
        <v>998</v>
      </c>
      <c r="B48" s="113" t="s">
        <v>365</v>
      </c>
    </row>
    <row r="49" spans="1:2" x14ac:dyDescent="0.3">
      <c r="A49" t="s">
        <v>863</v>
      </c>
      <c r="B49" s="113" t="s">
        <v>366</v>
      </c>
    </row>
    <row r="50" spans="1:2" x14ac:dyDescent="0.3">
      <c r="A50" t="s">
        <v>999</v>
      </c>
      <c r="B50" s="113" t="s">
        <v>367</v>
      </c>
    </row>
    <row r="51" spans="1:2" x14ac:dyDescent="0.3">
      <c r="A51" t="s">
        <v>864</v>
      </c>
      <c r="B51" s="113" t="s">
        <v>368</v>
      </c>
    </row>
    <row r="52" spans="1:2" x14ac:dyDescent="0.3">
      <c r="A52" t="s">
        <v>1000</v>
      </c>
      <c r="B52" s="113" t="s">
        <v>369</v>
      </c>
    </row>
    <row r="53" spans="1:2" x14ac:dyDescent="0.3">
      <c r="A53" t="s">
        <v>1001</v>
      </c>
      <c r="B53" s="113" t="s">
        <v>370</v>
      </c>
    </row>
    <row r="54" spans="1:2" x14ac:dyDescent="0.3">
      <c r="A54" t="s">
        <v>695</v>
      </c>
      <c r="B54" s="113" t="s">
        <v>371</v>
      </c>
    </row>
    <row r="55" spans="1:2" x14ac:dyDescent="0.3">
      <c r="A55" t="s">
        <v>1002</v>
      </c>
      <c r="B55" s="113" t="s">
        <v>372</v>
      </c>
    </row>
    <row r="56" spans="1:2" x14ac:dyDescent="0.3">
      <c r="A56" t="s">
        <v>1003</v>
      </c>
      <c r="B56" s="113" t="s">
        <v>373</v>
      </c>
    </row>
    <row r="57" spans="1:2" x14ac:dyDescent="0.3">
      <c r="A57" t="s">
        <v>1004</v>
      </c>
      <c r="B57" s="113" t="s">
        <v>374</v>
      </c>
    </row>
    <row r="58" spans="1:2" x14ac:dyDescent="0.3">
      <c r="A58" t="s">
        <v>662</v>
      </c>
      <c r="B58" s="113" t="s">
        <v>375</v>
      </c>
    </row>
    <row r="59" spans="1:2" x14ac:dyDescent="0.3">
      <c r="A59" t="s">
        <v>1005</v>
      </c>
      <c r="B59" s="113" t="s">
        <v>376</v>
      </c>
    </row>
    <row r="60" spans="1:2" x14ac:dyDescent="0.3">
      <c r="A60" t="s">
        <v>1006</v>
      </c>
      <c r="B60" s="113" t="s">
        <v>377</v>
      </c>
    </row>
    <row r="61" spans="1:2" x14ac:dyDescent="0.3">
      <c r="A61" t="s">
        <v>1007</v>
      </c>
      <c r="B61" s="113" t="s">
        <v>378</v>
      </c>
    </row>
    <row r="62" spans="1:2" x14ac:dyDescent="0.3">
      <c r="A62" t="s">
        <v>1008</v>
      </c>
      <c r="B62" s="113" t="s">
        <v>379</v>
      </c>
    </row>
    <row r="63" spans="1:2" x14ac:dyDescent="0.3">
      <c r="A63" t="s">
        <v>865</v>
      </c>
      <c r="B63" s="113" t="s">
        <v>380</v>
      </c>
    </row>
    <row r="64" spans="1:2" x14ac:dyDescent="0.3">
      <c r="A64" t="s">
        <v>495</v>
      </c>
      <c r="B64" s="113" t="s">
        <v>381</v>
      </c>
    </row>
    <row r="65" spans="1:2" x14ac:dyDescent="0.3">
      <c r="A65" t="s">
        <v>1009</v>
      </c>
      <c r="B65" s="113" t="s">
        <v>382</v>
      </c>
    </row>
    <row r="66" spans="1:2" x14ac:dyDescent="0.3">
      <c r="A66" t="s">
        <v>1010</v>
      </c>
      <c r="B66" s="113" t="s">
        <v>383</v>
      </c>
    </row>
    <row r="67" spans="1:2" x14ac:dyDescent="0.3">
      <c r="A67" t="s">
        <v>1011</v>
      </c>
      <c r="B67" s="113" t="s">
        <v>384</v>
      </c>
    </row>
    <row r="68" spans="1:2" x14ac:dyDescent="0.3">
      <c r="A68" t="s">
        <v>866</v>
      </c>
      <c r="B68" s="113" t="s">
        <v>385</v>
      </c>
    </row>
    <row r="69" spans="1:2" x14ac:dyDescent="0.3">
      <c r="A69" t="s">
        <v>1012</v>
      </c>
      <c r="B69" s="113" t="s">
        <v>386</v>
      </c>
    </row>
    <row r="70" spans="1:2" x14ac:dyDescent="0.3">
      <c r="A70" t="s">
        <v>786</v>
      </c>
      <c r="B70" s="113" t="s">
        <v>387</v>
      </c>
    </row>
    <row r="71" spans="1:2" x14ac:dyDescent="0.3">
      <c r="A71" t="s">
        <v>1013</v>
      </c>
      <c r="B71" s="113" t="s">
        <v>388</v>
      </c>
    </row>
    <row r="72" spans="1:2" x14ac:dyDescent="0.3">
      <c r="A72" t="s">
        <v>1014</v>
      </c>
      <c r="B72" s="113" t="s">
        <v>389</v>
      </c>
    </row>
    <row r="73" spans="1:2" x14ac:dyDescent="0.3">
      <c r="A73" t="s">
        <v>1015</v>
      </c>
      <c r="B73" s="113" t="s">
        <v>390</v>
      </c>
    </row>
    <row r="74" spans="1:2" x14ac:dyDescent="0.3">
      <c r="A74" t="s">
        <v>867</v>
      </c>
      <c r="B74" s="113" t="s">
        <v>391</v>
      </c>
    </row>
    <row r="75" spans="1:2" x14ac:dyDescent="0.3">
      <c r="A75" t="s">
        <v>1016</v>
      </c>
      <c r="B75" s="113" t="s">
        <v>392</v>
      </c>
    </row>
    <row r="76" spans="1:2" x14ac:dyDescent="0.3">
      <c r="A76" t="s">
        <v>868</v>
      </c>
      <c r="B76" s="113" t="s">
        <v>393</v>
      </c>
    </row>
    <row r="77" spans="1:2" x14ac:dyDescent="0.3">
      <c r="A77" t="s">
        <v>1017</v>
      </c>
      <c r="B77" s="113" t="s">
        <v>394</v>
      </c>
    </row>
    <row r="78" spans="1:2" x14ac:dyDescent="0.3">
      <c r="A78" t="s">
        <v>869</v>
      </c>
      <c r="B78" s="113" t="s">
        <v>395</v>
      </c>
    </row>
    <row r="79" spans="1:2" x14ac:dyDescent="0.3">
      <c r="A79" t="s">
        <v>1018</v>
      </c>
      <c r="B79" s="113" t="s">
        <v>396</v>
      </c>
    </row>
    <row r="80" spans="1:2" x14ac:dyDescent="0.3">
      <c r="A80" t="s">
        <v>1019</v>
      </c>
      <c r="B80" s="113" t="s">
        <v>397</v>
      </c>
    </row>
    <row r="81" spans="1:2" x14ac:dyDescent="0.3">
      <c r="A81" t="s">
        <v>870</v>
      </c>
      <c r="B81" s="113" t="s">
        <v>398</v>
      </c>
    </row>
    <row r="82" spans="1:2" x14ac:dyDescent="0.3">
      <c r="A82" t="s">
        <v>1020</v>
      </c>
      <c r="B82" s="113" t="s">
        <v>399</v>
      </c>
    </row>
    <row r="83" spans="1:2" x14ac:dyDescent="0.3">
      <c r="A83" t="s">
        <v>1021</v>
      </c>
      <c r="B83" s="113" t="s">
        <v>400</v>
      </c>
    </row>
    <row r="84" spans="1:2" x14ac:dyDescent="0.3">
      <c r="A84" t="s">
        <v>1022</v>
      </c>
      <c r="B84" s="113" t="s">
        <v>401</v>
      </c>
    </row>
    <row r="85" spans="1:2" x14ac:dyDescent="0.3">
      <c r="A85" t="s">
        <v>1023</v>
      </c>
      <c r="B85" s="113" t="s">
        <v>402</v>
      </c>
    </row>
    <row r="86" spans="1:2" x14ac:dyDescent="0.3">
      <c r="A86" t="s">
        <v>1024</v>
      </c>
      <c r="B86" s="113" t="s">
        <v>403</v>
      </c>
    </row>
    <row r="87" spans="1:2" x14ac:dyDescent="0.3">
      <c r="A87" t="s">
        <v>712</v>
      </c>
      <c r="B87" s="113" t="s">
        <v>404</v>
      </c>
    </row>
    <row r="88" spans="1:2" x14ac:dyDescent="0.3">
      <c r="A88" t="s">
        <v>871</v>
      </c>
      <c r="B88" s="113" t="s">
        <v>405</v>
      </c>
    </row>
    <row r="89" spans="1:2" x14ac:dyDescent="0.3">
      <c r="A89" t="s">
        <v>1025</v>
      </c>
      <c r="B89" s="113" t="s">
        <v>406</v>
      </c>
    </row>
    <row r="90" spans="1:2" x14ac:dyDescent="0.3">
      <c r="A90" t="s">
        <v>1026</v>
      </c>
      <c r="B90" s="113" t="s">
        <v>407</v>
      </c>
    </row>
    <row r="91" spans="1:2" x14ac:dyDescent="0.3">
      <c r="A91" t="s">
        <v>496</v>
      </c>
      <c r="B91" s="113" t="s">
        <v>408</v>
      </c>
    </row>
    <row r="92" spans="1:2" x14ac:dyDescent="0.3">
      <c r="A92" t="s">
        <v>497</v>
      </c>
      <c r="B92" s="113" t="s">
        <v>409</v>
      </c>
    </row>
    <row r="93" spans="1:2" x14ac:dyDescent="0.3">
      <c r="A93" t="s">
        <v>498</v>
      </c>
      <c r="B93" s="113" t="s">
        <v>410</v>
      </c>
    </row>
    <row r="94" spans="1:2" x14ac:dyDescent="0.3">
      <c r="A94" t="s">
        <v>499</v>
      </c>
      <c r="B94" s="113" t="s">
        <v>500</v>
      </c>
    </row>
    <row r="95" spans="1:2" x14ac:dyDescent="0.3">
      <c r="A95" t="s">
        <v>501</v>
      </c>
      <c r="B95" s="113" t="s">
        <v>502</v>
      </c>
    </row>
    <row r="96" spans="1:2" x14ac:dyDescent="0.3">
      <c r="A96" t="s">
        <v>503</v>
      </c>
      <c r="B96" s="113" t="s">
        <v>411</v>
      </c>
    </row>
    <row r="97" spans="1:2" x14ac:dyDescent="0.3">
      <c r="A97" t="s">
        <v>1027</v>
      </c>
      <c r="B97" s="113" t="s">
        <v>412</v>
      </c>
    </row>
    <row r="98" spans="1:2" x14ac:dyDescent="0.3">
      <c r="A98" t="s">
        <v>1028</v>
      </c>
      <c r="B98" s="113" t="s">
        <v>413</v>
      </c>
    </row>
    <row r="99" spans="1:2" x14ac:dyDescent="0.3">
      <c r="A99" t="s">
        <v>504</v>
      </c>
      <c r="B99" s="113" t="s">
        <v>414</v>
      </c>
    </row>
    <row r="100" spans="1:2" x14ac:dyDescent="0.3">
      <c r="A100" t="s">
        <v>505</v>
      </c>
      <c r="B100" s="113" t="s">
        <v>506</v>
      </c>
    </row>
    <row r="101" spans="1:2" x14ac:dyDescent="0.3">
      <c r="A101" t="s">
        <v>507</v>
      </c>
      <c r="B101" s="113" t="s">
        <v>508</v>
      </c>
    </row>
    <row r="102" spans="1:2" x14ac:dyDescent="0.3">
      <c r="A102" t="s">
        <v>509</v>
      </c>
      <c r="B102" s="113" t="s">
        <v>415</v>
      </c>
    </row>
    <row r="103" spans="1:2" x14ac:dyDescent="0.3">
      <c r="A103" t="s">
        <v>510</v>
      </c>
      <c r="B103" s="113" t="s">
        <v>511</v>
      </c>
    </row>
    <row r="104" spans="1:2" x14ac:dyDescent="0.3">
      <c r="A104" t="s">
        <v>512</v>
      </c>
      <c r="B104" s="113" t="s">
        <v>513</v>
      </c>
    </row>
    <row r="105" spans="1:2" x14ac:dyDescent="0.3">
      <c r="A105" t="s">
        <v>514</v>
      </c>
      <c r="B105" s="113" t="s">
        <v>515</v>
      </c>
    </row>
    <row r="106" spans="1:2" x14ac:dyDescent="0.3">
      <c r="A106" t="s">
        <v>516</v>
      </c>
      <c r="B106" s="113" t="s">
        <v>517</v>
      </c>
    </row>
    <row r="107" spans="1:2" x14ac:dyDescent="0.3">
      <c r="A107" t="s">
        <v>518</v>
      </c>
      <c r="B107" s="113" t="s">
        <v>519</v>
      </c>
    </row>
    <row r="108" spans="1:2" x14ac:dyDescent="0.3">
      <c r="A108" t="s">
        <v>520</v>
      </c>
      <c r="B108" s="113" t="s">
        <v>521</v>
      </c>
    </row>
    <row r="109" spans="1:2" x14ac:dyDescent="0.3">
      <c r="A109" t="s">
        <v>522</v>
      </c>
      <c r="B109" s="113" t="s">
        <v>416</v>
      </c>
    </row>
    <row r="110" spans="1:2" x14ac:dyDescent="0.3">
      <c r="A110" t="s">
        <v>523</v>
      </c>
      <c r="B110" s="113" t="s">
        <v>524</v>
      </c>
    </row>
    <row r="111" spans="1:2" x14ac:dyDescent="0.3">
      <c r="A111" t="s">
        <v>525</v>
      </c>
      <c r="B111" s="113" t="s">
        <v>526</v>
      </c>
    </row>
    <row r="112" spans="1:2" x14ac:dyDescent="0.3">
      <c r="A112" t="s">
        <v>527</v>
      </c>
      <c r="B112" s="113" t="s">
        <v>528</v>
      </c>
    </row>
    <row r="113" spans="1:2" x14ac:dyDescent="0.3">
      <c r="A113" t="s">
        <v>529</v>
      </c>
      <c r="B113" s="113" t="s">
        <v>417</v>
      </c>
    </row>
    <row r="114" spans="1:2" x14ac:dyDescent="0.3">
      <c r="A114" t="s">
        <v>530</v>
      </c>
      <c r="B114" s="113" t="s">
        <v>531</v>
      </c>
    </row>
    <row r="115" spans="1:2" x14ac:dyDescent="0.3">
      <c r="A115" t="s">
        <v>1029</v>
      </c>
      <c r="B115" s="113" t="s">
        <v>418</v>
      </c>
    </row>
    <row r="116" spans="1:2" x14ac:dyDescent="0.3">
      <c r="A116" t="s">
        <v>532</v>
      </c>
      <c r="B116" s="113" t="s">
        <v>419</v>
      </c>
    </row>
    <row r="117" spans="1:2" x14ac:dyDescent="0.3">
      <c r="A117" t="s">
        <v>533</v>
      </c>
      <c r="B117" s="113" t="s">
        <v>534</v>
      </c>
    </row>
    <row r="118" spans="1:2" x14ac:dyDescent="0.3">
      <c r="A118" t="s">
        <v>535</v>
      </c>
      <c r="B118" s="113" t="s">
        <v>536</v>
      </c>
    </row>
    <row r="119" spans="1:2" x14ac:dyDescent="0.3">
      <c r="A119" t="s">
        <v>1030</v>
      </c>
      <c r="B119" s="113" t="s">
        <v>420</v>
      </c>
    </row>
    <row r="120" spans="1:2" x14ac:dyDescent="0.3">
      <c r="A120" t="s">
        <v>872</v>
      </c>
      <c r="B120" s="113" t="s">
        <v>421</v>
      </c>
    </row>
    <row r="121" spans="1:2" x14ac:dyDescent="0.3">
      <c r="A121" t="s">
        <v>1031</v>
      </c>
      <c r="B121" s="113" t="s">
        <v>422</v>
      </c>
    </row>
    <row r="122" spans="1:2" x14ac:dyDescent="0.3">
      <c r="A122" t="s">
        <v>1032</v>
      </c>
      <c r="B122" s="113" t="s">
        <v>537</v>
      </c>
    </row>
    <row r="123" spans="1:2" x14ac:dyDescent="0.3">
      <c r="A123" t="s">
        <v>1033</v>
      </c>
      <c r="B123" s="113" t="s">
        <v>423</v>
      </c>
    </row>
    <row r="124" spans="1:2" x14ac:dyDescent="0.3">
      <c r="A124" t="s">
        <v>1034</v>
      </c>
      <c r="B124" s="113" t="s">
        <v>424</v>
      </c>
    </row>
    <row r="125" spans="1:2" x14ac:dyDescent="0.3">
      <c r="A125" t="s">
        <v>873</v>
      </c>
      <c r="B125" s="113" t="s">
        <v>425</v>
      </c>
    </row>
    <row r="126" spans="1:2" x14ac:dyDescent="0.3">
      <c r="A126" t="s">
        <v>1035</v>
      </c>
      <c r="B126" s="113" t="s">
        <v>426</v>
      </c>
    </row>
    <row r="127" spans="1:2" x14ac:dyDescent="0.3">
      <c r="A127" t="s">
        <v>1036</v>
      </c>
      <c r="B127" s="113" t="s">
        <v>427</v>
      </c>
    </row>
    <row r="128" spans="1:2" x14ac:dyDescent="0.3">
      <c r="A128" t="s">
        <v>696</v>
      </c>
      <c r="B128" s="113" t="s">
        <v>538</v>
      </c>
    </row>
    <row r="129" spans="1:2" x14ac:dyDescent="0.3">
      <c r="A129" t="s">
        <v>1037</v>
      </c>
      <c r="B129" s="113" t="s">
        <v>539</v>
      </c>
    </row>
    <row r="130" spans="1:2" x14ac:dyDescent="0.3">
      <c r="A130" t="s">
        <v>1038</v>
      </c>
      <c r="B130" s="113" t="s">
        <v>540</v>
      </c>
    </row>
    <row r="131" spans="1:2" x14ac:dyDescent="0.3">
      <c r="A131" t="s">
        <v>1039</v>
      </c>
      <c r="B131" s="113" t="s">
        <v>428</v>
      </c>
    </row>
    <row r="132" spans="1:2" x14ac:dyDescent="0.3">
      <c r="A132" t="s">
        <v>1040</v>
      </c>
      <c r="B132" s="113" t="s">
        <v>541</v>
      </c>
    </row>
    <row r="133" spans="1:2" x14ac:dyDescent="0.3">
      <c r="A133" t="s">
        <v>1041</v>
      </c>
      <c r="B133" s="113" t="s">
        <v>542</v>
      </c>
    </row>
    <row r="134" spans="1:2" x14ac:dyDescent="0.3">
      <c r="A134" t="s">
        <v>1042</v>
      </c>
      <c r="B134" s="113" t="s">
        <v>429</v>
      </c>
    </row>
    <row r="135" spans="1:2" x14ac:dyDescent="0.3">
      <c r="A135" t="s">
        <v>1043</v>
      </c>
      <c r="B135" s="113" t="s">
        <v>543</v>
      </c>
    </row>
    <row r="136" spans="1:2" x14ac:dyDescent="0.3">
      <c r="A136" t="s">
        <v>1044</v>
      </c>
      <c r="B136" s="113" t="s">
        <v>430</v>
      </c>
    </row>
    <row r="137" spans="1:2" x14ac:dyDescent="0.3">
      <c r="A137" t="s">
        <v>1045</v>
      </c>
      <c r="B137" s="113" t="s">
        <v>544</v>
      </c>
    </row>
    <row r="138" spans="1:2" x14ac:dyDescent="0.3">
      <c r="A138" t="s">
        <v>1046</v>
      </c>
      <c r="B138" s="113" t="s">
        <v>545</v>
      </c>
    </row>
    <row r="139" spans="1:2" x14ac:dyDescent="0.3">
      <c r="A139" t="s">
        <v>1047</v>
      </c>
      <c r="B139" s="113" t="s">
        <v>546</v>
      </c>
    </row>
    <row r="140" spans="1:2" x14ac:dyDescent="0.3">
      <c r="A140" t="s">
        <v>1048</v>
      </c>
      <c r="B140" s="113" t="s">
        <v>547</v>
      </c>
    </row>
    <row r="141" spans="1:2" x14ac:dyDescent="0.3">
      <c r="A141" t="s">
        <v>1049</v>
      </c>
      <c r="B141" s="113" t="s">
        <v>548</v>
      </c>
    </row>
    <row r="142" spans="1:2" x14ac:dyDescent="0.3">
      <c r="A142" t="s">
        <v>1050</v>
      </c>
      <c r="B142" s="113" t="s">
        <v>549</v>
      </c>
    </row>
    <row r="143" spans="1:2" x14ac:dyDescent="0.3">
      <c r="A143" t="s">
        <v>1051</v>
      </c>
      <c r="B143" s="113" t="s">
        <v>550</v>
      </c>
    </row>
    <row r="144" spans="1:2" x14ac:dyDescent="0.3">
      <c r="A144" t="s">
        <v>874</v>
      </c>
      <c r="B144" s="113" t="s">
        <v>431</v>
      </c>
    </row>
    <row r="145" spans="1:2" x14ac:dyDescent="0.3">
      <c r="A145" t="s">
        <v>1052</v>
      </c>
      <c r="B145" s="113" t="s">
        <v>432</v>
      </c>
    </row>
    <row r="146" spans="1:2" x14ac:dyDescent="0.3">
      <c r="A146" t="s">
        <v>1053</v>
      </c>
      <c r="B146" s="113" t="s">
        <v>433</v>
      </c>
    </row>
    <row r="147" spans="1:2" x14ac:dyDescent="0.3">
      <c r="A147" t="s">
        <v>1054</v>
      </c>
      <c r="B147" s="113" t="s">
        <v>434</v>
      </c>
    </row>
    <row r="148" spans="1:2" x14ac:dyDescent="0.3">
      <c r="A148" t="s">
        <v>1055</v>
      </c>
      <c r="B148" s="113" t="s">
        <v>551</v>
      </c>
    </row>
    <row r="149" spans="1:2" x14ac:dyDescent="0.3">
      <c r="A149" t="s">
        <v>1056</v>
      </c>
      <c r="B149" s="113" t="s">
        <v>435</v>
      </c>
    </row>
    <row r="150" spans="1:2" x14ac:dyDescent="0.3">
      <c r="A150" t="s">
        <v>1057</v>
      </c>
      <c r="B150" s="113" t="s">
        <v>436</v>
      </c>
    </row>
    <row r="151" spans="1:2" x14ac:dyDescent="0.3">
      <c r="A151" t="s">
        <v>1058</v>
      </c>
      <c r="B151" s="113" t="s">
        <v>437</v>
      </c>
    </row>
    <row r="152" spans="1:2" x14ac:dyDescent="0.3">
      <c r="A152" t="s">
        <v>1059</v>
      </c>
      <c r="B152" s="113" t="s">
        <v>438</v>
      </c>
    </row>
    <row r="153" spans="1:2" x14ac:dyDescent="0.3">
      <c r="A153" t="s">
        <v>1060</v>
      </c>
      <c r="B153" s="113" t="s">
        <v>439</v>
      </c>
    </row>
    <row r="154" spans="1:2" x14ac:dyDescent="0.3">
      <c r="A154" t="s">
        <v>1061</v>
      </c>
      <c r="B154" s="113" t="s">
        <v>440</v>
      </c>
    </row>
    <row r="155" spans="1:2" x14ac:dyDescent="0.3">
      <c r="A155" t="s">
        <v>1062</v>
      </c>
      <c r="B155" s="113" t="s">
        <v>552</v>
      </c>
    </row>
    <row r="156" spans="1:2" x14ac:dyDescent="0.3">
      <c r="A156" t="s">
        <v>697</v>
      </c>
      <c r="B156" s="113" t="s">
        <v>441</v>
      </c>
    </row>
    <row r="157" spans="1:2" x14ac:dyDescent="0.3">
      <c r="A157" t="s">
        <v>1063</v>
      </c>
      <c r="B157" s="113" t="s">
        <v>442</v>
      </c>
    </row>
    <row r="158" spans="1:2" x14ac:dyDescent="0.3">
      <c r="A158" t="s">
        <v>1064</v>
      </c>
      <c r="B158" s="113" t="s">
        <v>443</v>
      </c>
    </row>
    <row r="159" spans="1:2" x14ac:dyDescent="0.3">
      <c r="A159" t="s">
        <v>1065</v>
      </c>
      <c r="B159" s="113" t="s">
        <v>444</v>
      </c>
    </row>
    <row r="160" spans="1:2" x14ac:dyDescent="0.3">
      <c r="A160" t="s">
        <v>875</v>
      </c>
      <c r="B160" s="113" t="s">
        <v>445</v>
      </c>
    </row>
    <row r="161" spans="1:2" x14ac:dyDescent="0.3">
      <c r="A161" t="s">
        <v>1066</v>
      </c>
      <c r="B161" s="113" t="s">
        <v>553</v>
      </c>
    </row>
    <row r="162" spans="1:2" x14ac:dyDescent="0.3">
      <c r="A162" t="s">
        <v>1067</v>
      </c>
      <c r="B162" s="113" t="s">
        <v>554</v>
      </c>
    </row>
    <row r="163" spans="1:2" x14ac:dyDescent="0.3">
      <c r="A163" t="s">
        <v>1068</v>
      </c>
      <c r="B163" s="113" t="s">
        <v>446</v>
      </c>
    </row>
    <row r="164" spans="1:2" x14ac:dyDescent="0.3">
      <c r="A164" t="s">
        <v>1069</v>
      </c>
      <c r="B164" s="113" t="s">
        <v>555</v>
      </c>
    </row>
    <row r="165" spans="1:2" x14ac:dyDescent="0.3">
      <c r="A165" t="s">
        <v>1070</v>
      </c>
      <c r="B165" s="113" t="s">
        <v>556</v>
      </c>
    </row>
    <row r="166" spans="1:2" x14ac:dyDescent="0.3">
      <c r="A166" t="s">
        <v>1071</v>
      </c>
      <c r="B166" s="113" t="s">
        <v>557</v>
      </c>
    </row>
    <row r="167" spans="1:2" x14ac:dyDescent="0.3">
      <c r="A167" t="s">
        <v>1072</v>
      </c>
      <c r="B167" s="113" t="s">
        <v>558</v>
      </c>
    </row>
    <row r="168" spans="1:2" x14ac:dyDescent="0.3">
      <c r="A168" t="s">
        <v>1073</v>
      </c>
      <c r="B168" s="113" t="s">
        <v>447</v>
      </c>
    </row>
    <row r="169" spans="1:2" x14ac:dyDescent="0.3">
      <c r="A169" t="s">
        <v>1074</v>
      </c>
      <c r="B169" s="113" t="s">
        <v>448</v>
      </c>
    </row>
    <row r="170" spans="1:2" x14ac:dyDescent="0.3">
      <c r="A170" t="s">
        <v>876</v>
      </c>
      <c r="B170" s="113" t="s">
        <v>449</v>
      </c>
    </row>
    <row r="171" spans="1:2" x14ac:dyDescent="0.3">
      <c r="A171" t="s">
        <v>1075</v>
      </c>
      <c r="B171" s="113" t="s">
        <v>450</v>
      </c>
    </row>
    <row r="172" spans="1:2" x14ac:dyDescent="0.3">
      <c r="A172" t="s">
        <v>1076</v>
      </c>
      <c r="B172" s="113" t="s">
        <v>451</v>
      </c>
    </row>
    <row r="173" spans="1:2" x14ac:dyDescent="0.3">
      <c r="A173" t="s">
        <v>1077</v>
      </c>
      <c r="B173" s="113" t="s">
        <v>452</v>
      </c>
    </row>
    <row r="174" spans="1:2" x14ac:dyDescent="0.3">
      <c r="A174" t="s">
        <v>1078</v>
      </c>
      <c r="B174" s="113" t="s">
        <v>453</v>
      </c>
    </row>
    <row r="175" spans="1:2" x14ac:dyDescent="0.3">
      <c r="A175" t="s">
        <v>1079</v>
      </c>
      <c r="B175" s="113" t="s">
        <v>559</v>
      </c>
    </row>
    <row r="176" spans="1:2" x14ac:dyDescent="0.3">
      <c r="A176" t="s">
        <v>1080</v>
      </c>
      <c r="B176" s="113" t="s">
        <v>560</v>
      </c>
    </row>
    <row r="177" spans="1:2" x14ac:dyDescent="0.3">
      <c r="A177" t="s">
        <v>1081</v>
      </c>
      <c r="B177" s="113" t="s">
        <v>454</v>
      </c>
    </row>
    <row r="178" spans="1:2" x14ac:dyDescent="0.3">
      <c r="A178" t="s">
        <v>1082</v>
      </c>
      <c r="B178" s="113" t="s">
        <v>455</v>
      </c>
    </row>
    <row r="179" spans="1:2" x14ac:dyDescent="0.3">
      <c r="A179" t="s">
        <v>1083</v>
      </c>
      <c r="B179" s="113" t="s">
        <v>456</v>
      </c>
    </row>
    <row r="180" spans="1:2" x14ac:dyDescent="0.3">
      <c r="A180" t="s">
        <v>1084</v>
      </c>
      <c r="B180" s="113" t="s">
        <v>457</v>
      </c>
    </row>
    <row r="181" spans="1:2" x14ac:dyDescent="0.3">
      <c r="A181" t="s">
        <v>1085</v>
      </c>
      <c r="B181" s="113" t="s">
        <v>458</v>
      </c>
    </row>
    <row r="182" spans="1:2" x14ac:dyDescent="0.3">
      <c r="A182" t="s">
        <v>1086</v>
      </c>
      <c r="B182" s="113" t="s">
        <v>459</v>
      </c>
    </row>
    <row r="183" spans="1:2" x14ac:dyDescent="0.3">
      <c r="A183" t="s">
        <v>1087</v>
      </c>
      <c r="B183" s="113" t="s">
        <v>460</v>
      </c>
    </row>
    <row r="184" spans="1:2" x14ac:dyDescent="0.3">
      <c r="A184" t="s">
        <v>1088</v>
      </c>
      <c r="B184" s="113" t="s">
        <v>461</v>
      </c>
    </row>
    <row r="185" spans="1:2" x14ac:dyDescent="0.3">
      <c r="A185" t="s">
        <v>1089</v>
      </c>
      <c r="B185" s="113" t="s">
        <v>462</v>
      </c>
    </row>
    <row r="186" spans="1:2" x14ac:dyDescent="0.3">
      <c r="A186" t="s">
        <v>1090</v>
      </c>
      <c r="B186" s="113" t="s">
        <v>463</v>
      </c>
    </row>
    <row r="187" spans="1:2" x14ac:dyDescent="0.3">
      <c r="A187" t="s">
        <v>773</v>
      </c>
      <c r="B187" s="113" t="s">
        <v>774</v>
      </c>
    </row>
    <row r="188" spans="1:2" x14ac:dyDescent="0.3">
      <c r="A188" t="s">
        <v>1091</v>
      </c>
      <c r="B188" s="113" t="s">
        <v>464</v>
      </c>
    </row>
    <row r="189" spans="1:2" x14ac:dyDescent="0.3">
      <c r="A189" t="s">
        <v>877</v>
      </c>
      <c r="B189" s="113" t="s">
        <v>465</v>
      </c>
    </row>
    <row r="190" spans="1:2" x14ac:dyDescent="0.3">
      <c r="A190" t="s">
        <v>561</v>
      </c>
      <c r="B190" s="113" t="s">
        <v>466</v>
      </c>
    </row>
    <row r="191" spans="1:2" x14ac:dyDescent="0.3">
      <c r="A191" t="s">
        <v>562</v>
      </c>
      <c r="B191" s="113" t="s">
        <v>467</v>
      </c>
    </row>
    <row r="192" spans="1:2" x14ac:dyDescent="0.3">
      <c r="A192" t="s">
        <v>563</v>
      </c>
      <c r="B192" s="113" t="s">
        <v>468</v>
      </c>
    </row>
    <row r="193" spans="1:2" x14ac:dyDescent="0.3">
      <c r="A193" t="s">
        <v>1092</v>
      </c>
      <c r="B193" s="113" t="s">
        <v>469</v>
      </c>
    </row>
    <row r="194" spans="1:2" x14ac:dyDescent="0.3">
      <c r="A194" t="s">
        <v>564</v>
      </c>
      <c r="B194" s="113" t="s">
        <v>470</v>
      </c>
    </row>
    <row r="195" spans="1:2" x14ac:dyDescent="0.3">
      <c r="A195" t="s">
        <v>565</v>
      </c>
      <c r="B195" s="113" t="s">
        <v>471</v>
      </c>
    </row>
    <row r="196" spans="1:2" x14ac:dyDescent="0.3">
      <c r="A196" t="s">
        <v>566</v>
      </c>
      <c r="B196" s="113" t="s">
        <v>567</v>
      </c>
    </row>
    <row r="197" spans="1:2" x14ac:dyDescent="0.3">
      <c r="A197" t="s">
        <v>568</v>
      </c>
      <c r="B197" s="113" t="s">
        <v>569</v>
      </c>
    </row>
    <row r="198" spans="1:2" x14ac:dyDescent="0.3">
      <c r="A198" t="s">
        <v>570</v>
      </c>
      <c r="B198" s="113" t="s">
        <v>571</v>
      </c>
    </row>
    <row r="199" spans="1:2" x14ac:dyDescent="0.3">
      <c r="A199" t="s">
        <v>572</v>
      </c>
      <c r="B199" s="113" t="s">
        <v>472</v>
      </c>
    </row>
    <row r="200" spans="1:2" x14ac:dyDescent="0.3">
      <c r="A200" t="s">
        <v>573</v>
      </c>
      <c r="B200" s="113" t="s">
        <v>473</v>
      </c>
    </row>
    <row r="201" spans="1:2" x14ac:dyDescent="0.3">
      <c r="A201" t="s">
        <v>574</v>
      </c>
      <c r="B201" s="113" t="s">
        <v>474</v>
      </c>
    </row>
    <row r="202" spans="1:2" x14ac:dyDescent="0.3">
      <c r="A202" t="s">
        <v>787</v>
      </c>
      <c r="B202" s="113" t="s">
        <v>475</v>
      </c>
    </row>
    <row r="203" spans="1:2" x14ac:dyDescent="0.3">
      <c r="A203" t="s">
        <v>575</v>
      </c>
      <c r="B203" s="113" t="s">
        <v>476</v>
      </c>
    </row>
    <row r="204" spans="1:2" x14ac:dyDescent="0.3">
      <c r="A204" t="s">
        <v>576</v>
      </c>
      <c r="B204" s="113" t="s">
        <v>577</v>
      </c>
    </row>
    <row r="205" spans="1:2" x14ac:dyDescent="0.3">
      <c r="A205" t="s">
        <v>578</v>
      </c>
      <c r="B205" s="113" t="s">
        <v>579</v>
      </c>
    </row>
    <row r="206" spans="1:2" x14ac:dyDescent="0.3">
      <c r="A206" t="s">
        <v>1093</v>
      </c>
      <c r="B206" s="113" t="s">
        <v>477</v>
      </c>
    </row>
    <row r="207" spans="1:2" x14ac:dyDescent="0.3">
      <c r="A207" t="s">
        <v>580</v>
      </c>
      <c r="B207" s="113" t="s">
        <v>581</v>
      </c>
    </row>
    <row r="208" spans="1:2" x14ac:dyDescent="0.3">
      <c r="A208" t="s">
        <v>582</v>
      </c>
      <c r="B208" s="113" t="s">
        <v>583</v>
      </c>
    </row>
    <row r="209" spans="1:2" x14ac:dyDescent="0.3">
      <c r="A209" t="s">
        <v>584</v>
      </c>
      <c r="B209" s="113" t="s">
        <v>480</v>
      </c>
    </row>
    <row r="210" spans="1:2" x14ac:dyDescent="0.3">
      <c r="A210" t="s">
        <v>585</v>
      </c>
      <c r="B210" s="113" t="s">
        <v>481</v>
      </c>
    </row>
    <row r="211" spans="1:2" x14ac:dyDescent="0.3">
      <c r="A211" t="s">
        <v>586</v>
      </c>
      <c r="B211" s="113" t="s">
        <v>482</v>
      </c>
    </row>
    <row r="212" spans="1:2" x14ac:dyDescent="0.3">
      <c r="A212" t="s">
        <v>587</v>
      </c>
      <c r="B212" s="113" t="s">
        <v>588</v>
      </c>
    </row>
    <row r="213" spans="1:2" x14ac:dyDescent="0.3">
      <c r="A213" t="s">
        <v>589</v>
      </c>
      <c r="B213" s="113" t="s">
        <v>590</v>
      </c>
    </row>
    <row r="214" spans="1:2" x14ac:dyDescent="0.3">
      <c r="A214" t="s">
        <v>591</v>
      </c>
      <c r="B214" s="113" t="s">
        <v>483</v>
      </c>
    </row>
    <row r="215" spans="1:2" x14ac:dyDescent="0.3">
      <c r="A215" t="s">
        <v>592</v>
      </c>
      <c r="B215" s="113" t="s">
        <v>484</v>
      </c>
    </row>
    <row r="216" spans="1:2" x14ac:dyDescent="0.3">
      <c r="A216" t="s">
        <v>593</v>
      </c>
      <c r="B216" s="113" t="s">
        <v>485</v>
      </c>
    </row>
    <row r="217" spans="1:2" x14ac:dyDescent="0.3">
      <c r="A217" t="s">
        <v>594</v>
      </c>
      <c r="B217" s="113" t="s">
        <v>595</v>
      </c>
    </row>
    <row r="218" spans="1:2" x14ac:dyDescent="0.3">
      <c r="A218" t="s">
        <v>596</v>
      </c>
      <c r="B218" s="113" t="s">
        <v>597</v>
      </c>
    </row>
    <row r="219" spans="1:2" x14ac:dyDescent="0.3">
      <c r="A219" t="s">
        <v>598</v>
      </c>
      <c r="B219" s="113" t="s">
        <v>486</v>
      </c>
    </row>
    <row r="220" spans="1:2" x14ac:dyDescent="0.3">
      <c r="A220" t="s">
        <v>770</v>
      </c>
      <c r="B220" s="113" t="s">
        <v>771</v>
      </c>
    </row>
    <row r="221" spans="1:2" x14ac:dyDescent="0.3">
      <c r="A221" t="s">
        <v>599</v>
      </c>
      <c r="B221" s="113" t="s">
        <v>487</v>
      </c>
    </row>
    <row r="222" spans="1:2" x14ac:dyDescent="0.3">
      <c r="A222" t="s">
        <v>600</v>
      </c>
      <c r="B222" s="113" t="s">
        <v>488</v>
      </c>
    </row>
    <row r="223" spans="1:2" x14ac:dyDescent="0.3">
      <c r="A223" t="s">
        <v>601</v>
      </c>
      <c r="B223" s="113" t="s">
        <v>602</v>
      </c>
    </row>
    <row r="224" spans="1:2" x14ac:dyDescent="0.3">
      <c r="A224" t="s">
        <v>604</v>
      </c>
      <c r="B224" s="113" t="s">
        <v>603</v>
      </c>
    </row>
    <row r="225" spans="1:2" x14ac:dyDescent="0.3">
      <c r="A225" t="s">
        <v>606</v>
      </c>
      <c r="B225" s="113" t="s">
        <v>605</v>
      </c>
    </row>
    <row r="226" spans="1:2" x14ac:dyDescent="0.3">
      <c r="A226" t="s">
        <v>608</v>
      </c>
      <c r="B226" s="113" t="s">
        <v>607</v>
      </c>
    </row>
    <row r="227" spans="1:2" x14ac:dyDescent="0.3">
      <c r="A227" t="s">
        <v>749</v>
      </c>
      <c r="B227" s="113" t="s">
        <v>609</v>
      </c>
    </row>
    <row r="228" spans="1:2" x14ac:dyDescent="0.3">
      <c r="A228" t="s">
        <v>613</v>
      </c>
      <c r="B228" s="113" t="s">
        <v>611</v>
      </c>
    </row>
    <row r="229" spans="1:2" x14ac:dyDescent="0.3">
      <c r="A229" t="s">
        <v>614</v>
      </c>
      <c r="B229" s="113" t="s">
        <v>612</v>
      </c>
    </row>
    <row r="230" spans="1:2" x14ac:dyDescent="0.3">
      <c r="A230" t="s">
        <v>616</v>
      </c>
      <c r="B230" s="113" t="s">
        <v>615</v>
      </c>
    </row>
    <row r="231" spans="1:2" x14ac:dyDescent="0.3">
      <c r="A231" t="s">
        <v>618</v>
      </c>
      <c r="B231" s="113" t="s">
        <v>617</v>
      </c>
    </row>
    <row r="232" spans="1:2" x14ac:dyDescent="0.3">
      <c r="A232" t="s">
        <v>619</v>
      </c>
      <c r="B232" s="113" t="s">
        <v>622</v>
      </c>
    </row>
    <row r="233" spans="1:2" x14ac:dyDescent="0.3">
      <c r="A233" t="s">
        <v>620</v>
      </c>
      <c r="B233" s="113" t="s">
        <v>623</v>
      </c>
    </row>
    <row r="234" spans="1:2" x14ac:dyDescent="0.3">
      <c r="A234" t="s">
        <v>878</v>
      </c>
      <c r="B234" s="113" t="s">
        <v>624</v>
      </c>
    </row>
    <row r="235" spans="1:2" x14ac:dyDescent="0.3">
      <c r="A235" t="s">
        <v>621</v>
      </c>
      <c r="B235" s="113" t="s">
        <v>625</v>
      </c>
    </row>
    <row r="236" spans="1:2" x14ac:dyDescent="0.3">
      <c r="A236" t="s">
        <v>628</v>
      </c>
      <c r="B236" s="113" t="s">
        <v>626</v>
      </c>
    </row>
    <row r="237" spans="1:2" x14ac:dyDescent="0.3">
      <c r="A237" t="s">
        <v>629</v>
      </c>
      <c r="B237" s="113" t="s">
        <v>627</v>
      </c>
    </row>
    <row r="238" spans="1:2" x14ac:dyDescent="0.3">
      <c r="A238" t="s">
        <v>631</v>
      </c>
      <c r="B238" s="113" t="s">
        <v>630</v>
      </c>
    </row>
    <row r="239" spans="1:2" x14ac:dyDescent="0.3">
      <c r="A239" t="s">
        <v>632</v>
      </c>
      <c r="B239" s="113" t="s">
        <v>633</v>
      </c>
    </row>
    <row r="240" spans="1:2" x14ac:dyDescent="0.3">
      <c r="A240" t="s">
        <v>635</v>
      </c>
      <c r="B240" s="113" t="s">
        <v>634</v>
      </c>
    </row>
    <row r="241" spans="1:2" x14ac:dyDescent="0.3">
      <c r="A241" t="s">
        <v>642</v>
      </c>
      <c r="B241" s="113" t="s">
        <v>636</v>
      </c>
    </row>
    <row r="242" spans="1:2" x14ac:dyDescent="0.3">
      <c r="A242" t="s">
        <v>643</v>
      </c>
      <c r="B242" s="113" t="s">
        <v>637</v>
      </c>
    </row>
    <row r="243" spans="1:2" x14ac:dyDescent="0.3">
      <c r="A243" t="s">
        <v>644</v>
      </c>
      <c r="B243" s="113" t="s">
        <v>638</v>
      </c>
    </row>
    <row r="244" spans="1:2" x14ac:dyDescent="0.3">
      <c r="A244" t="s">
        <v>645</v>
      </c>
      <c r="B244" s="113" t="s">
        <v>639</v>
      </c>
    </row>
    <row r="245" spans="1:2" x14ac:dyDescent="0.3">
      <c r="A245" t="s">
        <v>646</v>
      </c>
      <c r="B245" s="113" t="s">
        <v>640</v>
      </c>
    </row>
    <row r="246" spans="1:2" x14ac:dyDescent="0.3">
      <c r="A246" t="s">
        <v>647</v>
      </c>
      <c r="B246" s="113" t="s">
        <v>641</v>
      </c>
    </row>
    <row r="247" spans="1:2" x14ac:dyDescent="0.3">
      <c r="A247" t="s">
        <v>652</v>
      </c>
      <c r="B247" s="113" t="s">
        <v>648</v>
      </c>
    </row>
    <row r="248" spans="1:2" x14ac:dyDescent="0.3">
      <c r="A248" t="s">
        <v>653</v>
      </c>
      <c r="B248" s="113" t="s">
        <v>649</v>
      </c>
    </row>
    <row r="249" spans="1:2" x14ac:dyDescent="0.3">
      <c r="A249" t="s">
        <v>654</v>
      </c>
      <c r="B249" s="113" t="s">
        <v>650</v>
      </c>
    </row>
    <row r="250" spans="1:2" x14ac:dyDescent="0.3">
      <c r="A250" t="s">
        <v>655</v>
      </c>
      <c r="B250" s="113" t="s">
        <v>651</v>
      </c>
    </row>
    <row r="251" spans="1:2" x14ac:dyDescent="0.3">
      <c r="A251" t="s">
        <v>698</v>
      </c>
      <c r="B251" s="113" t="s">
        <v>656</v>
      </c>
    </row>
    <row r="252" spans="1:2" x14ac:dyDescent="0.3">
      <c r="A252" t="s">
        <v>658</v>
      </c>
      <c r="B252" s="113" t="s">
        <v>657</v>
      </c>
    </row>
    <row r="253" spans="1:2" x14ac:dyDescent="0.3">
      <c r="A253" t="s">
        <v>661</v>
      </c>
      <c r="B253" s="113" t="s">
        <v>659</v>
      </c>
    </row>
    <row r="254" spans="1:2" x14ac:dyDescent="0.3">
      <c r="A254" t="s">
        <v>662</v>
      </c>
      <c r="B254" s="113" t="s">
        <v>660</v>
      </c>
    </row>
    <row r="255" spans="1:2" x14ac:dyDescent="0.3">
      <c r="A255" t="s">
        <v>664</v>
      </c>
      <c r="B255" s="113" t="s">
        <v>663</v>
      </c>
    </row>
    <row r="256" spans="1:2" x14ac:dyDescent="0.3">
      <c r="A256" t="s">
        <v>666</v>
      </c>
      <c r="B256" s="113" t="s">
        <v>665</v>
      </c>
    </row>
    <row r="257" spans="1:2" x14ac:dyDescent="0.3">
      <c r="A257" t="s">
        <v>668</v>
      </c>
      <c r="B257" s="113" t="s">
        <v>667</v>
      </c>
    </row>
    <row r="258" spans="1:2" x14ac:dyDescent="0.3">
      <c r="A258" t="s">
        <v>670</v>
      </c>
      <c r="B258" s="113" t="s">
        <v>669</v>
      </c>
    </row>
    <row r="259" spans="1:2" x14ac:dyDescent="0.3">
      <c r="A259" t="s">
        <v>674</v>
      </c>
      <c r="B259" s="113" t="s">
        <v>673</v>
      </c>
    </row>
    <row r="260" spans="1:2" x14ac:dyDescent="0.3">
      <c r="A260" t="s">
        <v>676</v>
      </c>
      <c r="B260" s="113" t="s">
        <v>675</v>
      </c>
    </row>
    <row r="261" spans="1:2" x14ac:dyDescent="0.3">
      <c r="A261" t="s">
        <v>678</v>
      </c>
      <c r="B261" s="113" t="s">
        <v>677</v>
      </c>
    </row>
    <row r="262" spans="1:2" x14ac:dyDescent="0.3">
      <c r="A262" t="s">
        <v>680</v>
      </c>
      <c r="B262" s="113" t="s">
        <v>679</v>
      </c>
    </row>
    <row r="263" spans="1:2" x14ac:dyDescent="0.3">
      <c r="A263" t="s">
        <v>682</v>
      </c>
      <c r="B263" s="113" t="s">
        <v>681</v>
      </c>
    </row>
    <row r="264" spans="1:2" x14ac:dyDescent="0.3">
      <c r="A264" t="s">
        <v>684</v>
      </c>
      <c r="B264" s="113" t="s">
        <v>683</v>
      </c>
    </row>
    <row r="265" spans="1:2" x14ac:dyDescent="0.3">
      <c r="A265" t="s">
        <v>686</v>
      </c>
      <c r="B265" s="113" t="s">
        <v>685</v>
      </c>
    </row>
    <row r="266" spans="1:2" x14ac:dyDescent="0.3">
      <c r="A266" t="s">
        <v>688</v>
      </c>
      <c r="B266" s="113" t="s">
        <v>687</v>
      </c>
    </row>
    <row r="267" spans="1:2" x14ac:dyDescent="0.3">
      <c r="A267" t="s">
        <v>690</v>
      </c>
      <c r="B267" s="113" t="s">
        <v>689</v>
      </c>
    </row>
    <row r="268" spans="1:2" x14ac:dyDescent="0.3">
      <c r="A268" t="s">
        <v>692</v>
      </c>
      <c r="B268" s="113" t="s">
        <v>691</v>
      </c>
    </row>
    <row r="269" spans="1:2" x14ac:dyDescent="0.3">
      <c r="A269" t="s">
        <v>699</v>
      </c>
      <c r="B269" s="113" t="s">
        <v>693</v>
      </c>
    </row>
    <row r="270" spans="1:2" x14ac:dyDescent="0.3">
      <c r="A270" t="s">
        <v>700</v>
      </c>
      <c r="B270" s="113" t="s">
        <v>694</v>
      </c>
    </row>
    <row r="271" spans="1:2" x14ac:dyDescent="0.3">
      <c r="A271" t="s">
        <v>702</v>
      </c>
      <c r="B271" s="113" t="s">
        <v>701</v>
      </c>
    </row>
    <row r="272" spans="1:2" x14ac:dyDescent="0.3">
      <c r="A272" t="s">
        <v>704</v>
      </c>
      <c r="B272" s="113" t="s">
        <v>703</v>
      </c>
    </row>
    <row r="273" spans="1:2" x14ac:dyDescent="0.3">
      <c r="A273" t="s">
        <v>706</v>
      </c>
      <c r="B273" s="113" t="s">
        <v>705</v>
      </c>
    </row>
    <row r="274" spans="1:2" x14ac:dyDescent="0.3">
      <c r="A274" t="s">
        <v>708</v>
      </c>
      <c r="B274" s="113" t="s">
        <v>707</v>
      </c>
    </row>
    <row r="275" spans="1:2" x14ac:dyDescent="0.3">
      <c r="A275" t="s">
        <v>710</v>
      </c>
      <c r="B275" s="113" t="s">
        <v>709</v>
      </c>
    </row>
    <row r="276" spans="1:2" x14ac:dyDescent="0.3">
      <c r="A276" t="s">
        <v>712</v>
      </c>
      <c r="B276" s="113" t="s">
        <v>711</v>
      </c>
    </row>
    <row r="277" spans="1:2" x14ac:dyDescent="0.3">
      <c r="A277" t="s">
        <v>714</v>
      </c>
      <c r="B277" s="113" t="s">
        <v>713</v>
      </c>
    </row>
    <row r="278" spans="1:2" x14ac:dyDescent="0.3">
      <c r="A278" t="s">
        <v>716</v>
      </c>
      <c r="B278" s="113" t="s">
        <v>715</v>
      </c>
    </row>
    <row r="279" spans="1:2" x14ac:dyDescent="0.3">
      <c r="A279" t="s">
        <v>718</v>
      </c>
      <c r="B279" s="113" t="s">
        <v>717</v>
      </c>
    </row>
    <row r="280" spans="1:2" x14ac:dyDescent="0.3">
      <c r="A280" t="s">
        <v>720</v>
      </c>
      <c r="B280" s="113" t="s">
        <v>719</v>
      </c>
    </row>
    <row r="281" spans="1:2" x14ac:dyDescent="0.3">
      <c r="A281" t="s">
        <v>722</v>
      </c>
      <c r="B281" s="113" t="s">
        <v>721</v>
      </c>
    </row>
    <row r="282" spans="1:2" x14ac:dyDescent="0.3">
      <c r="A282" t="s">
        <v>724</v>
      </c>
      <c r="B282" s="113" t="s">
        <v>723</v>
      </c>
    </row>
    <row r="283" spans="1:2" x14ac:dyDescent="0.3">
      <c r="A283" t="s">
        <v>726</v>
      </c>
      <c r="B283" s="113" t="s">
        <v>725</v>
      </c>
    </row>
    <row r="284" spans="1:2" x14ac:dyDescent="0.3">
      <c r="A284" t="s">
        <v>728</v>
      </c>
      <c r="B284" s="113" t="s">
        <v>727</v>
      </c>
    </row>
    <row r="285" spans="1:2" x14ac:dyDescent="0.3">
      <c r="A285" t="s">
        <v>730</v>
      </c>
      <c r="B285" s="113" t="s">
        <v>729</v>
      </c>
    </row>
    <row r="286" spans="1:2" x14ac:dyDescent="0.3">
      <c r="A286" t="s">
        <v>732</v>
      </c>
      <c r="B286" s="113" t="s">
        <v>731</v>
      </c>
    </row>
    <row r="287" spans="1:2" x14ac:dyDescent="0.3">
      <c r="A287" t="s">
        <v>734</v>
      </c>
      <c r="B287" s="113" t="s">
        <v>733</v>
      </c>
    </row>
    <row r="288" spans="1:2" x14ac:dyDescent="0.3">
      <c r="A288" t="s">
        <v>736</v>
      </c>
      <c r="B288" s="113" t="s">
        <v>735</v>
      </c>
    </row>
    <row r="289" spans="1:2" x14ac:dyDescent="0.3">
      <c r="A289" t="s">
        <v>738</v>
      </c>
      <c r="B289" s="113" t="s">
        <v>737</v>
      </c>
    </row>
    <row r="290" spans="1:2" x14ac:dyDescent="0.3">
      <c r="A290" t="s">
        <v>740</v>
      </c>
      <c r="B290" s="113" t="s">
        <v>739</v>
      </c>
    </row>
    <row r="291" spans="1:2" x14ac:dyDescent="0.3">
      <c r="A291" t="s">
        <v>742</v>
      </c>
      <c r="B291" s="113" t="s">
        <v>741</v>
      </c>
    </row>
    <row r="292" spans="1:2" x14ac:dyDescent="0.3">
      <c r="A292" t="s">
        <v>744</v>
      </c>
      <c r="B292" s="113" t="s">
        <v>743</v>
      </c>
    </row>
    <row r="293" spans="1:2" x14ac:dyDescent="0.3">
      <c r="A293" t="s">
        <v>746</v>
      </c>
      <c r="B293" s="113" t="s">
        <v>745</v>
      </c>
    </row>
    <row r="294" spans="1:2" x14ac:dyDescent="0.3">
      <c r="A294" t="s">
        <v>748</v>
      </c>
      <c r="B294" s="113" t="s">
        <v>747</v>
      </c>
    </row>
    <row r="295" spans="1:2" x14ac:dyDescent="0.3">
      <c r="A295" t="s">
        <v>750</v>
      </c>
      <c r="B295" s="113" t="s">
        <v>751</v>
      </c>
    </row>
    <row r="296" spans="1:2" x14ac:dyDescent="0.3">
      <c r="A296" t="s">
        <v>752</v>
      </c>
      <c r="B296" s="113" t="s">
        <v>753</v>
      </c>
    </row>
    <row r="297" spans="1:2" x14ac:dyDescent="0.3">
      <c r="A297" t="s">
        <v>754</v>
      </c>
      <c r="B297" s="113" t="s">
        <v>755</v>
      </c>
    </row>
    <row r="298" spans="1:2" x14ac:dyDescent="0.3">
      <c r="A298" t="s">
        <v>756</v>
      </c>
      <c r="B298" s="113" t="s">
        <v>757</v>
      </c>
    </row>
    <row r="299" spans="1:2" x14ac:dyDescent="0.3">
      <c r="A299" t="s">
        <v>758</v>
      </c>
      <c r="B299" s="113" t="s">
        <v>759</v>
      </c>
    </row>
    <row r="300" spans="1:2" x14ac:dyDescent="0.3">
      <c r="A300" t="s">
        <v>760</v>
      </c>
      <c r="B300" s="113" t="s">
        <v>761</v>
      </c>
    </row>
    <row r="301" spans="1:2" x14ac:dyDescent="0.3">
      <c r="A301" t="s">
        <v>762</v>
      </c>
      <c r="B301" s="113" t="s">
        <v>763</v>
      </c>
    </row>
    <row r="302" spans="1:2" x14ac:dyDescent="0.3">
      <c r="A302" t="s">
        <v>764</v>
      </c>
      <c r="B302" s="113" t="s">
        <v>765</v>
      </c>
    </row>
    <row r="303" spans="1:2" x14ac:dyDescent="0.3">
      <c r="A303" t="s">
        <v>767</v>
      </c>
      <c r="B303" s="113" t="s">
        <v>766</v>
      </c>
    </row>
    <row r="304" spans="1:2" x14ac:dyDescent="0.3">
      <c r="A304" t="s">
        <v>768</v>
      </c>
      <c r="B304" s="113" t="s">
        <v>769</v>
      </c>
    </row>
    <row r="305" spans="1:2" x14ac:dyDescent="0.3">
      <c r="A305" t="s">
        <v>775</v>
      </c>
      <c r="B305" s="113" t="s">
        <v>772</v>
      </c>
    </row>
    <row r="306" spans="1:2" x14ac:dyDescent="0.3">
      <c r="A306" t="s">
        <v>776</v>
      </c>
      <c r="B306" s="113" t="s">
        <v>777</v>
      </c>
    </row>
    <row r="307" spans="1:2" x14ac:dyDescent="0.3">
      <c r="A307" t="s">
        <v>778</v>
      </c>
      <c r="B307" s="113" t="s">
        <v>779</v>
      </c>
    </row>
    <row r="308" spans="1:2" x14ac:dyDescent="0.3">
      <c r="A308" t="s">
        <v>781</v>
      </c>
      <c r="B308" s="113" t="s">
        <v>780</v>
      </c>
    </row>
    <row r="309" spans="1:2" x14ac:dyDescent="0.3">
      <c r="A309" t="s">
        <v>782</v>
      </c>
      <c r="B309" s="113" t="s">
        <v>783</v>
      </c>
    </row>
    <row r="310" spans="1:2" x14ac:dyDescent="0.3">
      <c r="A310" t="s">
        <v>784</v>
      </c>
      <c r="B310" s="113" t="s">
        <v>785</v>
      </c>
    </row>
    <row r="311" spans="1:2" x14ac:dyDescent="0.3">
      <c r="A311" t="s">
        <v>788</v>
      </c>
      <c r="B311" s="113" t="s">
        <v>789</v>
      </c>
    </row>
    <row r="312" spans="1:2" x14ac:dyDescent="0.3">
      <c r="A312" t="s">
        <v>790</v>
      </c>
      <c r="B312" s="113" t="s">
        <v>791</v>
      </c>
    </row>
    <row r="313" spans="1:2" x14ac:dyDescent="0.3">
      <c r="A313" t="s">
        <v>792</v>
      </c>
      <c r="B313" s="113" t="s">
        <v>793</v>
      </c>
    </row>
    <row r="314" spans="1:2" x14ac:dyDescent="0.3">
      <c r="A314" t="s">
        <v>794</v>
      </c>
      <c r="B314" s="113" t="s">
        <v>795</v>
      </c>
    </row>
    <row r="315" spans="1:2" x14ac:dyDescent="0.3">
      <c r="A315" t="s">
        <v>797</v>
      </c>
      <c r="B315" s="113" t="s">
        <v>796</v>
      </c>
    </row>
    <row r="316" spans="1:2" x14ac:dyDescent="0.3">
      <c r="A316" t="s">
        <v>798</v>
      </c>
      <c r="B316" s="113" t="s">
        <v>799</v>
      </c>
    </row>
    <row r="317" spans="1:2" x14ac:dyDescent="0.3">
      <c r="A317" t="s">
        <v>800</v>
      </c>
      <c r="B317" s="113" t="s">
        <v>801</v>
      </c>
    </row>
    <row r="318" spans="1:2" x14ac:dyDescent="0.3">
      <c r="A318" t="s">
        <v>805</v>
      </c>
      <c r="B318" s="113" t="s">
        <v>806</v>
      </c>
    </row>
    <row r="319" spans="1:2" x14ac:dyDescent="0.3">
      <c r="A319" t="s">
        <v>807</v>
      </c>
      <c r="B319" s="113" t="s">
        <v>808</v>
      </c>
    </row>
    <row r="320" spans="1:2" x14ac:dyDescent="0.3">
      <c r="A320" t="s">
        <v>809</v>
      </c>
      <c r="B320" s="113" t="s">
        <v>810</v>
      </c>
    </row>
    <row r="321" spans="1:2" x14ac:dyDescent="0.3">
      <c r="A321" t="s">
        <v>811</v>
      </c>
      <c r="B321" s="113" t="s">
        <v>812</v>
      </c>
    </row>
    <row r="322" spans="1:2" x14ac:dyDescent="0.3">
      <c r="A322" t="s">
        <v>813</v>
      </c>
      <c r="B322" s="113" t="s">
        <v>814</v>
      </c>
    </row>
    <row r="323" spans="1:2" x14ac:dyDescent="0.3">
      <c r="A323" t="s">
        <v>815</v>
      </c>
      <c r="B323" s="113" t="s">
        <v>816</v>
      </c>
    </row>
    <row r="324" spans="1:2" x14ac:dyDescent="0.3">
      <c r="A324" t="s">
        <v>817</v>
      </c>
      <c r="B324" s="113" t="s">
        <v>818</v>
      </c>
    </row>
    <row r="325" spans="1:2" x14ac:dyDescent="0.3">
      <c r="A325" t="s">
        <v>819</v>
      </c>
      <c r="B325" s="113" t="s">
        <v>820</v>
      </c>
    </row>
    <row r="326" spans="1:2" x14ac:dyDescent="0.3">
      <c r="A326" t="s">
        <v>821</v>
      </c>
      <c r="B326" s="113" t="s">
        <v>822</v>
      </c>
    </row>
    <row r="327" spans="1:2" x14ac:dyDescent="0.3">
      <c r="A327" t="s">
        <v>824</v>
      </c>
      <c r="B327" s="113" t="s">
        <v>823</v>
      </c>
    </row>
    <row r="328" spans="1:2" x14ac:dyDescent="0.3">
      <c r="A328" t="s">
        <v>825</v>
      </c>
      <c r="B328" s="113" t="s">
        <v>826</v>
      </c>
    </row>
    <row r="329" spans="1:2" x14ac:dyDescent="0.3">
      <c r="A329" t="s">
        <v>827</v>
      </c>
      <c r="B329" s="113" t="s">
        <v>828</v>
      </c>
    </row>
    <row r="330" spans="1:2" x14ac:dyDescent="0.3">
      <c r="A330" t="s">
        <v>829</v>
      </c>
      <c r="B330" s="113" t="s">
        <v>830</v>
      </c>
    </row>
    <row r="331" spans="1:2" x14ac:dyDescent="0.3">
      <c r="A331" t="s">
        <v>831</v>
      </c>
      <c r="B331" s="113" t="s">
        <v>832</v>
      </c>
    </row>
    <row r="332" spans="1:2" x14ac:dyDescent="0.3">
      <c r="A332" t="s">
        <v>833</v>
      </c>
      <c r="B332" s="113" t="s">
        <v>834</v>
      </c>
    </row>
    <row r="333" spans="1:2" x14ac:dyDescent="0.3">
      <c r="A333" t="s">
        <v>835</v>
      </c>
      <c r="B333" s="113" t="s">
        <v>836</v>
      </c>
    </row>
    <row r="334" spans="1:2" x14ac:dyDescent="0.3">
      <c r="A334" t="s">
        <v>837</v>
      </c>
      <c r="B334" s="113" t="s">
        <v>838</v>
      </c>
    </row>
    <row r="335" spans="1:2" x14ac:dyDescent="0.3">
      <c r="A335" t="s">
        <v>839</v>
      </c>
      <c r="B335" s="113" t="s">
        <v>840</v>
      </c>
    </row>
    <row r="336" spans="1:2" x14ac:dyDescent="0.3">
      <c r="A336" t="s">
        <v>879</v>
      </c>
      <c r="B336" s="113" t="s">
        <v>841</v>
      </c>
    </row>
    <row r="337" spans="1:2" x14ac:dyDescent="0.3">
      <c r="A337" t="s">
        <v>842</v>
      </c>
      <c r="B337" s="113" t="s">
        <v>843</v>
      </c>
    </row>
    <row r="338" spans="1:2" x14ac:dyDescent="0.3">
      <c r="A338" t="s">
        <v>844</v>
      </c>
      <c r="B338" s="113" t="s">
        <v>845</v>
      </c>
    </row>
    <row r="339" spans="1:2" x14ac:dyDescent="0.3">
      <c r="A339" t="s">
        <v>880</v>
      </c>
      <c r="B339" s="113" t="s">
        <v>846</v>
      </c>
    </row>
    <row r="340" spans="1:2" x14ac:dyDescent="0.3">
      <c r="A340" t="s">
        <v>847</v>
      </c>
      <c r="B340" s="113" t="s">
        <v>848</v>
      </c>
    </row>
    <row r="341" spans="1:2" x14ac:dyDescent="0.3">
      <c r="A341" t="s">
        <v>1144</v>
      </c>
      <c r="B341" s="113" t="s">
        <v>849</v>
      </c>
    </row>
    <row r="342" spans="1:2" x14ac:dyDescent="0.3">
      <c r="A342" t="s">
        <v>850</v>
      </c>
      <c r="B342" s="113" t="s">
        <v>851</v>
      </c>
    </row>
    <row r="343" spans="1:2" x14ac:dyDescent="0.3">
      <c r="A343" t="s">
        <v>852</v>
      </c>
      <c r="B343" s="113" t="s">
        <v>853</v>
      </c>
    </row>
    <row r="344" spans="1:2" x14ac:dyDescent="0.3">
      <c r="A344" t="s">
        <v>1437</v>
      </c>
      <c r="B344" s="113" t="s">
        <v>854</v>
      </c>
    </row>
    <row r="345" spans="1:2" x14ac:dyDescent="0.3">
      <c r="A345" t="s">
        <v>855</v>
      </c>
      <c r="B345" s="113" t="s">
        <v>856</v>
      </c>
    </row>
    <row r="346" spans="1:2" x14ac:dyDescent="0.3">
      <c r="A346" t="s">
        <v>881</v>
      </c>
      <c r="B346" s="113" t="s">
        <v>882</v>
      </c>
    </row>
    <row r="347" spans="1:2" x14ac:dyDescent="0.3">
      <c r="A347" t="s">
        <v>883</v>
      </c>
      <c r="B347" s="113" t="s">
        <v>884</v>
      </c>
    </row>
    <row r="348" spans="1:2" x14ac:dyDescent="0.3">
      <c r="A348" t="s">
        <v>885</v>
      </c>
      <c r="B348" s="113" t="s">
        <v>886</v>
      </c>
    </row>
    <row r="349" spans="1:2" x14ac:dyDescent="0.3">
      <c r="A349" t="s">
        <v>887</v>
      </c>
      <c r="B349" s="113" t="s">
        <v>888</v>
      </c>
    </row>
    <row r="350" spans="1:2" x14ac:dyDescent="0.3">
      <c r="A350" t="s">
        <v>889</v>
      </c>
      <c r="B350" s="113" t="s">
        <v>890</v>
      </c>
    </row>
    <row r="351" spans="1:2" x14ac:dyDescent="0.3">
      <c r="A351" t="s">
        <v>891</v>
      </c>
      <c r="B351" s="113" t="s">
        <v>892</v>
      </c>
    </row>
    <row r="352" spans="1:2" x14ac:dyDescent="0.3">
      <c r="A352" t="s">
        <v>893</v>
      </c>
      <c r="B352" s="113" t="s">
        <v>894</v>
      </c>
    </row>
    <row r="353" spans="1:2" x14ac:dyDescent="0.3">
      <c r="A353" t="s">
        <v>895</v>
      </c>
      <c r="B353" s="113" t="s">
        <v>896</v>
      </c>
    </row>
    <row r="354" spans="1:2" x14ac:dyDescent="0.3">
      <c r="A354" t="s">
        <v>897</v>
      </c>
      <c r="B354" s="113" t="s">
        <v>898</v>
      </c>
    </row>
    <row r="355" spans="1:2" x14ac:dyDescent="0.3">
      <c r="A355" t="s">
        <v>899</v>
      </c>
      <c r="B355" s="113" t="s">
        <v>900</v>
      </c>
    </row>
    <row r="356" spans="1:2" x14ac:dyDescent="0.3">
      <c r="A356" t="s">
        <v>901</v>
      </c>
      <c r="B356" s="113" t="s">
        <v>902</v>
      </c>
    </row>
    <row r="357" spans="1:2" x14ac:dyDescent="0.3">
      <c r="A357" t="s">
        <v>903</v>
      </c>
      <c r="B357" s="113" t="s">
        <v>904</v>
      </c>
    </row>
    <row r="358" spans="1:2" x14ac:dyDescent="0.3">
      <c r="A358" t="s">
        <v>905</v>
      </c>
      <c r="B358" s="113" t="s">
        <v>906</v>
      </c>
    </row>
    <row r="359" spans="1:2" x14ac:dyDescent="0.3">
      <c r="A359" t="s">
        <v>907</v>
      </c>
      <c r="B359" s="113" t="s">
        <v>908</v>
      </c>
    </row>
    <row r="360" spans="1:2" x14ac:dyDescent="0.3">
      <c r="A360" t="s">
        <v>909</v>
      </c>
      <c r="B360" s="113" t="s">
        <v>910</v>
      </c>
    </row>
    <row r="361" spans="1:2" x14ac:dyDescent="0.3">
      <c r="A361" t="s">
        <v>911</v>
      </c>
      <c r="B361" s="113" t="s">
        <v>912</v>
      </c>
    </row>
    <row r="362" spans="1:2" x14ac:dyDescent="0.3">
      <c r="A362" t="s">
        <v>913</v>
      </c>
      <c r="B362" s="113" t="s">
        <v>914</v>
      </c>
    </row>
    <row r="363" spans="1:2" x14ac:dyDescent="0.3">
      <c r="A363" t="s">
        <v>915</v>
      </c>
      <c r="B363" s="113" t="s">
        <v>916</v>
      </c>
    </row>
    <row r="364" spans="1:2" x14ac:dyDescent="0.3">
      <c r="A364" t="s">
        <v>917</v>
      </c>
      <c r="B364" s="113" t="s">
        <v>918</v>
      </c>
    </row>
    <row r="365" spans="1:2" x14ac:dyDescent="0.3">
      <c r="A365" t="s">
        <v>919</v>
      </c>
      <c r="B365" s="113" t="s">
        <v>920</v>
      </c>
    </row>
    <row r="366" spans="1:2" x14ac:dyDescent="0.3">
      <c r="A366" t="s">
        <v>921</v>
      </c>
      <c r="B366" s="113" t="s">
        <v>922</v>
      </c>
    </row>
    <row r="367" spans="1:2" x14ac:dyDescent="0.3">
      <c r="A367" t="s">
        <v>1094</v>
      </c>
      <c r="B367" s="113" t="s">
        <v>923</v>
      </c>
    </row>
    <row r="368" spans="1:2" x14ac:dyDescent="0.3">
      <c r="A368" t="s">
        <v>924</v>
      </c>
      <c r="B368" s="113" t="s">
        <v>925</v>
      </c>
    </row>
    <row r="369" spans="1:2" x14ac:dyDescent="0.3">
      <c r="A369" t="s">
        <v>926</v>
      </c>
      <c r="B369" s="113" t="s">
        <v>927</v>
      </c>
    </row>
    <row r="370" spans="1:2" x14ac:dyDescent="0.3">
      <c r="A370" t="s">
        <v>928</v>
      </c>
      <c r="B370" s="113" t="s">
        <v>929</v>
      </c>
    </row>
    <row r="371" spans="1:2" x14ac:dyDescent="0.3">
      <c r="A371" t="s">
        <v>930</v>
      </c>
      <c r="B371" s="113" t="s">
        <v>931</v>
      </c>
    </row>
    <row r="372" spans="1:2" x14ac:dyDescent="0.3">
      <c r="A372" t="s">
        <v>932</v>
      </c>
      <c r="B372" s="113" t="s">
        <v>933</v>
      </c>
    </row>
    <row r="373" spans="1:2" x14ac:dyDescent="0.3">
      <c r="A373" t="s">
        <v>934</v>
      </c>
      <c r="B373" s="113" t="s">
        <v>935</v>
      </c>
    </row>
    <row r="374" spans="1:2" x14ac:dyDescent="0.3">
      <c r="A374" t="s">
        <v>936</v>
      </c>
      <c r="B374" s="113" t="s">
        <v>937</v>
      </c>
    </row>
    <row r="375" spans="1:2" x14ac:dyDescent="0.3">
      <c r="A375" t="s">
        <v>938</v>
      </c>
      <c r="B375" s="113" t="s">
        <v>939</v>
      </c>
    </row>
    <row r="376" spans="1:2" x14ac:dyDescent="0.3">
      <c r="A376" t="s">
        <v>940</v>
      </c>
      <c r="B376" s="113" t="s">
        <v>941</v>
      </c>
    </row>
    <row r="377" spans="1:2" x14ac:dyDescent="0.3">
      <c r="A377" t="s">
        <v>1145</v>
      </c>
      <c r="B377" s="113" t="s">
        <v>942</v>
      </c>
    </row>
    <row r="378" spans="1:2" x14ac:dyDescent="0.3">
      <c r="A378" t="s">
        <v>943</v>
      </c>
      <c r="B378" s="113" t="s">
        <v>944</v>
      </c>
    </row>
    <row r="379" spans="1:2" x14ac:dyDescent="0.3">
      <c r="A379" t="s">
        <v>945</v>
      </c>
      <c r="B379" s="113" t="s">
        <v>946</v>
      </c>
    </row>
    <row r="380" spans="1:2" x14ac:dyDescent="0.3">
      <c r="A380" t="s">
        <v>947</v>
      </c>
      <c r="B380" s="113" t="s">
        <v>948</v>
      </c>
    </row>
    <row r="381" spans="1:2" x14ac:dyDescent="0.3">
      <c r="A381" t="s">
        <v>949</v>
      </c>
      <c r="B381" s="113" t="s">
        <v>950</v>
      </c>
    </row>
    <row r="382" spans="1:2" x14ac:dyDescent="0.3">
      <c r="A382" t="s">
        <v>859</v>
      </c>
      <c r="B382" s="113" t="s">
        <v>951</v>
      </c>
    </row>
    <row r="383" spans="1:2" x14ac:dyDescent="0.3">
      <c r="A383" t="s">
        <v>952</v>
      </c>
      <c r="B383" s="113" t="s">
        <v>953</v>
      </c>
    </row>
    <row r="384" spans="1:2" x14ac:dyDescent="0.3">
      <c r="A384" t="s">
        <v>1146</v>
      </c>
      <c r="B384" s="113" t="s">
        <v>954</v>
      </c>
    </row>
    <row r="385" spans="1:2" x14ac:dyDescent="0.3">
      <c r="A385" t="s">
        <v>1125</v>
      </c>
      <c r="B385" s="113" t="s">
        <v>955</v>
      </c>
    </row>
    <row r="386" spans="1:2" x14ac:dyDescent="0.3">
      <c r="A386" t="s">
        <v>956</v>
      </c>
      <c r="B386" s="113" t="s">
        <v>957</v>
      </c>
    </row>
    <row r="387" spans="1:2" x14ac:dyDescent="0.3">
      <c r="A387" t="s">
        <v>958</v>
      </c>
      <c r="B387" s="113" t="s">
        <v>959</v>
      </c>
    </row>
    <row r="388" spans="1:2" x14ac:dyDescent="0.3">
      <c r="A388" t="s">
        <v>1095</v>
      </c>
      <c r="B388" s="113" t="s">
        <v>1096</v>
      </c>
    </row>
    <row r="389" spans="1:2" x14ac:dyDescent="0.3">
      <c r="A389" t="s">
        <v>1097</v>
      </c>
      <c r="B389" s="113" t="s">
        <v>1098</v>
      </c>
    </row>
    <row r="390" spans="1:2" x14ac:dyDescent="0.3">
      <c r="A390" t="s">
        <v>1099</v>
      </c>
      <c r="B390" s="113" t="s">
        <v>1100</v>
      </c>
    </row>
    <row r="391" spans="1:2" x14ac:dyDescent="0.3">
      <c r="A391" t="s">
        <v>1101</v>
      </c>
      <c r="B391" s="113" t="s">
        <v>1102</v>
      </c>
    </row>
    <row r="392" spans="1:2" x14ac:dyDescent="0.3">
      <c r="A392" t="s">
        <v>1103</v>
      </c>
      <c r="B392" s="113" t="s">
        <v>1104</v>
      </c>
    </row>
    <row r="393" spans="1:2" x14ac:dyDescent="0.3">
      <c r="A393" t="s">
        <v>1105</v>
      </c>
      <c r="B393" s="113" t="s">
        <v>1106</v>
      </c>
    </row>
    <row r="394" spans="1:2" x14ac:dyDescent="0.3">
      <c r="A394" t="s">
        <v>1107</v>
      </c>
      <c r="B394" s="113" t="s">
        <v>1108</v>
      </c>
    </row>
    <row r="395" spans="1:2" x14ac:dyDescent="0.3">
      <c r="A395" t="s">
        <v>1109</v>
      </c>
      <c r="B395" s="113" t="s">
        <v>1110</v>
      </c>
    </row>
    <row r="396" spans="1:2" x14ac:dyDescent="0.3">
      <c r="A396" t="s">
        <v>1147</v>
      </c>
      <c r="B396" s="113" t="s">
        <v>1148</v>
      </c>
    </row>
    <row r="397" spans="1:2" x14ac:dyDescent="0.3">
      <c r="A397" t="s">
        <v>1181</v>
      </c>
      <c r="B397" s="113" t="s">
        <v>1149</v>
      </c>
    </row>
    <row r="398" spans="1:2" x14ac:dyDescent="0.3">
      <c r="A398" t="s">
        <v>1182</v>
      </c>
      <c r="B398" s="113" t="s">
        <v>1150</v>
      </c>
    </row>
    <row r="399" spans="1:2" x14ac:dyDescent="0.3">
      <c r="A399" t="s">
        <v>1151</v>
      </c>
      <c r="B399" s="113" t="s">
        <v>1152</v>
      </c>
    </row>
    <row r="400" spans="1:2" x14ac:dyDescent="0.3">
      <c r="A400" t="s">
        <v>1153</v>
      </c>
      <c r="B400" s="113" t="s">
        <v>1143</v>
      </c>
    </row>
    <row r="401" spans="1:2" x14ac:dyDescent="0.3">
      <c r="A401" t="s">
        <v>1154</v>
      </c>
      <c r="B401" s="113" t="s">
        <v>1155</v>
      </c>
    </row>
    <row r="402" spans="1:2" x14ac:dyDescent="0.3">
      <c r="A402" t="s">
        <v>1156</v>
      </c>
      <c r="B402" s="113" t="s">
        <v>1157</v>
      </c>
    </row>
    <row r="403" spans="1:2" x14ac:dyDescent="0.3">
      <c r="A403" t="s">
        <v>1158</v>
      </c>
      <c r="B403" s="113" t="s">
        <v>1159</v>
      </c>
    </row>
    <row r="404" spans="1:2" x14ac:dyDescent="0.3">
      <c r="A404" t="s">
        <v>1183</v>
      </c>
      <c r="B404" s="113" t="s">
        <v>1184</v>
      </c>
    </row>
    <row r="405" spans="1:2" x14ac:dyDescent="0.3">
      <c r="A405" t="s">
        <v>1185</v>
      </c>
      <c r="B405" s="113" t="s">
        <v>1186</v>
      </c>
    </row>
    <row r="406" spans="1:2" x14ac:dyDescent="0.3">
      <c r="A406" t="s">
        <v>1187</v>
      </c>
      <c r="B406" s="113" t="s">
        <v>1188</v>
      </c>
    </row>
    <row r="407" spans="1:2" x14ac:dyDescent="0.3">
      <c r="A407" t="s">
        <v>807</v>
      </c>
      <c r="B407" s="113" t="s">
        <v>1189</v>
      </c>
    </row>
    <row r="408" spans="1:2" x14ac:dyDescent="0.3">
      <c r="A408" t="s">
        <v>1190</v>
      </c>
      <c r="B408" s="113" t="s">
        <v>1191</v>
      </c>
    </row>
    <row r="409" spans="1:2" x14ac:dyDescent="0.3">
      <c r="A409" t="s">
        <v>1500</v>
      </c>
      <c r="B409" s="113" t="s">
        <v>1192</v>
      </c>
    </row>
    <row r="410" spans="1:2" x14ac:dyDescent="0.3">
      <c r="A410" t="s">
        <v>1193</v>
      </c>
      <c r="B410" s="113" t="s">
        <v>1194</v>
      </c>
    </row>
    <row r="411" spans="1:2" x14ac:dyDescent="0.3">
      <c r="A411" t="s">
        <v>1197</v>
      </c>
      <c r="B411" s="113" t="s">
        <v>1198</v>
      </c>
    </row>
    <row r="412" spans="1:2" x14ac:dyDescent="0.3">
      <c r="A412" t="s">
        <v>1199</v>
      </c>
      <c r="B412" s="113" t="s">
        <v>1200</v>
      </c>
    </row>
    <row r="413" spans="1:2" x14ac:dyDescent="0.3">
      <c r="A413" t="s">
        <v>1201</v>
      </c>
      <c r="B413" s="113" t="s">
        <v>1202</v>
      </c>
    </row>
    <row r="414" spans="1:2" x14ac:dyDescent="0.3">
      <c r="A414" t="s">
        <v>1203</v>
      </c>
      <c r="B414" s="113" t="s">
        <v>1204</v>
      </c>
    </row>
    <row r="415" spans="1:2" x14ac:dyDescent="0.3">
      <c r="A415" t="s">
        <v>1205</v>
      </c>
      <c r="B415" s="113" t="s">
        <v>1206</v>
      </c>
    </row>
    <row r="416" spans="1:2" x14ac:dyDescent="0.3">
      <c r="A416" t="s">
        <v>1213</v>
      </c>
      <c r="B416" s="113" t="s">
        <v>1214</v>
      </c>
    </row>
    <row r="417" spans="1:2" x14ac:dyDescent="0.3">
      <c r="A417" t="s">
        <v>1219</v>
      </c>
      <c r="B417" s="113" t="s">
        <v>1220</v>
      </c>
    </row>
    <row r="418" spans="1:2" x14ac:dyDescent="0.3">
      <c r="A418" t="s">
        <v>1221</v>
      </c>
      <c r="B418" s="113" t="s">
        <v>1222</v>
      </c>
    </row>
    <row r="419" spans="1:2" x14ac:dyDescent="0.3">
      <c r="A419" t="s">
        <v>1223</v>
      </c>
      <c r="B419" s="113" t="s">
        <v>1224</v>
      </c>
    </row>
    <row r="420" spans="1:2" x14ac:dyDescent="0.3">
      <c r="A420" t="s">
        <v>1227</v>
      </c>
      <c r="B420" s="113" t="s">
        <v>1228</v>
      </c>
    </row>
    <row r="421" spans="1:2" x14ac:dyDescent="0.3">
      <c r="A421" t="s">
        <v>1229</v>
      </c>
      <c r="B421" s="113" t="s">
        <v>1230</v>
      </c>
    </row>
    <row r="422" spans="1:2" x14ac:dyDescent="0.3">
      <c r="A422" t="s">
        <v>1232</v>
      </c>
      <c r="B422" s="113" t="s">
        <v>1233</v>
      </c>
    </row>
    <row r="423" spans="1:2" x14ac:dyDescent="0.3">
      <c r="A423" t="s">
        <v>1234</v>
      </c>
      <c r="B423" s="113" t="s">
        <v>1235</v>
      </c>
    </row>
    <row r="424" spans="1:2" x14ac:dyDescent="0.3">
      <c r="A424" t="s">
        <v>1236</v>
      </c>
      <c r="B424" s="113" t="s">
        <v>1237</v>
      </c>
    </row>
    <row r="425" spans="1:2" x14ac:dyDescent="0.3">
      <c r="A425" t="s">
        <v>1238</v>
      </c>
      <c r="B425" s="113" t="s">
        <v>1239</v>
      </c>
    </row>
    <row r="426" spans="1:2" x14ac:dyDescent="0.3">
      <c r="A426" t="s">
        <v>1240</v>
      </c>
      <c r="B426" s="113" t="s">
        <v>1241</v>
      </c>
    </row>
    <row r="427" spans="1:2" x14ac:dyDescent="0.3">
      <c r="A427" t="s">
        <v>1242</v>
      </c>
      <c r="B427" s="113" t="s">
        <v>1243</v>
      </c>
    </row>
    <row r="428" spans="1:2" x14ac:dyDescent="0.3">
      <c r="A428" t="s">
        <v>1244</v>
      </c>
      <c r="B428" s="113" t="s">
        <v>1245</v>
      </c>
    </row>
    <row r="429" spans="1:2" x14ac:dyDescent="0.3">
      <c r="A429" t="s">
        <v>1246</v>
      </c>
      <c r="B429" s="113" t="s">
        <v>1247</v>
      </c>
    </row>
    <row r="430" spans="1:2" x14ac:dyDescent="0.3">
      <c r="A430" t="s">
        <v>1286</v>
      </c>
      <c r="B430" s="113" t="s">
        <v>1287</v>
      </c>
    </row>
    <row r="431" spans="1:2" x14ac:dyDescent="0.3">
      <c r="A431" t="s">
        <v>1270</v>
      </c>
      <c r="B431" s="113" t="s">
        <v>1271</v>
      </c>
    </row>
    <row r="432" spans="1:2" x14ac:dyDescent="0.3">
      <c r="A432" t="s">
        <v>1272</v>
      </c>
      <c r="B432" s="113" t="s">
        <v>1273</v>
      </c>
    </row>
    <row r="433" spans="1:2" x14ac:dyDescent="0.3">
      <c r="A433" t="s">
        <v>1274</v>
      </c>
      <c r="B433" s="113" t="s">
        <v>1275</v>
      </c>
    </row>
    <row r="434" spans="1:2" x14ac:dyDescent="0.3">
      <c r="A434" t="s">
        <v>1276</v>
      </c>
      <c r="B434" s="113" t="s">
        <v>1277</v>
      </c>
    </row>
    <row r="435" spans="1:2" x14ac:dyDescent="0.3">
      <c r="A435" t="s">
        <v>1278</v>
      </c>
      <c r="B435" s="113" t="s">
        <v>1279</v>
      </c>
    </row>
    <row r="436" spans="1:2" x14ac:dyDescent="0.3">
      <c r="A436" t="s">
        <v>1280</v>
      </c>
      <c r="B436" s="113" t="s">
        <v>1281</v>
      </c>
    </row>
    <row r="437" spans="1:2" x14ac:dyDescent="0.3">
      <c r="A437" t="s">
        <v>1282</v>
      </c>
      <c r="B437" s="113" t="s">
        <v>1283</v>
      </c>
    </row>
    <row r="438" spans="1:2" x14ac:dyDescent="0.3">
      <c r="A438" t="s">
        <v>1284</v>
      </c>
      <c r="B438" s="113" t="s">
        <v>1285</v>
      </c>
    </row>
    <row r="439" spans="1:2" x14ac:dyDescent="0.3">
      <c r="A439" t="s">
        <v>1334</v>
      </c>
      <c r="B439" s="113" t="s">
        <v>1330</v>
      </c>
    </row>
    <row r="440" spans="1:2" x14ac:dyDescent="0.3">
      <c r="A440" t="s">
        <v>1335</v>
      </c>
      <c r="B440" s="113" t="s">
        <v>1331</v>
      </c>
    </row>
    <row r="441" spans="1:2" x14ac:dyDescent="0.3">
      <c r="A441" t="s">
        <v>1336</v>
      </c>
      <c r="B441" s="113" t="s">
        <v>1332</v>
      </c>
    </row>
    <row r="442" spans="1:2" x14ac:dyDescent="0.3">
      <c r="A442" t="s">
        <v>1337</v>
      </c>
      <c r="B442" s="113" t="s">
        <v>1333</v>
      </c>
    </row>
    <row r="443" spans="1:2" x14ac:dyDescent="0.3">
      <c r="A443" t="s">
        <v>1338</v>
      </c>
      <c r="B443" s="113" t="s">
        <v>1329</v>
      </c>
    </row>
    <row r="444" spans="1:2" x14ac:dyDescent="0.3">
      <c r="A444" t="s">
        <v>1402</v>
      </c>
      <c r="B444" s="113" t="s">
        <v>1403</v>
      </c>
    </row>
    <row r="445" spans="1:2" x14ac:dyDescent="0.3">
      <c r="A445" t="s">
        <v>1404</v>
      </c>
      <c r="B445" s="113" t="s">
        <v>1405</v>
      </c>
    </row>
    <row r="446" spans="1:2" x14ac:dyDescent="0.3">
      <c r="A446" t="s">
        <v>1406</v>
      </c>
      <c r="B446" s="113" t="s">
        <v>1407</v>
      </c>
    </row>
    <row r="447" spans="1:2" x14ac:dyDescent="0.3">
      <c r="A447" t="s">
        <v>1408</v>
      </c>
      <c r="B447" s="113" t="s">
        <v>1409</v>
      </c>
    </row>
    <row r="448" spans="1:2" x14ac:dyDescent="0.3">
      <c r="A448" t="s">
        <v>1410</v>
      </c>
      <c r="B448" s="113" t="s">
        <v>1411</v>
      </c>
    </row>
    <row r="449" spans="1:2" x14ac:dyDescent="0.3">
      <c r="A449" t="s">
        <v>1447</v>
      </c>
      <c r="B449" s="113" t="s">
        <v>1412</v>
      </c>
    </row>
    <row r="450" spans="1:2" x14ac:dyDescent="0.3">
      <c r="A450" t="s">
        <v>1413</v>
      </c>
      <c r="B450" s="113" t="s">
        <v>1414</v>
      </c>
    </row>
    <row r="451" spans="1:2" x14ac:dyDescent="0.3">
      <c r="A451" t="s">
        <v>1415</v>
      </c>
      <c r="B451" s="113" t="s">
        <v>1416</v>
      </c>
    </row>
    <row r="452" spans="1:2" x14ac:dyDescent="0.3">
      <c r="A452" t="s">
        <v>1417</v>
      </c>
      <c r="B452" s="113" t="s">
        <v>1418</v>
      </c>
    </row>
    <row r="453" spans="1:2" x14ac:dyDescent="0.3">
      <c r="A453" t="s">
        <v>1419</v>
      </c>
      <c r="B453" s="113" t="s">
        <v>1420</v>
      </c>
    </row>
    <row r="454" spans="1:2" x14ac:dyDescent="0.3">
      <c r="A454" t="s">
        <v>1421</v>
      </c>
      <c r="B454" s="113" t="s">
        <v>1422</v>
      </c>
    </row>
    <row r="455" spans="1:2" x14ac:dyDescent="0.3">
      <c r="A455" t="s">
        <v>1423</v>
      </c>
      <c r="B455" s="113" t="s">
        <v>1424</v>
      </c>
    </row>
    <row r="456" spans="1:2" x14ac:dyDescent="0.3">
      <c r="A456" t="s">
        <v>1501</v>
      </c>
      <c r="B456" s="113" t="s">
        <v>1425</v>
      </c>
    </row>
    <row r="457" spans="1:2" x14ac:dyDescent="0.3">
      <c r="A457" t="s">
        <v>1426</v>
      </c>
      <c r="B457" s="113" t="s">
        <v>1427</v>
      </c>
    </row>
    <row r="458" spans="1:2" x14ac:dyDescent="0.3">
      <c r="A458" t="s">
        <v>1428</v>
      </c>
      <c r="B458" s="113" t="s">
        <v>1429</v>
      </c>
    </row>
    <row r="459" spans="1:2" x14ac:dyDescent="0.3">
      <c r="A459" t="s">
        <v>1430</v>
      </c>
      <c r="B459" s="113" t="s">
        <v>1431</v>
      </c>
    </row>
    <row r="460" spans="1:2" x14ac:dyDescent="0.3">
      <c r="A460" t="s">
        <v>1432</v>
      </c>
      <c r="B460" s="113" t="s">
        <v>1433</v>
      </c>
    </row>
    <row r="461" spans="1:2" x14ac:dyDescent="0.3">
      <c r="A461" t="s">
        <v>1502</v>
      </c>
      <c r="B461" s="113" t="s">
        <v>1434</v>
      </c>
    </row>
    <row r="462" spans="1:2" x14ac:dyDescent="0.3">
      <c r="A462" t="s">
        <v>1435</v>
      </c>
      <c r="B462" s="113" t="s">
        <v>1436</v>
      </c>
    </row>
    <row r="463" spans="1:2" x14ac:dyDescent="0.3">
      <c r="A463" t="s">
        <v>1474</v>
      </c>
      <c r="B463" s="113" t="s">
        <v>1475</v>
      </c>
    </row>
    <row r="464" spans="1:2" x14ac:dyDescent="0.3">
      <c r="A464" t="s">
        <v>1476</v>
      </c>
      <c r="B464" s="113" t="s">
        <v>1477</v>
      </c>
    </row>
    <row r="465" spans="1:2" x14ac:dyDescent="0.3">
      <c r="A465" t="s">
        <v>1478</v>
      </c>
      <c r="B465" s="113" t="s">
        <v>1479</v>
      </c>
    </row>
    <row r="466" spans="1:2" x14ac:dyDescent="0.3">
      <c r="A466" t="s">
        <v>1480</v>
      </c>
      <c r="B466" s="113" t="s">
        <v>1481</v>
      </c>
    </row>
    <row r="467" spans="1:2" x14ac:dyDescent="0.3">
      <c r="A467" t="s">
        <v>1482</v>
      </c>
      <c r="B467" s="113" t="s">
        <v>1483</v>
      </c>
    </row>
    <row r="468" spans="1:2" x14ac:dyDescent="0.3">
      <c r="A468" t="s">
        <v>1484</v>
      </c>
      <c r="B468" s="113" t="s">
        <v>1485</v>
      </c>
    </row>
    <row r="469" spans="1:2" x14ac:dyDescent="0.3">
      <c r="A469" t="s">
        <v>1486</v>
      </c>
      <c r="B469" s="113" t="s">
        <v>1487</v>
      </c>
    </row>
    <row r="470" spans="1:2" x14ac:dyDescent="0.3">
      <c r="A470" t="s">
        <v>1488</v>
      </c>
      <c r="B470" s="113" t="s">
        <v>1489</v>
      </c>
    </row>
    <row r="471" spans="1:2" x14ac:dyDescent="0.3">
      <c r="A471" t="s">
        <v>1490</v>
      </c>
      <c r="B471" s="113" t="s">
        <v>1491</v>
      </c>
    </row>
    <row r="472" spans="1:2" x14ac:dyDescent="0.3">
      <c r="A472" t="s">
        <v>1492</v>
      </c>
      <c r="B472" s="113" t="s">
        <v>1493</v>
      </c>
    </row>
    <row r="473" spans="1:2" x14ac:dyDescent="0.3">
      <c r="A473" t="s">
        <v>1503</v>
      </c>
      <c r="B473" s="113" t="s">
        <v>1504</v>
      </c>
    </row>
    <row r="474" spans="1:2" x14ac:dyDescent="0.3">
      <c r="A474" t="s">
        <v>1505</v>
      </c>
      <c r="B474" s="113" t="s">
        <v>1506</v>
      </c>
    </row>
    <row r="475" spans="1:2" x14ac:dyDescent="0.3">
      <c r="A475" t="s">
        <v>1507</v>
      </c>
      <c r="B475" s="113" t="s">
        <v>1508</v>
      </c>
    </row>
    <row r="476" spans="1:2" x14ac:dyDescent="0.3">
      <c r="A476" t="s">
        <v>1509</v>
      </c>
      <c r="B476" s="113" t="s">
        <v>1510</v>
      </c>
    </row>
    <row r="477" spans="1:2" x14ac:dyDescent="0.3">
      <c r="A477" t="s">
        <v>1533</v>
      </c>
      <c r="B477" s="113" t="s">
        <v>1534</v>
      </c>
    </row>
    <row r="478" spans="1:2" x14ac:dyDescent="0.3">
      <c r="A478" t="s">
        <v>1535</v>
      </c>
      <c r="B478" s="113" t="s">
        <v>1536</v>
      </c>
    </row>
    <row r="479" spans="1:2" x14ac:dyDescent="0.3">
      <c r="A479" t="s">
        <v>1537</v>
      </c>
      <c r="B479" s="113" t="s">
        <v>1538</v>
      </c>
    </row>
    <row r="480" spans="1:2" x14ac:dyDescent="0.3">
      <c r="A480" t="s">
        <v>1539</v>
      </c>
      <c r="B480" s="113" t="s">
        <v>1540</v>
      </c>
    </row>
    <row r="481" spans="1:2" x14ac:dyDescent="0.3">
      <c r="A481" t="s">
        <v>1541</v>
      </c>
      <c r="B481" s="113" t="s">
        <v>1542</v>
      </c>
    </row>
    <row r="482" spans="1:2" x14ac:dyDescent="0.3">
      <c r="A482" t="s">
        <v>1543</v>
      </c>
      <c r="B482" s="113" t="s">
        <v>1544</v>
      </c>
    </row>
    <row r="483" spans="1:2" x14ac:dyDescent="0.3">
      <c r="A483" t="s">
        <v>1545</v>
      </c>
      <c r="B483" s="113" t="s">
        <v>1546</v>
      </c>
    </row>
    <row r="484" spans="1:2" x14ac:dyDescent="0.3">
      <c r="A484" t="s">
        <v>1547</v>
      </c>
      <c r="B484" s="113" t="s">
        <v>1548</v>
      </c>
    </row>
    <row r="485" spans="1:2" x14ac:dyDescent="0.3">
      <c r="A485" t="s">
        <v>1549</v>
      </c>
      <c r="B485" s="113" t="s">
        <v>1550</v>
      </c>
    </row>
    <row r="486" spans="1:2" x14ac:dyDescent="0.3">
      <c r="A486" t="s">
        <v>1551</v>
      </c>
      <c r="B486" s="113" t="s">
        <v>1552</v>
      </c>
    </row>
    <row r="487" spans="1:2" x14ac:dyDescent="0.3">
      <c r="A487" t="s">
        <v>1553</v>
      </c>
      <c r="B487" s="113" t="s">
        <v>1554</v>
      </c>
    </row>
    <row r="488" spans="1:2" x14ac:dyDescent="0.3">
      <c r="A488" t="s">
        <v>1555</v>
      </c>
      <c r="B488" s="113" t="s">
        <v>1556</v>
      </c>
    </row>
    <row r="489" spans="1:2" x14ac:dyDescent="0.3">
      <c r="A489" t="s">
        <v>1557</v>
      </c>
      <c r="B489" s="113" t="s">
        <v>1558</v>
      </c>
    </row>
    <row r="490" spans="1:2" x14ac:dyDescent="0.3">
      <c r="A490" t="s">
        <v>1559</v>
      </c>
      <c r="B490" s="113" t="s">
        <v>1560</v>
      </c>
    </row>
    <row r="491" spans="1:2" x14ac:dyDescent="0.3">
      <c r="A491" t="s">
        <v>1561</v>
      </c>
      <c r="B491" s="113" t="s">
        <v>1562</v>
      </c>
    </row>
    <row r="492" spans="1:2" x14ac:dyDescent="0.3">
      <c r="A492" t="s">
        <v>1563</v>
      </c>
      <c r="B492" s="113" t="s">
        <v>1564</v>
      </c>
    </row>
    <row r="493" spans="1:2" x14ac:dyDescent="0.3">
      <c r="A493" t="s">
        <v>1565</v>
      </c>
      <c r="B493" s="113" t="s">
        <v>1566</v>
      </c>
    </row>
    <row r="494" spans="1:2" x14ac:dyDescent="0.3">
      <c r="A494" t="s">
        <v>1567</v>
      </c>
      <c r="B494" s="113" t="s">
        <v>1568</v>
      </c>
    </row>
    <row r="495" spans="1:2" x14ac:dyDescent="0.3">
      <c r="A495" t="s">
        <v>1569</v>
      </c>
      <c r="B495" s="113" t="s">
        <v>1570</v>
      </c>
    </row>
    <row r="496" spans="1:2" x14ac:dyDescent="0.3">
      <c r="A496" t="s">
        <v>1571</v>
      </c>
      <c r="B496" s="113" t="s">
        <v>1572</v>
      </c>
    </row>
    <row r="497" spans="1:2" x14ac:dyDescent="0.3">
      <c r="A497" t="s">
        <v>1573</v>
      </c>
      <c r="B497" s="113" t="s">
        <v>1574</v>
      </c>
    </row>
    <row r="498" spans="1:2" x14ac:dyDescent="0.3">
      <c r="A498" t="s">
        <v>1575</v>
      </c>
      <c r="B498" s="113" t="s">
        <v>1576</v>
      </c>
    </row>
    <row r="499" spans="1:2" x14ac:dyDescent="0.3">
      <c r="A499" t="s">
        <v>1577</v>
      </c>
      <c r="B499" s="113" t="s">
        <v>1578</v>
      </c>
    </row>
    <row r="500" spans="1:2" x14ac:dyDescent="0.3">
      <c r="A500" t="s">
        <v>1579</v>
      </c>
      <c r="B500" s="113" t="s">
        <v>1580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fitToPage="1"/>
  </sheetPr>
  <dimension ref="A1:U12664"/>
  <sheetViews>
    <sheetView showGridLines="0" topLeftCell="A2" zoomScale="115" zoomScaleNormal="115" workbookViewId="0">
      <pane ySplit="6" topLeftCell="A12232" activePane="bottomLeft" state="frozen"/>
      <selection activeCell="D26" sqref="D26"/>
      <selection pane="bottomLeft" activeCell="K12240" sqref="K12240"/>
    </sheetView>
  </sheetViews>
  <sheetFormatPr defaultColWidth="8.88671875" defaultRowHeight="11.25" customHeight="1" x14ac:dyDescent="0.2"/>
  <cols>
    <col min="1" max="1" width="6" style="156" customWidth="1"/>
    <col min="2" max="2" width="5.44140625" style="156" customWidth="1"/>
    <col min="3" max="3" width="5.6640625" style="156" customWidth="1"/>
    <col min="4" max="4" width="7.88671875" style="156" customWidth="1"/>
    <col min="5" max="5" width="9" style="156" bestFit="1" customWidth="1"/>
    <col min="6" max="6" width="36.88671875" style="156" customWidth="1"/>
    <col min="7" max="7" width="8.88671875" style="208" customWidth="1"/>
    <col min="8" max="8" width="7.88671875" style="206" customWidth="1"/>
    <col min="9" max="9" width="3.6640625" style="206" customWidth="1"/>
    <col min="10" max="10" width="31.6640625" style="165" customWidth="1"/>
    <col min="11" max="12" width="13.6640625" style="167" bestFit="1" customWidth="1"/>
    <col min="13" max="13" width="11.33203125" style="156" customWidth="1"/>
    <col min="14" max="14" width="12.109375" style="156" customWidth="1"/>
    <col min="15" max="15" width="12.88671875" style="156" bestFit="1" customWidth="1"/>
    <col min="16" max="16" width="14.5546875" style="156" bestFit="1" customWidth="1"/>
    <col min="17" max="18" width="19.44140625" style="156" bestFit="1" customWidth="1"/>
    <col min="19" max="19" width="13.5546875" style="156" bestFit="1" customWidth="1"/>
    <col min="20" max="20" width="10.33203125" style="156" bestFit="1" customWidth="1"/>
    <col min="21" max="21" width="12.33203125" style="156" bestFit="1" customWidth="1"/>
    <col min="22" max="22" width="10" style="156" bestFit="1" customWidth="1"/>
    <col min="23" max="23" width="11.6640625" style="156" bestFit="1" customWidth="1"/>
    <col min="24" max="16384" width="8.88671875" style="156"/>
  </cols>
  <sheetData>
    <row r="1" spans="1:21" ht="10.199999999999999" x14ac:dyDescent="0.2"/>
    <row r="2" spans="1:21" ht="10.199999999999999" x14ac:dyDescent="0.2">
      <c r="A2" s="490" t="s">
        <v>114</v>
      </c>
      <c r="B2" s="490"/>
      <c r="C2" s="490"/>
      <c r="D2" s="490"/>
      <c r="E2" s="490"/>
      <c r="F2" s="490"/>
      <c r="G2" s="167"/>
      <c r="H2" s="167"/>
      <c r="I2" s="167"/>
      <c r="J2" s="167"/>
      <c r="L2" s="167">
        <f>K6-L6</f>
        <v>4.42962646484375E-2</v>
      </c>
    </row>
    <row r="3" spans="1:21" ht="10.199999999999999" x14ac:dyDescent="0.2">
      <c r="A3" s="490" t="s">
        <v>110</v>
      </c>
      <c r="B3" s="490"/>
      <c r="C3" s="490"/>
      <c r="D3" s="490"/>
      <c r="E3" s="490"/>
      <c r="F3" s="490"/>
      <c r="G3" s="167"/>
      <c r="H3" s="167"/>
      <c r="I3" s="167"/>
      <c r="J3" s="167"/>
      <c r="L3" s="167">
        <f>SUM('TB-C'!H7:H5011)-SUM('TB-C'!I7:I5011)</f>
        <v>3.5499945282936096E-2</v>
      </c>
    </row>
    <row r="4" spans="1:21" ht="10.199999999999999" x14ac:dyDescent="0.2">
      <c r="A4" s="492" t="s">
        <v>113</v>
      </c>
      <c r="B4" s="492"/>
      <c r="C4" s="492"/>
      <c r="D4" s="492"/>
      <c r="E4" s="492"/>
      <c r="F4" s="492"/>
      <c r="G4" s="469"/>
      <c r="H4" s="469"/>
      <c r="I4" s="469"/>
      <c r="J4" s="469"/>
      <c r="K4" s="469"/>
      <c r="L4" s="469">
        <f>BS!C25-BS!C41</f>
        <v>0</v>
      </c>
    </row>
    <row r="5" spans="1:21" ht="10.199999999999999" x14ac:dyDescent="0.2">
      <c r="A5" s="491" t="s">
        <v>112</v>
      </c>
      <c r="B5" s="491"/>
      <c r="C5" s="491"/>
      <c r="D5" s="491"/>
      <c r="E5" s="491"/>
      <c r="F5" s="491"/>
      <c r="G5" s="489">
        <f>BS!C23-CF!B44</f>
        <v>-3620314.1100556124</v>
      </c>
      <c r="H5" s="489"/>
      <c r="I5" s="489"/>
      <c r="J5" s="489"/>
      <c r="K5" s="489"/>
      <c r="L5" s="489"/>
    </row>
    <row r="6" spans="1:21" ht="10.199999999999999" x14ac:dyDescent="0.2">
      <c r="A6" s="157"/>
      <c r="B6" s="157"/>
      <c r="C6" s="157"/>
      <c r="D6" s="157"/>
      <c r="E6" s="157"/>
      <c r="F6" s="157"/>
      <c r="G6" s="158"/>
      <c r="H6" s="159"/>
      <c r="I6" s="159"/>
      <c r="J6" s="166">
        <f>K6-L6</f>
        <v>4.42962646484375E-2</v>
      </c>
      <c r="K6" s="209">
        <f>SUBTOTAL(9,K9:K16883)</f>
        <v>4798105378.7391882</v>
      </c>
      <c r="L6" s="209">
        <f>SUBTOTAL(9,L9:L16883)</f>
        <v>4798105378.6948919</v>
      </c>
      <c r="M6" s="166"/>
    </row>
    <row r="7" spans="1:21" s="163" customFormat="1" ht="30" customHeight="1" x14ac:dyDescent="0.2">
      <c r="A7" s="160" t="s">
        <v>68</v>
      </c>
      <c r="B7" s="161" t="s">
        <v>69</v>
      </c>
      <c r="C7" s="161" t="s">
        <v>70</v>
      </c>
      <c r="D7" s="161" t="s">
        <v>71</v>
      </c>
      <c r="E7" s="161"/>
      <c r="F7" s="162" t="s">
        <v>60</v>
      </c>
      <c r="G7" s="161" t="s">
        <v>78</v>
      </c>
      <c r="H7" s="160"/>
      <c r="I7" s="160"/>
      <c r="J7" s="161" t="s">
        <v>57</v>
      </c>
      <c r="K7" s="210" t="s">
        <v>58</v>
      </c>
      <c r="L7" s="210" t="s">
        <v>59</v>
      </c>
    </row>
    <row r="8" spans="1:21" s="163" customFormat="1" ht="10.199999999999999" x14ac:dyDescent="0.2">
      <c r="A8" s="161"/>
      <c r="B8" s="161"/>
      <c r="C8" s="161"/>
      <c r="D8" s="161"/>
      <c r="E8" s="161" t="s">
        <v>116</v>
      </c>
      <c r="F8" s="162"/>
      <c r="G8" s="161"/>
      <c r="H8" s="161"/>
      <c r="I8" s="161"/>
      <c r="J8" s="161"/>
      <c r="K8" s="210"/>
      <c r="L8" s="210"/>
    </row>
    <row r="9" spans="1:21" ht="11.25" customHeight="1" x14ac:dyDescent="0.2">
      <c r="A9" s="221">
        <v>2021</v>
      </c>
      <c r="B9" s="221">
        <v>10</v>
      </c>
      <c r="C9" s="221">
        <v>13</v>
      </c>
      <c r="D9" s="231">
        <f t="shared" ref="D9:D72" si="0">DATE(A9,B9,C9)</f>
        <v>44482</v>
      </c>
      <c r="E9" s="233">
        <f t="shared" ref="E9:E72" si="1">DATE(A9,B9,C9)</f>
        <v>44482</v>
      </c>
      <c r="F9" s="478" t="s">
        <v>802</v>
      </c>
      <c r="G9" s="222" t="s">
        <v>1111</v>
      </c>
      <c r="H9" s="223" t="str" cm="1">
        <f t="array" ref="H9">IFERROR(INDEX(INVESTOR_LIST[INVESTOR NAME],MATCH(I9,INVESTOR_LIST[INVESTOR CODE],0),)," ")</f>
        <v>EKUSH WEALTH MANAGEMENT LIMITED</v>
      </c>
      <c r="I9" s="223" t="s">
        <v>320</v>
      </c>
      <c r="J9" s="224" t="s">
        <v>55</v>
      </c>
      <c r="K9" s="298">
        <v>1000</v>
      </c>
      <c r="L9" s="225"/>
      <c r="U9" s="166"/>
    </row>
    <row r="10" spans="1:21" ht="11.25" customHeight="1" x14ac:dyDescent="0.2">
      <c r="A10" s="226">
        <v>2021</v>
      </c>
      <c r="B10" s="226">
        <v>10</v>
      </c>
      <c r="C10" s="226">
        <v>13</v>
      </c>
      <c r="D10" s="232">
        <f t="shared" si="0"/>
        <v>44482</v>
      </c>
      <c r="E10" s="234">
        <f t="shared" si="1"/>
        <v>44482</v>
      </c>
      <c r="F10" s="479"/>
      <c r="G10" s="227" t="s">
        <v>1111</v>
      </c>
      <c r="H10" s="228" t="str" cm="1">
        <f t="array" ref="H10">IFERROR(INDEX(INVESTOR_LIST[INVESTOR NAME],MATCH(I10,INVESTOR_LIST[INVESTOR CODE],0),)," ")</f>
        <v>EKUSH WEALTH MANAGEMENT LIMITED</v>
      </c>
      <c r="I10" s="299" t="s">
        <v>320</v>
      </c>
      <c r="J10" s="229" t="s">
        <v>14</v>
      </c>
      <c r="K10" s="230"/>
      <c r="L10" s="298">
        <v>1000</v>
      </c>
      <c r="M10" s="164"/>
      <c r="U10" s="166"/>
    </row>
    <row r="11" spans="1:21" ht="11.25" customHeight="1" x14ac:dyDescent="0.2">
      <c r="A11" s="221">
        <v>2021</v>
      </c>
      <c r="B11" s="221">
        <v>10</v>
      </c>
      <c r="C11" s="221">
        <v>18</v>
      </c>
      <c r="D11" s="231">
        <f t="shared" si="0"/>
        <v>44487</v>
      </c>
      <c r="E11" s="233">
        <f t="shared" si="1"/>
        <v>44487</v>
      </c>
      <c r="F11" s="478" t="s">
        <v>802</v>
      </c>
      <c r="G11" s="222" t="s">
        <v>1111</v>
      </c>
      <c r="H11" s="223" t="str" cm="1">
        <f t="array" ref="H11">IFERROR(INDEX(INVESTOR_LIST[INVESTOR NAME],MATCH(I11,INVESTOR_LIST[INVESTOR CODE],0),)," ")</f>
        <v>EKUSH WEALTH MANAGEMENT LIMITED</v>
      </c>
      <c r="I11" s="299" t="s">
        <v>320</v>
      </c>
      <c r="J11" s="224" t="s">
        <v>55</v>
      </c>
      <c r="K11" s="298">
        <v>10000000</v>
      </c>
      <c r="L11" s="225"/>
      <c r="M11" s="166"/>
    </row>
    <row r="12" spans="1:21" ht="11.25" customHeight="1" x14ac:dyDescent="0.2">
      <c r="A12" s="226">
        <v>2021</v>
      </c>
      <c r="B12" s="226">
        <v>10</v>
      </c>
      <c r="C12" s="226">
        <v>18</v>
      </c>
      <c r="D12" s="232">
        <f t="shared" si="0"/>
        <v>44487</v>
      </c>
      <c r="E12" s="234">
        <f t="shared" si="1"/>
        <v>44487</v>
      </c>
      <c r="F12" s="479"/>
      <c r="G12" s="227" t="s">
        <v>1111</v>
      </c>
      <c r="H12" s="228" t="str" cm="1">
        <f t="array" ref="H12">IFERROR(INDEX(INVESTOR_LIST[INVESTOR NAME],MATCH(I12,INVESTOR_LIST[INVESTOR CODE],0),)," ")</f>
        <v>EKUSH WEALTH MANAGEMENT LIMITED</v>
      </c>
      <c r="I12" s="299" t="s">
        <v>320</v>
      </c>
      <c r="J12" s="229" t="s">
        <v>14</v>
      </c>
      <c r="K12" s="230"/>
      <c r="L12" s="298">
        <v>10000000</v>
      </c>
      <c r="M12" s="263"/>
    </row>
    <row r="13" spans="1:21" ht="11.25" customHeight="1" x14ac:dyDescent="0.2">
      <c r="A13" s="221">
        <v>2021</v>
      </c>
      <c r="B13" s="221">
        <v>10</v>
      </c>
      <c r="C13" s="221">
        <v>18</v>
      </c>
      <c r="D13" s="231">
        <f t="shared" si="0"/>
        <v>44487</v>
      </c>
      <c r="E13" s="233">
        <f t="shared" si="1"/>
        <v>44487</v>
      </c>
      <c r="F13" s="478" t="s">
        <v>1114</v>
      </c>
      <c r="G13" s="222" t="s">
        <v>1111</v>
      </c>
      <c r="H13" s="223" t="str" cm="1">
        <f t="array" ref="H13">IFERROR(INDEX(INVESTOR_LIST[INVESTOR NAME],MATCH(I13,INVESTOR_LIST[INVESTOR CODE],0),)," ")</f>
        <v xml:space="preserve"> </v>
      </c>
      <c r="I13" s="223"/>
      <c r="J13" s="224" t="s">
        <v>63</v>
      </c>
      <c r="K13" s="225">
        <v>60</v>
      </c>
      <c r="L13" s="225"/>
    </row>
    <row r="14" spans="1:21" ht="11.25" customHeight="1" x14ac:dyDescent="0.2">
      <c r="A14" s="226">
        <v>2021</v>
      </c>
      <c r="B14" s="226">
        <v>10</v>
      </c>
      <c r="C14" s="226">
        <v>18</v>
      </c>
      <c r="D14" s="232">
        <f t="shared" si="0"/>
        <v>44487</v>
      </c>
      <c r="E14" s="234">
        <f t="shared" si="1"/>
        <v>44487</v>
      </c>
      <c r="F14" s="479"/>
      <c r="G14" s="227" t="s">
        <v>1111</v>
      </c>
      <c r="H14" s="228" t="str" cm="1">
        <f t="array" ref="H14">IFERROR(INDEX(INVESTOR_LIST[INVESTOR NAME],MATCH(I14,INVESTOR_LIST[INVESTOR CODE],0),)," ")</f>
        <v xml:space="preserve"> </v>
      </c>
      <c r="I14" s="228"/>
      <c r="J14" s="229" t="s">
        <v>55</v>
      </c>
      <c r="K14" s="230"/>
      <c r="L14" s="230">
        <v>60</v>
      </c>
    </row>
    <row r="15" spans="1:21" ht="11.25" customHeight="1" x14ac:dyDescent="0.2">
      <c r="A15" s="221">
        <v>2021</v>
      </c>
      <c r="B15" s="221">
        <v>11</v>
      </c>
      <c r="C15" s="221">
        <v>4</v>
      </c>
      <c r="D15" s="231">
        <f t="shared" si="0"/>
        <v>44504</v>
      </c>
      <c r="E15" s="233">
        <f t="shared" si="1"/>
        <v>44504</v>
      </c>
      <c r="F15" s="478" t="s">
        <v>802</v>
      </c>
      <c r="G15" s="222" t="s">
        <v>1111</v>
      </c>
      <c r="H15" s="223" t="str" cm="1">
        <f t="array" ref="H15">IFERROR(INDEX(INVESTOR_LIST[INVESTOR NAME],MATCH(I15,INVESTOR_LIST[INVESTOR CODE],0),)," ")</f>
        <v>JHARNA RANI SAHA</v>
      </c>
      <c r="I15" s="299" t="s">
        <v>394</v>
      </c>
      <c r="J15" s="224" t="s">
        <v>55</v>
      </c>
      <c r="K15" s="298">
        <v>150000</v>
      </c>
      <c r="L15" s="225"/>
    </row>
    <row r="16" spans="1:21" ht="11.25" customHeight="1" x14ac:dyDescent="0.2">
      <c r="A16" s="226">
        <v>2021</v>
      </c>
      <c r="B16" s="226">
        <v>11</v>
      </c>
      <c r="C16" s="226">
        <v>4</v>
      </c>
      <c r="D16" s="232">
        <f t="shared" si="0"/>
        <v>44504</v>
      </c>
      <c r="E16" s="234">
        <f t="shared" si="1"/>
        <v>44504</v>
      </c>
      <c r="F16" s="479"/>
      <c r="G16" s="227" t="s">
        <v>1111</v>
      </c>
      <c r="H16" s="228" t="str" cm="1">
        <f t="array" ref="H16">IFERROR(INDEX(INVESTOR_LIST[INVESTOR NAME],MATCH(I16,INVESTOR_LIST[INVESTOR CODE],0),)," ")</f>
        <v>JHARNA RANI SAHA</v>
      </c>
      <c r="I16" s="299" t="s">
        <v>394</v>
      </c>
      <c r="J16" s="229" t="s">
        <v>14</v>
      </c>
      <c r="K16" s="230"/>
      <c r="L16" s="298">
        <v>150000</v>
      </c>
      <c r="M16" s="166"/>
    </row>
    <row r="17" spans="1:13" ht="11.25" customHeight="1" x14ac:dyDescent="0.2">
      <c r="A17" s="221">
        <v>2021</v>
      </c>
      <c r="B17" s="221">
        <v>11</v>
      </c>
      <c r="C17" s="221">
        <v>8</v>
      </c>
      <c r="D17" s="231">
        <f t="shared" si="0"/>
        <v>44508</v>
      </c>
      <c r="E17" s="233">
        <f t="shared" si="1"/>
        <v>44508</v>
      </c>
      <c r="F17" s="478" t="s">
        <v>802</v>
      </c>
      <c r="G17" s="222" t="s">
        <v>1111</v>
      </c>
      <c r="H17" s="223" t="str" cm="1">
        <f t="array" ref="H17">IFERROR(INDEX(INVESTOR_LIST[INVESTOR NAME],MATCH(I17,INVESTOR_LIST[INVESTOR CODE],0),)," ")</f>
        <v>SHUVA SAHA</v>
      </c>
      <c r="I17" s="299" t="s">
        <v>370</v>
      </c>
      <c r="J17" s="224" t="s">
        <v>55</v>
      </c>
      <c r="K17" s="298">
        <v>1200000</v>
      </c>
      <c r="L17" s="225"/>
    </row>
    <row r="18" spans="1:13" ht="11.25" customHeight="1" x14ac:dyDescent="0.2">
      <c r="A18" s="226">
        <v>2021</v>
      </c>
      <c r="B18" s="226">
        <v>11</v>
      </c>
      <c r="C18" s="226">
        <v>8</v>
      </c>
      <c r="D18" s="232">
        <f t="shared" si="0"/>
        <v>44508</v>
      </c>
      <c r="E18" s="234">
        <f t="shared" si="1"/>
        <v>44508</v>
      </c>
      <c r="F18" s="479"/>
      <c r="G18" s="227" t="s">
        <v>1111</v>
      </c>
      <c r="H18" s="228" t="str" cm="1">
        <f t="array" ref="H18">IFERROR(INDEX(INVESTOR_LIST[INVESTOR NAME],MATCH(I18,INVESTOR_LIST[INVESTOR CODE],0),)," ")</f>
        <v>SHUVA SAHA</v>
      </c>
      <c r="I18" s="299" t="s">
        <v>370</v>
      </c>
      <c r="J18" s="229" t="s">
        <v>14</v>
      </c>
      <c r="K18" s="230"/>
      <c r="L18" s="298">
        <v>1200000</v>
      </c>
      <c r="M18" s="263"/>
    </row>
    <row r="19" spans="1:13" ht="11.25" customHeight="1" x14ac:dyDescent="0.2">
      <c r="A19" s="221">
        <v>2021</v>
      </c>
      <c r="B19" s="221">
        <v>11</v>
      </c>
      <c r="C19" s="221">
        <v>8</v>
      </c>
      <c r="D19" s="231">
        <f t="shared" si="0"/>
        <v>44508</v>
      </c>
      <c r="E19" s="233">
        <f t="shared" si="1"/>
        <v>44508</v>
      </c>
      <c r="F19" s="478" t="s">
        <v>802</v>
      </c>
      <c r="G19" s="222" t="s">
        <v>1111</v>
      </c>
      <c r="H19" s="223" t="str" cm="1">
        <f t="array" ref="H19">IFERROR(INDEX(INVESTOR_LIST[INVESTOR NAME],MATCH(I19,INVESTOR_LIST[INVESTOR CODE],0),)," ")</f>
        <v>SHYAMAL KRISHNA SAHA</v>
      </c>
      <c r="I19" s="299" t="s">
        <v>327</v>
      </c>
      <c r="J19" s="224" t="s">
        <v>55</v>
      </c>
      <c r="K19" s="298">
        <v>500000</v>
      </c>
      <c r="L19" s="225"/>
    </row>
    <row r="20" spans="1:13" ht="11.25" customHeight="1" x14ac:dyDescent="0.2">
      <c r="A20" s="226">
        <v>2021</v>
      </c>
      <c r="B20" s="226">
        <v>11</v>
      </c>
      <c r="C20" s="226">
        <v>8</v>
      </c>
      <c r="D20" s="232">
        <f t="shared" si="0"/>
        <v>44508</v>
      </c>
      <c r="E20" s="234">
        <f t="shared" si="1"/>
        <v>44508</v>
      </c>
      <c r="F20" s="479"/>
      <c r="G20" s="227" t="s">
        <v>1111</v>
      </c>
      <c r="H20" s="228" t="str" cm="1">
        <f t="array" ref="H20">IFERROR(INDEX(INVESTOR_LIST[INVESTOR NAME],MATCH(I20,INVESTOR_LIST[INVESTOR CODE],0),)," ")</f>
        <v>SHYAMAL KRISHNA SAHA</v>
      </c>
      <c r="I20" s="299" t="s">
        <v>327</v>
      </c>
      <c r="J20" s="229" t="s">
        <v>14</v>
      </c>
      <c r="K20" s="230"/>
      <c r="L20" s="298">
        <v>500000</v>
      </c>
    </row>
    <row r="21" spans="1:13" ht="11.25" customHeight="1" x14ac:dyDescent="0.2">
      <c r="A21" s="221">
        <v>2021</v>
      </c>
      <c r="B21" s="221">
        <v>11</v>
      </c>
      <c r="C21" s="221">
        <v>9</v>
      </c>
      <c r="D21" s="231">
        <f t="shared" si="0"/>
        <v>44509</v>
      </c>
      <c r="E21" s="233">
        <f t="shared" si="1"/>
        <v>44509</v>
      </c>
      <c r="F21" s="478" t="s">
        <v>1114</v>
      </c>
      <c r="G21" s="222" t="s">
        <v>1111</v>
      </c>
      <c r="H21" s="223" t="str" cm="1">
        <f t="array" ref="H21">IFERROR(INDEX(INVESTOR_LIST[INVESTOR NAME],MATCH(I21,INVESTOR_LIST[INVESTOR CODE],0),)," ")</f>
        <v xml:space="preserve"> </v>
      </c>
      <c r="I21" s="223"/>
      <c r="J21" s="224" t="s">
        <v>63</v>
      </c>
      <c r="K21" s="225">
        <v>10</v>
      </c>
      <c r="L21" s="225"/>
    </row>
    <row r="22" spans="1:13" ht="11.25" customHeight="1" x14ac:dyDescent="0.2">
      <c r="A22" s="226">
        <v>2021</v>
      </c>
      <c r="B22" s="226">
        <v>11</v>
      </c>
      <c r="C22" s="226">
        <v>9</v>
      </c>
      <c r="D22" s="232">
        <f t="shared" si="0"/>
        <v>44509</v>
      </c>
      <c r="E22" s="234">
        <f t="shared" si="1"/>
        <v>44509</v>
      </c>
      <c r="F22" s="479"/>
      <c r="G22" s="227" t="s">
        <v>1111</v>
      </c>
      <c r="H22" s="228" t="str" cm="1">
        <f t="array" ref="H22">IFERROR(INDEX(INVESTOR_LIST[INVESTOR NAME],MATCH(I22,INVESTOR_LIST[INVESTOR CODE],0),)," ")</f>
        <v xml:space="preserve"> </v>
      </c>
      <c r="I22" s="228"/>
      <c r="J22" s="229" t="s">
        <v>55</v>
      </c>
      <c r="K22" s="230"/>
      <c r="L22" s="230">
        <v>10</v>
      </c>
    </row>
    <row r="23" spans="1:13" ht="11.25" customHeight="1" x14ac:dyDescent="0.2">
      <c r="A23" s="221">
        <v>2021</v>
      </c>
      <c r="B23" s="221">
        <v>11</v>
      </c>
      <c r="C23" s="221">
        <v>9</v>
      </c>
      <c r="D23" s="231">
        <f t="shared" si="0"/>
        <v>44509</v>
      </c>
      <c r="E23" s="233">
        <f t="shared" si="1"/>
        <v>44509</v>
      </c>
      <c r="F23" s="478" t="s">
        <v>802</v>
      </c>
      <c r="G23" s="222" t="s">
        <v>1111</v>
      </c>
      <c r="H23" s="223" t="str" cm="1">
        <f t="array" ref="H23">IFERROR(INDEX(INVESTOR_LIST[INVESTOR NAME],MATCH(I23,INVESTOR_LIST[INVESTOR CODE],0),)," ")</f>
        <v>BILKISS ARA</v>
      </c>
      <c r="I23" s="299" t="s">
        <v>390</v>
      </c>
      <c r="J23" s="224" t="s">
        <v>55</v>
      </c>
      <c r="K23" s="298">
        <v>450000</v>
      </c>
      <c r="L23" s="225"/>
    </row>
    <row r="24" spans="1:13" ht="11.25" customHeight="1" x14ac:dyDescent="0.2">
      <c r="A24" s="226">
        <v>2021</v>
      </c>
      <c r="B24" s="226">
        <v>11</v>
      </c>
      <c r="C24" s="226">
        <v>9</v>
      </c>
      <c r="D24" s="232">
        <f t="shared" si="0"/>
        <v>44509</v>
      </c>
      <c r="E24" s="234">
        <f t="shared" si="1"/>
        <v>44509</v>
      </c>
      <c r="F24" s="479"/>
      <c r="G24" s="227" t="s">
        <v>1111</v>
      </c>
      <c r="H24" s="228" t="str" cm="1">
        <f t="array" ref="H24">IFERROR(INDEX(INVESTOR_LIST[INVESTOR NAME],MATCH(I24,INVESTOR_LIST[INVESTOR CODE],0),)," ")</f>
        <v>BILKISS ARA</v>
      </c>
      <c r="I24" s="299" t="s">
        <v>390</v>
      </c>
      <c r="J24" s="229" t="s">
        <v>14</v>
      </c>
      <c r="K24" s="230"/>
      <c r="L24" s="298">
        <v>450000</v>
      </c>
    </row>
    <row r="25" spans="1:13" ht="11.25" customHeight="1" x14ac:dyDescent="0.2">
      <c r="A25" s="221">
        <v>2021</v>
      </c>
      <c r="B25" s="221">
        <v>11</v>
      </c>
      <c r="C25" s="221">
        <v>25</v>
      </c>
      <c r="D25" s="231">
        <f t="shared" si="0"/>
        <v>44525</v>
      </c>
      <c r="E25" s="233">
        <f t="shared" si="1"/>
        <v>44525</v>
      </c>
      <c r="F25" s="478" t="s">
        <v>802</v>
      </c>
      <c r="G25" s="222" t="s">
        <v>1111</v>
      </c>
      <c r="H25" s="223" t="str" cm="1">
        <f t="array" ref="H25">IFERROR(INDEX(INVESTOR_LIST[INVESTOR NAME],MATCH(I25,INVESTOR_LIST[INVESTOR CODE],0),)," ")</f>
        <v>HARI PADA SAHA</v>
      </c>
      <c r="I25" s="299" t="s">
        <v>319</v>
      </c>
      <c r="J25" s="224" t="s">
        <v>55</v>
      </c>
      <c r="K25" s="298">
        <v>200000</v>
      </c>
      <c r="L25" s="225"/>
    </row>
    <row r="26" spans="1:13" ht="11.25" customHeight="1" x14ac:dyDescent="0.2">
      <c r="A26" s="226">
        <v>2021</v>
      </c>
      <c r="B26" s="226">
        <v>11</v>
      </c>
      <c r="C26" s="226">
        <v>25</v>
      </c>
      <c r="D26" s="232">
        <f t="shared" si="0"/>
        <v>44525</v>
      </c>
      <c r="E26" s="234">
        <f t="shared" si="1"/>
        <v>44525</v>
      </c>
      <c r="F26" s="479"/>
      <c r="G26" s="227" t="s">
        <v>1111</v>
      </c>
      <c r="H26" s="228" t="str" cm="1">
        <f t="array" ref="H26">IFERROR(INDEX(INVESTOR_LIST[INVESTOR NAME],MATCH(I26,INVESTOR_LIST[INVESTOR CODE],0),)," ")</f>
        <v>HARI PADA SAHA</v>
      </c>
      <c r="I26" s="299" t="s">
        <v>319</v>
      </c>
      <c r="J26" s="229" t="s">
        <v>14</v>
      </c>
      <c r="K26" s="230"/>
      <c r="L26" s="298">
        <v>200000</v>
      </c>
    </row>
    <row r="27" spans="1:13" ht="11.25" customHeight="1" x14ac:dyDescent="0.2">
      <c r="A27" s="221">
        <v>2021</v>
      </c>
      <c r="B27" s="221">
        <v>12</v>
      </c>
      <c r="C27" s="221">
        <v>26</v>
      </c>
      <c r="D27" s="231">
        <f t="shared" si="0"/>
        <v>44556</v>
      </c>
      <c r="E27" s="233">
        <f t="shared" si="1"/>
        <v>44556</v>
      </c>
      <c r="F27" s="478" t="s">
        <v>1114</v>
      </c>
      <c r="G27" s="222" t="s">
        <v>1111</v>
      </c>
      <c r="H27" s="223" t="str" cm="1">
        <f t="array" ref="H27">IFERROR(INDEX(INVESTOR_LIST[INVESTOR NAME],MATCH(I27,INVESTOR_LIST[INVESTOR CODE],0),)," ")</f>
        <v xml:space="preserve"> </v>
      </c>
      <c r="I27" s="223"/>
      <c r="J27" s="224" t="s">
        <v>63</v>
      </c>
      <c r="K27" s="225">
        <v>10</v>
      </c>
      <c r="L27" s="225"/>
    </row>
    <row r="28" spans="1:13" ht="11.25" customHeight="1" x14ac:dyDescent="0.2">
      <c r="A28" s="226">
        <v>2021</v>
      </c>
      <c r="B28" s="226">
        <v>12</v>
      </c>
      <c r="C28" s="226">
        <v>26</v>
      </c>
      <c r="D28" s="232">
        <f t="shared" si="0"/>
        <v>44556</v>
      </c>
      <c r="E28" s="234">
        <f t="shared" si="1"/>
        <v>44556</v>
      </c>
      <c r="F28" s="479"/>
      <c r="G28" s="227" t="s">
        <v>1111</v>
      </c>
      <c r="H28" s="228" t="str" cm="1">
        <f t="array" ref="H28">IFERROR(INDEX(INVESTOR_LIST[INVESTOR NAME],MATCH(I28,INVESTOR_LIST[INVESTOR CODE],0),)," ")</f>
        <v xml:space="preserve"> </v>
      </c>
      <c r="I28" s="228"/>
      <c r="J28" s="229" t="s">
        <v>55</v>
      </c>
      <c r="K28" s="230"/>
      <c r="L28" s="230">
        <v>10</v>
      </c>
    </row>
    <row r="29" spans="1:13" ht="11.25" customHeight="1" x14ac:dyDescent="0.2">
      <c r="A29" s="221">
        <v>2021</v>
      </c>
      <c r="B29" s="221">
        <v>12</v>
      </c>
      <c r="C29" s="221">
        <v>26</v>
      </c>
      <c r="D29" s="231">
        <f t="shared" si="0"/>
        <v>44556</v>
      </c>
      <c r="E29" s="233">
        <f t="shared" si="1"/>
        <v>44556</v>
      </c>
      <c r="F29" s="478" t="s">
        <v>1114</v>
      </c>
      <c r="G29" s="222" t="s">
        <v>1111</v>
      </c>
      <c r="H29" s="223" t="str" cm="1">
        <f t="array" ref="H29">IFERROR(INDEX(INVESTOR_LIST[INVESTOR NAME],MATCH(I29,INVESTOR_LIST[INVESTOR CODE],0),)," ")</f>
        <v xml:space="preserve"> </v>
      </c>
      <c r="I29" s="223"/>
      <c r="J29" s="224" t="s">
        <v>63</v>
      </c>
      <c r="K29" s="225">
        <v>10</v>
      </c>
      <c r="L29" s="225"/>
    </row>
    <row r="30" spans="1:13" ht="11.25" customHeight="1" x14ac:dyDescent="0.2">
      <c r="A30" s="226">
        <v>2021</v>
      </c>
      <c r="B30" s="226">
        <v>12</v>
      </c>
      <c r="C30" s="226">
        <v>26</v>
      </c>
      <c r="D30" s="232">
        <f t="shared" si="0"/>
        <v>44556</v>
      </c>
      <c r="E30" s="234">
        <f t="shared" si="1"/>
        <v>44556</v>
      </c>
      <c r="F30" s="479"/>
      <c r="G30" s="227" t="s">
        <v>1111</v>
      </c>
      <c r="H30" s="228" t="str" cm="1">
        <f t="array" ref="H30">IFERROR(INDEX(INVESTOR_LIST[INVESTOR NAME],MATCH(I30,INVESTOR_LIST[INVESTOR CODE],0),)," ")</f>
        <v xml:space="preserve"> </v>
      </c>
      <c r="I30" s="228"/>
      <c r="J30" s="229" t="s">
        <v>55</v>
      </c>
      <c r="K30" s="230"/>
      <c r="L30" s="230">
        <v>10</v>
      </c>
    </row>
    <row r="31" spans="1:13" ht="11.25" customHeight="1" x14ac:dyDescent="0.2">
      <c r="A31" s="221">
        <v>2021</v>
      </c>
      <c r="B31" s="221">
        <v>12</v>
      </c>
      <c r="C31" s="221">
        <v>26</v>
      </c>
      <c r="D31" s="231">
        <f t="shared" si="0"/>
        <v>44556</v>
      </c>
      <c r="E31" s="233">
        <f t="shared" si="1"/>
        <v>44556</v>
      </c>
      <c r="F31" s="478" t="s">
        <v>802</v>
      </c>
      <c r="G31" s="222" t="s">
        <v>1111</v>
      </c>
      <c r="H31" s="223" t="str" cm="1">
        <f t="array" ref="H31">IFERROR(INDEX(INVESTOR_LIST[INVESTOR NAME],MATCH(I31,INVESTOR_LIST[INVESTOR CODE],0),)," ")</f>
        <v>JANNATUL FERDOUS SHARNA</v>
      </c>
      <c r="I31" s="299" t="s">
        <v>763</v>
      </c>
      <c r="J31" s="224" t="s">
        <v>55</v>
      </c>
      <c r="K31" s="298">
        <v>200000</v>
      </c>
      <c r="L31" s="225"/>
    </row>
    <row r="32" spans="1:13" ht="11.25" customHeight="1" x14ac:dyDescent="0.2">
      <c r="A32" s="226">
        <v>2021</v>
      </c>
      <c r="B32" s="226">
        <v>12</v>
      </c>
      <c r="C32" s="226">
        <v>26</v>
      </c>
      <c r="D32" s="232">
        <f t="shared" si="0"/>
        <v>44556</v>
      </c>
      <c r="E32" s="234">
        <f t="shared" si="1"/>
        <v>44556</v>
      </c>
      <c r="F32" s="479"/>
      <c r="G32" s="227" t="s">
        <v>1111</v>
      </c>
      <c r="H32" s="228" t="str" cm="1">
        <f t="array" ref="H32">IFERROR(INDEX(INVESTOR_LIST[INVESTOR NAME],MATCH(I32,INVESTOR_LIST[INVESTOR CODE],0),)," ")</f>
        <v>JANNATUL FERDOUS SHARNA</v>
      </c>
      <c r="I32" s="299" t="s">
        <v>763</v>
      </c>
      <c r="J32" s="229" t="s">
        <v>14</v>
      </c>
      <c r="K32" s="230"/>
      <c r="L32" s="298">
        <v>200000</v>
      </c>
    </row>
    <row r="33" spans="1:12" ht="11.25" customHeight="1" x14ac:dyDescent="0.2">
      <c r="A33" s="221">
        <v>2021</v>
      </c>
      <c r="B33" s="221">
        <v>12</v>
      </c>
      <c r="C33" s="221">
        <v>26</v>
      </c>
      <c r="D33" s="231">
        <f t="shared" si="0"/>
        <v>44556</v>
      </c>
      <c r="E33" s="233">
        <f t="shared" si="1"/>
        <v>44556</v>
      </c>
      <c r="F33" s="478" t="s">
        <v>802</v>
      </c>
      <c r="G33" s="222" t="s">
        <v>1111</v>
      </c>
      <c r="H33" s="223" t="str" cm="1">
        <f t="array" ref="H33">IFERROR(INDEX(INVESTOR_LIST[INVESTOR NAME],MATCH(I33,INVESTOR_LIST[INVESTOR CODE],0),)," ")</f>
        <v>BIJOY CHANDRA DAS</v>
      </c>
      <c r="I33" s="299" t="s">
        <v>603</v>
      </c>
      <c r="J33" s="224" t="s">
        <v>55</v>
      </c>
      <c r="K33" s="298">
        <v>100000</v>
      </c>
      <c r="L33" s="225"/>
    </row>
    <row r="34" spans="1:12" ht="11.25" customHeight="1" x14ac:dyDescent="0.2">
      <c r="A34" s="226">
        <v>2021</v>
      </c>
      <c r="B34" s="226">
        <v>12</v>
      </c>
      <c r="C34" s="226">
        <v>26</v>
      </c>
      <c r="D34" s="232">
        <f t="shared" si="0"/>
        <v>44556</v>
      </c>
      <c r="E34" s="234">
        <f t="shared" si="1"/>
        <v>44556</v>
      </c>
      <c r="F34" s="479"/>
      <c r="G34" s="227" t="s">
        <v>1111</v>
      </c>
      <c r="H34" s="228" t="str" cm="1">
        <f t="array" ref="H34">IFERROR(INDEX(INVESTOR_LIST[INVESTOR NAME],MATCH(I34,INVESTOR_LIST[INVESTOR CODE],0),)," ")</f>
        <v>BIJOY CHANDRA DAS</v>
      </c>
      <c r="I34" s="299" t="s">
        <v>603</v>
      </c>
      <c r="J34" s="229" t="s">
        <v>14</v>
      </c>
      <c r="K34" s="230"/>
      <c r="L34" s="298">
        <v>100000</v>
      </c>
    </row>
    <row r="35" spans="1:12" ht="11.25" customHeight="1" x14ac:dyDescent="0.2">
      <c r="A35" s="221">
        <v>2021</v>
      </c>
      <c r="B35" s="221">
        <v>12</v>
      </c>
      <c r="C35" s="221">
        <v>30</v>
      </c>
      <c r="D35" s="231">
        <f t="shared" si="0"/>
        <v>44560</v>
      </c>
      <c r="E35" s="233">
        <f t="shared" si="1"/>
        <v>44560</v>
      </c>
      <c r="F35" s="478" t="s">
        <v>802</v>
      </c>
      <c r="G35" s="222" t="s">
        <v>1111</v>
      </c>
      <c r="H35" s="223" t="str" cm="1">
        <f t="array" ref="H35">IFERROR(INDEX(INVESTOR_LIST[INVESTOR NAME],MATCH(I35,INVESTOR_LIST[INVESTOR CODE],0),)," ")</f>
        <v>SHARMIN JAHAN SHANTA</v>
      </c>
      <c r="I35" s="299" t="s">
        <v>806</v>
      </c>
      <c r="J35" s="224" t="s">
        <v>55</v>
      </c>
      <c r="K35" s="298">
        <v>50000</v>
      </c>
      <c r="L35" s="225"/>
    </row>
    <row r="36" spans="1:12" ht="11.25" customHeight="1" x14ac:dyDescent="0.2">
      <c r="A36" s="226">
        <v>2021</v>
      </c>
      <c r="B36" s="226">
        <v>12</v>
      </c>
      <c r="C36" s="226">
        <v>30</v>
      </c>
      <c r="D36" s="232">
        <f t="shared" si="0"/>
        <v>44560</v>
      </c>
      <c r="E36" s="234">
        <f t="shared" si="1"/>
        <v>44560</v>
      </c>
      <c r="F36" s="479"/>
      <c r="G36" s="227" t="s">
        <v>1111</v>
      </c>
      <c r="H36" s="228" t="str" cm="1">
        <f t="array" ref="H36">IFERROR(INDEX(INVESTOR_LIST[INVESTOR NAME],MATCH(I36,INVESTOR_LIST[INVESTOR CODE],0),)," ")</f>
        <v>SHARMIN JAHAN SHANTA</v>
      </c>
      <c r="I36" s="299" t="s">
        <v>806</v>
      </c>
      <c r="J36" s="229" t="s">
        <v>14</v>
      </c>
      <c r="K36" s="230"/>
      <c r="L36" s="298">
        <v>50000</v>
      </c>
    </row>
    <row r="37" spans="1:12" ht="11.25" customHeight="1" x14ac:dyDescent="0.2">
      <c r="A37" s="221">
        <v>2021</v>
      </c>
      <c r="B37" s="221">
        <v>12</v>
      </c>
      <c r="C37" s="221">
        <v>30</v>
      </c>
      <c r="D37" s="231">
        <f t="shared" si="0"/>
        <v>44560</v>
      </c>
      <c r="E37" s="233">
        <f t="shared" si="1"/>
        <v>44560</v>
      </c>
      <c r="F37" s="478" t="s">
        <v>1114</v>
      </c>
      <c r="G37" s="222" t="s">
        <v>1111</v>
      </c>
      <c r="H37" s="223" t="str" cm="1">
        <f t="array" ref="H37">IFERROR(INDEX(INVESTOR_LIST[INVESTOR NAME],MATCH(I37,INVESTOR_LIST[INVESTOR CODE],0),)," ")</f>
        <v xml:space="preserve"> </v>
      </c>
      <c r="I37" s="223"/>
      <c r="J37" s="224" t="s">
        <v>63</v>
      </c>
      <c r="K37" s="225">
        <v>345</v>
      </c>
      <c r="L37" s="225"/>
    </row>
    <row r="38" spans="1:12" ht="11.25" customHeight="1" x14ac:dyDescent="0.2">
      <c r="A38" s="226">
        <v>2021</v>
      </c>
      <c r="B38" s="226">
        <v>12</v>
      </c>
      <c r="C38" s="226">
        <v>30</v>
      </c>
      <c r="D38" s="232">
        <f t="shared" si="0"/>
        <v>44560</v>
      </c>
      <c r="E38" s="234">
        <f t="shared" si="1"/>
        <v>44560</v>
      </c>
      <c r="F38" s="479"/>
      <c r="G38" s="227" t="s">
        <v>1111</v>
      </c>
      <c r="H38" s="228" t="str" cm="1">
        <f t="array" ref="H38">IFERROR(INDEX(INVESTOR_LIST[INVESTOR NAME],MATCH(I38,INVESTOR_LIST[INVESTOR CODE],0),)," ")</f>
        <v xml:space="preserve"> </v>
      </c>
      <c r="I38" s="228"/>
      <c r="J38" s="229" t="s">
        <v>55</v>
      </c>
      <c r="K38" s="230"/>
      <c r="L38" s="230">
        <v>345</v>
      </c>
    </row>
    <row r="39" spans="1:12" ht="11.25" customHeight="1" x14ac:dyDescent="0.2">
      <c r="A39" s="221">
        <v>2021</v>
      </c>
      <c r="B39" s="221">
        <v>12</v>
      </c>
      <c r="C39" s="221">
        <v>30</v>
      </c>
      <c r="D39" s="231">
        <f t="shared" si="0"/>
        <v>44560</v>
      </c>
      <c r="E39" s="233">
        <f t="shared" si="1"/>
        <v>44560</v>
      </c>
      <c r="F39" s="478" t="s">
        <v>1381</v>
      </c>
      <c r="G39" s="222" t="s">
        <v>1111</v>
      </c>
      <c r="H39" s="223" t="str" cm="1">
        <f t="array" ref="H39">IFERROR(INDEX(INVESTOR_LIST[INVESTOR NAME],MATCH(I39,INVESTOR_LIST[INVESTOR CODE],0),)," ")</f>
        <v xml:space="preserve"> </v>
      </c>
      <c r="I39" s="223"/>
      <c r="J39" s="224" t="s">
        <v>55</v>
      </c>
      <c r="K39" s="300">
        <v>107974</v>
      </c>
      <c r="L39" s="225"/>
    </row>
    <row r="40" spans="1:12" ht="11.25" customHeight="1" x14ac:dyDescent="0.2">
      <c r="A40" s="226">
        <v>2021</v>
      </c>
      <c r="B40" s="226">
        <v>12</v>
      </c>
      <c r="C40" s="226">
        <v>30</v>
      </c>
      <c r="D40" s="232">
        <f t="shared" si="0"/>
        <v>44560</v>
      </c>
      <c r="E40" s="234">
        <f t="shared" si="1"/>
        <v>44560</v>
      </c>
      <c r="F40" s="479"/>
      <c r="G40" s="227" t="s">
        <v>1111</v>
      </c>
      <c r="H40" s="228" t="str" cm="1">
        <f t="array" ref="H40">IFERROR(INDEX(INVESTOR_LIST[INVESTOR NAME],MATCH(I40,INVESTOR_LIST[INVESTOR CODE],0),)," ")</f>
        <v xml:space="preserve"> </v>
      </c>
      <c r="I40" s="228"/>
      <c r="J40" s="229" t="s">
        <v>174</v>
      </c>
      <c r="K40" s="230"/>
      <c r="L40" s="300">
        <v>107974</v>
      </c>
    </row>
    <row r="41" spans="1:12" ht="11.25" customHeight="1" x14ac:dyDescent="0.2">
      <c r="A41" s="221">
        <v>2021</v>
      </c>
      <c r="B41" s="221">
        <v>12</v>
      </c>
      <c r="C41" s="221">
        <v>30</v>
      </c>
      <c r="D41" s="231">
        <f t="shared" si="0"/>
        <v>44560</v>
      </c>
      <c r="E41" s="233">
        <f t="shared" si="1"/>
        <v>44560</v>
      </c>
      <c r="F41" s="478" t="s">
        <v>1114</v>
      </c>
      <c r="G41" s="222" t="s">
        <v>1111</v>
      </c>
      <c r="H41" s="223" t="str" cm="1">
        <f t="array" ref="H41">IFERROR(INDEX(INVESTOR_LIST[INVESTOR NAME],MATCH(I41,INVESTOR_LIST[INVESTOR CODE],0),)," ")</f>
        <v xml:space="preserve"> </v>
      </c>
      <c r="I41" s="223"/>
      <c r="J41" s="224" t="s">
        <v>63</v>
      </c>
      <c r="K41" s="300">
        <v>16196</v>
      </c>
      <c r="L41" s="225"/>
    </row>
    <row r="42" spans="1:12" ht="11.25" customHeight="1" x14ac:dyDescent="0.2">
      <c r="A42" s="226">
        <v>2021</v>
      </c>
      <c r="B42" s="226">
        <v>12</v>
      </c>
      <c r="C42" s="226">
        <v>30</v>
      </c>
      <c r="D42" s="232">
        <f t="shared" si="0"/>
        <v>44560</v>
      </c>
      <c r="E42" s="234">
        <f t="shared" si="1"/>
        <v>44560</v>
      </c>
      <c r="F42" s="479"/>
      <c r="G42" s="227" t="s">
        <v>1111</v>
      </c>
      <c r="H42" s="228" t="str" cm="1">
        <f t="array" ref="H42">IFERROR(INDEX(INVESTOR_LIST[INVESTOR NAME],MATCH(I42,INVESTOR_LIST[INVESTOR CODE],0),)," ")</f>
        <v xml:space="preserve"> </v>
      </c>
      <c r="I42" s="228"/>
      <c r="J42" s="229" t="s">
        <v>55</v>
      </c>
      <c r="K42" s="230"/>
      <c r="L42" s="300">
        <v>16196</v>
      </c>
    </row>
    <row r="43" spans="1:12" ht="11.25" customHeight="1" x14ac:dyDescent="0.2">
      <c r="A43" s="221">
        <v>2021</v>
      </c>
      <c r="B43" s="221">
        <v>12</v>
      </c>
      <c r="C43" s="221">
        <v>30</v>
      </c>
      <c r="D43" s="231">
        <f t="shared" si="0"/>
        <v>44560</v>
      </c>
      <c r="E43" s="233">
        <f t="shared" si="1"/>
        <v>44560</v>
      </c>
      <c r="F43" s="478" t="s">
        <v>1114</v>
      </c>
      <c r="G43" s="222" t="s">
        <v>1111</v>
      </c>
      <c r="H43" s="223" t="str" cm="1">
        <f t="array" ref="H43">IFERROR(INDEX(INVESTOR_LIST[INVESTOR NAME],MATCH(I43,INVESTOR_LIST[INVESTOR CODE],0),)," ")</f>
        <v xml:space="preserve"> </v>
      </c>
      <c r="I43" s="223"/>
      <c r="J43" s="224" t="s">
        <v>63</v>
      </c>
      <c r="K43" s="300">
        <v>15000</v>
      </c>
      <c r="L43" s="225"/>
    </row>
    <row r="44" spans="1:12" ht="11.25" customHeight="1" x14ac:dyDescent="0.2">
      <c r="A44" s="226">
        <v>2021</v>
      </c>
      <c r="B44" s="226">
        <v>12</v>
      </c>
      <c r="C44" s="226">
        <v>30</v>
      </c>
      <c r="D44" s="232">
        <f t="shared" si="0"/>
        <v>44560</v>
      </c>
      <c r="E44" s="234">
        <f t="shared" si="1"/>
        <v>44560</v>
      </c>
      <c r="F44" s="479"/>
      <c r="G44" s="227" t="s">
        <v>1111</v>
      </c>
      <c r="H44" s="228" t="str" cm="1">
        <f t="array" ref="H44">IFERROR(INDEX(INVESTOR_LIST[INVESTOR NAME],MATCH(I44,INVESTOR_LIST[INVESTOR CODE],0),)," ")</f>
        <v xml:space="preserve"> </v>
      </c>
      <c r="I44" s="228"/>
      <c r="J44" s="229" t="s">
        <v>55</v>
      </c>
      <c r="K44" s="230"/>
      <c r="L44" s="300">
        <v>15000</v>
      </c>
    </row>
    <row r="45" spans="1:12" ht="11.25" customHeight="1" x14ac:dyDescent="0.2">
      <c r="A45" s="221">
        <v>2022</v>
      </c>
      <c r="B45" s="221">
        <v>1</v>
      </c>
      <c r="C45" s="221">
        <v>3</v>
      </c>
      <c r="D45" s="231">
        <f t="shared" si="0"/>
        <v>44564</v>
      </c>
      <c r="E45" s="233">
        <f t="shared" si="1"/>
        <v>44564</v>
      </c>
      <c r="F45" s="478" t="s">
        <v>802</v>
      </c>
      <c r="G45" s="222" t="s">
        <v>1111</v>
      </c>
      <c r="H45" s="223" t="str" cm="1">
        <f t="array" ref="H45">IFERROR(INDEX(INVESTOR_LIST[INVESTOR NAME],MATCH(I45,INVESTOR_LIST[INVESTOR CODE],0),)," ")</f>
        <v>THE GSP FINANCE COMPANY (BANGLADESH) LIMITED EMPLOYEES PROVIDENT FUND</v>
      </c>
      <c r="I45" s="299" t="s">
        <v>822</v>
      </c>
      <c r="J45" s="224" t="s">
        <v>55</v>
      </c>
      <c r="K45" s="298">
        <v>1000000</v>
      </c>
      <c r="L45" s="225"/>
    </row>
    <row r="46" spans="1:12" ht="11.25" customHeight="1" x14ac:dyDescent="0.2">
      <c r="A46" s="226">
        <v>2022</v>
      </c>
      <c r="B46" s="226">
        <v>1</v>
      </c>
      <c r="C46" s="226">
        <v>3</v>
      </c>
      <c r="D46" s="232">
        <f t="shared" si="0"/>
        <v>44564</v>
      </c>
      <c r="E46" s="234">
        <f t="shared" si="1"/>
        <v>44564</v>
      </c>
      <c r="F46" s="479"/>
      <c r="G46" s="227" t="s">
        <v>1111</v>
      </c>
      <c r="H46" s="228" t="str" cm="1">
        <f t="array" ref="H46">IFERROR(INDEX(INVESTOR_LIST[INVESTOR NAME],MATCH(I46,INVESTOR_LIST[INVESTOR CODE],0),)," ")</f>
        <v>THE GSP FINANCE COMPANY (BANGLADESH) LIMITED EMPLOYEES PROVIDENT FUND</v>
      </c>
      <c r="I46" s="299" t="s">
        <v>822</v>
      </c>
      <c r="J46" s="229" t="s">
        <v>14</v>
      </c>
      <c r="K46" s="230"/>
      <c r="L46" s="298">
        <v>1000000</v>
      </c>
    </row>
    <row r="47" spans="1:12" ht="11.25" customHeight="1" x14ac:dyDescent="0.2">
      <c r="A47" s="221">
        <v>2022</v>
      </c>
      <c r="B47" s="221">
        <v>1</v>
      </c>
      <c r="C47" s="221">
        <v>3</v>
      </c>
      <c r="D47" s="231">
        <f t="shared" si="0"/>
        <v>44564</v>
      </c>
      <c r="E47" s="233">
        <f t="shared" si="1"/>
        <v>44564</v>
      </c>
      <c r="F47" s="478" t="s">
        <v>802</v>
      </c>
      <c r="G47" s="222" t="s">
        <v>1111</v>
      </c>
      <c r="H47" s="223" t="str" cm="1">
        <f t="array" ref="H47">IFERROR(INDEX(INVESTOR_LIST[INVESTOR NAME],MATCH(I47,INVESTOR_LIST[INVESTOR CODE],0),)," ")</f>
        <v>MD. MIZANUR RAHMAN</v>
      </c>
      <c r="I47" s="299" t="s">
        <v>808</v>
      </c>
      <c r="J47" s="224" t="s">
        <v>55</v>
      </c>
      <c r="K47" s="298">
        <v>200000</v>
      </c>
      <c r="L47" s="225"/>
    </row>
    <row r="48" spans="1:12" ht="11.25" customHeight="1" x14ac:dyDescent="0.2">
      <c r="A48" s="226">
        <v>2022</v>
      </c>
      <c r="B48" s="226">
        <v>1</v>
      </c>
      <c r="C48" s="226">
        <v>3</v>
      </c>
      <c r="D48" s="232">
        <f t="shared" si="0"/>
        <v>44564</v>
      </c>
      <c r="E48" s="234">
        <f t="shared" si="1"/>
        <v>44564</v>
      </c>
      <c r="F48" s="479"/>
      <c r="G48" s="227" t="s">
        <v>1111</v>
      </c>
      <c r="H48" s="228" t="str" cm="1">
        <f t="array" ref="H48">IFERROR(INDEX(INVESTOR_LIST[INVESTOR NAME],MATCH(I48,INVESTOR_LIST[INVESTOR CODE],0),)," ")</f>
        <v>MD. MIZANUR RAHMAN</v>
      </c>
      <c r="I48" s="299" t="s">
        <v>808</v>
      </c>
      <c r="J48" s="229" t="s">
        <v>14</v>
      </c>
      <c r="K48" s="230"/>
      <c r="L48" s="298">
        <v>200000</v>
      </c>
    </row>
    <row r="49" spans="1:12" ht="11.25" customHeight="1" x14ac:dyDescent="0.2">
      <c r="A49" s="221">
        <v>2022</v>
      </c>
      <c r="B49" s="221">
        <v>1</v>
      </c>
      <c r="C49" s="221">
        <v>3</v>
      </c>
      <c r="D49" s="231">
        <f t="shared" si="0"/>
        <v>44564</v>
      </c>
      <c r="E49" s="233">
        <f t="shared" si="1"/>
        <v>44564</v>
      </c>
      <c r="F49" s="478" t="s">
        <v>802</v>
      </c>
      <c r="G49" s="222" t="s">
        <v>1111</v>
      </c>
      <c r="H49" s="223" t="str" cm="1">
        <f t="array" ref="H49">IFERROR(INDEX(INVESTOR_LIST[INVESTOR NAME],MATCH(I49,INVESTOR_LIST[INVESTOR CODE],0),)," ")</f>
        <v>MD. WALIULLAH. SWADESH RANJAN SAHA &amp; MD. MIZZNUR RAHMAN</v>
      </c>
      <c r="I49" s="299" t="s">
        <v>656</v>
      </c>
      <c r="J49" s="224" t="s">
        <v>55</v>
      </c>
      <c r="K49" s="298">
        <v>170000</v>
      </c>
      <c r="L49" s="225"/>
    </row>
    <row r="50" spans="1:12" ht="11.25" customHeight="1" x14ac:dyDescent="0.2">
      <c r="A50" s="226">
        <v>2022</v>
      </c>
      <c r="B50" s="226">
        <v>1</v>
      </c>
      <c r="C50" s="226">
        <v>3</v>
      </c>
      <c r="D50" s="232">
        <f t="shared" si="0"/>
        <v>44564</v>
      </c>
      <c r="E50" s="234">
        <f t="shared" si="1"/>
        <v>44564</v>
      </c>
      <c r="F50" s="479"/>
      <c r="G50" s="227" t="s">
        <v>1111</v>
      </c>
      <c r="H50" s="228" t="str" cm="1">
        <f t="array" ref="H50">IFERROR(INDEX(INVESTOR_LIST[INVESTOR NAME],MATCH(I50,INVESTOR_LIST[INVESTOR CODE],0),)," ")</f>
        <v>MD. WALIULLAH. SWADESH RANJAN SAHA &amp; MD. MIZZNUR RAHMAN</v>
      </c>
      <c r="I50" s="299" t="s">
        <v>656</v>
      </c>
      <c r="J50" s="229" t="s">
        <v>14</v>
      </c>
      <c r="K50" s="230"/>
      <c r="L50" s="298">
        <v>170000</v>
      </c>
    </row>
    <row r="51" spans="1:12" ht="11.25" customHeight="1" x14ac:dyDescent="0.2">
      <c r="A51" s="221">
        <v>2022</v>
      </c>
      <c r="B51" s="221">
        <v>1</v>
      </c>
      <c r="C51" s="221">
        <v>3</v>
      </c>
      <c r="D51" s="231">
        <f t="shared" si="0"/>
        <v>44564</v>
      </c>
      <c r="E51" s="233">
        <f t="shared" si="1"/>
        <v>44564</v>
      </c>
      <c r="F51" s="478" t="s">
        <v>802</v>
      </c>
      <c r="G51" s="222" t="s">
        <v>1111</v>
      </c>
      <c r="H51" s="223" t="str" cm="1">
        <f t="array" ref="H51">IFERROR(INDEX(INVESTOR_LIST[INVESTOR NAME],MATCH(I51,INVESTOR_LIST[INVESTOR CODE],0),)," ")</f>
        <v>MUHAMMAD TANVIR ARAFAT</v>
      </c>
      <c r="I51" s="299" t="s">
        <v>567</v>
      </c>
      <c r="J51" s="224" t="s">
        <v>55</v>
      </c>
      <c r="K51" s="298">
        <v>60000</v>
      </c>
      <c r="L51" s="225"/>
    </row>
    <row r="52" spans="1:12" ht="11.25" customHeight="1" x14ac:dyDescent="0.2">
      <c r="A52" s="226">
        <v>2022</v>
      </c>
      <c r="B52" s="226">
        <v>1</v>
      </c>
      <c r="C52" s="226">
        <v>3</v>
      </c>
      <c r="D52" s="232">
        <f t="shared" si="0"/>
        <v>44564</v>
      </c>
      <c r="E52" s="234">
        <f t="shared" si="1"/>
        <v>44564</v>
      </c>
      <c r="F52" s="479"/>
      <c r="G52" s="227" t="s">
        <v>1111</v>
      </c>
      <c r="H52" s="228" t="str" cm="1">
        <f t="array" ref="H52">IFERROR(INDEX(INVESTOR_LIST[INVESTOR NAME],MATCH(I52,INVESTOR_LIST[INVESTOR CODE],0),)," ")</f>
        <v>MUHAMMAD TANVIR ARAFAT</v>
      </c>
      <c r="I52" s="299" t="s">
        <v>567</v>
      </c>
      <c r="J52" s="229" t="s">
        <v>14</v>
      </c>
      <c r="K52" s="230"/>
      <c r="L52" s="298">
        <v>60000</v>
      </c>
    </row>
    <row r="53" spans="1:12" ht="11.25" customHeight="1" x14ac:dyDescent="0.2">
      <c r="A53" s="221">
        <v>2022</v>
      </c>
      <c r="B53" s="221">
        <v>1</v>
      </c>
      <c r="C53" s="221">
        <v>3</v>
      </c>
      <c r="D53" s="231">
        <f t="shared" si="0"/>
        <v>44564</v>
      </c>
      <c r="E53" s="233">
        <f t="shared" si="1"/>
        <v>44564</v>
      </c>
      <c r="F53" s="478" t="s">
        <v>1114</v>
      </c>
      <c r="G53" s="222" t="s">
        <v>1111</v>
      </c>
      <c r="H53" s="223" t="str" cm="1">
        <f t="array" ref="H53">IFERROR(INDEX(INVESTOR_LIST[INVESTOR NAME],MATCH(I53,INVESTOR_LIST[INVESTOR CODE],0),)," ")</f>
        <v xml:space="preserve"> </v>
      </c>
      <c r="I53" s="223"/>
      <c r="J53" s="224" t="s">
        <v>63</v>
      </c>
      <c r="K53" s="300">
        <v>90</v>
      </c>
      <c r="L53" s="225"/>
    </row>
    <row r="54" spans="1:12" ht="11.25" customHeight="1" x14ac:dyDescent="0.2">
      <c r="A54" s="226">
        <v>2022</v>
      </c>
      <c r="B54" s="226">
        <v>1</v>
      </c>
      <c r="C54" s="226">
        <v>3</v>
      </c>
      <c r="D54" s="232">
        <f t="shared" si="0"/>
        <v>44564</v>
      </c>
      <c r="E54" s="234">
        <f t="shared" si="1"/>
        <v>44564</v>
      </c>
      <c r="F54" s="479"/>
      <c r="G54" s="227" t="s">
        <v>1111</v>
      </c>
      <c r="H54" s="228" t="str" cm="1">
        <f t="array" ref="H54">IFERROR(INDEX(INVESTOR_LIST[INVESTOR NAME],MATCH(I54,INVESTOR_LIST[INVESTOR CODE],0),)," ")</f>
        <v xml:space="preserve"> </v>
      </c>
      <c r="I54" s="228"/>
      <c r="J54" s="229" t="s">
        <v>55</v>
      </c>
      <c r="K54" s="230"/>
      <c r="L54" s="300">
        <v>90</v>
      </c>
    </row>
    <row r="55" spans="1:12" ht="11.25" customHeight="1" x14ac:dyDescent="0.2">
      <c r="A55" s="221">
        <v>2022</v>
      </c>
      <c r="B55" s="221">
        <v>1</v>
      </c>
      <c r="C55" s="221">
        <v>5</v>
      </c>
      <c r="D55" s="231">
        <f t="shared" si="0"/>
        <v>44566</v>
      </c>
      <c r="E55" s="233">
        <f t="shared" si="1"/>
        <v>44566</v>
      </c>
      <c r="F55" s="478" t="s">
        <v>802</v>
      </c>
      <c r="G55" s="222" t="s">
        <v>1111</v>
      </c>
      <c r="H55" s="223" t="str" cm="1">
        <f t="array" ref="H55">IFERROR(INDEX(INVESTOR_LIST[INVESTOR NAME],MATCH(I55,INVESTOR_LIST[INVESTOR CODE],0),)," ")</f>
        <v>MD. JAHIRUL ISLAM</v>
      </c>
      <c r="I55" s="299" t="s">
        <v>812</v>
      </c>
      <c r="J55" s="224" t="s">
        <v>55</v>
      </c>
      <c r="K55" s="298">
        <v>50000</v>
      </c>
      <c r="L55" s="225"/>
    </row>
    <row r="56" spans="1:12" ht="11.25" customHeight="1" x14ac:dyDescent="0.2">
      <c r="A56" s="226">
        <v>2022</v>
      </c>
      <c r="B56" s="226">
        <v>1</v>
      </c>
      <c r="C56" s="226">
        <v>5</v>
      </c>
      <c r="D56" s="232">
        <f t="shared" si="0"/>
        <v>44566</v>
      </c>
      <c r="E56" s="234">
        <f t="shared" si="1"/>
        <v>44566</v>
      </c>
      <c r="F56" s="479"/>
      <c r="G56" s="227" t="s">
        <v>1111</v>
      </c>
      <c r="H56" s="228" t="str" cm="1">
        <f t="array" ref="H56">IFERROR(INDEX(INVESTOR_LIST[INVESTOR NAME],MATCH(I56,INVESTOR_LIST[INVESTOR CODE],0),)," ")</f>
        <v>MD. JAHIRUL ISLAM</v>
      </c>
      <c r="I56" s="299" t="s">
        <v>812</v>
      </c>
      <c r="J56" s="229" t="s">
        <v>14</v>
      </c>
      <c r="K56" s="230"/>
      <c r="L56" s="298">
        <v>50000</v>
      </c>
    </row>
    <row r="57" spans="1:12" ht="11.25" customHeight="1" x14ac:dyDescent="0.2">
      <c r="A57" s="221">
        <v>2022</v>
      </c>
      <c r="B57" s="221">
        <v>1</v>
      </c>
      <c r="C57" s="221">
        <v>6</v>
      </c>
      <c r="D57" s="231">
        <f t="shared" si="0"/>
        <v>44567</v>
      </c>
      <c r="E57" s="233">
        <f t="shared" si="1"/>
        <v>44567</v>
      </c>
      <c r="F57" s="478" t="s">
        <v>802</v>
      </c>
      <c r="G57" s="222" t="s">
        <v>1111</v>
      </c>
      <c r="H57" s="223" t="str" cm="1">
        <f t="array" ref="H57">IFERROR(INDEX(INVESTOR_LIST[INVESTOR NAME],MATCH(I57,INVESTOR_LIST[INVESTOR CODE],0),)," ")</f>
        <v>MD MIZANUR RAHMAN</v>
      </c>
      <c r="I57" s="299" t="s">
        <v>431</v>
      </c>
      <c r="J57" s="224" t="s">
        <v>55</v>
      </c>
      <c r="K57" s="298">
        <v>102000</v>
      </c>
      <c r="L57" s="225"/>
    </row>
    <row r="58" spans="1:12" ht="11.25" customHeight="1" x14ac:dyDescent="0.2">
      <c r="A58" s="226">
        <v>2022</v>
      </c>
      <c r="B58" s="226">
        <v>1</v>
      </c>
      <c r="C58" s="226">
        <v>6</v>
      </c>
      <c r="D58" s="232">
        <f t="shared" si="0"/>
        <v>44567</v>
      </c>
      <c r="E58" s="234">
        <f t="shared" si="1"/>
        <v>44567</v>
      </c>
      <c r="F58" s="479"/>
      <c r="G58" s="227" t="s">
        <v>1111</v>
      </c>
      <c r="H58" s="228" t="str" cm="1">
        <f t="array" ref="H58">IFERROR(INDEX(INVESTOR_LIST[INVESTOR NAME],MATCH(I58,INVESTOR_LIST[INVESTOR CODE],0),)," ")</f>
        <v>MD MIZANUR RAHMAN</v>
      </c>
      <c r="I58" s="299" t="s">
        <v>431</v>
      </c>
      <c r="J58" s="229" t="s">
        <v>14</v>
      </c>
      <c r="K58" s="230"/>
      <c r="L58" s="298">
        <v>102000</v>
      </c>
    </row>
    <row r="59" spans="1:12" ht="11.25" customHeight="1" x14ac:dyDescent="0.2">
      <c r="A59" s="221">
        <v>2022</v>
      </c>
      <c r="B59" s="221">
        <v>1</v>
      </c>
      <c r="C59" s="221">
        <v>10</v>
      </c>
      <c r="D59" s="231">
        <f t="shared" si="0"/>
        <v>44571</v>
      </c>
      <c r="E59" s="233">
        <f t="shared" si="1"/>
        <v>44571</v>
      </c>
      <c r="F59" s="478" t="s">
        <v>802</v>
      </c>
      <c r="G59" s="222" t="s">
        <v>1111</v>
      </c>
      <c r="H59" s="223" t="str" cm="1">
        <f t="array" ref="H59">IFERROR(INDEX(INVESTOR_LIST[INVESTOR NAME],MATCH(I59,INVESTOR_LIST[INVESTOR CODE],0),)," ")</f>
        <v>MD. ZAKIR HOSSEN</v>
      </c>
      <c r="I59" s="299" t="s">
        <v>335</v>
      </c>
      <c r="J59" s="224" t="s">
        <v>55</v>
      </c>
      <c r="K59" s="225">
        <v>202445</v>
      </c>
      <c r="L59" s="225"/>
    </row>
    <row r="60" spans="1:12" ht="11.25" customHeight="1" x14ac:dyDescent="0.2">
      <c r="A60" s="164">
        <v>2022</v>
      </c>
      <c r="B60" s="164">
        <v>1</v>
      </c>
      <c r="C60" s="164">
        <v>10</v>
      </c>
      <c r="D60" s="156">
        <f t="shared" si="0"/>
        <v>44571</v>
      </c>
      <c r="E60" s="235">
        <f t="shared" si="1"/>
        <v>44571</v>
      </c>
      <c r="F60" s="480"/>
      <c r="G60" s="208" t="s">
        <v>1111</v>
      </c>
      <c r="H60" s="206" t="str" cm="1">
        <f t="array" ref="H60">IFERROR(INDEX(INVESTOR_LIST[INVESTOR NAME],MATCH(I60,INVESTOR_LIST[INVESTOR CODE],0),)," ")</f>
        <v>MD. ZAKIR HOSSEN</v>
      </c>
      <c r="I60" s="301" t="s">
        <v>335</v>
      </c>
      <c r="J60" s="165" t="s">
        <v>14</v>
      </c>
      <c r="K60" s="205"/>
      <c r="L60" s="205">
        <v>202450</v>
      </c>
    </row>
    <row r="61" spans="1:12" ht="11.25" customHeight="1" x14ac:dyDescent="0.2">
      <c r="A61" s="226">
        <v>2022</v>
      </c>
      <c r="B61" s="226">
        <v>1</v>
      </c>
      <c r="C61" s="226">
        <v>10</v>
      </c>
      <c r="D61" s="232">
        <f t="shared" si="0"/>
        <v>44571</v>
      </c>
      <c r="E61" s="234">
        <f t="shared" si="1"/>
        <v>44571</v>
      </c>
      <c r="F61" s="479"/>
      <c r="G61" s="227" t="s">
        <v>1111</v>
      </c>
      <c r="H61" s="228" t="str" cm="1">
        <f t="array" ref="H61">IFERROR(INDEX(INVESTOR_LIST[INVESTOR NAME],MATCH(I61,INVESTOR_LIST[INVESTOR CODE],0),)," ")</f>
        <v>MD. ZAKIR HOSSEN</v>
      </c>
      <c r="I61" s="301" t="s">
        <v>335</v>
      </c>
      <c r="J61" s="229" t="s">
        <v>1112</v>
      </c>
      <c r="K61" s="230">
        <v>5</v>
      </c>
      <c r="L61" s="230"/>
    </row>
    <row r="62" spans="1:12" ht="11.25" customHeight="1" x14ac:dyDescent="0.2">
      <c r="A62" s="221">
        <v>2022</v>
      </c>
      <c r="B62" s="221">
        <v>1</v>
      </c>
      <c r="C62" s="221">
        <v>11</v>
      </c>
      <c r="D62" s="231">
        <f t="shared" si="0"/>
        <v>44572</v>
      </c>
      <c r="E62" s="233">
        <f t="shared" si="1"/>
        <v>44572</v>
      </c>
      <c r="F62" s="478" t="s">
        <v>1114</v>
      </c>
      <c r="G62" s="222" t="s">
        <v>1111</v>
      </c>
      <c r="H62" s="223" t="str" cm="1">
        <f t="array" ref="H62">IFERROR(INDEX(INVESTOR_LIST[INVESTOR NAME],MATCH(I62,INVESTOR_LIST[INVESTOR CODE],0),)," ")</f>
        <v xml:space="preserve"> </v>
      </c>
      <c r="I62" s="223"/>
      <c r="J62" s="224" t="s">
        <v>63</v>
      </c>
      <c r="K62" s="302">
        <v>402.5</v>
      </c>
      <c r="L62" s="225"/>
    </row>
    <row r="63" spans="1:12" ht="11.25" customHeight="1" x14ac:dyDescent="0.2">
      <c r="A63" s="226">
        <v>2022</v>
      </c>
      <c r="B63" s="226">
        <v>1</v>
      </c>
      <c r="C63" s="226">
        <v>11</v>
      </c>
      <c r="D63" s="232">
        <f t="shared" si="0"/>
        <v>44572</v>
      </c>
      <c r="E63" s="234">
        <f t="shared" si="1"/>
        <v>44572</v>
      </c>
      <c r="F63" s="479"/>
      <c r="G63" s="227" t="s">
        <v>1111</v>
      </c>
      <c r="H63" s="228" t="str" cm="1">
        <f t="array" ref="H63">IFERROR(INDEX(INVESTOR_LIST[INVESTOR NAME],MATCH(I63,INVESTOR_LIST[INVESTOR CODE],0),)," ")</f>
        <v xml:space="preserve"> </v>
      </c>
      <c r="I63" s="228"/>
      <c r="J63" s="229" t="s">
        <v>55</v>
      </c>
      <c r="K63" s="230"/>
      <c r="L63" s="302">
        <v>402.5</v>
      </c>
    </row>
    <row r="64" spans="1:12" ht="11.25" customHeight="1" x14ac:dyDescent="0.2">
      <c r="A64" s="221">
        <v>2022</v>
      </c>
      <c r="B64" s="221">
        <v>1</v>
      </c>
      <c r="C64" s="221">
        <v>13</v>
      </c>
      <c r="D64" s="231">
        <f t="shared" si="0"/>
        <v>44574</v>
      </c>
      <c r="E64" s="233">
        <f t="shared" si="1"/>
        <v>44574</v>
      </c>
      <c r="F64" s="478" t="s">
        <v>1114</v>
      </c>
      <c r="G64" s="222" t="s">
        <v>1111</v>
      </c>
      <c r="H64" s="223" t="str" cm="1">
        <f t="array" ref="H64">IFERROR(INDEX(INVESTOR_LIST[INVESTOR NAME],MATCH(I64,INVESTOR_LIST[INVESTOR CODE],0),)," ")</f>
        <v xml:space="preserve"> </v>
      </c>
      <c r="I64" s="223"/>
      <c r="J64" s="224" t="s">
        <v>63</v>
      </c>
      <c r="K64" s="302">
        <v>60</v>
      </c>
      <c r="L64" s="225"/>
    </row>
    <row r="65" spans="1:12" ht="11.25" customHeight="1" x14ac:dyDescent="0.2">
      <c r="A65" s="226">
        <v>2022</v>
      </c>
      <c r="B65" s="226">
        <v>1</v>
      </c>
      <c r="C65" s="226">
        <v>13</v>
      </c>
      <c r="D65" s="232">
        <f t="shared" si="0"/>
        <v>44574</v>
      </c>
      <c r="E65" s="234">
        <f t="shared" si="1"/>
        <v>44574</v>
      </c>
      <c r="F65" s="479"/>
      <c r="G65" s="227" t="s">
        <v>1111</v>
      </c>
      <c r="H65" s="228" t="str" cm="1">
        <f t="array" ref="H65">IFERROR(INDEX(INVESTOR_LIST[INVESTOR NAME],MATCH(I65,INVESTOR_LIST[INVESTOR CODE],0),)," ")</f>
        <v xml:space="preserve"> </v>
      </c>
      <c r="I65" s="228"/>
      <c r="J65" s="229" t="s">
        <v>55</v>
      </c>
      <c r="K65" s="230"/>
      <c r="L65" s="302">
        <v>60</v>
      </c>
    </row>
    <row r="66" spans="1:12" ht="11.25" customHeight="1" x14ac:dyDescent="0.2">
      <c r="A66" s="221">
        <v>2022</v>
      </c>
      <c r="B66" s="221">
        <v>1</v>
      </c>
      <c r="C66" s="221">
        <v>13</v>
      </c>
      <c r="D66" s="231">
        <f t="shared" si="0"/>
        <v>44574</v>
      </c>
      <c r="E66" s="233">
        <f t="shared" si="1"/>
        <v>44574</v>
      </c>
      <c r="F66" s="478" t="s">
        <v>802</v>
      </c>
      <c r="G66" s="222" t="s">
        <v>1111</v>
      </c>
      <c r="H66" s="223" t="str" cm="1">
        <f t="array" ref="H66">IFERROR(INDEX(INVESTOR_LIST[INVESTOR NAME],MATCH(I66,INVESTOR_LIST[INVESTOR CODE],0),)," ")</f>
        <v>MD MIZANUR RAHMAN</v>
      </c>
      <c r="I66" s="223" t="s">
        <v>431</v>
      </c>
      <c r="J66" s="224" t="s">
        <v>55</v>
      </c>
      <c r="K66" s="298">
        <v>25000</v>
      </c>
      <c r="L66" s="225"/>
    </row>
    <row r="67" spans="1:12" ht="11.25" customHeight="1" x14ac:dyDescent="0.2">
      <c r="A67" s="226">
        <v>2022</v>
      </c>
      <c r="B67" s="226">
        <v>1</v>
      </c>
      <c r="C67" s="226">
        <v>13</v>
      </c>
      <c r="D67" s="232">
        <f t="shared" si="0"/>
        <v>44574</v>
      </c>
      <c r="E67" s="234">
        <f t="shared" si="1"/>
        <v>44574</v>
      </c>
      <c r="F67" s="479"/>
      <c r="G67" s="227" t="s">
        <v>1111</v>
      </c>
      <c r="H67" s="228" t="str" cm="1">
        <f t="array" ref="H67">IFERROR(INDEX(INVESTOR_LIST[INVESTOR NAME],MATCH(I67,INVESTOR_LIST[INVESTOR CODE],0),)," ")</f>
        <v>MD MIZANUR RAHMAN</v>
      </c>
      <c r="I67" s="228" t="s">
        <v>431</v>
      </c>
      <c r="J67" s="229" t="s">
        <v>14</v>
      </c>
      <c r="K67" s="230"/>
      <c r="L67" s="298">
        <v>25000</v>
      </c>
    </row>
    <row r="68" spans="1:12" ht="11.25" customHeight="1" x14ac:dyDescent="0.2">
      <c r="A68" s="221">
        <v>2022</v>
      </c>
      <c r="B68" s="221">
        <v>1</v>
      </c>
      <c r="C68" s="221">
        <v>13</v>
      </c>
      <c r="D68" s="231">
        <f t="shared" si="0"/>
        <v>44574</v>
      </c>
      <c r="E68" s="233">
        <f t="shared" si="1"/>
        <v>44574</v>
      </c>
      <c r="F68" s="478" t="s">
        <v>802</v>
      </c>
      <c r="G68" s="222" t="s">
        <v>1111</v>
      </c>
      <c r="H68" s="223" t="str" cm="1">
        <f t="array" ref="H68">IFERROR(INDEX(INVESTOR_LIST[INVESTOR NAME],MATCH(I68,INVESTOR_LIST[INVESTOR CODE],0),)," ")</f>
        <v>MD. MONIRUZZAMAN</v>
      </c>
      <c r="I68" s="299" t="s">
        <v>417</v>
      </c>
      <c r="J68" s="224" t="s">
        <v>55</v>
      </c>
      <c r="K68" s="298">
        <v>200000</v>
      </c>
      <c r="L68" s="225"/>
    </row>
    <row r="69" spans="1:12" ht="11.25" customHeight="1" x14ac:dyDescent="0.2">
      <c r="A69" s="226">
        <v>2022</v>
      </c>
      <c r="B69" s="226">
        <v>1</v>
      </c>
      <c r="C69" s="226">
        <v>13</v>
      </c>
      <c r="D69" s="232">
        <f t="shared" si="0"/>
        <v>44574</v>
      </c>
      <c r="E69" s="234">
        <f t="shared" si="1"/>
        <v>44574</v>
      </c>
      <c r="F69" s="479"/>
      <c r="G69" s="227" t="s">
        <v>1111</v>
      </c>
      <c r="H69" s="228" t="str" cm="1">
        <f t="array" ref="H69">IFERROR(INDEX(INVESTOR_LIST[INVESTOR NAME],MATCH(I69,INVESTOR_LIST[INVESTOR CODE],0),)," ")</f>
        <v>MD. MONIRUZZAMAN</v>
      </c>
      <c r="I69" s="299" t="s">
        <v>417</v>
      </c>
      <c r="J69" s="229" t="s">
        <v>14</v>
      </c>
      <c r="K69" s="230"/>
      <c r="L69" s="298">
        <v>200000</v>
      </c>
    </row>
    <row r="70" spans="1:12" ht="11.25" customHeight="1" x14ac:dyDescent="0.2">
      <c r="A70" s="221">
        <v>2022</v>
      </c>
      <c r="B70" s="221">
        <v>1</v>
      </c>
      <c r="C70" s="221">
        <v>13</v>
      </c>
      <c r="D70" s="231">
        <f t="shared" si="0"/>
        <v>44574</v>
      </c>
      <c r="E70" s="233">
        <f t="shared" si="1"/>
        <v>44574</v>
      </c>
      <c r="F70" s="478" t="s">
        <v>802</v>
      </c>
      <c r="G70" s="222" t="s">
        <v>1111</v>
      </c>
      <c r="H70" s="223" t="str" cm="1">
        <f t="array" ref="H70">IFERROR(INDEX(INVESTOR_LIST[INVESTOR NAME],MATCH(I70,INVESTOR_LIST[INVESTOR CODE],0),)," ")</f>
        <v>SAJED MADBAR</v>
      </c>
      <c r="I70" s="299" t="s">
        <v>820</v>
      </c>
      <c r="J70" s="224" t="s">
        <v>55</v>
      </c>
      <c r="K70" s="298">
        <v>5000000</v>
      </c>
      <c r="L70" s="225"/>
    </row>
    <row r="71" spans="1:12" ht="11.25" customHeight="1" x14ac:dyDescent="0.2">
      <c r="A71" s="226">
        <v>2022</v>
      </c>
      <c r="B71" s="226">
        <v>1</v>
      </c>
      <c r="C71" s="226">
        <v>13</v>
      </c>
      <c r="D71" s="232">
        <f t="shared" si="0"/>
        <v>44574</v>
      </c>
      <c r="E71" s="234">
        <f t="shared" si="1"/>
        <v>44574</v>
      </c>
      <c r="F71" s="479"/>
      <c r="G71" s="227" t="s">
        <v>1111</v>
      </c>
      <c r="H71" s="228" t="str" cm="1">
        <f t="array" ref="H71">IFERROR(INDEX(INVESTOR_LIST[INVESTOR NAME],MATCH(I71,INVESTOR_LIST[INVESTOR CODE],0),)," ")</f>
        <v>SAJED MADBAR</v>
      </c>
      <c r="I71" s="299" t="s">
        <v>820</v>
      </c>
      <c r="J71" s="229" t="s">
        <v>14</v>
      </c>
      <c r="K71" s="230"/>
      <c r="L71" s="298">
        <v>5000000</v>
      </c>
    </row>
    <row r="72" spans="1:12" ht="11.25" customHeight="1" x14ac:dyDescent="0.2">
      <c r="A72" s="221">
        <v>2022</v>
      </c>
      <c r="B72" s="221">
        <v>1</v>
      </c>
      <c r="C72" s="221">
        <v>16</v>
      </c>
      <c r="D72" s="231">
        <f t="shared" si="0"/>
        <v>44577</v>
      </c>
      <c r="E72" s="233">
        <f t="shared" si="1"/>
        <v>44577</v>
      </c>
      <c r="F72" s="478" t="s">
        <v>1114</v>
      </c>
      <c r="G72" s="222" t="s">
        <v>1111</v>
      </c>
      <c r="H72" s="223" t="str" cm="1">
        <f t="array" ref="H72">IFERROR(INDEX(INVESTOR_LIST[INVESTOR NAME],MATCH(I72,INVESTOR_LIST[INVESTOR CODE],0),)," ")</f>
        <v xml:space="preserve"> </v>
      </c>
      <c r="I72" s="223"/>
      <c r="J72" s="224" t="s">
        <v>63</v>
      </c>
      <c r="K72" s="302">
        <v>120</v>
      </c>
      <c r="L72" s="225"/>
    </row>
    <row r="73" spans="1:12" ht="11.25" customHeight="1" x14ac:dyDescent="0.2">
      <c r="A73" s="226">
        <v>2022</v>
      </c>
      <c r="B73" s="226">
        <v>1</v>
      </c>
      <c r="C73" s="226">
        <v>16</v>
      </c>
      <c r="D73" s="232">
        <f t="shared" ref="D73:D136" si="2">DATE(A73,B73,C73)</f>
        <v>44577</v>
      </c>
      <c r="E73" s="234">
        <f t="shared" ref="E73:E170" si="3">DATE(A73,B73,C73)</f>
        <v>44577</v>
      </c>
      <c r="F73" s="479"/>
      <c r="G73" s="227" t="s">
        <v>1111</v>
      </c>
      <c r="H73" s="228" t="str" cm="1">
        <f t="array" ref="H73">IFERROR(INDEX(INVESTOR_LIST[INVESTOR NAME],MATCH(I73,INVESTOR_LIST[INVESTOR CODE],0),)," ")</f>
        <v xml:space="preserve"> </v>
      </c>
      <c r="I73" s="228"/>
      <c r="J73" s="229" t="s">
        <v>55</v>
      </c>
      <c r="K73" s="230"/>
      <c r="L73" s="302">
        <v>120</v>
      </c>
    </row>
    <row r="74" spans="1:12" ht="11.25" customHeight="1" x14ac:dyDescent="0.2">
      <c r="A74" s="221">
        <v>2022</v>
      </c>
      <c r="B74" s="221">
        <v>1</v>
      </c>
      <c r="C74" s="221">
        <v>16</v>
      </c>
      <c r="D74" s="231">
        <f t="shared" si="2"/>
        <v>44577</v>
      </c>
      <c r="E74" s="233">
        <f t="shared" si="3"/>
        <v>44577</v>
      </c>
      <c r="F74" s="478" t="s">
        <v>802</v>
      </c>
      <c r="G74" s="222" t="s">
        <v>1111</v>
      </c>
      <c r="H74" s="223" t="str" cm="1">
        <f t="array" ref="H74">IFERROR(INDEX(INVESTOR_LIST[INVESTOR NAME],MATCH(I74,INVESTOR_LIST[INVESTOR CODE],0),)," ")</f>
        <v>HASIB MUSTABSIR</v>
      </c>
      <c r="I74" s="299" t="s">
        <v>470</v>
      </c>
      <c r="J74" s="224" t="s">
        <v>55</v>
      </c>
      <c r="K74" s="298">
        <v>1000000</v>
      </c>
      <c r="L74" s="225"/>
    </row>
    <row r="75" spans="1:12" ht="11.25" customHeight="1" x14ac:dyDescent="0.2">
      <c r="A75" s="226">
        <v>2022</v>
      </c>
      <c r="B75" s="226">
        <v>1</v>
      </c>
      <c r="C75" s="226">
        <v>16</v>
      </c>
      <c r="D75" s="232">
        <f t="shared" si="2"/>
        <v>44577</v>
      </c>
      <c r="E75" s="234">
        <f t="shared" si="3"/>
        <v>44577</v>
      </c>
      <c r="F75" s="479"/>
      <c r="G75" s="227" t="s">
        <v>1111</v>
      </c>
      <c r="H75" s="228" t="str" cm="1">
        <f t="array" ref="H75">IFERROR(INDEX(INVESTOR_LIST[INVESTOR NAME],MATCH(I75,INVESTOR_LIST[INVESTOR CODE],0),)," ")</f>
        <v>HASIB MUSTABSIR</v>
      </c>
      <c r="I75" s="299" t="s">
        <v>470</v>
      </c>
      <c r="J75" s="229" t="s">
        <v>14</v>
      </c>
      <c r="K75" s="230"/>
      <c r="L75" s="298">
        <v>1000000</v>
      </c>
    </row>
    <row r="76" spans="1:12" ht="11.25" customHeight="1" x14ac:dyDescent="0.2">
      <c r="A76" s="221">
        <v>2022</v>
      </c>
      <c r="B76" s="221">
        <v>1</v>
      </c>
      <c r="C76" s="221">
        <v>16</v>
      </c>
      <c r="D76" s="231">
        <f t="shared" si="2"/>
        <v>44577</v>
      </c>
      <c r="E76" s="233">
        <f t="shared" si="3"/>
        <v>44577</v>
      </c>
      <c r="F76" s="478" t="s">
        <v>802</v>
      </c>
      <c r="G76" s="222" t="s">
        <v>1111</v>
      </c>
      <c r="H76" s="223" t="str" cm="1">
        <f t="array" ref="H76">IFERROR(INDEX(INVESTOR_LIST[INVESTOR NAME],MATCH(I76,INVESTOR_LIST[INVESTOR CODE],0),)," ")</f>
        <v>MD. SAIFUR RAHMAN</v>
      </c>
      <c r="I76" s="299" t="s">
        <v>423</v>
      </c>
      <c r="J76" s="224" t="s">
        <v>55</v>
      </c>
      <c r="K76" s="298">
        <v>1000000</v>
      </c>
      <c r="L76" s="225"/>
    </row>
    <row r="77" spans="1:12" ht="11.25" customHeight="1" x14ac:dyDescent="0.2">
      <c r="A77" s="226">
        <v>2022</v>
      </c>
      <c r="B77" s="226">
        <v>1</v>
      </c>
      <c r="C77" s="226">
        <v>16</v>
      </c>
      <c r="D77" s="232">
        <f t="shared" si="2"/>
        <v>44577</v>
      </c>
      <c r="E77" s="234">
        <f t="shared" si="3"/>
        <v>44577</v>
      </c>
      <c r="F77" s="479"/>
      <c r="G77" s="227" t="s">
        <v>1111</v>
      </c>
      <c r="H77" s="228" t="str" cm="1">
        <f t="array" ref="H77">IFERROR(INDEX(INVESTOR_LIST[INVESTOR NAME],MATCH(I77,INVESTOR_LIST[INVESTOR CODE],0),)," ")</f>
        <v>MD. SAIFUR RAHMAN</v>
      </c>
      <c r="I77" s="299" t="s">
        <v>423</v>
      </c>
      <c r="J77" s="229" t="s">
        <v>14</v>
      </c>
      <c r="K77" s="230"/>
      <c r="L77" s="298">
        <v>1000000</v>
      </c>
    </row>
    <row r="78" spans="1:12" ht="11.25" customHeight="1" x14ac:dyDescent="0.2">
      <c r="A78" s="221">
        <v>2022</v>
      </c>
      <c r="B78" s="221">
        <v>1</v>
      </c>
      <c r="C78" s="221">
        <v>17</v>
      </c>
      <c r="D78" s="231">
        <f t="shared" si="2"/>
        <v>44578</v>
      </c>
      <c r="E78" s="233">
        <f t="shared" si="3"/>
        <v>44578</v>
      </c>
      <c r="F78" s="478" t="s">
        <v>1114</v>
      </c>
      <c r="G78" s="222" t="s">
        <v>1111</v>
      </c>
      <c r="H78" s="223" t="str" cm="1">
        <f t="array" ref="H78">IFERROR(INDEX(INVESTOR_LIST[INVESTOR NAME],MATCH(I78,INVESTOR_LIST[INVESTOR CODE],0),)," ")</f>
        <v xml:space="preserve"> </v>
      </c>
      <c r="I78" s="223"/>
      <c r="J78" s="224" t="s">
        <v>63</v>
      </c>
      <c r="K78" s="302">
        <v>70</v>
      </c>
      <c r="L78" s="225"/>
    </row>
    <row r="79" spans="1:12" ht="11.25" customHeight="1" x14ac:dyDescent="0.2">
      <c r="A79" s="226">
        <v>2022</v>
      </c>
      <c r="B79" s="226">
        <v>1</v>
      </c>
      <c r="C79" s="226">
        <v>17</v>
      </c>
      <c r="D79" s="232">
        <f t="shared" si="2"/>
        <v>44578</v>
      </c>
      <c r="E79" s="234">
        <f t="shared" si="3"/>
        <v>44578</v>
      </c>
      <c r="F79" s="479"/>
      <c r="G79" s="227" t="s">
        <v>1111</v>
      </c>
      <c r="H79" s="228" t="str" cm="1">
        <f t="array" ref="H79">IFERROR(INDEX(INVESTOR_LIST[INVESTOR NAME],MATCH(I79,INVESTOR_LIST[INVESTOR CODE],0),)," ")</f>
        <v xml:space="preserve"> </v>
      </c>
      <c r="I79" s="228"/>
      <c r="J79" s="229" t="s">
        <v>55</v>
      </c>
      <c r="K79" s="230"/>
      <c r="L79" s="302">
        <v>70</v>
      </c>
    </row>
    <row r="80" spans="1:12" ht="11.25" customHeight="1" x14ac:dyDescent="0.2">
      <c r="A80" s="221">
        <v>2022</v>
      </c>
      <c r="B80" s="221">
        <v>1</v>
      </c>
      <c r="C80" s="221">
        <v>17</v>
      </c>
      <c r="D80" s="231">
        <f t="shared" si="2"/>
        <v>44578</v>
      </c>
      <c r="E80" s="233">
        <f t="shared" si="3"/>
        <v>44578</v>
      </c>
      <c r="F80" s="478" t="s">
        <v>802</v>
      </c>
      <c r="G80" s="222" t="s">
        <v>1111</v>
      </c>
      <c r="H80" s="223" t="str" cm="1">
        <f t="array" ref="H80">IFERROR(INDEX(INVESTOR_LIST[INVESTOR NAME],MATCH(I80,INVESTOR_LIST[INVESTOR CODE],0),)," ")</f>
        <v>JHARNA AHMED</v>
      </c>
      <c r="I80" s="299" t="s">
        <v>634</v>
      </c>
      <c r="J80" s="224" t="s">
        <v>55</v>
      </c>
      <c r="K80" s="298">
        <v>500000</v>
      </c>
      <c r="L80" s="225"/>
    </row>
    <row r="81" spans="1:12" ht="11.25" customHeight="1" x14ac:dyDescent="0.2">
      <c r="A81" s="226">
        <v>2022</v>
      </c>
      <c r="B81" s="226">
        <v>1</v>
      </c>
      <c r="C81" s="226">
        <v>17</v>
      </c>
      <c r="D81" s="232">
        <f t="shared" si="2"/>
        <v>44578</v>
      </c>
      <c r="E81" s="234">
        <f t="shared" si="3"/>
        <v>44578</v>
      </c>
      <c r="F81" s="479"/>
      <c r="G81" s="227" t="s">
        <v>1111</v>
      </c>
      <c r="H81" s="228" t="str" cm="1">
        <f t="array" ref="H81">IFERROR(INDEX(INVESTOR_LIST[INVESTOR NAME],MATCH(I81,INVESTOR_LIST[INVESTOR CODE],0),)," ")</f>
        <v>JHARNA AHMED</v>
      </c>
      <c r="I81" s="299" t="s">
        <v>634</v>
      </c>
      <c r="J81" s="229" t="s">
        <v>14</v>
      </c>
      <c r="K81" s="230"/>
      <c r="L81" s="298">
        <v>500000</v>
      </c>
    </row>
    <row r="82" spans="1:12" ht="11.25" customHeight="1" x14ac:dyDescent="0.2">
      <c r="A82" s="221">
        <v>2022</v>
      </c>
      <c r="B82" s="221">
        <v>1</v>
      </c>
      <c r="C82" s="221">
        <v>17</v>
      </c>
      <c r="D82" s="231">
        <f t="shared" si="2"/>
        <v>44578</v>
      </c>
      <c r="E82" s="233">
        <f t="shared" si="3"/>
        <v>44578</v>
      </c>
      <c r="F82" s="478" t="s">
        <v>802</v>
      </c>
      <c r="G82" s="222" t="s">
        <v>1111</v>
      </c>
      <c r="H82" s="223" t="str" cm="1">
        <f t="array" ref="H82">IFERROR(INDEX(INVESTOR_LIST[INVESTOR NAME],MATCH(I82,INVESTOR_LIST[INVESTOR CODE],0),)," ")</f>
        <v>M.A. MALEK SIDDIQUE WALI &amp; CO.</v>
      </c>
      <c r="I82" s="299" t="s">
        <v>823</v>
      </c>
      <c r="J82" s="224" t="s">
        <v>55</v>
      </c>
      <c r="K82" s="298">
        <v>300000</v>
      </c>
      <c r="L82" s="225"/>
    </row>
    <row r="83" spans="1:12" ht="11.25" customHeight="1" x14ac:dyDescent="0.2">
      <c r="A83" s="226">
        <v>2022</v>
      </c>
      <c r="B83" s="226">
        <v>1</v>
      </c>
      <c r="C83" s="226">
        <v>17</v>
      </c>
      <c r="D83" s="232">
        <f t="shared" si="2"/>
        <v>44578</v>
      </c>
      <c r="E83" s="234">
        <f t="shared" si="3"/>
        <v>44578</v>
      </c>
      <c r="F83" s="479"/>
      <c r="G83" s="227" t="s">
        <v>1111</v>
      </c>
      <c r="H83" s="228" t="str" cm="1">
        <f t="array" ref="H83">IFERROR(INDEX(INVESTOR_LIST[INVESTOR NAME],MATCH(I83,INVESTOR_LIST[INVESTOR CODE],0),)," ")</f>
        <v>M.A. MALEK SIDDIQUE WALI &amp; CO.</v>
      </c>
      <c r="I83" s="299" t="s">
        <v>823</v>
      </c>
      <c r="J83" s="229" t="s">
        <v>14</v>
      </c>
      <c r="K83" s="230"/>
      <c r="L83" s="298">
        <v>300000</v>
      </c>
    </row>
    <row r="84" spans="1:12" ht="11.25" customHeight="1" x14ac:dyDescent="0.2">
      <c r="A84" s="221">
        <v>2022</v>
      </c>
      <c r="B84" s="221">
        <v>1</v>
      </c>
      <c r="C84" s="221">
        <v>18</v>
      </c>
      <c r="D84" s="231">
        <f t="shared" si="2"/>
        <v>44579</v>
      </c>
      <c r="E84" s="233">
        <f t="shared" si="3"/>
        <v>44579</v>
      </c>
      <c r="F84" s="478" t="s">
        <v>802</v>
      </c>
      <c r="G84" s="222" t="s">
        <v>1111</v>
      </c>
      <c r="H84" s="223" t="str" cm="1">
        <f t="array" ref="H84">IFERROR(INDEX(INVESTOR_LIST[INVESTOR NAME],MATCH(I84,INVESTOR_LIST[INVESTOR CODE],0),)," ")</f>
        <v>SULTANA RAZIA</v>
      </c>
      <c r="I84" s="299" t="s">
        <v>617</v>
      </c>
      <c r="J84" s="224" t="s">
        <v>55</v>
      </c>
      <c r="K84" s="298">
        <v>700000</v>
      </c>
      <c r="L84" s="225"/>
    </row>
    <row r="85" spans="1:12" ht="11.25" customHeight="1" x14ac:dyDescent="0.2">
      <c r="A85" s="226">
        <v>2022</v>
      </c>
      <c r="B85" s="226">
        <v>1</v>
      </c>
      <c r="C85" s="226">
        <v>18</v>
      </c>
      <c r="D85" s="232">
        <f t="shared" si="2"/>
        <v>44579</v>
      </c>
      <c r="E85" s="234">
        <f t="shared" si="3"/>
        <v>44579</v>
      </c>
      <c r="F85" s="479"/>
      <c r="G85" s="227" t="s">
        <v>1111</v>
      </c>
      <c r="H85" s="228" t="str" cm="1">
        <f t="array" ref="H85">IFERROR(INDEX(INVESTOR_LIST[INVESTOR NAME],MATCH(I85,INVESTOR_LIST[INVESTOR CODE],0),)," ")</f>
        <v>SULTANA RAZIA</v>
      </c>
      <c r="I85" s="299" t="s">
        <v>617</v>
      </c>
      <c r="J85" s="229" t="s">
        <v>14</v>
      </c>
      <c r="K85" s="230"/>
      <c r="L85" s="298">
        <v>700000</v>
      </c>
    </row>
    <row r="86" spans="1:12" ht="11.25" customHeight="1" x14ac:dyDescent="0.2">
      <c r="A86" s="221">
        <v>2022</v>
      </c>
      <c r="B86" s="221">
        <v>1</v>
      </c>
      <c r="C86" s="221">
        <v>18</v>
      </c>
      <c r="D86" s="231">
        <f t="shared" si="2"/>
        <v>44579</v>
      </c>
      <c r="E86" s="233">
        <f t="shared" si="3"/>
        <v>44579</v>
      </c>
      <c r="F86" s="478" t="s">
        <v>1114</v>
      </c>
      <c r="G86" s="222" t="s">
        <v>1111</v>
      </c>
      <c r="H86" s="223" t="str" cm="1">
        <f t="array" ref="H86">IFERROR(INDEX(INVESTOR_LIST[INVESTOR NAME],MATCH(I86,INVESTOR_LIST[INVESTOR CODE],0),)," ")</f>
        <v xml:space="preserve"> </v>
      </c>
      <c r="I86" s="223"/>
      <c r="J86" s="224" t="s">
        <v>63</v>
      </c>
      <c r="K86" s="302">
        <v>60</v>
      </c>
      <c r="L86" s="225"/>
    </row>
    <row r="87" spans="1:12" ht="11.25" customHeight="1" x14ac:dyDescent="0.2">
      <c r="A87" s="226">
        <v>2022</v>
      </c>
      <c r="B87" s="226">
        <v>1</v>
      </c>
      <c r="C87" s="226">
        <v>18</v>
      </c>
      <c r="D87" s="232">
        <f t="shared" si="2"/>
        <v>44579</v>
      </c>
      <c r="E87" s="234">
        <f t="shared" si="3"/>
        <v>44579</v>
      </c>
      <c r="F87" s="479"/>
      <c r="G87" s="227" t="s">
        <v>1111</v>
      </c>
      <c r="H87" s="228" t="str" cm="1">
        <f t="array" ref="H87">IFERROR(INDEX(INVESTOR_LIST[INVESTOR NAME],MATCH(I87,INVESTOR_LIST[INVESTOR CODE],0),)," ")</f>
        <v xml:space="preserve"> </v>
      </c>
      <c r="I87" s="228"/>
      <c r="J87" s="229" t="s">
        <v>55</v>
      </c>
      <c r="K87" s="230"/>
      <c r="L87" s="302">
        <v>60</v>
      </c>
    </row>
    <row r="88" spans="1:12" ht="11.25" customHeight="1" x14ac:dyDescent="0.2">
      <c r="A88" s="221">
        <v>2022</v>
      </c>
      <c r="B88" s="221">
        <v>1</v>
      </c>
      <c r="C88" s="221">
        <v>19</v>
      </c>
      <c r="D88" s="231">
        <f t="shared" si="2"/>
        <v>44580</v>
      </c>
      <c r="E88" s="233">
        <f t="shared" si="3"/>
        <v>44580</v>
      </c>
      <c r="F88" s="478" t="s">
        <v>1114</v>
      </c>
      <c r="G88" s="222" t="s">
        <v>1111</v>
      </c>
      <c r="H88" s="223" t="str" cm="1">
        <f t="array" ref="H88">IFERROR(INDEX(INVESTOR_LIST[INVESTOR NAME],MATCH(I88,INVESTOR_LIST[INVESTOR CODE],0),)," ")</f>
        <v xml:space="preserve"> </v>
      </c>
      <c r="I88" s="223"/>
      <c r="J88" s="224" t="s">
        <v>63</v>
      </c>
      <c r="K88" s="302">
        <v>10</v>
      </c>
      <c r="L88" s="225"/>
    </row>
    <row r="89" spans="1:12" ht="11.25" customHeight="1" x14ac:dyDescent="0.2">
      <c r="A89" s="226">
        <v>2022</v>
      </c>
      <c r="B89" s="226">
        <v>1</v>
      </c>
      <c r="C89" s="226">
        <v>19</v>
      </c>
      <c r="D89" s="232">
        <f t="shared" si="2"/>
        <v>44580</v>
      </c>
      <c r="E89" s="234">
        <f t="shared" si="3"/>
        <v>44580</v>
      </c>
      <c r="F89" s="479"/>
      <c r="G89" s="227" t="s">
        <v>1111</v>
      </c>
      <c r="H89" s="228" t="str" cm="1">
        <f t="array" ref="H89">IFERROR(INDEX(INVESTOR_LIST[INVESTOR NAME],MATCH(I89,INVESTOR_LIST[INVESTOR CODE],0),)," ")</f>
        <v xml:space="preserve"> </v>
      </c>
      <c r="I89" s="228"/>
      <c r="J89" s="229" t="s">
        <v>55</v>
      </c>
      <c r="K89" s="230"/>
      <c r="L89" s="302">
        <v>10</v>
      </c>
    </row>
    <row r="90" spans="1:12" ht="11.25" customHeight="1" x14ac:dyDescent="0.2">
      <c r="A90" s="221">
        <v>2022</v>
      </c>
      <c r="B90" s="221">
        <v>1</v>
      </c>
      <c r="C90" s="221">
        <v>19</v>
      </c>
      <c r="D90" s="231">
        <f t="shared" si="2"/>
        <v>44580</v>
      </c>
      <c r="E90" s="233">
        <f t="shared" si="3"/>
        <v>44580</v>
      </c>
      <c r="F90" s="478" t="s">
        <v>802</v>
      </c>
      <c r="G90" s="222" t="s">
        <v>1111</v>
      </c>
      <c r="H90" s="223" t="str" cm="1">
        <f t="array" ref="H90">IFERROR(INDEX(INVESTOR_LIST[INVESTOR NAME],MATCH(I90,INVESTOR_LIST[INVESTOR CODE],0),)," ")</f>
        <v>BISWAS ARIFUR RAHMAN</v>
      </c>
      <c r="I90" s="299" t="s">
        <v>324</v>
      </c>
      <c r="J90" s="224" t="s">
        <v>55</v>
      </c>
      <c r="K90" s="298">
        <v>200000</v>
      </c>
      <c r="L90" s="225"/>
    </row>
    <row r="91" spans="1:12" ht="11.25" customHeight="1" x14ac:dyDescent="0.2">
      <c r="A91" s="226">
        <v>2022</v>
      </c>
      <c r="B91" s="226">
        <v>1</v>
      </c>
      <c r="C91" s="226">
        <v>19</v>
      </c>
      <c r="D91" s="232">
        <f t="shared" si="2"/>
        <v>44580</v>
      </c>
      <c r="E91" s="234">
        <f t="shared" si="3"/>
        <v>44580</v>
      </c>
      <c r="F91" s="479"/>
      <c r="G91" s="227" t="s">
        <v>1111</v>
      </c>
      <c r="H91" s="228" t="str" cm="1">
        <f t="array" ref="H91">IFERROR(INDEX(INVESTOR_LIST[INVESTOR NAME],MATCH(I91,INVESTOR_LIST[INVESTOR CODE],0),)," ")</f>
        <v>BISWAS ARIFUR RAHMAN</v>
      </c>
      <c r="I91" s="299" t="s">
        <v>324</v>
      </c>
      <c r="J91" s="229" t="s">
        <v>14</v>
      </c>
      <c r="K91" s="230"/>
      <c r="L91" s="298">
        <v>200000</v>
      </c>
    </row>
    <row r="92" spans="1:12" ht="11.25" customHeight="1" x14ac:dyDescent="0.2">
      <c r="A92" s="221">
        <v>2022</v>
      </c>
      <c r="B92" s="221">
        <v>1</v>
      </c>
      <c r="C92" s="221">
        <v>20</v>
      </c>
      <c r="D92" s="231">
        <f t="shared" si="2"/>
        <v>44581</v>
      </c>
      <c r="E92" s="233">
        <f t="shared" si="3"/>
        <v>44581</v>
      </c>
      <c r="F92" s="478" t="s">
        <v>1114</v>
      </c>
      <c r="G92" s="222" t="s">
        <v>1111</v>
      </c>
      <c r="H92" s="223" t="str" cm="1">
        <f t="array" ref="H92">IFERROR(INDEX(INVESTOR_LIST[INVESTOR NAME],MATCH(I92,INVESTOR_LIST[INVESTOR CODE],0),)," ")</f>
        <v xml:space="preserve"> </v>
      </c>
      <c r="I92" s="223"/>
      <c r="J92" s="224" t="s">
        <v>63</v>
      </c>
      <c r="K92" s="302">
        <v>60</v>
      </c>
      <c r="L92" s="225"/>
    </row>
    <row r="93" spans="1:12" ht="11.25" customHeight="1" x14ac:dyDescent="0.2">
      <c r="A93" s="226">
        <v>2022</v>
      </c>
      <c r="B93" s="226">
        <v>1</v>
      </c>
      <c r="C93" s="226">
        <v>20</v>
      </c>
      <c r="D93" s="232">
        <f t="shared" si="2"/>
        <v>44581</v>
      </c>
      <c r="E93" s="234">
        <f t="shared" si="3"/>
        <v>44581</v>
      </c>
      <c r="F93" s="479"/>
      <c r="G93" s="227" t="s">
        <v>1111</v>
      </c>
      <c r="H93" s="228" t="str" cm="1">
        <f t="array" ref="H93">IFERROR(INDEX(INVESTOR_LIST[INVESTOR NAME],MATCH(I93,INVESTOR_LIST[INVESTOR CODE],0),)," ")</f>
        <v xml:space="preserve"> </v>
      </c>
      <c r="I93" s="228"/>
      <c r="J93" s="229" t="s">
        <v>55</v>
      </c>
      <c r="K93" s="230"/>
      <c r="L93" s="302">
        <v>60</v>
      </c>
    </row>
    <row r="94" spans="1:12" ht="11.25" customHeight="1" x14ac:dyDescent="0.2">
      <c r="A94" s="221">
        <v>2022</v>
      </c>
      <c r="B94" s="221">
        <v>1</v>
      </c>
      <c r="C94" s="221">
        <v>20</v>
      </c>
      <c r="D94" s="231">
        <f t="shared" si="2"/>
        <v>44581</v>
      </c>
      <c r="E94" s="233">
        <f t="shared" si="3"/>
        <v>44581</v>
      </c>
      <c r="F94" s="478" t="s">
        <v>802</v>
      </c>
      <c r="G94" s="222" t="s">
        <v>1111</v>
      </c>
      <c r="H94" s="223" t="str" cm="1">
        <f t="array" ref="H94">IFERROR(INDEX(INVESTOR_LIST[INVESTOR NAME],MATCH(I94,INVESTOR_LIST[INVESTOR CODE],0),)," ")</f>
        <v>AMIT KANTI SARKER</v>
      </c>
      <c r="I94" s="299" t="s">
        <v>443</v>
      </c>
      <c r="J94" s="224" t="s">
        <v>55</v>
      </c>
      <c r="K94" s="298">
        <v>1000000</v>
      </c>
      <c r="L94" s="225"/>
    </row>
    <row r="95" spans="1:12" ht="11.25" customHeight="1" x14ac:dyDescent="0.2">
      <c r="A95" s="226">
        <v>2022</v>
      </c>
      <c r="B95" s="226">
        <v>1</v>
      </c>
      <c r="C95" s="226">
        <v>20</v>
      </c>
      <c r="D95" s="232">
        <f t="shared" si="2"/>
        <v>44581</v>
      </c>
      <c r="E95" s="234">
        <f t="shared" si="3"/>
        <v>44581</v>
      </c>
      <c r="F95" s="479"/>
      <c r="G95" s="227" t="s">
        <v>1111</v>
      </c>
      <c r="H95" s="228" t="str" cm="1">
        <f t="array" ref="H95">IFERROR(INDEX(INVESTOR_LIST[INVESTOR NAME],MATCH(I95,INVESTOR_LIST[INVESTOR CODE],0),)," ")</f>
        <v>AMIT KANTI SARKER</v>
      </c>
      <c r="I95" s="299" t="s">
        <v>443</v>
      </c>
      <c r="J95" s="229" t="s">
        <v>14</v>
      </c>
      <c r="K95" s="230"/>
      <c r="L95" s="298">
        <v>1000000</v>
      </c>
    </row>
    <row r="96" spans="1:12" ht="11.25" customHeight="1" x14ac:dyDescent="0.2">
      <c r="A96" s="221">
        <v>2022</v>
      </c>
      <c r="B96" s="221">
        <v>1</v>
      </c>
      <c r="C96" s="221">
        <v>20</v>
      </c>
      <c r="D96" s="231">
        <f t="shared" si="2"/>
        <v>44581</v>
      </c>
      <c r="E96" s="233">
        <f t="shared" si="3"/>
        <v>44581</v>
      </c>
      <c r="F96" s="478" t="s">
        <v>802</v>
      </c>
      <c r="G96" s="222" t="s">
        <v>1111</v>
      </c>
      <c r="H96" s="223" t="str" cm="1">
        <f t="array" ref="H96">IFERROR(INDEX(INVESTOR_LIST[INVESTOR NAME],MATCH(I96,INVESTOR_LIST[INVESTOR CODE],0),)," ")</f>
        <v>MD KAMRUL ISLAM</v>
      </c>
      <c r="I96" s="299" t="s">
        <v>465</v>
      </c>
      <c r="J96" s="224" t="s">
        <v>55</v>
      </c>
      <c r="K96" s="298">
        <v>500000</v>
      </c>
      <c r="L96" s="225"/>
    </row>
    <row r="97" spans="1:12" ht="11.25" customHeight="1" x14ac:dyDescent="0.2">
      <c r="A97" s="226">
        <v>2022</v>
      </c>
      <c r="B97" s="226">
        <v>1</v>
      </c>
      <c r="C97" s="226">
        <v>20</v>
      </c>
      <c r="D97" s="232">
        <f t="shared" si="2"/>
        <v>44581</v>
      </c>
      <c r="E97" s="234">
        <f t="shared" si="3"/>
        <v>44581</v>
      </c>
      <c r="F97" s="479"/>
      <c r="G97" s="227" t="s">
        <v>1111</v>
      </c>
      <c r="H97" s="228" t="str" cm="1">
        <f t="array" ref="H97">IFERROR(INDEX(INVESTOR_LIST[INVESTOR NAME],MATCH(I97,INVESTOR_LIST[INVESTOR CODE],0),)," ")</f>
        <v>MD KAMRUL ISLAM</v>
      </c>
      <c r="I97" s="299" t="s">
        <v>465</v>
      </c>
      <c r="J97" s="229" t="s">
        <v>14</v>
      </c>
      <c r="K97" s="230"/>
      <c r="L97" s="298">
        <v>500000</v>
      </c>
    </row>
    <row r="98" spans="1:12" ht="11.25" customHeight="1" x14ac:dyDescent="0.2">
      <c r="A98" s="221">
        <v>2022</v>
      </c>
      <c r="B98" s="221">
        <v>1</v>
      </c>
      <c r="C98" s="221">
        <v>23</v>
      </c>
      <c r="D98" s="231">
        <f t="shared" si="2"/>
        <v>44584</v>
      </c>
      <c r="E98" s="233">
        <f t="shared" si="3"/>
        <v>44584</v>
      </c>
      <c r="F98" s="478" t="s">
        <v>1114</v>
      </c>
      <c r="G98" s="222" t="s">
        <v>1111</v>
      </c>
      <c r="H98" s="223" t="str" cm="1">
        <f t="array" ref="H98">IFERROR(INDEX(INVESTOR_LIST[INVESTOR NAME],MATCH(I98,INVESTOR_LIST[INVESTOR CODE],0),)," ")</f>
        <v xml:space="preserve"> </v>
      </c>
      <c r="I98" s="223"/>
      <c r="J98" s="224" t="s">
        <v>63</v>
      </c>
      <c r="K98" s="302">
        <v>120</v>
      </c>
      <c r="L98" s="225"/>
    </row>
    <row r="99" spans="1:12" ht="11.25" customHeight="1" x14ac:dyDescent="0.2">
      <c r="A99" s="226">
        <v>2022</v>
      </c>
      <c r="B99" s="226">
        <v>1</v>
      </c>
      <c r="C99" s="226">
        <v>23</v>
      </c>
      <c r="D99" s="232">
        <f t="shared" si="2"/>
        <v>44584</v>
      </c>
      <c r="E99" s="234">
        <f t="shared" si="3"/>
        <v>44584</v>
      </c>
      <c r="F99" s="479"/>
      <c r="G99" s="227" t="s">
        <v>1111</v>
      </c>
      <c r="H99" s="228" t="str" cm="1">
        <f t="array" ref="H99">IFERROR(INDEX(INVESTOR_LIST[INVESTOR NAME],MATCH(I99,INVESTOR_LIST[INVESTOR CODE],0),)," ")</f>
        <v xml:space="preserve"> </v>
      </c>
      <c r="I99" s="228"/>
      <c r="J99" s="229" t="s">
        <v>55</v>
      </c>
      <c r="K99" s="230"/>
      <c r="L99" s="302">
        <v>120</v>
      </c>
    </row>
    <row r="100" spans="1:12" ht="11.25" customHeight="1" x14ac:dyDescent="0.2">
      <c r="A100" s="221">
        <v>2022</v>
      </c>
      <c r="B100" s="221">
        <v>1</v>
      </c>
      <c r="C100" s="221">
        <v>23</v>
      </c>
      <c r="D100" s="231">
        <f t="shared" si="2"/>
        <v>44584</v>
      </c>
      <c r="E100" s="233">
        <f t="shared" si="3"/>
        <v>44584</v>
      </c>
      <c r="F100" s="478" t="s">
        <v>802</v>
      </c>
      <c r="G100" s="222" t="s">
        <v>1111</v>
      </c>
      <c r="H100" s="223" t="str" cm="1">
        <f t="array" ref="H100">IFERROR(INDEX(INVESTOR_LIST[INVESTOR NAME],MATCH(I100,INVESTOR_LIST[INVESTOR CODE],0),)," ")</f>
        <v>RAJIB ROY</v>
      </c>
      <c r="I100" s="299" t="s">
        <v>358</v>
      </c>
      <c r="J100" s="224" t="s">
        <v>55</v>
      </c>
      <c r="K100" s="298">
        <v>150000</v>
      </c>
      <c r="L100" s="225"/>
    </row>
    <row r="101" spans="1:12" ht="11.25" customHeight="1" x14ac:dyDescent="0.2">
      <c r="A101" s="226">
        <v>2022</v>
      </c>
      <c r="B101" s="226">
        <v>1</v>
      </c>
      <c r="C101" s="226">
        <v>23</v>
      </c>
      <c r="D101" s="232">
        <f t="shared" si="2"/>
        <v>44584</v>
      </c>
      <c r="E101" s="234">
        <f t="shared" si="3"/>
        <v>44584</v>
      </c>
      <c r="F101" s="479"/>
      <c r="G101" s="227" t="s">
        <v>1111</v>
      </c>
      <c r="H101" s="228" t="str" cm="1">
        <f t="array" ref="H101">IFERROR(INDEX(INVESTOR_LIST[INVESTOR NAME],MATCH(I101,INVESTOR_LIST[INVESTOR CODE],0),)," ")</f>
        <v>RAJIB ROY</v>
      </c>
      <c r="I101" s="299" t="s">
        <v>358</v>
      </c>
      <c r="J101" s="229" t="s">
        <v>14</v>
      </c>
      <c r="K101" s="230"/>
      <c r="L101" s="298">
        <v>150000</v>
      </c>
    </row>
    <row r="102" spans="1:12" ht="11.25" customHeight="1" x14ac:dyDescent="0.2">
      <c r="A102" s="221">
        <v>2022</v>
      </c>
      <c r="B102" s="221">
        <v>1</v>
      </c>
      <c r="C102" s="221">
        <v>23</v>
      </c>
      <c r="D102" s="231">
        <f t="shared" si="2"/>
        <v>44584</v>
      </c>
      <c r="E102" s="233">
        <f t="shared" si="3"/>
        <v>44584</v>
      </c>
      <c r="F102" s="478" t="s">
        <v>802</v>
      </c>
      <c r="G102" s="222" t="s">
        <v>1111</v>
      </c>
      <c r="H102" s="223" t="str" cm="1">
        <f t="array" ref="H102">IFERROR(INDEX(INVESTOR_LIST[INVESTOR NAME],MATCH(I102,INVESTOR_LIST[INVESTOR CODE],0),)," ")</f>
        <v>MIDLAND BANK LIMITED</v>
      </c>
      <c r="I102" s="299" t="s">
        <v>488</v>
      </c>
      <c r="J102" s="224" t="s">
        <v>55</v>
      </c>
      <c r="K102" s="298">
        <v>20000000</v>
      </c>
      <c r="L102" s="225"/>
    </row>
    <row r="103" spans="1:12" ht="11.25" customHeight="1" x14ac:dyDescent="0.2">
      <c r="A103" s="226">
        <v>2022</v>
      </c>
      <c r="B103" s="226">
        <v>1</v>
      </c>
      <c r="C103" s="226">
        <v>23</v>
      </c>
      <c r="D103" s="232">
        <f t="shared" si="2"/>
        <v>44584</v>
      </c>
      <c r="E103" s="234">
        <f t="shared" si="3"/>
        <v>44584</v>
      </c>
      <c r="F103" s="479"/>
      <c r="G103" s="227" t="s">
        <v>1111</v>
      </c>
      <c r="H103" s="228" t="str" cm="1">
        <f t="array" ref="H103">IFERROR(INDEX(INVESTOR_LIST[INVESTOR NAME],MATCH(I103,INVESTOR_LIST[INVESTOR CODE],0),)," ")</f>
        <v>MIDLAND BANK LIMITED</v>
      </c>
      <c r="I103" s="299" t="s">
        <v>488</v>
      </c>
      <c r="J103" s="229" t="s">
        <v>14</v>
      </c>
      <c r="K103" s="230"/>
      <c r="L103" s="298">
        <v>20000000</v>
      </c>
    </row>
    <row r="104" spans="1:12" ht="11.25" customHeight="1" x14ac:dyDescent="0.2">
      <c r="A104" s="221">
        <v>2022</v>
      </c>
      <c r="B104" s="221">
        <v>1</v>
      </c>
      <c r="C104" s="221">
        <v>23</v>
      </c>
      <c r="D104" s="231">
        <f t="shared" si="2"/>
        <v>44584</v>
      </c>
      <c r="E104" s="233">
        <f t="shared" si="3"/>
        <v>44584</v>
      </c>
      <c r="F104" s="478" t="s">
        <v>802</v>
      </c>
      <c r="G104" s="222" t="s">
        <v>1111</v>
      </c>
      <c r="H104" s="223" t="str" cm="1">
        <f t="array" ref="H104">IFERROR(INDEX(INVESTOR_LIST[INVESTOR NAME],MATCH(I104,INVESTOR_LIST[INVESTOR CODE],0),)," ")</f>
        <v>MD. ZAKIR HOSSEN</v>
      </c>
      <c r="I104" s="299" t="s">
        <v>335</v>
      </c>
      <c r="J104" s="224" t="s">
        <v>55</v>
      </c>
      <c r="K104" s="298">
        <v>506212.5</v>
      </c>
      <c r="L104" s="225"/>
    </row>
    <row r="105" spans="1:12" ht="11.25" customHeight="1" x14ac:dyDescent="0.2">
      <c r="A105" s="164">
        <v>2022</v>
      </c>
      <c r="B105" s="164">
        <v>1</v>
      </c>
      <c r="C105" s="164">
        <v>23</v>
      </c>
      <c r="D105" s="156">
        <f t="shared" si="2"/>
        <v>44584</v>
      </c>
      <c r="E105" s="235">
        <f t="shared" si="3"/>
        <v>44584</v>
      </c>
      <c r="F105" s="480"/>
      <c r="G105" s="208" t="s">
        <v>1111</v>
      </c>
      <c r="H105" s="206" t="str" cm="1">
        <f t="array" ref="H105">IFERROR(INDEX(INVESTOR_LIST[INVESTOR NAME],MATCH(I105,INVESTOR_LIST[INVESTOR CODE],0),)," ")</f>
        <v>MD. ZAKIR HOSSEN</v>
      </c>
      <c r="I105" s="301" t="s">
        <v>335</v>
      </c>
      <c r="J105" s="165" t="s">
        <v>14</v>
      </c>
      <c r="K105" s="205"/>
      <c r="L105" s="298">
        <v>506210</v>
      </c>
    </row>
    <row r="106" spans="1:12" ht="11.25" customHeight="1" x14ac:dyDescent="0.2">
      <c r="A106" s="226">
        <v>2022</v>
      </c>
      <c r="B106" s="226">
        <v>1</v>
      </c>
      <c r="C106" s="226">
        <v>23</v>
      </c>
      <c r="D106" s="232">
        <f t="shared" si="2"/>
        <v>44584</v>
      </c>
      <c r="E106" s="234">
        <f t="shared" si="3"/>
        <v>44584</v>
      </c>
      <c r="F106" s="479"/>
      <c r="G106" s="227" t="s">
        <v>1111</v>
      </c>
      <c r="H106" s="228" t="str" cm="1">
        <f t="array" ref="H106">IFERROR(INDEX(INVESTOR_LIST[INVESTOR NAME],MATCH(I106,INVESTOR_LIST[INVESTOR CODE],0),)," ")</f>
        <v>MD. ZAKIR HOSSEN</v>
      </c>
      <c r="I106" s="299" t="s">
        <v>335</v>
      </c>
      <c r="J106" s="229" t="s">
        <v>1112</v>
      </c>
      <c r="K106" s="230"/>
      <c r="L106" s="298">
        <v>2.5</v>
      </c>
    </row>
    <row r="107" spans="1:12" ht="11.25" customHeight="1" x14ac:dyDescent="0.2">
      <c r="A107" s="221">
        <v>2022</v>
      </c>
      <c r="B107" s="221">
        <v>1</v>
      </c>
      <c r="C107" s="221">
        <v>23</v>
      </c>
      <c r="D107" s="231">
        <f t="shared" si="2"/>
        <v>44584</v>
      </c>
      <c r="E107" s="233">
        <f t="shared" si="3"/>
        <v>44584</v>
      </c>
      <c r="F107" s="478" t="s">
        <v>802</v>
      </c>
      <c r="G107" s="222" t="s">
        <v>1111</v>
      </c>
      <c r="H107" s="223" t="str" cm="1">
        <f t="array" ref="H107">IFERROR(INDEX(INVESTOR_LIST[INVESTOR NAME],MATCH(I107,INVESTOR_LIST[INVESTOR CODE],0),)," ")</f>
        <v>RAIHAN RASHID MAJUMDAR</v>
      </c>
      <c r="I107" s="299" t="s">
        <v>460</v>
      </c>
      <c r="J107" s="224" t="s">
        <v>55</v>
      </c>
      <c r="K107" s="298">
        <v>5000000</v>
      </c>
      <c r="L107" s="225"/>
    </row>
    <row r="108" spans="1:12" ht="11.25" customHeight="1" x14ac:dyDescent="0.2">
      <c r="A108" s="226">
        <v>2022</v>
      </c>
      <c r="B108" s="226">
        <v>1</v>
      </c>
      <c r="C108" s="226">
        <v>23</v>
      </c>
      <c r="D108" s="232">
        <f t="shared" si="2"/>
        <v>44584</v>
      </c>
      <c r="E108" s="234">
        <f t="shared" si="3"/>
        <v>44584</v>
      </c>
      <c r="F108" s="479"/>
      <c r="G108" s="227" t="s">
        <v>1111</v>
      </c>
      <c r="H108" s="228" t="str" cm="1">
        <f t="array" ref="H108">IFERROR(INDEX(INVESTOR_LIST[INVESTOR NAME],MATCH(I108,INVESTOR_LIST[INVESTOR CODE],0),)," ")</f>
        <v>RAIHAN RASHID MAJUMDAR</v>
      </c>
      <c r="I108" s="299" t="s">
        <v>460</v>
      </c>
      <c r="J108" s="229" t="s">
        <v>14</v>
      </c>
      <c r="K108" s="230"/>
      <c r="L108" s="298">
        <v>5000000</v>
      </c>
    </row>
    <row r="109" spans="1:12" ht="11.25" customHeight="1" x14ac:dyDescent="0.2">
      <c r="A109" s="221">
        <v>2022</v>
      </c>
      <c r="B109" s="221">
        <v>1</v>
      </c>
      <c r="C109" s="221">
        <v>23</v>
      </c>
      <c r="D109" s="231">
        <f t="shared" si="2"/>
        <v>44584</v>
      </c>
      <c r="E109" s="233">
        <f t="shared" si="3"/>
        <v>44584</v>
      </c>
      <c r="F109" s="478" t="s">
        <v>802</v>
      </c>
      <c r="G109" s="222" t="s">
        <v>1111</v>
      </c>
      <c r="H109" s="223" t="str" cm="1">
        <f t="array" ref="H109">IFERROR(INDEX(INVESTOR_LIST[INVESTOR NAME],MATCH(I109,INVESTOR_LIST[INVESTOR CODE],0),)," ")</f>
        <v>MOHAMMAD SAMIUL ALAM</v>
      </c>
      <c r="I109" s="299" t="s">
        <v>639</v>
      </c>
      <c r="J109" s="224" t="s">
        <v>55</v>
      </c>
      <c r="K109" s="298">
        <v>500000</v>
      </c>
      <c r="L109" s="225"/>
    </row>
    <row r="110" spans="1:12" ht="11.25" customHeight="1" x14ac:dyDescent="0.2">
      <c r="A110" s="226">
        <v>2022</v>
      </c>
      <c r="B110" s="226">
        <v>1</v>
      </c>
      <c r="C110" s="226">
        <v>23</v>
      </c>
      <c r="D110" s="232">
        <f t="shared" si="2"/>
        <v>44584</v>
      </c>
      <c r="E110" s="234">
        <f t="shared" si="3"/>
        <v>44584</v>
      </c>
      <c r="F110" s="479"/>
      <c r="G110" s="227" t="s">
        <v>1111</v>
      </c>
      <c r="H110" s="228" t="str" cm="1">
        <f t="array" ref="H110">IFERROR(INDEX(INVESTOR_LIST[INVESTOR NAME],MATCH(I110,INVESTOR_LIST[INVESTOR CODE],0),)," ")</f>
        <v>MOHAMMAD SAMIUL ALAM</v>
      </c>
      <c r="I110" s="299" t="s">
        <v>639</v>
      </c>
      <c r="J110" s="229" t="s">
        <v>14</v>
      </c>
      <c r="K110" s="230"/>
      <c r="L110" s="298">
        <v>500000</v>
      </c>
    </row>
    <row r="111" spans="1:12" ht="11.25" customHeight="1" x14ac:dyDescent="0.2">
      <c r="A111" s="221">
        <v>2022</v>
      </c>
      <c r="B111" s="221">
        <v>1</v>
      </c>
      <c r="C111" s="221">
        <v>23</v>
      </c>
      <c r="D111" s="231">
        <f t="shared" si="2"/>
        <v>44584</v>
      </c>
      <c r="E111" s="233">
        <f t="shared" si="3"/>
        <v>44584</v>
      </c>
      <c r="F111" s="478" t="s">
        <v>802</v>
      </c>
      <c r="G111" s="222" t="s">
        <v>1111</v>
      </c>
      <c r="H111" s="223" t="str" cm="1">
        <f t="array" ref="H111">IFERROR(INDEX(INVESTOR_LIST[INVESTOR NAME],MATCH(I111,INVESTOR_LIST[INVESTOR CODE],0),)," ")</f>
        <v>MD KAMRUL ISLAM</v>
      </c>
      <c r="I111" s="299" t="s">
        <v>465</v>
      </c>
      <c r="J111" s="224" t="s">
        <v>55</v>
      </c>
      <c r="K111" s="298">
        <v>500000</v>
      </c>
      <c r="L111" s="225"/>
    </row>
    <row r="112" spans="1:12" ht="11.25" customHeight="1" x14ac:dyDescent="0.2">
      <c r="A112" s="226">
        <v>2022</v>
      </c>
      <c r="B112" s="226">
        <v>1</v>
      </c>
      <c r="C112" s="226">
        <v>23</v>
      </c>
      <c r="D112" s="232">
        <f t="shared" si="2"/>
        <v>44584</v>
      </c>
      <c r="E112" s="234">
        <f t="shared" si="3"/>
        <v>44584</v>
      </c>
      <c r="F112" s="479"/>
      <c r="G112" s="227" t="s">
        <v>1111</v>
      </c>
      <c r="H112" s="228" t="str" cm="1">
        <f t="array" ref="H112">IFERROR(INDEX(INVESTOR_LIST[INVESTOR NAME],MATCH(I112,INVESTOR_LIST[INVESTOR CODE],0),)," ")</f>
        <v>MD KAMRUL ISLAM</v>
      </c>
      <c r="I112" s="299" t="s">
        <v>465</v>
      </c>
      <c r="J112" s="229" t="s">
        <v>14</v>
      </c>
      <c r="K112" s="230"/>
      <c r="L112" s="298">
        <v>500000</v>
      </c>
    </row>
    <row r="113" spans="1:12" ht="11.25" customHeight="1" x14ac:dyDescent="0.2">
      <c r="A113" s="221">
        <v>2022</v>
      </c>
      <c r="B113" s="221">
        <v>1</v>
      </c>
      <c r="C113" s="221">
        <v>23</v>
      </c>
      <c r="D113" s="231">
        <f t="shared" si="2"/>
        <v>44584</v>
      </c>
      <c r="E113" s="233">
        <f t="shared" si="3"/>
        <v>44584</v>
      </c>
      <c r="F113" s="478" t="s">
        <v>802</v>
      </c>
      <c r="G113" s="222" t="s">
        <v>1111</v>
      </c>
      <c r="H113" s="223" t="str" cm="1">
        <f t="array" ref="H113">IFERROR(INDEX(INVESTOR_LIST[INVESTOR NAME],MATCH(I113,INVESTOR_LIST[INVESTOR CODE],0),)," ")</f>
        <v>MOHAMMED ALI XAHANGIR</v>
      </c>
      <c r="I113" s="299" t="s">
        <v>541</v>
      </c>
      <c r="J113" s="224" t="s">
        <v>55</v>
      </c>
      <c r="K113" s="298">
        <v>2400000</v>
      </c>
      <c r="L113" s="225"/>
    </row>
    <row r="114" spans="1:12" ht="11.25" customHeight="1" x14ac:dyDescent="0.2">
      <c r="A114" s="226">
        <v>2022</v>
      </c>
      <c r="B114" s="226">
        <v>1</v>
      </c>
      <c r="C114" s="226">
        <v>23</v>
      </c>
      <c r="D114" s="232">
        <f t="shared" si="2"/>
        <v>44584</v>
      </c>
      <c r="E114" s="234">
        <f t="shared" si="3"/>
        <v>44584</v>
      </c>
      <c r="F114" s="479"/>
      <c r="G114" s="227" t="s">
        <v>1111</v>
      </c>
      <c r="H114" s="228" t="str" cm="1">
        <f t="array" ref="H114">IFERROR(INDEX(INVESTOR_LIST[INVESTOR NAME],MATCH(I114,INVESTOR_LIST[INVESTOR CODE],0),)," ")</f>
        <v>MOHAMMED ALI XAHANGIR</v>
      </c>
      <c r="I114" s="299" t="s">
        <v>541</v>
      </c>
      <c r="J114" s="229" t="s">
        <v>14</v>
      </c>
      <c r="K114" s="230"/>
      <c r="L114" s="298">
        <v>2400000</v>
      </c>
    </row>
    <row r="115" spans="1:12" ht="11.25" customHeight="1" x14ac:dyDescent="0.2">
      <c r="A115" s="221">
        <v>2022</v>
      </c>
      <c r="B115" s="221">
        <v>1</v>
      </c>
      <c r="C115" s="221">
        <v>23</v>
      </c>
      <c r="D115" s="231">
        <f t="shared" si="2"/>
        <v>44584</v>
      </c>
      <c r="E115" s="233">
        <f t="shared" si="3"/>
        <v>44584</v>
      </c>
      <c r="F115" s="478" t="s">
        <v>802</v>
      </c>
      <c r="G115" s="222" t="s">
        <v>1111</v>
      </c>
      <c r="H115" s="223" t="str" cm="1">
        <f t="array" ref="H115">IFERROR(INDEX(INVESTOR_LIST[INVESTOR NAME],MATCH(I115,INVESTOR_LIST[INVESTOR CODE],0),)," ")</f>
        <v>MD MIZANUR RAHMAN</v>
      </c>
      <c r="I115" s="299" t="s">
        <v>431</v>
      </c>
      <c r="J115" s="224" t="s">
        <v>55</v>
      </c>
      <c r="K115" s="298">
        <v>499500</v>
      </c>
      <c r="L115" s="225"/>
    </row>
    <row r="116" spans="1:12" ht="11.25" customHeight="1" x14ac:dyDescent="0.2">
      <c r="A116" s="226">
        <v>2022</v>
      </c>
      <c r="B116" s="226">
        <v>1</v>
      </c>
      <c r="C116" s="226">
        <v>23</v>
      </c>
      <c r="D116" s="232">
        <f t="shared" si="2"/>
        <v>44584</v>
      </c>
      <c r="E116" s="234">
        <f t="shared" si="3"/>
        <v>44584</v>
      </c>
      <c r="F116" s="479"/>
      <c r="G116" s="227" t="s">
        <v>1111</v>
      </c>
      <c r="H116" s="228" t="str" cm="1">
        <f t="array" ref="H116">IFERROR(INDEX(INVESTOR_LIST[INVESTOR NAME],MATCH(I116,INVESTOR_LIST[INVESTOR CODE],0),)," ")</f>
        <v>MD MIZANUR RAHMAN</v>
      </c>
      <c r="I116" s="299" t="s">
        <v>431</v>
      </c>
      <c r="J116" s="229" t="s">
        <v>14</v>
      </c>
      <c r="K116" s="230"/>
      <c r="L116" s="298">
        <v>499500</v>
      </c>
    </row>
    <row r="117" spans="1:12" ht="11.25" customHeight="1" x14ac:dyDescent="0.2">
      <c r="A117" s="221">
        <v>2022</v>
      </c>
      <c r="B117" s="221">
        <v>1</v>
      </c>
      <c r="C117" s="221">
        <v>24</v>
      </c>
      <c r="D117" s="231">
        <f t="shared" si="2"/>
        <v>44585</v>
      </c>
      <c r="E117" s="233">
        <f t="shared" si="3"/>
        <v>44585</v>
      </c>
      <c r="F117" s="478" t="s">
        <v>1114</v>
      </c>
      <c r="G117" s="222" t="s">
        <v>1111</v>
      </c>
      <c r="H117" s="223" t="str" cm="1">
        <f t="array" ref="H117">IFERROR(INDEX(INVESTOR_LIST[INVESTOR NAME],MATCH(I117,INVESTOR_LIST[INVESTOR CODE],0),)," ")</f>
        <v xml:space="preserve"> </v>
      </c>
      <c r="I117" s="223"/>
      <c r="J117" s="224" t="s">
        <v>63</v>
      </c>
      <c r="K117" s="302">
        <v>310</v>
      </c>
      <c r="L117" s="225"/>
    </row>
    <row r="118" spans="1:12" ht="11.25" customHeight="1" x14ac:dyDescent="0.2">
      <c r="A118" s="226">
        <v>2022</v>
      </c>
      <c r="B118" s="226">
        <v>1</v>
      </c>
      <c r="C118" s="226">
        <v>24</v>
      </c>
      <c r="D118" s="232">
        <f t="shared" si="2"/>
        <v>44585</v>
      </c>
      <c r="E118" s="234">
        <f t="shared" si="3"/>
        <v>44585</v>
      </c>
      <c r="F118" s="479"/>
      <c r="G118" s="227" t="s">
        <v>1111</v>
      </c>
      <c r="H118" s="228" t="str" cm="1">
        <f t="array" ref="H118">IFERROR(INDEX(INVESTOR_LIST[INVESTOR NAME],MATCH(I118,INVESTOR_LIST[INVESTOR CODE],0),)," ")</f>
        <v xml:space="preserve"> </v>
      </c>
      <c r="I118" s="228"/>
      <c r="J118" s="229" t="s">
        <v>55</v>
      </c>
      <c r="K118" s="230"/>
      <c r="L118" s="302">
        <v>310</v>
      </c>
    </row>
    <row r="119" spans="1:12" ht="11.25" customHeight="1" x14ac:dyDescent="0.2">
      <c r="A119" s="221">
        <v>2022</v>
      </c>
      <c r="B119" s="221">
        <v>1</v>
      </c>
      <c r="C119" s="221">
        <v>24</v>
      </c>
      <c r="D119" s="231">
        <f t="shared" si="2"/>
        <v>44585</v>
      </c>
      <c r="E119" s="233">
        <f t="shared" si="3"/>
        <v>44585</v>
      </c>
      <c r="F119" s="478" t="s">
        <v>802</v>
      </c>
      <c r="G119" s="222" t="s">
        <v>1111</v>
      </c>
      <c r="H119" s="223" t="str" cm="1">
        <f t="array" ref="H119">IFERROR(INDEX(INVESTOR_LIST[INVESTOR NAME],MATCH(I119,INVESTOR_LIST[INVESTOR CODE],0),)," ")</f>
        <v>ABDUL HAI BHUYAN</v>
      </c>
      <c r="I119" s="299" t="s">
        <v>332</v>
      </c>
      <c r="J119" s="224" t="s">
        <v>55</v>
      </c>
      <c r="K119" s="298">
        <v>200000</v>
      </c>
      <c r="L119" s="225"/>
    </row>
    <row r="120" spans="1:12" ht="11.25" customHeight="1" x14ac:dyDescent="0.2">
      <c r="A120" s="226">
        <v>2022</v>
      </c>
      <c r="B120" s="226">
        <v>1</v>
      </c>
      <c r="C120" s="226">
        <v>24</v>
      </c>
      <c r="D120" s="232">
        <f t="shared" si="2"/>
        <v>44585</v>
      </c>
      <c r="E120" s="234">
        <f t="shared" si="3"/>
        <v>44585</v>
      </c>
      <c r="F120" s="479"/>
      <c r="G120" s="227" t="s">
        <v>1111</v>
      </c>
      <c r="H120" s="228" t="str" cm="1">
        <f t="array" ref="H120">IFERROR(INDEX(INVESTOR_LIST[INVESTOR NAME],MATCH(I120,INVESTOR_LIST[INVESTOR CODE],0),)," ")</f>
        <v>ABDUL HAI BHUYAN</v>
      </c>
      <c r="I120" s="299" t="s">
        <v>332</v>
      </c>
      <c r="J120" s="229" t="s">
        <v>14</v>
      </c>
      <c r="K120" s="230"/>
      <c r="L120" s="298">
        <v>200000</v>
      </c>
    </row>
    <row r="121" spans="1:12" ht="11.25" customHeight="1" x14ac:dyDescent="0.2">
      <c r="A121" s="221">
        <v>2022</v>
      </c>
      <c r="B121" s="221">
        <v>1</v>
      </c>
      <c r="C121" s="221">
        <v>24</v>
      </c>
      <c r="D121" s="231">
        <f t="shared" si="2"/>
        <v>44585</v>
      </c>
      <c r="E121" s="233">
        <f t="shared" si="3"/>
        <v>44585</v>
      </c>
      <c r="F121" s="478" t="s">
        <v>802</v>
      </c>
      <c r="G121" s="222" t="s">
        <v>1111</v>
      </c>
      <c r="H121" s="223" t="str" cm="1">
        <f t="array" ref="H121">IFERROR(INDEX(INVESTOR_LIST[INVESTOR NAME],MATCH(I121,INVESTOR_LIST[INVESTOR CODE],0),)," ")</f>
        <v>MD. ALAMGIR HOSSAIN</v>
      </c>
      <c r="I121" s="299" t="s">
        <v>467</v>
      </c>
      <c r="J121" s="224" t="s">
        <v>55</v>
      </c>
      <c r="K121" s="298">
        <v>1200000</v>
      </c>
      <c r="L121" s="225"/>
    </row>
    <row r="122" spans="1:12" ht="11.25" customHeight="1" x14ac:dyDescent="0.2">
      <c r="A122" s="226">
        <v>2022</v>
      </c>
      <c r="B122" s="226">
        <v>1</v>
      </c>
      <c r="C122" s="226">
        <v>24</v>
      </c>
      <c r="D122" s="232">
        <f t="shared" si="2"/>
        <v>44585</v>
      </c>
      <c r="E122" s="234">
        <f t="shared" si="3"/>
        <v>44585</v>
      </c>
      <c r="F122" s="479"/>
      <c r="G122" s="227" t="s">
        <v>1111</v>
      </c>
      <c r="H122" s="228" t="str" cm="1">
        <f t="array" ref="H122">IFERROR(INDEX(INVESTOR_LIST[INVESTOR NAME],MATCH(I122,INVESTOR_LIST[INVESTOR CODE],0),)," ")</f>
        <v>MD. ALAMGIR HOSSAIN</v>
      </c>
      <c r="I122" s="299" t="s">
        <v>467</v>
      </c>
      <c r="J122" s="229" t="s">
        <v>14</v>
      </c>
      <c r="K122" s="230"/>
      <c r="L122" s="298">
        <v>1200000</v>
      </c>
    </row>
    <row r="123" spans="1:12" ht="11.25" customHeight="1" x14ac:dyDescent="0.2">
      <c r="A123" s="221">
        <v>2022</v>
      </c>
      <c r="B123" s="221">
        <v>1</v>
      </c>
      <c r="C123" s="221">
        <v>24</v>
      </c>
      <c r="D123" s="231">
        <f t="shared" si="2"/>
        <v>44585</v>
      </c>
      <c r="E123" s="233">
        <f t="shared" si="3"/>
        <v>44585</v>
      </c>
      <c r="F123" s="478" t="s">
        <v>802</v>
      </c>
      <c r="G123" s="222" t="s">
        <v>1111</v>
      </c>
      <c r="H123" s="223" t="str" cm="1">
        <f t="array" ref="H123">IFERROR(INDEX(INVESTOR_LIST[INVESTOR NAME],MATCH(I123,INVESTOR_LIST[INVESTOR CODE],0),)," ")</f>
        <v>MD. ALAMGIR HOSSAIN</v>
      </c>
      <c r="I123" s="299" t="s">
        <v>467</v>
      </c>
      <c r="J123" s="224" t="s">
        <v>55</v>
      </c>
      <c r="K123" s="298">
        <v>800000</v>
      </c>
      <c r="L123" s="225"/>
    </row>
    <row r="124" spans="1:12" ht="11.25" customHeight="1" x14ac:dyDescent="0.2">
      <c r="A124" s="226">
        <v>2022</v>
      </c>
      <c r="B124" s="226">
        <v>1</v>
      </c>
      <c r="C124" s="226">
        <v>24</v>
      </c>
      <c r="D124" s="232">
        <f t="shared" si="2"/>
        <v>44585</v>
      </c>
      <c r="E124" s="234">
        <f t="shared" si="3"/>
        <v>44585</v>
      </c>
      <c r="F124" s="479"/>
      <c r="G124" s="227" t="s">
        <v>1111</v>
      </c>
      <c r="H124" s="228" t="str" cm="1">
        <f t="array" ref="H124">IFERROR(INDEX(INVESTOR_LIST[INVESTOR NAME],MATCH(I124,INVESTOR_LIST[INVESTOR CODE],0),)," ")</f>
        <v>MD. ALAMGIR HOSSAIN</v>
      </c>
      <c r="I124" s="299" t="s">
        <v>467</v>
      </c>
      <c r="J124" s="229" t="s">
        <v>14</v>
      </c>
      <c r="K124" s="230"/>
      <c r="L124" s="298">
        <v>800000</v>
      </c>
    </row>
    <row r="125" spans="1:12" ht="11.25" customHeight="1" x14ac:dyDescent="0.2">
      <c r="A125" s="221">
        <v>2022</v>
      </c>
      <c r="B125" s="221">
        <v>1</v>
      </c>
      <c r="C125" s="221">
        <v>24</v>
      </c>
      <c r="D125" s="231">
        <f t="shared" si="2"/>
        <v>44585</v>
      </c>
      <c r="E125" s="233">
        <f t="shared" si="3"/>
        <v>44585</v>
      </c>
      <c r="F125" s="478" t="s">
        <v>802</v>
      </c>
      <c r="G125" s="222" t="s">
        <v>1111</v>
      </c>
      <c r="H125" s="223" t="str" cm="1">
        <f t="array" ref="H125">IFERROR(INDEX(INVESTOR_LIST[INVESTOR NAME],MATCH(I125,INVESTOR_LIST[INVESTOR CODE],0),)," ")</f>
        <v>M A QUAYOOM</v>
      </c>
      <c r="I125" s="299" t="s">
        <v>361</v>
      </c>
      <c r="J125" s="224" t="s">
        <v>55</v>
      </c>
      <c r="K125" s="298">
        <v>600000</v>
      </c>
      <c r="L125" s="225"/>
    </row>
    <row r="126" spans="1:12" ht="11.25" customHeight="1" x14ac:dyDescent="0.2">
      <c r="A126" s="226">
        <v>2022</v>
      </c>
      <c r="B126" s="226">
        <v>1</v>
      </c>
      <c r="C126" s="226">
        <v>24</v>
      </c>
      <c r="D126" s="232">
        <f t="shared" si="2"/>
        <v>44585</v>
      </c>
      <c r="E126" s="234">
        <f t="shared" si="3"/>
        <v>44585</v>
      </c>
      <c r="F126" s="479"/>
      <c r="G126" s="227" t="s">
        <v>1111</v>
      </c>
      <c r="H126" s="228" t="str" cm="1">
        <f t="array" ref="H126">IFERROR(INDEX(INVESTOR_LIST[INVESTOR NAME],MATCH(I126,INVESTOR_LIST[INVESTOR CODE],0),)," ")</f>
        <v>M A QUAYOOM</v>
      </c>
      <c r="I126" s="299" t="s">
        <v>361</v>
      </c>
      <c r="J126" s="229" t="s">
        <v>14</v>
      </c>
      <c r="K126" s="230"/>
      <c r="L126" s="298">
        <v>600000</v>
      </c>
    </row>
    <row r="127" spans="1:12" ht="11.25" customHeight="1" x14ac:dyDescent="0.2">
      <c r="A127" s="221">
        <v>2022</v>
      </c>
      <c r="B127" s="221">
        <v>1</v>
      </c>
      <c r="C127" s="221">
        <v>24</v>
      </c>
      <c r="D127" s="231">
        <f t="shared" si="2"/>
        <v>44585</v>
      </c>
      <c r="E127" s="233">
        <f t="shared" si="3"/>
        <v>44585</v>
      </c>
      <c r="F127" s="478" t="s">
        <v>802</v>
      </c>
      <c r="G127" s="222" t="s">
        <v>1111</v>
      </c>
      <c r="H127" s="223" t="str" cm="1">
        <f t="array" ref="H127">IFERROR(INDEX(INVESTOR_LIST[INVESTOR NAME],MATCH(I127,INVESTOR_LIST[INVESTOR CODE],0),)," ")</f>
        <v>KANKA SAHA</v>
      </c>
      <c r="I127" s="299" t="s">
        <v>377</v>
      </c>
      <c r="J127" s="224" t="s">
        <v>55</v>
      </c>
      <c r="K127" s="298">
        <v>500000</v>
      </c>
      <c r="L127" s="225"/>
    </row>
    <row r="128" spans="1:12" ht="11.25" customHeight="1" x14ac:dyDescent="0.2">
      <c r="A128" s="226">
        <v>2022</v>
      </c>
      <c r="B128" s="226">
        <v>1</v>
      </c>
      <c r="C128" s="226">
        <v>24</v>
      </c>
      <c r="D128" s="232">
        <f t="shared" si="2"/>
        <v>44585</v>
      </c>
      <c r="E128" s="234">
        <f t="shared" si="3"/>
        <v>44585</v>
      </c>
      <c r="F128" s="479"/>
      <c r="G128" s="227" t="s">
        <v>1111</v>
      </c>
      <c r="H128" s="228" t="str" cm="1">
        <f t="array" ref="H128">IFERROR(INDEX(INVESTOR_LIST[INVESTOR NAME],MATCH(I128,INVESTOR_LIST[INVESTOR CODE],0),)," ")</f>
        <v>KANKA SAHA</v>
      </c>
      <c r="I128" s="299" t="s">
        <v>377</v>
      </c>
      <c r="J128" s="229" t="s">
        <v>14</v>
      </c>
      <c r="K128" s="230"/>
      <c r="L128" s="298">
        <v>500000</v>
      </c>
    </row>
    <row r="129" spans="1:12" ht="11.25" customHeight="1" x14ac:dyDescent="0.2">
      <c r="A129" s="221">
        <v>2022</v>
      </c>
      <c r="B129" s="221">
        <v>1</v>
      </c>
      <c r="C129" s="221">
        <v>24</v>
      </c>
      <c r="D129" s="231">
        <f t="shared" si="2"/>
        <v>44585</v>
      </c>
      <c r="E129" s="233">
        <f t="shared" si="3"/>
        <v>44585</v>
      </c>
      <c r="F129" s="478" t="s">
        <v>802</v>
      </c>
      <c r="G129" s="222" t="s">
        <v>1111</v>
      </c>
      <c r="H129" s="223" t="str" cm="1">
        <f t="array" ref="H129">IFERROR(INDEX(INVESTOR_LIST[INVESTOR NAME],MATCH(I129,INVESTOR_LIST[INVESTOR CODE],0),)," ")</f>
        <v>KANKA SAHA</v>
      </c>
      <c r="I129" s="299" t="s">
        <v>377</v>
      </c>
      <c r="J129" s="224" t="s">
        <v>55</v>
      </c>
      <c r="K129" s="298">
        <v>500000</v>
      </c>
      <c r="L129" s="225"/>
    </row>
    <row r="130" spans="1:12" ht="11.25" customHeight="1" x14ac:dyDescent="0.2">
      <c r="A130" s="226">
        <v>2022</v>
      </c>
      <c r="B130" s="226">
        <v>1</v>
      </c>
      <c r="C130" s="226">
        <v>24</v>
      </c>
      <c r="D130" s="232">
        <f t="shared" si="2"/>
        <v>44585</v>
      </c>
      <c r="E130" s="234">
        <f t="shared" si="3"/>
        <v>44585</v>
      </c>
      <c r="F130" s="479"/>
      <c r="G130" s="227" t="s">
        <v>1111</v>
      </c>
      <c r="H130" s="228" t="str" cm="1">
        <f t="array" ref="H130">IFERROR(INDEX(INVESTOR_LIST[INVESTOR NAME],MATCH(I130,INVESTOR_LIST[INVESTOR CODE],0),)," ")</f>
        <v>KANKA SAHA</v>
      </c>
      <c r="I130" s="299" t="s">
        <v>377</v>
      </c>
      <c r="J130" s="229" t="s">
        <v>14</v>
      </c>
      <c r="K130" s="230"/>
      <c r="L130" s="298">
        <v>500000</v>
      </c>
    </row>
    <row r="131" spans="1:12" ht="11.25" customHeight="1" x14ac:dyDescent="0.2">
      <c r="A131" s="221">
        <v>2022</v>
      </c>
      <c r="B131" s="221">
        <v>1</v>
      </c>
      <c r="C131" s="221">
        <v>24</v>
      </c>
      <c r="D131" s="231">
        <f t="shared" si="2"/>
        <v>44585</v>
      </c>
      <c r="E131" s="233">
        <f t="shared" si="3"/>
        <v>44585</v>
      </c>
      <c r="F131" s="478" t="s">
        <v>802</v>
      </c>
      <c r="G131" s="222" t="s">
        <v>1111</v>
      </c>
      <c r="H131" s="223" t="str" cm="1">
        <f t="array" ref="H131">IFERROR(INDEX(INVESTOR_LIST[INVESTOR NAME],MATCH(I131,INVESTOR_LIST[INVESTOR CODE],0),)," ")</f>
        <v>SAILENDRA SAHA</v>
      </c>
      <c r="I131" s="299" t="s">
        <v>826</v>
      </c>
      <c r="J131" s="224" t="s">
        <v>55</v>
      </c>
      <c r="K131" s="298">
        <v>400000</v>
      </c>
      <c r="L131" s="225"/>
    </row>
    <row r="132" spans="1:12" ht="11.25" customHeight="1" x14ac:dyDescent="0.2">
      <c r="A132" s="226">
        <v>2022</v>
      </c>
      <c r="B132" s="226">
        <v>1</v>
      </c>
      <c r="C132" s="226">
        <v>24</v>
      </c>
      <c r="D132" s="232">
        <f t="shared" si="2"/>
        <v>44585</v>
      </c>
      <c r="E132" s="234">
        <f t="shared" si="3"/>
        <v>44585</v>
      </c>
      <c r="F132" s="479"/>
      <c r="G132" s="227" t="s">
        <v>1111</v>
      </c>
      <c r="H132" s="228" t="str" cm="1">
        <f t="array" ref="H132">IFERROR(INDEX(INVESTOR_LIST[INVESTOR NAME],MATCH(I132,INVESTOR_LIST[INVESTOR CODE],0),)," ")</f>
        <v>SAILENDRA SAHA</v>
      </c>
      <c r="I132" s="299" t="s">
        <v>826</v>
      </c>
      <c r="J132" s="229" t="s">
        <v>14</v>
      </c>
      <c r="K132" s="230"/>
      <c r="L132" s="298">
        <v>400000</v>
      </c>
    </row>
    <row r="133" spans="1:12" ht="11.25" customHeight="1" x14ac:dyDescent="0.2">
      <c r="A133" s="221">
        <v>2022</v>
      </c>
      <c r="B133" s="221">
        <v>1</v>
      </c>
      <c r="C133" s="221">
        <v>25</v>
      </c>
      <c r="D133" s="231">
        <f t="shared" si="2"/>
        <v>44586</v>
      </c>
      <c r="E133" s="233">
        <f t="shared" si="3"/>
        <v>44586</v>
      </c>
      <c r="F133" s="478" t="s">
        <v>802</v>
      </c>
      <c r="G133" s="222" t="s">
        <v>1111</v>
      </c>
      <c r="H133" s="223" t="str" cm="1">
        <f t="array" ref="H133">IFERROR(INDEX(INVESTOR_LIST[INVESTOR NAME],MATCH(I133,INVESTOR_LIST[INVESTOR CODE],0),)," ")</f>
        <v>SHAHED UDDIN MOHAMMED PARVEZ</v>
      </c>
      <c r="I133" s="299" t="s">
        <v>840</v>
      </c>
      <c r="J133" s="224" t="s">
        <v>55</v>
      </c>
      <c r="K133" s="298">
        <v>400000</v>
      </c>
      <c r="L133" s="225"/>
    </row>
    <row r="134" spans="1:12" ht="11.25" customHeight="1" x14ac:dyDescent="0.2">
      <c r="A134" s="226">
        <v>2022</v>
      </c>
      <c r="B134" s="226">
        <v>1</v>
      </c>
      <c r="C134" s="226">
        <v>25</v>
      </c>
      <c r="D134" s="232">
        <f t="shared" si="2"/>
        <v>44586</v>
      </c>
      <c r="E134" s="234">
        <f t="shared" si="3"/>
        <v>44586</v>
      </c>
      <c r="F134" s="479"/>
      <c r="G134" s="227" t="s">
        <v>1111</v>
      </c>
      <c r="H134" s="228" t="str" cm="1">
        <f t="array" ref="H134">IFERROR(INDEX(INVESTOR_LIST[INVESTOR NAME],MATCH(I134,INVESTOR_LIST[INVESTOR CODE],0),)," ")</f>
        <v>SHAHED UDDIN MOHAMMED PARVEZ</v>
      </c>
      <c r="I134" s="299" t="s">
        <v>840</v>
      </c>
      <c r="J134" s="229" t="s">
        <v>14</v>
      </c>
      <c r="K134" s="230"/>
      <c r="L134" s="298">
        <v>400000</v>
      </c>
    </row>
    <row r="135" spans="1:12" ht="11.25" customHeight="1" x14ac:dyDescent="0.2">
      <c r="A135" s="221">
        <v>2022</v>
      </c>
      <c r="B135" s="221">
        <v>1</v>
      </c>
      <c r="C135" s="221">
        <v>25</v>
      </c>
      <c r="D135" s="231">
        <f t="shared" si="2"/>
        <v>44586</v>
      </c>
      <c r="E135" s="233">
        <f t="shared" si="3"/>
        <v>44586</v>
      </c>
      <c r="F135" s="478" t="s">
        <v>802</v>
      </c>
      <c r="G135" s="222" t="s">
        <v>1111</v>
      </c>
      <c r="H135" s="223" t="str" cm="1">
        <f t="array" ref="H135">IFERROR(INDEX(INVESTOR_LIST[INVESTOR NAME],MATCH(I135,INVESTOR_LIST[INVESTOR CODE],0),)," ")</f>
        <v>SHAHED UDDIN MOHAMMED PARVEZ</v>
      </c>
      <c r="I135" s="299" t="s">
        <v>840</v>
      </c>
      <c r="J135" s="224" t="s">
        <v>55</v>
      </c>
      <c r="K135" s="298">
        <v>400000</v>
      </c>
      <c r="L135" s="225"/>
    </row>
    <row r="136" spans="1:12" ht="11.25" customHeight="1" x14ac:dyDescent="0.2">
      <c r="A136" s="226">
        <v>2022</v>
      </c>
      <c r="B136" s="226">
        <v>1</v>
      </c>
      <c r="C136" s="226">
        <v>25</v>
      </c>
      <c r="D136" s="232">
        <f t="shared" si="2"/>
        <v>44586</v>
      </c>
      <c r="E136" s="234">
        <f t="shared" si="3"/>
        <v>44586</v>
      </c>
      <c r="F136" s="479"/>
      <c r="G136" s="227" t="s">
        <v>1111</v>
      </c>
      <c r="H136" s="228" t="str" cm="1">
        <f t="array" ref="H136">IFERROR(INDEX(INVESTOR_LIST[INVESTOR NAME],MATCH(I136,INVESTOR_LIST[INVESTOR CODE],0),)," ")</f>
        <v>SHAHED UDDIN MOHAMMED PARVEZ</v>
      </c>
      <c r="I136" s="299" t="s">
        <v>840</v>
      </c>
      <c r="J136" s="229" t="s">
        <v>14</v>
      </c>
      <c r="K136" s="230"/>
      <c r="L136" s="298">
        <v>400000</v>
      </c>
    </row>
    <row r="137" spans="1:12" ht="11.25" customHeight="1" x14ac:dyDescent="0.2">
      <c r="A137" s="221">
        <v>2022</v>
      </c>
      <c r="B137" s="221">
        <v>1</v>
      </c>
      <c r="C137" s="221">
        <v>25</v>
      </c>
      <c r="D137" s="231">
        <f t="shared" ref="D137:D200" si="4">DATE(A137,B137,C137)</f>
        <v>44586</v>
      </c>
      <c r="E137" s="233">
        <f t="shared" si="3"/>
        <v>44586</v>
      </c>
      <c r="F137" s="478" t="s">
        <v>802</v>
      </c>
      <c r="G137" s="222" t="s">
        <v>1111</v>
      </c>
      <c r="H137" s="223" t="str" cm="1">
        <f t="array" ref="H137">IFERROR(INDEX(INVESTOR_LIST[INVESTOR NAME],MATCH(I137,INVESTOR_LIST[INVESTOR CODE],0),)," ")</f>
        <v>MD. JAHIRUL ISLAM</v>
      </c>
      <c r="I137" s="299" t="s">
        <v>812</v>
      </c>
      <c r="J137" s="224" t="s">
        <v>55</v>
      </c>
      <c r="K137" s="298">
        <v>50000</v>
      </c>
      <c r="L137" s="225"/>
    </row>
    <row r="138" spans="1:12" ht="11.25" customHeight="1" x14ac:dyDescent="0.2">
      <c r="A138" s="226">
        <v>2022</v>
      </c>
      <c r="B138" s="226">
        <v>1</v>
      </c>
      <c r="C138" s="226">
        <v>25</v>
      </c>
      <c r="D138" s="232">
        <f t="shared" si="4"/>
        <v>44586</v>
      </c>
      <c r="E138" s="234">
        <f t="shared" si="3"/>
        <v>44586</v>
      </c>
      <c r="F138" s="479"/>
      <c r="G138" s="227" t="s">
        <v>1111</v>
      </c>
      <c r="H138" s="228" t="str" cm="1">
        <f t="array" ref="H138">IFERROR(INDEX(INVESTOR_LIST[INVESTOR NAME],MATCH(I138,INVESTOR_LIST[INVESTOR CODE],0),)," ")</f>
        <v>MD. JAHIRUL ISLAM</v>
      </c>
      <c r="I138" s="299" t="s">
        <v>812</v>
      </c>
      <c r="J138" s="229" t="s">
        <v>14</v>
      </c>
      <c r="K138" s="230"/>
      <c r="L138" s="298">
        <v>50000</v>
      </c>
    </row>
    <row r="139" spans="1:12" ht="11.25" customHeight="1" x14ac:dyDescent="0.2">
      <c r="A139" s="221">
        <v>2022</v>
      </c>
      <c r="B139" s="221">
        <v>1</v>
      </c>
      <c r="C139" s="221">
        <v>25</v>
      </c>
      <c r="D139" s="231">
        <f t="shared" si="4"/>
        <v>44586</v>
      </c>
      <c r="E139" s="233">
        <f t="shared" si="3"/>
        <v>44586</v>
      </c>
      <c r="F139" s="478" t="s">
        <v>802</v>
      </c>
      <c r="G139" s="222" t="s">
        <v>1111</v>
      </c>
      <c r="H139" s="223" t="str" cm="1">
        <f t="array" ref="H139">IFERROR(INDEX(INVESTOR_LIST[INVESTOR NAME],MATCH(I139,INVESTOR_LIST[INVESTOR CODE],0),)," ")</f>
        <v>MD MIZANUR RAHMAN</v>
      </c>
      <c r="I139" s="299" t="s">
        <v>431</v>
      </c>
      <c r="J139" s="224" t="s">
        <v>55</v>
      </c>
      <c r="K139" s="298">
        <v>200000</v>
      </c>
      <c r="L139" s="225"/>
    </row>
    <row r="140" spans="1:12" ht="11.25" customHeight="1" x14ac:dyDescent="0.2">
      <c r="A140" s="226">
        <v>2022</v>
      </c>
      <c r="B140" s="226">
        <v>1</v>
      </c>
      <c r="C140" s="226">
        <v>25</v>
      </c>
      <c r="D140" s="232">
        <f t="shared" si="4"/>
        <v>44586</v>
      </c>
      <c r="E140" s="234">
        <f t="shared" si="3"/>
        <v>44586</v>
      </c>
      <c r="F140" s="479"/>
      <c r="G140" s="227" t="s">
        <v>1111</v>
      </c>
      <c r="H140" s="228" t="str" cm="1">
        <f t="array" ref="H140">IFERROR(INDEX(INVESTOR_LIST[INVESTOR NAME],MATCH(I140,INVESTOR_LIST[INVESTOR CODE],0),)," ")</f>
        <v>MD MIZANUR RAHMAN</v>
      </c>
      <c r="I140" s="299" t="s">
        <v>431</v>
      </c>
      <c r="J140" s="229" t="s">
        <v>14</v>
      </c>
      <c r="K140" s="230"/>
      <c r="L140" s="298">
        <v>200000</v>
      </c>
    </row>
    <row r="141" spans="1:12" ht="11.25" customHeight="1" x14ac:dyDescent="0.2">
      <c r="A141" s="221">
        <v>2022</v>
      </c>
      <c r="B141" s="221">
        <v>1</v>
      </c>
      <c r="C141" s="221">
        <v>25</v>
      </c>
      <c r="D141" s="231">
        <f t="shared" si="4"/>
        <v>44586</v>
      </c>
      <c r="E141" s="233">
        <f t="shared" si="3"/>
        <v>44586</v>
      </c>
      <c r="F141" s="478" t="s">
        <v>802</v>
      </c>
      <c r="G141" s="222" t="s">
        <v>1111</v>
      </c>
      <c r="H141" s="223" t="str" cm="1">
        <f t="array" ref="H141">IFERROR(INDEX(INVESTOR_LIST[INVESTOR NAME],MATCH(I141,INVESTOR_LIST[INVESTOR CODE],0),)," ")</f>
        <v>EKUSH WEALTH MANAGEMENT LIMITED</v>
      </c>
      <c r="I141" s="299" t="s">
        <v>320</v>
      </c>
      <c r="J141" s="224" t="s">
        <v>55</v>
      </c>
      <c r="K141" s="298">
        <v>15000000</v>
      </c>
      <c r="L141" s="225"/>
    </row>
    <row r="142" spans="1:12" ht="11.25" customHeight="1" x14ac:dyDescent="0.2">
      <c r="A142" s="226">
        <v>2022</v>
      </c>
      <c r="B142" s="226">
        <v>1</v>
      </c>
      <c r="C142" s="226">
        <v>25</v>
      </c>
      <c r="D142" s="232">
        <f t="shared" si="4"/>
        <v>44586</v>
      </c>
      <c r="E142" s="234">
        <f t="shared" si="3"/>
        <v>44586</v>
      </c>
      <c r="F142" s="479"/>
      <c r="G142" s="227" t="s">
        <v>1111</v>
      </c>
      <c r="H142" s="228" t="str" cm="1">
        <f t="array" ref="H142">IFERROR(INDEX(INVESTOR_LIST[INVESTOR NAME],MATCH(I142,INVESTOR_LIST[INVESTOR CODE],0),)," ")</f>
        <v>EKUSH WEALTH MANAGEMENT LIMITED</v>
      </c>
      <c r="I142" s="299" t="s">
        <v>320</v>
      </c>
      <c r="J142" s="229" t="s">
        <v>14</v>
      </c>
      <c r="K142" s="230"/>
      <c r="L142" s="298">
        <v>15000000</v>
      </c>
    </row>
    <row r="143" spans="1:12" ht="11.25" customHeight="1" x14ac:dyDescent="0.2">
      <c r="A143" s="221">
        <v>2022</v>
      </c>
      <c r="B143" s="221">
        <v>1</v>
      </c>
      <c r="C143" s="221">
        <v>25</v>
      </c>
      <c r="D143" s="231">
        <f t="shared" si="4"/>
        <v>44586</v>
      </c>
      <c r="E143" s="233">
        <f t="shared" si="3"/>
        <v>44586</v>
      </c>
      <c r="F143" s="478" t="s">
        <v>802</v>
      </c>
      <c r="G143" s="222" t="s">
        <v>1111</v>
      </c>
      <c r="H143" s="223" t="str" cm="1">
        <f t="array" ref="H143">IFERROR(INDEX(INVESTOR_LIST[INVESTOR NAME],MATCH(I143,INVESTOR_LIST[INVESTOR CODE],0),)," ")</f>
        <v>RAFIQUL ANOWAR</v>
      </c>
      <c r="I143" s="299" t="s">
        <v>442</v>
      </c>
      <c r="J143" s="224" t="s">
        <v>55</v>
      </c>
      <c r="K143" s="298">
        <v>10000000</v>
      </c>
      <c r="L143" s="225"/>
    </row>
    <row r="144" spans="1:12" ht="11.25" customHeight="1" x14ac:dyDescent="0.2">
      <c r="A144" s="226">
        <v>2022</v>
      </c>
      <c r="B144" s="226">
        <v>1</v>
      </c>
      <c r="C144" s="226">
        <v>25</v>
      </c>
      <c r="D144" s="232">
        <f t="shared" si="4"/>
        <v>44586</v>
      </c>
      <c r="E144" s="234">
        <f t="shared" si="3"/>
        <v>44586</v>
      </c>
      <c r="F144" s="479"/>
      <c r="G144" s="227" t="s">
        <v>1111</v>
      </c>
      <c r="H144" s="228" t="str" cm="1">
        <f t="array" ref="H144">IFERROR(INDEX(INVESTOR_LIST[INVESTOR NAME],MATCH(I144,INVESTOR_LIST[INVESTOR CODE],0),)," ")</f>
        <v>RAFIQUL ANOWAR</v>
      </c>
      <c r="I144" s="299" t="s">
        <v>442</v>
      </c>
      <c r="J144" s="229" t="s">
        <v>14</v>
      </c>
      <c r="K144" s="230"/>
      <c r="L144" s="298">
        <v>10000000</v>
      </c>
    </row>
    <row r="145" spans="1:12" ht="11.25" customHeight="1" x14ac:dyDescent="0.2">
      <c r="A145" s="221">
        <v>2022</v>
      </c>
      <c r="B145" s="221">
        <v>1</v>
      </c>
      <c r="C145" s="221">
        <v>25</v>
      </c>
      <c r="D145" s="231">
        <f t="shared" si="4"/>
        <v>44586</v>
      </c>
      <c r="E145" s="233">
        <f t="shared" si="3"/>
        <v>44586</v>
      </c>
      <c r="F145" s="478" t="s">
        <v>802</v>
      </c>
      <c r="G145" s="222" t="s">
        <v>1111</v>
      </c>
      <c r="H145" s="223" t="str" cm="1">
        <f t="array" ref="H145">IFERROR(INDEX(INVESTOR_LIST[INVESTOR NAME],MATCH(I145,INVESTOR_LIST[INVESTOR CODE],0),)," ")</f>
        <v>SHABBIR KHAN</v>
      </c>
      <c r="I145" s="299" t="s">
        <v>944</v>
      </c>
      <c r="J145" s="224" t="s">
        <v>55</v>
      </c>
      <c r="K145" s="298">
        <v>1000000</v>
      </c>
      <c r="L145" s="225"/>
    </row>
    <row r="146" spans="1:12" ht="11.25" customHeight="1" x14ac:dyDescent="0.2">
      <c r="A146" s="226">
        <v>2022</v>
      </c>
      <c r="B146" s="226">
        <v>1</v>
      </c>
      <c r="C146" s="226">
        <v>25</v>
      </c>
      <c r="D146" s="232">
        <f t="shared" si="4"/>
        <v>44586</v>
      </c>
      <c r="E146" s="234">
        <f t="shared" si="3"/>
        <v>44586</v>
      </c>
      <c r="F146" s="479"/>
      <c r="G146" s="227" t="s">
        <v>1111</v>
      </c>
      <c r="H146" s="228" t="str" cm="1">
        <f t="array" ref="H146">IFERROR(INDEX(INVESTOR_LIST[INVESTOR NAME],MATCH(I146,INVESTOR_LIST[INVESTOR CODE],0),)," ")</f>
        <v>SHABBIR KHAN</v>
      </c>
      <c r="I146" s="299" t="s">
        <v>944</v>
      </c>
      <c r="J146" s="229" t="s">
        <v>14</v>
      </c>
      <c r="K146" s="230"/>
      <c r="L146" s="298">
        <v>1000000</v>
      </c>
    </row>
    <row r="147" spans="1:12" ht="11.25" customHeight="1" x14ac:dyDescent="0.2">
      <c r="A147" s="221">
        <v>2022</v>
      </c>
      <c r="B147" s="221">
        <v>1</v>
      </c>
      <c r="C147" s="221">
        <v>25</v>
      </c>
      <c r="D147" s="231">
        <f t="shared" si="4"/>
        <v>44586</v>
      </c>
      <c r="E147" s="233">
        <f t="shared" si="3"/>
        <v>44586</v>
      </c>
      <c r="F147" s="478" t="s">
        <v>802</v>
      </c>
      <c r="G147" s="222" t="s">
        <v>1111</v>
      </c>
      <c r="H147" s="223" t="str" cm="1">
        <f t="array" ref="H147">IFERROR(INDEX(INVESTOR_LIST[INVESTOR NAME],MATCH(I147,INVESTOR_LIST[INVESTOR CODE],0),)," ")</f>
        <v>AMARSTOCK LTD. EMP. PF.</v>
      </c>
      <c r="I147" s="299" t="s">
        <v>942</v>
      </c>
      <c r="J147" s="224" t="s">
        <v>55</v>
      </c>
      <c r="K147" s="298">
        <v>1000000</v>
      </c>
      <c r="L147" s="225"/>
    </row>
    <row r="148" spans="1:12" ht="11.25" customHeight="1" x14ac:dyDescent="0.2">
      <c r="A148" s="226">
        <v>2022</v>
      </c>
      <c r="B148" s="226">
        <v>1</v>
      </c>
      <c r="C148" s="226">
        <v>25</v>
      </c>
      <c r="D148" s="232">
        <f t="shared" si="4"/>
        <v>44586</v>
      </c>
      <c r="E148" s="234">
        <f t="shared" si="3"/>
        <v>44586</v>
      </c>
      <c r="F148" s="479"/>
      <c r="G148" s="227" t="s">
        <v>1111</v>
      </c>
      <c r="H148" s="228" t="str" cm="1">
        <f t="array" ref="H148">IFERROR(INDEX(INVESTOR_LIST[INVESTOR NAME],MATCH(I148,INVESTOR_LIST[INVESTOR CODE],0),)," ")</f>
        <v>AMARSTOCK LTD. EMP. PF.</v>
      </c>
      <c r="I148" s="299" t="s">
        <v>942</v>
      </c>
      <c r="J148" s="229" t="s">
        <v>14</v>
      </c>
      <c r="K148" s="230"/>
      <c r="L148" s="298">
        <v>1000000</v>
      </c>
    </row>
    <row r="149" spans="1:12" ht="11.25" customHeight="1" x14ac:dyDescent="0.2">
      <c r="A149" s="221">
        <v>2022</v>
      </c>
      <c r="B149" s="221">
        <v>1</v>
      </c>
      <c r="C149" s="221">
        <v>25</v>
      </c>
      <c r="D149" s="231">
        <f t="shared" si="4"/>
        <v>44586</v>
      </c>
      <c r="E149" s="233">
        <f t="shared" si="3"/>
        <v>44586</v>
      </c>
      <c r="F149" s="478" t="s">
        <v>802</v>
      </c>
      <c r="G149" s="222" t="s">
        <v>1111</v>
      </c>
      <c r="H149" s="223" t="str" cm="1">
        <f t="array" ref="H149">IFERROR(INDEX(INVESTOR_LIST[INVESTOR NAME],MATCH(I149,INVESTOR_LIST[INVESTOR CODE],0),)," ")</f>
        <v>SAILA SATTER</v>
      </c>
      <c r="I149" s="299" t="s">
        <v>449</v>
      </c>
      <c r="J149" s="224" t="s">
        <v>55</v>
      </c>
      <c r="K149" s="298">
        <v>500000</v>
      </c>
      <c r="L149" s="225"/>
    </row>
    <row r="150" spans="1:12" ht="11.25" customHeight="1" x14ac:dyDescent="0.2">
      <c r="A150" s="226">
        <v>2022</v>
      </c>
      <c r="B150" s="226">
        <v>1</v>
      </c>
      <c r="C150" s="226">
        <v>25</v>
      </c>
      <c r="D150" s="232">
        <f t="shared" si="4"/>
        <v>44586</v>
      </c>
      <c r="E150" s="234">
        <f t="shared" si="3"/>
        <v>44586</v>
      </c>
      <c r="F150" s="479"/>
      <c r="G150" s="227" t="s">
        <v>1111</v>
      </c>
      <c r="H150" s="228" t="str" cm="1">
        <f t="array" ref="H150">IFERROR(INDEX(INVESTOR_LIST[INVESTOR NAME],MATCH(I150,INVESTOR_LIST[INVESTOR CODE],0),)," ")</f>
        <v>SAILA SATTER</v>
      </c>
      <c r="I150" s="299" t="s">
        <v>449</v>
      </c>
      <c r="J150" s="229" t="s">
        <v>14</v>
      </c>
      <c r="K150" s="230"/>
      <c r="L150" s="298">
        <v>500000</v>
      </c>
    </row>
    <row r="151" spans="1:12" ht="11.25" customHeight="1" x14ac:dyDescent="0.2">
      <c r="A151" s="221">
        <v>2022</v>
      </c>
      <c r="B151" s="221">
        <v>1</v>
      </c>
      <c r="C151" s="221">
        <v>25</v>
      </c>
      <c r="D151" s="231">
        <f t="shared" si="4"/>
        <v>44586</v>
      </c>
      <c r="E151" s="233">
        <f t="shared" si="3"/>
        <v>44586</v>
      </c>
      <c r="F151" s="478" t="s">
        <v>1114</v>
      </c>
      <c r="G151" s="222" t="s">
        <v>1111</v>
      </c>
      <c r="H151" s="223" t="str" cm="1">
        <f t="array" ref="H151">IFERROR(INDEX(INVESTOR_LIST[INVESTOR NAME],MATCH(I151,INVESTOR_LIST[INVESTOR CODE],0),)," ")</f>
        <v xml:space="preserve"> </v>
      </c>
      <c r="I151" s="223"/>
      <c r="J151" s="224" t="s">
        <v>63</v>
      </c>
      <c r="K151" s="302">
        <v>300</v>
      </c>
      <c r="L151" s="225"/>
    </row>
    <row r="152" spans="1:12" ht="11.25" customHeight="1" x14ac:dyDescent="0.2">
      <c r="A152" s="226">
        <v>2022</v>
      </c>
      <c r="B152" s="226">
        <v>1</v>
      </c>
      <c r="C152" s="226">
        <v>25</v>
      </c>
      <c r="D152" s="232">
        <f t="shared" si="4"/>
        <v>44586</v>
      </c>
      <c r="E152" s="234">
        <f t="shared" si="3"/>
        <v>44586</v>
      </c>
      <c r="F152" s="479"/>
      <c r="G152" s="227" t="s">
        <v>1111</v>
      </c>
      <c r="H152" s="228" t="str" cm="1">
        <f t="array" ref="H152">IFERROR(INDEX(INVESTOR_LIST[INVESTOR NAME],MATCH(I152,INVESTOR_LIST[INVESTOR CODE],0),)," ")</f>
        <v xml:space="preserve"> </v>
      </c>
      <c r="I152" s="228"/>
      <c r="J152" s="229" t="s">
        <v>55</v>
      </c>
      <c r="K152" s="230"/>
      <c r="L152" s="302">
        <v>300</v>
      </c>
    </row>
    <row r="153" spans="1:12" ht="11.25" customHeight="1" x14ac:dyDescent="0.2">
      <c r="A153" s="221">
        <v>2022</v>
      </c>
      <c r="B153" s="221">
        <v>1</v>
      </c>
      <c r="C153" s="221">
        <v>26</v>
      </c>
      <c r="D153" s="231">
        <f t="shared" si="4"/>
        <v>44587</v>
      </c>
      <c r="E153" s="233">
        <f t="shared" si="3"/>
        <v>44587</v>
      </c>
      <c r="F153" s="478" t="s">
        <v>1114</v>
      </c>
      <c r="G153" s="222" t="s">
        <v>1111</v>
      </c>
      <c r="H153" s="223" t="str" cm="1">
        <f t="array" ref="H153">IFERROR(INDEX(INVESTOR_LIST[INVESTOR NAME],MATCH(I153,INVESTOR_LIST[INVESTOR CODE],0),)," ")</f>
        <v xml:space="preserve"> </v>
      </c>
      <c r="I153" s="223"/>
      <c r="J153" s="224" t="s">
        <v>63</v>
      </c>
      <c r="K153" s="302">
        <v>390</v>
      </c>
      <c r="L153" s="225"/>
    </row>
    <row r="154" spans="1:12" ht="11.25" customHeight="1" x14ac:dyDescent="0.2">
      <c r="A154" s="226">
        <v>2022</v>
      </c>
      <c r="B154" s="226">
        <v>1</v>
      </c>
      <c r="C154" s="226">
        <v>26</v>
      </c>
      <c r="D154" s="232">
        <f t="shared" si="4"/>
        <v>44587</v>
      </c>
      <c r="E154" s="234">
        <f t="shared" si="3"/>
        <v>44587</v>
      </c>
      <c r="F154" s="479"/>
      <c r="G154" s="227" t="s">
        <v>1111</v>
      </c>
      <c r="H154" s="228" t="str" cm="1">
        <f t="array" ref="H154">IFERROR(INDEX(INVESTOR_LIST[INVESTOR NAME],MATCH(I154,INVESTOR_LIST[INVESTOR CODE],0),)," ")</f>
        <v xml:space="preserve"> </v>
      </c>
      <c r="I154" s="228"/>
      <c r="J154" s="229" t="s">
        <v>55</v>
      </c>
      <c r="K154" s="230"/>
      <c r="L154" s="302">
        <v>390</v>
      </c>
    </row>
    <row r="155" spans="1:12" ht="11.25" customHeight="1" x14ac:dyDescent="0.2">
      <c r="A155" s="221">
        <v>2022</v>
      </c>
      <c r="B155" s="221">
        <v>1</v>
      </c>
      <c r="C155" s="221">
        <v>26</v>
      </c>
      <c r="D155" s="231">
        <f t="shared" si="4"/>
        <v>44587</v>
      </c>
      <c r="E155" s="233">
        <f t="shared" si="3"/>
        <v>44587</v>
      </c>
      <c r="F155" s="478" t="s">
        <v>802</v>
      </c>
      <c r="G155" s="222" t="s">
        <v>1111</v>
      </c>
      <c r="H155" s="223" t="str" cm="1">
        <f t="array" ref="H155">IFERROR(INDEX(INVESTOR_LIST[INVESTOR NAME],MATCH(I155,INVESTOR_LIST[INVESTOR CODE],0),)," ")</f>
        <v>B.M. MIRAZ HOSSAIN</v>
      </c>
      <c r="I155" s="299" t="s">
        <v>937</v>
      </c>
      <c r="J155" s="224" t="s">
        <v>55</v>
      </c>
      <c r="K155" s="298">
        <v>300000</v>
      </c>
      <c r="L155" s="225"/>
    </row>
    <row r="156" spans="1:12" ht="11.25" customHeight="1" x14ac:dyDescent="0.2">
      <c r="A156" s="226">
        <v>2022</v>
      </c>
      <c r="B156" s="226">
        <v>1</v>
      </c>
      <c r="C156" s="226">
        <v>26</v>
      </c>
      <c r="D156" s="232">
        <f t="shared" si="4"/>
        <v>44587</v>
      </c>
      <c r="E156" s="234">
        <f t="shared" si="3"/>
        <v>44587</v>
      </c>
      <c r="F156" s="479"/>
      <c r="G156" s="227" t="s">
        <v>1111</v>
      </c>
      <c r="H156" s="228" t="str" cm="1">
        <f t="array" ref="H156">IFERROR(INDEX(INVESTOR_LIST[INVESTOR NAME],MATCH(I156,INVESTOR_LIST[INVESTOR CODE],0),)," ")</f>
        <v>B.M. MIRAZ HOSSAIN</v>
      </c>
      <c r="I156" s="299" t="s">
        <v>937</v>
      </c>
      <c r="J156" s="229" t="s">
        <v>14</v>
      </c>
      <c r="K156" s="230"/>
      <c r="L156" s="298">
        <v>300000</v>
      </c>
    </row>
    <row r="157" spans="1:12" ht="11.25" customHeight="1" x14ac:dyDescent="0.2">
      <c r="A157" s="221">
        <v>2022</v>
      </c>
      <c r="B157" s="221">
        <v>1</v>
      </c>
      <c r="C157" s="221">
        <v>26</v>
      </c>
      <c r="D157" s="231">
        <f t="shared" si="4"/>
        <v>44587</v>
      </c>
      <c r="E157" s="233">
        <f t="shared" si="3"/>
        <v>44587</v>
      </c>
      <c r="F157" s="478" t="s">
        <v>802</v>
      </c>
      <c r="G157" s="222" t="s">
        <v>1111</v>
      </c>
      <c r="H157" s="223" t="str" cm="1">
        <f t="array" ref="H157">IFERROR(INDEX(INVESTOR_LIST[INVESTOR NAME],MATCH(I157,INVESTOR_LIST[INVESTOR CODE],0),)," ")</f>
        <v>MOHAMMED FUAD ZIBRAN</v>
      </c>
      <c r="I157" s="299" t="s">
        <v>834</v>
      </c>
      <c r="J157" s="224" t="s">
        <v>55</v>
      </c>
      <c r="K157" s="298">
        <v>50000</v>
      </c>
      <c r="L157" s="225"/>
    </row>
    <row r="158" spans="1:12" ht="11.25" customHeight="1" x14ac:dyDescent="0.2">
      <c r="A158" s="226">
        <v>2022</v>
      </c>
      <c r="B158" s="226">
        <v>1</v>
      </c>
      <c r="C158" s="226">
        <v>26</v>
      </c>
      <c r="D158" s="232">
        <f t="shared" si="4"/>
        <v>44587</v>
      </c>
      <c r="E158" s="234">
        <f t="shared" si="3"/>
        <v>44587</v>
      </c>
      <c r="F158" s="479"/>
      <c r="G158" s="227" t="s">
        <v>1111</v>
      </c>
      <c r="H158" s="228" t="str" cm="1">
        <f t="array" ref="H158">IFERROR(INDEX(INVESTOR_LIST[INVESTOR NAME],MATCH(I158,INVESTOR_LIST[INVESTOR CODE],0),)," ")</f>
        <v>MOHAMMED FUAD ZIBRAN</v>
      </c>
      <c r="I158" s="299" t="s">
        <v>834</v>
      </c>
      <c r="J158" s="229" t="s">
        <v>14</v>
      </c>
      <c r="K158" s="230"/>
      <c r="L158" s="298">
        <v>50000</v>
      </c>
    </row>
    <row r="159" spans="1:12" ht="11.25" customHeight="1" x14ac:dyDescent="0.2">
      <c r="A159" s="221">
        <v>2022</v>
      </c>
      <c r="B159" s="221">
        <v>1</v>
      </c>
      <c r="C159" s="221">
        <v>26</v>
      </c>
      <c r="D159" s="231">
        <f t="shared" si="4"/>
        <v>44587</v>
      </c>
      <c r="E159" s="233">
        <f t="shared" si="3"/>
        <v>44587</v>
      </c>
      <c r="F159" s="478" t="s">
        <v>802</v>
      </c>
      <c r="G159" s="222" t="s">
        <v>1111</v>
      </c>
      <c r="H159" s="223" t="str" cm="1">
        <f t="array" ref="H159">IFERROR(INDEX(INVESTOR_LIST[INVESTOR NAME],MATCH(I159,INVESTOR_LIST[INVESTOR CODE],0),)," ")</f>
        <v>RAHNUMA SULTANA</v>
      </c>
      <c r="I159" s="299" t="s">
        <v>395</v>
      </c>
      <c r="J159" s="224" t="s">
        <v>55</v>
      </c>
      <c r="K159" s="298">
        <v>200000</v>
      </c>
      <c r="L159" s="225"/>
    </row>
    <row r="160" spans="1:12" ht="11.25" customHeight="1" x14ac:dyDescent="0.2">
      <c r="A160" s="226">
        <v>2022</v>
      </c>
      <c r="B160" s="226">
        <v>1</v>
      </c>
      <c r="C160" s="226">
        <v>26</v>
      </c>
      <c r="D160" s="232">
        <f t="shared" si="4"/>
        <v>44587</v>
      </c>
      <c r="E160" s="234">
        <f t="shared" si="3"/>
        <v>44587</v>
      </c>
      <c r="F160" s="479"/>
      <c r="G160" s="227" t="s">
        <v>1111</v>
      </c>
      <c r="H160" s="228" t="str" cm="1">
        <f t="array" ref="H160">IFERROR(INDEX(INVESTOR_LIST[INVESTOR NAME],MATCH(I160,INVESTOR_LIST[INVESTOR CODE],0),)," ")</f>
        <v>RAHNUMA SULTANA</v>
      </c>
      <c r="I160" s="299" t="s">
        <v>395</v>
      </c>
      <c r="J160" s="229" t="s">
        <v>14</v>
      </c>
      <c r="K160" s="230"/>
      <c r="L160" s="298">
        <v>200000</v>
      </c>
    </row>
    <row r="161" spans="1:12" ht="11.25" customHeight="1" x14ac:dyDescent="0.2">
      <c r="A161" s="221">
        <v>2022</v>
      </c>
      <c r="B161" s="221">
        <v>1</v>
      </c>
      <c r="C161" s="221">
        <v>26</v>
      </c>
      <c r="D161" s="231">
        <f t="shared" si="4"/>
        <v>44587</v>
      </c>
      <c r="E161" s="233">
        <f t="shared" si="3"/>
        <v>44587</v>
      </c>
      <c r="F161" s="478" t="s">
        <v>802</v>
      </c>
      <c r="G161" s="222" t="s">
        <v>1111</v>
      </c>
      <c r="H161" s="223" t="str" cm="1">
        <f t="array" ref="H161">IFERROR(INDEX(INVESTOR_LIST[INVESTOR NAME],MATCH(I161,INVESTOR_LIST[INVESTOR CODE],0),)," ")</f>
        <v>BABITA RANI BARMAN</v>
      </c>
      <c r="I161" s="299" t="s">
        <v>387</v>
      </c>
      <c r="J161" s="224" t="s">
        <v>55</v>
      </c>
      <c r="K161" s="298">
        <v>50000</v>
      </c>
      <c r="L161" s="225"/>
    </row>
    <row r="162" spans="1:12" ht="11.25" customHeight="1" x14ac:dyDescent="0.2">
      <c r="A162" s="226">
        <v>2022</v>
      </c>
      <c r="B162" s="226">
        <v>1</v>
      </c>
      <c r="C162" s="226">
        <v>26</v>
      </c>
      <c r="D162" s="232">
        <f t="shared" si="4"/>
        <v>44587</v>
      </c>
      <c r="E162" s="234">
        <f t="shared" si="3"/>
        <v>44587</v>
      </c>
      <c r="F162" s="479"/>
      <c r="G162" s="227" t="s">
        <v>1111</v>
      </c>
      <c r="H162" s="228" t="str" cm="1">
        <f t="array" ref="H162">IFERROR(INDEX(INVESTOR_LIST[INVESTOR NAME],MATCH(I162,INVESTOR_LIST[INVESTOR CODE],0),)," ")</f>
        <v>BABITA RANI BARMAN</v>
      </c>
      <c r="I162" s="299" t="s">
        <v>387</v>
      </c>
      <c r="J162" s="229" t="s">
        <v>14</v>
      </c>
      <c r="K162" s="230"/>
      <c r="L162" s="298">
        <v>50000</v>
      </c>
    </row>
    <row r="163" spans="1:12" ht="11.25" customHeight="1" x14ac:dyDescent="0.2">
      <c r="A163" s="221">
        <v>2022</v>
      </c>
      <c r="B163" s="221">
        <v>1</v>
      </c>
      <c r="C163" s="221">
        <v>26</v>
      </c>
      <c r="D163" s="231">
        <f t="shared" si="4"/>
        <v>44587</v>
      </c>
      <c r="E163" s="233">
        <f t="shared" si="3"/>
        <v>44587</v>
      </c>
      <c r="F163" s="478" t="s">
        <v>802</v>
      </c>
      <c r="G163" s="222" t="s">
        <v>1111</v>
      </c>
      <c r="H163" s="223" t="str" cm="1">
        <f t="array" ref="H163">IFERROR(INDEX(INVESTOR_LIST[INVESTOR NAME],MATCH(I163,INVESTOR_LIST[INVESTOR CODE],0),)," ")</f>
        <v>UCB STOCK BROKERAGE LIMITED</v>
      </c>
      <c r="I163" s="299" t="s">
        <v>360</v>
      </c>
      <c r="J163" s="224" t="s">
        <v>55</v>
      </c>
      <c r="K163" s="298">
        <v>2500000</v>
      </c>
      <c r="L163" s="225"/>
    </row>
    <row r="164" spans="1:12" ht="11.25" customHeight="1" x14ac:dyDescent="0.2">
      <c r="A164" s="226">
        <v>2022</v>
      </c>
      <c r="B164" s="226">
        <v>1</v>
      </c>
      <c r="C164" s="226">
        <v>26</v>
      </c>
      <c r="D164" s="232">
        <f t="shared" si="4"/>
        <v>44587</v>
      </c>
      <c r="E164" s="234">
        <f t="shared" si="3"/>
        <v>44587</v>
      </c>
      <c r="F164" s="479"/>
      <c r="G164" s="227" t="s">
        <v>1111</v>
      </c>
      <c r="H164" s="228" t="str" cm="1">
        <f t="array" ref="H164">IFERROR(INDEX(INVESTOR_LIST[INVESTOR NAME],MATCH(I164,INVESTOR_LIST[INVESTOR CODE],0),)," ")</f>
        <v>UCB STOCK BROKERAGE LIMITED</v>
      </c>
      <c r="I164" s="299" t="s">
        <v>360</v>
      </c>
      <c r="J164" s="229" t="s">
        <v>14</v>
      </c>
      <c r="K164" s="230"/>
      <c r="L164" s="298">
        <v>2500000</v>
      </c>
    </row>
    <row r="165" spans="1:12" ht="11.25" customHeight="1" x14ac:dyDescent="0.2">
      <c r="A165" s="221">
        <v>2022</v>
      </c>
      <c r="B165" s="221">
        <v>1</v>
      </c>
      <c r="C165" s="221">
        <v>26</v>
      </c>
      <c r="D165" s="231">
        <f t="shared" si="4"/>
        <v>44587</v>
      </c>
      <c r="E165" s="233">
        <f t="shared" si="3"/>
        <v>44587</v>
      </c>
      <c r="F165" s="478" t="s">
        <v>802</v>
      </c>
      <c r="G165" s="222" t="s">
        <v>1111</v>
      </c>
      <c r="H165" s="223" t="str" cm="1">
        <f t="array" ref="H165">IFERROR(INDEX(INVESTOR_LIST[INVESTOR NAME],MATCH(I165,INVESTOR_LIST[INVESTOR CODE],0),)," ")</f>
        <v>ANJANA SAHA</v>
      </c>
      <c r="I165" s="299" t="s">
        <v>331</v>
      </c>
      <c r="J165" s="224" t="s">
        <v>55</v>
      </c>
      <c r="K165" s="298">
        <v>1500000</v>
      </c>
      <c r="L165" s="225"/>
    </row>
    <row r="166" spans="1:12" ht="11.25" customHeight="1" x14ac:dyDescent="0.2">
      <c r="A166" s="226">
        <v>2022</v>
      </c>
      <c r="B166" s="226">
        <v>1</v>
      </c>
      <c r="C166" s="226">
        <v>26</v>
      </c>
      <c r="D166" s="232">
        <f t="shared" si="4"/>
        <v>44587</v>
      </c>
      <c r="E166" s="234">
        <f t="shared" si="3"/>
        <v>44587</v>
      </c>
      <c r="F166" s="479"/>
      <c r="G166" s="227" t="s">
        <v>1111</v>
      </c>
      <c r="H166" s="228" t="str" cm="1">
        <f t="array" ref="H166">IFERROR(INDEX(INVESTOR_LIST[INVESTOR NAME],MATCH(I166,INVESTOR_LIST[INVESTOR CODE],0),)," ")</f>
        <v>ANJANA SAHA</v>
      </c>
      <c r="I166" s="299" t="s">
        <v>331</v>
      </c>
      <c r="J166" s="229" t="s">
        <v>14</v>
      </c>
      <c r="K166" s="230"/>
      <c r="L166" s="298">
        <v>1500000</v>
      </c>
    </row>
    <row r="167" spans="1:12" ht="11.25" customHeight="1" x14ac:dyDescent="0.2">
      <c r="A167" s="221">
        <v>2022</v>
      </c>
      <c r="B167" s="221">
        <v>1</v>
      </c>
      <c r="C167" s="221">
        <v>26</v>
      </c>
      <c r="D167" s="231">
        <f t="shared" si="4"/>
        <v>44587</v>
      </c>
      <c r="E167" s="233">
        <f t="shared" si="3"/>
        <v>44587</v>
      </c>
      <c r="F167" s="478" t="s">
        <v>802</v>
      </c>
      <c r="G167" s="222" t="s">
        <v>1111</v>
      </c>
      <c r="H167" s="223" t="str" cm="1">
        <f t="array" ref="H167">IFERROR(INDEX(INVESTOR_LIST[INVESTOR NAME],MATCH(I167,INVESTOR_LIST[INVESTOR CODE],0),)," ")</f>
        <v>MD. NAHIDUR RASHID</v>
      </c>
      <c r="I167" s="299" t="s">
        <v>818</v>
      </c>
      <c r="J167" s="224" t="s">
        <v>55</v>
      </c>
      <c r="K167" s="298">
        <v>1000000</v>
      </c>
      <c r="L167" s="225"/>
    </row>
    <row r="168" spans="1:12" ht="11.25" customHeight="1" x14ac:dyDescent="0.2">
      <c r="A168" s="226">
        <v>2022</v>
      </c>
      <c r="B168" s="226">
        <v>1</v>
      </c>
      <c r="C168" s="226">
        <v>26</v>
      </c>
      <c r="D168" s="232">
        <f t="shared" si="4"/>
        <v>44587</v>
      </c>
      <c r="E168" s="234">
        <f t="shared" si="3"/>
        <v>44587</v>
      </c>
      <c r="F168" s="479"/>
      <c r="G168" s="227" t="s">
        <v>1111</v>
      </c>
      <c r="H168" s="228" t="str" cm="1">
        <f t="array" ref="H168">IFERROR(INDEX(INVESTOR_LIST[INVESTOR NAME],MATCH(I168,INVESTOR_LIST[INVESTOR CODE],0),)," ")</f>
        <v>MD. NAHIDUR RASHID</v>
      </c>
      <c r="I168" s="299" t="s">
        <v>818</v>
      </c>
      <c r="J168" s="229" t="s">
        <v>14</v>
      </c>
      <c r="K168" s="230"/>
      <c r="L168" s="298">
        <v>1000000</v>
      </c>
    </row>
    <row r="169" spans="1:12" ht="11.25" customHeight="1" x14ac:dyDescent="0.2">
      <c r="A169" s="221">
        <v>2022</v>
      </c>
      <c r="B169" s="221">
        <v>1</v>
      </c>
      <c r="C169" s="221">
        <v>26</v>
      </c>
      <c r="D169" s="231">
        <f t="shared" si="4"/>
        <v>44587</v>
      </c>
      <c r="E169" s="233">
        <f t="shared" si="3"/>
        <v>44587</v>
      </c>
      <c r="F169" s="478" t="s">
        <v>802</v>
      </c>
      <c r="G169" s="222" t="s">
        <v>1111</v>
      </c>
      <c r="H169" s="223" t="str" cm="1">
        <f t="array" ref="H169">IFERROR(INDEX(INVESTOR_LIST[INVESTOR NAME],MATCH(I169,INVESTOR_LIST[INVESTOR CODE],0),)," ")</f>
        <v>BIPLAB SAHA</v>
      </c>
      <c r="I169" s="299" t="s">
        <v>841</v>
      </c>
      <c r="J169" s="224" t="s">
        <v>55</v>
      </c>
      <c r="K169" s="298">
        <v>600000</v>
      </c>
      <c r="L169" s="225"/>
    </row>
    <row r="170" spans="1:12" ht="11.25" customHeight="1" x14ac:dyDescent="0.2">
      <c r="A170" s="226">
        <v>2022</v>
      </c>
      <c r="B170" s="226">
        <v>1</v>
      </c>
      <c r="C170" s="226">
        <v>26</v>
      </c>
      <c r="D170" s="232">
        <f t="shared" si="4"/>
        <v>44587</v>
      </c>
      <c r="E170" s="234">
        <f t="shared" si="3"/>
        <v>44587</v>
      </c>
      <c r="F170" s="479"/>
      <c r="G170" s="227" t="s">
        <v>1111</v>
      </c>
      <c r="H170" s="228" t="str" cm="1">
        <f t="array" ref="H170">IFERROR(INDEX(INVESTOR_LIST[INVESTOR NAME],MATCH(I170,INVESTOR_LIST[INVESTOR CODE],0),)," ")</f>
        <v>BIPLAB SAHA</v>
      </c>
      <c r="I170" s="299" t="s">
        <v>841</v>
      </c>
      <c r="J170" s="229" t="s">
        <v>14</v>
      </c>
      <c r="K170" s="230"/>
      <c r="L170" s="298">
        <v>600000</v>
      </c>
    </row>
    <row r="171" spans="1:12" ht="11.25" customHeight="1" x14ac:dyDescent="0.2">
      <c r="A171" s="221">
        <v>2022</v>
      </c>
      <c r="B171" s="221">
        <v>1</v>
      </c>
      <c r="C171" s="221">
        <v>26</v>
      </c>
      <c r="D171" s="231">
        <f t="shared" si="4"/>
        <v>44587</v>
      </c>
      <c r="E171" s="233">
        <f t="shared" ref="E171:E240" si="5">DATE(A171,B171,C171)</f>
        <v>44587</v>
      </c>
      <c r="F171" s="478" t="s">
        <v>802</v>
      </c>
      <c r="G171" s="222" t="s">
        <v>1111</v>
      </c>
      <c r="H171" s="223" t="str" cm="1">
        <f t="array" ref="H171">IFERROR(INDEX(INVESTOR_LIST[INVESTOR NAME],MATCH(I171,INVESTOR_LIST[INVESTOR CODE],0),)," ")</f>
        <v>BIPLAB SAHA</v>
      </c>
      <c r="I171" s="299" t="s">
        <v>841</v>
      </c>
      <c r="J171" s="224" t="s">
        <v>55</v>
      </c>
      <c r="K171" s="298">
        <v>600000</v>
      </c>
      <c r="L171" s="225"/>
    </row>
    <row r="172" spans="1:12" ht="11.25" customHeight="1" x14ac:dyDescent="0.2">
      <c r="A172" s="226">
        <v>2022</v>
      </c>
      <c r="B172" s="226">
        <v>1</v>
      </c>
      <c r="C172" s="226">
        <v>26</v>
      </c>
      <c r="D172" s="232">
        <f t="shared" si="4"/>
        <v>44587</v>
      </c>
      <c r="E172" s="234">
        <f t="shared" si="5"/>
        <v>44587</v>
      </c>
      <c r="F172" s="479"/>
      <c r="G172" s="227" t="s">
        <v>1111</v>
      </c>
      <c r="H172" s="228" t="str" cm="1">
        <f t="array" ref="H172">IFERROR(INDEX(INVESTOR_LIST[INVESTOR NAME],MATCH(I172,INVESTOR_LIST[INVESTOR CODE],0),)," ")</f>
        <v>BIPLAB SAHA</v>
      </c>
      <c r="I172" s="299" t="s">
        <v>841</v>
      </c>
      <c r="J172" s="229" t="s">
        <v>14</v>
      </c>
      <c r="K172" s="230"/>
      <c r="L172" s="298">
        <v>600000</v>
      </c>
    </row>
    <row r="173" spans="1:12" ht="11.25" customHeight="1" x14ac:dyDescent="0.2">
      <c r="A173" s="221">
        <v>2022</v>
      </c>
      <c r="B173" s="221">
        <v>1</v>
      </c>
      <c r="C173" s="221">
        <v>26</v>
      </c>
      <c r="D173" s="231">
        <f t="shared" si="4"/>
        <v>44587</v>
      </c>
      <c r="E173" s="233">
        <f t="shared" si="5"/>
        <v>44587</v>
      </c>
      <c r="F173" s="478" t="s">
        <v>802</v>
      </c>
      <c r="G173" s="222" t="s">
        <v>1111</v>
      </c>
      <c r="H173" s="223" t="str" cm="1">
        <f t="array" ref="H173">IFERROR(INDEX(INVESTOR_LIST[INVESTOR NAME],MATCH(I173,INVESTOR_LIST[INVESTOR CODE],0),)," ")</f>
        <v>DELTA BRAC HOUSING FINANCE CORPORATION LTD</v>
      </c>
      <c r="I173" s="299" t="s">
        <v>939</v>
      </c>
      <c r="J173" s="224" t="s">
        <v>55</v>
      </c>
      <c r="K173" s="298">
        <v>10000000</v>
      </c>
      <c r="L173" s="225"/>
    </row>
    <row r="174" spans="1:12" ht="11.25" customHeight="1" x14ac:dyDescent="0.2">
      <c r="A174" s="226">
        <v>2022</v>
      </c>
      <c r="B174" s="226">
        <v>1</v>
      </c>
      <c r="C174" s="226">
        <v>26</v>
      </c>
      <c r="D174" s="232">
        <f t="shared" si="4"/>
        <v>44587</v>
      </c>
      <c r="E174" s="234">
        <f t="shared" si="5"/>
        <v>44587</v>
      </c>
      <c r="F174" s="479"/>
      <c r="G174" s="227" t="s">
        <v>1111</v>
      </c>
      <c r="H174" s="228" t="str" cm="1">
        <f t="array" ref="H174">IFERROR(INDEX(INVESTOR_LIST[INVESTOR NAME],MATCH(I174,INVESTOR_LIST[INVESTOR CODE],0),)," ")</f>
        <v>DELTA BRAC HOUSING FINANCE CORPORATION LTD</v>
      </c>
      <c r="I174" s="299" t="s">
        <v>939</v>
      </c>
      <c r="J174" s="229" t="s">
        <v>14</v>
      </c>
      <c r="K174" s="230"/>
      <c r="L174" s="298">
        <v>10000000</v>
      </c>
    </row>
    <row r="175" spans="1:12" ht="11.25" customHeight="1" x14ac:dyDescent="0.2">
      <c r="A175" s="221">
        <v>2022</v>
      </c>
      <c r="B175" s="221">
        <v>1</v>
      </c>
      <c r="C175" s="221">
        <v>26</v>
      </c>
      <c r="D175" s="231">
        <f t="shared" si="4"/>
        <v>44587</v>
      </c>
      <c r="E175" s="233">
        <f t="shared" si="5"/>
        <v>44587</v>
      </c>
      <c r="F175" s="478" t="s">
        <v>802</v>
      </c>
      <c r="G175" s="222" t="s">
        <v>1111</v>
      </c>
      <c r="H175" s="223" t="str" cm="1">
        <f t="array" ref="H175">IFERROR(INDEX(INVESTOR_LIST[INVESTOR NAME],MATCH(I175,INVESTOR_LIST[INVESTOR CODE],0),)," ")</f>
        <v>SK FEROZ ALAM</v>
      </c>
      <c r="I175" s="299" t="s">
        <v>411</v>
      </c>
      <c r="J175" s="224" t="s">
        <v>55</v>
      </c>
      <c r="K175" s="298">
        <v>300000</v>
      </c>
      <c r="L175" s="225"/>
    </row>
    <row r="176" spans="1:12" ht="11.25" customHeight="1" x14ac:dyDescent="0.2">
      <c r="A176" s="226">
        <v>2022</v>
      </c>
      <c r="B176" s="226">
        <v>1</v>
      </c>
      <c r="C176" s="226">
        <v>26</v>
      </c>
      <c r="D176" s="232">
        <f t="shared" si="4"/>
        <v>44587</v>
      </c>
      <c r="E176" s="234">
        <f t="shared" si="5"/>
        <v>44587</v>
      </c>
      <c r="F176" s="479"/>
      <c r="G176" s="227" t="s">
        <v>1111</v>
      </c>
      <c r="H176" s="228" t="str" cm="1">
        <f t="array" ref="H176">IFERROR(INDEX(INVESTOR_LIST[INVESTOR NAME],MATCH(I176,INVESTOR_LIST[INVESTOR CODE],0),)," ")</f>
        <v>SK FEROZ ALAM</v>
      </c>
      <c r="I176" s="299" t="s">
        <v>411</v>
      </c>
      <c r="J176" s="229" t="s">
        <v>14</v>
      </c>
      <c r="K176" s="230"/>
      <c r="L176" s="298">
        <v>300000</v>
      </c>
    </row>
    <row r="177" spans="1:12" ht="11.25" customHeight="1" x14ac:dyDescent="0.2">
      <c r="A177" s="221">
        <v>2022</v>
      </c>
      <c r="B177" s="221">
        <v>1</v>
      </c>
      <c r="C177" s="221">
        <v>26</v>
      </c>
      <c r="D177" s="231">
        <f t="shared" si="4"/>
        <v>44587</v>
      </c>
      <c r="E177" s="233">
        <f t="shared" si="5"/>
        <v>44587</v>
      </c>
      <c r="F177" s="478" t="s">
        <v>802</v>
      </c>
      <c r="G177" s="222" t="s">
        <v>1111</v>
      </c>
      <c r="H177" s="223" t="str" cm="1">
        <f t="array" ref="H177">IFERROR(INDEX(INVESTOR_LIST[INVESTOR NAME],MATCH(I177,INVESTOR_LIST[INVESTOR CODE],0),)," ")</f>
        <v>SK FEROZ ALAM &amp; MD BULBUL ISLAM</v>
      </c>
      <c r="I177" s="299" t="s">
        <v>485</v>
      </c>
      <c r="J177" s="224" t="s">
        <v>55</v>
      </c>
      <c r="K177" s="298">
        <v>200000</v>
      </c>
      <c r="L177" s="225"/>
    </row>
    <row r="178" spans="1:12" ht="11.25" customHeight="1" x14ac:dyDescent="0.2">
      <c r="A178" s="226">
        <v>2022</v>
      </c>
      <c r="B178" s="226">
        <v>1</v>
      </c>
      <c r="C178" s="226">
        <v>26</v>
      </c>
      <c r="D178" s="232">
        <f t="shared" si="4"/>
        <v>44587</v>
      </c>
      <c r="E178" s="234">
        <f t="shared" si="5"/>
        <v>44587</v>
      </c>
      <c r="F178" s="479"/>
      <c r="G178" s="227" t="s">
        <v>1111</v>
      </c>
      <c r="H178" s="228" t="str" cm="1">
        <f t="array" ref="H178">IFERROR(INDEX(INVESTOR_LIST[INVESTOR NAME],MATCH(I178,INVESTOR_LIST[INVESTOR CODE],0),)," ")</f>
        <v>SK FEROZ ALAM &amp; MD BULBUL ISLAM</v>
      </c>
      <c r="I178" s="299" t="s">
        <v>485</v>
      </c>
      <c r="J178" s="229" t="s">
        <v>14</v>
      </c>
      <c r="K178" s="230"/>
      <c r="L178" s="298">
        <v>200000</v>
      </c>
    </row>
    <row r="179" spans="1:12" ht="11.25" customHeight="1" x14ac:dyDescent="0.2">
      <c r="A179" s="221">
        <v>2022</v>
      </c>
      <c r="B179" s="221">
        <v>1</v>
      </c>
      <c r="C179" s="221">
        <v>26</v>
      </c>
      <c r="D179" s="231">
        <f t="shared" si="4"/>
        <v>44587</v>
      </c>
      <c r="E179" s="233">
        <f t="shared" si="5"/>
        <v>44587</v>
      </c>
      <c r="F179" s="478" t="s">
        <v>802</v>
      </c>
      <c r="G179" s="222" t="s">
        <v>1111</v>
      </c>
      <c r="H179" s="223" t="str" cm="1">
        <f t="array" ref="H179">IFERROR(INDEX(INVESTOR_LIST[INVESTOR NAME],MATCH(I179,INVESTOR_LIST[INVESTOR CODE],0),)," ")</f>
        <v>FATEMA-TUZ JOHURA NILA</v>
      </c>
      <c r="I179" s="299" t="s">
        <v>607</v>
      </c>
      <c r="J179" s="224" t="s">
        <v>55</v>
      </c>
      <c r="K179" s="298">
        <v>200000</v>
      </c>
      <c r="L179" s="225"/>
    </row>
    <row r="180" spans="1:12" ht="11.25" customHeight="1" x14ac:dyDescent="0.2">
      <c r="A180" s="226">
        <v>2022</v>
      </c>
      <c r="B180" s="226">
        <v>1</v>
      </c>
      <c r="C180" s="226">
        <v>26</v>
      </c>
      <c r="D180" s="232">
        <f t="shared" si="4"/>
        <v>44587</v>
      </c>
      <c r="E180" s="234">
        <f t="shared" si="5"/>
        <v>44587</v>
      </c>
      <c r="F180" s="479"/>
      <c r="G180" s="227" t="s">
        <v>1111</v>
      </c>
      <c r="H180" s="228" t="str" cm="1">
        <f t="array" ref="H180">IFERROR(INDEX(INVESTOR_LIST[INVESTOR NAME],MATCH(I180,INVESTOR_LIST[INVESTOR CODE],0),)," ")</f>
        <v>FATEMA-TUZ JOHURA NILA</v>
      </c>
      <c r="I180" s="299" t="s">
        <v>607</v>
      </c>
      <c r="J180" s="229" t="s">
        <v>14</v>
      </c>
      <c r="K180" s="230"/>
      <c r="L180" s="298">
        <v>200000</v>
      </c>
    </row>
    <row r="181" spans="1:12" ht="11.25" customHeight="1" x14ac:dyDescent="0.2">
      <c r="A181" s="221">
        <v>2022</v>
      </c>
      <c r="B181" s="221">
        <v>1</v>
      </c>
      <c r="C181" s="221">
        <v>27</v>
      </c>
      <c r="D181" s="231">
        <f t="shared" si="4"/>
        <v>44588</v>
      </c>
      <c r="E181" s="233">
        <f t="shared" si="5"/>
        <v>44588</v>
      </c>
      <c r="F181" s="478" t="s">
        <v>802</v>
      </c>
      <c r="G181" s="222" t="s">
        <v>1111</v>
      </c>
      <c r="H181" s="223" t="str" cm="1">
        <f t="array" ref="H181">IFERROR(INDEX(INVESTOR_LIST[INVESTOR NAME],MATCH(I181,INVESTOR_LIST[INVESTOR CODE],0),)," ")</f>
        <v>MOHAMMAD MONJUR ALAM</v>
      </c>
      <c r="I181" s="299" t="s">
        <v>380</v>
      </c>
      <c r="J181" s="224" t="s">
        <v>55</v>
      </c>
      <c r="K181" s="298">
        <v>100000</v>
      </c>
      <c r="L181" s="225"/>
    </row>
    <row r="182" spans="1:12" ht="11.25" customHeight="1" x14ac:dyDescent="0.2">
      <c r="A182" s="226">
        <v>2022</v>
      </c>
      <c r="B182" s="226">
        <v>1</v>
      </c>
      <c r="C182" s="226">
        <v>27</v>
      </c>
      <c r="D182" s="232">
        <f t="shared" si="4"/>
        <v>44588</v>
      </c>
      <c r="E182" s="234">
        <f t="shared" si="5"/>
        <v>44588</v>
      </c>
      <c r="F182" s="479"/>
      <c r="G182" s="227" t="s">
        <v>1111</v>
      </c>
      <c r="H182" s="228" t="str" cm="1">
        <f t="array" ref="H182">IFERROR(INDEX(INVESTOR_LIST[INVESTOR NAME],MATCH(I182,INVESTOR_LIST[INVESTOR CODE],0),)," ")</f>
        <v>MOHAMMAD MONJUR ALAM</v>
      </c>
      <c r="I182" s="299" t="s">
        <v>380</v>
      </c>
      <c r="J182" s="229" t="s">
        <v>14</v>
      </c>
      <c r="K182" s="230"/>
      <c r="L182" s="298">
        <v>100000</v>
      </c>
    </row>
    <row r="183" spans="1:12" ht="11.25" customHeight="1" x14ac:dyDescent="0.2">
      <c r="A183" s="221">
        <v>2022</v>
      </c>
      <c r="B183" s="221">
        <v>1</v>
      </c>
      <c r="C183" s="221">
        <v>27</v>
      </c>
      <c r="D183" s="231">
        <f t="shared" si="4"/>
        <v>44588</v>
      </c>
      <c r="E183" s="233">
        <f t="shared" si="5"/>
        <v>44588</v>
      </c>
      <c r="F183" s="478" t="s">
        <v>802</v>
      </c>
      <c r="G183" s="222" t="s">
        <v>1111</v>
      </c>
      <c r="H183" s="223" t="str" cm="1">
        <f t="array" ref="H183">IFERROR(INDEX(INVESTOR_LIST[INVESTOR NAME],MATCH(I183,INVESTOR_LIST[INVESTOR CODE],0),)," ")</f>
        <v>MOHAMMAD MONJUR ALAM</v>
      </c>
      <c r="I183" s="299" t="s">
        <v>380</v>
      </c>
      <c r="J183" s="224" t="s">
        <v>55</v>
      </c>
      <c r="K183" s="298">
        <v>200000</v>
      </c>
      <c r="L183" s="225"/>
    </row>
    <row r="184" spans="1:12" ht="11.25" customHeight="1" x14ac:dyDescent="0.2">
      <c r="A184" s="226">
        <v>2022</v>
      </c>
      <c r="B184" s="226">
        <v>1</v>
      </c>
      <c r="C184" s="226">
        <v>27</v>
      </c>
      <c r="D184" s="232">
        <f t="shared" si="4"/>
        <v>44588</v>
      </c>
      <c r="E184" s="234">
        <f t="shared" si="5"/>
        <v>44588</v>
      </c>
      <c r="F184" s="479"/>
      <c r="G184" s="227" t="s">
        <v>1111</v>
      </c>
      <c r="H184" s="228" t="str" cm="1">
        <f t="array" ref="H184">IFERROR(INDEX(INVESTOR_LIST[INVESTOR NAME],MATCH(I184,INVESTOR_LIST[INVESTOR CODE],0),)," ")</f>
        <v>MOHAMMAD MONJUR ALAM</v>
      </c>
      <c r="I184" s="299" t="s">
        <v>380</v>
      </c>
      <c r="J184" s="229" t="s">
        <v>14</v>
      </c>
      <c r="K184" s="230"/>
      <c r="L184" s="298">
        <v>200000</v>
      </c>
    </row>
    <row r="185" spans="1:12" ht="11.25" customHeight="1" x14ac:dyDescent="0.2">
      <c r="A185" s="221">
        <v>2022</v>
      </c>
      <c r="B185" s="221">
        <v>1</v>
      </c>
      <c r="C185" s="221">
        <v>27</v>
      </c>
      <c r="D185" s="231">
        <f t="shared" si="4"/>
        <v>44588</v>
      </c>
      <c r="E185" s="233">
        <f t="shared" si="5"/>
        <v>44588</v>
      </c>
      <c r="F185" s="478" t="s">
        <v>802</v>
      </c>
      <c r="G185" s="222" t="s">
        <v>1111</v>
      </c>
      <c r="H185" s="223" t="str" cm="1">
        <f t="array" ref="H185">IFERROR(INDEX(INVESTOR_LIST[INVESTOR NAME],MATCH(I185,INVESTOR_LIST[INVESTOR CODE],0),)," ")</f>
        <v>MOHAMMAD MONJUR ALAM</v>
      </c>
      <c r="I185" s="299" t="s">
        <v>380</v>
      </c>
      <c r="J185" s="224" t="s">
        <v>55</v>
      </c>
      <c r="K185" s="298">
        <v>200000</v>
      </c>
      <c r="L185" s="225"/>
    </row>
    <row r="186" spans="1:12" ht="11.25" customHeight="1" x14ac:dyDescent="0.2">
      <c r="A186" s="226">
        <v>2022</v>
      </c>
      <c r="B186" s="226">
        <v>1</v>
      </c>
      <c r="C186" s="226">
        <v>27</v>
      </c>
      <c r="D186" s="232">
        <f t="shared" si="4"/>
        <v>44588</v>
      </c>
      <c r="E186" s="234">
        <f t="shared" si="5"/>
        <v>44588</v>
      </c>
      <c r="F186" s="479"/>
      <c r="G186" s="227" t="s">
        <v>1111</v>
      </c>
      <c r="H186" s="228" t="str" cm="1">
        <f t="array" ref="H186">IFERROR(INDEX(INVESTOR_LIST[INVESTOR NAME],MATCH(I186,INVESTOR_LIST[INVESTOR CODE],0),)," ")</f>
        <v>MOHAMMAD MONJUR ALAM</v>
      </c>
      <c r="I186" s="299" t="s">
        <v>380</v>
      </c>
      <c r="J186" s="229" t="s">
        <v>14</v>
      </c>
      <c r="K186" s="230"/>
      <c r="L186" s="298">
        <v>200000</v>
      </c>
    </row>
    <row r="187" spans="1:12" ht="11.25" customHeight="1" x14ac:dyDescent="0.2">
      <c r="A187" s="221">
        <v>2022</v>
      </c>
      <c r="B187" s="221">
        <v>1</v>
      </c>
      <c r="C187" s="221">
        <v>27</v>
      </c>
      <c r="D187" s="231">
        <f t="shared" si="4"/>
        <v>44588</v>
      </c>
      <c r="E187" s="233">
        <f t="shared" si="5"/>
        <v>44588</v>
      </c>
      <c r="F187" s="478" t="s">
        <v>802</v>
      </c>
      <c r="G187" s="222" t="s">
        <v>1111</v>
      </c>
      <c r="H187" s="223" t="str" cm="1">
        <f t="array" ref="H187">IFERROR(INDEX(INVESTOR_LIST[INVESTOR NAME],MATCH(I187,INVESTOR_LIST[INVESTOR CODE],0),)," ")</f>
        <v>GOURI TOSH PAUL</v>
      </c>
      <c r="I187" s="299" t="s">
        <v>717</v>
      </c>
      <c r="J187" s="224" t="s">
        <v>55</v>
      </c>
      <c r="K187" s="298">
        <v>400000</v>
      </c>
      <c r="L187" s="225"/>
    </row>
    <row r="188" spans="1:12" ht="11.25" customHeight="1" x14ac:dyDescent="0.2">
      <c r="A188" s="226">
        <v>2022</v>
      </c>
      <c r="B188" s="226">
        <v>1</v>
      </c>
      <c r="C188" s="226">
        <v>27</v>
      </c>
      <c r="D188" s="232">
        <f t="shared" si="4"/>
        <v>44588</v>
      </c>
      <c r="E188" s="234">
        <f t="shared" si="5"/>
        <v>44588</v>
      </c>
      <c r="F188" s="479"/>
      <c r="G188" s="227" t="s">
        <v>1111</v>
      </c>
      <c r="H188" s="228" t="str" cm="1">
        <f t="array" ref="H188">IFERROR(INDEX(INVESTOR_LIST[INVESTOR NAME],MATCH(I188,INVESTOR_LIST[INVESTOR CODE],0),)," ")</f>
        <v>GOURI TOSH PAUL</v>
      </c>
      <c r="I188" s="299" t="s">
        <v>717</v>
      </c>
      <c r="J188" s="229" t="s">
        <v>14</v>
      </c>
      <c r="K188" s="230"/>
      <c r="L188" s="298">
        <v>400000</v>
      </c>
    </row>
    <row r="189" spans="1:12" ht="11.25" customHeight="1" x14ac:dyDescent="0.2">
      <c r="A189" s="221">
        <v>2022</v>
      </c>
      <c r="B189" s="221">
        <v>1</v>
      </c>
      <c r="C189" s="221">
        <v>27</v>
      </c>
      <c r="D189" s="231">
        <f t="shared" si="4"/>
        <v>44588</v>
      </c>
      <c r="E189" s="233">
        <f t="shared" si="5"/>
        <v>44588</v>
      </c>
      <c r="F189" s="478" t="s">
        <v>802</v>
      </c>
      <c r="G189" s="222" t="s">
        <v>1111</v>
      </c>
      <c r="H189" s="223" t="str" cm="1">
        <f t="array" ref="H189">IFERROR(INDEX(INVESTOR_LIST[INVESTOR NAME],MATCH(I189,INVESTOR_LIST[INVESTOR CODE],0),)," ")</f>
        <v>SHAHED UDDIN MOHAMMED PARVEZ</v>
      </c>
      <c r="I189" s="299" t="s">
        <v>840</v>
      </c>
      <c r="J189" s="224" t="s">
        <v>55</v>
      </c>
      <c r="K189" s="298">
        <v>200000</v>
      </c>
      <c r="L189" s="225"/>
    </row>
    <row r="190" spans="1:12" ht="11.25" customHeight="1" x14ac:dyDescent="0.2">
      <c r="A190" s="226">
        <v>2022</v>
      </c>
      <c r="B190" s="226">
        <v>1</v>
      </c>
      <c r="C190" s="226">
        <v>27</v>
      </c>
      <c r="D190" s="232">
        <f t="shared" si="4"/>
        <v>44588</v>
      </c>
      <c r="E190" s="234">
        <f t="shared" si="5"/>
        <v>44588</v>
      </c>
      <c r="F190" s="479"/>
      <c r="G190" s="227" t="s">
        <v>1111</v>
      </c>
      <c r="H190" s="228" t="str" cm="1">
        <f t="array" ref="H190">IFERROR(INDEX(INVESTOR_LIST[INVESTOR NAME],MATCH(I190,INVESTOR_LIST[INVESTOR CODE],0),)," ")</f>
        <v>SHAHED UDDIN MOHAMMED PARVEZ</v>
      </c>
      <c r="I190" s="299" t="s">
        <v>840</v>
      </c>
      <c r="J190" s="229" t="s">
        <v>14</v>
      </c>
      <c r="K190" s="230"/>
      <c r="L190" s="298">
        <v>200000</v>
      </c>
    </row>
    <row r="191" spans="1:12" ht="11.25" customHeight="1" x14ac:dyDescent="0.2">
      <c r="A191" s="221">
        <v>2022</v>
      </c>
      <c r="B191" s="221">
        <v>1</v>
      </c>
      <c r="C191" s="221">
        <v>27</v>
      </c>
      <c r="D191" s="231">
        <f t="shared" si="4"/>
        <v>44588</v>
      </c>
      <c r="E191" s="233">
        <f t="shared" si="5"/>
        <v>44588</v>
      </c>
      <c r="F191" s="478" t="s">
        <v>802</v>
      </c>
      <c r="G191" s="222" t="s">
        <v>1111</v>
      </c>
      <c r="H191" s="223" t="str" cm="1">
        <f t="array" ref="H191">IFERROR(INDEX(INVESTOR_LIST[INVESTOR NAME],MATCH(I191,INVESTOR_LIST[INVESTOR CODE],0),)," ")</f>
        <v>UNICAP SECURITIES LIMITED</v>
      </c>
      <c r="I191" s="299" t="s">
        <v>347</v>
      </c>
      <c r="J191" s="224" t="s">
        <v>55</v>
      </c>
      <c r="K191" s="298">
        <v>5000000</v>
      </c>
      <c r="L191" s="225"/>
    </row>
    <row r="192" spans="1:12" ht="11.25" customHeight="1" x14ac:dyDescent="0.2">
      <c r="A192" s="226">
        <v>2022</v>
      </c>
      <c r="B192" s="226">
        <v>1</v>
      </c>
      <c r="C192" s="226">
        <v>27</v>
      </c>
      <c r="D192" s="232">
        <f t="shared" si="4"/>
        <v>44588</v>
      </c>
      <c r="E192" s="234">
        <f t="shared" si="5"/>
        <v>44588</v>
      </c>
      <c r="F192" s="479"/>
      <c r="G192" s="227" t="s">
        <v>1111</v>
      </c>
      <c r="H192" s="228" t="str" cm="1">
        <f t="array" ref="H192">IFERROR(INDEX(INVESTOR_LIST[INVESTOR NAME],MATCH(I192,INVESTOR_LIST[INVESTOR CODE],0),)," ")</f>
        <v>UNICAP SECURITIES LIMITED</v>
      </c>
      <c r="I192" s="299" t="s">
        <v>347</v>
      </c>
      <c r="J192" s="229" t="s">
        <v>14</v>
      </c>
      <c r="K192" s="230"/>
      <c r="L192" s="298">
        <v>5000000</v>
      </c>
    </row>
    <row r="193" spans="1:12" ht="11.25" customHeight="1" x14ac:dyDescent="0.2">
      <c r="A193" s="221">
        <v>2022</v>
      </c>
      <c r="B193" s="221">
        <v>1</v>
      </c>
      <c r="C193" s="221">
        <v>27</v>
      </c>
      <c r="D193" s="231">
        <f t="shared" si="4"/>
        <v>44588</v>
      </c>
      <c r="E193" s="233">
        <f t="shared" si="5"/>
        <v>44588</v>
      </c>
      <c r="F193" s="478" t="s">
        <v>802</v>
      </c>
      <c r="G193" s="222" t="s">
        <v>1111</v>
      </c>
      <c r="H193" s="223" t="str" cm="1">
        <f t="array" ref="H193">IFERROR(INDEX(INVESTOR_LIST[INVESTOR NAME],MATCH(I193,INVESTOR_LIST[INVESTOR CODE],0),)," ")</f>
        <v>ANJAN MALLIK</v>
      </c>
      <c r="I193" s="299" t="s">
        <v>649</v>
      </c>
      <c r="J193" s="224" t="s">
        <v>55</v>
      </c>
      <c r="K193" s="298">
        <v>2500000</v>
      </c>
      <c r="L193" s="225"/>
    </row>
    <row r="194" spans="1:12" ht="11.25" customHeight="1" x14ac:dyDescent="0.2">
      <c r="A194" s="226">
        <v>2022</v>
      </c>
      <c r="B194" s="226">
        <v>1</v>
      </c>
      <c r="C194" s="226">
        <v>27</v>
      </c>
      <c r="D194" s="232">
        <f t="shared" si="4"/>
        <v>44588</v>
      </c>
      <c r="E194" s="234">
        <f t="shared" si="5"/>
        <v>44588</v>
      </c>
      <c r="F194" s="479"/>
      <c r="G194" s="227" t="s">
        <v>1111</v>
      </c>
      <c r="H194" s="228" t="str" cm="1">
        <f t="array" ref="H194">IFERROR(INDEX(INVESTOR_LIST[INVESTOR NAME],MATCH(I194,INVESTOR_LIST[INVESTOR CODE],0),)," ")</f>
        <v>ANJAN MALLIK</v>
      </c>
      <c r="I194" s="299" t="s">
        <v>649</v>
      </c>
      <c r="J194" s="229" t="s">
        <v>14</v>
      </c>
      <c r="K194" s="230"/>
      <c r="L194" s="298">
        <v>2500000</v>
      </c>
    </row>
    <row r="195" spans="1:12" ht="11.25" customHeight="1" x14ac:dyDescent="0.2">
      <c r="A195" s="221">
        <v>2022</v>
      </c>
      <c r="B195" s="221">
        <v>1</v>
      </c>
      <c r="C195" s="221">
        <v>27</v>
      </c>
      <c r="D195" s="231">
        <f t="shared" si="4"/>
        <v>44588</v>
      </c>
      <c r="E195" s="233">
        <f t="shared" si="5"/>
        <v>44588</v>
      </c>
      <c r="F195" s="478" t="s">
        <v>802</v>
      </c>
      <c r="G195" s="222" t="s">
        <v>1111</v>
      </c>
      <c r="H195" s="223" t="str" cm="1">
        <f t="array" ref="H195">IFERROR(INDEX(INVESTOR_LIST[INVESTOR NAME],MATCH(I195,INVESTOR_LIST[INVESTOR CODE],0),)," ")</f>
        <v>FARUQUE AHMED &amp; ZAHEDA BEGUM HENA</v>
      </c>
      <c r="I195" s="299" t="s">
        <v>481</v>
      </c>
      <c r="J195" s="224" t="s">
        <v>55</v>
      </c>
      <c r="K195" s="298">
        <v>2000000</v>
      </c>
      <c r="L195" s="225"/>
    </row>
    <row r="196" spans="1:12" ht="11.25" customHeight="1" x14ac:dyDescent="0.2">
      <c r="A196" s="226">
        <v>2022</v>
      </c>
      <c r="B196" s="226">
        <v>1</v>
      </c>
      <c r="C196" s="226">
        <v>27</v>
      </c>
      <c r="D196" s="232">
        <f t="shared" si="4"/>
        <v>44588</v>
      </c>
      <c r="E196" s="234">
        <f t="shared" si="5"/>
        <v>44588</v>
      </c>
      <c r="F196" s="479"/>
      <c r="G196" s="227" t="s">
        <v>1111</v>
      </c>
      <c r="H196" s="228" t="str" cm="1">
        <f t="array" ref="H196">IFERROR(INDEX(INVESTOR_LIST[INVESTOR NAME],MATCH(I196,INVESTOR_LIST[INVESTOR CODE],0),)," ")</f>
        <v>FARUQUE AHMED &amp; ZAHEDA BEGUM HENA</v>
      </c>
      <c r="I196" s="299" t="s">
        <v>481</v>
      </c>
      <c r="J196" s="229" t="s">
        <v>14</v>
      </c>
      <c r="K196" s="230"/>
      <c r="L196" s="298">
        <v>2000000</v>
      </c>
    </row>
    <row r="197" spans="1:12" ht="11.25" customHeight="1" x14ac:dyDescent="0.2">
      <c r="A197" s="221">
        <v>2022</v>
      </c>
      <c r="B197" s="221">
        <v>1</v>
      </c>
      <c r="C197" s="221">
        <v>27</v>
      </c>
      <c r="D197" s="231">
        <f t="shared" si="4"/>
        <v>44588</v>
      </c>
      <c r="E197" s="233">
        <f t="shared" si="5"/>
        <v>44588</v>
      </c>
      <c r="F197" s="478" t="s">
        <v>802</v>
      </c>
      <c r="G197" s="222" t="s">
        <v>1111</v>
      </c>
      <c r="H197" s="223" t="str" cm="1">
        <f t="array" ref="H197">IFERROR(INDEX(INVESTOR_LIST[INVESTOR NAME],MATCH(I197,INVESTOR_LIST[INVESTOR CODE],0),)," ")</f>
        <v>NEXXEN EQUITY MANAGEMENT LIMITED</v>
      </c>
      <c r="I197" s="299" t="s">
        <v>882</v>
      </c>
      <c r="J197" s="224" t="s">
        <v>55</v>
      </c>
      <c r="K197" s="298">
        <v>2000000</v>
      </c>
      <c r="L197" s="225"/>
    </row>
    <row r="198" spans="1:12" ht="11.25" customHeight="1" x14ac:dyDescent="0.2">
      <c r="A198" s="226">
        <v>2022</v>
      </c>
      <c r="B198" s="226">
        <v>1</v>
      </c>
      <c r="C198" s="226">
        <v>27</v>
      </c>
      <c r="D198" s="232">
        <f t="shared" si="4"/>
        <v>44588</v>
      </c>
      <c r="E198" s="234">
        <f t="shared" si="5"/>
        <v>44588</v>
      </c>
      <c r="F198" s="479"/>
      <c r="G198" s="227" t="s">
        <v>1111</v>
      </c>
      <c r="H198" s="228" t="str" cm="1">
        <f t="array" ref="H198">IFERROR(INDEX(INVESTOR_LIST[INVESTOR NAME],MATCH(I198,INVESTOR_LIST[INVESTOR CODE],0),)," ")</f>
        <v>NEXXEN EQUITY MANAGEMENT LIMITED</v>
      </c>
      <c r="I198" s="299" t="s">
        <v>882</v>
      </c>
      <c r="J198" s="229" t="s">
        <v>14</v>
      </c>
      <c r="K198" s="230"/>
      <c r="L198" s="298">
        <v>2000000</v>
      </c>
    </row>
    <row r="199" spans="1:12" ht="11.25" customHeight="1" x14ac:dyDescent="0.2">
      <c r="A199" s="221">
        <v>2022</v>
      </c>
      <c r="B199" s="221">
        <v>1</v>
      </c>
      <c r="C199" s="221">
        <v>27</v>
      </c>
      <c r="D199" s="231">
        <f t="shared" si="4"/>
        <v>44588</v>
      </c>
      <c r="E199" s="233">
        <f t="shared" si="5"/>
        <v>44588</v>
      </c>
      <c r="F199" s="478" t="s">
        <v>802</v>
      </c>
      <c r="G199" s="222" t="s">
        <v>1111</v>
      </c>
      <c r="H199" s="223" t="str" cm="1">
        <f t="array" ref="H199">IFERROR(INDEX(INVESTOR_LIST[INVESTOR NAME],MATCH(I199,INVESTOR_LIST[INVESTOR CODE],0),)," ")</f>
        <v>GOURI TOSH PAUL</v>
      </c>
      <c r="I199" s="299" t="s">
        <v>717</v>
      </c>
      <c r="J199" s="224" t="s">
        <v>55</v>
      </c>
      <c r="K199" s="298">
        <v>1000000</v>
      </c>
      <c r="L199" s="225"/>
    </row>
    <row r="200" spans="1:12" ht="11.25" customHeight="1" x14ac:dyDescent="0.2">
      <c r="A200" s="226">
        <v>2022</v>
      </c>
      <c r="B200" s="226">
        <v>1</v>
      </c>
      <c r="C200" s="226">
        <v>27</v>
      </c>
      <c r="D200" s="232">
        <f t="shared" si="4"/>
        <v>44588</v>
      </c>
      <c r="E200" s="234">
        <f t="shared" si="5"/>
        <v>44588</v>
      </c>
      <c r="F200" s="479"/>
      <c r="G200" s="227" t="s">
        <v>1111</v>
      </c>
      <c r="H200" s="228" t="str" cm="1">
        <f t="array" ref="H200">IFERROR(INDEX(INVESTOR_LIST[INVESTOR NAME],MATCH(I200,INVESTOR_LIST[INVESTOR CODE],0),)," ")</f>
        <v>GOURI TOSH PAUL</v>
      </c>
      <c r="I200" s="299" t="s">
        <v>717</v>
      </c>
      <c r="J200" s="229" t="s">
        <v>14</v>
      </c>
      <c r="K200" s="230"/>
      <c r="L200" s="298">
        <v>1000000</v>
      </c>
    </row>
    <row r="201" spans="1:12" ht="11.25" customHeight="1" x14ac:dyDescent="0.2">
      <c r="A201" s="221">
        <v>2022</v>
      </c>
      <c r="B201" s="221">
        <v>1</v>
      </c>
      <c r="C201" s="221">
        <v>27</v>
      </c>
      <c r="D201" s="231">
        <f t="shared" ref="D201:D264" si="6">DATE(A201,B201,C201)</f>
        <v>44588</v>
      </c>
      <c r="E201" s="233">
        <f t="shared" si="5"/>
        <v>44588</v>
      </c>
      <c r="F201" s="478" t="s">
        <v>802</v>
      </c>
      <c r="G201" s="222" t="s">
        <v>1111</v>
      </c>
      <c r="H201" s="223" t="str" cm="1">
        <f t="array" ref="H201">IFERROR(INDEX(INVESTOR_LIST[INVESTOR NAME],MATCH(I201,INVESTOR_LIST[INVESTOR CODE],0),)," ")</f>
        <v>SHANTA PAUL</v>
      </c>
      <c r="I201" s="299" t="s">
        <v>648</v>
      </c>
      <c r="J201" s="224" t="s">
        <v>55</v>
      </c>
      <c r="K201" s="298">
        <v>1000000</v>
      </c>
      <c r="L201" s="225"/>
    </row>
    <row r="202" spans="1:12" ht="11.25" customHeight="1" x14ac:dyDescent="0.2">
      <c r="A202" s="226">
        <v>2022</v>
      </c>
      <c r="B202" s="226">
        <v>1</v>
      </c>
      <c r="C202" s="226">
        <v>27</v>
      </c>
      <c r="D202" s="232">
        <f t="shared" si="6"/>
        <v>44588</v>
      </c>
      <c r="E202" s="234">
        <f t="shared" si="5"/>
        <v>44588</v>
      </c>
      <c r="F202" s="479"/>
      <c r="G202" s="227" t="s">
        <v>1111</v>
      </c>
      <c r="H202" s="228" t="str" cm="1">
        <f t="array" ref="H202">IFERROR(INDEX(INVESTOR_LIST[INVESTOR NAME],MATCH(I202,INVESTOR_LIST[INVESTOR CODE],0),)," ")</f>
        <v>SHANTA PAUL</v>
      </c>
      <c r="I202" s="299" t="s">
        <v>648</v>
      </c>
      <c r="J202" s="229" t="s">
        <v>14</v>
      </c>
      <c r="K202" s="230"/>
      <c r="L202" s="298">
        <v>1000000</v>
      </c>
    </row>
    <row r="203" spans="1:12" ht="11.25" customHeight="1" x14ac:dyDescent="0.2">
      <c r="A203" s="221">
        <v>2022</v>
      </c>
      <c r="B203" s="221">
        <v>1</v>
      </c>
      <c r="C203" s="221">
        <v>27</v>
      </c>
      <c r="D203" s="231">
        <f t="shared" si="6"/>
        <v>44588</v>
      </c>
      <c r="E203" s="233">
        <f t="shared" si="5"/>
        <v>44588</v>
      </c>
      <c r="F203" s="478" t="s">
        <v>802</v>
      </c>
      <c r="G203" s="222" t="s">
        <v>1111</v>
      </c>
      <c r="H203" s="223" t="str" cm="1">
        <f t="array" ref="H203">IFERROR(INDEX(INVESTOR_LIST[INVESTOR NAME],MATCH(I203,INVESTOR_LIST[INVESTOR CODE],0),)," ")</f>
        <v>EVEREST PHARMACEUTICALS LTD. EMPLOYEES CONTRIBUTORY PROVIDENT FUND</v>
      </c>
      <c r="I203" s="299" t="s">
        <v>884</v>
      </c>
      <c r="J203" s="224" t="s">
        <v>55</v>
      </c>
      <c r="K203" s="298">
        <v>1000000</v>
      </c>
      <c r="L203" s="225"/>
    </row>
    <row r="204" spans="1:12" ht="11.25" customHeight="1" x14ac:dyDescent="0.2">
      <c r="A204" s="226">
        <v>2022</v>
      </c>
      <c r="B204" s="226">
        <v>1</v>
      </c>
      <c r="C204" s="226">
        <v>27</v>
      </c>
      <c r="D204" s="232">
        <f t="shared" si="6"/>
        <v>44588</v>
      </c>
      <c r="E204" s="234">
        <f t="shared" si="5"/>
        <v>44588</v>
      </c>
      <c r="F204" s="479"/>
      <c r="G204" s="227" t="s">
        <v>1111</v>
      </c>
      <c r="H204" s="228" t="str" cm="1">
        <f t="array" ref="H204">IFERROR(INDEX(INVESTOR_LIST[INVESTOR NAME],MATCH(I204,INVESTOR_LIST[INVESTOR CODE],0),)," ")</f>
        <v>EVEREST PHARMACEUTICALS LTD. EMPLOYEES CONTRIBUTORY PROVIDENT FUND</v>
      </c>
      <c r="I204" s="299" t="s">
        <v>884</v>
      </c>
      <c r="J204" s="229" t="s">
        <v>14</v>
      </c>
      <c r="K204" s="230"/>
      <c r="L204" s="298">
        <v>1000000</v>
      </c>
    </row>
    <row r="205" spans="1:12" ht="11.25" customHeight="1" x14ac:dyDescent="0.2">
      <c r="A205" s="221">
        <v>2022</v>
      </c>
      <c r="B205" s="221">
        <v>1</v>
      </c>
      <c r="C205" s="221">
        <v>27</v>
      </c>
      <c r="D205" s="231">
        <f t="shared" si="6"/>
        <v>44588</v>
      </c>
      <c r="E205" s="233">
        <f t="shared" si="5"/>
        <v>44588</v>
      </c>
      <c r="F205" s="478" t="s">
        <v>802</v>
      </c>
      <c r="G205" s="222" t="s">
        <v>1111</v>
      </c>
      <c r="H205" s="223" t="str" cm="1">
        <f t="array" ref="H205">IFERROR(INDEX(INVESTOR_LIST[INVESTOR NAME],MATCH(I205,INVESTOR_LIST[INVESTOR CODE],0),)," ")</f>
        <v>A.K.M. ANWARUL HOQ</v>
      </c>
      <c r="I205" s="299" t="s">
        <v>886</v>
      </c>
      <c r="J205" s="224" t="s">
        <v>55</v>
      </c>
      <c r="K205" s="298">
        <v>1000000</v>
      </c>
      <c r="L205" s="225"/>
    </row>
    <row r="206" spans="1:12" ht="11.25" customHeight="1" x14ac:dyDescent="0.2">
      <c r="A206" s="226">
        <v>2022</v>
      </c>
      <c r="B206" s="226">
        <v>1</v>
      </c>
      <c r="C206" s="226">
        <v>27</v>
      </c>
      <c r="D206" s="232">
        <f t="shared" si="6"/>
        <v>44588</v>
      </c>
      <c r="E206" s="234">
        <f t="shared" si="5"/>
        <v>44588</v>
      </c>
      <c r="F206" s="479"/>
      <c r="G206" s="227" t="s">
        <v>1111</v>
      </c>
      <c r="H206" s="228" t="str" cm="1">
        <f t="array" ref="H206">IFERROR(INDEX(INVESTOR_LIST[INVESTOR NAME],MATCH(I206,INVESTOR_LIST[INVESTOR CODE],0),)," ")</f>
        <v>A.K.M. ANWARUL HOQ</v>
      </c>
      <c r="I206" s="299" t="s">
        <v>886</v>
      </c>
      <c r="J206" s="229" t="s">
        <v>14</v>
      </c>
      <c r="K206" s="230"/>
      <c r="L206" s="298">
        <v>1000000</v>
      </c>
    </row>
    <row r="207" spans="1:12" ht="11.25" customHeight="1" x14ac:dyDescent="0.2">
      <c r="A207" s="221">
        <v>2022</v>
      </c>
      <c r="B207" s="221">
        <v>1</v>
      </c>
      <c r="C207" s="221">
        <v>27</v>
      </c>
      <c r="D207" s="231">
        <f t="shared" si="6"/>
        <v>44588</v>
      </c>
      <c r="E207" s="233">
        <f t="shared" si="5"/>
        <v>44588</v>
      </c>
      <c r="F207" s="478" t="s">
        <v>802</v>
      </c>
      <c r="G207" s="222" t="s">
        <v>1111</v>
      </c>
      <c r="H207" s="223" t="str" cm="1">
        <f t="array" ref="H207">IFERROR(INDEX(INVESTOR_LIST[INVESTOR NAME],MATCH(I207,INVESTOR_LIST[INVESTOR CODE],0),)," ")</f>
        <v>MOHAMMAD MOZNU MOLLAH</v>
      </c>
      <c r="I207" s="299" t="s">
        <v>888</v>
      </c>
      <c r="J207" s="224" t="s">
        <v>55</v>
      </c>
      <c r="K207" s="298">
        <v>1000000</v>
      </c>
      <c r="L207" s="225"/>
    </row>
    <row r="208" spans="1:12" ht="11.25" customHeight="1" x14ac:dyDescent="0.2">
      <c r="A208" s="226">
        <v>2022</v>
      </c>
      <c r="B208" s="226">
        <v>1</v>
      </c>
      <c r="C208" s="226">
        <v>27</v>
      </c>
      <c r="D208" s="232">
        <f t="shared" si="6"/>
        <v>44588</v>
      </c>
      <c r="E208" s="234">
        <f t="shared" si="5"/>
        <v>44588</v>
      </c>
      <c r="F208" s="479"/>
      <c r="G208" s="227" t="s">
        <v>1111</v>
      </c>
      <c r="H208" s="228" t="str" cm="1">
        <f t="array" ref="H208">IFERROR(INDEX(INVESTOR_LIST[INVESTOR NAME],MATCH(I208,INVESTOR_LIST[INVESTOR CODE],0),)," ")</f>
        <v>MOHAMMAD MOZNU MOLLAH</v>
      </c>
      <c r="I208" s="299" t="s">
        <v>888</v>
      </c>
      <c r="J208" s="229" t="s">
        <v>14</v>
      </c>
      <c r="K208" s="230"/>
      <c r="L208" s="298">
        <v>1000000</v>
      </c>
    </row>
    <row r="209" spans="1:12" ht="11.25" customHeight="1" x14ac:dyDescent="0.2">
      <c r="A209" s="221">
        <v>2022</v>
      </c>
      <c r="B209" s="221">
        <v>1</v>
      </c>
      <c r="C209" s="221">
        <v>27</v>
      </c>
      <c r="D209" s="231">
        <f t="shared" si="6"/>
        <v>44588</v>
      </c>
      <c r="E209" s="233">
        <f t="shared" si="5"/>
        <v>44588</v>
      </c>
      <c r="F209" s="478" t="s">
        <v>802</v>
      </c>
      <c r="G209" s="222" t="s">
        <v>1111</v>
      </c>
      <c r="H209" s="223" t="str" cm="1">
        <f t="array" ref="H209">IFERROR(INDEX(INVESTOR_LIST[INVESTOR NAME],MATCH(I209,INVESTOR_LIST[INVESTOR CODE],0),)," ")</f>
        <v>MD. ZAKIR HOSSAIN</v>
      </c>
      <c r="I209" s="299" t="s">
        <v>890</v>
      </c>
      <c r="J209" s="224" t="s">
        <v>55</v>
      </c>
      <c r="K209" s="298">
        <v>1000000</v>
      </c>
      <c r="L209" s="225"/>
    </row>
    <row r="210" spans="1:12" ht="11.25" customHeight="1" x14ac:dyDescent="0.2">
      <c r="A210" s="226">
        <v>2022</v>
      </c>
      <c r="B210" s="226">
        <v>1</v>
      </c>
      <c r="C210" s="226">
        <v>27</v>
      </c>
      <c r="D210" s="232">
        <f t="shared" si="6"/>
        <v>44588</v>
      </c>
      <c r="E210" s="234">
        <f t="shared" si="5"/>
        <v>44588</v>
      </c>
      <c r="F210" s="479"/>
      <c r="G210" s="227" t="s">
        <v>1111</v>
      </c>
      <c r="H210" s="228" t="str" cm="1">
        <f t="array" ref="H210">IFERROR(INDEX(INVESTOR_LIST[INVESTOR NAME],MATCH(I210,INVESTOR_LIST[INVESTOR CODE],0),)," ")</f>
        <v>MD. ZAKIR HOSSAIN</v>
      </c>
      <c r="I210" s="299" t="s">
        <v>890</v>
      </c>
      <c r="J210" s="229" t="s">
        <v>14</v>
      </c>
      <c r="K210" s="230"/>
      <c r="L210" s="298">
        <v>1000000</v>
      </c>
    </row>
    <row r="211" spans="1:12" ht="11.25" customHeight="1" x14ac:dyDescent="0.2">
      <c r="A211" s="221">
        <v>2022</v>
      </c>
      <c r="B211" s="221">
        <v>1</v>
      </c>
      <c r="C211" s="221">
        <v>27</v>
      </c>
      <c r="D211" s="231">
        <f t="shared" si="6"/>
        <v>44588</v>
      </c>
      <c r="E211" s="233">
        <f t="shared" si="5"/>
        <v>44588</v>
      </c>
      <c r="F211" s="478" t="s">
        <v>802</v>
      </c>
      <c r="G211" s="222" t="s">
        <v>1111</v>
      </c>
      <c r="H211" s="223" t="str" cm="1">
        <f t="array" ref="H211">IFERROR(INDEX(INVESTOR_LIST[INVESTOR NAME],MATCH(I211,INVESTOR_LIST[INVESTOR CODE],0),)," ")</f>
        <v>MOHAMMAD SAIFUL ISLAM</v>
      </c>
      <c r="I211" s="299" t="s">
        <v>892</v>
      </c>
      <c r="J211" s="224" t="s">
        <v>55</v>
      </c>
      <c r="K211" s="298">
        <v>1000000</v>
      </c>
      <c r="L211" s="225"/>
    </row>
    <row r="212" spans="1:12" ht="11.25" customHeight="1" x14ac:dyDescent="0.2">
      <c r="A212" s="226">
        <v>2022</v>
      </c>
      <c r="B212" s="226">
        <v>1</v>
      </c>
      <c r="C212" s="226">
        <v>27</v>
      </c>
      <c r="D212" s="232">
        <f t="shared" si="6"/>
        <v>44588</v>
      </c>
      <c r="E212" s="234">
        <f t="shared" si="5"/>
        <v>44588</v>
      </c>
      <c r="F212" s="479"/>
      <c r="G212" s="227" t="s">
        <v>1111</v>
      </c>
      <c r="H212" s="228" t="str" cm="1">
        <f t="array" ref="H212">IFERROR(INDEX(INVESTOR_LIST[INVESTOR NAME],MATCH(I212,INVESTOR_LIST[INVESTOR CODE],0),)," ")</f>
        <v>MOHAMMAD SAIFUL ISLAM</v>
      </c>
      <c r="I212" s="299" t="s">
        <v>892</v>
      </c>
      <c r="J212" s="229" t="s">
        <v>14</v>
      </c>
      <c r="K212" s="230"/>
      <c r="L212" s="298">
        <v>1000000</v>
      </c>
    </row>
    <row r="213" spans="1:12" ht="11.25" customHeight="1" x14ac:dyDescent="0.2">
      <c r="A213" s="221">
        <v>2022</v>
      </c>
      <c r="B213" s="221">
        <v>1</v>
      </c>
      <c r="C213" s="221">
        <v>27</v>
      </c>
      <c r="D213" s="231">
        <f t="shared" si="6"/>
        <v>44588</v>
      </c>
      <c r="E213" s="233">
        <f t="shared" si="5"/>
        <v>44588</v>
      </c>
      <c r="F213" s="478" t="s">
        <v>802</v>
      </c>
      <c r="G213" s="222" t="s">
        <v>1111</v>
      </c>
      <c r="H213" s="223" t="str" cm="1">
        <f t="array" ref="H213">IFERROR(INDEX(INVESTOR_LIST[INVESTOR NAME],MATCH(I213,INVESTOR_LIST[INVESTOR CODE],0),)," ")</f>
        <v>MD. GOLAM MORTAZA</v>
      </c>
      <c r="I213" s="299" t="s">
        <v>836</v>
      </c>
      <c r="J213" s="224" t="s">
        <v>55</v>
      </c>
      <c r="K213" s="298">
        <v>500000</v>
      </c>
      <c r="L213" s="225"/>
    </row>
    <row r="214" spans="1:12" ht="11.25" customHeight="1" x14ac:dyDescent="0.2">
      <c r="A214" s="226">
        <v>2022</v>
      </c>
      <c r="B214" s="226">
        <v>1</v>
      </c>
      <c r="C214" s="226">
        <v>27</v>
      </c>
      <c r="D214" s="232">
        <f t="shared" si="6"/>
        <v>44588</v>
      </c>
      <c r="E214" s="234">
        <f t="shared" si="5"/>
        <v>44588</v>
      </c>
      <c r="F214" s="479"/>
      <c r="G214" s="227" t="s">
        <v>1111</v>
      </c>
      <c r="H214" s="228" t="str" cm="1">
        <f t="array" ref="H214">IFERROR(INDEX(INVESTOR_LIST[INVESTOR NAME],MATCH(I214,INVESTOR_LIST[INVESTOR CODE],0),)," ")</f>
        <v>MD. GOLAM MORTAZA</v>
      </c>
      <c r="I214" s="299" t="s">
        <v>836</v>
      </c>
      <c r="J214" s="229" t="s">
        <v>14</v>
      </c>
      <c r="K214" s="230"/>
      <c r="L214" s="298">
        <v>500000</v>
      </c>
    </row>
    <row r="215" spans="1:12" ht="11.25" customHeight="1" x14ac:dyDescent="0.2">
      <c r="A215" s="221">
        <v>2022</v>
      </c>
      <c r="B215" s="221">
        <v>1</v>
      </c>
      <c r="C215" s="221">
        <v>27</v>
      </c>
      <c r="D215" s="231">
        <f t="shared" si="6"/>
        <v>44588</v>
      </c>
      <c r="E215" s="233">
        <f t="shared" si="5"/>
        <v>44588</v>
      </c>
      <c r="F215" s="478" t="s">
        <v>802</v>
      </c>
      <c r="G215" s="222" t="s">
        <v>1111</v>
      </c>
      <c r="H215" s="223" t="str" cm="1">
        <f t="array" ref="H215">IFERROR(INDEX(INVESTOR_LIST[INVESTOR NAME],MATCH(I215,INVESTOR_LIST[INVESTOR CODE],0),)," ")</f>
        <v>LILY RANI PAUL</v>
      </c>
      <c r="I215" s="299" t="s">
        <v>400</v>
      </c>
      <c r="J215" s="224" t="s">
        <v>55</v>
      </c>
      <c r="K215" s="298">
        <v>800000</v>
      </c>
      <c r="L215" s="225"/>
    </row>
    <row r="216" spans="1:12" ht="11.25" customHeight="1" x14ac:dyDescent="0.2">
      <c r="A216" s="226">
        <v>2022</v>
      </c>
      <c r="B216" s="226">
        <v>1</v>
      </c>
      <c r="C216" s="226">
        <v>27</v>
      </c>
      <c r="D216" s="232">
        <f t="shared" si="6"/>
        <v>44588</v>
      </c>
      <c r="E216" s="234">
        <f t="shared" si="5"/>
        <v>44588</v>
      </c>
      <c r="F216" s="479"/>
      <c r="G216" s="227" t="s">
        <v>1111</v>
      </c>
      <c r="H216" s="228" t="str" cm="1">
        <f t="array" ref="H216">IFERROR(INDEX(INVESTOR_LIST[INVESTOR NAME],MATCH(I216,INVESTOR_LIST[INVESTOR CODE],0),)," ")</f>
        <v>LILY RANI PAUL</v>
      </c>
      <c r="I216" s="299" t="s">
        <v>400</v>
      </c>
      <c r="J216" s="229" t="s">
        <v>14</v>
      </c>
      <c r="K216" s="230"/>
      <c r="L216" s="298">
        <v>800000</v>
      </c>
    </row>
    <row r="217" spans="1:12" ht="11.25" customHeight="1" x14ac:dyDescent="0.2">
      <c r="A217" s="221">
        <v>2022</v>
      </c>
      <c r="B217" s="221">
        <v>1</v>
      </c>
      <c r="C217" s="221">
        <v>27</v>
      </c>
      <c r="D217" s="231">
        <f t="shared" si="6"/>
        <v>44588</v>
      </c>
      <c r="E217" s="233">
        <f t="shared" si="5"/>
        <v>44588</v>
      </c>
      <c r="F217" s="478" t="s">
        <v>802</v>
      </c>
      <c r="G217" s="222" t="s">
        <v>1111</v>
      </c>
      <c r="H217" s="223" t="str" cm="1">
        <f t="array" ref="H217">IFERROR(INDEX(INVESTOR_LIST[INVESTOR NAME],MATCH(I217,INVESTOR_LIST[INVESTOR CODE],0),)," ")</f>
        <v>SHIULI RANI SAHA</v>
      </c>
      <c r="I217" s="299" t="s">
        <v>894</v>
      </c>
      <c r="J217" s="224" t="s">
        <v>55</v>
      </c>
      <c r="K217" s="298">
        <v>100000</v>
      </c>
      <c r="L217" s="225"/>
    </row>
    <row r="218" spans="1:12" ht="11.25" customHeight="1" x14ac:dyDescent="0.2">
      <c r="A218" s="226">
        <v>2022</v>
      </c>
      <c r="B218" s="226">
        <v>1</v>
      </c>
      <c r="C218" s="226">
        <v>27</v>
      </c>
      <c r="D218" s="232">
        <f t="shared" si="6"/>
        <v>44588</v>
      </c>
      <c r="E218" s="234">
        <f t="shared" si="5"/>
        <v>44588</v>
      </c>
      <c r="F218" s="479"/>
      <c r="G218" s="227" t="s">
        <v>1111</v>
      </c>
      <c r="H218" s="228" t="str" cm="1">
        <f t="array" ref="H218">IFERROR(INDEX(INVESTOR_LIST[INVESTOR NAME],MATCH(I218,INVESTOR_LIST[INVESTOR CODE],0),)," ")</f>
        <v>SHIULI RANI SAHA</v>
      </c>
      <c r="I218" s="299" t="s">
        <v>894</v>
      </c>
      <c r="J218" s="229" t="s">
        <v>14</v>
      </c>
      <c r="K218" s="230"/>
      <c r="L218" s="298">
        <v>100000</v>
      </c>
    </row>
    <row r="219" spans="1:12" ht="11.25" customHeight="1" x14ac:dyDescent="0.2">
      <c r="A219" s="221">
        <v>2022</v>
      </c>
      <c r="B219" s="221">
        <v>1</v>
      </c>
      <c r="C219" s="221">
        <v>27</v>
      </c>
      <c r="D219" s="231">
        <f t="shared" si="6"/>
        <v>44588</v>
      </c>
      <c r="E219" s="233">
        <f t="shared" si="5"/>
        <v>44588</v>
      </c>
      <c r="F219" s="478" t="s">
        <v>802</v>
      </c>
      <c r="G219" s="222" t="s">
        <v>1111</v>
      </c>
      <c r="H219" s="223" t="str" cm="1">
        <f t="array" ref="H219">IFERROR(INDEX(INVESTOR_LIST[INVESTOR NAME],MATCH(I219,INVESTOR_LIST[INVESTOR CODE],0),)," ")</f>
        <v>LILY RANI PAUL</v>
      </c>
      <c r="I219" s="299" t="s">
        <v>400</v>
      </c>
      <c r="J219" s="224" t="s">
        <v>55</v>
      </c>
      <c r="K219" s="298">
        <v>300000</v>
      </c>
      <c r="L219" s="225"/>
    </row>
    <row r="220" spans="1:12" ht="11.25" customHeight="1" x14ac:dyDescent="0.2">
      <c r="A220" s="226">
        <v>2022</v>
      </c>
      <c r="B220" s="226">
        <v>1</v>
      </c>
      <c r="C220" s="226">
        <v>27</v>
      </c>
      <c r="D220" s="232">
        <f t="shared" si="6"/>
        <v>44588</v>
      </c>
      <c r="E220" s="234">
        <f t="shared" si="5"/>
        <v>44588</v>
      </c>
      <c r="F220" s="479"/>
      <c r="G220" s="227" t="s">
        <v>1111</v>
      </c>
      <c r="H220" s="228" t="str" cm="1">
        <f t="array" ref="H220">IFERROR(INDEX(INVESTOR_LIST[INVESTOR NAME],MATCH(I220,INVESTOR_LIST[INVESTOR CODE],0),)," ")</f>
        <v>LILY RANI PAUL</v>
      </c>
      <c r="I220" s="299" t="s">
        <v>400</v>
      </c>
      <c r="J220" s="229" t="s">
        <v>14</v>
      </c>
      <c r="K220" s="230"/>
      <c r="L220" s="230">
        <v>300000</v>
      </c>
    </row>
    <row r="221" spans="1:12" ht="11.25" customHeight="1" x14ac:dyDescent="0.2">
      <c r="A221" s="221">
        <v>2022</v>
      </c>
      <c r="B221" s="221">
        <v>1</v>
      </c>
      <c r="C221" s="221">
        <v>27</v>
      </c>
      <c r="D221" s="231">
        <f t="shared" si="6"/>
        <v>44588</v>
      </c>
      <c r="E221" s="233">
        <f t="shared" si="5"/>
        <v>44588</v>
      </c>
      <c r="F221" s="478" t="s">
        <v>802</v>
      </c>
      <c r="G221" s="222" t="s">
        <v>1111</v>
      </c>
      <c r="H221" s="223" t="str" cm="1">
        <f t="array" ref="H221">IFERROR(INDEX(INVESTOR_LIST[INVESTOR NAME],MATCH(I221,INVESTOR_LIST[INVESTOR CODE],0),)," ")</f>
        <v>VANGUARD AML GROWTH FUND</v>
      </c>
      <c r="I221" s="299" t="s">
        <v>896</v>
      </c>
      <c r="J221" s="224" t="s">
        <v>55</v>
      </c>
      <c r="K221" s="298">
        <v>5000000</v>
      </c>
      <c r="L221" s="225"/>
    </row>
    <row r="222" spans="1:12" ht="11.25" customHeight="1" x14ac:dyDescent="0.2">
      <c r="A222" s="226">
        <v>2022</v>
      </c>
      <c r="B222" s="226">
        <v>1</v>
      </c>
      <c r="C222" s="226">
        <v>27</v>
      </c>
      <c r="D222" s="232">
        <f t="shared" si="6"/>
        <v>44588</v>
      </c>
      <c r="E222" s="234">
        <f t="shared" si="5"/>
        <v>44588</v>
      </c>
      <c r="F222" s="479"/>
      <c r="G222" s="227" t="s">
        <v>1111</v>
      </c>
      <c r="H222" s="228" t="str" cm="1">
        <f t="array" ref="H222">IFERROR(INDEX(INVESTOR_LIST[INVESTOR NAME],MATCH(I222,INVESTOR_LIST[INVESTOR CODE],0),)," ")</f>
        <v>VANGUARD AML GROWTH FUND</v>
      </c>
      <c r="I222" s="299" t="s">
        <v>896</v>
      </c>
      <c r="J222" s="229" t="s">
        <v>14</v>
      </c>
      <c r="K222" s="230"/>
      <c r="L222" s="230">
        <v>5000000</v>
      </c>
    </row>
    <row r="223" spans="1:12" ht="11.25" customHeight="1" x14ac:dyDescent="0.2">
      <c r="A223" s="221">
        <v>2022</v>
      </c>
      <c r="B223" s="221">
        <v>1</v>
      </c>
      <c r="C223" s="221">
        <v>27</v>
      </c>
      <c r="D223" s="231">
        <f t="shared" si="6"/>
        <v>44588</v>
      </c>
      <c r="E223" s="233">
        <f t="shared" si="5"/>
        <v>44588</v>
      </c>
      <c r="F223" s="478" t="s">
        <v>802</v>
      </c>
      <c r="G223" s="222" t="s">
        <v>1111</v>
      </c>
      <c r="H223" s="223" t="str" cm="1">
        <f t="array" ref="H223">IFERROR(INDEX(INVESTOR_LIST[INVESTOR NAME],MATCH(I223,INVESTOR_LIST[INVESTOR CODE],0),)," ")</f>
        <v>FAKARUDDIN ALI AHMED</v>
      </c>
      <c r="I223" s="299" t="s">
        <v>407</v>
      </c>
      <c r="J223" s="224" t="s">
        <v>55</v>
      </c>
      <c r="K223" s="298">
        <v>1000000</v>
      </c>
      <c r="L223" s="225"/>
    </row>
    <row r="224" spans="1:12" ht="11.25" customHeight="1" x14ac:dyDescent="0.2">
      <c r="A224" s="226">
        <v>2022</v>
      </c>
      <c r="B224" s="226">
        <v>1</v>
      </c>
      <c r="C224" s="226">
        <v>27</v>
      </c>
      <c r="D224" s="232">
        <f t="shared" si="6"/>
        <v>44588</v>
      </c>
      <c r="E224" s="234">
        <f t="shared" si="5"/>
        <v>44588</v>
      </c>
      <c r="F224" s="479"/>
      <c r="G224" s="227" t="s">
        <v>1111</v>
      </c>
      <c r="H224" s="228" t="str" cm="1">
        <f t="array" ref="H224">IFERROR(INDEX(INVESTOR_LIST[INVESTOR NAME],MATCH(I224,INVESTOR_LIST[INVESTOR CODE],0),)," ")</f>
        <v>FAKARUDDIN ALI AHMED</v>
      </c>
      <c r="I224" s="299" t="s">
        <v>407</v>
      </c>
      <c r="J224" s="229" t="s">
        <v>14</v>
      </c>
      <c r="K224" s="230"/>
      <c r="L224" s="230">
        <v>1000000</v>
      </c>
    </row>
    <row r="225" spans="1:12" ht="11.25" customHeight="1" x14ac:dyDescent="0.2">
      <c r="A225" s="221">
        <v>2022</v>
      </c>
      <c r="B225" s="221">
        <v>1</v>
      </c>
      <c r="C225" s="221">
        <v>27</v>
      </c>
      <c r="D225" s="231">
        <f t="shared" si="6"/>
        <v>44588</v>
      </c>
      <c r="E225" s="233">
        <f t="shared" si="5"/>
        <v>44588</v>
      </c>
      <c r="F225" s="478" t="s">
        <v>802</v>
      </c>
      <c r="G225" s="222" t="s">
        <v>1111</v>
      </c>
      <c r="H225" s="223" t="str" cm="1">
        <f t="array" ref="H225">IFERROR(INDEX(INVESTOR_LIST[INVESTOR NAME],MATCH(I225,INVESTOR_LIST[INVESTOR CODE],0),)," ")</f>
        <v>RAIS UDDIN AHMAD</v>
      </c>
      <c r="I225" s="299" t="s">
        <v>743</v>
      </c>
      <c r="J225" s="224" t="s">
        <v>55</v>
      </c>
      <c r="K225" s="298">
        <v>500000</v>
      </c>
      <c r="L225" s="225"/>
    </row>
    <row r="226" spans="1:12" ht="11.25" customHeight="1" x14ac:dyDescent="0.2">
      <c r="A226" s="226">
        <v>2022</v>
      </c>
      <c r="B226" s="226">
        <v>1</v>
      </c>
      <c r="C226" s="226">
        <v>27</v>
      </c>
      <c r="D226" s="232">
        <f t="shared" si="6"/>
        <v>44588</v>
      </c>
      <c r="E226" s="234">
        <f t="shared" si="5"/>
        <v>44588</v>
      </c>
      <c r="F226" s="479"/>
      <c r="G226" s="227" t="s">
        <v>1111</v>
      </c>
      <c r="H226" s="228" t="str" cm="1">
        <f t="array" ref="H226">IFERROR(INDEX(INVESTOR_LIST[INVESTOR NAME],MATCH(I226,INVESTOR_LIST[INVESTOR CODE],0),)," ")</f>
        <v>RAIS UDDIN AHMAD</v>
      </c>
      <c r="I226" s="299" t="s">
        <v>743</v>
      </c>
      <c r="J226" s="229" t="s">
        <v>14</v>
      </c>
      <c r="K226" s="230"/>
      <c r="L226" s="230">
        <v>500000</v>
      </c>
    </row>
    <row r="227" spans="1:12" ht="11.25" customHeight="1" x14ac:dyDescent="0.2">
      <c r="A227" s="221">
        <v>2022</v>
      </c>
      <c r="B227" s="221">
        <v>1</v>
      </c>
      <c r="C227" s="221">
        <v>27</v>
      </c>
      <c r="D227" s="231">
        <f t="shared" si="6"/>
        <v>44588</v>
      </c>
      <c r="E227" s="233">
        <f t="shared" si="5"/>
        <v>44588</v>
      </c>
      <c r="F227" s="478" t="s">
        <v>802</v>
      </c>
      <c r="G227" s="222" t="s">
        <v>1111</v>
      </c>
      <c r="H227" s="223" t="str" cm="1">
        <f t="array" ref="H227">IFERROR(INDEX(INVESTOR_LIST[INVESTOR NAME],MATCH(I227,INVESTOR_LIST[INVESTOR CODE],0),)," ")</f>
        <v>ABACI INVESTMENTS LTD. EC PROVIDENT FUND</v>
      </c>
      <c r="I227" s="299" t="s">
        <v>641</v>
      </c>
      <c r="J227" s="224" t="s">
        <v>55</v>
      </c>
      <c r="K227" s="298">
        <v>2000000</v>
      </c>
      <c r="L227" s="225"/>
    </row>
    <row r="228" spans="1:12" ht="11.25" customHeight="1" x14ac:dyDescent="0.2">
      <c r="A228" s="226">
        <v>2022</v>
      </c>
      <c r="B228" s="226">
        <v>1</v>
      </c>
      <c r="C228" s="226">
        <v>27</v>
      </c>
      <c r="D228" s="232">
        <f t="shared" si="6"/>
        <v>44588</v>
      </c>
      <c r="E228" s="234">
        <f t="shared" si="5"/>
        <v>44588</v>
      </c>
      <c r="F228" s="479"/>
      <c r="G228" s="227" t="s">
        <v>1111</v>
      </c>
      <c r="H228" s="228" t="str" cm="1">
        <f t="array" ref="H228">IFERROR(INDEX(INVESTOR_LIST[INVESTOR NAME],MATCH(I228,INVESTOR_LIST[INVESTOR CODE],0),)," ")</f>
        <v>ABACI INVESTMENTS LTD. EC PROVIDENT FUND</v>
      </c>
      <c r="I228" s="299" t="s">
        <v>641</v>
      </c>
      <c r="J228" s="229" t="s">
        <v>14</v>
      </c>
      <c r="K228" s="230"/>
      <c r="L228" s="230">
        <v>2000000</v>
      </c>
    </row>
    <row r="229" spans="1:12" ht="11.25" customHeight="1" x14ac:dyDescent="0.2">
      <c r="A229" s="221">
        <v>2022</v>
      </c>
      <c r="B229" s="221">
        <v>1</v>
      </c>
      <c r="C229" s="221">
        <v>27</v>
      </c>
      <c r="D229" s="231">
        <f t="shared" si="6"/>
        <v>44588</v>
      </c>
      <c r="E229" s="233">
        <f t="shared" si="5"/>
        <v>44588</v>
      </c>
      <c r="F229" s="478" t="s">
        <v>1114</v>
      </c>
      <c r="G229" s="222" t="s">
        <v>1111</v>
      </c>
      <c r="H229" s="223" t="str" cm="1">
        <f t="array" ref="H229">IFERROR(INDEX(INVESTOR_LIST[INVESTOR NAME],MATCH(I229,INVESTOR_LIST[INVESTOR CODE],0),)," ")</f>
        <v xml:space="preserve"> </v>
      </c>
      <c r="I229" s="223"/>
      <c r="J229" s="224" t="s">
        <v>63</v>
      </c>
      <c r="K229" s="302">
        <v>910</v>
      </c>
      <c r="L229" s="225"/>
    </row>
    <row r="230" spans="1:12" ht="11.25" customHeight="1" x14ac:dyDescent="0.2">
      <c r="A230" s="226">
        <v>2022</v>
      </c>
      <c r="B230" s="226">
        <v>1</v>
      </c>
      <c r="C230" s="226">
        <v>27</v>
      </c>
      <c r="D230" s="232">
        <f t="shared" si="6"/>
        <v>44588</v>
      </c>
      <c r="E230" s="234">
        <f t="shared" si="5"/>
        <v>44588</v>
      </c>
      <c r="F230" s="479"/>
      <c r="G230" s="227" t="s">
        <v>1111</v>
      </c>
      <c r="H230" s="228" t="str" cm="1">
        <f t="array" ref="H230">IFERROR(INDEX(INVESTOR_LIST[INVESTOR NAME],MATCH(I230,INVESTOR_LIST[INVESTOR CODE],0),)," ")</f>
        <v xml:space="preserve"> </v>
      </c>
      <c r="I230" s="228"/>
      <c r="J230" s="229" t="s">
        <v>55</v>
      </c>
      <c r="K230" s="230"/>
      <c r="L230" s="302">
        <v>910</v>
      </c>
    </row>
    <row r="231" spans="1:12" ht="11.25" customHeight="1" x14ac:dyDescent="0.2">
      <c r="A231" s="221">
        <v>2022</v>
      </c>
      <c r="B231" s="221">
        <v>1</v>
      </c>
      <c r="C231" s="221">
        <v>30</v>
      </c>
      <c r="D231" s="231">
        <f t="shared" si="6"/>
        <v>44591</v>
      </c>
      <c r="E231" s="233">
        <f t="shared" si="5"/>
        <v>44591</v>
      </c>
      <c r="F231" s="478" t="s">
        <v>1114</v>
      </c>
      <c r="G231" s="222" t="s">
        <v>1111</v>
      </c>
      <c r="H231" s="223" t="str" cm="1">
        <f t="array" ref="H231">IFERROR(INDEX(INVESTOR_LIST[INVESTOR NAME],MATCH(I231,INVESTOR_LIST[INVESTOR CODE],0),)," ")</f>
        <v xml:space="preserve"> </v>
      </c>
      <c r="I231" s="223"/>
      <c r="J231" s="224" t="s">
        <v>63</v>
      </c>
      <c r="K231" s="302">
        <v>320</v>
      </c>
      <c r="L231" s="225"/>
    </row>
    <row r="232" spans="1:12" ht="11.25" customHeight="1" x14ac:dyDescent="0.2">
      <c r="A232" s="226">
        <v>2022</v>
      </c>
      <c r="B232" s="226">
        <v>1</v>
      </c>
      <c r="C232" s="226">
        <v>30</v>
      </c>
      <c r="D232" s="232">
        <f t="shared" si="6"/>
        <v>44591</v>
      </c>
      <c r="E232" s="234">
        <f t="shared" si="5"/>
        <v>44591</v>
      </c>
      <c r="F232" s="479"/>
      <c r="G232" s="227" t="s">
        <v>1111</v>
      </c>
      <c r="H232" s="228" t="str" cm="1">
        <f t="array" ref="H232">IFERROR(INDEX(INVESTOR_LIST[INVESTOR NAME],MATCH(I232,INVESTOR_LIST[INVESTOR CODE],0),)," ")</f>
        <v xml:space="preserve"> </v>
      </c>
      <c r="I232" s="228"/>
      <c r="J232" s="229" t="s">
        <v>55</v>
      </c>
      <c r="K232" s="230"/>
      <c r="L232" s="302">
        <v>320</v>
      </c>
    </row>
    <row r="233" spans="1:12" ht="11.25" customHeight="1" x14ac:dyDescent="0.2">
      <c r="A233" s="221">
        <v>2022</v>
      </c>
      <c r="B233" s="221">
        <v>1</v>
      </c>
      <c r="C233" s="221">
        <v>30</v>
      </c>
      <c r="D233" s="231">
        <f t="shared" si="6"/>
        <v>44591</v>
      </c>
      <c r="E233" s="233">
        <f t="shared" si="5"/>
        <v>44591</v>
      </c>
      <c r="F233" s="478" t="s">
        <v>802</v>
      </c>
      <c r="G233" s="222" t="s">
        <v>1111</v>
      </c>
      <c r="H233" s="223" t="str" cm="1">
        <f t="array" ref="H233">IFERROR(INDEX(INVESTOR_LIST[INVESTOR NAME],MATCH(I233,INVESTOR_LIST[INVESTOR CODE],0),)," ")</f>
        <v>RELIANCE INSURANCE lIMITED</v>
      </c>
      <c r="I233" s="299" t="s">
        <v>392</v>
      </c>
      <c r="J233" s="224" t="s">
        <v>55</v>
      </c>
      <c r="K233" s="298">
        <v>2500000</v>
      </c>
      <c r="L233" s="225"/>
    </row>
    <row r="234" spans="1:12" ht="11.25" customHeight="1" x14ac:dyDescent="0.2">
      <c r="A234" s="226">
        <v>2022</v>
      </c>
      <c r="B234" s="226">
        <v>1</v>
      </c>
      <c r="C234" s="226">
        <v>30</v>
      </c>
      <c r="D234" s="232">
        <f t="shared" si="6"/>
        <v>44591</v>
      </c>
      <c r="E234" s="234">
        <f t="shared" si="5"/>
        <v>44591</v>
      </c>
      <c r="F234" s="479"/>
      <c r="G234" s="227" t="s">
        <v>1111</v>
      </c>
      <c r="H234" s="228" t="str" cm="1">
        <f t="array" ref="H234">IFERROR(INDEX(INVESTOR_LIST[INVESTOR NAME],MATCH(I234,INVESTOR_LIST[INVESTOR CODE],0),)," ")</f>
        <v>RELIANCE INSURANCE lIMITED</v>
      </c>
      <c r="I234" s="299" t="s">
        <v>392</v>
      </c>
      <c r="J234" s="229" t="s">
        <v>14</v>
      </c>
      <c r="K234" s="230"/>
      <c r="L234" s="230">
        <v>2500000</v>
      </c>
    </row>
    <row r="235" spans="1:12" ht="11.25" customHeight="1" x14ac:dyDescent="0.2">
      <c r="A235" s="221">
        <v>2022</v>
      </c>
      <c r="B235" s="221">
        <v>1</v>
      </c>
      <c r="C235" s="221">
        <v>30</v>
      </c>
      <c r="D235" s="231">
        <f t="shared" si="6"/>
        <v>44591</v>
      </c>
      <c r="E235" s="233">
        <f t="shared" si="5"/>
        <v>44591</v>
      </c>
      <c r="F235" s="478" t="s">
        <v>802</v>
      </c>
      <c r="G235" s="222" t="s">
        <v>1111</v>
      </c>
      <c r="H235" s="223" t="str" cm="1">
        <f t="array" ref="H235">IFERROR(INDEX(INVESTOR_LIST[INVESTOR NAME],MATCH(I235,INVESTOR_LIST[INVESTOR CODE],0),)," ")</f>
        <v>MD. ZAHID HOSSAIN</v>
      </c>
      <c r="I235" s="299" t="s">
        <v>427</v>
      </c>
      <c r="J235" s="224" t="s">
        <v>55</v>
      </c>
      <c r="K235" s="298">
        <v>500000</v>
      </c>
      <c r="L235" s="225"/>
    </row>
    <row r="236" spans="1:12" ht="11.25" customHeight="1" x14ac:dyDescent="0.2">
      <c r="A236" s="226">
        <v>2022</v>
      </c>
      <c r="B236" s="226">
        <v>1</v>
      </c>
      <c r="C236" s="226">
        <v>30</v>
      </c>
      <c r="D236" s="232">
        <f t="shared" si="6"/>
        <v>44591</v>
      </c>
      <c r="E236" s="234">
        <f t="shared" si="5"/>
        <v>44591</v>
      </c>
      <c r="F236" s="479"/>
      <c r="G236" s="227" t="s">
        <v>1111</v>
      </c>
      <c r="H236" s="228" t="str" cm="1">
        <f t="array" ref="H236">IFERROR(INDEX(INVESTOR_LIST[INVESTOR NAME],MATCH(I236,INVESTOR_LIST[INVESTOR CODE],0),)," ")</f>
        <v>MD. ZAHID HOSSAIN</v>
      </c>
      <c r="I236" s="299" t="s">
        <v>427</v>
      </c>
      <c r="J236" s="229" t="s">
        <v>14</v>
      </c>
      <c r="K236" s="230"/>
      <c r="L236" s="230">
        <v>500000</v>
      </c>
    </row>
    <row r="237" spans="1:12" ht="11.25" customHeight="1" x14ac:dyDescent="0.2">
      <c r="A237" s="221">
        <v>2022</v>
      </c>
      <c r="B237" s="221">
        <v>1</v>
      </c>
      <c r="C237" s="221">
        <v>30</v>
      </c>
      <c r="D237" s="231">
        <f t="shared" si="6"/>
        <v>44591</v>
      </c>
      <c r="E237" s="233">
        <f t="shared" si="5"/>
        <v>44591</v>
      </c>
      <c r="F237" s="478" t="s">
        <v>802</v>
      </c>
      <c r="G237" s="222" t="s">
        <v>1111</v>
      </c>
      <c r="H237" s="223" t="str" cm="1">
        <f t="array" ref="H237">IFERROR(INDEX(INVESTOR_LIST[INVESTOR NAME],MATCH(I237,INVESTOR_LIST[INVESTOR CODE],0),)," ")</f>
        <v>HOSNEARA ISLAM</v>
      </c>
      <c r="I237" s="299" t="s">
        <v>902</v>
      </c>
      <c r="J237" s="224" t="s">
        <v>55</v>
      </c>
      <c r="K237" s="298">
        <v>4500000</v>
      </c>
      <c r="L237" s="225"/>
    </row>
    <row r="238" spans="1:12" ht="11.25" customHeight="1" x14ac:dyDescent="0.2">
      <c r="A238" s="226">
        <v>2022</v>
      </c>
      <c r="B238" s="226">
        <v>1</v>
      </c>
      <c r="C238" s="226">
        <v>30</v>
      </c>
      <c r="D238" s="232">
        <f t="shared" si="6"/>
        <v>44591</v>
      </c>
      <c r="E238" s="234">
        <f t="shared" si="5"/>
        <v>44591</v>
      </c>
      <c r="F238" s="479"/>
      <c r="G238" s="227" t="s">
        <v>1111</v>
      </c>
      <c r="H238" s="228" t="str" cm="1">
        <f t="array" ref="H238">IFERROR(INDEX(INVESTOR_LIST[INVESTOR NAME],MATCH(I238,INVESTOR_LIST[INVESTOR CODE],0),)," ")</f>
        <v>HOSNEARA ISLAM</v>
      </c>
      <c r="I238" s="299" t="s">
        <v>902</v>
      </c>
      <c r="J238" s="229" t="s">
        <v>14</v>
      </c>
      <c r="K238" s="230"/>
      <c r="L238" s="230">
        <v>4500000</v>
      </c>
    </row>
    <row r="239" spans="1:12" ht="11.25" customHeight="1" x14ac:dyDescent="0.2">
      <c r="A239" s="221">
        <v>2022</v>
      </c>
      <c r="B239" s="221">
        <v>1</v>
      </c>
      <c r="C239" s="221">
        <v>30</v>
      </c>
      <c r="D239" s="231">
        <f t="shared" si="6"/>
        <v>44591</v>
      </c>
      <c r="E239" s="233">
        <f t="shared" si="5"/>
        <v>44591</v>
      </c>
      <c r="F239" s="478" t="s">
        <v>802</v>
      </c>
      <c r="G239" s="222" t="s">
        <v>1111</v>
      </c>
      <c r="H239" s="223" t="str" cm="1">
        <f t="array" ref="H239">IFERROR(INDEX(INVESTOR_LIST[INVESTOR NAME],MATCH(I239,INVESTOR_LIST[INVESTOR CODE],0),)," ")</f>
        <v>MOHAMMAD MOINUL ISLAM</v>
      </c>
      <c r="I239" s="299" t="s">
        <v>904</v>
      </c>
      <c r="J239" s="224" t="s">
        <v>55</v>
      </c>
      <c r="K239" s="298">
        <v>500000</v>
      </c>
      <c r="L239" s="225"/>
    </row>
    <row r="240" spans="1:12" ht="11.25" customHeight="1" x14ac:dyDescent="0.2">
      <c r="A240" s="226">
        <v>2022</v>
      </c>
      <c r="B240" s="226">
        <v>1</v>
      </c>
      <c r="C240" s="226">
        <v>30</v>
      </c>
      <c r="D240" s="232">
        <f t="shared" si="6"/>
        <v>44591</v>
      </c>
      <c r="E240" s="234">
        <f t="shared" si="5"/>
        <v>44591</v>
      </c>
      <c r="F240" s="479"/>
      <c r="G240" s="227" t="s">
        <v>1111</v>
      </c>
      <c r="H240" s="228" t="str" cm="1">
        <f t="array" ref="H240">IFERROR(INDEX(INVESTOR_LIST[INVESTOR NAME],MATCH(I240,INVESTOR_LIST[INVESTOR CODE],0),)," ")</f>
        <v>MOHAMMAD MOINUL ISLAM</v>
      </c>
      <c r="I240" s="299" t="s">
        <v>904</v>
      </c>
      <c r="J240" s="229" t="s">
        <v>14</v>
      </c>
      <c r="K240" s="230"/>
      <c r="L240" s="230">
        <v>500000</v>
      </c>
    </row>
    <row r="241" spans="1:12" ht="11.25" customHeight="1" x14ac:dyDescent="0.2">
      <c r="A241" s="221">
        <v>2022</v>
      </c>
      <c r="B241" s="221">
        <v>1</v>
      </c>
      <c r="C241" s="221">
        <v>30</v>
      </c>
      <c r="D241" s="231">
        <f t="shared" si="6"/>
        <v>44591</v>
      </c>
      <c r="E241" s="233">
        <f t="shared" ref="E241:E308" si="7">DATE(A241,B241,C241)</f>
        <v>44591</v>
      </c>
      <c r="F241" s="478" t="s">
        <v>802</v>
      </c>
      <c r="G241" s="222" t="s">
        <v>1111</v>
      </c>
      <c r="H241" s="223" t="str" cm="1">
        <f t="array" ref="H241">IFERROR(INDEX(INVESTOR_LIST[INVESTOR NAME],MATCH(I241,INVESTOR_LIST[INVESTOR CODE],0),)," ")</f>
        <v>UNICAP INVESTMENTS LIMITED</v>
      </c>
      <c r="I241" s="299" t="s">
        <v>386</v>
      </c>
      <c r="J241" s="224" t="s">
        <v>55</v>
      </c>
      <c r="K241" s="298">
        <v>1000000</v>
      </c>
      <c r="L241" s="225"/>
    </row>
    <row r="242" spans="1:12" ht="11.25" customHeight="1" x14ac:dyDescent="0.2">
      <c r="A242" s="226">
        <v>2022</v>
      </c>
      <c r="B242" s="226">
        <v>1</v>
      </c>
      <c r="C242" s="226">
        <v>30</v>
      </c>
      <c r="D242" s="232">
        <f t="shared" si="6"/>
        <v>44591</v>
      </c>
      <c r="E242" s="234">
        <f t="shared" si="7"/>
        <v>44591</v>
      </c>
      <c r="F242" s="479"/>
      <c r="G242" s="227" t="s">
        <v>1111</v>
      </c>
      <c r="H242" s="228" t="str" cm="1">
        <f t="array" ref="H242">IFERROR(INDEX(INVESTOR_LIST[INVESTOR NAME],MATCH(I242,INVESTOR_LIST[INVESTOR CODE],0),)," ")</f>
        <v>UNICAP INVESTMENTS LIMITED</v>
      </c>
      <c r="I242" s="299" t="s">
        <v>386</v>
      </c>
      <c r="J242" s="229" t="s">
        <v>14</v>
      </c>
      <c r="K242" s="230"/>
      <c r="L242" s="230">
        <v>1000000</v>
      </c>
    </row>
    <row r="243" spans="1:12" ht="11.25" customHeight="1" x14ac:dyDescent="0.2">
      <c r="A243" s="221">
        <v>2022</v>
      </c>
      <c r="B243" s="221">
        <v>1</v>
      </c>
      <c r="C243" s="221">
        <v>30</v>
      </c>
      <c r="D243" s="231">
        <f t="shared" si="6"/>
        <v>44591</v>
      </c>
      <c r="E243" s="233">
        <f t="shared" si="7"/>
        <v>44591</v>
      </c>
      <c r="F243" s="478" t="s">
        <v>802</v>
      </c>
      <c r="G243" s="222" t="s">
        <v>1111</v>
      </c>
      <c r="H243" s="223" t="str" cm="1">
        <f t="array" ref="H243">IFERROR(INDEX(INVESTOR_LIST[INVESTOR NAME],MATCH(I243,INVESTOR_LIST[INVESTOR CODE],0),)," ")</f>
        <v>MOHAMMAD AMDADUL HOQUE</v>
      </c>
      <c r="I243" s="299" t="s">
        <v>906</v>
      </c>
      <c r="J243" s="224" t="s">
        <v>55</v>
      </c>
      <c r="K243" s="298">
        <v>1000000</v>
      </c>
      <c r="L243" s="225"/>
    </row>
    <row r="244" spans="1:12" ht="11.25" customHeight="1" x14ac:dyDescent="0.2">
      <c r="A244" s="226">
        <v>2022</v>
      </c>
      <c r="B244" s="226">
        <v>1</v>
      </c>
      <c r="C244" s="226">
        <v>30</v>
      </c>
      <c r="D244" s="232">
        <f t="shared" si="6"/>
        <v>44591</v>
      </c>
      <c r="E244" s="234">
        <f t="shared" si="7"/>
        <v>44591</v>
      </c>
      <c r="F244" s="479"/>
      <c r="G244" s="227" t="s">
        <v>1111</v>
      </c>
      <c r="H244" s="228" t="str" cm="1">
        <f t="array" ref="H244">IFERROR(INDEX(INVESTOR_LIST[INVESTOR NAME],MATCH(I244,INVESTOR_LIST[INVESTOR CODE],0),)," ")</f>
        <v>MOHAMMAD AMDADUL HOQUE</v>
      </c>
      <c r="I244" s="299" t="s">
        <v>906</v>
      </c>
      <c r="J244" s="229" t="s">
        <v>14</v>
      </c>
      <c r="K244" s="230"/>
      <c r="L244" s="230">
        <v>1000000</v>
      </c>
    </row>
    <row r="245" spans="1:12" ht="11.25" customHeight="1" x14ac:dyDescent="0.2">
      <c r="A245" s="221">
        <v>2022</v>
      </c>
      <c r="B245" s="221">
        <v>1</v>
      </c>
      <c r="C245" s="221">
        <v>30</v>
      </c>
      <c r="D245" s="231">
        <f t="shared" si="6"/>
        <v>44591</v>
      </c>
      <c r="E245" s="233">
        <f t="shared" si="7"/>
        <v>44591</v>
      </c>
      <c r="F245" s="478" t="s">
        <v>802</v>
      </c>
      <c r="G245" s="222" t="s">
        <v>1111</v>
      </c>
      <c r="H245" s="223" t="str" cm="1">
        <f t="array" ref="H245">IFERROR(INDEX(INVESTOR_LIST[INVESTOR NAME],MATCH(I245,INVESTOR_LIST[INVESTOR CODE],0),)," ")</f>
        <v>HAFIZA AFRIN TONNY</v>
      </c>
      <c r="I245" s="299" t="s">
        <v>908</v>
      </c>
      <c r="J245" s="224" t="s">
        <v>55</v>
      </c>
      <c r="K245" s="298">
        <v>50000</v>
      </c>
      <c r="L245" s="225"/>
    </row>
    <row r="246" spans="1:12" ht="11.25" customHeight="1" x14ac:dyDescent="0.2">
      <c r="A246" s="226">
        <v>2022</v>
      </c>
      <c r="B246" s="226">
        <v>1</v>
      </c>
      <c r="C246" s="226">
        <v>30</v>
      </c>
      <c r="D246" s="232">
        <f t="shared" si="6"/>
        <v>44591</v>
      </c>
      <c r="E246" s="234">
        <f t="shared" si="7"/>
        <v>44591</v>
      </c>
      <c r="F246" s="479"/>
      <c r="G246" s="227" t="s">
        <v>1111</v>
      </c>
      <c r="H246" s="228" t="str" cm="1">
        <f t="array" ref="H246">IFERROR(INDEX(INVESTOR_LIST[INVESTOR NAME],MATCH(I246,INVESTOR_LIST[INVESTOR CODE],0),)," ")</f>
        <v>HAFIZA AFRIN TONNY</v>
      </c>
      <c r="I246" s="299" t="s">
        <v>908</v>
      </c>
      <c r="J246" s="229" t="s">
        <v>14</v>
      </c>
      <c r="K246" s="230"/>
      <c r="L246" s="230">
        <v>50000</v>
      </c>
    </row>
    <row r="247" spans="1:12" ht="11.25" customHeight="1" x14ac:dyDescent="0.2">
      <c r="A247" s="221">
        <v>2022</v>
      </c>
      <c r="B247" s="221">
        <v>1</v>
      </c>
      <c r="C247" s="221">
        <v>30</v>
      </c>
      <c r="D247" s="231">
        <f t="shared" si="6"/>
        <v>44591</v>
      </c>
      <c r="E247" s="233">
        <f t="shared" si="7"/>
        <v>44591</v>
      </c>
      <c r="F247" s="478" t="s">
        <v>802</v>
      </c>
      <c r="G247" s="222" t="s">
        <v>1111</v>
      </c>
      <c r="H247" s="223" t="str" cm="1">
        <f t="array" ref="H247">IFERROR(INDEX(INVESTOR_LIST[INVESTOR NAME],MATCH(I247,INVESTOR_LIST[INVESTOR CODE],0),)," ")</f>
        <v>MUQIT-AL RAHMAN</v>
      </c>
      <c r="I247" s="299" t="s">
        <v>422</v>
      </c>
      <c r="J247" s="224" t="s">
        <v>55</v>
      </c>
      <c r="K247" s="298">
        <v>600000</v>
      </c>
      <c r="L247" s="225"/>
    </row>
    <row r="248" spans="1:12" ht="11.25" customHeight="1" x14ac:dyDescent="0.2">
      <c r="A248" s="226">
        <v>2022</v>
      </c>
      <c r="B248" s="226">
        <v>1</v>
      </c>
      <c r="C248" s="226">
        <v>30</v>
      </c>
      <c r="D248" s="232">
        <f t="shared" si="6"/>
        <v>44591</v>
      </c>
      <c r="E248" s="234">
        <f t="shared" si="7"/>
        <v>44591</v>
      </c>
      <c r="F248" s="479"/>
      <c r="G248" s="227" t="s">
        <v>1111</v>
      </c>
      <c r="H248" s="228" t="str" cm="1">
        <f t="array" ref="H248">IFERROR(INDEX(INVESTOR_LIST[INVESTOR NAME],MATCH(I248,INVESTOR_LIST[INVESTOR CODE],0),)," ")</f>
        <v>MUQIT-AL RAHMAN</v>
      </c>
      <c r="I248" s="299" t="s">
        <v>422</v>
      </c>
      <c r="J248" s="229" t="s">
        <v>14</v>
      </c>
      <c r="K248" s="230"/>
      <c r="L248" s="230">
        <v>600000</v>
      </c>
    </row>
    <row r="249" spans="1:12" ht="11.25" customHeight="1" x14ac:dyDescent="0.2">
      <c r="A249" s="221">
        <v>2022</v>
      </c>
      <c r="B249" s="221">
        <v>1</v>
      </c>
      <c r="C249" s="221">
        <v>30</v>
      </c>
      <c r="D249" s="231">
        <f t="shared" si="6"/>
        <v>44591</v>
      </c>
      <c r="E249" s="233">
        <f t="shared" si="7"/>
        <v>44591</v>
      </c>
      <c r="F249" s="478" t="s">
        <v>802</v>
      </c>
      <c r="G249" s="222" t="s">
        <v>1111</v>
      </c>
      <c r="H249" s="223" t="str" cm="1">
        <f t="array" ref="H249">IFERROR(INDEX(INVESTOR_LIST[INVESTOR NAME],MATCH(I249,INVESTOR_LIST[INVESTOR CODE],0),)," ")</f>
        <v>PHOENIX FINANCE &amp; INVESTMENTS LTD</v>
      </c>
      <c r="I249" s="299" t="s">
        <v>451</v>
      </c>
      <c r="J249" s="224" t="s">
        <v>55</v>
      </c>
      <c r="K249" s="298">
        <v>10000000</v>
      </c>
      <c r="L249" s="225"/>
    </row>
    <row r="250" spans="1:12" ht="11.25" customHeight="1" x14ac:dyDescent="0.2">
      <c r="A250" s="226">
        <v>2022</v>
      </c>
      <c r="B250" s="226">
        <v>1</v>
      </c>
      <c r="C250" s="226">
        <v>30</v>
      </c>
      <c r="D250" s="232">
        <f t="shared" si="6"/>
        <v>44591</v>
      </c>
      <c r="E250" s="234">
        <f t="shared" si="7"/>
        <v>44591</v>
      </c>
      <c r="F250" s="479"/>
      <c r="G250" s="227" t="s">
        <v>1111</v>
      </c>
      <c r="H250" s="228" t="str" cm="1">
        <f t="array" ref="H250">IFERROR(INDEX(INVESTOR_LIST[INVESTOR NAME],MATCH(I250,INVESTOR_LIST[INVESTOR CODE],0),)," ")</f>
        <v>PHOENIX FINANCE &amp; INVESTMENTS LTD</v>
      </c>
      <c r="I250" s="299" t="s">
        <v>451</v>
      </c>
      <c r="J250" s="229" t="s">
        <v>14</v>
      </c>
      <c r="K250" s="230"/>
      <c r="L250" s="230">
        <v>10000000</v>
      </c>
    </row>
    <row r="251" spans="1:12" ht="11.25" customHeight="1" x14ac:dyDescent="0.2">
      <c r="A251" s="221">
        <v>2022</v>
      </c>
      <c r="B251" s="221">
        <v>1</v>
      </c>
      <c r="C251" s="221">
        <v>30</v>
      </c>
      <c r="D251" s="231">
        <f t="shared" si="6"/>
        <v>44591</v>
      </c>
      <c r="E251" s="233">
        <f t="shared" si="7"/>
        <v>44591</v>
      </c>
      <c r="F251" s="478" t="s">
        <v>802</v>
      </c>
      <c r="G251" s="222" t="s">
        <v>1111</v>
      </c>
      <c r="H251" s="223" t="str" cm="1">
        <f t="array" ref="H251">IFERROR(INDEX(INVESTOR_LIST[INVESTOR NAME],MATCH(I251,INVESTOR_LIST[INVESTOR CODE],0),)," ")</f>
        <v>MD. SHEFATH-UL-ISLAM</v>
      </c>
      <c r="I251" s="299" t="s">
        <v>832</v>
      </c>
      <c r="J251" s="224" t="s">
        <v>55</v>
      </c>
      <c r="K251" s="298">
        <v>200000</v>
      </c>
      <c r="L251" s="225"/>
    </row>
    <row r="252" spans="1:12" ht="11.25" customHeight="1" x14ac:dyDescent="0.2">
      <c r="A252" s="226">
        <v>2022</v>
      </c>
      <c r="B252" s="226">
        <v>1</v>
      </c>
      <c r="C252" s="226">
        <v>30</v>
      </c>
      <c r="D252" s="232">
        <f t="shared" si="6"/>
        <v>44591</v>
      </c>
      <c r="E252" s="234">
        <f t="shared" si="7"/>
        <v>44591</v>
      </c>
      <c r="F252" s="479"/>
      <c r="G252" s="227" t="s">
        <v>1111</v>
      </c>
      <c r="H252" s="228" t="str" cm="1">
        <f t="array" ref="H252">IFERROR(INDEX(INVESTOR_LIST[INVESTOR NAME],MATCH(I252,INVESTOR_LIST[INVESTOR CODE],0),)," ")</f>
        <v>MD. SHEFATH-UL-ISLAM</v>
      </c>
      <c r="I252" s="299" t="s">
        <v>832</v>
      </c>
      <c r="J252" s="229" t="s">
        <v>14</v>
      </c>
      <c r="K252" s="230"/>
      <c r="L252" s="230">
        <v>200000</v>
      </c>
    </row>
    <row r="253" spans="1:12" ht="11.25" customHeight="1" x14ac:dyDescent="0.2">
      <c r="A253" s="221">
        <v>2022</v>
      </c>
      <c r="B253" s="221">
        <v>1</v>
      </c>
      <c r="C253" s="221">
        <v>30</v>
      </c>
      <c r="D253" s="231">
        <f t="shared" si="6"/>
        <v>44591</v>
      </c>
      <c r="E253" s="233">
        <f t="shared" si="7"/>
        <v>44591</v>
      </c>
      <c r="F253" s="478" t="s">
        <v>802</v>
      </c>
      <c r="G253" s="222" t="s">
        <v>1111</v>
      </c>
      <c r="H253" s="223" t="str" cm="1">
        <f t="array" ref="H253">IFERROR(INDEX(INVESTOR_LIST[INVESTOR NAME],MATCH(I253,INVESTOR_LIST[INVESTOR CODE],0),)," ")</f>
        <v>FARDINA HAFIZ</v>
      </c>
      <c r="I253" s="299" t="s">
        <v>369</v>
      </c>
      <c r="J253" s="224" t="s">
        <v>55</v>
      </c>
      <c r="K253" s="298">
        <v>200000</v>
      </c>
      <c r="L253" s="225"/>
    </row>
    <row r="254" spans="1:12" ht="11.25" customHeight="1" x14ac:dyDescent="0.2">
      <c r="A254" s="226">
        <v>2022</v>
      </c>
      <c r="B254" s="226">
        <v>1</v>
      </c>
      <c r="C254" s="226">
        <v>30</v>
      </c>
      <c r="D254" s="232">
        <f t="shared" si="6"/>
        <v>44591</v>
      </c>
      <c r="E254" s="234">
        <f t="shared" si="7"/>
        <v>44591</v>
      </c>
      <c r="F254" s="479"/>
      <c r="G254" s="227" t="s">
        <v>1111</v>
      </c>
      <c r="H254" s="228" t="str" cm="1">
        <f t="array" ref="H254">IFERROR(INDEX(INVESTOR_LIST[INVESTOR NAME],MATCH(I254,INVESTOR_LIST[INVESTOR CODE],0),)," ")</f>
        <v>FARDINA HAFIZ</v>
      </c>
      <c r="I254" s="299" t="s">
        <v>369</v>
      </c>
      <c r="J254" s="229" t="s">
        <v>14</v>
      </c>
      <c r="K254" s="230"/>
      <c r="L254" s="230">
        <v>200000</v>
      </c>
    </row>
    <row r="255" spans="1:12" ht="11.25" customHeight="1" x14ac:dyDescent="0.2">
      <c r="A255" s="221">
        <v>2022</v>
      </c>
      <c r="B255" s="221">
        <v>1</v>
      </c>
      <c r="C255" s="221">
        <v>30</v>
      </c>
      <c r="D255" s="231">
        <f t="shared" si="6"/>
        <v>44591</v>
      </c>
      <c r="E255" s="233">
        <f t="shared" si="7"/>
        <v>44591</v>
      </c>
      <c r="F255" s="478" t="s">
        <v>802</v>
      </c>
      <c r="G255" s="222" t="s">
        <v>1111</v>
      </c>
      <c r="H255" s="223" t="str" cm="1">
        <f t="array" ref="H255">IFERROR(INDEX(INVESTOR_LIST[INVESTOR NAME],MATCH(I255,INVESTOR_LIST[INVESTOR CODE],0),)," ")</f>
        <v>TANVIR AHMED SIDDIQUI</v>
      </c>
      <c r="I255" s="299" t="s">
        <v>349</v>
      </c>
      <c r="J255" s="224" t="s">
        <v>55</v>
      </c>
      <c r="K255" s="298">
        <v>50000</v>
      </c>
      <c r="L255" s="225"/>
    </row>
    <row r="256" spans="1:12" ht="11.25" customHeight="1" x14ac:dyDescent="0.2">
      <c r="A256" s="226">
        <v>2022</v>
      </c>
      <c r="B256" s="226">
        <v>1</v>
      </c>
      <c r="C256" s="226">
        <v>30</v>
      </c>
      <c r="D256" s="232">
        <f t="shared" si="6"/>
        <v>44591</v>
      </c>
      <c r="E256" s="234">
        <f t="shared" si="7"/>
        <v>44591</v>
      </c>
      <c r="F256" s="479"/>
      <c r="G256" s="227" t="s">
        <v>1111</v>
      </c>
      <c r="H256" s="228" t="str" cm="1">
        <f t="array" ref="H256">IFERROR(INDEX(INVESTOR_LIST[INVESTOR NAME],MATCH(I256,INVESTOR_LIST[INVESTOR CODE],0),)," ")</f>
        <v>TANVIR AHMED SIDDIQUI</v>
      </c>
      <c r="I256" s="299" t="s">
        <v>349</v>
      </c>
      <c r="J256" s="229" t="s">
        <v>14</v>
      </c>
      <c r="K256" s="230"/>
      <c r="L256" s="230">
        <v>50000</v>
      </c>
    </row>
    <row r="257" spans="1:12" ht="11.25" customHeight="1" x14ac:dyDescent="0.2">
      <c r="A257" s="221">
        <v>2022</v>
      </c>
      <c r="B257" s="221">
        <v>1</v>
      </c>
      <c r="C257" s="221">
        <v>30</v>
      </c>
      <c r="D257" s="231">
        <f t="shared" si="6"/>
        <v>44591</v>
      </c>
      <c r="E257" s="233">
        <f t="shared" si="7"/>
        <v>44591</v>
      </c>
      <c r="F257" s="478" t="s">
        <v>802</v>
      </c>
      <c r="G257" s="222" t="s">
        <v>1111</v>
      </c>
      <c r="H257" s="223" t="str" cm="1">
        <f t="array" ref="H257">IFERROR(INDEX(INVESTOR_LIST[INVESTOR NAME],MATCH(I257,INVESTOR_LIST[INVESTOR CODE],0),)," ")</f>
        <v>JOY SHREE SAHA</v>
      </c>
      <c r="I257" s="299" t="s">
        <v>681</v>
      </c>
      <c r="J257" s="224" t="s">
        <v>55</v>
      </c>
      <c r="K257" s="298">
        <v>1500000</v>
      </c>
      <c r="L257" s="225"/>
    </row>
    <row r="258" spans="1:12" ht="11.25" customHeight="1" x14ac:dyDescent="0.2">
      <c r="A258" s="226">
        <v>2022</v>
      </c>
      <c r="B258" s="226">
        <v>1</v>
      </c>
      <c r="C258" s="226">
        <v>30</v>
      </c>
      <c r="D258" s="232">
        <f t="shared" si="6"/>
        <v>44591</v>
      </c>
      <c r="E258" s="234">
        <f t="shared" si="7"/>
        <v>44591</v>
      </c>
      <c r="F258" s="479"/>
      <c r="G258" s="227" t="s">
        <v>1111</v>
      </c>
      <c r="H258" s="228" t="str" cm="1">
        <f t="array" ref="H258">IFERROR(INDEX(INVESTOR_LIST[INVESTOR NAME],MATCH(I258,INVESTOR_LIST[INVESTOR CODE],0),)," ")</f>
        <v>JOY SHREE SAHA</v>
      </c>
      <c r="I258" s="299" t="s">
        <v>681</v>
      </c>
      <c r="J258" s="229" t="s">
        <v>14</v>
      </c>
      <c r="K258" s="230"/>
      <c r="L258" s="230">
        <v>1500000</v>
      </c>
    </row>
    <row r="259" spans="1:12" ht="11.25" customHeight="1" x14ac:dyDescent="0.2">
      <c r="A259" s="221">
        <v>2022</v>
      </c>
      <c r="B259" s="221">
        <v>1</v>
      </c>
      <c r="C259" s="221">
        <v>30</v>
      </c>
      <c r="D259" s="231">
        <f t="shared" si="6"/>
        <v>44591</v>
      </c>
      <c r="E259" s="233">
        <f t="shared" si="7"/>
        <v>44591</v>
      </c>
      <c r="F259" s="478" t="s">
        <v>802</v>
      </c>
      <c r="G259" s="222" t="s">
        <v>1111</v>
      </c>
      <c r="H259" s="223" t="str" cm="1">
        <f t="array" ref="H259">IFERROR(INDEX(INVESTOR_LIST[INVESTOR NAME],MATCH(I259,INVESTOR_LIST[INVESTOR CODE],0),)," ")</f>
        <v>JOY SHREE SAHA</v>
      </c>
      <c r="I259" s="299" t="s">
        <v>681</v>
      </c>
      <c r="J259" s="224" t="s">
        <v>55</v>
      </c>
      <c r="K259" s="298">
        <v>2000000</v>
      </c>
      <c r="L259" s="225"/>
    </row>
    <row r="260" spans="1:12" ht="11.25" customHeight="1" x14ac:dyDescent="0.2">
      <c r="A260" s="226">
        <v>2022</v>
      </c>
      <c r="B260" s="226">
        <v>1</v>
      </c>
      <c r="C260" s="226">
        <v>30</v>
      </c>
      <c r="D260" s="232">
        <f t="shared" si="6"/>
        <v>44591</v>
      </c>
      <c r="E260" s="234">
        <f t="shared" si="7"/>
        <v>44591</v>
      </c>
      <c r="F260" s="479"/>
      <c r="G260" s="227" t="s">
        <v>1111</v>
      </c>
      <c r="H260" s="228" t="str" cm="1">
        <f t="array" ref="H260">IFERROR(INDEX(INVESTOR_LIST[INVESTOR NAME],MATCH(I260,INVESTOR_LIST[INVESTOR CODE],0),)," ")</f>
        <v>JOY SHREE SAHA</v>
      </c>
      <c r="I260" s="299" t="s">
        <v>681</v>
      </c>
      <c r="J260" s="229" t="s">
        <v>14</v>
      </c>
      <c r="K260" s="230"/>
      <c r="L260" s="230">
        <v>2000000</v>
      </c>
    </row>
    <row r="261" spans="1:12" ht="11.25" customHeight="1" x14ac:dyDescent="0.2">
      <c r="A261" s="221">
        <v>2022</v>
      </c>
      <c r="B261" s="221">
        <v>1</v>
      </c>
      <c r="C261" s="221">
        <v>30</v>
      </c>
      <c r="D261" s="231">
        <f t="shared" si="6"/>
        <v>44591</v>
      </c>
      <c r="E261" s="233">
        <f t="shared" si="7"/>
        <v>44591</v>
      </c>
      <c r="F261" s="478" t="s">
        <v>802</v>
      </c>
      <c r="G261" s="222" t="s">
        <v>1111</v>
      </c>
      <c r="H261" s="223" t="str" cm="1">
        <f t="array" ref="H261">IFERROR(INDEX(INVESTOR_LIST[INVESTOR NAME],MATCH(I261,INVESTOR_LIST[INVESTOR CODE],0),)," ")</f>
        <v>RAIS-UR-RUBBI</v>
      </c>
      <c r="I261" s="299" t="s">
        <v>605</v>
      </c>
      <c r="J261" s="224" t="s">
        <v>55</v>
      </c>
      <c r="K261" s="298">
        <v>200000</v>
      </c>
      <c r="L261" s="225"/>
    </row>
    <row r="262" spans="1:12" ht="11.25" customHeight="1" x14ac:dyDescent="0.2">
      <c r="A262" s="226">
        <v>2022</v>
      </c>
      <c r="B262" s="226">
        <v>1</v>
      </c>
      <c r="C262" s="226">
        <v>30</v>
      </c>
      <c r="D262" s="232">
        <f t="shared" si="6"/>
        <v>44591</v>
      </c>
      <c r="E262" s="234">
        <f t="shared" si="7"/>
        <v>44591</v>
      </c>
      <c r="F262" s="479"/>
      <c r="G262" s="227" t="s">
        <v>1111</v>
      </c>
      <c r="H262" s="228" t="str" cm="1">
        <f t="array" ref="H262">IFERROR(INDEX(INVESTOR_LIST[INVESTOR NAME],MATCH(I262,INVESTOR_LIST[INVESTOR CODE],0),)," ")</f>
        <v>RAIS-UR-RUBBI</v>
      </c>
      <c r="I262" s="299" t="s">
        <v>605</v>
      </c>
      <c r="J262" s="229" t="s">
        <v>14</v>
      </c>
      <c r="K262" s="230"/>
      <c r="L262" s="230">
        <v>200000</v>
      </c>
    </row>
    <row r="263" spans="1:12" ht="11.25" customHeight="1" x14ac:dyDescent="0.2">
      <c r="A263" s="221">
        <v>2022</v>
      </c>
      <c r="B263" s="221">
        <v>1</v>
      </c>
      <c r="C263" s="221">
        <v>30</v>
      </c>
      <c r="D263" s="231">
        <f t="shared" si="6"/>
        <v>44591</v>
      </c>
      <c r="E263" s="233">
        <f t="shared" si="7"/>
        <v>44591</v>
      </c>
      <c r="F263" s="478" t="s">
        <v>802</v>
      </c>
      <c r="G263" s="222" t="s">
        <v>1111</v>
      </c>
      <c r="H263" s="223" t="str" cm="1">
        <f t="array" ref="H263">IFERROR(INDEX(INVESTOR_LIST[INVESTOR NAME],MATCH(I263,INVESTOR_LIST[INVESTOR CODE],0),)," ")</f>
        <v>SAIDA HOMAIRA</v>
      </c>
      <c r="I263" s="299" t="s">
        <v>846</v>
      </c>
      <c r="J263" s="224" t="s">
        <v>55</v>
      </c>
      <c r="K263" s="298">
        <v>500000</v>
      </c>
      <c r="L263" s="225"/>
    </row>
    <row r="264" spans="1:12" ht="11.25" customHeight="1" x14ac:dyDescent="0.2">
      <c r="A264" s="226">
        <v>2022</v>
      </c>
      <c r="B264" s="226">
        <v>1</v>
      </c>
      <c r="C264" s="226">
        <v>30</v>
      </c>
      <c r="D264" s="232">
        <f t="shared" si="6"/>
        <v>44591</v>
      </c>
      <c r="E264" s="234">
        <f t="shared" si="7"/>
        <v>44591</v>
      </c>
      <c r="F264" s="479"/>
      <c r="G264" s="227" t="s">
        <v>1111</v>
      </c>
      <c r="H264" s="228" t="str" cm="1">
        <f t="array" ref="H264">IFERROR(INDEX(INVESTOR_LIST[INVESTOR NAME],MATCH(I264,INVESTOR_LIST[INVESTOR CODE],0),)," ")</f>
        <v>SAIDA HOMAIRA</v>
      </c>
      <c r="I264" s="299" t="s">
        <v>846</v>
      </c>
      <c r="J264" s="229" t="s">
        <v>14</v>
      </c>
      <c r="K264" s="230"/>
      <c r="L264" s="230">
        <v>500000</v>
      </c>
    </row>
    <row r="265" spans="1:12" ht="11.25" customHeight="1" x14ac:dyDescent="0.2">
      <c r="A265" s="221">
        <v>2022</v>
      </c>
      <c r="B265" s="221">
        <v>1</v>
      </c>
      <c r="C265" s="221">
        <v>30</v>
      </c>
      <c r="D265" s="231">
        <f t="shared" ref="D265:D328" si="8">DATE(A265,B265,C265)</f>
        <v>44591</v>
      </c>
      <c r="E265" s="233">
        <f t="shared" si="7"/>
        <v>44591</v>
      </c>
      <c r="F265" s="478" t="s">
        <v>802</v>
      </c>
      <c r="G265" s="222" t="s">
        <v>1111</v>
      </c>
      <c r="H265" s="223" t="str" cm="1">
        <f t="array" ref="H265">IFERROR(INDEX(INVESTOR_LIST[INVESTOR NAME],MATCH(I265,INVESTOR_LIST[INVESTOR CODE],0),)," ")</f>
        <v>ASIF AHMED</v>
      </c>
      <c r="I265" s="299" t="s">
        <v>379</v>
      </c>
      <c r="J265" s="224" t="s">
        <v>55</v>
      </c>
      <c r="K265" s="298">
        <v>150000</v>
      </c>
      <c r="L265" s="225"/>
    </row>
    <row r="266" spans="1:12" ht="11.25" customHeight="1" x14ac:dyDescent="0.2">
      <c r="A266" s="226">
        <v>2022</v>
      </c>
      <c r="B266" s="226">
        <v>1</v>
      </c>
      <c r="C266" s="226">
        <v>30</v>
      </c>
      <c r="D266" s="232">
        <f t="shared" si="8"/>
        <v>44591</v>
      </c>
      <c r="E266" s="234">
        <f t="shared" si="7"/>
        <v>44591</v>
      </c>
      <c r="F266" s="479"/>
      <c r="G266" s="227" t="s">
        <v>1111</v>
      </c>
      <c r="H266" s="228" t="str" cm="1">
        <f t="array" ref="H266">IFERROR(INDEX(INVESTOR_LIST[INVESTOR NAME],MATCH(I266,INVESTOR_LIST[INVESTOR CODE],0),)," ")</f>
        <v>ASIF AHMED</v>
      </c>
      <c r="I266" s="299" t="s">
        <v>379</v>
      </c>
      <c r="J266" s="229" t="s">
        <v>14</v>
      </c>
      <c r="K266" s="230"/>
      <c r="L266" s="230">
        <v>150000</v>
      </c>
    </row>
    <row r="267" spans="1:12" ht="11.25" customHeight="1" x14ac:dyDescent="0.2">
      <c r="A267" s="221">
        <v>2022</v>
      </c>
      <c r="B267" s="221">
        <v>1</v>
      </c>
      <c r="C267" s="221">
        <v>30</v>
      </c>
      <c r="D267" s="231">
        <f t="shared" si="8"/>
        <v>44591</v>
      </c>
      <c r="E267" s="233">
        <f t="shared" si="7"/>
        <v>44591</v>
      </c>
      <c r="F267" s="478" t="s">
        <v>802</v>
      </c>
      <c r="G267" s="222" t="s">
        <v>1111</v>
      </c>
      <c r="H267" s="223" t="str" cm="1">
        <f t="array" ref="H267">IFERROR(INDEX(INVESTOR_LIST[INVESTOR NAME],MATCH(I267,INVESTOR_LIST[INVESTOR CODE],0),)," ")</f>
        <v>SUHAIEB CHOWDHURY</v>
      </c>
      <c r="I267" s="299" t="s">
        <v>421</v>
      </c>
      <c r="J267" s="224" t="s">
        <v>55</v>
      </c>
      <c r="K267" s="298">
        <v>120000</v>
      </c>
      <c r="L267" s="225"/>
    </row>
    <row r="268" spans="1:12" ht="11.25" customHeight="1" x14ac:dyDescent="0.2">
      <c r="A268" s="226">
        <v>2022</v>
      </c>
      <c r="B268" s="226">
        <v>1</v>
      </c>
      <c r="C268" s="226">
        <v>30</v>
      </c>
      <c r="D268" s="232">
        <f t="shared" si="8"/>
        <v>44591</v>
      </c>
      <c r="E268" s="234">
        <f t="shared" si="7"/>
        <v>44591</v>
      </c>
      <c r="F268" s="479"/>
      <c r="G268" s="227" t="s">
        <v>1111</v>
      </c>
      <c r="H268" s="228" t="str" cm="1">
        <f t="array" ref="H268">IFERROR(INDEX(INVESTOR_LIST[INVESTOR NAME],MATCH(I268,INVESTOR_LIST[INVESTOR CODE],0),)," ")</f>
        <v>SUHAIEB CHOWDHURY</v>
      </c>
      <c r="I268" s="299" t="s">
        <v>421</v>
      </c>
      <c r="J268" s="229" t="s">
        <v>14</v>
      </c>
      <c r="K268" s="230"/>
      <c r="L268" s="230">
        <v>120000</v>
      </c>
    </row>
    <row r="269" spans="1:12" ht="11.25" customHeight="1" x14ac:dyDescent="0.2">
      <c r="A269" s="221">
        <v>2022</v>
      </c>
      <c r="B269" s="221">
        <v>1</v>
      </c>
      <c r="C269" s="221">
        <v>31</v>
      </c>
      <c r="D269" s="231">
        <f t="shared" si="8"/>
        <v>44592</v>
      </c>
      <c r="E269" s="233">
        <f t="shared" si="7"/>
        <v>44592</v>
      </c>
      <c r="F269" s="478" t="s">
        <v>802</v>
      </c>
      <c r="G269" s="222" t="s">
        <v>1111</v>
      </c>
      <c r="H269" s="223" t="str" cm="1">
        <f t="array" ref="H269">IFERROR(INDEX(INVESTOR_LIST[INVESTOR NAME],MATCH(I269,INVESTOR_LIST[INVESTOR CODE],0),)," ")</f>
        <v>GREEN DELTA SECURITIES LIMITED</v>
      </c>
      <c r="I269" s="299" t="s">
        <v>609</v>
      </c>
      <c r="J269" s="224" t="s">
        <v>55</v>
      </c>
      <c r="K269" s="298">
        <v>1500000</v>
      </c>
      <c r="L269" s="225"/>
    </row>
    <row r="270" spans="1:12" ht="11.25" customHeight="1" x14ac:dyDescent="0.2">
      <c r="A270" s="226">
        <v>2022</v>
      </c>
      <c r="B270" s="226">
        <v>1</v>
      </c>
      <c r="C270" s="226">
        <v>31</v>
      </c>
      <c r="D270" s="232">
        <f t="shared" si="8"/>
        <v>44592</v>
      </c>
      <c r="E270" s="234">
        <f t="shared" si="7"/>
        <v>44592</v>
      </c>
      <c r="F270" s="479"/>
      <c r="G270" s="227" t="s">
        <v>1111</v>
      </c>
      <c r="H270" s="228" t="str" cm="1">
        <f t="array" ref="H270">IFERROR(INDEX(INVESTOR_LIST[INVESTOR NAME],MATCH(I270,INVESTOR_LIST[INVESTOR CODE],0),)," ")</f>
        <v>GREEN DELTA SECURITIES LIMITED</v>
      </c>
      <c r="I270" s="299" t="s">
        <v>609</v>
      </c>
      <c r="J270" s="229" t="s">
        <v>14</v>
      </c>
      <c r="K270" s="230"/>
      <c r="L270" s="230">
        <v>1500000</v>
      </c>
    </row>
    <row r="271" spans="1:12" ht="11.25" customHeight="1" x14ac:dyDescent="0.2">
      <c r="A271" s="221">
        <v>2022</v>
      </c>
      <c r="B271" s="221">
        <v>1</v>
      </c>
      <c r="C271" s="221">
        <v>31</v>
      </c>
      <c r="D271" s="231">
        <f t="shared" si="8"/>
        <v>44592</v>
      </c>
      <c r="E271" s="233">
        <f t="shared" si="7"/>
        <v>44592</v>
      </c>
      <c r="F271" s="478" t="s">
        <v>802</v>
      </c>
      <c r="G271" s="222" t="s">
        <v>1111</v>
      </c>
      <c r="H271" s="223" t="str" cm="1">
        <f t="array" ref="H271">IFERROR(INDEX(INVESTOR_LIST[INVESTOR NAME],MATCH(I271,INVESTOR_LIST[INVESTOR CODE],0),)," ")</f>
        <v>EDGE VENTURES LIMITED</v>
      </c>
      <c r="I271" s="299" t="s">
        <v>946</v>
      </c>
      <c r="J271" s="224" t="s">
        <v>55</v>
      </c>
      <c r="K271" s="298">
        <v>2300000</v>
      </c>
      <c r="L271" s="225"/>
    </row>
    <row r="272" spans="1:12" ht="11.25" customHeight="1" x14ac:dyDescent="0.2">
      <c r="A272" s="226">
        <v>2022</v>
      </c>
      <c r="B272" s="226">
        <v>1</v>
      </c>
      <c r="C272" s="226">
        <v>31</v>
      </c>
      <c r="D272" s="232">
        <f t="shared" si="8"/>
        <v>44592</v>
      </c>
      <c r="E272" s="234">
        <f t="shared" si="7"/>
        <v>44592</v>
      </c>
      <c r="F272" s="479"/>
      <c r="G272" s="227" t="s">
        <v>1111</v>
      </c>
      <c r="H272" s="228" t="str" cm="1">
        <f t="array" ref="H272">IFERROR(INDEX(INVESTOR_LIST[INVESTOR NAME],MATCH(I272,INVESTOR_LIST[INVESTOR CODE],0),)," ")</f>
        <v>EDGE VENTURES LIMITED</v>
      </c>
      <c r="I272" s="299" t="s">
        <v>946</v>
      </c>
      <c r="J272" s="229" t="s">
        <v>14</v>
      </c>
      <c r="K272" s="230"/>
      <c r="L272" s="230">
        <v>2300000</v>
      </c>
    </row>
    <row r="273" spans="1:12" ht="11.25" customHeight="1" x14ac:dyDescent="0.2">
      <c r="A273" s="221">
        <v>2022</v>
      </c>
      <c r="B273" s="221">
        <v>1</v>
      </c>
      <c r="C273" s="221">
        <v>31</v>
      </c>
      <c r="D273" s="231">
        <f t="shared" si="8"/>
        <v>44592</v>
      </c>
      <c r="E273" s="233">
        <f t="shared" si="7"/>
        <v>44592</v>
      </c>
      <c r="F273" s="478" t="s">
        <v>802</v>
      </c>
      <c r="G273" s="222" t="s">
        <v>1111</v>
      </c>
      <c r="H273" s="223" t="str" cm="1">
        <f t="array" ref="H273">IFERROR(INDEX(INVESTOR_LIST[INVESTOR NAME],MATCH(I273,INVESTOR_LIST[INVESTOR CODE],0),)," ")</f>
        <v>FAIYEAD AHMEDUL HYE</v>
      </c>
      <c r="I273" s="299" t="s">
        <v>445</v>
      </c>
      <c r="J273" s="224" t="s">
        <v>55</v>
      </c>
      <c r="K273" s="298">
        <v>50000</v>
      </c>
      <c r="L273" s="225"/>
    </row>
    <row r="274" spans="1:12" ht="11.25" customHeight="1" x14ac:dyDescent="0.2">
      <c r="A274" s="226">
        <v>2022</v>
      </c>
      <c r="B274" s="226">
        <v>1</v>
      </c>
      <c r="C274" s="226">
        <v>31</v>
      </c>
      <c r="D274" s="232">
        <f t="shared" si="8"/>
        <v>44592</v>
      </c>
      <c r="E274" s="234">
        <f t="shared" si="7"/>
        <v>44592</v>
      </c>
      <c r="F274" s="479"/>
      <c r="G274" s="227" t="s">
        <v>1111</v>
      </c>
      <c r="H274" s="228" t="str" cm="1">
        <f t="array" ref="H274">IFERROR(INDEX(INVESTOR_LIST[INVESTOR NAME],MATCH(I274,INVESTOR_LIST[INVESTOR CODE],0),)," ")</f>
        <v>FAIYEAD AHMEDUL HYE</v>
      </c>
      <c r="I274" s="299" t="s">
        <v>445</v>
      </c>
      <c r="J274" s="229" t="s">
        <v>14</v>
      </c>
      <c r="K274" s="230"/>
      <c r="L274" s="230">
        <v>50000</v>
      </c>
    </row>
    <row r="275" spans="1:12" ht="11.25" customHeight="1" x14ac:dyDescent="0.2">
      <c r="A275" s="221">
        <v>2022</v>
      </c>
      <c r="B275" s="221">
        <v>1</v>
      </c>
      <c r="C275" s="221">
        <v>31</v>
      </c>
      <c r="D275" s="231">
        <f t="shared" si="8"/>
        <v>44592</v>
      </c>
      <c r="E275" s="233">
        <f t="shared" si="7"/>
        <v>44592</v>
      </c>
      <c r="F275" s="478" t="s">
        <v>802</v>
      </c>
      <c r="G275" s="222" t="s">
        <v>1111</v>
      </c>
      <c r="H275" s="223" t="str" cm="1">
        <f t="array" ref="H275">IFERROR(INDEX(INVESTOR_LIST[INVESTOR NAME],MATCH(I275,INVESTOR_LIST[INVESTOR CODE],0),)," ")</f>
        <v>MR. NAYAN KUMAR CHOWDHURY</v>
      </c>
      <c r="I275" s="299" t="s">
        <v>651</v>
      </c>
      <c r="J275" s="224" t="s">
        <v>55</v>
      </c>
      <c r="K275" s="298">
        <v>100000</v>
      </c>
      <c r="L275" s="225"/>
    </row>
    <row r="276" spans="1:12" ht="11.25" customHeight="1" x14ac:dyDescent="0.2">
      <c r="A276" s="226">
        <v>2022</v>
      </c>
      <c r="B276" s="226">
        <v>1</v>
      </c>
      <c r="C276" s="226">
        <v>31</v>
      </c>
      <c r="D276" s="232">
        <f t="shared" si="8"/>
        <v>44592</v>
      </c>
      <c r="E276" s="234">
        <f t="shared" si="7"/>
        <v>44592</v>
      </c>
      <c r="F276" s="479"/>
      <c r="G276" s="227" t="s">
        <v>1111</v>
      </c>
      <c r="H276" s="228" t="str" cm="1">
        <f t="array" ref="H276">IFERROR(INDEX(INVESTOR_LIST[INVESTOR NAME],MATCH(I276,INVESTOR_LIST[INVESTOR CODE],0),)," ")</f>
        <v>MR. NAYAN KUMAR CHOWDHURY</v>
      </c>
      <c r="I276" s="299" t="s">
        <v>651</v>
      </c>
      <c r="J276" s="229" t="s">
        <v>14</v>
      </c>
      <c r="K276" s="230"/>
      <c r="L276" s="230">
        <v>100000</v>
      </c>
    </row>
    <row r="277" spans="1:12" ht="11.25" customHeight="1" x14ac:dyDescent="0.2">
      <c r="A277" s="221">
        <v>2022</v>
      </c>
      <c r="B277" s="221">
        <v>1</v>
      </c>
      <c r="C277" s="221">
        <v>31</v>
      </c>
      <c r="D277" s="231">
        <f t="shared" si="8"/>
        <v>44592</v>
      </c>
      <c r="E277" s="233">
        <f t="shared" si="7"/>
        <v>44592</v>
      </c>
      <c r="F277" s="478" t="s">
        <v>802</v>
      </c>
      <c r="G277" s="222" t="s">
        <v>1111</v>
      </c>
      <c r="H277" s="223" t="str" cm="1">
        <f t="array" ref="H277">IFERROR(INDEX(INVESTOR_LIST[INVESTOR NAME],MATCH(I277,INVESTOR_LIST[INVESTOR CODE],0),)," ")</f>
        <v>SATCOM IT LTD. PROVIDENT FUND</v>
      </c>
      <c r="I277" s="299" t="s">
        <v>368</v>
      </c>
      <c r="J277" s="224" t="s">
        <v>55</v>
      </c>
      <c r="K277" s="298">
        <v>1000000</v>
      </c>
      <c r="L277" s="225"/>
    </row>
    <row r="278" spans="1:12" ht="11.25" customHeight="1" x14ac:dyDescent="0.2">
      <c r="A278" s="226">
        <v>2022</v>
      </c>
      <c r="B278" s="226">
        <v>1</v>
      </c>
      <c r="C278" s="226">
        <v>31</v>
      </c>
      <c r="D278" s="232">
        <f t="shared" si="8"/>
        <v>44592</v>
      </c>
      <c r="E278" s="234">
        <f t="shared" si="7"/>
        <v>44592</v>
      </c>
      <c r="F278" s="479"/>
      <c r="G278" s="227" t="s">
        <v>1111</v>
      </c>
      <c r="H278" s="228" t="str" cm="1">
        <f t="array" ref="H278">IFERROR(INDEX(INVESTOR_LIST[INVESTOR NAME],MATCH(I278,INVESTOR_LIST[INVESTOR CODE],0),)," ")</f>
        <v>SATCOM IT LTD. PROVIDENT FUND</v>
      </c>
      <c r="I278" s="299" t="s">
        <v>368</v>
      </c>
      <c r="J278" s="229" t="s">
        <v>14</v>
      </c>
      <c r="K278" s="230"/>
      <c r="L278" s="230">
        <v>1000000</v>
      </c>
    </row>
    <row r="279" spans="1:12" ht="11.25" customHeight="1" x14ac:dyDescent="0.2">
      <c r="A279" s="221">
        <v>2022</v>
      </c>
      <c r="B279" s="221">
        <v>1</v>
      </c>
      <c r="C279" s="221">
        <v>31</v>
      </c>
      <c r="D279" s="231">
        <f t="shared" si="8"/>
        <v>44592</v>
      </c>
      <c r="E279" s="233">
        <f t="shared" si="7"/>
        <v>44592</v>
      </c>
      <c r="F279" s="478" t="s">
        <v>802</v>
      </c>
      <c r="G279" s="222" t="s">
        <v>1111</v>
      </c>
      <c r="H279" s="223" t="str" cm="1">
        <f t="array" ref="H279">IFERROR(INDEX(INVESTOR_LIST[INVESTOR NAME],MATCH(I279,INVESTOR_LIST[INVESTOR CODE],0),)," ")</f>
        <v>BRAC BANK LIMITED</v>
      </c>
      <c r="I279" s="299" t="s">
        <v>898</v>
      </c>
      <c r="J279" s="224" t="s">
        <v>55</v>
      </c>
      <c r="K279" s="298">
        <v>25000000</v>
      </c>
      <c r="L279" s="225"/>
    </row>
    <row r="280" spans="1:12" ht="11.25" customHeight="1" x14ac:dyDescent="0.2">
      <c r="A280" s="226">
        <v>2022</v>
      </c>
      <c r="B280" s="226">
        <v>1</v>
      </c>
      <c r="C280" s="226">
        <v>31</v>
      </c>
      <c r="D280" s="232">
        <f t="shared" si="8"/>
        <v>44592</v>
      </c>
      <c r="E280" s="234">
        <f t="shared" si="7"/>
        <v>44592</v>
      </c>
      <c r="F280" s="479"/>
      <c r="G280" s="227" t="s">
        <v>1111</v>
      </c>
      <c r="H280" s="228" t="str" cm="1">
        <f t="array" ref="H280">IFERROR(INDEX(INVESTOR_LIST[INVESTOR NAME],MATCH(I280,INVESTOR_LIST[INVESTOR CODE],0),)," ")</f>
        <v>BRAC BANK LIMITED</v>
      </c>
      <c r="I280" s="299" t="s">
        <v>898</v>
      </c>
      <c r="J280" s="229" t="s">
        <v>14</v>
      </c>
      <c r="K280" s="230"/>
      <c r="L280" s="230">
        <v>25000000</v>
      </c>
    </row>
    <row r="281" spans="1:12" ht="11.25" customHeight="1" x14ac:dyDescent="0.2">
      <c r="A281" s="221">
        <v>2022</v>
      </c>
      <c r="B281" s="221">
        <v>1</v>
      </c>
      <c r="C281" s="221">
        <v>31</v>
      </c>
      <c r="D281" s="231">
        <f t="shared" si="8"/>
        <v>44592</v>
      </c>
      <c r="E281" s="233">
        <f t="shared" si="7"/>
        <v>44592</v>
      </c>
      <c r="F281" s="478" t="s">
        <v>802</v>
      </c>
      <c r="G281" s="222" t="s">
        <v>1111</v>
      </c>
      <c r="H281" s="223" t="str" cm="1">
        <f t="array" ref="H281">IFERROR(INDEX(INVESTOR_LIST[INVESTOR NAME],MATCH(I281,INVESTOR_LIST[INVESTOR CODE],0),)," ")</f>
        <v>MD MIZANUR RAHMAN</v>
      </c>
      <c r="I281" s="299" t="s">
        <v>431</v>
      </c>
      <c r="J281" s="224" t="s">
        <v>55</v>
      </c>
      <c r="K281" s="298">
        <v>5000</v>
      </c>
      <c r="L281" s="225"/>
    </row>
    <row r="282" spans="1:12" ht="11.25" customHeight="1" x14ac:dyDescent="0.2">
      <c r="A282" s="226">
        <v>2022</v>
      </c>
      <c r="B282" s="226">
        <v>1</v>
      </c>
      <c r="C282" s="226">
        <v>31</v>
      </c>
      <c r="D282" s="232">
        <f t="shared" si="8"/>
        <v>44592</v>
      </c>
      <c r="E282" s="234">
        <f t="shared" si="7"/>
        <v>44592</v>
      </c>
      <c r="F282" s="479"/>
      <c r="G282" s="227" t="s">
        <v>1111</v>
      </c>
      <c r="H282" s="228" t="str" cm="1">
        <f t="array" ref="H282">IFERROR(INDEX(INVESTOR_LIST[INVESTOR NAME],MATCH(I282,INVESTOR_LIST[INVESTOR CODE],0),)," ")</f>
        <v>MD MIZANUR RAHMAN</v>
      </c>
      <c r="I282" s="299" t="s">
        <v>431</v>
      </c>
      <c r="J282" s="229" t="s">
        <v>14</v>
      </c>
      <c r="K282" s="230"/>
      <c r="L282" s="230">
        <v>5000</v>
      </c>
    </row>
    <row r="283" spans="1:12" ht="11.25" customHeight="1" x14ac:dyDescent="0.2">
      <c r="A283" s="221">
        <v>2022</v>
      </c>
      <c r="B283" s="221">
        <v>1</v>
      </c>
      <c r="C283" s="221">
        <v>31</v>
      </c>
      <c r="D283" s="231">
        <f t="shared" si="8"/>
        <v>44592</v>
      </c>
      <c r="E283" s="233">
        <f t="shared" si="7"/>
        <v>44592</v>
      </c>
      <c r="F283" s="478" t="s">
        <v>802</v>
      </c>
      <c r="G283" s="222" t="s">
        <v>1111</v>
      </c>
      <c r="H283" s="223" t="str" cm="1">
        <f t="array" ref="H283">IFERROR(INDEX(INVESTOR_LIST[INVESTOR NAME],MATCH(I283,INVESTOR_LIST[INVESTOR CODE],0),)," ")</f>
        <v>SUJAN BARUA</v>
      </c>
      <c r="I283" s="299" t="s">
        <v>383</v>
      </c>
      <c r="J283" s="224" t="s">
        <v>55</v>
      </c>
      <c r="K283" s="298">
        <v>100000</v>
      </c>
      <c r="L283" s="225"/>
    </row>
    <row r="284" spans="1:12" ht="11.25" customHeight="1" x14ac:dyDescent="0.2">
      <c r="A284" s="226">
        <v>2022</v>
      </c>
      <c r="B284" s="226">
        <v>1</v>
      </c>
      <c r="C284" s="226">
        <v>31</v>
      </c>
      <c r="D284" s="232">
        <f t="shared" si="8"/>
        <v>44592</v>
      </c>
      <c r="E284" s="234">
        <f t="shared" si="7"/>
        <v>44592</v>
      </c>
      <c r="F284" s="479"/>
      <c r="G284" s="227" t="s">
        <v>1111</v>
      </c>
      <c r="H284" s="228" t="str" cm="1">
        <f t="array" ref="H284">IFERROR(INDEX(INVESTOR_LIST[INVESTOR NAME],MATCH(I284,INVESTOR_LIST[INVESTOR CODE],0),)," ")</f>
        <v>SUJAN BARUA</v>
      </c>
      <c r="I284" s="299" t="s">
        <v>383</v>
      </c>
      <c r="J284" s="229" t="s">
        <v>14</v>
      </c>
      <c r="K284" s="230"/>
      <c r="L284" s="230">
        <v>100000</v>
      </c>
    </row>
    <row r="285" spans="1:12" ht="11.25" customHeight="1" x14ac:dyDescent="0.2">
      <c r="A285" s="221">
        <v>2022</v>
      </c>
      <c r="B285" s="221">
        <v>1</v>
      </c>
      <c r="C285" s="221">
        <v>31</v>
      </c>
      <c r="D285" s="231">
        <f t="shared" si="8"/>
        <v>44592</v>
      </c>
      <c r="E285" s="233">
        <f t="shared" si="7"/>
        <v>44592</v>
      </c>
      <c r="F285" s="478" t="s">
        <v>802</v>
      </c>
      <c r="G285" s="222" t="s">
        <v>1111</v>
      </c>
      <c r="H285" s="223" t="str" cm="1">
        <f t="array" ref="H285">IFERROR(INDEX(INVESTOR_LIST[INVESTOR NAME],MATCH(I285,INVESTOR_LIST[INVESTOR CODE],0),)," ")</f>
        <v>SUSMITA DHAR</v>
      </c>
      <c r="I285" s="299" t="s">
        <v>838</v>
      </c>
      <c r="J285" s="224" t="s">
        <v>55</v>
      </c>
      <c r="K285" s="298">
        <v>50000</v>
      </c>
      <c r="L285" s="225"/>
    </row>
    <row r="286" spans="1:12" ht="11.25" customHeight="1" x14ac:dyDescent="0.2">
      <c r="A286" s="226">
        <v>2022</v>
      </c>
      <c r="B286" s="226">
        <v>1</v>
      </c>
      <c r="C286" s="226">
        <v>31</v>
      </c>
      <c r="D286" s="232">
        <f t="shared" si="8"/>
        <v>44592</v>
      </c>
      <c r="E286" s="234">
        <f t="shared" si="7"/>
        <v>44592</v>
      </c>
      <c r="F286" s="479"/>
      <c r="G286" s="227" t="s">
        <v>1111</v>
      </c>
      <c r="H286" s="228" t="str" cm="1">
        <f t="array" ref="H286">IFERROR(INDEX(INVESTOR_LIST[INVESTOR NAME],MATCH(I286,INVESTOR_LIST[INVESTOR CODE],0),)," ")</f>
        <v>SUSMITA DHAR</v>
      </c>
      <c r="I286" s="299" t="s">
        <v>838</v>
      </c>
      <c r="J286" s="229" t="s">
        <v>14</v>
      </c>
      <c r="K286" s="230"/>
      <c r="L286" s="230">
        <v>50000</v>
      </c>
    </row>
    <row r="287" spans="1:12" ht="11.25" customHeight="1" x14ac:dyDescent="0.2">
      <c r="A287" s="221">
        <v>2022</v>
      </c>
      <c r="B287" s="221">
        <v>1</v>
      </c>
      <c r="C287" s="221">
        <v>31</v>
      </c>
      <c r="D287" s="231">
        <f t="shared" si="8"/>
        <v>44592</v>
      </c>
      <c r="E287" s="233">
        <f t="shared" si="7"/>
        <v>44592</v>
      </c>
      <c r="F287" s="478" t="s">
        <v>802</v>
      </c>
      <c r="G287" s="222" t="s">
        <v>1111</v>
      </c>
      <c r="H287" s="223" t="str" cm="1">
        <f t="array" ref="H287">IFERROR(INDEX(INVESTOR_LIST[INVESTOR NAME],MATCH(I287,INVESTOR_LIST[INVESTOR CODE],0),)," ")</f>
        <v>SAIDA HOMAIRA</v>
      </c>
      <c r="I287" s="299" t="s">
        <v>846</v>
      </c>
      <c r="J287" s="224" t="s">
        <v>55</v>
      </c>
      <c r="K287" s="298">
        <v>300000</v>
      </c>
      <c r="L287" s="225"/>
    </row>
    <row r="288" spans="1:12" ht="11.25" customHeight="1" x14ac:dyDescent="0.2">
      <c r="A288" s="226">
        <v>2022</v>
      </c>
      <c r="B288" s="226">
        <v>1</v>
      </c>
      <c r="C288" s="226">
        <v>31</v>
      </c>
      <c r="D288" s="232">
        <f t="shared" si="8"/>
        <v>44592</v>
      </c>
      <c r="E288" s="234">
        <f t="shared" si="7"/>
        <v>44592</v>
      </c>
      <c r="F288" s="479"/>
      <c r="G288" s="227" t="s">
        <v>1111</v>
      </c>
      <c r="H288" s="228" t="str" cm="1">
        <f t="array" ref="H288">IFERROR(INDEX(INVESTOR_LIST[INVESTOR NAME],MATCH(I288,INVESTOR_LIST[INVESTOR CODE],0),)," ")</f>
        <v>SAIDA HOMAIRA</v>
      </c>
      <c r="I288" s="299" t="s">
        <v>846</v>
      </c>
      <c r="J288" s="229" t="s">
        <v>14</v>
      </c>
      <c r="K288" s="230"/>
      <c r="L288" s="230">
        <v>300000</v>
      </c>
    </row>
    <row r="289" spans="1:12" ht="11.25" customHeight="1" x14ac:dyDescent="0.2">
      <c r="A289" s="221">
        <v>2022</v>
      </c>
      <c r="B289" s="221">
        <v>1</v>
      </c>
      <c r="C289" s="221">
        <v>31</v>
      </c>
      <c r="D289" s="231">
        <f t="shared" si="8"/>
        <v>44592</v>
      </c>
      <c r="E289" s="233">
        <f t="shared" si="7"/>
        <v>44592</v>
      </c>
      <c r="F289" s="478" t="s">
        <v>802</v>
      </c>
      <c r="G289" s="222" t="s">
        <v>1111</v>
      </c>
      <c r="H289" s="223" t="str" cm="1">
        <f t="array" ref="H289">IFERROR(INDEX(INVESTOR_LIST[INVESTOR NAME],MATCH(I289,INVESTOR_LIST[INVESTOR CODE],0),)," ")</f>
        <v>PHOENIX INSURANCE CO. LTD. EMPL. P.F.</v>
      </c>
      <c r="I289" s="299" t="s">
        <v>366</v>
      </c>
      <c r="J289" s="224" t="s">
        <v>55</v>
      </c>
      <c r="K289" s="298">
        <v>1000000</v>
      </c>
      <c r="L289" s="225"/>
    </row>
    <row r="290" spans="1:12" ht="11.25" customHeight="1" x14ac:dyDescent="0.2">
      <c r="A290" s="226">
        <v>2022</v>
      </c>
      <c r="B290" s="226">
        <v>1</v>
      </c>
      <c r="C290" s="226">
        <v>31</v>
      </c>
      <c r="D290" s="232">
        <f t="shared" si="8"/>
        <v>44592</v>
      </c>
      <c r="E290" s="234">
        <f t="shared" si="7"/>
        <v>44592</v>
      </c>
      <c r="F290" s="479"/>
      <c r="G290" s="227" t="s">
        <v>1111</v>
      </c>
      <c r="H290" s="228" t="str" cm="1">
        <f t="array" ref="H290">IFERROR(INDEX(INVESTOR_LIST[INVESTOR NAME],MATCH(I290,INVESTOR_LIST[INVESTOR CODE],0),)," ")</f>
        <v>PHOENIX INSURANCE CO. LTD. EMPL. P.F.</v>
      </c>
      <c r="I290" s="299" t="s">
        <v>366</v>
      </c>
      <c r="J290" s="229" t="s">
        <v>14</v>
      </c>
      <c r="K290" s="230"/>
      <c r="L290" s="230">
        <v>1000000</v>
      </c>
    </row>
    <row r="291" spans="1:12" ht="11.25" customHeight="1" x14ac:dyDescent="0.2">
      <c r="A291" s="221">
        <v>2022</v>
      </c>
      <c r="B291" s="221">
        <v>1</v>
      </c>
      <c r="C291" s="221">
        <v>31</v>
      </c>
      <c r="D291" s="231">
        <f t="shared" si="8"/>
        <v>44592</v>
      </c>
      <c r="E291" s="233">
        <f t="shared" si="7"/>
        <v>44592</v>
      </c>
      <c r="F291" s="478" t="s">
        <v>802</v>
      </c>
      <c r="G291" s="222" t="s">
        <v>1111</v>
      </c>
      <c r="H291" s="223" t="str" cm="1">
        <f t="array" ref="H291">IFERROR(INDEX(INVESTOR_LIST[INVESTOR NAME],MATCH(I291,INVESTOR_LIST[INVESTOR CODE],0),)," ")</f>
        <v>JOY SHREE SAHA</v>
      </c>
      <c r="I291" s="299" t="s">
        <v>681</v>
      </c>
      <c r="J291" s="224" t="s">
        <v>55</v>
      </c>
      <c r="K291" s="298">
        <v>1500000</v>
      </c>
      <c r="L291" s="225"/>
    </row>
    <row r="292" spans="1:12" ht="11.25" customHeight="1" x14ac:dyDescent="0.2">
      <c r="A292" s="226">
        <v>2022</v>
      </c>
      <c r="B292" s="226">
        <v>1</v>
      </c>
      <c r="C292" s="226">
        <v>31</v>
      </c>
      <c r="D292" s="232">
        <f t="shared" si="8"/>
        <v>44592</v>
      </c>
      <c r="E292" s="234">
        <f t="shared" si="7"/>
        <v>44592</v>
      </c>
      <c r="F292" s="479"/>
      <c r="G292" s="227" t="s">
        <v>1111</v>
      </c>
      <c r="H292" s="228" t="str" cm="1">
        <f t="array" ref="H292">IFERROR(INDEX(INVESTOR_LIST[INVESTOR NAME],MATCH(I292,INVESTOR_LIST[INVESTOR CODE],0),)," ")</f>
        <v>JOY SHREE SAHA</v>
      </c>
      <c r="I292" s="299" t="s">
        <v>681</v>
      </c>
      <c r="J292" s="229" t="s">
        <v>14</v>
      </c>
      <c r="K292" s="230"/>
      <c r="L292" s="230">
        <v>1500000</v>
      </c>
    </row>
    <row r="293" spans="1:12" ht="11.25" customHeight="1" x14ac:dyDescent="0.2">
      <c r="A293" s="221">
        <v>2022</v>
      </c>
      <c r="B293" s="221">
        <v>1</v>
      </c>
      <c r="C293" s="221">
        <v>31</v>
      </c>
      <c r="D293" s="231">
        <f t="shared" si="8"/>
        <v>44592</v>
      </c>
      <c r="E293" s="233">
        <f t="shared" si="7"/>
        <v>44592</v>
      </c>
      <c r="F293" s="478" t="s">
        <v>802</v>
      </c>
      <c r="G293" s="222" t="s">
        <v>1111</v>
      </c>
      <c r="H293" s="223" t="str" cm="1">
        <f t="array" ref="H293">IFERROR(INDEX(INVESTOR_LIST[INVESTOR NAME],MATCH(I293,INVESTOR_LIST[INVESTOR CODE],0),)," ")</f>
        <v>PHOENIX INSURANCE CO. LTD.</v>
      </c>
      <c r="I293" s="299" t="s">
        <v>385</v>
      </c>
      <c r="J293" s="224" t="s">
        <v>55</v>
      </c>
      <c r="K293" s="298">
        <v>2000000</v>
      </c>
      <c r="L293" s="225"/>
    </row>
    <row r="294" spans="1:12" ht="11.25" customHeight="1" x14ac:dyDescent="0.2">
      <c r="A294" s="226">
        <v>2022</v>
      </c>
      <c r="B294" s="226">
        <v>1</v>
      </c>
      <c r="C294" s="226">
        <v>31</v>
      </c>
      <c r="D294" s="232">
        <f t="shared" si="8"/>
        <v>44592</v>
      </c>
      <c r="E294" s="234">
        <f t="shared" si="7"/>
        <v>44592</v>
      </c>
      <c r="F294" s="479"/>
      <c r="G294" s="227" t="s">
        <v>1111</v>
      </c>
      <c r="H294" s="228" t="str" cm="1">
        <f t="array" ref="H294">IFERROR(INDEX(INVESTOR_LIST[INVESTOR NAME],MATCH(I294,INVESTOR_LIST[INVESTOR CODE],0),)," ")</f>
        <v>PHOENIX INSURANCE CO. LTD.</v>
      </c>
      <c r="I294" s="299" t="s">
        <v>385</v>
      </c>
      <c r="J294" s="229" t="s">
        <v>14</v>
      </c>
      <c r="K294" s="230"/>
      <c r="L294" s="230">
        <v>2000000</v>
      </c>
    </row>
    <row r="295" spans="1:12" ht="11.25" customHeight="1" x14ac:dyDescent="0.2">
      <c r="A295" s="221">
        <v>2022</v>
      </c>
      <c r="B295" s="221">
        <v>1</v>
      </c>
      <c r="C295" s="221">
        <v>31</v>
      </c>
      <c r="D295" s="231">
        <f t="shared" si="8"/>
        <v>44592</v>
      </c>
      <c r="E295" s="233">
        <f t="shared" si="7"/>
        <v>44592</v>
      </c>
      <c r="F295" s="478" t="s">
        <v>802</v>
      </c>
      <c r="G295" s="222" t="s">
        <v>1111</v>
      </c>
      <c r="H295" s="223" t="str" cm="1">
        <f t="array" ref="H295">IFERROR(INDEX(INVESTOR_LIST[INVESTOR NAME],MATCH(I295,INVESTOR_LIST[INVESTOR CODE],0),)," ")</f>
        <v>MD. ARIFUL ISLAM</v>
      </c>
      <c r="I295" s="299" t="s">
        <v>404</v>
      </c>
      <c r="J295" s="224" t="s">
        <v>55</v>
      </c>
      <c r="K295" s="298">
        <v>5000000</v>
      </c>
      <c r="L295" s="225"/>
    </row>
    <row r="296" spans="1:12" ht="11.25" customHeight="1" x14ac:dyDescent="0.2">
      <c r="A296" s="226">
        <v>2022</v>
      </c>
      <c r="B296" s="226">
        <v>1</v>
      </c>
      <c r="C296" s="226">
        <v>31</v>
      </c>
      <c r="D296" s="232">
        <f t="shared" si="8"/>
        <v>44592</v>
      </c>
      <c r="E296" s="234">
        <f t="shared" si="7"/>
        <v>44592</v>
      </c>
      <c r="F296" s="479"/>
      <c r="G296" s="227" t="s">
        <v>1111</v>
      </c>
      <c r="H296" s="228" t="str" cm="1">
        <f t="array" ref="H296">IFERROR(INDEX(INVESTOR_LIST[INVESTOR NAME],MATCH(I296,INVESTOR_LIST[INVESTOR CODE],0),)," ")</f>
        <v>MD. ARIFUL ISLAM</v>
      </c>
      <c r="I296" s="299" t="s">
        <v>404</v>
      </c>
      <c r="J296" s="229" t="s">
        <v>14</v>
      </c>
      <c r="K296" s="230"/>
      <c r="L296" s="230">
        <v>5000000</v>
      </c>
    </row>
    <row r="297" spans="1:12" ht="11.25" customHeight="1" x14ac:dyDescent="0.2">
      <c r="A297" s="221">
        <v>2022</v>
      </c>
      <c r="B297" s="221">
        <v>1</v>
      </c>
      <c r="C297" s="221">
        <v>31</v>
      </c>
      <c r="D297" s="231">
        <f t="shared" si="8"/>
        <v>44592</v>
      </c>
      <c r="E297" s="233">
        <f t="shared" si="7"/>
        <v>44592</v>
      </c>
      <c r="F297" s="478" t="s">
        <v>802</v>
      </c>
      <c r="G297" s="222" t="s">
        <v>1111</v>
      </c>
      <c r="H297" s="223" t="str" cm="1">
        <f t="array" ref="H297">IFERROR(INDEX(INVESTOR_LIST[INVESTOR NAME],MATCH(I297,INVESTOR_LIST[INVESTOR CODE],0),)," ")</f>
        <v>NRB COMMERCIAL BANK LIMITED</v>
      </c>
      <c r="I297" s="299" t="s">
        <v>900</v>
      </c>
      <c r="J297" s="224" t="s">
        <v>55</v>
      </c>
      <c r="K297" s="298">
        <v>10000000</v>
      </c>
      <c r="L297" s="225"/>
    </row>
    <row r="298" spans="1:12" ht="11.25" customHeight="1" x14ac:dyDescent="0.2">
      <c r="A298" s="226">
        <v>2022</v>
      </c>
      <c r="B298" s="226">
        <v>1</v>
      </c>
      <c r="C298" s="226">
        <v>31</v>
      </c>
      <c r="D298" s="232">
        <f t="shared" si="8"/>
        <v>44592</v>
      </c>
      <c r="E298" s="234">
        <f t="shared" si="7"/>
        <v>44592</v>
      </c>
      <c r="F298" s="479"/>
      <c r="G298" s="227" t="s">
        <v>1111</v>
      </c>
      <c r="H298" s="228" t="str" cm="1">
        <f t="array" ref="H298">IFERROR(INDEX(INVESTOR_LIST[INVESTOR NAME],MATCH(I298,INVESTOR_LIST[INVESTOR CODE],0),)," ")</f>
        <v>NRB COMMERCIAL BANK LIMITED</v>
      </c>
      <c r="I298" s="299" t="s">
        <v>900</v>
      </c>
      <c r="J298" s="229" t="s">
        <v>14</v>
      </c>
      <c r="K298" s="230"/>
      <c r="L298" s="230">
        <v>10000000</v>
      </c>
    </row>
    <row r="299" spans="1:12" ht="11.25" customHeight="1" x14ac:dyDescent="0.2">
      <c r="A299" s="221">
        <v>2022</v>
      </c>
      <c r="B299" s="221">
        <v>1</v>
      </c>
      <c r="C299" s="221">
        <v>31</v>
      </c>
      <c r="D299" s="231">
        <f t="shared" si="8"/>
        <v>44592</v>
      </c>
      <c r="E299" s="233">
        <f t="shared" si="7"/>
        <v>44592</v>
      </c>
      <c r="F299" s="478" t="s">
        <v>802</v>
      </c>
      <c r="G299" s="222" t="s">
        <v>1111</v>
      </c>
      <c r="H299" s="223" t="str" cm="1">
        <f t="array" ref="H299">IFERROR(INDEX(INVESTOR_LIST[INVESTOR NAME],MATCH(I299,INVESTOR_LIST[INVESTOR CODE],0),)," ")</f>
        <v>SYED ADNAN HUDA</v>
      </c>
      <c r="I299" s="299" t="s">
        <v>500</v>
      </c>
      <c r="J299" s="224" t="s">
        <v>55</v>
      </c>
      <c r="K299" s="298">
        <v>3000000</v>
      </c>
      <c r="L299" s="225"/>
    </row>
    <row r="300" spans="1:12" ht="11.25" customHeight="1" x14ac:dyDescent="0.2">
      <c r="A300" s="226">
        <v>2022</v>
      </c>
      <c r="B300" s="226">
        <v>1</v>
      </c>
      <c r="C300" s="226">
        <v>31</v>
      </c>
      <c r="D300" s="232">
        <f t="shared" si="8"/>
        <v>44592</v>
      </c>
      <c r="E300" s="234">
        <f t="shared" si="7"/>
        <v>44592</v>
      </c>
      <c r="F300" s="479"/>
      <c r="G300" s="227" t="s">
        <v>1111</v>
      </c>
      <c r="H300" s="228" t="str" cm="1">
        <f t="array" ref="H300">IFERROR(INDEX(INVESTOR_LIST[INVESTOR NAME],MATCH(I300,INVESTOR_LIST[INVESTOR CODE],0),)," ")</f>
        <v>SYED ADNAN HUDA</v>
      </c>
      <c r="I300" s="299" t="s">
        <v>500</v>
      </c>
      <c r="J300" s="229" t="s">
        <v>14</v>
      </c>
      <c r="K300" s="230"/>
      <c r="L300" s="230">
        <v>3000000</v>
      </c>
    </row>
    <row r="301" spans="1:12" ht="11.25" customHeight="1" x14ac:dyDescent="0.2">
      <c r="A301" s="221">
        <v>2022</v>
      </c>
      <c r="B301" s="221">
        <v>1</v>
      </c>
      <c r="C301" s="221">
        <v>31</v>
      </c>
      <c r="D301" s="231">
        <f t="shared" si="8"/>
        <v>44592</v>
      </c>
      <c r="E301" s="233">
        <f t="shared" si="7"/>
        <v>44592</v>
      </c>
      <c r="F301" s="478" t="s">
        <v>802</v>
      </c>
      <c r="G301" s="222" t="s">
        <v>1111</v>
      </c>
      <c r="H301" s="223" t="str" cm="1">
        <f t="array" ref="H301">IFERROR(INDEX(INVESTOR_LIST[INVESTOR NAME],MATCH(I301,INVESTOR_LIST[INVESTOR CODE],0),)," ")</f>
        <v>HASIB MUSTABSIR</v>
      </c>
      <c r="I301" s="299" t="s">
        <v>470</v>
      </c>
      <c r="J301" s="224" t="s">
        <v>55</v>
      </c>
      <c r="K301" s="298">
        <v>2000000</v>
      </c>
      <c r="L301" s="225"/>
    </row>
    <row r="302" spans="1:12" ht="11.25" customHeight="1" x14ac:dyDescent="0.2">
      <c r="A302" s="226">
        <v>2022</v>
      </c>
      <c r="B302" s="226">
        <v>1</v>
      </c>
      <c r="C302" s="226">
        <v>31</v>
      </c>
      <c r="D302" s="232">
        <f t="shared" si="8"/>
        <v>44592</v>
      </c>
      <c r="E302" s="234">
        <f t="shared" si="7"/>
        <v>44592</v>
      </c>
      <c r="F302" s="479"/>
      <c r="G302" s="227" t="s">
        <v>1111</v>
      </c>
      <c r="H302" s="228" t="str" cm="1">
        <f t="array" ref="H302">IFERROR(INDEX(INVESTOR_LIST[INVESTOR NAME],MATCH(I302,INVESTOR_LIST[INVESTOR CODE],0),)," ")</f>
        <v>HASIB MUSTABSIR</v>
      </c>
      <c r="I302" s="299" t="s">
        <v>470</v>
      </c>
      <c r="J302" s="229" t="s">
        <v>14</v>
      </c>
      <c r="K302" s="230"/>
      <c r="L302" s="230">
        <v>2000000</v>
      </c>
    </row>
    <row r="303" spans="1:12" ht="11.25" customHeight="1" x14ac:dyDescent="0.2">
      <c r="A303" s="221">
        <v>2022</v>
      </c>
      <c r="B303" s="221">
        <v>1</v>
      </c>
      <c r="C303" s="221">
        <v>31</v>
      </c>
      <c r="D303" s="231">
        <f t="shared" si="8"/>
        <v>44592</v>
      </c>
      <c r="E303" s="233">
        <f t="shared" si="7"/>
        <v>44592</v>
      </c>
      <c r="F303" s="478" t="s">
        <v>802</v>
      </c>
      <c r="G303" s="222" t="s">
        <v>1111</v>
      </c>
      <c r="H303" s="223" t="str" cm="1">
        <f t="array" ref="H303">IFERROR(INDEX(INVESTOR_LIST[INVESTOR NAME],MATCH(I303,INVESTOR_LIST[INVESTOR CODE],0),)," ")</f>
        <v>MAYA RANI SAHA</v>
      </c>
      <c r="I303" s="299" t="s">
        <v>405</v>
      </c>
      <c r="J303" s="224" t="s">
        <v>55</v>
      </c>
      <c r="K303" s="298">
        <v>2000000</v>
      </c>
      <c r="L303" s="225"/>
    </row>
    <row r="304" spans="1:12" ht="11.25" customHeight="1" x14ac:dyDescent="0.2">
      <c r="A304" s="226">
        <v>2022</v>
      </c>
      <c r="B304" s="226">
        <v>1</v>
      </c>
      <c r="C304" s="226">
        <v>31</v>
      </c>
      <c r="D304" s="232">
        <f t="shared" si="8"/>
        <v>44592</v>
      </c>
      <c r="E304" s="234">
        <f t="shared" si="7"/>
        <v>44592</v>
      </c>
      <c r="F304" s="479"/>
      <c r="G304" s="227" t="s">
        <v>1111</v>
      </c>
      <c r="H304" s="228" t="str" cm="1">
        <f t="array" ref="H304">IFERROR(INDEX(INVESTOR_LIST[INVESTOR NAME],MATCH(I304,INVESTOR_LIST[INVESTOR CODE],0),)," ")</f>
        <v>MAYA RANI SAHA</v>
      </c>
      <c r="I304" s="299" t="s">
        <v>405</v>
      </c>
      <c r="J304" s="229" t="s">
        <v>14</v>
      </c>
      <c r="K304" s="230"/>
      <c r="L304" s="230">
        <v>2000000</v>
      </c>
    </row>
    <row r="305" spans="1:12" ht="11.25" customHeight="1" x14ac:dyDescent="0.2">
      <c r="A305" s="221">
        <v>2022</v>
      </c>
      <c r="B305" s="221">
        <v>1</v>
      </c>
      <c r="C305" s="221">
        <v>31</v>
      </c>
      <c r="D305" s="231">
        <f t="shared" si="8"/>
        <v>44592</v>
      </c>
      <c r="E305" s="233">
        <f t="shared" si="7"/>
        <v>44592</v>
      </c>
      <c r="F305" s="478" t="s">
        <v>802</v>
      </c>
      <c r="G305" s="222" t="s">
        <v>1111</v>
      </c>
      <c r="H305" s="223" t="str" cm="1">
        <f t="array" ref="H305">IFERROR(INDEX(INVESTOR_LIST[INVESTOR NAME],MATCH(I305,INVESTOR_LIST[INVESTOR CODE],0),)," ")</f>
        <v>NATIONAL BANK LTD</v>
      </c>
      <c r="I305" s="299" t="s">
        <v>364</v>
      </c>
      <c r="J305" s="224" t="s">
        <v>55</v>
      </c>
      <c r="K305" s="298">
        <v>2500000</v>
      </c>
      <c r="L305" s="225"/>
    </row>
    <row r="306" spans="1:12" ht="11.25" customHeight="1" x14ac:dyDescent="0.2">
      <c r="A306" s="226">
        <v>2022</v>
      </c>
      <c r="B306" s="226">
        <v>1</v>
      </c>
      <c r="C306" s="226">
        <v>31</v>
      </c>
      <c r="D306" s="232">
        <f t="shared" si="8"/>
        <v>44592</v>
      </c>
      <c r="E306" s="234">
        <f t="shared" si="7"/>
        <v>44592</v>
      </c>
      <c r="F306" s="479"/>
      <c r="G306" s="227" t="s">
        <v>1111</v>
      </c>
      <c r="H306" s="228" t="str" cm="1">
        <f t="array" ref="H306">IFERROR(INDEX(INVESTOR_LIST[INVESTOR NAME],MATCH(I306,INVESTOR_LIST[INVESTOR CODE],0),)," ")</f>
        <v>NATIONAL BANK LTD</v>
      </c>
      <c r="I306" s="299" t="s">
        <v>364</v>
      </c>
      <c r="J306" s="229" t="s">
        <v>14</v>
      </c>
      <c r="K306" s="230"/>
      <c r="L306" s="230">
        <v>2500000</v>
      </c>
    </row>
    <row r="307" spans="1:12" ht="11.25" customHeight="1" x14ac:dyDescent="0.2">
      <c r="A307" s="221">
        <v>2022</v>
      </c>
      <c r="B307" s="221">
        <v>1</v>
      </c>
      <c r="C307" s="221">
        <v>31</v>
      </c>
      <c r="D307" s="231">
        <f t="shared" si="8"/>
        <v>44592</v>
      </c>
      <c r="E307" s="233">
        <f t="shared" si="7"/>
        <v>44592</v>
      </c>
      <c r="F307" s="478" t="s">
        <v>802</v>
      </c>
      <c r="G307" s="222" t="s">
        <v>1111</v>
      </c>
      <c r="H307" s="223" t="str" cm="1">
        <f t="array" ref="H307">IFERROR(INDEX(INVESTOR_LIST[INVESTOR NAME],MATCH(I307,INVESTOR_LIST[INVESTOR CODE],0),)," ")</f>
        <v>NBL CAPITAL AND EQUITY MANAGEMENT LTD</v>
      </c>
      <c r="I307" s="299" t="s">
        <v>910</v>
      </c>
      <c r="J307" s="224" t="s">
        <v>55</v>
      </c>
      <c r="K307" s="298">
        <v>500000</v>
      </c>
      <c r="L307" s="225"/>
    </row>
    <row r="308" spans="1:12" ht="11.25" customHeight="1" x14ac:dyDescent="0.2">
      <c r="A308" s="226">
        <v>2022</v>
      </c>
      <c r="B308" s="226">
        <v>1</v>
      </c>
      <c r="C308" s="226">
        <v>31</v>
      </c>
      <c r="D308" s="232">
        <f t="shared" si="8"/>
        <v>44592</v>
      </c>
      <c r="E308" s="234">
        <f t="shared" si="7"/>
        <v>44592</v>
      </c>
      <c r="F308" s="479"/>
      <c r="G308" s="227" t="s">
        <v>1111</v>
      </c>
      <c r="H308" s="228" t="str" cm="1">
        <f t="array" ref="H308">IFERROR(INDEX(INVESTOR_LIST[INVESTOR NAME],MATCH(I308,INVESTOR_LIST[INVESTOR CODE],0),)," ")</f>
        <v>NBL CAPITAL AND EQUITY MANAGEMENT LTD</v>
      </c>
      <c r="I308" s="299" t="s">
        <v>910</v>
      </c>
      <c r="J308" s="229" t="s">
        <v>14</v>
      </c>
      <c r="K308" s="230"/>
      <c r="L308" s="230">
        <v>500000</v>
      </c>
    </row>
    <row r="309" spans="1:12" ht="11.25" customHeight="1" x14ac:dyDescent="0.2">
      <c r="A309" s="221">
        <v>2022</v>
      </c>
      <c r="B309" s="221">
        <v>1</v>
      </c>
      <c r="C309" s="221">
        <v>31</v>
      </c>
      <c r="D309" s="231">
        <f t="shared" si="8"/>
        <v>44592</v>
      </c>
      <c r="E309" s="233">
        <f t="shared" ref="E309:E372" si="9">DATE(A309,B309,C309)</f>
        <v>44592</v>
      </c>
      <c r="F309" s="478" t="s">
        <v>802</v>
      </c>
      <c r="G309" s="222" t="s">
        <v>1111</v>
      </c>
      <c r="H309" s="223" t="str" cm="1">
        <f t="array" ref="H309">IFERROR(INDEX(INVESTOR_LIST[INVESTOR NAME],MATCH(I309,INVESTOR_LIST[INVESTOR CODE],0),)," ")</f>
        <v>MD. WALI ULLAH</v>
      </c>
      <c r="I309" s="299" t="s">
        <v>569</v>
      </c>
      <c r="J309" s="224" t="s">
        <v>55</v>
      </c>
      <c r="K309" s="298">
        <v>100000</v>
      </c>
      <c r="L309" s="225"/>
    </row>
    <row r="310" spans="1:12" ht="11.25" customHeight="1" x14ac:dyDescent="0.2">
      <c r="A310" s="226">
        <v>2022</v>
      </c>
      <c r="B310" s="226">
        <v>1</v>
      </c>
      <c r="C310" s="226">
        <v>31</v>
      </c>
      <c r="D310" s="232">
        <f t="shared" si="8"/>
        <v>44592</v>
      </c>
      <c r="E310" s="234">
        <f t="shared" si="9"/>
        <v>44592</v>
      </c>
      <c r="F310" s="479"/>
      <c r="G310" s="227" t="s">
        <v>1111</v>
      </c>
      <c r="H310" s="228" t="str" cm="1">
        <f t="array" ref="H310">IFERROR(INDEX(INVESTOR_LIST[INVESTOR NAME],MATCH(I310,INVESTOR_LIST[INVESTOR CODE],0),)," ")</f>
        <v>MD. WALI ULLAH</v>
      </c>
      <c r="I310" s="299" t="s">
        <v>569</v>
      </c>
      <c r="J310" s="229" t="s">
        <v>14</v>
      </c>
      <c r="K310" s="230"/>
      <c r="L310" s="230">
        <v>100000</v>
      </c>
    </row>
    <row r="311" spans="1:12" ht="11.25" customHeight="1" x14ac:dyDescent="0.2">
      <c r="A311" s="221">
        <v>2022</v>
      </c>
      <c r="B311" s="221">
        <v>1</v>
      </c>
      <c r="C311" s="221">
        <v>31</v>
      </c>
      <c r="D311" s="231">
        <f t="shared" si="8"/>
        <v>44592</v>
      </c>
      <c r="E311" s="233">
        <f t="shared" si="9"/>
        <v>44592</v>
      </c>
      <c r="F311" s="478" t="s">
        <v>802</v>
      </c>
      <c r="G311" s="222" t="s">
        <v>1111</v>
      </c>
      <c r="H311" s="223" t="str" cm="1">
        <f t="array" ref="H311">IFERROR(INDEX(INVESTOR_LIST[INVESTOR NAME],MATCH(I311,INVESTOR_LIST[INVESTOR CODE],0),)," ")</f>
        <v>ARIF AHMED</v>
      </c>
      <c r="I311" s="299" t="s">
        <v>912</v>
      </c>
      <c r="J311" s="224" t="s">
        <v>55</v>
      </c>
      <c r="K311" s="298">
        <v>100000</v>
      </c>
      <c r="L311" s="225"/>
    </row>
    <row r="312" spans="1:12" ht="11.25" customHeight="1" x14ac:dyDescent="0.2">
      <c r="A312" s="226">
        <v>2022</v>
      </c>
      <c r="B312" s="226">
        <v>1</v>
      </c>
      <c r="C312" s="226">
        <v>31</v>
      </c>
      <c r="D312" s="232">
        <f t="shared" si="8"/>
        <v>44592</v>
      </c>
      <c r="E312" s="234">
        <f t="shared" si="9"/>
        <v>44592</v>
      </c>
      <c r="F312" s="479"/>
      <c r="G312" s="227" t="s">
        <v>1111</v>
      </c>
      <c r="H312" s="228" t="str" cm="1">
        <f t="array" ref="H312">IFERROR(INDEX(INVESTOR_LIST[INVESTOR NAME],MATCH(I312,INVESTOR_LIST[INVESTOR CODE],0),)," ")</f>
        <v>ARIF AHMED</v>
      </c>
      <c r="I312" s="299" t="s">
        <v>912</v>
      </c>
      <c r="J312" s="229" t="s">
        <v>14</v>
      </c>
      <c r="K312" s="230"/>
      <c r="L312" s="230">
        <v>100000</v>
      </c>
    </row>
    <row r="313" spans="1:12" ht="11.25" customHeight="1" x14ac:dyDescent="0.2">
      <c r="A313" s="221">
        <v>2022</v>
      </c>
      <c r="B313" s="221">
        <v>1</v>
      </c>
      <c r="C313" s="221">
        <v>31</v>
      </c>
      <c r="D313" s="231">
        <f t="shared" si="8"/>
        <v>44592</v>
      </c>
      <c r="E313" s="233">
        <f t="shared" si="9"/>
        <v>44592</v>
      </c>
      <c r="F313" s="478" t="s">
        <v>802</v>
      </c>
      <c r="G313" s="222" t="s">
        <v>1111</v>
      </c>
      <c r="H313" s="223" t="str" cm="1">
        <f t="array" ref="H313">IFERROR(INDEX(INVESTOR_LIST[INVESTOR NAME],MATCH(I313,INVESTOR_LIST[INVESTOR CODE],0),)," ")</f>
        <v>SWADESH RANJAN SAHA</v>
      </c>
      <c r="I313" s="299" t="s">
        <v>410</v>
      </c>
      <c r="J313" s="224" t="s">
        <v>55</v>
      </c>
      <c r="K313" s="298">
        <v>200000</v>
      </c>
      <c r="L313" s="225"/>
    </row>
    <row r="314" spans="1:12" ht="11.25" customHeight="1" x14ac:dyDescent="0.2">
      <c r="A314" s="226">
        <v>2022</v>
      </c>
      <c r="B314" s="226">
        <v>1</v>
      </c>
      <c r="C314" s="226">
        <v>31</v>
      </c>
      <c r="D314" s="232">
        <f t="shared" si="8"/>
        <v>44592</v>
      </c>
      <c r="E314" s="234">
        <f t="shared" si="9"/>
        <v>44592</v>
      </c>
      <c r="F314" s="479"/>
      <c r="G314" s="227" t="s">
        <v>1111</v>
      </c>
      <c r="H314" s="228" t="str" cm="1">
        <f t="array" ref="H314">IFERROR(INDEX(INVESTOR_LIST[INVESTOR NAME],MATCH(I314,INVESTOR_LIST[INVESTOR CODE],0),)," ")</f>
        <v>SWADESH RANJAN SAHA</v>
      </c>
      <c r="I314" s="299" t="s">
        <v>410</v>
      </c>
      <c r="J314" s="229" t="s">
        <v>14</v>
      </c>
      <c r="K314" s="230"/>
      <c r="L314" s="230">
        <v>200000</v>
      </c>
    </row>
    <row r="315" spans="1:12" ht="11.25" customHeight="1" x14ac:dyDescent="0.2">
      <c r="A315" s="221">
        <v>2022</v>
      </c>
      <c r="B315" s="221">
        <v>1</v>
      </c>
      <c r="C315" s="221">
        <v>31</v>
      </c>
      <c r="D315" s="231">
        <f t="shared" si="8"/>
        <v>44592</v>
      </c>
      <c r="E315" s="233">
        <f t="shared" si="9"/>
        <v>44592</v>
      </c>
      <c r="F315" s="478" t="s">
        <v>802</v>
      </c>
      <c r="G315" s="222" t="s">
        <v>1111</v>
      </c>
      <c r="H315" s="223" t="str" cm="1">
        <f t="array" ref="H315">IFERROR(INDEX(INVESTOR_LIST[INVESTOR NAME],MATCH(I315,INVESTOR_LIST[INVESTOR CODE],0),)," ")</f>
        <v>MOHAMMAD YASEEN</v>
      </c>
      <c r="I315" s="299" t="s">
        <v>914</v>
      </c>
      <c r="J315" s="224" t="s">
        <v>55</v>
      </c>
      <c r="K315" s="298">
        <v>20000</v>
      </c>
      <c r="L315" s="225"/>
    </row>
    <row r="316" spans="1:12" ht="11.25" customHeight="1" x14ac:dyDescent="0.2">
      <c r="A316" s="226">
        <v>2022</v>
      </c>
      <c r="B316" s="226">
        <v>1</v>
      </c>
      <c r="C316" s="226">
        <v>31</v>
      </c>
      <c r="D316" s="232">
        <f t="shared" si="8"/>
        <v>44592</v>
      </c>
      <c r="E316" s="234">
        <f t="shared" si="9"/>
        <v>44592</v>
      </c>
      <c r="F316" s="479"/>
      <c r="G316" s="227" t="s">
        <v>1111</v>
      </c>
      <c r="H316" s="228" t="str" cm="1">
        <f t="array" ref="H316">IFERROR(INDEX(INVESTOR_LIST[INVESTOR NAME],MATCH(I316,INVESTOR_LIST[INVESTOR CODE],0),)," ")</f>
        <v>MOHAMMAD YASEEN</v>
      </c>
      <c r="I316" s="299" t="s">
        <v>914</v>
      </c>
      <c r="J316" s="229" t="s">
        <v>14</v>
      </c>
      <c r="K316" s="230"/>
      <c r="L316" s="230">
        <v>20000</v>
      </c>
    </row>
    <row r="317" spans="1:12" ht="11.25" customHeight="1" x14ac:dyDescent="0.2">
      <c r="A317" s="221">
        <v>2022</v>
      </c>
      <c r="B317" s="221">
        <v>1</v>
      </c>
      <c r="C317" s="221">
        <v>31</v>
      </c>
      <c r="D317" s="231">
        <f t="shared" si="8"/>
        <v>44592</v>
      </c>
      <c r="E317" s="233">
        <f t="shared" si="9"/>
        <v>44592</v>
      </c>
      <c r="F317" s="478" t="s">
        <v>802</v>
      </c>
      <c r="G317" s="222" t="s">
        <v>1111</v>
      </c>
      <c r="H317" s="223" t="str" cm="1">
        <f t="array" ref="H317">IFERROR(INDEX(INVESTOR_LIST[INVESTOR NAME],MATCH(I317,INVESTOR_LIST[INVESTOR CODE],0),)," ")</f>
        <v>MD. TARIF AZAD KHAN</v>
      </c>
      <c r="I317" s="299" t="s">
        <v>916</v>
      </c>
      <c r="J317" s="224" t="s">
        <v>55</v>
      </c>
      <c r="K317" s="298">
        <v>20000</v>
      </c>
      <c r="L317" s="225"/>
    </row>
    <row r="318" spans="1:12" ht="11.25" customHeight="1" x14ac:dyDescent="0.2">
      <c r="A318" s="226">
        <v>2022</v>
      </c>
      <c r="B318" s="226">
        <v>1</v>
      </c>
      <c r="C318" s="226">
        <v>31</v>
      </c>
      <c r="D318" s="232">
        <f t="shared" si="8"/>
        <v>44592</v>
      </c>
      <c r="E318" s="234">
        <f t="shared" si="9"/>
        <v>44592</v>
      </c>
      <c r="F318" s="479"/>
      <c r="G318" s="227" t="s">
        <v>1111</v>
      </c>
      <c r="H318" s="228" t="str" cm="1">
        <f t="array" ref="H318">IFERROR(INDEX(INVESTOR_LIST[INVESTOR NAME],MATCH(I318,INVESTOR_LIST[INVESTOR CODE],0),)," ")</f>
        <v>MD. TARIF AZAD KHAN</v>
      </c>
      <c r="I318" s="299" t="s">
        <v>916</v>
      </c>
      <c r="J318" s="229" t="s">
        <v>14</v>
      </c>
      <c r="K318" s="230"/>
      <c r="L318" s="230">
        <v>20000</v>
      </c>
    </row>
    <row r="319" spans="1:12" ht="11.25" customHeight="1" x14ac:dyDescent="0.2">
      <c r="A319" s="221">
        <v>2022</v>
      </c>
      <c r="B319" s="221">
        <v>1</v>
      </c>
      <c r="C319" s="221">
        <v>31</v>
      </c>
      <c r="D319" s="231">
        <f t="shared" si="8"/>
        <v>44592</v>
      </c>
      <c r="E319" s="233">
        <f t="shared" si="9"/>
        <v>44592</v>
      </c>
      <c r="F319" s="478" t="s">
        <v>802</v>
      </c>
      <c r="G319" s="222" t="s">
        <v>1111</v>
      </c>
      <c r="H319" s="223" t="str" cm="1">
        <f t="array" ref="H319">IFERROR(INDEX(INVESTOR_LIST[INVESTOR NAME],MATCH(I319,INVESTOR_LIST[INVESTOR CODE],0),)," ")</f>
        <v>MD. AZHARUL KARIM</v>
      </c>
      <c r="I319" s="299" t="s">
        <v>918</v>
      </c>
      <c r="J319" s="224" t="s">
        <v>55</v>
      </c>
      <c r="K319" s="298">
        <v>20000</v>
      </c>
      <c r="L319" s="225"/>
    </row>
    <row r="320" spans="1:12" ht="11.25" customHeight="1" x14ac:dyDescent="0.2">
      <c r="A320" s="226">
        <v>2022</v>
      </c>
      <c r="B320" s="226">
        <v>1</v>
      </c>
      <c r="C320" s="226">
        <v>31</v>
      </c>
      <c r="D320" s="232">
        <f t="shared" si="8"/>
        <v>44592</v>
      </c>
      <c r="E320" s="234">
        <f t="shared" si="9"/>
        <v>44592</v>
      </c>
      <c r="F320" s="479"/>
      <c r="G320" s="227" t="s">
        <v>1111</v>
      </c>
      <c r="H320" s="228" t="str" cm="1">
        <f t="array" ref="H320">IFERROR(INDEX(INVESTOR_LIST[INVESTOR NAME],MATCH(I320,INVESTOR_LIST[INVESTOR CODE],0),)," ")</f>
        <v>MD. AZHARUL KARIM</v>
      </c>
      <c r="I320" s="299" t="s">
        <v>918</v>
      </c>
      <c r="J320" s="229" t="s">
        <v>14</v>
      </c>
      <c r="K320" s="230"/>
      <c r="L320" s="230">
        <v>20000</v>
      </c>
    </row>
    <row r="321" spans="1:12" ht="11.25" customHeight="1" x14ac:dyDescent="0.2">
      <c r="A321" s="221">
        <v>2022</v>
      </c>
      <c r="B321" s="221">
        <v>1</v>
      </c>
      <c r="C321" s="221">
        <v>31</v>
      </c>
      <c r="D321" s="231">
        <f t="shared" si="8"/>
        <v>44592</v>
      </c>
      <c r="E321" s="233">
        <f t="shared" si="9"/>
        <v>44592</v>
      </c>
      <c r="F321" s="478" t="s">
        <v>802</v>
      </c>
      <c r="G321" s="222" t="s">
        <v>1111</v>
      </c>
      <c r="H321" s="223" t="str" cm="1">
        <f t="array" ref="H321">IFERROR(INDEX(INVESTOR_LIST[INVESTOR NAME],MATCH(I321,INVESTOR_LIST[INVESTOR CODE],0),)," ")</f>
        <v>MUNTASIR MAHMUD RAHMAN</v>
      </c>
      <c r="I321" s="299" t="s">
        <v>816</v>
      </c>
      <c r="J321" s="224" t="s">
        <v>55</v>
      </c>
      <c r="K321" s="298">
        <v>150000</v>
      </c>
      <c r="L321" s="225"/>
    </row>
    <row r="322" spans="1:12" ht="11.25" customHeight="1" x14ac:dyDescent="0.2">
      <c r="A322" s="226">
        <v>2022</v>
      </c>
      <c r="B322" s="226">
        <v>1</v>
      </c>
      <c r="C322" s="226">
        <v>31</v>
      </c>
      <c r="D322" s="232">
        <f t="shared" si="8"/>
        <v>44592</v>
      </c>
      <c r="E322" s="234">
        <f t="shared" si="9"/>
        <v>44592</v>
      </c>
      <c r="F322" s="479"/>
      <c r="G322" s="227" t="s">
        <v>1111</v>
      </c>
      <c r="H322" s="228" t="str" cm="1">
        <f t="array" ref="H322">IFERROR(INDEX(INVESTOR_LIST[INVESTOR NAME],MATCH(I322,INVESTOR_LIST[INVESTOR CODE],0),)," ")</f>
        <v>MUNTASIR MAHMUD RAHMAN</v>
      </c>
      <c r="I322" s="299" t="s">
        <v>816</v>
      </c>
      <c r="J322" s="229" t="s">
        <v>14</v>
      </c>
      <c r="K322" s="230"/>
      <c r="L322" s="230">
        <v>150000</v>
      </c>
    </row>
    <row r="323" spans="1:12" ht="11.25" customHeight="1" x14ac:dyDescent="0.2">
      <c r="A323" s="221">
        <v>2022</v>
      </c>
      <c r="B323" s="221">
        <v>1</v>
      </c>
      <c r="C323" s="221">
        <v>31</v>
      </c>
      <c r="D323" s="231">
        <f t="shared" si="8"/>
        <v>44592</v>
      </c>
      <c r="E323" s="233">
        <f t="shared" si="9"/>
        <v>44592</v>
      </c>
      <c r="F323" s="478" t="s">
        <v>802</v>
      </c>
      <c r="G323" s="222" t="s">
        <v>1111</v>
      </c>
      <c r="H323" s="223" t="str" cm="1">
        <f t="array" ref="H323">IFERROR(INDEX(INVESTOR_LIST[INVESTOR NAME],MATCH(I323,INVESTOR_LIST[INVESTOR CODE],0),)," ")</f>
        <v>MOHAMMAD SAYDUZZAMAN</v>
      </c>
      <c r="I323" s="299" t="s">
        <v>393</v>
      </c>
      <c r="J323" s="224" t="s">
        <v>55</v>
      </c>
      <c r="K323" s="298">
        <v>300000</v>
      </c>
      <c r="L323" s="225"/>
    </row>
    <row r="324" spans="1:12" ht="11.25" customHeight="1" x14ac:dyDescent="0.2">
      <c r="A324" s="226">
        <v>2022</v>
      </c>
      <c r="B324" s="226">
        <v>1</v>
      </c>
      <c r="C324" s="226">
        <v>31</v>
      </c>
      <c r="D324" s="232">
        <f t="shared" si="8"/>
        <v>44592</v>
      </c>
      <c r="E324" s="234">
        <f t="shared" si="9"/>
        <v>44592</v>
      </c>
      <c r="F324" s="479"/>
      <c r="G324" s="227" t="s">
        <v>1111</v>
      </c>
      <c r="H324" s="228" t="str" cm="1">
        <f t="array" ref="H324">IFERROR(INDEX(INVESTOR_LIST[INVESTOR NAME],MATCH(I324,INVESTOR_LIST[INVESTOR CODE],0),)," ")</f>
        <v>MOHAMMAD SAYDUZZAMAN</v>
      </c>
      <c r="I324" s="299" t="s">
        <v>393</v>
      </c>
      <c r="J324" s="229" t="s">
        <v>14</v>
      </c>
      <c r="K324" s="230"/>
      <c r="L324" s="230">
        <v>300000</v>
      </c>
    </row>
    <row r="325" spans="1:12" ht="11.25" customHeight="1" x14ac:dyDescent="0.2">
      <c r="A325" s="221">
        <v>2022</v>
      </c>
      <c r="B325" s="221">
        <v>1</v>
      </c>
      <c r="C325" s="221">
        <v>31</v>
      </c>
      <c r="D325" s="231">
        <f t="shared" si="8"/>
        <v>44592</v>
      </c>
      <c r="E325" s="233">
        <f t="shared" si="9"/>
        <v>44592</v>
      </c>
      <c r="F325" s="478" t="s">
        <v>802</v>
      </c>
      <c r="G325" s="222" t="s">
        <v>1111</v>
      </c>
      <c r="H325" s="223" t="str" cm="1">
        <f t="array" ref="H325">IFERROR(INDEX(INVESTOR_LIST[INVESTOR NAME],MATCH(I325,INVESTOR_LIST[INVESTOR CODE],0),)," ")</f>
        <v>FAISAL BIN MALEQUE</v>
      </c>
      <c r="I325" s="299" t="s">
        <v>851</v>
      </c>
      <c r="J325" s="224" t="s">
        <v>55</v>
      </c>
      <c r="K325" s="298">
        <v>500000</v>
      </c>
      <c r="L325" s="225"/>
    </row>
    <row r="326" spans="1:12" ht="11.25" customHeight="1" x14ac:dyDescent="0.2">
      <c r="A326" s="226">
        <v>2022</v>
      </c>
      <c r="B326" s="226">
        <v>1</v>
      </c>
      <c r="C326" s="226">
        <v>31</v>
      </c>
      <c r="D326" s="232">
        <f t="shared" si="8"/>
        <v>44592</v>
      </c>
      <c r="E326" s="234">
        <f t="shared" si="9"/>
        <v>44592</v>
      </c>
      <c r="F326" s="479"/>
      <c r="G326" s="227" t="s">
        <v>1111</v>
      </c>
      <c r="H326" s="228" t="str" cm="1">
        <f t="array" ref="H326">IFERROR(INDEX(INVESTOR_LIST[INVESTOR NAME],MATCH(I326,INVESTOR_LIST[INVESTOR CODE],0),)," ")</f>
        <v>FAISAL BIN MALEQUE</v>
      </c>
      <c r="I326" s="299" t="s">
        <v>851</v>
      </c>
      <c r="J326" s="229" t="s">
        <v>14</v>
      </c>
      <c r="K326" s="230"/>
      <c r="L326" s="230">
        <v>500000</v>
      </c>
    </row>
    <row r="327" spans="1:12" ht="11.25" customHeight="1" x14ac:dyDescent="0.2">
      <c r="A327" s="221">
        <v>2022</v>
      </c>
      <c r="B327" s="221">
        <v>1</v>
      </c>
      <c r="C327" s="221">
        <v>31</v>
      </c>
      <c r="D327" s="231">
        <f t="shared" si="8"/>
        <v>44592</v>
      </c>
      <c r="E327" s="233">
        <f t="shared" si="9"/>
        <v>44592</v>
      </c>
      <c r="F327" s="478" t="s">
        <v>802</v>
      </c>
      <c r="G327" s="222" t="s">
        <v>1111</v>
      </c>
      <c r="H327" s="223" t="str" cm="1">
        <f t="array" ref="H327">IFERROR(INDEX(INVESTOR_LIST[INVESTOR NAME],MATCH(I327,INVESTOR_LIST[INVESTOR CODE],0),)," ")</f>
        <v>PRATIMA DEV</v>
      </c>
      <c r="I327" s="299" t="s">
        <v>345</v>
      </c>
      <c r="J327" s="224" t="s">
        <v>55</v>
      </c>
      <c r="K327" s="298">
        <v>1000000</v>
      </c>
      <c r="L327" s="225"/>
    </row>
    <row r="328" spans="1:12" ht="11.25" customHeight="1" x14ac:dyDescent="0.2">
      <c r="A328" s="226">
        <v>2022</v>
      </c>
      <c r="B328" s="226">
        <v>1</v>
      </c>
      <c r="C328" s="226">
        <v>31</v>
      </c>
      <c r="D328" s="232">
        <f t="shared" si="8"/>
        <v>44592</v>
      </c>
      <c r="E328" s="234">
        <f t="shared" si="9"/>
        <v>44592</v>
      </c>
      <c r="F328" s="479"/>
      <c r="G328" s="227" t="s">
        <v>1111</v>
      </c>
      <c r="H328" s="228" t="str" cm="1">
        <f t="array" ref="H328">IFERROR(INDEX(INVESTOR_LIST[INVESTOR NAME],MATCH(I328,INVESTOR_LIST[INVESTOR CODE],0),)," ")</f>
        <v>PRATIMA DEV</v>
      </c>
      <c r="I328" s="299" t="s">
        <v>345</v>
      </c>
      <c r="J328" s="229" t="s">
        <v>14</v>
      </c>
      <c r="K328" s="230"/>
      <c r="L328" s="230">
        <v>1000000</v>
      </c>
    </row>
    <row r="329" spans="1:12" ht="11.25" customHeight="1" x14ac:dyDescent="0.2">
      <c r="A329" s="221">
        <v>2022</v>
      </c>
      <c r="B329" s="221">
        <v>1</v>
      </c>
      <c r="C329" s="221">
        <v>31</v>
      </c>
      <c r="D329" s="231">
        <f t="shared" ref="D329:D392" si="10">DATE(A329,B329,C329)</f>
        <v>44592</v>
      </c>
      <c r="E329" s="233">
        <f t="shared" si="9"/>
        <v>44592</v>
      </c>
      <c r="F329" s="478" t="s">
        <v>1114</v>
      </c>
      <c r="G329" s="222" t="s">
        <v>1111</v>
      </c>
      <c r="H329" s="223" t="str" cm="1">
        <f t="array" ref="H329">IFERROR(INDEX(INVESTOR_LIST[INVESTOR NAME],MATCH(I329,INVESTOR_LIST[INVESTOR CODE],0),)," ")</f>
        <v xml:space="preserve"> </v>
      </c>
      <c r="I329" s="223"/>
      <c r="J329" s="224" t="s">
        <v>63</v>
      </c>
      <c r="K329" s="302">
        <v>710</v>
      </c>
      <c r="L329" s="225"/>
    </row>
    <row r="330" spans="1:12" ht="11.25" customHeight="1" x14ac:dyDescent="0.2">
      <c r="A330" s="226">
        <v>2022</v>
      </c>
      <c r="B330" s="226">
        <v>1</v>
      </c>
      <c r="C330" s="226">
        <v>31</v>
      </c>
      <c r="D330" s="232">
        <f t="shared" si="10"/>
        <v>44592</v>
      </c>
      <c r="E330" s="234">
        <f t="shared" si="9"/>
        <v>44592</v>
      </c>
      <c r="F330" s="479"/>
      <c r="G330" s="227" t="s">
        <v>1111</v>
      </c>
      <c r="H330" s="228" t="str" cm="1">
        <f t="array" ref="H330">IFERROR(INDEX(INVESTOR_LIST[INVESTOR NAME],MATCH(I330,INVESTOR_LIST[INVESTOR CODE],0),)," ")</f>
        <v xml:space="preserve"> </v>
      </c>
      <c r="I330" s="228"/>
      <c r="J330" s="229" t="s">
        <v>55</v>
      </c>
      <c r="K330" s="230"/>
      <c r="L330" s="302">
        <v>710</v>
      </c>
    </row>
    <row r="331" spans="1:12" ht="11.25" customHeight="1" x14ac:dyDescent="0.2">
      <c r="A331" s="221">
        <v>2022</v>
      </c>
      <c r="B331" s="221">
        <v>2</v>
      </c>
      <c r="C331" s="221">
        <v>1</v>
      </c>
      <c r="D331" s="231">
        <f t="shared" si="10"/>
        <v>44593</v>
      </c>
      <c r="E331" s="233">
        <f t="shared" si="9"/>
        <v>44593</v>
      </c>
      <c r="F331" s="478" t="s">
        <v>802</v>
      </c>
      <c r="G331" s="222" t="s">
        <v>1111</v>
      </c>
      <c r="H331" s="223" t="str" cm="1">
        <f t="array" ref="H331">IFERROR(INDEX(INVESTOR_LIST[INVESTOR NAME],MATCH(I331,INVESTOR_LIST[INVESTOR CODE],0),)," ")</f>
        <v>MOHAMMED ZAHID HOSSAIN</v>
      </c>
      <c r="I331" s="299" t="s">
        <v>845</v>
      </c>
      <c r="J331" s="224" t="s">
        <v>55</v>
      </c>
      <c r="K331" s="298">
        <v>100000</v>
      </c>
      <c r="L331" s="225"/>
    </row>
    <row r="332" spans="1:12" ht="11.25" customHeight="1" x14ac:dyDescent="0.2">
      <c r="A332" s="226">
        <v>2022</v>
      </c>
      <c r="B332" s="226">
        <v>2</v>
      </c>
      <c r="C332" s="226">
        <v>1</v>
      </c>
      <c r="D332" s="232">
        <f t="shared" si="10"/>
        <v>44593</v>
      </c>
      <c r="E332" s="234">
        <f t="shared" si="9"/>
        <v>44593</v>
      </c>
      <c r="F332" s="479"/>
      <c r="G332" s="227" t="s">
        <v>1111</v>
      </c>
      <c r="H332" s="228" t="str" cm="1">
        <f t="array" ref="H332">IFERROR(INDEX(INVESTOR_LIST[INVESTOR NAME],MATCH(I332,INVESTOR_LIST[INVESTOR CODE],0),)," ")</f>
        <v>MOHAMMED ZAHID HOSSAIN</v>
      </c>
      <c r="I332" s="299" t="s">
        <v>845</v>
      </c>
      <c r="J332" s="229" t="s">
        <v>14</v>
      </c>
      <c r="K332" s="230"/>
      <c r="L332" s="230">
        <v>100000</v>
      </c>
    </row>
    <row r="333" spans="1:12" ht="11.25" customHeight="1" x14ac:dyDescent="0.2">
      <c r="A333" s="221">
        <v>2022</v>
      </c>
      <c r="B333" s="221">
        <v>2</v>
      </c>
      <c r="C333" s="221">
        <v>1</v>
      </c>
      <c r="D333" s="231">
        <f t="shared" si="10"/>
        <v>44593</v>
      </c>
      <c r="E333" s="233">
        <f t="shared" si="9"/>
        <v>44593</v>
      </c>
      <c r="F333" s="478" t="s">
        <v>802</v>
      </c>
      <c r="G333" s="222" t="s">
        <v>1111</v>
      </c>
      <c r="H333" s="223" t="str" cm="1">
        <f t="array" ref="H333">IFERROR(INDEX(INVESTOR_LIST[INVESTOR NAME],MATCH(I333,INVESTOR_LIST[INVESTOR CODE],0),)," ")</f>
        <v>FAIYEAD AHMEDUL HYE</v>
      </c>
      <c r="I333" s="299" t="s">
        <v>445</v>
      </c>
      <c r="J333" s="224" t="s">
        <v>55</v>
      </c>
      <c r="K333" s="298">
        <v>50000</v>
      </c>
      <c r="L333" s="225"/>
    </row>
    <row r="334" spans="1:12" ht="11.25" customHeight="1" x14ac:dyDescent="0.2">
      <c r="A334" s="226">
        <v>2022</v>
      </c>
      <c r="B334" s="226">
        <v>2</v>
      </c>
      <c r="C334" s="226">
        <v>1</v>
      </c>
      <c r="D334" s="232">
        <f t="shared" si="10"/>
        <v>44593</v>
      </c>
      <c r="E334" s="234">
        <f t="shared" si="9"/>
        <v>44593</v>
      </c>
      <c r="F334" s="479"/>
      <c r="G334" s="227" t="s">
        <v>1111</v>
      </c>
      <c r="H334" s="228" t="str" cm="1">
        <f t="array" ref="H334">IFERROR(INDEX(INVESTOR_LIST[INVESTOR NAME],MATCH(I334,INVESTOR_LIST[INVESTOR CODE],0),)," ")</f>
        <v>FAIYEAD AHMEDUL HYE</v>
      </c>
      <c r="I334" s="299" t="s">
        <v>445</v>
      </c>
      <c r="J334" s="229" t="s">
        <v>14</v>
      </c>
      <c r="K334" s="230"/>
      <c r="L334" s="230">
        <v>50000</v>
      </c>
    </row>
    <row r="335" spans="1:12" ht="11.25" customHeight="1" x14ac:dyDescent="0.2">
      <c r="A335" s="221">
        <v>2022</v>
      </c>
      <c r="B335" s="221">
        <v>2</v>
      </c>
      <c r="C335" s="221">
        <v>1</v>
      </c>
      <c r="D335" s="231">
        <f t="shared" si="10"/>
        <v>44593</v>
      </c>
      <c r="E335" s="233">
        <f t="shared" si="9"/>
        <v>44593</v>
      </c>
      <c r="F335" s="478" t="s">
        <v>802</v>
      </c>
      <c r="G335" s="222" t="s">
        <v>1111</v>
      </c>
      <c r="H335" s="223" t="str" cm="1">
        <f t="array" ref="H335">IFERROR(INDEX(INVESTOR_LIST[INVESTOR NAME],MATCH(I335,INVESTOR_LIST[INVESTOR CODE],0),)," ")</f>
        <v>COMMUNITY BANK BANGLADESH LIMITED</v>
      </c>
      <c r="I335" s="299" t="s">
        <v>398</v>
      </c>
      <c r="J335" s="224" t="s">
        <v>55</v>
      </c>
      <c r="K335" s="298">
        <v>10000000</v>
      </c>
      <c r="L335" s="225"/>
    </row>
    <row r="336" spans="1:12" ht="11.25" customHeight="1" x14ac:dyDescent="0.2">
      <c r="A336" s="226">
        <v>2022</v>
      </c>
      <c r="B336" s="226">
        <v>2</v>
      </c>
      <c r="C336" s="226">
        <v>1</v>
      </c>
      <c r="D336" s="232">
        <f t="shared" si="10"/>
        <v>44593</v>
      </c>
      <c r="E336" s="234">
        <f t="shared" si="9"/>
        <v>44593</v>
      </c>
      <c r="F336" s="479"/>
      <c r="G336" s="227" t="s">
        <v>1111</v>
      </c>
      <c r="H336" s="228" t="str" cm="1">
        <f t="array" ref="H336">IFERROR(INDEX(INVESTOR_LIST[INVESTOR NAME],MATCH(I336,INVESTOR_LIST[INVESTOR CODE],0),)," ")</f>
        <v>COMMUNITY BANK BANGLADESH LIMITED</v>
      </c>
      <c r="I336" s="299" t="s">
        <v>398</v>
      </c>
      <c r="J336" s="229" t="s">
        <v>14</v>
      </c>
      <c r="K336" s="230"/>
      <c r="L336" s="230">
        <v>10000000</v>
      </c>
    </row>
    <row r="337" spans="1:12" ht="11.25" customHeight="1" x14ac:dyDescent="0.2">
      <c r="A337" s="221">
        <v>2022</v>
      </c>
      <c r="B337" s="221">
        <v>2</v>
      </c>
      <c r="C337" s="221">
        <v>1</v>
      </c>
      <c r="D337" s="231">
        <f t="shared" si="10"/>
        <v>44593</v>
      </c>
      <c r="E337" s="233">
        <f t="shared" si="9"/>
        <v>44593</v>
      </c>
      <c r="F337" s="478" t="s">
        <v>802</v>
      </c>
      <c r="G337" s="222" t="s">
        <v>1111</v>
      </c>
      <c r="H337" s="223" t="str" cm="1">
        <f t="array" ref="H337">IFERROR(INDEX(INVESTOR_LIST[INVESTOR NAME],MATCH(I337,INVESTOR_LIST[INVESTOR CODE],0),)," ")</f>
        <v>DHAKA IMPERIAL COLLEGE TEACHERS STAFF MULTIPURPOSE CO-OPERATIVE SOCIETY LTD.</v>
      </c>
      <c r="I337" s="299" t="s">
        <v>854</v>
      </c>
      <c r="J337" s="224" t="s">
        <v>55</v>
      </c>
      <c r="K337" s="298">
        <v>500000</v>
      </c>
      <c r="L337" s="225"/>
    </row>
    <row r="338" spans="1:12" ht="11.25" customHeight="1" x14ac:dyDescent="0.2">
      <c r="A338" s="226">
        <v>2022</v>
      </c>
      <c r="B338" s="226">
        <v>2</v>
      </c>
      <c r="C338" s="226">
        <v>1</v>
      </c>
      <c r="D338" s="232">
        <f t="shared" si="10"/>
        <v>44593</v>
      </c>
      <c r="E338" s="234">
        <f t="shared" si="9"/>
        <v>44593</v>
      </c>
      <c r="F338" s="479"/>
      <c r="G338" s="227" t="s">
        <v>1111</v>
      </c>
      <c r="H338" s="228" t="str" cm="1">
        <f t="array" ref="H338">IFERROR(INDEX(INVESTOR_LIST[INVESTOR NAME],MATCH(I338,INVESTOR_LIST[INVESTOR CODE],0),)," ")</f>
        <v>DHAKA IMPERIAL COLLEGE TEACHERS STAFF MULTIPURPOSE CO-OPERATIVE SOCIETY LTD.</v>
      </c>
      <c r="I338" s="299" t="s">
        <v>854</v>
      </c>
      <c r="J338" s="229" t="s">
        <v>14</v>
      </c>
      <c r="K338" s="230"/>
      <c r="L338" s="230">
        <v>500000</v>
      </c>
    </row>
    <row r="339" spans="1:12" ht="11.25" customHeight="1" x14ac:dyDescent="0.2">
      <c r="A339" s="221">
        <v>2022</v>
      </c>
      <c r="B339" s="221">
        <v>2</v>
      </c>
      <c r="C339" s="221">
        <v>1</v>
      </c>
      <c r="D339" s="231">
        <f t="shared" si="10"/>
        <v>44593</v>
      </c>
      <c r="E339" s="233">
        <f t="shared" si="9"/>
        <v>44593</v>
      </c>
      <c r="F339" s="478" t="s">
        <v>802</v>
      </c>
      <c r="G339" s="222" t="s">
        <v>1111</v>
      </c>
      <c r="H339" s="223" t="str" cm="1">
        <f t="array" ref="H339">IFERROR(INDEX(INVESTOR_LIST[INVESTOR NAME],MATCH(I339,INVESTOR_LIST[INVESTOR CODE],0),)," ")</f>
        <v>CITY BROKERAGE LIMITED</v>
      </c>
      <c r="I339" s="299" t="s">
        <v>948</v>
      </c>
      <c r="J339" s="224" t="s">
        <v>55</v>
      </c>
      <c r="K339" s="298">
        <v>2000000</v>
      </c>
      <c r="L339" s="225"/>
    </row>
    <row r="340" spans="1:12" ht="11.25" customHeight="1" x14ac:dyDescent="0.2">
      <c r="A340" s="226">
        <v>2022</v>
      </c>
      <c r="B340" s="226">
        <v>2</v>
      </c>
      <c r="C340" s="226">
        <v>1</v>
      </c>
      <c r="D340" s="232">
        <f t="shared" si="10"/>
        <v>44593</v>
      </c>
      <c r="E340" s="234">
        <f t="shared" si="9"/>
        <v>44593</v>
      </c>
      <c r="F340" s="479"/>
      <c r="G340" s="227" t="s">
        <v>1111</v>
      </c>
      <c r="H340" s="228" t="str" cm="1">
        <f t="array" ref="H340">IFERROR(INDEX(INVESTOR_LIST[INVESTOR NAME],MATCH(I340,INVESTOR_LIST[INVESTOR CODE],0),)," ")</f>
        <v>CITY BROKERAGE LIMITED</v>
      </c>
      <c r="I340" s="299" t="s">
        <v>948</v>
      </c>
      <c r="J340" s="229" t="s">
        <v>14</v>
      </c>
      <c r="K340" s="230"/>
      <c r="L340" s="230">
        <v>2000000</v>
      </c>
    </row>
    <row r="341" spans="1:12" ht="11.25" customHeight="1" x14ac:dyDescent="0.2">
      <c r="A341" s="221">
        <v>2022</v>
      </c>
      <c r="B341" s="221">
        <v>2</v>
      </c>
      <c r="C341" s="221">
        <v>1</v>
      </c>
      <c r="D341" s="231">
        <f t="shared" si="10"/>
        <v>44593</v>
      </c>
      <c r="E341" s="233">
        <f t="shared" si="9"/>
        <v>44593</v>
      </c>
      <c r="F341" s="478" t="s">
        <v>802</v>
      </c>
      <c r="G341" s="222" t="s">
        <v>1111</v>
      </c>
      <c r="H341" s="223" t="str" cm="1">
        <f t="array" ref="H341">IFERROR(INDEX(INVESTOR_LIST[INVESTOR NAME],MATCH(I341,INVESTOR_LIST[INVESTOR CODE],0),)," ")</f>
        <v>MD. AL AMIN SARKER</v>
      </c>
      <c r="I341" s="299" t="s">
        <v>931</v>
      </c>
      <c r="J341" s="224" t="s">
        <v>55</v>
      </c>
      <c r="K341" s="298">
        <v>600000</v>
      </c>
      <c r="L341" s="225"/>
    </row>
    <row r="342" spans="1:12" ht="11.25" customHeight="1" x14ac:dyDescent="0.2">
      <c r="A342" s="226">
        <v>2022</v>
      </c>
      <c r="B342" s="226">
        <v>2</v>
      </c>
      <c r="C342" s="226">
        <v>1</v>
      </c>
      <c r="D342" s="232">
        <f t="shared" si="10"/>
        <v>44593</v>
      </c>
      <c r="E342" s="234">
        <f t="shared" si="9"/>
        <v>44593</v>
      </c>
      <c r="F342" s="479"/>
      <c r="G342" s="227" t="s">
        <v>1111</v>
      </c>
      <c r="H342" s="228" t="str" cm="1">
        <f t="array" ref="H342">IFERROR(INDEX(INVESTOR_LIST[INVESTOR NAME],MATCH(I342,INVESTOR_LIST[INVESTOR CODE],0),)," ")</f>
        <v>MD. AL AMIN SARKER</v>
      </c>
      <c r="I342" s="299" t="s">
        <v>931</v>
      </c>
      <c r="J342" s="229" t="s">
        <v>14</v>
      </c>
      <c r="K342" s="230"/>
      <c r="L342" s="230">
        <v>600000</v>
      </c>
    </row>
    <row r="343" spans="1:12" ht="11.25" customHeight="1" x14ac:dyDescent="0.2">
      <c r="A343" s="221">
        <v>2022</v>
      </c>
      <c r="B343" s="221">
        <v>2</v>
      </c>
      <c r="C343" s="221">
        <v>1</v>
      </c>
      <c r="D343" s="231">
        <f t="shared" si="10"/>
        <v>44593</v>
      </c>
      <c r="E343" s="233">
        <f t="shared" si="9"/>
        <v>44593</v>
      </c>
      <c r="F343" s="478" t="s">
        <v>802</v>
      </c>
      <c r="G343" s="222" t="s">
        <v>1111</v>
      </c>
      <c r="H343" s="223" t="str" cm="1">
        <f t="array" ref="H343">IFERROR(INDEX(INVESTOR_LIST[INVESTOR NAME],MATCH(I343,INVESTOR_LIST[INVESTOR CODE],0),)," ")</f>
        <v>MD. SHAHIDUL ISLAM</v>
      </c>
      <c r="I343" s="299" t="s">
        <v>344</v>
      </c>
      <c r="J343" s="224" t="s">
        <v>55</v>
      </c>
      <c r="K343" s="298">
        <v>2000000</v>
      </c>
      <c r="L343" s="225"/>
    </row>
    <row r="344" spans="1:12" ht="11.25" customHeight="1" x14ac:dyDescent="0.2">
      <c r="A344" s="226">
        <v>2022</v>
      </c>
      <c r="B344" s="226">
        <v>2</v>
      </c>
      <c r="C344" s="226">
        <v>1</v>
      </c>
      <c r="D344" s="232">
        <f t="shared" si="10"/>
        <v>44593</v>
      </c>
      <c r="E344" s="234">
        <f t="shared" si="9"/>
        <v>44593</v>
      </c>
      <c r="F344" s="479"/>
      <c r="G344" s="227" t="s">
        <v>1111</v>
      </c>
      <c r="H344" s="228" t="str" cm="1">
        <f t="array" ref="H344">IFERROR(INDEX(INVESTOR_LIST[INVESTOR NAME],MATCH(I344,INVESTOR_LIST[INVESTOR CODE],0),)," ")</f>
        <v>MD. SHAHIDUL ISLAM</v>
      </c>
      <c r="I344" s="299" t="s">
        <v>344</v>
      </c>
      <c r="J344" s="229" t="s">
        <v>14</v>
      </c>
      <c r="K344" s="230"/>
      <c r="L344" s="230">
        <v>2000000</v>
      </c>
    </row>
    <row r="345" spans="1:12" ht="11.25" customHeight="1" x14ac:dyDescent="0.2">
      <c r="A345" s="221">
        <v>2022</v>
      </c>
      <c r="B345" s="221">
        <v>2</v>
      </c>
      <c r="C345" s="221">
        <v>1</v>
      </c>
      <c r="D345" s="231">
        <f t="shared" si="10"/>
        <v>44593</v>
      </c>
      <c r="E345" s="233">
        <f t="shared" si="9"/>
        <v>44593</v>
      </c>
      <c r="F345" s="478" t="s">
        <v>802</v>
      </c>
      <c r="G345" s="222" t="s">
        <v>1111</v>
      </c>
      <c r="H345" s="223" t="str" cm="1">
        <f t="array" ref="H345">IFERROR(INDEX(INVESTOR_LIST[INVESTOR NAME],MATCH(I345,INVESTOR_LIST[INVESTOR CODE],0),)," ")</f>
        <v>TANIZA MAZED</v>
      </c>
      <c r="I345" s="299" t="s">
        <v>336</v>
      </c>
      <c r="J345" s="224" t="s">
        <v>55</v>
      </c>
      <c r="K345" s="298">
        <v>1000000</v>
      </c>
      <c r="L345" s="225"/>
    </row>
    <row r="346" spans="1:12" ht="11.25" customHeight="1" x14ac:dyDescent="0.2">
      <c r="A346" s="226">
        <v>2022</v>
      </c>
      <c r="B346" s="226">
        <v>2</v>
      </c>
      <c r="C346" s="226">
        <v>1</v>
      </c>
      <c r="D346" s="232">
        <f t="shared" si="10"/>
        <v>44593</v>
      </c>
      <c r="E346" s="234">
        <f t="shared" si="9"/>
        <v>44593</v>
      </c>
      <c r="F346" s="479"/>
      <c r="G346" s="227" t="s">
        <v>1111</v>
      </c>
      <c r="H346" s="228" t="str" cm="1">
        <f t="array" ref="H346">IFERROR(INDEX(INVESTOR_LIST[INVESTOR NAME],MATCH(I346,INVESTOR_LIST[INVESTOR CODE],0),)," ")</f>
        <v>TANIZA MAZED</v>
      </c>
      <c r="I346" s="299" t="s">
        <v>336</v>
      </c>
      <c r="J346" s="229" t="s">
        <v>14</v>
      </c>
      <c r="K346" s="230"/>
      <c r="L346" s="230">
        <v>1000000</v>
      </c>
    </row>
    <row r="347" spans="1:12" ht="11.25" customHeight="1" x14ac:dyDescent="0.2">
      <c r="A347" s="221">
        <v>2022</v>
      </c>
      <c r="B347" s="221">
        <v>2</v>
      </c>
      <c r="C347" s="221">
        <v>1</v>
      </c>
      <c r="D347" s="231">
        <f t="shared" si="10"/>
        <v>44593</v>
      </c>
      <c r="E347" s="233">
        <f t="shared" si="9"/>
        <v>44593</v>
      </c>
      <c r="F347" s="478" t="s">
        <v>802</v>
      </c>
      <c r="G347" s="222" t="s">
        <v>1111</v>
      </c>
      <c r="H347" s="223" t="str" cm="1">
        <f t="array" ref="H347">IFERROR(INDEX(INVESTOR_LIST[INVESTOR NAME],MATCH(I347,INVESTOR_LIST[INVESTOR CODE],0),)," ")</f>
        <v>MD. ATIQUR RAHMAN</v>
      </c>
      <c r="I347" s="299" t="s">
        <v>660</v>
      </c>
      <c r="J347" s="224" t="s">
        <v>55</v>
      </c>
      <c r="K347" s="298">
        <v>700000</v>
      </c>
      <c r="L347" s="225"/>
    </row>
    <row r="348" spans="1:12" ht="11.25" customHeight="1" x14ac:dyDescent="0.2">
      <c r="A348" s="226">
        <v>2022</v>
      </c>
      <c r="B348" s="226">
        <v>2</v>
      </c>
      <c r="C348" s="226">
        <v>1</v>
      </c>
      <c r="D348" s="232">
        <f t="shared" si="10"/>
        <v>44593</v>
      </c>
      <c r="E348" s="234">
        <f t="shared" si="9"/>
        <v>44593</v>
      </c>
      <c r="F348" s="479"/>
      <c r="G348" s="227" t="s">
        <v>1111</v>
      </c>
      <c r="H348" s="228" t="str" cm="1">
        <f t="array" ref="H348">IFERROR(INDEX(INVESTOR_LIST[INVESTOR NAME],MATCH(I348,INVESTOR_LIST[INVESTOR CODE],0),)," ")</f>
        <v>MD. ATIQUR RAHMAN</v>
      </c>
      <c r="I348" s="299" t="s">
        <v>660</v>
      </c>
      <c r="J348" s="229" t="s">
        <v>14</v>
      </c>
      <c r="K348" s="230"/>
      <c r="L348" s="230">
        <v>700000</v>
      </c>
    </row>
    <row r="349" spans="1:12" ht="11.25" customHeight="1" x14ac:dyDescent="0.2">
      <c r="A349" s="221">
        <v>2022</v>
      </c>
      <c r="B349" s="221">
        <v>2</v>
      </c>
      <c r="C349" s="221">
        <v>1</v>
      </c>
      <c r="D349" s="231">
        <f t="shared" si="10"/>
        <v>44593</v>
      </c>
      <c r="E349" s="233">
        <f t="shared" si="9"/>
        <v>44593</v>
      </c>
      <c r="F349" s="478" t="s">
        <v>802</v>
      </c>
      <c r="G349" s="222" t="s">
        <v>1111</v>
      </c>
      <c r="H349" s="223" t="str" cm="1">
        <f t="array" ref="H349">IFERROR(INDEX(INVESTOR_LIST[INVESTOR NAME],MATCH(I349,INVESTOR_LIST[INVESTOR CODE],0),)," ")</f>
        <v>MD. ATIQUR RAHMAN</v>
      </c>
      <c r="I349" s="299" t="s">
        <v>660</v>
      </c>
      <c r="J349" s="224" t="s">
        <v>55</v>
      </c>
      <c r="K349" s="298">
        <v>1300000</v>
      </c>
      <c r="L349" s="225"/>
    </row>
    <row r="350" spans="1:12" ht="11.25" customHeight="1" x14ac:dyDescent="0.2">
      <c r="A350" s="226">
        <v>2022</v>
      </c>
      <c r="B350" s="226">
        <v>2</v>
      </c>
      <c r="C350" s="226">
        <v>1</v>
      </c>
      <c r="D350" s="232">
        <f t="shared" si="10"/>
        <v>44593</v>
      </c>
      <c r="E350" s="234">
        <f t="shared" si="9"/>
        <v>44593</v>
      </c>
      <c r="F350" s="479"/>
      <c r="G350" s="227" t="s">
        <v>1111</v>
      </c>
      <c r="H350" s="228" t="str" cm="1">
        <f t="array" ref="H350">IFERROR(INDEX(INVESTOR_LIST[INVESTOR NAME],MATCH(I350,INVESTOR_LIST[INVESTOR CODE],0),)," ")</f>
        <v>MD. ATIQUR RAHMAN</v>
      </c>
      <c r="I350" s="299" t="s">
        <v>660</v>
      </c>
      <c r="J350" s="229" t="s">
        <v>14</v>
      </c>
      <c r="K350" s="230"/>
      <c r="L350" s="230">
        <v>1300000</v>
      </c>
    </row>
    <row r="351" spans="1:12" ht="11.25" customHeight="1" x14ac:dyDescent="0.2">
      <c r="A351" s="221">
        <v>2022</v>
      </c>
      <c r="B351" s="221">
        <v>2</v>
      </c>
      <c r="C351" s="221">
        <v>1</v>
      </c>
      <c r="D351" s="231">
        <f t="shared" si="10"/>
        <v>44593</v>
      </c>
      <c r="E351" s="233">
        <f t="shared" si="9"/>
        <v>44593</v>
      </c>
      <c r="F351" s="478" t="s">
        <v>802</v>
      </c>
      <c r="G351" s="222" t="s">
        <v>1111</v>
      </c>
      <c r="H351" s="223" t="str" cm="1">
        <f t="array" ref="H351">IFERROR(INDEX(INVESTOR_LIST[INVESTOR NAME],MATCH(I351,INVESTOR_LIST[INVESTOR CODE],0),)," ")</f>
        <v>THE GSP FINANCE COMPANY (BANGLADESH) LIMITED EMPLOYEES PROVIDENT FUND</v>
      </c>
      <c r="I351" s="299" t="s">
        <v>822</v>
      </c>
      <c r="J351" s="224" t="s">
        <v>55</v>
      </c>
      <c r="K351" s="298">
        <v>2000000</v>
      </c>
      <c r="L351" s="225"/>
    </row>
    <row r="352" spans="1:12" ht="11.25" customHeight="1" x14ac:dyDescent="0.2">
      <c r="A352" s="226">
        <v>2022</v>
      </c>
      <c r="B352" s="226">
        <v>2</v>
      </c>
      <c r="C352" s="226">
        <v>1</v>
      </c>
      <c r="D352" s="232">
        <f t="shared" si="10"/>
        <v>44593</v>
      </c>
      <c r="E352" s="234">
        <f t="shared" si="9"/>
        <v>44593</v>
      </c>
      <c r="F352" s="479"/>
      <c r="G352" s="227" t="s">
        <v>1111</v>
      </c>
      <c r="H352" s="228" t="str" cm="1">
        <f t="array" ref="H352">IFERROR(INDEX(INVESTOR_LIST[INVESTOR NAME],MATCH(I352,INVESTOR_LIST[INVESTOR CODE],0),)," ")</f>
        <v>THE GSP FINANCE COMPANY (BANGLADESH) LIMITED EMPLOYEES PROVIDENT FUND</v>
      </c>
      <c r="I352" s="299" t="s">
        <v>822</v>
      </c>
      <c r="J352" s="229" t="s">
        <v>14</v>
      </c>
      <c r="K352" s="230"/>
      <c r="L352" s="230">
        <v>2000000</v>
      </c>
    </row>
    <row r="353" spans="1:12" ht="11.25" customHeight="1" x14ac:dyDescent="0.2">
      <c r="A353" s="221">
        <v>2022</v>
      </c>
      <c r="B353" s="221">
        <v>2</v>
      </c>
      <c r="C353" s="221">
        <v>1</v>
      </c>
      <c r="D353" s="231">
        <f t="shared" si="10"/>
        <v>44593</v>
      </c>
      <c r="E353" s="233">
        <f t="shared" si="9"/>
        <v>44593</v>
      </c>
      <c r="F353" s="478" t="s">
        <v>802</v>
      </c>
      <c r="G353" s="222" t="s">
        <v>1111</v>
      </c>
      <c r="H353" s="223" t="str" cm="1">
        <f t="array" ref="H353">IFERROR(INDEX(INVESTOR_LIST[INVESTOR NAME],MATCH(I353,INVESTOR_LIST[INVESTOR CODE],0),)," ")</f>
        <v>ASMAR OSMAN</v>
      </c>
      <c r="I353" s="299" t="s">
        <v>848</v>
      </c>
      <c r="J353" s="224" t="s">
        <v>55</v>
      </c>
      <c r="K353" s="298">
        <v>1000000</v>
      </c>
      <c r="L353" s="225"/>
    </row>
    <row r="354" spans="1:12" ht="11.25" customHeight="1" x14ac:dyDescent="0.2">
      <c r="A354" s="226">
        <v>2022</v>
      </c>
      <c r="B354" s="226">
        <v>2</v>
      </c>
      <c r="C354" s="226">
        <v>1</v>
      </c>
      <c r="D354" s="232">
        <f t="shared" si="10"/>
        <v>44593</v>
      </c>
      <c r="E354" s="234">
        <f t="shared" si="9"/>
        <v>44593</v>
      </c>
      <c r="F354" s="479"/>
      <c r="G354" s="227" t="s">
        <v>1111</v>
      </c>
      <c r="H354" s="228" t="str" cm="1">
        <f t="array" ref="H354">IFERROR(INDEX(INVESTOR_LIST[INVESTOR NAME],MATCH(I354,INVESTOR_LIST[INVESTOR CODE],0),)," ")</f>
        <v>ASMAR OSMAN</v>
      </c>
      <c r="I354" s="299" t="s">
        <v>848</v>
      </c>
      <c r="J354" s="229" t="s">
        <v>14</v>
      </c>
      <c r="K354" s="230"/>
      <c r="L354" s="230">
        <v>1000000</v>
      </c>
    </row>
    <row r="355" spans="1:12" ht="11.25" customHeight="1" x14ac:dyDescent="0.2">
      <c r="A355" s="221">
        <v>2022</v>
      </c>
      <c r="B355" s="221">
        <v>2</v>
      </c>
      <c r="C355" s="221">
        <v>1</v>
      </c>
      <c r="D355" s="231">
        <f t="shared" si="10"/>
        <v>44593</v>
      </c>
      <c r="E355" s="233">
        <f t="shared" si="9"/>
        <v>44593</v>
      </c>
      <c r="F355" s="478" t="s">
        <v>802</v>
      </c>
      <c r="G355" s="222" t="s">
        <v>1111</v>
      </c>
      <c r="H355" s="223" t="str" cm="1">
        <f t="array" ref="H355">IFERROR(INDEX(INVESTOR_LIST[INVESTOR NAME],MATCH(I355,INVESTOR_LIST[INVESTOR CODE],0),)," ")</f>
        <v>K.M SAKIB AHMED</v>
      </c>
      <c r="I355" s="299" t="s">
        <v>484</v>
      </c>
      <c r="J355" s="224" t="s">
        <v>55</v>
      </c>
      <c r="K355" s="298">
        <v>900000</v>
      </c>
      <c r="L355" s="225"/>
    </row>
    <row r="356" spans="1:12" ht="11.25" customHeight="1" x14ac:dyDescent="0.2">
      <c r="A356" s="226">
        <v>2022</v>
      </c>
      <c r="B356" s="226">
        <v>2</v>
      </c>
      <c r="C356" s="226">
        <v>1</v>
      </c>
      <c r="D356" s="232">
        <f t="shared" si="10"/>
        <v>44593</v>
      </c>
      <c r="E356" s="234">
        <f t="shared" si="9"/>
        <v>44593</v>
      </c>
      <c r="F356" s="479"/>
      <c r="G356" s="227" t="s">
        <v>1111</v>
      </c>
      <c r="H356" s="228" t="str" cm="1">
        <f t="array" ref="H356">IFERROR(INDEX(INVESTOR_LIST[INVESTOR NAME],MATCH(I356,INVESTOR_LIST[INVESTOR CODE],0),)," ")</f>
        <v>K.M SAKIB AHMED</v>
      </c>
      <c r="I356" s="299" t="s">
        <v>484</v>
      </c>
      <c r="J356" s="229" t="s">
        <v>14</v>
      </c>
      <c r="K356" s="230"/>
      <c r="L356" s="230">
        <v>900000</v>
      </c>
    </row>
    <row r="357" spans="1:12" ht="11.25" customHeight="1" x14ac:dyDescent="0.2">
      <c r="A357" s="221">
        <v>2022</v>
      </c>
      <c r="B357" s="221">
        <v>2</v>
      </c>
      <c r="C357" s="221">
        <v>1</v>
      </c>
      <c r="D357" s="231">
        <f t="shared" si="10"/>
        <v>44593</v>
      </c>
      <c r="E357" s="233">
        <f t="shared" si="9"/>
        <v>44593</v>
      </c>
      <c r="F357" s="478" t="s">
        <v>802</v>
      </c>
      <c r="G357" s="222" t="s">
        <v>1111</v>
      </c>
      <c r="H357" s="223" t="str" cm="1">
        <f t="array" ref="H357">IFERROR(INDEX(INVESTOR_LIST[INVESTOR NAME],MATCH(I357,INVESTOR_LIST[INVESTOR CODE],0),)," ")</f>
        <v>BANGLADESH FUND</v>
      </c>
      <c r="I357" s="299" t="s">
        <v>920</v>
      </c>
      <c r="J357" s="224" t="s">
        <v>55</v>
      </c>
      <c r="K357" s="298">
        <v>5000000</v>
      </c>
      <c r="L357" s="225"/>
    </row>
    <row r="358" spans="1:12" ht="11.25" customHeight="1" x14ac:dyDescent="0.2">
      <c r="A358" s="226">
        <v>2022</v>
      </c>
      <c r="B358" s="226">
        <v>2</v>
      </c>
      <c r="C358" s="226">
        <v>1</v>
      </c>
      <c r="D358" s="232">
        <f t="shared" si="10"/>
        <v>44593</v>
      </c>
      <c r="E358" s="234">
        <f t="shared" si="9"/>
        <v>44593</v>
      </c>
      <c r="F358" s="479"/>
      <c r="G358" s="227" t="s">
        <v>1111</v>
      </c>
      <c r="H358" s="228" t="str" cm="1">
        <f t="array" ref="H358">IFERROR(INDEX(INVESTOR_LIST[INVESTOR NAME],MATCH(I358,INVESTOR_LIST[INVESTOR CODE],0),)," ")</f>
        <v>BANGLADESH FUND</v>
      </c>
      <c r="I358" s="299" t="s">
        <v>920</v>
      </c>
      <c r="J358" s="229" t="s">
        <v>14</v>
      </c>
      <c r="K358" s="230"/>
      <c r="L358" s="230">
        <v>5000000</v>
      </c>
    </row>
    <row r="359" spans="1:12" ht="11.25" customHeight="1" x14ac:dyDescent="0.2">
      <c r="A359" s="221">
        <v>2022</v>
      </c>
      <c r="B359" s="221">
        <v>2</v>
      </c>
      <c r="C359" s="221">
        <v>1</v>
      </c>
      <c r="D359" s="231">
        <f t="shared" si="10"/>
        <v>44593</v>
      </c>
      <c r="E359" s="233">
        <f t="shared" si="9"/>
        <v>44593</v>
      </c>
      <c r="F359" s="478" t="s">
        <v>802</v>
      </c>
      <c r="G359" s="222" t="s">
        <v>1111</v>
      </c>
      <c r="H359" s="223" t="str" cm="1">
        <f t="array" ref="H359">IFERROR(INDEX(INVESTOR_LIST[INVESTOR NAME],MATCH(I359,INVESTOR_LIST[INVESTOR CODE],0),)," ")</f>
        <v>ZAIN MOHAMMAD YASEEN</v>
      </c>
      <c r="I359" s="299" t="s">
        <v>929</v>
      </c>
      <c r="J359" s="224" t="s">
        <v>55</v>
      </c>
      <c r="K359" s="298">
        <v>20000</v>
      </c>
      <c r="L359" s="225"/>
    </row>
    <row r="360" spans="1:12" ht="11.25" customHeight="1" x14ac:dyDescent="0.2">
      <c r="A360" s="226">
        <v>2022</v>
      </c>
      <c r="B360" s="226">
        <v>2</v>
      </c>
      <c r="C360" s="226">
        <v>1</v>
      </c>
      <c r="D360" s="232">
        <f t="shared" si="10"/>
        <v>44593</v>
      </c>
      <c r="E360" s="234">
        <f t="shared" si="9"/>
        <v>44593</v>
      </c>
      <c r="F360" s="479"/>
      <c r="G360" s="227" t="s">
        <v>1111</v>
      </c>
      <c r="H360" s="228" t="str" cm="1">
        <f t="array" ref="H360">IFERROR(INDEX(INVESTOR_LIST[INVESTOR NAME],MATCH(I360,INVESTOR_LIST[INVESTOR CODE],0),)," ")</f>
        <v>ZAIN MOHAMMAD YASEEN</v>
      </c>
      <c r="I360" s="299" t="s">
        <v>929</v>
      </c>
      <c r="J360" s="229" t="s">
        <v>14</v>
      </c>
      <c r="K360" s="230"/>
      <c r="L360" s="230">
        <v>20000</v>
      </c>
    </row>
    <row r="361" spans="1:12" ht="11.25" customHeight="1" x14ac:dyDescent="0.2">
      <c r="A361" s="221">
        <v>2022</v>
      </c>
      <c r="B361" s="221">
        <v>2</v>
      </c>
      <c r="C361" s="221">
        <v>1</v>
      </c>
      <c r="D361" s="231">
        <f t="shared" si="10"/>
        <v>44593</v>
      </c>
      <c r="E361" s="233">
        <f t="shared" si="9"/>
        <v>44593</v>
      </c>
      <c r="F361" s="478" t="s">
        <v>802</v>
      </c>
      <c r="G361" s="222" t="s">
        <v>1111</v>
      </c>
      <c r="H361" s="223" t="str" cm="1">
        <f t="array" ref="H361">IFERROR(INDEX(INVESTOR_LIST[INVESTOR NAME],MATCH(I361,INVESTOR_LIST[INVESTOR CODE],0),)," ")</f>
        <v>ASRAAR HOSSAIN</v>
      </c>
      <c r="I361" s="299" t="s">
        <v>927</v>
      </c>
      <c r="J361" s="224" t="s">
        <v>55</v>
      </c>
      <c r="K361" s="298">
        <v>20000</v>
      </c>
      <c r="L361" s="225"/>
    </row>
    <row r="362" spans="1:12" ht="11.25" customHeight="1" x14ac:dyDescent="0.2">
      <c r="A362" s="226">
        <v>2022</v>
      </c>
      <c r="B362" s="226">
        <v>2</v>
      </c>
      <c r="C362" s="226">
        <v>1</v>
      </c>
      <c r="D362" s="232">
        <f t="shared" si="10"/>
        <v>44593</v>
      </c>
      <c r="E362" s="234">
        <f t="shared" si="9"/>
        <v>44593</v>
      </c>
      <c r="F362" s="479"/>
      <c r="G362" s="227" t="s">
        <v>1111</v>
      </c>
      <c r="H362" s="228" t="str" cm="1">
        <f t="array" ref="H362">IFERROR(INDEX(INVESTOR_LIST[INVESTOR NAME],MATCH(I362,INVESTOR_LIST[INVESTOR CODE],0),)," ")</f>
        <v>ASRAAR HOSSAIN</v>
      </c>
      <c r="I362" s="299" t="s">
        <v>927</v>
      </c>
      <c r="J362" s="229" t="s">
        <v>14</v>
      </c>
      <c r="K362" s="230"/>
      <c r="L362" s="230">
        <v>20000</v>
      </c>
    </row>
    <row r="363" spans="1:12" ht="11.25" customHeight="1" x14ac:dyDescent="0.2">
      <c r="A363" s="221">
        <v>2022</v>
      </c>
      <c r="B363" s="221">
        <v>2</v>
      </c>
      <c r="C363" s="221">
        <v>1</v>
      </c>
      <c r="D363" s="231">
        <f t="shared" si="10"/>
        <v>44593</v>
      </c>
      <c r="E363" s="233">
        <f t="shared" si="9"/>
        <v>44593</v>
      </c>
      <c r="F363" s="478" t="s">
        <v>802</v>
      </c>
      <c r="G363" s="222" t="s">
        <v>1111</v>
      </c>
      <c r="H363" s="223" t="str" cm="1">
        <f t="array" ref="H363">IFERROR(INDEX(INVESTOR_LIST[INVESTOR NAME],MATCH(I363,INVESTOR_LIST[INVESTOR CODE],0),)," ")</f>
        <v>MOHAMMAD DELOWAR HOSSAIN MRIDHA</v>
      </c>
      <c r="I363" s="299" t="s">
        <v>923</v>
      </c>
      <c r="J363" s="224" t="s">
        <v>55</v>
      </c>
      <c r="K363" s="298">
        <v>100000</v>
      </c>
      <c r="L363" s="225"/>
    </row>
    <row r="364" spans="1:12" ht="11.25" customHeight="1" x14ac:dyDescent="0.2">
      <c r="A364" s="226">
        <v>2022</v>
      </c>
      <c r="B364" s="226">
        <v>2</v>
      </c>
      <c r="C364" s="226">
        <v>1</v>
      </c>
      <c r="D364" s="232">
        <f t="shared" si="10"/>
        <v>44593</v>
      </c>
      <c r="E364" s="234">
        <f t="shared" si="9"/>
        <v>44593</v>
      </c>
      <c r="F364" s="479"/>
      <c r="G364" s="227" t="s">
        <v>1111</v>
      </c>
      <c r="H364" s="228" t="str" cm="1">
        <f t="array" ref="H364">IFERROR(INDEX(INVESTOR_LIST[INVESTOR NAME],MATCH(I364,INVESTOR_LIST[INVESTOR CODE],0),)," ")</f>
        <v>MOHAMMAD DELOWAR HOSSAIN MRIDHA</v>
      </c>
      <c r="I364" s="299" t="s">
        <v>923</v>
      </c>
      <c r="J364" s="229" t="s">
        <v>14</v>
      </c>
      <c r="K364" s="230"/>
      <c r="L364" s="230">
        <v>100000</v>
      </c>
    </row>
    <row r="365" spans="1:12" ht="11.25" customHeight="1" x14ac:dyDescent="0.2">
      <c r="A365" s="221">
        <v>2022</v>
      </c>
      <c r="B365" s="221">
        <v>2</v>
      </c>
      <c r="C365" s="221">
        <v>1</v>
      </c>
      <c r="D365" s="231">
        <f t="shared" si="10"/>
        <v>44593</v>
      </c>
      <c r="E365" s="233">
        <f t="shared" si="9"/>
        <v>44593</v>
      </c>
      <c r="F365" s="478" t="s">
        <v>802</v>
      </c>
      <c r="G365" s="222" t="s">
        <v>1111</v>
      </c>
      <c r="H365" s="223" t="str" cm="1">
        <f t="array" ref="H365">IFERROR(INDEX(INVESTOR_LIST[INVESTOR NAME],MATCH(I365,INVESTOR_LIST[INVESTOR CODE],0),)," ")</f>
        <v>MD. NAZIMUL HAQUE HAQUANNI</v>
      </c>
      <c r="I365" s="299" t="s">
        <v>925</v>
      </c>
      <c r="J365" s="224" t="s">
        <v>55</v>
      </c>
      <c r="K365" s="298">
        <v>100000</v>
      </c>
      <c r="L365" s="225"/>
    </row>
    <row r="366" spans="1:12" ht="11.25" customHeight="1" x14ac:dyDescent="0.2">
      <c r="A366" s="226">
        <v>2022</v>
      </c>
      <c r="B366" s="226">
        <v>2</v>
      </c>
      <c r="C366" s="226">
        <v>1</v>
      </c>
      <c r="D366" s="232">
        <f t="shared" si="10"/>
        <v>44593</v>
      </c>
      <c r="E366" s="234">
        <f t="shared" si="9"/>
        <v>44593</v>
      </c>
      <c r="F366" s="479"/>
      <c r="G366" s="227" t="s">
        <v>1111</v>
      </c>
      <c r="H366" s="228" t="str" cm="1">
        <f t="array" ref="H366">IFERROR(INDEX(INVESTOR_LIST[INVESTOR NAME],MATCH(I366,INVESTOR_LIST[INVESTOR CODE],0),)," ")</f>
        <v>MD. NAZIMUL HAQUE HAQUANNI</v>
      </c>
      <c r="I366" s="299" t="s">
        <v>925</v>
      </c>
      <c r="J366" s="229" t="s">
        <v>14</v>
      </c>
      <c r="K366" s="230"/>
      <c r="L366" s="230">
        <v>100000</v>
      </c>
    </row>
    <row r="367" spans="1:12" ht="11.25" customHeight="1" x14ac:dyDescent="0.2">
      <c r="A367" s="221">
        <v>2022</v>
      </c>
      <c r="B367" s="221">
        <v>2</v>
      </c>
      <c r="C367" s="221">
        <v>1</v>
      </c>
      <c r="D367" s="231">
        <f t="shared" si="10"/>
        <v>44593</v>
      </c>
      <c r="E367" s="233">
        <f t="shared" si="9"/>
        <v>44593</v>
      </c>
      <c r="F367" s="478" t="s">
        <v>802</v>
      </c>
      <c r="G367" s="222" t="s">
        <v>1111</v>
      </c>
      <c r="H367" s="223" t="str" cm="1">
        <f t="array" ref="H367">IFERROR(INDEX(INVESTOR_LIST[INVESTOR NAME],MATCH(I367,INVESTOR_LIST[INVESTOR CODE],0),)," ")</f>
        <v>MD. ASIF RAIHAN</v>
      </c>
      <c r="I367" s="299" t="s">
        <v>933</v>
      </c>
      <c r="J367" s="224" t="s">
        <v>55</v>
      </c>
      <c r="K367" s="298">
        <v>100000</v>
      </c>
      <c r="L367" s="225"/>
    </row>
    <row r="368" spans="1:12" ht="11.25" customHeight="1" x14ac:dyDescent="0.2">
      <c r="A368" s="226">
        <v>2022</v>
      </c>
      <c r="B368" s="226">
        <v>2</v>
      </c>
      <c r="C368" s="226">
        <v>1</v>
      </c>
      <c r="D368" s="232">
        <f t="shared" si="10"/>
        <v>44593</v>
      </c>
      <c r="E368" s="234">
        <f t="shared" si="9"/>
        <v>44593</v>
      </c>
      <c r="F368" s="479"/>
      <c r="G368" s="227" t="s">
        <v>1111</v>
      </c>
      <c r="H368" s="228" t="str" cm="1">
        <f t="array" ref="H368">IFERROR(INDEX(INVESTOR_LIST[INVESTOR NAME],MATCH(I368,INVESTOR_LIST[INVESTOR CODE],0),)," ")</f>
        <v>MD. ASIF RAIHAN</v>
      </c>
      <c r="I368" s="299" t="s">
        <v>933</v>
      </c>
      <c r="J368" s="229" t="s">
        <v>14</v>
      </c>
      <c r="K368" s="230"/>
      <c r="L368" s="230">
        <v>100000</v>
      </c>
    </row>
    <row r="369" spans="1:12" ht="11.25" customHeight="1" x14ac:dyDescent="0.2">
      <c r="A369" s="221">
        <v>2022</v>
      </c>
      <c r="B369" s="221">
        <v>2</v>
      </c>
      <c r="C369" s="221">
        <v>1</v>
      </c>
      <c r="D369" s="231">
        <f t="shared" si="10"/>
        <v>44593</v>
      </c>
      <c r="E369" s="233">
        <f t="shared" si="9"/>
        <v>44593</v>
      </c>
      <c r="F369" s="478" t="s">
        <v>802</v>
      </c>
      <c r="G369" s="222" t="s">
        <v>1111</v>
      </c>
      <c r="H369" s="223" t="str" cm="1">
        <f t="array" ref="H369">IFERROR(INDEX(INVESTOR_LIST[INVESTOR NAME],MATCH(I369,INVESTOR_LIST[INVESTOR CODE],0),)," ")</f>
        <v>SHAHRIAR MAHMOOD</v>
      </c>
      <c r="I369" s="299" t="s">
        <v>425</v>
      </c>
      <c r="J369" s="224" t="s">
        <v>55</v>
      </c>
      <c r="K369" s="298">
        <v>150000</v>
      </c>
      <c r="L369" s="225"/>
    </row>
    <row r="370" spans="1:12" ht="11.25" customHeight="1" x14ac:dyDescent="0.2">
      <c r="A370" s="226">
        <v>2022</v>
      </c>
      <c r="B370" s="226">
        <v>2</v>
      </c>
      <c r="C370" s="226">
        <v>1</v>
      </c>
      <c r="D370" s="232">
        <f t="shared" si="10"/>
        <v>44593</v>
      </c>
      <c r="E370" s="234">
        <f t="shared" si="9"/>
        <v>44593</v>
      </c>
      <c r="F370" s="479"/>
      <c r="G370" s="227" t="s">
        <v>1111</v>
      </c>
      <c r="H370" s="228" t="str" cm="1">
        <f t="array" ref="H370">IFERROR(INDEX(INVESTOR_LIST[INVESTOR NAME],MATCH(I370,INVESTOR_LIST[INVESTOR CODE],0),)," ")</f>
        <v>SHAHRIAR MAHMOOD</v>
      </c>
      <c r="I370" s="299" t="s">
        <v>425</v>
      </c>
      <c r="J370" s="229" t="s">
        <v>14</v>
      </c>
      <c r="K370" s="230"/>
      <c r="L370" s="230">
        <v>150000</v>
      </c>
    </row>
    <row r="371" spans="1:12" ht="11.25" customHeight="1" x14ac:dyDescent="0.2">
      <c r="A371" s="221">
        <v>2022</v>
      </c>
      <c r="B371" s="221">
        <v>2</v>
      </c>
      <c r="C371" s="221">
        <v>1</v>
      </c>
      <c r="D371" s="231">
        <f t="shared" si="10"/>
        <v>44593</v>
      </c>
      <c r="E371" s="233">
        <f t="shared" si="9"/>
        <v>44593</v>
      </c>
      <c r="F371" s="478" t="s">
        <v>802</v>
      </c>
      <c r="G371" s="222" t="s">
        <v>1111</v>
      </c>
      <c r="H371" s="223" t="str" cm="1">
        <f t="array" ref="H371">IFERROR(INDEX(INVESTOR_LIST[INVESTOR NAME],MATCH(I371,INVESTOR_LIST[INVESTOR CODE],0),)," ")</f>
        <v>ZINAT MAHRUKH BANU</v>
      </c>
      <c r="I371" s="299" t="s">
        <v>935</v>
      </c>
      <c r="J371" s="224" t="s">
        <v>55</v>
      </c>
      <c r="K371" s="298">
        <v>200000</v>
      </c>
      <c r="L371" s="225"/>
    </row>
    <row r="372" spans="1:12" ht="11.25" customHeight="1" x14ac:dyDescent="0.2">
      <c r="A372" s="226">
        <v>2022</v>
      </c>
      <c r="B372" s="226">
        <v>2</v>
      </c>
      <c r="C372" s="226">
        <v>1</v>
      </c>
      <c r="D372" s="232">
        <f t="shared" si="10"/>
        <v>44593</v>
      </c>
      <c r="E372" s="234">
        <f t="shared" si="9"/>
        <v>44593</v>
      </c>
      <c r="F372" s="479"/>
      <c r="G372" s="227" t="s">
        <v>1111</v>
      </c>
      <c r="H372" s="228" t="str" cm="1">
        <f t="array" ref="H372">IFERROR(INDEX(INVESTOR_LIST[INVESTOR NAME],MATCH(I372,INVESTOR_LIST[INVESTOR CODE],0),)," ")</f>
        <v>ZINAT MAHRUKH BANU</v>
      </c>
      <c r="I372" s="299" t="s">
        <v>935</v>
      </c>
      <c r="J372" s="229" t="s">
        <v>14</v>
      </c>
      <c r="K372" s="230"/>
      <c r="L372" s="230">
        <v>200000</v>
      </c>
    </row>
    <row r="373" spans="1:12" ht="11.25" customHeight="1" x14ac:dyDescent="0.2">
      <c r="A373" s="221">
        <v>2022</v>
      </c>
      <c r="B373" s="221">
        <v>2</v>
      </c>
      <c r="C373" s="221">
        <v>1</v>
      </c>
      <c r="D373" s="231">
        <f t="shared" si="10"/>
        <v>44593</v>
      </c>
      <c r="E373" s="233">
        <f t="shared" ref="E373:E408" si="11">DATE(A373,B373,C373)</f>
        <v>44593</v>
      </c>
      <c r="F373" s="478" t="s">
        <v>802</v>
      </c>
      <c r="G373" s="222" t="s">
        <v>1111</v>
      </c>
      <c r="H373" s="223" t="str" cm="1">
        <f t="array" ref="H373">IFERROR(INDEX(INVESTOR_LIST[INVESTOR NAME],MATCH(I373,INVESTOR_LIST[INVESTOR CODE],0),)," ")</f>
        <v>FOUZIA RAHMAN</v>
      </c>
      <c r="I373" s="299" t="s">
        <v>1098</v>
      </c>
      <c r="J373" s="224" t="s">
        <v>55</v>
      </c>
      <c r="K373" s="298">
        <v>150000</v>
      </c>
      <c r="L373" s="225"/>
    </row>
    <row r="374" spans="1:12" ht="11.25" customHeight="1" x14ac:dyDescent="0.2">
      <c r="A374" s="226">
        <v>2022</v>
      </c>
      <c r="B374" s="226">
        <v>2</v>
      </c>
      <c r="C374" s="226">
        <v>1</v>
      </c>
      <c r="D374" s="232">
        <f t="shared" si="10"/>
        <v>44593</v>
      </c>
      <c r="E374" s="234">
        <f t="shared" si="11"/>
        <v>44593</v>
      </c>
      <c r="F374" s="479"/>
      <c r="G374" s="227" t="s">
        <v>1111</v>
      </c>
      <c r="H374" s="228" t="str" cm="1">
        <f t="array" ref="H374">IFERROR(INDEX(INVESTOR_LIST[INVESTOR NAME],MATCH(I374,INVESTOR_LIST[INVESTOR CODE],0),)," ")</f>
        <v>FOUZIA RAHMAN</v>
      </c>
      <c r="I374" s="299" t="s">
        <v>1098</v>
      </c>
      <c r="J374" s="229" t="s">
        <v>14</v>
      </c>
      <c r="K374" s="230"/>
      <c r="L374" s="230">
        <v>150000</v>
      </c>
    </row>
    <row r="375" spans="1:12" ht="11.25" customHeight="1" x14ac:dyDescent="0.2">
      <c r="A375" s="221">
        <v>2022</v>
      </c>
      <c r="B375" s="221">
        <v>2</v>
      </c>
      <c r="C375" s="221">
        <v>1</v>
      </c>
      <c r="D375" s="231">
        <f t="shared" si="10"/>
        <v>44593</v>
      </c>
      <c r="E375" s="233">
        <f t="shared" si="11"/>
        <v>44593</v>
      </c>
      <c r="F375" s="478" t="s">
        <v>802</v>
      </c>
      <c r="G375" s="222" t="s">
        <v>1111</v>
      </c>
      <c r="H375" s="223" t="str" cm="1">
        <f t="array" ref="H375">IFERROR(INDEX(INVESTOR_LIST[INVESTOR NAME],MATCH(I375,INVESTOR_LIST[INVESTOR CODE],0),)," ")</f>
        <v>MD. SHAHIDUL ISLAM</v>
      </c>
      <c r="I375" s="299" t="s">
        <v>951</v>
      </c>
      <c r="J375" s="224" t="s">
        <v>55</v>
      </c>
      <c r="K375" s="298">
        <v>2000</v>
      </c>
      <c r="L375" s="225"/>
    </row>
    <row r="376" spans="1:12" ht="11.25" customHeight="1" x14ac:dyDescent="0.2">
      <c r="A376" s="226">
        <v>2022</v>
      </c>
      <c r="B376" s="226">
        <v>2</v>
      </c>
      <c r="C376" s="226">
        <v>1</v>
      </c>
      <c r="D376" s="232">
        <f t="shared" si="10"/>
        <v>44593</v>
      </c>
      <c r="E376" s="234">
        <f t="shared" si="11"/>
        <v>44593</v>
      </c>
      <c r="F376" s="479"/>
      <c r="G376" s="227" t="s">
        <v>1111</v>
      </c>
      <c r="H376" s="228" t="str" cm="1">
        <f t="array" ref="H376">IFERROR(INDEX(INVESTOR_LIST[INVESTOR NAME],MATCH(I376,INVESTOR_LIST[INVESTOR CODE],0),)," ")</f>
        <v>MD. SHAHIDUL ISLAM</v>
      </c>
      <c r="I376" s="299" t="s">
        <v>951</v>
      </c>
      <c r="J376" s="229" t="s">
        <v>14</v>
      </c>
      <c r="K376" s="230"/>
      <c r="L376" s="230">
        <v>2000</v>
      </c>
    </row>
    <row r="377" spans="1:12" ht="11.25" customHeight="1" x14ac:dyDescent="0.2">
      <c r="A377" s="221">
        <v>2022</v>
      </c>
      <c r="B377" s="221">
        <v>2</v>
      </c>
      <c r="C377" s="221">
        <v>1</v>
      </c>
      <c r="D377" s="231">
        <f t="shared" si="10"/>
        <v>44593</v>
      </c>
      <c r="E377" s="233">
        <f t="shared" si="11"/>
        <v>44593</v>
      </c>
      <c r="F377" s="478" t="s">
        <v>802</v>
      </c>
      <c r="G377" s="222" t="s">
        <v>1111</v>
      </c>
      <c r="H377" s="223" t="str" cm="1">
        <f t="array" ref="H377">IFERROR(INDEX(INVESTOR_LIST[INVESTOR NAME],MATCH(I377,INVESTOR_LIST[INVESTOR CODE],0),)," ")</f>
        <v>ANIK KUMAR GUPTA</v>
      </c>
      <c r="I377" s="299" t="s">
        <v>950</v>
      </c>
      <c r="J377" s="224" t="s">
        <v>55</v>
      </c>
      <c r="K377" s="298">
        <v>5000</v>
      </c>
      <c r="L377" s="225"/>
    </row>
    <row r="378" spans="1:12" ht="11.25" customHeight="1" x14ac:dyDescent="0.2">
      <c r="A378" s="226">
        <v>2022</v>
      </c>
      <c r="B378" s="226">
        <v>2</v>
      </c>
      <c r="C378" s="226">
        <v>1</v>
      </c>
      <c r="D378" s="232">
        <f t="shared" si="10"/>
        <v>44593</v>
      </c>
      <c r="E378" s="234">
        <f t="shared" si="11"/>
        <v>44593</v>
      </c>
      <c r="F378" s="479"/>
      <c r="G378" s="227" t="s">
        <v>1111</v>
      </c>
      <c r="H378" s="228" t="str" cm="1">
        <f t="array" ref="H378">IFERROR(INDEX(INVESTOR_LIST[INVESTOR NAME],MATCH(I378,INVESTOR_LIST[INVESTOR CODE],0),)," ")</f>
        <v>ANIK KUMAR GUPTA</v>
      </c>
      <c r="I378" s="299" t="s">
        <v>950</v>
      </c>
      <c r="J378" s="229" t="s">
        <v>14</v>
      </c>
      <c r="K378" s="230"/>
      <c r="L378" s="230">
        <v>5000</v>
      </c>
    </row>
    <row r="379" spans="1:12" ht="11.25" customHeight="1" x14ac:dyDescent="0.2">
      <c r="A379" s="221">
        <v>2022</v>
      </c>
      <c r="B379" s="221">
        <v>2</v>
      </c>
      <c r="C379" s="221">
        <v>1</v>
      </c>
      <c r="D379" s="231">
        <f t="shared" si="10"/>
        <v>44593</v>
      </c>
      <c r="E379" s="233">
        <f t="shared" si="11"/>
        <v>44593</v>
      </c>
      <c r="F379" s="478" t="s">
        <v>802</v>
      </c>
      <c r="G379" s="222" t="s">
        <v>1111</v>
      </c>
      <c r="H379" s="223" t="str" cm="1">
        <f t="array" ref="H379">IFERROR(INDEX(INVESTOR_LIST[INVESTOR NAME],MATCH(I379,INVESTOR_LIST[INVESTOR CODE],0),)," ")</f>
        <v>MD. IMRAN HOSSAIN</v>
      </c>
      <c r="I379" s="299" t="s">
        <v>853</v>
      </c>
      <c r="J379" s="224" t="s">
        <v>55</v>
      </c>
      <c r="K379" s="298">
        <v>50000</v>
      </c>
      <c r="L379" s="225"/>
    </row>
    <row r="380" spans="1:12" ht="11.25" customHeight="1" x14ac:dyDescent="0.2">
      <c r="A380" s="226">
        <v>2022</v>
      </c>
      <c r="B380" s="226">
        <v>2</v>
      </c>
      <c r="C380" s="226">
        <v>1</v>
      </c>
      <c r="D380" s="232">
        <f t="shared" si="10"/>
        <v>44593</v>
      </c>
      <c r="E380" s="234">
        <f t="shared" si="11"/>
        <v>44593</v>
      </c>
      <c r="F380" s="479"/>
      <c r="G380" s="227" t="s">
        <v>1111</v>
      </c>
      <c r="H380" s="228" t="str" cm="1">
        <f t="array" ref="H380">IFERROR(INDEX(INVESTOR_LIST[INVESTOR NAME],MATCH(I380,INVESTOR_LIST[INVESTOR CODE],0),)," ")</f>
        <v>MD. IMRAN HOSSAIN</v>
      </c>
      <c r="I380" s="299" t="s">
        <v>853</v>
      </c>
      <c r="J380" s="229" t="s">
        <v>14</v>
      </c>
      <c r="K380" s="230"/>
      <c r="L380" s="230">
        <v>50000</v>
      </c>
    </row>
    <row r="381" spans="1:12" ht="11.25" customHeight="1" x14ac:dyDescent="0.2">
      <c r="A381" s="221">
        <v>2022</v>
      </c>
      <c r="B381" s="221">
        <v>2</v>
      </c>
      <c r="C381" s="221">
        <v>1</v>
      </c>
      <c r="D381" s="231">
        <f t="shared" si="10"/>
        <v>44593</v>
      </c>
      <c r="E381" s="233">
        <f t="shared" si="11"/>
        <v>44593</v>
      </c>
      <c r="F381" s="478" t="s">
        <v>1114</v>
      </c>
      <c r="G381" s="222" t="s">
        <v>1111</v>
      </c>
      <c r="H381" s="223" t="str" cm="1">
        <f t="array" ref="H381">IFERROR(INDEX(INVESTOR_LIST[INVESTOR NAME],MATCH(I381,INVESTOR_LIST[INVESTOR CODE],0),)," ")</f>
        <v xml:space="preserve"> </v>
      </c>
      <c r="I381" s="223"/>
      <c r="J381" s="224" t="s">
        <v>63</v>
      </c>
      <c r="K381" s="302">
        <v>650</v>
      </c>
      <c r="L381" s="225"/>
    </row>
    <row r="382" spans="1:12" ht="11.25" customHeight="1" x14ac:dyDescent="0.2">
      <c r="A382" s="226">
        <v>2022</v>
      </c>
      <c r="B382" s="226">
        <v>2</v>
      </c>
      <c r="C382" s="226">
        <v>1</v>
      </c>
      <c r="D382" s="232">
        <f t="shared" si="10"/>
        <v>44593</v>
      </c>
      <c r="E382" s="234">
        <f t="shared" si="11"/>
        <v>44593</v>
      </c>
      <c r="F382" s="479"/>
      <c r="G382" s="227" t="s">
        <v>1111</v>
      </c>
      <c r="H382" s="228" t="str" cm="1">
        <f t="array" ref="H382">IFERROR(INDEX(INVESTOR_LIST[INVESTOR NAME],MATCH(I382,INVESTOR_LIST[INVESTOR CODE],0),)," ")</f>
        <v xml:space="preserve"> </v>
      </c>
      <c r="I382" s="228"/>
      <c r="J382" s="229" t="s">
        <v>55</v>
      </c>
      <c r="K382" s="230"/>
      <c r="L382" s="302">
        <v>650</v>
      </c>
    </row>
    <row r="383" spans="1:12" ht="11.25" customHeight="1" x14ac:dyDescent="0.2">
      <c r="A383" s="221">
        <v>2022</v>
      </c>
      <c r="B383" s="221">
        <v>2</v>
      </c>
      <c r="C383" s="221">
        <v>2</v>
      </c>
      <c r="D383" s="231">
        <f t="shared" si="10"/>
        <v>44594</v>
      </c>
      <c r="E383" s="233">
        <f t="shared" si="11"/>
        <v>44594</v>
      </c>
      <c r="F383" s="478" t="s">
        <v>1114</v>
      </c>
      <c r="G383" s="222" t="s">
        <v>1111</v>
      </c>
      <c r="H383" s="223" t="str" cm="1">
        <f t="array" ref="H383">IFERROR(INDEX(INVESTOR_LIST[INVESTOR NAME],MATCH(I383,INVESTOR_LIST[INVESTOR CODE],0),)," ")</f>
        <v xml:space="preserve"> </v>
      </c>
      <c r="I383" s="223"/>
      <c r="J383" s="224" t="s">
        <v>63</v>
      </c>
      <c r="K383" s="302">
        <v>60</v>
      </c>
      <c r="L383" s="225"/>
    </row>
    <row r="384" spans="1:12" ht="11.25" customHeight="1" x14ac:dyDescent="0.2">
      <c r="A384" s="226">
        <v>2022</v>
      </c>
      <c r="B384" s="226">
        <v>2</v>
      </c>
      <c r="C384" s="226">
        <v>2</v>
      </c>
      <c r="D384" s="232">
        <f t="shared" si="10"/>
        <v>44594</v>
      </c>
      <c r="E384" s="234">
        <f t="shared" si="11"/>
        <v>44594</v>
      </c>
      <c r="F384" s="479"/>
      <c r="G384" s="227" t="s">
        <v>1111</v>
      </c>
      <c r="H384" s="228" t="str" cm="1">
        <f t="array" ref="H384">IFERROR(INDEX(INVESTOR_LIST[INVESTOR NAME],MATCH(I384,INVESTOR_LIST[INVESTOR CODE],0),)," ")</f>
        <v xml:space="preserve"> </v>
      </c>
      <c r="I384" s="228"/>
      <c r="J384" s="229" t="s">
        <v>55</v>
      </c>
      <c r="K384" s="230"/>
      <c r="L384" s="302">
        <v>60</v>
      </c>
    </row>
    <row r="385" spans="1:12" ht="11.25" customHeight="1" x14ac:dyDescent="0.2">
      <c r="A385" s="221">
        <v>2022</v>
      </c>
      <c r="B385" s="221">
        <v>2</v>
      </c>
      <c r="C385" s="221">
        <v>2</v>
      </c>
      <c r="D385" s="231">
        <f t="shared" si="10"/>
        <v>44594</v>
      </c>
      <c r="E385" s="233">
        <f t="shared" si="11"/>
        <v>44594</v>
      </c>
      <c r="F385" s="478" t="s">
        <v>802</v>
      </c>
      <c r="G385" s="222" t="s">
        <v>1111</v>
      </c>
      <c r="H385" s="223" t="str" cm="1">
        <f t="array" ref="H385">IFERROR(INDEX(INVESTOR_LIST[INVESTOR NAME],MATCH(I385,INVESTOR_LIST[INVESTOR CODE],0),)," ")</f>
        <v>MONSURUL MOHAMMAD SHAHRIAR</v>
      </c>
      <c r="I385" s="299" t="s">
        <v>801</v>
      </c>
      <c r="J385" s="224" t="s">
        <v>55</v>
      </c>
      <c r="K385" s="298">
        <v>100000</v>
      </c>
      <c r="L385" s="225"/>
    </row>
    <row r="386" spans="1:12" ht="11.25" customHeight="1" x14ac:dyDescent="0.2">
      <c r="A386" s="226">
        <v>2022</v>
      </c>
      <c r="B386" s="226">
        <v>2</v>
      </c>
      <c r="C386" s="226">
        <v>2</v>
      </c>
      <c r="D386" s="232">
        <f t="shared" si="10"/>
        <v>44594</v>
      </c>
      <c r="E386" s="234">
        <f t="shared" si="11"/>
        <v>44594</v>
      </c>
      <c r="F386" s="479"/>
      <c r="G386" s="227" t="s">
        <v>1111</v>
      </c>
      <c r="H386" s="228" t="str" cm="1">
        <f t="array" ref="H386">IFERROR(INDEX(INVESTOR_LIST[INVESTOR NAME],MATCH(I386,INVESTOR_LIST[INVESTOR CODE],0),)," ")</f>
        <v>MONSURUL MOHAMMAD SHAHRIAR</v>
      </c>
      <c r="I386" s="299" t="s">
        <v>801</v>
      </c>
      <c r="J386" s="229" t="s">
        <v>14</v>
      </c>
      <c r="K386" s="230"/>
      <c r="L386" s="230">
        <v>100000</v>
      </c>
    </row>
    <row r="387" spans="1:12" ht="11.25" customHeight="1" x14ac:dyDescent="0.2">
      <c r="A387" s="221">
        <v>2022</v>
      </c>
      <c r="B387" s="221">
        <v>2</v>
      </c>
      <c r="C387" s="221">
        <v>2</v>
      </c>
      <c r="D387" s="231">
        <f t="shared" si="10"/>
        <v>44594</v>
      </c>
      <c r="E387" s="233">
        <f t="shared" si="11"/>
        <v>44594</v>
      </c>
      <c r="F387" s="478" t="s">
        <v>802</v>
      </c>
      <c r="G387" s="222" t="s">
        <v>1111</v>
      </c>
      <c r="H387" s="223" t="str" cm="1">
        <f t="array" ref="H387">IFERROR(INDEX(INVESTOR_LIST[INVESTOR NAME],MATCH(I387,INVESTOR_LIST[INVESTOR CODE],0),)," ")</f>
        <v>AZIZUL ISLAM</v>
      </c>
      <c r="I387" s="299" t="s">
        <v>953</v>
      </c>
      <c r="J387" s="224" t="s">
        <v>55</v>
      </c>
      <c r="K387" s="298">
        <v>2500000</v>
      </c>
      <c r="L387" s="225"/>
    </row>
    <row r="388" spans="1:12" ht="11.25" customHeight="1" x14ac:dyDescent="0.2">
      <c r="A388" s="226">
        <v>2022</v>
      </c>
      <c r="B388" s="226">
        <v>2</v>
      </c>
      <c r="C388" s="226">
        <v>2</v>
      </c>
      <c r="D388" s="232">
        <f t="shared" si="10"/>
        <v>44594</v>
      </c>
      <c r="E388" s="234">
        <f t="shared" si="11"/>
        <v>44594</v>
      </c>
      <c r="F388" s="479"/>
      <c r="G388" s="227" t="s">
        <v>1111</v>
      </c>
      <c r="H388" s="228" t="str" cm="1">
        <f t="array" ref="H388">IFERROR(INDEX(INVESTOR_LIST[INVESTOR NAME],MATCH(I388,INVESTOR_LIST[INVESTOR CODE],0),)," ")</f>
        <v>AZIZUL ISLAM</v>
      </c>
      <c r="I388" s="299" t="s">
        <v>953</v>
      </c>
      <c r="J388" s="229" t="s">
        <v>14</v>
      </c>
      <c r="K388" s="230"/>
      <c r="L388" s="230">
        <v>2500000</v>
      </c>
    </row>
    <row r="389" spans="1:12" ht="11.25" customHeight="1" x14ac:dyDescent="0.2">
      <c r="A389" s="221">
        <v>2022</v>
      </c>
      <c r="B389" s="221">
        <v>2</v>
      </c>
      <c r="C389" s="221">
        <v>2</v>
      </c>
      <c r="D389" s="231">
        <f t="shared" si="10"/>
        <v>44594</v>
      </c>
      <c r="E389" s="233">
        <f t="shared" si="11"/>
        <v>44594</v>
      </c>
      <c r="F389" s="478" t="s">
        <v>802</v>
      </c>
      <c r="G389" s="222" t="s">
        <v>1111</v>
      </c>
      <c r="H389" s="223" t="str" cm="1">
        <f t="array" ref="H389">IFERROR(INDEX(INVESTOR_LIST[INVESTOR NAME],MATCH(I389,INVESTOR_LIST[INVESTOR CODE],0),)," ")</f>
        <v>MD. NIZAM UDDIN</v>
      </c>
      <c r="I389" s="299" t="s">
        <v>954</v>
      </c>
      <c r="J389" s="224" t="s">
        <v>55</v>
      </c>
      <c r="K389" s="298">
        <v>40000</v>
      </c>
      <c r="L389" s="225"/>
    </row>
    <row r="390" spans="1:12" ht="11.25" customHeight="1" x14ac:dyDescent="0.2">
      <c r="A390" s="226">
        <v>2022</v>
      </c>
      <c r="B390" s="226">
        <v>2</v>
      </c>
      <c r="C390" s="226">
        <v>2</v>
      </c>
      <c r="D390" s="232">
        <f t="shared" si="10"/>
        <v>44594</v>
      </c>
      <c r="E390" s="234">
        <f t="shared" si="11"/>
        <v>44594</v>
      </c>
      <c r="F390" s="479"/>
      <c r="G390" s="227" t="s">
        <v>1111</v>
      </c>
      <c r="H390" s="228" t="str" cm="1">
        <f t="array" ref="H390">IFERROR(INDEX(INVESTOR_LIST[INVESTOR NAME],MATCH(I390,INVESTOR_LIST[INVESTOR CODE],0),)," ")</f>
        <v>MD. NIZAM UDDIN</v>
      </c>
      <c r="I390" s="299" t="s">
        <v>954</v>
      </c>
      <c r="J390" s="229" t="s">
        <v>14</v>
      </c>
      <c r="K390" s="230"/>
      <c r="L390" s="230">
        <v>40000</v>
      </c>
    </row>
    <row r="391" spans="1:12" ht="11.25" customHeight="1" x14ac:dyDescent="0.2">
      <c r="A391" s="221">
        <v>2022</v>
      </c>
      <c r="B391" s="221">
        <v>2</v>
      </c>
      <c r="C391" s="221">
        <v>8</v>
      </c>
      <c r="D391" s="231">
        <f t="shared" si="10"/>
        <v>44600</v>
      </c>
      <c r="E391" s="233">
        <f t="shared" si="11"/>
        <v>44600</v>
      </c>
      <c r="F391" s="478" t="s">
        <v>1114</v>
      </c>
      <c r="G391" s="222" t="s">
        <v>1111</v>
      </c>
      <c r="H391" s="223" t="str" cm="1">
        <f t="array" ref="H391">IFERROR(INDEX(INVESTOR_LIST[INVESTOR NAME],MATCH(I391,INVESTOR_LIST[INVESTOR CODE],0),)," ")</f>
        <v xml:space="preserve"> </v>
      </c>
      <c r="I391" s="223"/>
      <c r="J391" s="224" t="s">
        <v>63</v>
      </c>
      <c r="K391" s="302">
        <v>25</v>
      </c>
      <c r="L391" s="225"/>
    </row>
    <row r="392" spans="1:12" ht="11.25" customHeight="1" x14ac:dyDescent="0.2">
      <c r="A392" s="226">
        <v>2022</v>
      </c>
      <c r="B392" s="226">
        <v>2</v>
      </c>
      <c r="C392" s="226">
        <v>8</v>
      </c>
      <c r="D392" s="232">
        <f t="shared" si="10"/>
        <v>44600</v>
      </c>
      <c r="E392" s="234">
        <f t="shared" si="11"/>
        <v>44600</v>
      </c>
      <c r="F392" s="479"/>
      <c r="G392" s="227" t="s">
        <v>1111</v>
      </c>
      <c r="H392" s="228" t="str" cm="1">
        <f t="array" ref="H392">IFERROR(INDEX(INVESTOR_LIST[INVESTOR NAME],MATCH(I392,INVESTOR_LIST[INVESTOR CODE],0),)," ")</f>
        <v xml:space="preserve"> </v>
      </c>
      <c r="I392" s="228"/>
      <c r="J392" s="229" t="s">
        <v>55</v>
      </c>
      <c r="K392" s="230"/>
      <c r="L392" s="302">
        <v>25</v>
      </c>
    </row>
    <row r="393" spans="1:12" ht="11.25" customHeight="1" x14ac:dyDescent="0.2">
      <c r="A393" s="221">
        <v>2022</v>
      </c>
      <c r="B393" s="221">
        <v>2</v>
      </c>
      <c r="C393" s="221">
        <v>8</v>
      </c>
      <c r="D393" s="231">
        <f t="shared" ref="D393:D456" si="12">DATE(A393,B393,C393)</f>
        <v>44600</v>
      </c>
      <c r="E393" s="233">
        <f t="shared" si="11"/>
        <v>44600</v>
      </c>
      <c r="F393" s="478" t="s">
        <v>802</v>
      </c>
      <c r="G393" s="222" t="s">
        <v>1111</v>
      </c>
      <c r="H393" s="223" t="str" cm="1">
        <f t="array" ref="H393">IFERROR(INDEX(INVESTOR_LIST[INVESTOR NAME],MATCH(I393,INVESTOR_LIST[INVESTOR CODE],0),)," ")</f>
        <v>NAYEEMA TASNEEM</v>
      </c>
      <c r="I393" s="299" t="s">
        <v>922</v>
      </c>
      <c r="J393" s="224" t="s">
        <v>55</v>
      </c>
      <c r="K393" s="298">
        <v>600000</v>
      </c>
      <c r="L393" s="225"/>
    </row>
    <row r="394" spans="1:12" ht="11.25" customHeight="1" x14ac:dyDescent="0.2">
      <c r="A394" s="226">
        <v>2022</v>
      </c>
      <c r="B394" s="226">
        <v>2</v>
      </c>
      <c r="C394" s="226">
        <v>8</v>
      </c>
      <c r="D394" s="232">
        <f t="shared" si="12"/>
        <v>44600</v>
      </c>
      <c r="E394" s="234">
        <f t="shared" si="11"/>
        <v>44600</v>
      </c>
      <c r="F394" s="479"/>
      <c r="G394" s="227" t="s">
        <v>1111</v>
      </c>
      <c r="H394" s="228" t="str" cm="1">
        <f t="array" ref="H394">IFERROR(INDEX(INVESTOR_LIST[INVESTOR NAME],MATCH(I394,INVESTOR_LIST[INVESTOR CODE],0),)," ")</f>
        <v>NAYEEMA TASNEEM</v>
      </c>
      <c r="I394" s="299" t="s">
        <v>922</v>
      </c>
      <c r="J394" s="229" t="s">
        <v>14</v>
      </c>
      <c r="K394" s="230"/>
      <c r="L394" s="230">
        <v>600000</v>
      </c>
    </row>
    <row r="395" spans="1:12" ht="11.25" customHeight="1" x14ac:dyDescent="0.2">
      <c r="A395" s="221">
        <v>2022</v>
      </c>
      <c r="B395" s="221">
        <v>2</v>
      </c>
      <c r="C395" s="221">
        <v>10</v>
      </c>
      <c r="D395" s="231">
        <f t="shared" si="12"/>
        <v>44602</v>
      </c>
      <c r="E395" s="233">
        <f t="shared" si="11"/>
        <v>44602</v>
      </c>
      <c r="F395" s="478" t="s">
        <v>1115</v>
      </c>
      <c r="G395" s="222" t="s">
        <v>1111</v>
      </c>
      <c r="H395" s="223" t="str" cm="1">
        <f t="array" ref="H395">IFERROR(INDEX(INVESTOR_LIST[INVESTOR NAME],MATCH(I395,INVESTOR_LIST[INVESTOR CODE],0),)," ")</f>
        <v>B.M. MIRAZ HOSSAIN</v>
      </c>
      <c r="I395" s="299" t="s">
        <v>937</v>
      </c>
      <c r="J395" s="224" t="s">
        <v>14</v>
      </c>
      <c r="K395" s="298">
        <v>200000</v>
      </c>
      <c r="L395" s="225"/>
    </row>
    <row r="396" spans="1:12" ht="11.25" customHeight="1" x14ac:dyDescent="0.2">
      <c r="A396" s="226">
        <v>2022</v>
      </c>
      <c r="B396" s="226">
        <v>2</v>
      </c>
      <c r="C396" s="226">
        <v>10</v>
      </c>
      <c r="D396" s="232">
        <f t="shared" si="12"/>
        <v>44602</v>
      </c>
      <c r="E396" s="234">
        <f t="shared" si="11"/>
        <v>44602</v>
      </c>
      <c r="F396" s="479"/>
      <c r="G396" s="227" t="s">
        <v>1111</v>
      </c>
      <c r="H396" s="228" t="str" cm="1">
        <f t="array" ref="H396">IFERROR(INDEX(INVESTOR_LIST[INVESTOR NAME],MATCH(I396,INVESTOR_LIST[INVESTOR CODE],0),)," ")</f>
        <v>B.M. MIRAZ HOSSAIN</v>
      </c>
      <c r="I396" s="299" t="s">
        <v>937</v>
      </c>
      <c r="J396" s="229" t="s">
        <v>55</v>
      </c>
      <c r="K396" s="230"/>
      <c r="L396" s="230">
        <v>200000</v>
      </c>
    </row>
    <row r="397" spans="1:12" ht="11.25" customHeight="1" x14ac:dyDescent="0.2">
      <c r="A397" s="221">
        <v>2022</v>
      </c>
      <c r="B397" s="221">
        <v>2</v>
      </c>
      <c r="C397" s="221">
        <v>13</v>
      </c>
      <c r="D397" s="231">
        <f t="shared" si="12"/>
        <v>44605</v>
      </c>
      <c r="E397" s="233">
        <f t="shared" si="11"/>
        <v>44605</v>
      </c>
      <c r="F397" s="478" t="s">
        <v>1114</v>
      </c>
      <c r="G397" s="222" t="s">
        <v>1111</v>
      </c>
      <c r="H397" s="223" t="str" cm="1">
        <f t="array" ref="H397">IFERROR(INDEX(INVESTOR_LIST[INVESTOR NAME],MATCH(I397,INVESTOR_LIST[INVESTOR CODE],0),)," ")</f>
        <v xml:space="preserve"> </v>
      </c>
      <c r="I397" s="223"/>
      <c r="J397" s="224" t="s">
        <v>63</v>
      </c>
      <c r="K397" s="302">
        <v>10</v>
      </c>
      <c r="L397" s="225"/>
    </row>
    <row r="398" spans="1:12" ht="11.25" customHeight="1" x14ac:dyDescent="0.2">
      <c r="A398" s="226">
        <v>2022</v>
      </c>
      <c r="B398" s="226">
        <v>2</v>
      </c>
      <c r="C398" s="226">
        <v>13</v>
      </c>
      <c r="D398" s="232">
        <f t="shared" si="12"/>
        <v>44605</v>
      </c>
      <c r="E398" s="234">
        <f t="shared" si="11"/>
        <v>44605</v>
      </c>
      <c r="F398" s="479"/>
      <c r="G398" s="227" t="s">
        <v>1111</v>
      </c>
      <c r="H398" s="228" t="str" cm="1">
        <f t="array" ref="H398">IFERROR(INDEX(INVESTOR_LIST[INVESTOR NAME],MATCH(I398,INVESTOR_LIST[INVESTOR CODE],0),)," ")</f>
        <v xml:space="preserve"> </v>
      </c>
      <c r="I398" s="228"/>
      <c r="J398" s="229" t="s">
        <v>55</v>
      </c>
      <c r="K398" s="230"/>
      <c r="L398" s="302">
        <v>10</v>
      </c>
    </row>
    <row r="399" spans="1:12" ht="11.25" customHeight="1" x14ac:dyDescent="0.2">
      <c r="A399" s="221">
        <v>2022</v>
      </c>
      <c r="B399" s="221">
        <v>2</v>
      </c>
      <c r="C399" s="221">
        <v>13</v>
      </c>
      <c r="D399" s="231">
        <f t="shared" si="12"/>
        <v>44605</v>
      </c>
      <c r="E399" s="233">
        <f t="shared" si="11"/>
        <v>44605</v>
      </c>
      <c r="F399" s="478" t="s">
        <v>802</v>
      </c>
      <c r="G399" s="222" t="s">
        <v>1111</v>
      </c>
      <c r="H399" s="223" t="str" cm="1">
        <f t="array" ref="H399">IFERROR(INDEX(INVESTOR_LIST[INVESTOR NAME],MATCH(I399,INVESTOR_LIST[INVESTOR CODE],0),)," ")</f>
        <v>MD. TANZIRUL AMIN</v>
      </c>
      <c r="I399" s="299" t="s">
        <v>957</v>
      </c>
      <c r="J399" s="224" t="s">
        <v>55</v>
      </c>
      <c r="K399" s="298">
        <v>100000</v>
      </c>
      <c r="L399" s="225"/>
    </row>
    <row r="400" spans="1:12" ht="11.25" customHeight="1" x14ac:dyDescent="0.2">
      <c r="A400" s="226">
        <v>2022</v>
      </c>
      <c r="B400" s="226">
        <v>2</v>
      </c>
      <c r="C400" s="226">
        <v>13</v>
      </c>
      <c r="D400" s="232">
        <f t="shared" si="12"/>
        <v>44605</v>
      </c>
      <c r="E400" s="234">
        <f t="shared" si="11"/>
        <v>44605</v>
      </c>
      <c r="F400" s="479"/>
      <c r="G400" s="227" t="s">
        <v>1111</v>
      </c>
      <c r="H400" s="228" t="str" cm="1">
        <f t="array" ref="H400">IFERROR(INDEX(INVESTOR_LIST[INVESTOR NAME],MATCH(I400,INVESTOR_LIST[INVESTOR CODE],0),)," ")</f>
        <v>MD. TANZIRUL AMIN</v>
      </c>
      <c r="I400" s="299" t="s">
        <v>957</v>
      </c>
      <c r="J400" s="229" t="s">
        <v>14</v>
      </c>
      <c r="K400" s="230"/>
      <c r="L400" s="230">
        <v>100000</v>
      </c>
    </row>
    <row r="401" spans="1:21" ht="11.25" customHeight="1" x14ac:dyDescent="0.2">
      <c r="A401" s="221">
        <v>2022</v>
      </c>
      <c r="B401" s="221">
        <v>2</v>
      </c>
      <c r="C401" s="221">
        <v>13</v>
      </c>
      <c r="D401" s="231">
        <f t="shared" si="12"/>
        <v>44605</v>
      </c>
      <c r="E401" s="233">
        <f t="shared" si="11"/>
        <v>44605</v>
      </c>
      <c r="F401" s="478" t="s">
        <v>802</v>
      </c>
      <c r="G401" s="222" t="s">
        <v>1111</v>
      </c>
      <c r="H401" s="223" t="str" cm="1">
        <f t="array" ref="H401">IFERROR(INDEX(INVESTOR_LIST[INVESTOR NAME],MATCH(I401,INVESTOR_LIST[INVESTOR CODE],0),)," ")</f>
        <v>RAIS-UR-RUBBI</v>
      </c>
      <c r="I401" s="299" t="s">
        <v>605</v>
      </c>
      <c r="J401" s="224" t="s">
        <v>55</v>
      </c>
      <c r="K401" s="298">
        <v>200000</v>
      </c>
      <c r="L401" s="225"/>
    </row>
    <row r="402" spans="1:21" ht="11.25" customHeight="1" x14ac:dyDescent="0.2">
      <c r="A402" s="226">
        <v>2022</v>
      </c>
      <c r="B402" s="226">
        <v>2</v>
      </c>
      <c r="C402" s="226">
        <v>13</v>
      </c>
      <c r="D402" s="232">
        <f t="shared" si="12"/>
        <v>44605</v>
      </c>
      <c r="E402" s="234">
        <f t="shared" si="11"/>
        <v>44605</v>
      </c>
      <c r="F402" s="479"/>
      <c r="G402" s="227" t="s">
        <v>1111</v>
      </c>
      <c r="H402" s="228" t="str" cm="1">
        <f t="array" ref="H402">IFERROR(INDEX(INVESTOR_LIST[INVESTOR NAME],MATCH(I402,INVESTOR_LIST[INVESTOR CODE],0),)," ")</f>
        <v>RAIS-UR-RUBBI</v>
      </c>
      <c r="I402" s="299" t="s">
        <v>605</v>
      </c>
      <c r="J402" s="229" t="s">
        <v>14</v>
      </c>
      <c r="K402" s="230"/>
      <c r="L402" s="230">
        <v>200000</v>
      </c>
    </row>
    <row r="403" spans="1:21" ht="11.25" customHeight="1" x14ac:dyDescent="0.2">
      <c r="A403" s="221">
        <v>2022</v>
      </c>
      <c r="B403" s="221">
        <v>2</v>
      </c>
      <c r="C403" s="221">
        <v>16</v>
      </c>
      <c r="D403" s="231">
        <f t="shared" si="12"/>
        <v>44608</v>
      </c>
      <c r="E403" s="233">
        <f t="shared" si="11"/>
        <v>44608</v>
      </c>
      <c r="F403" s="478" t="s">
        <v>1115</v>
      </c>
      <c r="G403" s="222" t="s">
        <v>1111</v>
      </c>
      <c r="H403" s="223" t="str" cm="1">
        <f t="array" ref="H403">IFERROR(INDEX(INVESTOR_LIST[INVESTOR NAME],MATCH(I403,INVESTOR_LIST[INVESTOR CODE],0),)," ")</f>
        <v>SULTANA RAZIA</v>
      </c>
      <c r="I403" s="299" t="s">
        <v>617</v>
      </c>
      <c r="J403" s="224" t="s">
        <v>14</v>
      </c>
      <c r="K403" s="298">
        <v>700000</v>
      </c>
      <c r="L403" s="225"/>
    </row>
    <row r="404" spans="1:21" ht="11.25" customHeight="1" x14ac:dyDescent="0.2">
      <c r="A404" s="226">
        <v>2022</v>
      </c>
      <c r="B404" s="226">
        <v>2</v>
      </c>
      <c r="C404" s="226">
        <v>16</v>
      </c>
      <c r="D404" s="232">
        <f t="shared" si="12"/>
        <v>44608</v>
      </c>
      <c r="E404" s="234">
        <f t="shared" si="11"/>
        <v>44608</v>
      </c>
      <c r="F404" s="479"/>
      <c r="G404" s="227" t="s">
        <v>1111</v>
      </c>
      <c r="H404" s="228" t="str" cm="1">
        <f t="array" ref="H404">IFERROR(INDEX(INVESTOR_LIST[INVESTOR NAME],MATCH(I404,INVESTOR_LIST[INVESTOR CODE],0),)," ")</f>
        <v>SULTANA RAZIA</v>
      </c>
      <c r="I404" s="299" t="s">
        <v>617</v>
      </c>
      <c r="J404" s="229" t="s">
        <v>55</v>
      </c>
      <c r="K404" s="230"/>
      <c r="L404" s="230">
        <v>700000</v>
      </c>
    </row>
    <row r="405" spans="1:21" ht="11.25" customHeight="1" x14ac:dyDescent="0.2">
      <c r="A405" s="221">
        <v>2022</v>
      </c>
      <c r="B405" s="221">
        <v>2</v>
      </c>
      <c r="C405" s="221">
        <v>17</v>
      </c>
      <c r="D405" s="231">
        <f t="shared" si="12"/>
        <v>44609</v>
      </c>
      <c r="E405" s="233">
        <f t="shared" si="11"/>
        <v>44609</v>
      </c>
      <c r="F405" s="478" t="s">
        <v>1115</v>
      </c>
      <c r="G405" s="222" t="s">
        <v>1111</v>
      </c>
      <c r="H405" s="223" t="str" cm="1">
        <f t="array" ref="H405">IFERROR(INDEX(INVESTOR_LIST[INVESTOR NAME],MATCH(I405,INVESTOR_LIST[INVESTOR CODE],0),)," ")</f>
        <v>JOY SHREE SAHA</v>
      </c>
      <c r="I405" s="303" t="s">
        <v>681</v>
      </c>
      <c r="J405" s="224" t="s">
        <v>14</v>
      </c>
      <c r="K405" s="304">
        <v>1600000</v>
      </c>
      <c r="L405" s="225"/>
    </row>
    <row r="406" spans="1:21" ht="11.25" customHeight="1" x14ac:dyDescent="0.2">
      <c r="A406" s="226">
        <v>2022</v>
      </c>
      <c r="B406" s="226">
        <v>2</v>
      </c>
      <c r="C406" s="226">
        <v>17</v>
      </c>
      <c r="D406" s="232">
        <f t="shared" si="12"/>
        <v>44609</v>
      </c>
      <c r="E406" s="234">
        <f t="shared" si="11"/>
        <v>44609</v>
      </c>
      <c r="F406" s="479"/>
      <c r="G406" s="227" t="s">
        <v>1111</v>
      </c>
      <c r="H406" s="228" t="str" cm="1">
        <f t="array" ref="H406">IFERROR(INDEX(INVESTOR_LIST[INVESTOR NAME],MATCH(I406,INVESTOR_LIST[INVESTOR CODE],0),)," ")</f>
        <v>JOY SHREE SAHA</v>
      </c>
      <c r="I406" s="303" t="s">
        <v>681</v>
      </c>
      <c r="J406" s="229" t="s">
        <v>55</v>
      </c>
      <c r="K406" s="230"/>
      <c r="L406" s="230">
        <v>1600000</v>
      </c>
    </row>
    <row r="407" spans="1:21" ht="11.25" customHeight="1" x14ac:dyDescent="0.2">
      <c r="A407" s="221">
        <v>2022</v>
      </c>
      <c r="B407" s="221">
        <v>2</v>
      </c>
      <c r="C407" s="221">
        <v>17</v>
      </c>
      <c r="D407" s="231">
        <f t="shared" si="12"/>
        <v>44609</v>
      </c>
      <c r="E407" s="233">
        <f t="shared" si="11"/>
        <v>44609</v>
      </c>
      <c r="F407" s="478" t="s">
        <v>1115</v>
      </c>
      <c r="G407" s="222" t="s">
        <v>1111</v>
      </c>
      <c r="H407" s="223" t="str" cm="1">
        <f t="array" ref="H407">IFERROR(INDEX(INVESTOR_LIST[INVESTOR NAME],MATCH(I407,INVESTOR_LIST[INVESTOR CODE],0),)," ")</f>
        <v>JOY SHREE SAHA</v>
      </c>
      <c r="I407" s="303" t="s">
        <v>681</v>
      </c>
      <c r="J407" s="224" t="s">
        <v>14</v>
      </c>
      <c r="K407" s="304">
        <v>2400000</v>
      </c>
      <c r="L407" s="225"/>
    </row>
    <row r="408" spans="1:21" ht="11.25" customHeight="1" x14ac:dyDescent="0.2">
      <c r="A408" s="226">
        <v>2022</v>
      </c>
      <c r="B408" s="226">
        <v>2</v>
      </c>
      <c r="C408" s="226">
        <v>17</v>
      </c>
      <c r="D408" s="232">
        <f t="shared" si="12"/>
        <v>44609</v>
      </c>
      <c r="E408" s="234">
        <f t="shared" si="11"/>
        <v>44609</v>
      </c>
      <c r="F408" s="479"/>
      <c r="G408" s="227" t="s">
        <v>1111</v>
      </c>
      <c r="H408" s="228" t="str" cm="1">
        <f t="array" ref="H408">IFERROR(INDEX(INVESTOR_LIST[INVESTOR NAME],MATCH(I408,INVESTOR_LIST[INVESTOR CODE],0),)," ")</f>
        <v>JOY SHREE SAHA</v>
      </c>
      <c r="I408" s="303" t="s">
        <v>681</v>
      </c>
      <c r="J408" s="229" t="s">
        <v>55</v>
      </c>
      <c r="K408" s="230"/>
      <c r="L408" s="230">
        <v>2400000</v>
      </c>
    </row>
    <row r="409" spans="1:21" ht="11.25" customHeight="1" x14ac:dyDescent="0.2">
      <c r="A409" s="221">
        <v>2022</v>
      </c>
      <c r="B409" s="221">
        <v>2</v>
      </c>
      <c r="C409" s="221">
        <v>15</v>
      </c>
      <c r="D409" s="221">
        <f t="shared" si="12"/>
        <v>44607</v>
      </c>
      <c r="E409" s="233">
        <f t="shared" ref="E409" si="13">DATE(A409,B409,C409)</f>
        <v>44607</v>
      </c>
      <c r="F409" s="478" t="s">
        <v>1113</v>
      </c>
      <c r="G409" s="222" t="s">
        <v>86</v>
      </c>
      <c r="H409" s="222" t="str" cm="1">
        <f t="array" ref="H409">IFERROR(INDEX(INVESTOR_LIST[INVESTOR NAME],MATCH(I409,INVESTOR_LIST[INVESTOR CODE],0),)," ")</f>
        <v xml:space="preserve"> </v>
      </c>
      <c r="I409" s="223"/>
      <c r="J409" s="224" t="s">
        <v>80</v>
      </c>
      <c r="K409" s="225">
        <v>9501167.4000000004</v>
      </c>
      <c r="L409" s="225" t="s">
        <v>1119</v>
      </c>
      <c r="U409" s="166"/>
    </row>
    <row r="410" spans="1:21" ht="11.25" customHeight="1" x14ac:dyDescent="0.2">
      <c r="A410" s="164">
        <v>2022</v>
      </c>
      <c r="B410" s="164">
        <v>2</v>
      </c>
      <c r="C410" s="164">
        <v>15</v>
      </c>
      <c r="D410" s="164">
        <f t="shared" si="12"/>
        <v>44607</v>
      </c>
      <c r="E410" s="235">
        <f t="shared" ref="E410" si="14">DATE(A410,B410,C410)</f>
        <v>44607</v>
      </c>
      <c r="F410" s="480"/>
      <c r="G410" s="208" t="s">
        <v>86</v>
      </c>
      <c r="H410" s="208" t="str" cm="1">
        <f t="array" ref="H410">IFERROR(INDEX(INVESTOR_LIST[INVESTOR NAME],MATCH(I410,INVESTOR_LIST[INVESTOR CODE],0),)," ")</f>
        <v xml:space="preserve"> </v>
      </c>
      <c r="J410" s="165" t="s">
        <v>960</v>
      </c>
      <c r="K410" s="205">
        <v>17102.099999999999</v>
      </c>
      <c r="L410" s="205" t="s">
        <v>1119</v>
      </c>
      <c r="U410" s="166"/>
    </row>
    <row r="411" spans="1:21" ht="11.25" customHeight="1" x14ac:dyDescent="0.2">
      <c r="A411" s="226">
        <v>2022</v>
      </c>
      <c r="B411" s="226">
        <v>2</v>
      </c>
      <c r="C411" s="226">
        <v>15</v>
      </c>
      <c r="D411" s="226">
        <f t="shared" si="12"/>
        <v>44607</v>
      </c>
      <c r="E411" s="234">
        <f t="shared" ref="E411" si="15">DATE(A411,B411,C411)</f>
        <v>44607</v>
      </c>
      <c r="F411" s="479"/>
      <c r="G411" s="227" t="s">
        <v>86</v>
      </c>
      <c r="H411" s="228" t="str" cm="1">
        <f t="array" ref="H411">IFERROR(INDEX(INVESTOR_LIST[INVESTOR NAME],MATCH(I411,INVESTOR_LIST[INVESTOR CODE],0),)," ")</f>
        <v xml:space="preserve"> </v>
      </c>
      <c r="I411" s="228"/>
      <c r="J411" s="229" t="s">
        <v>961</v>
      </c>
      <c r="K411" s="230" t="s">
        <v>1119</v>
      </c>
      <c r="L411" s="230">
        <v>9518269.5</v>
      </c>
      <c r="U411" s="166"/>
    </row>
    <row r="412" spans="1:21" ht="11.25" customHeight="1" x14ac:dyDescent="0.2">
      <c r="A412" s="221">
        <v>2022</v>
      </c>
      <c r="B412" s="221">
        <v>2</v>
      </c>
      <c r="C412" s="221">
        <v>17</v>
      </c>
      <c r="D412" s="221">
        <f t="shared" si="12"/>
        <v>44609</v>
      </c>
      <c r="E412" s="233">
        <f>DATE(A412,B412,C412)</f>
        <v>44609</v>
      </c>
      <c r="F412" s="478" t="s">
        <v>1113</v>
      </c>
      <c r="G412" s="222" t="s">
        <v>86</v>
      </c>
      <c r="H412" s="222" t="str" cm="1">
        <f t="array" ref="H412">IFERROR(INDEX(INVESTOR_LIST[INVESTOR NAME],MATCH(I412,INVESTOR_LIST[INVESTOR CODE],0),)," ")</f>
        <v xml:space="preserve"> </v>
      </c>
      <c r="I412" s="223"/>
      <c r="J412" s="224" t="s">
        <v>80</v>
      </c>
      <c r="K412" s="225">
        <v>6982545.2000000002</v>
      </c>
      <c r="L412" s="225" t="s">
        <v>1119</v>
      </c>
      <c r="U412" s="166"/>
    </row>
    <row r="413" spans="1:21" ht="11.25" customHeight="1" x14ac:dyDescent="0.2">
      <c r="A413" s="164">
        <v>2022</v>
      </c>
      <c r="B413" s="164">
        <v>2</v>
      </c>
      <c r="C413" s="164">
        <v>17</v>
      </c>
      <c r="D413" s="164">
        <f t="shared" si="12"/>
        <v>44609</v>
      </c>
      <c r="E413" s="235">
        <f t="shared" ref="E413:E417" si="16">DATE(A413,B413,C413)</f>
        <v>44609</v>
      </c>
      <c r="F413" s="480"/>
      <c r="G413" s="208" t="s">
        <v>86</v>
      </c>
      <c r="H413" s="208" t="str" cm="1">
        <f t="array" ref="H413">IFERROR(INDEX(INVESTOR_LIST[INVESTOR NAME],MATCH(I413,INVESTOR_LIST[INVESTOR CODE],0),)," ")</f>
        <v xml:space="preserve"> </v>
      </c>
      <c r="J413" s="165" t="s">
        <v>960</v>
      </c>
      <c r="K413" s="205">
        <v>12568.58</v>
      </c>
      <c r="L413" s="205" t="s">
        <v>1119</v>
      </c>
      <c r="U413" s="166"/>
    </row>
    <row r="414" spans="1:21" ht="11.25" customHeight="1" x14ac:dyDescent="0.2">
      <c r="A414" s="226">
        <v>2022</v>
      </c>
      <c r="B414" s="226">
        <v>2</v>
      </c>
      <c r="C414" s="226">
        <v>17</v>
      </c>
      <c r="D414" s="226">
        <f t="shared" si="12"/>
        <v>44609</v>
      </c>
      <c r="E414" s="234">
        <f t="shared" si="16"/>
        <v>44609</v>
      </c>
      <c r="F414" s="479"/>
      <c r="G414" s="227" t="s">
        <v>86</v>
      </c>
      <c r="H414" s="228" t="str" cm="1">
        <f t="array" ref="H414">IFERROR(INDEX(INVESTOR_LIST[INVESTOR NAME],MATCH(I414,INVESTOR_LIST[INVESTOR CODE],0),)," ")</f>
        <v xml:space="preserve"> </v>
      </c>
      <c r="I414" s="228"/>
      <c r="J414" s="229" t="s">
        <v>961</v>
      </c>
      <c r="K414" s="230" t="s">
        <v>1119</v>
      </c>
      <c r="L414" s="230">
        <v>6995113.7800000003</v>
      </c>
      <c r="U414" s="166"/>
    </row>
    <row r="415" spans="1:21" ht="11.25" customHeight="1" x14ac:dyDescent="0.2">
      <c r="A415" s="221">
        <v>2022</v>
      </c>
      <c r="B415" s="221">
        <v>2</v>
      </c>
      <c r="C415" s="221">
        <v>17</v>
      </c>
      <c r="D415" s="231">
        <f t="shared" si="12"/>
        <v>44609</v>
      </c>
      <c r="E415" s="233">
        <f t="shared" si="16"/>
        <v>44609</v>
      </c>
      <c r="F415" s="478" t="s">
        <v>802</v>
      </c>
      <c r="G415" s="222" t="s">
        <v>1111</v>
      </c>
      <c r="H415" s="223" t="str" cm="1">
        <f t="array" ref="H415">IFERROR(INDEX(INVESTOR_LIST[INVESTOR NAME],MATCH(I415,INVESTOR_LIST[INVESTOR CODE],0),)," ")</f>
        <v>ZAIN MOHAMMAD YASEEN</v>
      </c>
      <c r="I415" s="223" t="s">
        <v>929</v>
      </c>
      <c r="J415" s="224" t="s">
        <v>55</v>
      </c>
      <c r="K415" s="225">
        <v>11111</v>
      </c>
      <c r="L415" s="225"/>
      <c r="U415" s="166"/>
    </row>
    <row r="416" spans="1:21" ht="11.25" customHeight="1" x14ac:dyDescent="0.2">
      <c r="A416" s="164">
        <v>2022</v>
      </c>
      <c r="B416" s="164">
        <v>2</v>
      </c>
      <c r="C416" s="164">
        <v>17</v>
      </c>
      <c r="D416" s="156">
        <f t="shared" si="12"/>
        <v>44609</v>
      </c>
      <c r="E416" s="235">
        <f t="shared" si="16"/>
        <v>44609</v>
      </c>
      <c r="F416" s="480"/>
      <c r="G416" s="208" t="s">
        <v>1111</v>
      </c>
      <c r="H416" s="206" t="str" cm="1">
        <f t="array" ref="H416">IFERROR(INDEX(INVESTOR_LIST[INVESTOR NAME],MATCH(I416,INVESTOR_LIST[INVESTOR CODE],0),)," ")</f>
        <v>ZAIN MOHAMMAD YASEEN</v>
      </c>
      <c r="I416" s="206" t="s">
        <v>929</v>
      </c>
      <c r="J416" s="165" t="s">
        <v>14</v>
      </c>
      <c r="K416" s="205"/>
      <c r="L416" s="205">
        <v>11110</v>
      </c>
      <c r="U416" s="166"/>
    </row>
    <row r="417" spans="1:21" ht="11.25" customHeight="1" x14ac:dyDescent="0.2">
      <c r="A417" s="226">
        <v>2022</v>
      </c>
      <c r="B417" s="226">
        <v>2</v>
      </c>
      <c r="C417" s="226">
        <v>17</v>
      </c>
      <c r="D417" s="232">
        <f t="shared" si="12"/>
        <v>44609</v>
      </c>
      <c r="E417" s="234">
        <f t="shared" si="16"/>
        <v>44609</v>
      </c>
      <c r="F417" s="479"/>
      <c r="G417" s="227" t="s">
        <v>1111</v>
      </c>
      <c r="H417" s="228" t="str" cm="1">
        <f t="array" ref="H417">IFERROR(INDEX(INVESTOR_LIST[INVESTOR NAME],MATCH(I417,INVESTOR_LIST[INVESTOR CODE],0),)," ")</f>
        <v>ZAIN MOHAMMAD YASEEN</v>
      </c>
      <c r="I417" s="228" t="s">
        <v>929</v>
      </c>
      <c r="J417" s="229" t="s">
        <v>1112</v>
      </c>
      <c r="K417" s="230"/>
      <c r="L417" s="230">
        <v>1</v>
      </c>
      <c r="U417" s="166"/>
    </row>
    <row r="418" spans="1:21" ht="11.25" customHeight="1" x14ac:dyDescent="0.2">
      <c r="A418" s="221">
        <v>2022</v>
      </c>
      <c r="B418" s="221">
        <v>2</v>
      </c>
      <c r="C418" s="221">
        <v>17</v>
      </c>
      <c r="D418" s="231">
        <f t="shared" si="12"/>
        <v>44609</v>
      </c>
      <c r="E418" s="233">
        <f t="shared" ref="E418:E423" si="17">DATE(A418,B418,C418)</f>
        <v>44609</v>
      </c>
      <c r="F418" s="478" t="s">
        <v>802</v>
      </c>
      <c r="G418" s="222" t="s">
        <v>1111</v>
      </c>
      <c r="H418" s="223" t="str" cm="1">
        <f t="array" ref="H418">IFERROR(INDEX(INVESTOR_LIST[INVESTOR NAME],MATCH(I418,INVESTOR_LIST[INVESTOR CODE],0),)," ")</f>
        <v>MD. MUKIT MURSHED</v>
      </c>
      <c r="I418" s="223" t="s">
        <v>1106</v>
      </c>
      <c r="J418" s="224" t="s">
        <v>55</v>
      </c>
      <c r="K418" s="225">
        <v>100000</v>
      </c>
      <c r="L418" s="225"/>
      <c r="U418" s="166"/>
    </row>
    <row r="419" spans="1:21" ht="11.25" customHeight="1" x14ac:dyDescent="0.2">
      <c r="A419" s="164">
        <v>2022</v>
      </c>
      <c r="B419" s="164">
        <v>2</v>
      </c>
      <c r="C419" s="164">
        <v>17</v>
      </c>
      <c r="D419" s="156">
        <f t="shared" si="12"/>
        <v>44609</v>
      </c>
      <c r="E419" s="235">
        <f t="shared" si="17"/>
        <v>44609</v>
      </c>
      <c r="F419" s="480"/>
      <c r="G419" s="208" t="s">
        <v>1111</v>
      </c>
      <c r="H419" s="206" t="str" cm="1">
        <f t="array" ref="H419">IFERROR(INDEX(INVESTOR_LIST[INVESTOR NAME],MATCH(I419,INVESTOR_LIST[INVESTOR CODE],0),)," ")</f>
        <v>MD. MUKIT MURSHED</v>
      </c>
      <c r="I419" s="206" t="s">
        <v>1106</v>
      </c>
      <c r="J419" s="165" t="s">
        <v>14</v>
      </c>
      <c r="K419" s="205"/>
      <c r="L419" s="205">
        <v>100000</v>
      </c>
      <c r="U419" s="166"/>
    </row>
    <row r="420" spans="1:21" ht="11.25" customHeight="1" x14ac:dyDescent="0.2">
      <c r="A420" s="221">
        <v>2022</v>
      </c>
      <c r="B420" s="221">
        <v>2</v>
      </c>
      <c r="C420" s="221">
        <v>17</v>
      </c>
      <c r="D420" s="231">
        <f t="shared" si="12"/>
        <v>44609</v>
      </c>
      <c r="E420" s="233">
        <f t="shared" si="17"/>
        <v>44609</v>
      </c>
      <c r="F420" s="478" t="s">
        <v>1117</v>
      </c>
      <c r="G420" s="222" t="s">
        <v>1111</v>
      </c>
      <c r="H420" s="223" t="str" cm="1">
        <f t="array" ref="H420">IFERROR(INDEX(INVESTOR_LIST[INVESTOR NAME],MATCH(I420,INVESTOR_LIST[INVESTOR CODE],0),)," ")</f>
        <v xml:space="preserve"> </v>
      </c>
      <c r="I420" s="223"/>
      <c r="J420" s="224" t="s">
        <v>961</v>
      </c>
      <c r="K420" s="225">
        <v>9518269.5</v>
      </c>
      <c r="L420" s="225" t="s">
        <v>1119</v>
      </c>
      <c r="U420" s="166"/>
    </row>
    <row r="421" spans="1:21" ht="11.25" customHeight="1" x14ac:dyDescent="0.2">
      <c r="A421" s="226">
        <v>2022</v>
      </c>
      <c r="B421" s="226">
        <v>2</v>
      </c>
      <c r="C421" s="226">
        <v>17</v>
      </c>
      <c r="D421" s="232">
        <f t="shared" si="12"/>
        <v>44609</v>
      </c>
      <c r="E421" s="234">
        <f t="shared" si="17"/>
        <v>44609</v>
      </c>
      <c r="F421" s="479"/>
      <c r="G421" s="227" t="s">
        <v>1111</v>
      </c>
      <c r="H421" s="228" t="str" cm="1">
        <f t="array" ref="H421">IFERROR(INDEX(INVESTOR_LIST[INVESTOR NAME],MATCH(I421,INVESTOR_LIST[INVESTOR CODE],0),)," ")</f>
        <v xml:space="preserve"> </v>
      </c>
      <c r="I421" s="228"/>
      <c r="J421" s="229" t="s">
        <v>55</v>
      </c>
      <c r="K421" s="230" t="s">
        <v>1119</v>
      </c>
      <c r="L421" s="230">
        <v>9518269.5</v>
      </c>
      <c r="U421" s="166"/>
    </row>
    <row r="422" spans="1:21" ht="11.25" customHeight="1" x14ac:dyDescent="0.2">
      <c r="A422" s="221">
        <v>2022</v>
      </c>
      <c r="B422" s="221">
        <v>2</v>
      </c>
      <c r="C422" s="221">
        <v>17</v>
      </c>
      <c r="D422" s="231">
        <f t="shared" si="12"/>
        <v>44609</v>
      </c>
      <c r="E422" s="233">
        <f t="shared" si="17"/>
        <v>44609</v>
      </c>
      <c r="F422" s="478" t="s">
        <v>1114</v>
      </c>
      <c r="G422" s="222" t="s">
        <v>1111</v>
      </c>
      <c r="H422" s="223" t="str" cm="1">
        <f t="array" ref="H422">IFERROR(INDEX(INVESTOR_LIST[INVESTOR NAME],MATCH(I422,INVESTOR_LIST[INVESTOR CODE],0),)," ")</f>
        <v xml:space="preserve"> </v>
      </c>
      <c r="I422" s="223"/>
      <c r="J422" s="224" t="s">
        <v>63</v>
      </c>
      <c r="K422" s="225">
        <v>200</v>
      </c>
      <c r="L422" s="225" t="s">
        <v>1119</v>
      </c>
      <c r="U422" s="166"/>
    </row>
    <row r="423" spans="1:21" ht="11.25" customHeight="1" x14ac:dyDescent="0.2">
      <c r="A423" s="226">
        <v>2022</v>
      </c>
      <c r="B423" s="226">
        <v>2</v>
      </c>
      <c r="C423" s="226">
        <v>17</v>
      </c>
      <c r="D423" s="232">
        <f t="shared" si="12"/>
        <v>44609</v>
      </c>
      <c r="E423" s="234">
        <f t="shared" si="17"/>
        <v>44609</v>
      </c>
      <c r="F423" s="479"/>
      <c r="G423" s="227" t="s">
        <v>1111</v>
      </c>
      <c r="H423" s="228" t="str" cm="1">
        <f t="array" ref="H423">IFERROR(INDEX(INVESTOR_LIST[INVESTOR NAME],MATCH(I423,INVESTOR_LIST[INVESTOR CODE],0),)," ")</f>
        <v xml:space="preserve"> </v>
      </c>
      <c r="I423" s="228"/>
      <c r="J423" s="229" t="s">
        <v>55</v>
      </c>
      <c r="K423" s="230" t="s">
        <v>1119</v>
      </c>
      <c r="L423" s="230">
        <v>200</v>
      </c>
      <c r="U423" s="166"/>
    </row>
    <row r="424" spans="1:21" ht="11.25" customHeight="1" x14ac:dyDescent="0.2">
      <c r="A424" s="221">
        <v>2022</v>
      </c>
      <c r="B424" s="221">
        <v>2</v>
      </c>
      <c r="C424" s="221">
        <v>17</v>
      </c>
      <c r="D424" s="231">
        <f t="shared" si="12"/>
        <v>44609</v>
      </c>
      <c r="E424" s="233">
        <f t="shared" ref="E424:E425" si="18">DATE(A424,B424,C424)</f>
        <v>44609</v>
      </c>
      <c r="F424" s="478" t="s">
        <v>1160</v>
      </c>
      <c r="G424" s="222" t="s">
        <v>1111</v>
      </c>
      <c r="H424" s="223" t="str" cm="1">
        <f t="array" ref="H424">IFERROR(INDEX(INVESTOR_LIST[INVESTOR NAME],MATCH(I424,INVESTOR_LIST[INVESTOR CODE],0),)," ")</f>
        <v xml:space="preserve"> </v>
      </c>
      <c r="I424" s="223"/>
      <c r="J424" s="224" t="s">
        <v>192</v>
      </c>
      <c r="K424" s="225">
        <v>9000</v>
      </c>
      <c r="L424" s="225" t="s">
        <v>1119</v>
      </c>
      <c r="U424" s="166"/>
    </row>
    <row r="425" spans="1:21" ht="11.25" customHeight="1" x14ac:dyDescent="0.2">
      <c r="A425" s="226">
        <v>2022</v>
      </c>
      <c r="B425" s="226">
        <v>2</v>
      </c>
      <c r="C425" s="226">
        <v>17</v>
      </c>
      <c r="D425" s="232">
        <f t="shared" si="12"/>
        <v>44609</v>
      </c>
      <c r="E425" s="234">
        <f t="shared" si="18"/>
        <v>44609</v>
      </c>
      <c r="F425" s="479"/>
      <c r="G425" s="227" t="s">
        <v>1111</v>
      </c>
      <c r="H425" s="228" t="str" cm="1">
        <f t="array" ref="H425">IFERROR(INDEX(INVESTOR_LIST[INVESTOR NAME],MATCH(I425,INVESTOR_LIST[INVESTOR CODE],0),)," ")</f>
        <v xml:space="preserve"> </v>
      </c>
      <c r="I425" s="228"/>
      <c r="J425" s="229" t="s">
        <v>191</v>
      </c>
      <c r="K425" s="230" t="s">
        <v>1119</v>
      </c>
      <c r="L425" s="230">
        <v>9000</v>
      </c>
      <c r="U425" s="166"/>
    </row>
    <row r="426" spans="1:21" ht="11.25" customHeight="1" x14ac:dyDescent="0.2">
      <c r="A426" s="236">
        <v>2022</v>
      </c>
      <c r="B426" s="236">
        <v>2</v>
      </c>
      <c r="C426" s="236">
        <v>17</v>
      </c>
      <c r="D426" s="237">
        <f t="shared" si="12"/>
        <v>44609</v>
      </c>
      <c r="E426" s="238">
        <f t="shared" ref="E426:E441" si="19">DATE(A426,B426,C426)</f>
        <v>44609</v>
      </c>
      <c r="F426" s="476" t="s">
        <v>1118</v>
      </c>
      <c r="G426" s="239" t="s">
        <v>86</v>
      </c>
      <c r="H426" s="239" t="str" cm="1">
        <f t="array" ref="H426">IFERROR(INDEX(INVESTOR_LIST[INVESTOR NAME],MATCH(I426,INVESTOR_LIST[INVESTOR CODE],0),)," ")</f>
        <v xml:space="preserve"> </v>
      </c>
      <c r="I426" s="240"/>
      <c r="J426" s="241" t="s">
        <v>1123</v>
      </c>
      <c r="K426" s="242">
        <v>79402.600000000006</v>
      </c>
      <c r="L426" s="242" t="s">
        <v>1119</v>
      </c>
      <c r="U426" s="166"/>
    </row>
    <row r="427" spans="1:21" ht="11.25" customHeight="1" x14ac:dyDescent="0.2">
      <c r="A427" s="243">
        <v>2022</v>
      </c>
      <c r="B427" s="243">
        <v>2</v>
      </c>
      <c r="C427" s="243">
        <v>17</v>
      </c>
      <c r="D427" s="248">
        <f t="shared" si="12"/>
        <v>44609</v>
      </c>
      <c r="E427" s="249">
        <f t="shared" si="19"/>
        <v>44609</v>
      </c>
      <c r="F427" s="477"/>
      <c r="G427" s="244" t="s">
        <v>86</v>
      </c>
      <c r="H427" s="244" t="str" cm="1">
        <f t="array" ref="H427">IFERROR(INDEX(INVESTOR_LIST[INVESTOR NAME],MATCH(I427,INVESTOR_LIST[INVESTOR CODE],0),)," ")</f>
        <v xml:space="preserve"> </v>
      </c>
      <c r="I427" s="245"/>
      <c r="J427" s="246" t="s">
        <v>1124</v>
      </c>
      <c r="K427" s="247" t="s">
        <v>1119</v>
      </c>
      <c r="L427" s="247">
        <v>79402.600000000006</v>
      </c>
      <c r="U427" s="166"/>
    </row>
    <row r="428" spans="1:21" ht="11.25" customHeight="1" x14ac:dyDescent="0.2">
      <c r="A428" s="236">
        <v>2022</v>
      </c>
      <c r="B428" s="236">
        <v>2</v>
      </c>
      <c r="C428" s="236">
        <v>17</v>
      </c>
      <c r="D428" s="237">
        <f t="shared" si="12"/>
        <v>44609</v>
      </c>
      <c r="E428" s="238">
        <f t="shared" si="19"/>
        <v>44609</v>
      </c>
      <c r="F428" s="476" t="s">
        <v>1120</v>
      </c>
      <c r="G428" s="239" t="s">
        <v>86</v>
      </c>
      <c r="H428" s="239" t="str" cm="1">
        <f t="array" ref="H428">IFERROR(INDEX(INVESTOR_LIST[INVESTOR NAME],MATCH(I428,INVESTOR_LIST[INVESTOR CODE],0),)," ")</f>
        <v xml:space="preserve"> </v>
      </c>
      <c r="I428" s="240"/>
      <c r="J428" s="241" t="s">
        <v>87</v>
      </c>
      <c r="K428" s="242">
        <v>2747.2527472527472</v>
      </c>
      <c r="L428" s="242"/>
      <c r="U428" s="166"/>
    </row>
    <row r="429" spans="1:21" ht="11.25" customHeight="1" x14ac:dyDescent="0.2">
      <c r="A429" s="243">
        <v>2022</v>
      </c>
      <c r="B429" s="243">
        <v>2</v>
      </c>
      <c r="C429" s="243">
        <v>17</v>
      </c>
      <c r="D429" s="248">
        <f t="shared" si="12"/>
        <v>44609</v>
      </c>
      <c r="E429" s="249">
        <f t="shared" si="19"/>
        <v>44609</v>
      </c>
      <c r="F429" s="477"/>
      <c r="G429" s="244" t="s">
        <v>86</v>
      </c>
      <c r="H429" s="244" t="str" cm="1">
        <f t="array" ref="H429">IFERROR(INDEX(INVESTOR_LIST[INVESTOR NAME],MATCH(I429,INVESTOR_LIST[INVESTOR CODE],0),)," ")</f>
        <v xml:space="preserve"> </v>
      </c>
      <c r="I429" s="245"/>
      <c r="J429" s="246" t="s">
        <v>64</v>
      </c>
      <c r="K429" s="247"/>
      <c r="L429" s="247">
        <v>2747.2527472527472</v>
      </c>
      <c r="U429" s="166"/>
    </row>
    <row r="430" spans="1:21" ht="11.25" customHeight="1" x14ac:dyDescent="0.2">
      <c r="A430" s="236">
        <v>2022</v>
      </c>
      <c r="B430" s="236">
        <v>2</v>
      </c>
      <c r="C430" s="236">
        <v>17</v>
      </c>
      <c r="D430" s="237">
        <f t="shared" si="12"/>
        <v>44609</v>
      </c>
      <c r="E430" s="238">
        <f t="shared" si="19"/>
        <v>44609</v>
      </c>
      <c r="F430" s="476" t="s">
        <v>1121</v>
      </c>
      <c r="G430" s="239" t="s">
        <v>86</v>
      </c>
      <c r="H430" s="239" t="str" cm="1">
        <f t="array" ref="H430">IFERROR(INDEX(INVESTOR_LIST[INVESTOR NAME],MATCH(I430,INVESTOR_LIST[INVESTOR CODE],0),)," ")</f>
        <v xml:space="preserve"> </v>
      </c>
      <c r="I430" s="240"/>
      <c r="J430" s="241" t="s">
        <v>89</v>
      </c>
      <c r="K430" s="242">
        <v>100696.79</v>
      </c>
      <c r="L430" s="242" t="s">
        <v>1119</v>
      </c>
      <c r="U430" s="166"/>
    </row>
    <row r="431" spans="1:21" ht="11.25" customHeight="1" x14ac:dyDescent="0.2">
      <c r="A431" s="243">
        <v>2022</v>
      </c>
      <c r="B431" s="243">
        <v>2</v>
      </c>
      <c r="C431" s="243">
        <v>17</v>
      </c>
      <c r="D431" s="248">
        <f t="shared" si="12"/>
        <v>44609</v>
      </c>
      <c r="E431" s="249">
        <f t="shared" si="19"/>
        <v>44609</v>
      </c>
      <c r="F431" s="477"/>
      <c r="G431" s="244" t="s">
        <v>86</v>
      </c>
      <c r="H431" s="244" t="str" cm="1">
        <f t="array" ref="H431">IFERROR(INDEX(INVESTOR_LIST[INVESTOR NAME],MATCH(I431,INVESTOR_LIST[INVESTOR CODE],0),)," ")</f>
        <v xml:space="preserve"> </v>
      </c>
      <c r="I431" s="245"/>
      <c r="J431" s="246" t="s">
        <v>50</v>
      </c>
      <c r="K431" s="247" t="s">
        <v>1119</v>
      </c>
      <c r="L431" s="247">
        <v>100696.79</v>
      </c>
      <c r="U431" s="166"/>
    </row>
    <row r="432" spans="1:21" ht="11.25" customHeight="1" x14ac:dyDescent="0.2">
      <c r="A432" s="236">
        <v>2022</v>
      </c>
      <c r="B432" s="236">
        <v>2</v>
      </c>
      <c r="C432" s="236">
        <v>17</v>
      </c>
      <c r="D432" s="237">
        <f t="shared" si="12"/>
        <v>44609</v>
      </c>
      <c r="E432" s="238">
        <f t="shared" si="19"/>
        <v>44609</v>
      </c>
      <c r="F432" s="476" t="s">
        <v>1122</v>
      </c>
      <c r="G432" s="239" t="s">
        <v>86</v>
      </c>
      <c r="H432" s="239" t="str" cm="1">
        <f t="array" ref="H432">IFERROR(INDEX(INVESTOR_LIST[INVESTOR NAME],MATCH(I432,INVESTOR_LIST[INVESTOR CODE],0),)," ")</f>
        <v xml:space="preserve"> </v>
      </c>
      <c r="I432" s="240"/>
      <c r="J432" s="241" t="s">
        <v>91</v>
      </c>
      <c r="K432" s="242">
        <v>4792.5200000000004</v>
      </c>
      <c r="L432" s="242" t="s">
        <v>1119</v>
      </c>
      <c r="M432" s="263"/>
      <c r="U432" s="166"/>
    </row>
    <row r="433" spans="1:21" ht="11.25" customHeight="1" x14ac:dyDescent="0.2">
      <c r="A433" s="243">
        <v>2022</v>
      </c>
      <c r="B433" s="243">
        <v>2</v>
      </c>
      <c r="C433" s="243">
        <v>17</v>
      </c>
      <c r="D433" s="248">
        <f t="shared" si="12"/>
        <v>44609</v>
      </c>
      <c r="E433" s="249">
        <f t="shared" si="19"/>
        <v>44609</v>
      </c>
      <c r="F433" s="477"/>
      <c r="G433" s="244" t="s">
        <v>86</v>
      </c>
      <c r="H433" s="244" t="str" cm="1">
        <f t="array" ref="H433">IFERROR(INDEX(INVESTOR_LIST[INVESTOR NAME],MATCH(I433,INVESTOR_LIST[INVESTOR CODE],0),)," ")</f>
        <v xml:space="preserve"> </v>
      </c>
      <c r="I433" s="245"/>
      <c r="J433" s="246" t="s">
        <v>51</v>
      </c>
      <c r="K433" s="247" t="s">
        <v>1119</v>
      </c>
      <c r="L433" s="247">
        <v>4792.5200000000004</v>
      </c>
      <c r="M433" s="166">
        <f>K434/9.99</f>
        <v>5005.0050050050049</v>
      </c>
      <c r="U433" s="166"/>
    </row>
    <row r="434" spans="1:21" ht="11.25" customHeight="1" x14ac:dyDescent="0.2">
      <c r="A434" s="221">
        <v>2022</v>
      </c>
      <c r="B434" s="221">
        <v>2</v>
      </c>
      <c r="C434" s="221">
        <v>20</v>
      </c>
      <c r="D434" s="231">
        <f t="shared" si="12"/>
        <v>44612</v>
      </c>
      <c r="E434" s="233">
        <f t="shared" si="19"/>
        <v>44612</v>
      </c>
      <c r="F434" s="478" t="s">
        <v>802</v>
      </c>
      <c r="G434" s="222" t="s">
        <v>1111</v>
      </c>
      <c r="H434" s="223" t="str" cm="1">
        <f t="array" ref="H434">IFERROR(INDEX(INVESTOR_LIST[INVESTOR NAME],MATCH(I434,INVESTOR_LIST[INVESTOR CODE],0),)," ")</f>
        <v>MD. WABAIDULLAH RAHAMAN</v>
      </c>
      <c r="I434" s="223" t="s">
        <v>1108</v>
      </c>
      <c r="J434" s="224" t="s">
        <v>55</v>
      </c>
      <c r="K434" s="225">
        <v>50000</v>
      </c>
      <c r="L434" s="225" t="s">
        <v>1119</v>
      </c>
      <c r="U434" s="166"/>
    </row>
    <row r="435" spans="1:21" ht="11.25" customHeight="1" x14ac:dyDescent="0.2">
      <c r="A435" s="164">
        <v>2022</v>
      </c>
      <c r="B435" s="164">
        <v>2</v>
      </c>
      <c r="C435" s="164">
        <v>20</v>
      </c>
      <c r="D435" s="156">
        <f t="shared" si="12"/>
        <v>44612</v>
      </c>
      <c r="E435" s="235">
        <f t="shared" si="19"/>
        <v>44612</v>
      </c>
      <c r="F435" s="480"/>
      <c r="G435" s="208" t="s">
        <v>1111</v>
      </c>
      <c r="H435" s="206" t="str" cm="1">
        <f t="array" ref="H435">IFERROR(INDEX(INVESTOR_LIST[INVESTOR NAME],MATCH(I435,INVESTOR_LIST[INVESTOR CODE],0),)," ")</f>
        <v>MD. WABAIDULLAH RAHAMAN</v>
      </c>
      <c r="I435" s="206" t="s">
        <v>1108</v>
      </c>
      <c r="J435" s="165" t="s">
        <v>1112</v>
      </c>
      <c r="K435" s="205">
        <v>50</v>
      </c>
      <c r="L435" s="205" t="s">
        <v>1119</v>
      </c>
      <c r="U435" s="166"/>
    </row>
    <row r="436" spans="1:21" ht="11.25" customHeight="1" x14ac:dyDescent="0.2">
      <c r="A436" s="226">
        <v>2022</v>
      </c>
      <c r="B436" s="226">
        <v>2</v>
      </c>
      <c r="C436" s="226">
        <v>20</v>
      </c>
      <c r="D436" s="232">
        <f t="shared" si="12"/>
        <v>44612</v>
      </c>
      <c r="E436" s="234">
        <f t="shared" si="19"/>
        <v>44612</v>
      </c>
      <c r="F436" s="479"/>
      <c r="G436" s="227" t="s">
        <v>1111</v>
      </c>
      <c r="H436" s="228" t="str" cm="1">
        <f t="array" ref="H436">IFERROR(INDEX(INVESTOR_LIST[INVESTOR NAME],MATCH(I436,INVESTOR_LIST[INVESTOR CODE],0),)," ")</f>
        <v>MD. WABAIDULLAH RAHAMAN</v>
      </c>
      <c r="I436" s="228" t="s">
        <v>1108</v>
      </c>
      <c r="J436" s="229" t="s">
        <v>14</v>
      </c>
      <c r="K436" s="230" t="s">
        <v>1119</v>
      </c>
      <c r="L436" s="230">
        <v>50050</v>
      </c>
      <c r="M436" s="263"/>
      <c r="U436" s="166"/>
    </row>
    <row r="437" spans="1:21" ht="11.25" customHeight="1" x14ac:dyDescent="0.2">
      <c r="A437" s="221">
        <v>2022</v>
      </c>
      <c r="B437" s="221">
        <v>2</v>
      </c>
      <c r="C437" s="221">
        <v>20</v>
      </c>
      <c r="D437" s="231">
        <f t="shared" si="12"/>
        <v>44612</v>
      </c>
      <c r="E437" s="233">
        <f t="shared" si="19"/>
        <v>44612</v>
      </c>
      <c r="F437" s="478" t="s">
        <v>1114</v>
      </c>
      <c r="G437" s="222" t="s">
        <v>1111</v>
      </c>
      <c r="H437" s="223" t="str" cm="1">
        <f t="array" ref="H437">IFERROR(INDEX(INVESTOR_LIST[INVESTOR NAME],MATCH(I437,INVESTOR_LIST[INVESTOR CODE],0),)," ")</f>
        <v xml:space="preserve"> </v>
      </c>
      <c r="I437" s="223"/>
      <c r="J437" s="224" t="s">
        <v>63</v>
      </c>
      <c r="K437" s="225">
        <v>10</v>
      </c>
      <c r="L437" s="225" t="s">
        <v>1119</v>
      </c>
      <c r="U437" s="166"/>
    </row>
    <row r="438" spans="1:21" ht="11.25" customHeight="1" x14ac:dyDescent="0.2">
      <c r="A438" s="226">
        <v>2022</v>
      </c>
      <c r="B438" s="226">
        <v>2</v>
      </c>
      <c r="C438" s="226">
        <v>20</v>
      </c>
      <c r="D438" s="232">
        <f t="shared" si="12"/>
        <v>44612</v>
      </c>
      <c r="E438" s="234">
        <f t="shared" si="19"/>
        <v>44612</v>
      </c>
      <c r="F438" s="479"/>
      <c r="G438" s="227" t="s">
        <v>1111</v>
      </c>
      <c r="H438" s="228" t="str" cm="1">
        <f t="array" ref="H438">IFERROR(INDEX(INVESTOR_LIST[INVESTOR NAME],MATCH(I438,INVESTOR_LIST[INVESTOR CODE],0),)," ")</f>
        <v xml:space="preserve"> </v>
      </c>
      <c r="I438" s="228"/>
      <c r="J438" s="229" t="s">
        <v>55</v>
      </c>
      <c r="K438" s="230" t="s">
        <v>1119</v>
      </c>
      <c r="L438" s="230">
        <v>10</v>
      </c>
      <c r="U438" s="166"/>
    </row>
    <row r="439" spans="1:21" ht="11.25" customHeight="1" x14ac:dyDescent="0.2">
      <c r="A439" s="221">
        <v>2022</v>
      </c>
      <c r="B439" s="221">
        <v>2</v>
      </c>
      <c r="C439" s="221">
        <v>20</v>
      </c>
      <c r="D439" s="221">
        <f t="shared" si="12"/>
        <v>44612</v>
      </c>
      <c r="E439" s="233">
        <f t="shared" si="19"/>
        <v>44612</v>
      </c>
      <c r="F439" s="478" t="s">
        <v>1113</v>
      </c>
      <c r="G439" s="222" t="s">
        <v>86</v>
      </c>
      <c r="H439" s="222" t="str" cm="1">
        <f t="array" ref="H439">IFERROR(INDEX(INVESTOR_LIST[INVESTOR NAME],MATCH(I439,INVESTOR_LIST[INVESTOR CODE],0),)," ")</f>
        <v xml:space="preserve"> </v>
      </c>
      <c r="I439" s="223"/>
      <c r="J439" s="224" t="s">
        <v>80</v>
      </c>
      <c r="K439" s="225">
        <v>1110754</v>
      </c>
      <c r="L439" s="225" t="s">
        <v>1119</v>
      </c>
      <c r="U439" s="166"/>
    </row>
    <row r="440" spans="1:21" ht="11.25" customHeight="1" x14ac:dyDescent="0.2">
      <c r="A440" s="164">
        <v>2022</v>
      </c>
      <c r="B440" s="164">
        <v>2</v>
      </c>
      <c r="C440" s="164">
        <v>20</v>
      </c>
      <c r="D440" s="164">
        <f t="shared" si="12"/>
        <v>44612</v>
      </c>
      <c r="E440" s="235">
        <f t="shared" si="19"/>
        <v>44612</v>
      </c>
      <c r="F440" s="480"/>
      <c r="G440" s="208" t="s">
        <v>86</v>
      </c>
      <c r="H440" s="208" t="str" cm="1">
        <f t="array" ref="H440">IFERROR(INDEX(INVESTOR_LIST[INVESTOR NAME],MATCH(I440,INVESTOR_LIST[INVESTOR CODE],0),)," ")</f>
        <v xml:space="preserve"> </v>
      </c>
      <c r="J440" s="165" t="s">
        <v>960</v>
      </c>
      <c r="K440" s="205">
        <v>1999.36</v>
      </c>
      <c r="L440" s="205" t="s">
        <v>1119</v>
      </c>
      <c r="U440" s="166"/>
    </row>
    <row r="441" spans="1:21" ht="11.25" customHeight="1" x14ac:dyDescent="0.2">
      <c r="A441" s="226">
        <v>2022</v>
      </c>
      <c r="B441" s="226">
        <v>2</v>
      </c>
      <c r="C441" s="226">
        <v>20</v>
      </c>
      <c r="D441" s="226">
        <f t="shared" si="12"/>
        <v>44612</v>
      </c>
      <c r="E441" s="234">
        <f t="shared" si="19"/>
        <v>44612</v>
      </c>
      <c r="F441" s="479"/>
      <c r="G441" s="227" t="s">
        <v>86</v>
      </c>
      <c r="H441" s="228" t="str" cm="1">
        <f t="array" ref="H441">IFERROR(INDEX(INVESTOR_LIST[INVESTOR NAME],MATCH(I441,INVESTOR_LIST[INVESTOR CODE],0),)," ")</f>
        <v xml:space="preserve"> </v>
      </c>
      <c r="I441" s="228"/>
      <c r="J441" s="229" t="s">
        <v>961</v>
      </c>
      <c r="K441" s="230" t="s">
        <v>1119</v>
      </c>
      <c r="L441" s="230">
        <v>1112753.3600000001</v>
      </c>
      <c r="U441" s="166"/>
    </row>
    <row r="442" spans="1:21" ht="11.25" customHeight="1" x14ac:dyDescent="0.2">
      <c r="A442" s="221">
        <v>2022</v>
      </c>
      <c r="B442" s="221">
        <v>2</v>
      </c>
      <c r="C442" s="221">
        <v>22</v>
      </c>
      <c r="D442" s="221">
        <f t="shared" si="12"/>
        <v>44614</v>
      </c>
      <c r="E442" s="233">
        <f t="shared" ref="E442:E448" si="20">DATE(A442,B442,C442)</f>
        <v>44614</v>
      </c>
      <c r="F442" s="478" t="s">
        <v>1113</v>
      </c>
      <c r="G442" s="222" t="s">
        <v>86</v>
      </c>
      <c r="H442" s="222" t="str" cm="1">
        <f t="array" ref="H442">IFERROR(INDEX(INVESTOR_LIST[INVESTOR NAME],MATCH(I442,INVESTOR_LIST[INVESTOR CODE],0),)," ")</f>
        <v xml:space="preserve"> </v>
      </c>
      <c r="I442" s="223"/>
      <c r="J442" s="224" t="s">
        <v>80</v>
      </c>
      <c r="K442" s="225">
        <v>2214124.5</v>
      </c>
      <c r="L442" s="225" t="s">
        <v>1119</v>
      </c>
      <c r="U442" s="166"/>
    </row>
    <row r="443" spans="1:21" ht="11.25" customHeight="1" x14ac:dyDescent="0.2">
      <c r="A443" s="164">
        <v>2022</v>
      </c>
      <c r="B443" s="164">
        <v>2</v>
      </c>
      <c r="C443" s="164">
        <v>22</v>
      </c>
      <c r="D443" s="164">
        <f t="shared" si="12"/>
        <v>44614</v>
      </c>
      <c r="E443" s="235">
        <f t="shared" si="20"/>
        <v>44614</v>
      </c>
      <c r="F443" s="480"/>
      <c r="G443" s="208" t="s">
        <v>86</v>
      </c>
      <c r="H443" s="208" t="str" cm="1">
        <f t="array" ref="H443">IFERROR(INDEX(INVESTOR_LIST[INVESTOR NAME],MATCH(I443,INVESTOR_LIST[INVESTOR CODE],0),)," ")</f>
        <v xml:space="preserve"> </v>
      </c>
      <c r="J443" s="165" t="s">
        <v>960</v>
      </c>
      <c r="K443" s="205">
        <v>3985.42</v>
      </c>
      <c r="L443" s="205" t="s">
        <v>1119</v>
      </c>
      <c r="U443" s="166"/>
    </row>
    <row r="444" spans="1:21" ht="11.25" customHeight="1" x14ac:dyDescent="0.2">
      <c r="A444" s="226">
        <v>2022</v>
      </c>
      <c r="B444" s="226">
        <v>2</v>
      </c>
      <c r="C444" s="226">
        <v>22</v>
      </c>
      <c r="D444" s="226">
        <f t="shared" si="12"/>
        <v>44614</v>
      </c>
      <c r="E444" s="234">
        <f t="shared" si="20"/>
        <v>44614</v>
      </c>
      <c r="F444" s="479"/>
      <c r="G444" s="227" t="s">
        <v>86</v>
      </c>
      <c r="H444" s="228" t="str" cm="1">
        <f t="array" ref="H444">IFERROR(INDEX(INVESTOR_LIST[INVESTOR NAME],MATCH(I444,INVESTOR_LIST[INVESTOR CODE],0),)," ")</f>
        <v xml:space="preserve"> </v>
      </c>
      <c r="I444" s="228"/>
      <c r="J444" s="229" t="s">
        <v>961</v>
      </c>
      <c r="K444" s="230" t="s">
        <v>1119</v>
      </c>
      <c r="L444" s="230">
        <v>2218109.92</v>
      </c>
      <c r="M444" s="263"/>
      <c r="U444" s="166"/>
    </row>
    <row r="445" spans="1:21" ht="11.25" customHeight="1" x14ac:dyDescent="0.2">
      <c r="A445" s="221">
        <v>2022</v>
      </c>
      <c r="B445" s="221">
        <v>2</v>
      </c>
      <c r="C445" s="221">
        <v>22</v>
      </c>
      <c r="D445" s="231">
        <f t="shared" si="12"/>
        <v>44614</v>
      </c>
      <c r="E445" s="233">
        <f t="shared" si="20"/>
        <v>44614</v>
      </c>
      <c r="F445" s="478" t="s">
        <v>1117</v>
      </c>
      <c r="G445" s="222" t="s">
        <v>1111</v>
      </c>
      <c r="H445" s="223" t="str" cm="1">
        <f t="array" ref="H445">IFERROR(INDEX(INVESTOR_LIST[INVESTOR NAME],MATCH(I445,INVESTOR_LIST[INVESTOR CODE],0),)," ")</f>
        <v xml:space="preserve"> </v>
      </c>
      <c r="I445" s="223"/>
      <c r="J445" s="224" t="s">
        <v>961</v>
      </c>
      <c r="K445" s="225">
        <v>1112753.3600000001</v>
      </c>
      <c r="L445" s="225" t="s">
        <v>1119</v>
      </c>
      <c r="U445" s="166"/>
    </row>
    <row r="446" spans="1:21" ht="11.25" customHeight="1" x14ac:dyDescent="0.2">
      <c r="A446" s="226">
        <v>2022</v>
      </c>
      <c r="B446" s="226">
        <v>2</v>
      </c>
      <c r="C446" s="226">
        <v>22</v>
      </c>
      <c r="D446" s="232">
        <f t="shared" si="12"/>
        <v>44614</v>
      </c>
      <c r="E446" s="234">
        <f t="shared" si="20"/>
        <v>44614</v>
      </c>
      <c r="F446" s="479"/>
      <c r="G446" s="227" t="s">
        <v>1111</v>
      </c>
      <c r="H446" s="228" t="str" cm="1">
        <f t="array" ref="H446">IFERROR(INDEX(INVESTOR_LIST[INVESTOR NAME],MATCH(I446,INVESTOR_LIST[INVESTOR CODE],0),)," ")</f>
        <v xml:space="preserve"> </v>
      </c>
      <c r="I446" s="228"/>
      <c r="J446" s="229" t="s">
        <v>55</v>
      </c>
      <c r="K446" s="230" t="s">
        <v>1119</v>
      </c>
      <c r="L446" s="230">
        <v>1112753.3600000001</v>
      </c>
      <c r="U446" s="166"/>
    </row>
    <row r="447" spans="1:21" ht="11.25" customHeight="1" x14ac:dyDescent="0.2">
      <c r="A447" s="221">
        <v>2022</v>
      </c>
      <c r="B447" s="221">
        <v>2</v>
      </c>
      <c r="C447" s="221">
        <v>22</v>
      </c>
      <c r="D447" s="231">
        <f t="shared" si="12"/>
        <v>44614</v>
      </c>
      <c r="E447" s="233">
        <f t="shared" si="20"/>
        <v>44614</v>
      </c>
      <c r="F447" s="478" t="s">
        <v>1117</v>
      </c>
      <c r="G447" s="222" t="s">
        <v>1111</v>
      </c>
      <c r="H447" s="223" t="str" cm="1">
        <f t="array" ref="H447">IFERROR(INDEX(INVESTOR_LIST[INVESTOR NAME],MATCH(I447,INVESTOR_LIST[INVESTOR CODE],0),)," ")</f>
        <v xml:space="preserve"> </v>
      </c>
      <c r="I447" s="223"/>
      <c r="J447" s="224" t="s">
        <v>961</v>
      </c>
      <c r="K447" s="225">
        <v>6995113.7800000003</v>
      </c>
      <c r="L447" s="225" t="s">
        <v>1119</v>
      </c>
      <c r="U447" s="166"/>
    </row>
    <row r="448" spans="1:21" ht="11.25" customHeight="1" x14ac:dyDescent="0.2">
      <c r="A448" s="226">
        <v>2022</v>
      </c>
      <c r="B448" s="226">
        <v>2</v>
      </c>
      <c r="C448" s="226">
        <v>22</v>
      </c>
      <c r="D448" s="232">
        <f t="shared" si="12"/>
        <v>44614</v>
      </c>
      <c r="E448" s="234">
        <f t="shared" si="20"/>
        <v>44614</v>
      </c>
      <c r="F448" s="479"/>
      <c r="G448" s="227" t="s">
        <v>1111</v>
      </c>
      <c r="H448" s="228" t="str" cm="1">
        <f t="array" ref="H448">IFERROR(INDEX(INVESTOR_LIST[INVESTOR NAME],MATCH(I448,INVESTOR_LIST[INVESTOR CODE],0),)," ")</f>
        <v xml:space="preserve"> </v>
      </c>
      <c r="I448" s="228"/>
      <c r="J448" s="229" t="s">
        <v>55</v>
      </c>
      <c r="K448" s="230" t="s">
        <v>1119</v>
      </c>
      <c r="L448" s="230">
        <v>6995113.7800000003</v>
      </c>
      <c r="U448" s="166"/>
    </row>
    <row r="449" spans="1:21" ht="11.25" customHeight="1" x14ac:dyDescent="0.2">
      <c r="A449" s="221">
        <v>2022</v>
      </c>
      <c r="B449" s="221">
        <v>2</v>
      </c>
      <c r="C449" s="221">
        <v>23</v>
      </c>
      <c r="D449" s="221">
        <f t="shared" si="12"/>
        <v>44615</v>
      </c>
      <c r="E449" s="233">
        <f t="shared" ref="E449:E455" si="21">DATE(A449,B449,C449)</f>
        <v>44615</v>
      </c>
      <c r="F449" s="478" t="s">
        <v>1113</v>
      </c>
      <c r="G449" s="222" t="s">
        <v>86</v>
      </c>
      <c r="H449" s="222" t="str" cm="1">
        <f t="array" ref="H449">IFERROR(INDEX(INVESTOR_LIST[INVESTOR NAME],MATCH(I449,INVESTOR_LIST[INVESTOR CODE],0),)," ")</f>
        <v xml:space="preserve"> </v>
      </c>
      <c r="I449" s="223"/>
      <c r="J449" s="224" t="s">
        <v>80</v>
      </c>
      <c r="K449" s="225">
        <v>4181744</v>
      </c>
      <c r="L449" s="225" t="s">
        <v>1119</v>
      </c>
      <c r="U449" s="166"/>
    </row>
    <row r="450" spans="1:21" ht="11.25" customHeight="1" x14ac:dyDescent="0.2">
      <c r="A450" s="164">
        <v>2022</v>
      </c>
      <c r="B450" s="164">
        <v>2</v>
      </c>
      <c r="C450" s="164">
        <v>23</v>
      </c>
      <c r="D450" s="164">
        <f t="shared" si="12"/>
        <v>44615</v>
      </c>
      <c r="E450" s="235">
        <f t="shared" si="21"/>
        <v>44615</v>
      </c>
      <c r="F450" s="480"/>
      <c r="G450" s="208" t="s">
        <v>86</v>
      </c>
      <c r="H450" s="208" t="str" cm="1">
        <f t="array" ref="H450">IFERROR(INDEX(INVESTOR_LIST[INVESTOR NAME],MATCH(I450,INVESTOR_LIST[INVESTOR CODE],0),)," ")</f>
        <v xml:space="preserve"> </v>
      </c>
      <c r="J450" s="165" t="s">
        <v>960</v>
      </c>
      <c r="K450" s="205">
        <v>7527.14</v>
      </c>
      <c r="L450" s="205" t="s">
        <v>1119</v>
      </c>
      <c r="U450" s="166"/>
    </row>
    <row r="451" spans="1:21" ht="11.25" customHeight="1" x14ac:dyDescent="0.2">
      <c r="A451" s="226">
        <v>2022</v>
      </c>
      <c r="B451" s="226">
        <v>2</v>
      </c>
      <c r="C451" s="226">
        <v>23</v>
      </c>
      <c r="D451" s="226">
        <f t="shared" si="12"/>
        <v>44615</v>
      </c>
      <c r="E451" s="234">
        <f t="shared" si="21"/>
        <v>44615</v>
      </c>
      <c r="F451" s="479"/>
      <c r="G451" s="227" t="s">
        <v>86</v>
      </c>
      <c r="H451" s="228" t="str" cm="1">
        <f t="array" ref="H451">IFERROR(INDEX(INVESTOR_LIST[INVESTOR NAME],MATCH(I451,INVESTOR_LIST[INVESTOR CODE],0),)," ")</f>
        <v xml:space="preserve"> </v>
      </c>
      <c r="I451" s="228"/>
      <c r="J451" s="229" t="s">
        <v>961</v>
      </c>
      <c r="K451" s="230" t="s">
        <v>1119</v>
      </c>
      <c r="L451" s="230">
        <v>4189271.14</v>
      </c>
      <c r="M451" s="263"/>
      <c r="U451" s="166"/>
    </row>
    <row r="452" spans="1:21" ht="11.25" customHeight="1" x14ac:dyDescent="0.2">
      <c r="A452" s="221">
        <v>2022</v>
      </c>
      <c r="B452" s="221">
        <v>2</v>
      </c>
      <c r="C452" s="221">
        <v>23</v>
      </c>
      <c r="D452" s="231">
        <f t="shared" si="12"/>
        <v>44615</v>
      </c>
      <c r="E452" s="233">
        <f t="shared" si="21"/>
        <v>44615</v>
      </c>
      <c r="F452" s="478" t="s">
        <v>1117</v>
      </c>
      <c r="G452" s="222" t="s">
        <v>1111</v>
      </c>
      <c r="H452" s="223" t="str" cm="1">
        <f t="array" ref="H452">IFERROR(INDEX(INVESTOR_LIST[INVESTOR NAME],MATCH(I452,INVESTOR_LIST[INVESTOR CODE],0),)," ")</f>
        <v xml:space="preserve"> </v>
      </c>
      <c r="I452" s="223"/>
      <c r="J452" s="224" t="s">
        <v>961</v>
      </c>
      <c r="K452" s="225">
        <v>2218109.92</v>
      </c>
      <c r="L452" s="225" t="s">
        <v>1119</v>
      </c>
      <c r="U452" s="166"/>
    </row>
    <row r="453" spans="1:21" ht="11.25" customHeight="1" x14ac:dyDescent="0.2">
      <c r="A453" s="226">
        <v>2022</v>
      </c>
      <c r="B453" s="226">
        <v>2</v>
      </c>
      <c r="C453" s="226">
        <v>23</v>
      </c>
      <c r="D453" s="232">
        <f t="shared" si="12"/>
        <v>44615</v>
      </c>
      <c r="E453" s="234">
        <f t="shared" si="21"/>
        <v>44615</v>
      </c>
      <c r="F453" s="479"/>
      <c r="G453" s="227" t="s">
        <v>1111</v>
      </c>
      <c r="H453" s="228" t="str" cm="1">
        <f t="array" ref="H453">IFERROR(INDEX(INVESTOR_LIST[INVESTOR NAME],MATCH(I453,INVESTOR_LIST[INVESTOR CODE],0),)," ")</f>
        <v xml:space="preserve"> </v>
      </c>
      <c r="I453" s="228"/>
      <c r="J453" s="229" t="s">
        <v>55</v>
      </c>
      <c r="K453" s="230" t="s">
        <v>1119</v>
      </c>
      <c r="L453" s="230">
        <v>2218109.92</v>
      </c>
      <c r="U453" s="166"/>
    </row>
    <row r="454" spans="1:21" ht="11.25" customHeight="1" x14ac:dyDescent="0.2">
      <c r="A454" s="221">
        <v>2022</v>
      </c>
      <c r="B454" s="221">
        <v>2</v>
      </c>
      <c r="C454" s="221">
        <v>23</v>
      </c>
      <c r="D454" s="231">
        <f t="shared" si="12"/>
        <v>44615</v>
      </c>
      <c r="E454" s="233">
        <f t="shared" si="21"/>
        <v>44615</v>
      </c>
      <c r="F454" s="478" t="s">
        <v>1134</v>
      </c>
      <c r="G454" s="222" t="s">
        <v>1111</v>
      </c>
      <c r="H454" s="223" t="str" cm="1">
        <f t="array" ref="H454">IFERROR(INDEX(INVESTOR_LIST[INVESTOR NAME],MATCH(I454,INVESTOR_LIST[INVESTOR CODE],0),)," ")</f>
        <v xml:space="preserve"> </v>
      </c>
      <c r="I454" s="223"/>
      <c r="J454" s="224" t="s">
        <v>192</v>
      </c>
      <c r="K454" s="225">
        <v>250000</v>
      </c>
      <c r="L454" s="225" t="s">
        <v>1119</v>
      </c>
      <c r="U454" s="166"/>
    </row>
    <row r="455" spans="1:21" ht="11.25" customHeight="1" x14ac:dyDescent="0.2">
      <c r="A455" s="226">
        <v>2022</v>
      </c>
      <c r="B455" s="226">
        <v>2</v>
      </c>
      <c r="C455" s="226">
        <v>23</v>
      </c>
      <c r="D455" s="232">
        <f t="shared" si="12"/>
        <v>44615</v>
      </c>
      <c r="E455" s="234">
        <f t="shared" si="21"/>
        <v>44615</v>
      </c>
      <c r="F455" s="479"/>
      <c r="G455" s="227" t="s">
        <v>1111</v>
      </c>
      <c r="H455" s="228" t="str" cm="1">
        <f t="array" ref="H455">IFERROR(INDEX(INVESTOR_LIST[INVESTOR NAME],MATCH(I455,INVESTOR_LIST[INVESTOR CODE],0),)," ")</f>
        <v xml:space="preserve"> </v>
      </c>
      <c r="I455" s="228"/>
      <c r="J455" s="229" t="s">
        <v>191</v>
      </c>
      <c r="K455" s="230" t="s">
        <v>1119</v>
      </c>
      <c r="L455" s="230">
        <v>250000</v>
      </c>
      <c r="U455" s="166"/>
    </row>
    <row r="456" spans="1:21" ht="11.25" customHeight="1" x14ac:dyDescent="0.2">
      <c r="A456" s="251">
        <v>2022</v>
      </c>
      <c r="B456" s="251">
        <v>2</v>
      </c>
      <c r="C456" s="251">
        <v>24</v>
      </c>
      <c r="D456" s="251">
        <f t="shared" si="12"/>
        <v>44616</v>
      </c>
      <c r="E456" s="252">
        <f t="shared" ref="E456:E463" si="22">DATE(A456,B456,C456)</f>
        <v>44616</v>
      </c>
      <c r="F456" s="493" t="s">
        <v>1126</v>
      </c>
      <c r="G456" s="253" t="s">
        <v>86</v>
      </c>
      <c r="H456" s="253" t="str" cm="1">
        <f t="array" ref="H456">IFERROR(INDEX(INVESTOR_LIST[INVESTOR NAME],MATCH(I456,INVESTOR_LIST[INVESTOR CODE],0),)," ")</f>
        <v xml:space="preserve"> </v>
      </c>
      <c r="I456" s="254"/>
      <c r="J456" s="255" t="s">
        <v>80</v>
      </c>
      <c r="K456" s="256">
        <v>8117185.7999999998</v>
      </c>
      <c r="L456" s="256" t="s">
        <v>1119</v>
      </c>
      <c r="U456" s="166"/>
    </row>
    <row r="457" spans="1:21" ht="11.25" customHeight="1" x14ac:dyDescent="0.2">
      <c r="A457" s="257">
        <v>2022</v>
      </c>
      <c r="B457" s="257">
        <v>2</v>
      </c>
      <c r="C457" s="257">
        <v>24</v>
      </c>
      <c r="D457" s="257">
        <f t="shared" ref="D457:D520" si="23">DATE(A457,B457,C457)</f>
        <v>44616</v>
      </c>
      <c r="E457" s="258">
        <f t="shared" si="22"/>
        <v>44616</v>
      </c>
      <c r="F457" s="494"/>
      <c r="G457" s="259" t="s">
        <v>86</v>
      </c>
      <c r="H457" s="259" t="str" cm="1">
        <f t="array" ref="H457">IFERROR(INDEX(INVESTOR_LIST[INVESTOR NAME],MATCH(I457,INVESTOR_LIST[INVESTOR CODE],0),)," ")</f>
        <v xml:space="preserve"> </v>
      </c>
      <c r="I457" s="260"/>
      <c r="J457" s="261" t="s">
        <v>960</v>
      </c>
      <c r="K457" s="262">
        <v>14610.93</v>
      </c>
      <c r="L457" s="262" t="s">
        <v>1119</v>
      </c>
      <c r="U457" s="166"/>
    </row>
    <row r="458" spans="1:21" ht="11.25" customHeight="1" x14ac:dyDescent="0.2">
      <c r="A458" s="226">
        <v>2022</v>
      </c>
      <c r="B458" s="226">
        <v>2</v>
      </c>
      <c r="C458" s="226">
        <v>24</v>
      </c>
      <c r="D458" s="226">
        <f t="shared" si="23"/>
        <v>44616</v>
      </c>
      <c r="E458" s="234">
        <f t="shared" si="22"/>
        <v>44616</v>
      </c>
      <c r="F458" s="479"/>
      <c r="G458" s="227" t="s">
        <v>86</v>
      </c>
      <c r="H458" s="228" t="str" cm="1">
        <f t="array" ref="H458">IFERROR(INDEX(INVESTOR_LIST[INVESTOR NAME],MATCH(I458,INVESTOR_LIST[INVESTOR CODE],0),)," ")</f>
        <v xml:space="preserve"> </v>
      </c>
      <c r="I458" s="228"/>
      <c r="J458" s="229" t="s">
        <v>961</v>
      </c>
      <c r="K458" s="230" t="s">
        <v>1119</v>
      </c>
      <c r="L458" s="230">
        <v>8131796.7300000004</v>
      </c>
      <c r="U458" s="166"/>
    </row>
    <row r="459" spans="1:21" ht="11.25" customHeight="1" x14ac:dyDescent="0.2">
      <c r="A459" s="221">
        <v>2022</v>
      </c>
      <c r="B459" s="221">
        <v>2</v>
      </c>
      <c r="C459" s="221">
        <v>24</v>
      </c>
      <c r="D459" s="231">
        <f t="shared" si="23"/>
        <v>44616</v>
      </c>
      <c r="E459" s="233">
        <f t="shared" si="22"/>
        <v>44616</v>
      </c>
      <c r="F459" s="478" t="s">
        <v>1117</v>
      </c>
      <c r="G459" s="222" t="s">
        <v>1111</v>
      </c>
      <c r="H459" s="223" t="str" cm="1">
        <f t="array" ref="H459">IFERROR(INDEX(INVESTOR_LIST[INVESTOR NAME],MATCH(I459,INVESTOR_LIST[INVESTOR CODE],0),)," ")</f>
        <v xml:space="preserve"> </v>
      </c>
      <c r="I459" s="223"/>
      <c r="J459" s="224" t="s">
        <v>961</v>
      </c>
      <c r="K459" s="225">
        <v>4189271.14</v>
      </c>
      <c r="L459" s="225" t="s">
        <v>1119</v>
      </c>
      <c r="U459" s="166"/>
    </row>
    <row r="460" spans="1:21" ht="11.25" customHeight="1" x14ac:dyDescent="0.2">
      <c r="A460" s="226">
        <v>2022</v>
      </c>
      <c r="B460" s="226">
        <v>2</v>
      </c>
      <c r="C460" s="226">
        <v>24</v>
      </c>
      <c r="D460" s="232">
        <f t="shared" si="23"/>
        <v>44616</v>
      </c>
      <c r="E460" s="234">
        <f t="shared" si="22"/>
        <v>44616</v>
      </c>
      <c r="F460" s="479"/>
      <c r="G460" s="227" t="s">
        <v>1111</v>
      </c>
      <c r="H460" s="228" t="str" cm="1">
        <f t="array" ref="H460">IFERROR(INDEX(INVESTOR_LIST[INVESTOR NAME],MATCH(I460,INVESTOR_LIST[INVESTOR CODE],0),)," ")</f>
        <v xml:space="preserve"> </v>
      </c>
      <c r="I460" s="228"/>
      <c r="J460" s="229" t="s">
        <v>55</v>
      </c>
      <c r="K460" s="230" t="s">
        <v>1119</v>
      </c>
      <c r="L460" s="230">
        <v>4189271.14</v>
      </c>
      <c r="U460" s="166"/>
    </row>
    <row r="461" spans="1:21" ht="11.25" customHeight="1" x14ac:dyDescent="0.2">
      <c r="A461" s="221">
        <v>2022</v>
      </c>
      <c r="B461" s="221">
        <v>2</v>
      </c>
      <c r="C461" s="221">
        <v>24</v>
      </c>
      <c r="D461" s="221">
        <f t="shared" si="23"/>
        <v>44616</v>
      </c>
      <c r="E461" s="233">
        <f t="shared" si="22"/>
        <v>44616</v>
      </c>
      <c r="F461" s="478" t="s">
        <v>1128</v>
      </c>
      <c r="G461" s="222" t="s">
        <v>86</v>
      </c>
      <c r="H461" s="222" t="str" cm="1">
        <f t="array" ref="H461">IFERROR(INDEX(INVESTOR_LIST[INVESTOR NAME],MATCH(I461,INVESTOR_LIST[INVESTOR CODE],0),)," ")</f>
        <v xml:space="preserve"> </v>
      </c>
      <c r="I461" s="223"/>
      <c r="J461" s="224" t="s">
        <v>189</v>
      </c>
      <c r="K461" s="225">
        <v>25000</v>
      </c>
      <c r="L461" s="225" t="s">
        <v>1119</v>
      </c>
      <c r="U461" s="166"/>
    </row>
    <row r="462" spans="1:21" ht="11.25" customHeight="1" x14ac:dyDescent="0.2">
      <c r="A462" s="164">
        <v>2022</v>
      </c>
      <c r="B462" s="164">
        <v>2</v>
      </c>
      <c r="C462" s="164">
        <v>24</v>
      </c>
      <c r="D462" s="164">
        <f t="shared" si="23"/>
        <v>44616</v>
      </c>
      <c r="E462" s="235">
        <f t="shared" si="22"/>
        <v>44616</v>
      </c>
      <c r="F462" s="480"/>
      <c r="G462" s="208" t="s">
        <v>86</v>
      </c>
      <c r="H462" s="208" t="str" cm="1">
        <f t="array" ref="H462">IFERROR(INDEX(INVESTOR_LIST[INVESTOR NAME],MATCH(I462,INVESTOR_LIST[INVESTOR CODE],0),)," ")</f>
        <v xml:space="preserve"> </v>
      </c>
      <c r="J462" s="165" t="s">
        <v>63</v>
      </c>
      <c r="K462" s="205">
        <v>58</v>
      </c>
      <c r="L462" s="205" t="s">
        <v>1119</v>
      </c>
      <c r="U462" s="166"/>
    </row>
    <row r="463" spans="1:21" ht="11.25" customHeight="1" x14ac:dyDescent="0.2">
      <c r="A463" s="226">
        <v>2022</v>
      </c>
      <c r="B463" s="226">
        <v>2</v>
      </c>
      <c r="C463" s="226">
        <v>24</v>
      </c>
      <c r="D463" s="226">
        <f t="shared" si="23"/>
        <v>44616</v>
      </c>
      <c r="E463" s="234">
        <f t="shared" si="22"/>
        <v>44616</v>
      </c>
      <c r="F463" s="479"/>
      <c r="G463" s="227" t="s">
        <v>86</v>
      </c>
      <c r="H463" s="228" t="str" cm="1">
        <f t="array" ref="H463">IFERROR(INDEX(INVESTOR_LIST[INVESTOR NAME],MATCH(I463,INVESTOR_LIST[INVESTOR CODE],0),)," ")</f>
        <v xml:space="preserve"> </v>
      </c>
      <c r="I463" s="228"/>
      <c r="J463" s="229" t="s">
        <v>55</v>
      </c>
      <c r="K463" s="230" t="s">
        <v>1119</v>
      </c>
      <c r="L463" s="230">
        <v>25058</v>
      </c>
      <c r="U463" s="166"/>
    </row>
    <row r="464" spans="1:21" ht="11.25" customHeight="1" x14ac:dyDescent="0.2">
      <c r="A464" s="221">
        <v>2022</v>
      </c>
      <c r="B464" s="221">
        <v>2</v>
      </c>
      <c r="C464" s="221">
        <v>24</v>
      </c>
      <c r="D464" s="231">
        <f t="shared" si="23"/>
        <v>44616</v>
      </c>
      <c r="E464" s="233">
        <f t="shared" ref="E464:E465" si="24">DATE(A464,B464,C464)</f>
        <v>44616</v>
      </c>
      <c r="F464" s="478" t="s">
        <v>1127</v>
      </c>
      <c r="G464" s="222" t="s">
        <v>1111</v>
      </c>
      <c r="H464" s="223" t="str" cm="1">
        <f t="array" ref="H464">IFERROR(INDEX(INVESTOR_LIST[INVESTOR NAME],MATCH(I464,INVESTOR_LIST[INVESTOR CODE],0),)," ")</f>
        <v xml:space="preserve"> </v>
      </c>
      <c r="I464" s="223"/>
      <c r="J464" s="224" t="s">
        <v>961</v>
      </c>
      <c r="K464" s="225">
        <v>8131796.7300000004</v>
      </c>
      <c r="L464" s="225" t="s">
        <v>1119</v>
      </c>
      <c r="U464" s="166"/>
    </row>
    <row r="465" spans="1:21" ht="11.25" customHeight="1" x14ac:dyDescent="0.2">
      <c r="A465" s="226">
        <v>2022</v>
      </c>
      <c r="B465" s="226">
        <v>2</v>
      </c>
      <c r="C465" s="226">
        <v>24</v>
      </c>
      <c r="D465" s="232">
        <f t="shared" si="23"/>
        <v>44616</v>
      </c>
      <c r="E465" s="234">
        <f t="shared" si="24"/>
        <v>44616</v>
      </c>
      <c r="F465" s="479"/>
      <c r="G465" s="227" t="s">
        <v>1111</v>
      </c>
      <c r="H465" s="228" t="str" cm="1">
        <f t="array" ref="H465">IFERROR(INDEX(INVESTOR_LIST[INVESTOR NAME],MATCH(I465,INVESTOR_LIST[INVESTOR CODE],0),)," ")</f>
        <v xml:space="preserve"> </v>
      </c>
      <c r="I465" s="228"/>
      <c r="J465" s="229" t="s">
        <v>55</v>
      </c>
      <c r="K465" s="230" t="s">
        <v>1119</v>
      </c>
      <c r="L465" s="230">
        <v>8131796.7300000004</v>
      </c>
      <c r="U465" s="166"/>
    </row>
    <row r="466" spans="1:21" ht="11.25" customHeight="1" x14ac:dyDescent="0.2">
      <c r="A466" s="236">
        <v>2022</v>
      </c>
      <c r="B466" s="236">
        <v>2</v>
      </c>
      <c r="C466" s="236">
        <v>24</v>
      </c>
      <c r="D466" s="237">
        <f t="shared" si="23"/>
        <v>44616</v>
      </c>
      <c r="E466" s="238">
        <f t="shared" ref="E466:E488" si="25">DATE(A466,B466,C466)</f>
        <v>44616</v>
      </c>
      <c r="F466" s="476" t="s">
        <v>1118</v>
      </c>
      <c r="G466" s="239" t="s">
        <v>86</v>
      </c>
      <c r="H466" s="239" t="str" cm="1">
        <f t="array" ref="H466">IFERROR(INDEX(INVESTOR_LIST[INVESTOR NAME],MATCH(I466,INVESTOR_LIST[INVESTOR CODE],0),)," ")</f>
        <v xml:space="preserve"> </v>
      </c>
      <c r="I466" s="240"/>
      <c r="J466" s="241" t="s">
        <v>1123</v>
      </c>
      <c r="K466" s="242">
        <v>500000</v>
      </c>
      <c r="L466" s="242" t="s">
        <v>1119</v>
      </c>
      <c r="U466" s="166"/>
    </row>
    <row r="467" spans="1:21" ht="11.25" customHeight="1" x14ac:dyDescent="0.2">
      <c r="A467" s="243">
        <v>2022</v>
      </c>
      <c r="B467" s="243">
        <v>2</v>
      </c>
      <c r="C467" s="243">
        <v>24</v>
      </c>
      <c r="D467" s="248">
        <f t="shared" si="23"/>
        <v>44616</v>
      </c>
      <c r="E467" s="249">
        <f t="shared" si="25"/>
        <v>44616</v>
      </c>
      <c r="F467" s="477"/>
      <c r="G467" s="244" t="s">
        <v>86</v>
      </c>
      <c r="H467" s="244" t="str" cm="1">
        <f t="array" ref="H467">IFERROR(INDEX(INVESTOR_LIST[INVESTOR NAME],MATCH(I467,INVESTOR_LIST[INVESTOR CODE],0),)," ")</f>
        <v xml:space="preserve"> </v>
      </c>
      <c r="I467" s="245"/>
      <c r="J467" s="246" t="s">
        <v>1124</v>
      </c>
      <c r="K467" s="247" t="s">
        <v>1119</v>
      </c>
      <c r="L467" s="247">
        <v>500000</v>
      </c>
      <c r="U467" s="166"/>
    </row>
    <row r="468" spans="1:21" ht="11.25" customHeight="1" x14ac:dyDescent="0.2">
      <c r="A468" s="236">
        <v>2022</v>
      </c>
      <c r="B468" s="236">
        <v>2</v>
      </c>
      <c r="C468" s="236">
        <v>24</v>
      </c>
      <c r="D468" s="237">
        <f t="shared" si="23"/>
        <v>44616</v>
      </c>
      <c r="E468" s="238">
        <f t="shared" si="25"/>
        <v>44616</v>
      </c>
      <c r="F468" s="476" t="s">
        <v>1120</v>
      </c>
      <c r="G468" s="239" t="s">
        <v>86</v>
      </c>
      <c r="H468" s="239" t="str" cm="1">
        <f t="array" ref="H468">IFERROR(INDEX(INVESTOR_LIST[INVESTOR NAME],MATCH(I468,INVESTOR_LIST[INVESTOR CODE],0),)," ")</f>
        <v xml:space="preserve"> </v>
      </c>
      <c r="I468" s="240"/>
      <c r="J468" s="241" t="s">
        <v>87</v>
      </c>
      <c r="K468" s="242">
        <v>2747.2527472527472</v>
      </c>
      <c r="L468" s="242"/>
      <c r="U468" s="166"/>
    </row>
    <row r="469" spans="1:21" ht="11.25" customHeight="1" x14ac:dyDescent="0.2">
      <c r="A469" s="243">
        <v>2022</v>
      </c>
      <c r="B469" s="243">
        <v>2</v>
      </c>
      <c r="C469" s="243">
        <v>24</v>
      </c>
      <c r="D469" s="248">
        <f t="shared" si="23"/>
        <v>44616</v>
      </c>
      <c r="E469" s="249">
        <f t="shared" si="25"/>
        <v>44616</v>
      </c>
      <c r="F469" s="477"/>
      <c r="G469" s="244" t="s">
        <v>86</v>
      </c>
      <c r="H469" s="244" t="str" cm="1">
        <f t="array" ref="H469">IFERROR(INDEX(INVESTOR_LIST[INVESTOR NAME],MATCH(I469,INVESTOR_LIST[INVESTOR CODE],0),)," ")</f>
        <v xml:space="preserve"> </v>
      </c>
      <c r="I469" s="245"/>
      <c r="J469" s="246" t="s">
        <v>64</v>
      </c>
      <c r="K469" s="247"/>
      <c r="L469" s="247">
        <v>2747.2527472527472</v>
      </c>
      <c r="U469" s="166"/>
    </row>
    <row r="470" spans="1:21" ht="11.25" customHeight="1" x14ac:dyDescent="0.2">
      <c r="A470" s="236">
        <v>2022</v>
      </c>
      <c r="B470" s="236">
        <v>2</v>
      </c>
      <c r="C470" s="236">
        <v>24</v>
      </c>
      <c r="D470" s="237">
        <f t="shared" si="23"/>
        <v>44616</v>
      </c>
      <c r="E470" s="238">
        <f t="shared" si="25"/>
        <v>44616</v>
      </c>
      <c r="F470" s="476" t="s">
        <v>1121</v>
      </c>
      <c r="G470" s="239" t="s">
        <v>86</v>
      </c>
      <c r="H470" s="239" t="str" cm="1">
        <f t="array" ref="H470">IFERROR(INDEX(INVESTOR_LIST[INVESTOR NAME],MATCH(I470,INVESTOR_LIST[INVESTOR CODE],0),)," ")</f>
        <v xml:space="preserve"> </v>
      </c>
      <c r="I470" s="240"/>
      <c r="J470" s="241" t="s">
        <v>89</v>
      </c>
      <c r="K470" s="242">
        <v>99262.43</v>
      </c>
      <c r="L470" s="242" t="s">
        <v>1119</v>
      </c>
      <c r="U470" s="166"/>
    </row>
    <row r="471" spans="1:21" ht="11.25" customHeight="1" x14ac:dyDescent="0.2">
      <c r="A471" s="243">
        <v>2022</v>
      </c>
      <c r="B471" s="243">
        <v>2</v>
      </c>
      <c r="C471" s="243">
        <v>24</v>
      </c>
      <c r="D471" s="248">
        <f t="shared" si="23"/>
        <v>44616</v>
      </c>
      <c r="E471" s="249">
        <f t="shared" si="25"/>
        <v>44616</v>
      </c>
      <c r="F471" s="477"/>
      <c r="G471" s="244" t="s">
        <v>86</v>
      </c>
      <c r="H471" s="244" t="str" cm="1">
        <f t="array" ref="H471">IFERROR(INDEX(INVESTOR_LIST[INVESTOR NAME],MATCH(I471,INVESTOR_LIST[INVESTOR CODE],0),)," ")</f>
        <v xml:space="preserve"> </v>
      </c>
      <c r="I471" s="245"/>
      <c r="J471" s="246" t="s">
        <v>50</v>
      </c>
      <c r="K471" s="247" t="s">
        <v>1119</v>
      </c>
      <c r="L471" s="247">
        <v>99262.43</v>
      </c>
      <c r="U471" s="166"/>
    </row>
    <row r="472" spans="1:21" ht="11.25" customHeight="1" x14ac:dyDescent="0.2">
      <c r="A472" s="236">
        <v>2022</v>
      </c>
      <c r="B472" s="236">
        <v>2</v>
      </c>
      <c r="C472" s="236">
        <v>24</v>
      </c>
      <c r="D472" s="237">
        <f t="shared" si="23"/>
        <v>44616</v>
      </c>
      <c r="E472" s="238">
        <f t="shared" si="25"/>
        <v>44616</v>
      </c>
      <c r="F472" s="476" t="s">
        <v>1122</v>
      </c>
      <c r="G472" s="239" t="s">
        <v>86</v>
      </c>
      <c r="H472" s="239" t="str" cm="1">
        <f t="array" ref="H472">IFERROR(INDEX(INVESTOR_LIST[INVESTOR NAME],MATCH(I472,INVESTOR_LIST[INVESTOR CODE],0),)," ")</f>
        <v xml:space="preserve"> </v>
      </c>
      <c r="I472" s="240"/>
      <c r="J472" s="241" t="s">
        <v>91</v>
      </c>
      <c r="K472" s="242">
        <v>4722.74</v>
      </c>
      <c r="L472" s="242" t="s">
        <v>1119</v>
      </c>
      <c r="U472" s="166"/>
    </row>
    <row r="473" spans="1:21" ht="11.25" customHeight="1" x14ac:dyDescent="0.2">
      <c r="A473" s="243">
        <v>2022</v>
      </c>
      <c r="B473" s="243">
        <v>2</v>
      </c>
      <c r="C473" s="243">
        <v>24</v>
      </c>
      <c r="D473" s="248">
        <f t="shared" si="23"/>
        <v>44616</v>
      </c>
      <c r="E473" s="249">
        <f t="shared" si="25"/>
        <v>44616</v>
      </c>
      <c r="F473" s="477"/>
      <c r="G473" s="244" t="s">
        <v>86</v>
      </c>
      <c r="H473" s="244" t="str" cm="1">
        <f t="array" ref="H473">IFERROR(INDEX(INVESTOR_LIST[INVESTOR NAME],MATCH(I473,INVESTOR_LIST[INVESTOR CODE],0),)," ")</f>
        <v xml:space="preserve"> </v>
      </c>
      <c r="I473" s="245"/>
      <c r="J473" s="246" t="s">
        <v>51</v>
      </c>
      <c r="K473" s="247" t="s">
        <v>1119</v>
      </c>
      <c r="L473" s="247">
        <v>4722.74</v>
      </c>
      <c r="U473" s="166"/>
    </row>
    <row r="474" spans="1:21" ht="11.25" customHeight="1" x14ac:dyDescent="0.2">
      <c r="A474" s="221">
        <v>2022</v>
      </c>
      <c r="B474" s="221">
        <v>2</v>
      </c>
      <c r="C474" s="164">
        <v>27</v>
      </c>
      <c r="D474" s="231">
        <f t="shared" si="23"/>
        <v>44619</v>
      </c>
      <c r="E474" s="233">
        <f>DATE(A474,B474,C474)</f>
        <v>44619</v>
      </c>
      <c r="F474" s="478" t="s">
        <v>1115</v>
      </c>
      <c r="G474" s="222" t="s">
        <v>1111</v>
      </c>
      <c r="H474" s="223" t="str" cm="1">
        <f t="array" ref="H474">IFERROR(INDEX(INVESTOR_LIST[INVESTOR NAME],MATCH(I474,INVESTOR_LIST[INVESTOR CODE],0),)," ")</f>
        <v>LILY RANI PAUL</v>
      </c>
      <c r="I474" s="223" t="s">
        <v>400</v>
      </c>
      <c r="J474" s="224" t="s">
        <v>14</v>
      </c>
      <c r="K474" s="225">
        <v>1100000</v>
      </c>
      <c r="L474" s="225" t="s">
        <v>1119</v>
      </c>
      <c r="U474" s="166"/>
    </row>
    <row r="475" spans="1:21" ht="11.25" customHeight="1" x14ac:dyDescent="0.2">
      <c r="A475" s="164">
        <v>2022</v>
      </c>
      <c r="B475" s="164">
        <v>2</v>
      </c>
      <c r="C475" s="164">
        <v>27</v>
      </c>
      <c r="D475" s="156">
        <f t="shared" si="23"/>
        <v>44619</v>
      </c>
      <c r="E475" s="235">
        <f t="shared" ref="E475" si="26">DATE(A475,B475,C475)</f>
        <v>44619</v>
      </c>
      <c r="F475" s="480"/>
      <c r="G475" s="208" t="s">
        <v>1111</v>
      </c>
      <c r="H475" s="206" t="str" cm="1">
        <f t="array" ref="H475">IFERROR(INDEX(INVESTOR_LIST[INVESTOR NAME],MATCH(I475,INVESTOR_LIST[INVESTOR CODE],0),)," ")</f>
        <v>LILY RANI PAUL</v>
      </c>
      <c r="I475" s="206" t="s">
        <v>400</v>
      </c>
      <c r="J475" s="165" t="s">
        <v>1112</v>
      </c>
      <c r="K475" s="205" t="s">
        <v>1119</v>
      </c>
      <c r="L475" s="205">
        <v>1100</v>
      </c>
      <c r="U475" s="166"/>
    </row>
    <row r="476" spans="1:21" ht="11.25" customHeight="1" x14ac:dyDescent="0.2">
      <c r="A476" s="226">
        <v>2022</v>
      </c>
      <c r="B476" s="226">
        <v>2</v>
      </c>
      <c r="C476" s="226">
        <v>27</v>
      </c>
      <c r="D476" s="232">
        <f t="shared" si="23"/>
        <v>44619</v>
      </c>
      <c r="E476" s="234">
        <f>DATE(A476,B476,C476)</f>
        <v>44619</v>
      </c>
      <c r="F476" s="479"/>
      <c r="G476" s="227" t="s">
        <v>1111</v>
      </c>
      <c r="H476" s="228" t="str" cm="1">
        <f t="array" ref="H476">IFERROR(INDEX(INVESTOR_LIST[INVESTOR NAME],MATCH(I476,INVESTOR_LIST[INVESTOR CODE],0),)," ")</f>
        <v>LILY RANI PAUL</v>
      </c>
      <c r="I476" s="228" t="s">
        <v>400</v>
      </c>
      <c r="J476" s="229" t="s">
        <v>55</v>
      </c>
      <c r="K476" s="230" t="s">
        <v>1119</v>
      </c>
      <c r="L476" s="230">
        <v>1098900</v>
      </c>
      <c r="U476" s="166"/>
    </row>
    <row r="477" spans="1:21" ht="11.25" customHeight="1" x14ac:dyDescent="0.2">
      <c r="A477" s="221">
        <v>2022</v>
      </c>
      <c r="B477" s="221">
        <v>2</v>
      </c>
      <c r="C477" s="164">
        <v>27</v>
      </c>
      <c r="D477" s="231">
        <f t="shared" si="23"/>
        <v>44619</v>
      </c>
      <c r="E477" s="233">
        <f>DATE(A477,B477,C477)</f>
        <v>44619</v>
      </c>
      <c r="F477" s="478" t="s">
        <v>1115</v>
      </c>
      <c r="G477" s="222" t="s">
        <v>1111</v>
      </c>
      <c r="H477" s="223" t="str" cm="1">
        <f t="array" ref="H477">IFERROR(INDEX(INVESTOR_LIST[INVESTOR NAME],MATCH(I477,INVESTOR_LIST[INVESTOR CODE],0),)," ")</f>
        <v>GOURI TOSH PAUL</v>
      </c>
      <c r="I477" s="223" t="s">
        <v>717</v>
      </c>
      <c r="J477" s="224" t="s">
        <v>14</v>
      </c>
      <c r="K477" s="225">
        <v>1400000</v>
      </c>
      <c r="L477" s="225" t="s">
        <v>1119</v>
      </c>
      <c r="U477" s="166"/>
    </row>
    <row r="478" spans="1:21" ht="11.25" customHeight="1" x14ac:dyDescent="0.2">
      <c r="A478" s="164">
        <v>2022</v>
      </c>
      <c r="B478" s="164">
        <v>2</v>
      </c>
      <c r="C478" s="164">
        <v>27</v>
      </c>
      <c r="D478" s="156">
        <f t="shared" si="23"/>
        <v>44619</v>
      </c>
      <c r="E478" s="235">
        <f>DATE(A478,B478,C478)</f>
        <v>44619</v>
      </c>
      <c r="F478" s="480"/>
      <c r="G478" s="208" t="s">
        <v>1111</v>
      </c>
      <c r="H478" s="206" t="str" cm="1">
        <f t="array" ref="H478">IFERROR(INDEX(INVESTOR_LIST[INVESTOR NAME],MATCH(I478,INVESTOR_LIST[INVESTOR CODE],0),)," ")</f>
        <v>GOURI TOSH PAUL</v>
      </c>
      <c r="I478" s="206" t="s">
        <v>717</v>
      </c>
      <c r="J478" s="165" t="s">
        <v>1112</v>
      </c>
      <c r="K478" s="205" t="s">
        <v>1119</v>
      </c>
      <c r="L478" s="205">
        <v>1400</v>
      </c>
      <c r="U478" s="166"/>
    </row>
    <row r="479" spans="1:21" ht="11.25" customHeight="1" x14ac:dyDescent="0.2">
      <c r="A479" s="226">
        <v>2022</v>
      </c>
      <c r="B479" s="226">
        <v>2</v>
      </c>
      <c r="C479" s="226">
        <v>27</v>
      </c>
      <c r="D479" s="232">
        <f t="shared" si="23"/>
        <v>44619</v>
      </c>
      <c r="E479" s="234">
        <f>DATE(A479,B479,C479)</f>
        <v>44619</v>
      </c>
      <c r="F479" s="479"/>
      <c r="G479" s="227" t="s">
        <v>1111</v>
      </c>
      <c r="H479" s="228" t="str" cm="1">
        <f t="array" ref="H479">IFERROR(INDEX(INVESTOR_LIST[INVESTOR NAME],MATCH(I479,INVESTOR_LIST[INVESTOR CODE],0),)," ")</f>
        <v>GOURI TOSH PAUL</v>
      </c>
      <c r="I479" s="228" t="s">
        <v>717</v>
      </c>
      <c r="J479" s="229" t="s">
        <v>55</v>
      </c>
      <c r="K479" s="230" t="s">
        <v>1119</v>
      </c>
      <c r="L479" s="230">
        <v>1398600</v>
      </c>
      <c r="U479" s="166"/>
    </row>
    <row r="480" spans="1:21" ht="11.25" customHeight="1" x14ac:dyDescent="0.2">
      <c r="A480" s="221">
        <v>2022</v>
      </c>
      <c r="B480" s="221">
        <v>2</v>
      </c>
      <c r="C480" s="164">
        <v>27</v>
      </c>
      <c r="D480" s="231">
        <f t="shared" si="23"/>
        <v>44619</v>
      </c>
      <c r="E480" s="233">
        <f>DATE(A480,B480,C480)</f>
        <v>44619</v>
      </c>
      <c r="F480" s="478" t="s">
        <v>1115</v>
      </c>
      <c r="G480" s="222" t="s">
        <v>1111</v>
      </c>
      <c r="H480" s="223" t="str" cm="1">
        <f t="array" ref="H480">IFERROR(INDEX(INVESTOR_LIST[INVESTOR NAME],MATCH(I480,INVESTOR_LIST[INVESTOR CODE],0),)," ")</f>
        <v>JOY SHREE SAHA</v>
      </c>
      <c r="I480" s="223" t="s">
        <v>681</v>
      </c>
      <c r="J480" s="224" t="s">
        <v>14</v>
      </c>
      <c r="K480" s="225">
        <v>1000000</v>
      </c>
      <c r="L480" s="225" t="s">
        <v>1119</v>
      </c>
      <c r="U480" s="166"/>
    </row>
    <row r="481" spans="1:21" ht="11.25" customHeight="1" x14ac:dyDescent="0.2">
      <c r="A481" s="164">
        <v>2022</v>
      </c>
      <c r="B481" s="164">
        <v>2</v>
      </c>
      <c r="C481" s="164">
        <v>27</v>
      </c>
      <c r="D481" s="156">
        <f t="shared" si="23"/>
        <v>44619</v>
      </c>
      <c r="E481" s="235">
        <f t="shared" ref="E481" si="27">DATE(A481,B481,C481)</f>
        <v>44619</v>
      </c>
      <c r="F481" s="480"/>
      <c r="G481" s="208" t="s">
        <v>1111</v>
      </c>
      <c r="H481" s="206" t="str" cm="1">
        <f t="array" ref="H481">IFERROR(INDEX(INVESTOR_LIST[INVESTOR NAME],MATCH(I481,INVESTOR_LIST[INVESTOR CODE],0),)," ")</f>
        <v>JOY SHREE SAHA</v>
      </c>
      <c r="I481" s="206" t="s">
        <v>681</v>
      </c>
      <c r="J481" s="165" t="s">
        <v>1112</v>
      </c>
      <c r="K481" s="205" t="s">
        <v>1119</v>
      </c>
      <c r="L481" s="205">
        <v>2390</v>
      </c>
      <c r="U481" s="166"/>
    </row>
    <row r="482" spans="1:21" ht="11.25" customHeight="1" x14ac:dyDescent="0.2">
      <c r="A482" s="226">
        <v>2022</v>
      </c>
      <c r="B482" s="226">
        <v>2</v>
      </c>
      <c r="C482" s="226">
        <v>27</v>
      </c>
      <c r="D482" s="232">
        <f t="shared" si="23"/>
        <v>44619</v>
      </c>
      <c r="E482" s="234">
        <f>DATE(A482,B482,C482)</f>
        <v>44619</v>
      </c>
      <c r="F482" s="479"/>
      <c r="G482" s="227" t="s">
        <v>1111</v>
      </c>
      <c r="H482" s="228" t="str" cm="1">
        <f t="array" ref="H482">IFERROR(INDEX(INVESTOR_LIST[INVESTOR NAME],MATCH(I482,INVESTOR_LIST[INVESTOR CODE],0),)," ")</f>
        <v>JOY SHREE SAHA</v>
      </c>
      <c r="I482" s="228" t="s">
        <v>681</v>
      </c>
      <c r="J482" s="229" t="s">
        <v>55</v>
      </c>
      <c r="K482" s="230" t="s">
        <v>1119</v>
      </c>
      <c r="L482" s="230">
        <v>997610</v>
      </c>
      <c r="U482" s="166"/>
    </row>
    <row r="483" spans="1:21" ht="11.25" customHeight="1" x14ac:dyDescent="0.2">
      <c r="A483" s="221">
        <v>2022</v>
      </c>
      <c r="B483" s="221">
        <v>2</v>
      </c>
      <c r="C483" s="221">
        <v>27</v>
      </c>
      <c r="D483" s="221">
        <f t="shared" si="23"/>
        <v>44619</v>
      </c>
      <c r="E483" s="233">
        <f t="shared" si="25"/>
        <v>44619</v>
      </c>
      <c r="F483" s="478" t="s">
        <v>1113</v>
      </c>
      <c r="G483" s="222" t="s">
        <v>86</v>
      </c>
      <c r="H483" s="222" t="str" cm="1">
        <f t="array" ref="H483">IFERROR(INDEX(INVESTOR_LIST[INVESTOR NAME],MATCH(I483,INVESTOR_LIST[INVESTOR CODE],0),)," ")</f>
        <v xml:space="preserve"> </v>
      </c>
      <c r="I483" s="223"/>
      <c r="J483" s="224" t="s">
        <v>80</v>
      </c>
      <c r="K483" s="225">
        <v>3836202.6</v>
      </c>
      <c r="L483" s="225" t="s">
        <v>1119</v>
      </c>
      <c r="U483" s="166"/>
    </row>
    <row r="484" spans="1:21" ht="11.25" customHeight="1" x14ac:dyDescent="0.2">
      <c r="A484" s="164">
        <v>2022</v>
      </c>
      <c r="B484" s="164">
        <v>2</v>
      </c>
      <c r="C484" s="164">
        <v>27</v>
      </c>
      <c r="D484" s="164">
        <f t="shared" si="23"/>
        <v>44619</v>
      </c>
      <c r="E484" s="235">
        <f t="shared" si="25"/>
        <v>44619</v>
      </c>
      <c r="F484" s="480"/>
      <c r="G484" s="208" t="s">
        <v>86</v>
      </c>
      <c r="H484" s="208" t="str" cm="1">
        <f t="array" ref="H484">IFERROR(INDEX(INVESTOR_LIST[INVESTOR NAME],MATCH(I484,INVESTOR_LIST[INVESTOR CODE],0),)," ")</f>
        <v xml:space="preserve"> </v>
      </c>
      <c r="J484" s="165" t="s">
        <v>960</v>
      </c>
      <c r="K484" s="205">
        <v>6905.16</v>
      </c>
      <c r="L484" s="205" t="s">
        <v>1119</v>
      </c>
      <c r="U484" s="166"/>
    </row>
    <row r="485" spans="1:21" ht="11.25" customHeight="1" x14ac:dyDescent="0.2">
      <c r="A485" s="226">
        <v>2022</v>
      </c>
      <c r="B485" s="226">
        <v>2</v>
      </c>
      <c r="C485" s="226">
        <v>27</v>
      </c>
      <c r="D485" s="226">
        <f t="shared" si="23"/>
        <v>44619</v>
      </c>
      <c r="E485" s="234">
        <f t="shared" si="25"/>
        <v>44619</v>
      </c>
      <c r="F485" s="479"/>
      <c r="G485" s="227" t="s">
        <v>86</v>
      </c>
      <c r="H485" s="228" t="str" cm="1">
        <f t="array" ref="H485">IFERROR(INDEX(INVESTOR_LIST[INVESTOR NAME],MATCH(I485,INVESTOR_LIST[INVESTOR CODE],0),)," ")</f>
        <v xml:space="preserve"> </v>
      </c>
      <c r="I485" s="228"/>
      <c r="J485" s="229" t="s">
        <v>961</v>
      </c>
      <c r="K485" s="230" t="s">
        <v>1119</v>
      </c>
      <c r="L485" s="230">
        <v>3843107.76</v>
      </c>
      <c r="U485" s="166"/>
    </row>
    <row r="486" spans="1:21" ht="11.25" customHeight="1" x14ac:dyDescent="0.2">
      <c r="A486" s="221">
        <v>2022</v>
      </c>
      <c r="B486" s="221">
        <v>2</v>
      </c>
      <c r="C486" s="221">
        <v>27</v>
      </c>
      <c r="D486" s="221">
        <f t="shared" si="23"/>
        <v>44619</v>
      </c>
      <c r="E486" s="233">
        <f t="shared" si="25"/>
        <v>44619</v>
      </c>
      <c r="F486" s="478" t="s">
        <v>1126</v>
      </c>
      <c r="G486" s="222" t="s">
        <v>86</v>
      </c>
      <c r="H486" s="222" t="str" cm="1">
        <f t="array" ref="H486">IFERROR(INDEX(INVESTOR_LIST[INVESTOR NAME],MATCH(I486,INVESTOR_LIST[INVESTOR CODE],0),)," ")</f>
        <v xml:space="preserve"> </v>
      </c>
      <c r="I486" s="223"/>
      <c r="J486" s="224" t="s">
        <v>80</v>
      </c>
      <c r="K486" s="225">
        <v>6453533.9000000004</v>
      </c>
      <c r="L486" s="225" t="s">
        <v>1119</v>
      </c>
      <c r="U486" s="166"/>
    </row>
    <row r="487" spans="1:21" ht="11.25" customHeight="1" x14ac:dyDescent="0.2">
      <c r="A487" s="164">
        <v>2022</v>
      </c>
      <c r="B487" s="164">
        <v>2</v>
      </c>
      <c r="C487" s="164">
        <v>27</v>
      </c>
      <c r="D487" s="164">
        <f t="shared" si="23"/>
        <v>44619</v>
      </c>
      <c r="E487" s="235">
        <f t="shared" si="25"/>
        <v>44619</v>
      </c>
      <c r="F487" s="480"/>
      <c r="G487" s="208" t="s">
        <v>86</v>
      </c>
      <c r="H487" s="208" t="str" cm="1">
        <f t="array" ref="H487">IFERROR(INDEX(INVESTOR_LIST[INVESTOR NAME],MATCH(I487,INVESTOR_LIST[INVESTOR CODE],0),)," ")</f>
        <v xml:space="preserve"> </v>
      </c>
      <c r="J487" s="165" t="s">
        <v>960</v>
      </c>
      <c r="K487" s="205">
        <v>11616.36</v>
      </c>
      <c r="L487" s="205" t="s">
        <v>1119</v>
      </c>
      <c r="U487" s="166"/>
    </row>
    <row r="488" spans="1:21" ht="11.25" customHeight="1" x14ac:dyDescent="0.2">
      <c r="A488" s="226">
        <v>2022</v>
      </c>
      <c r="B488" s="226">
        <v>2</v>
      </c>
      <c r="C488" s="226">
        <v>27</v>
      </c>
      <c r="D488" s="226">
        <f t="shared" si="23"/>
        <v>44619</v>
      </c>
      <c r="E488" s="234">
        <f t="shared" si="25"/>
        <v>44619</v>
      </c>
      <c r="F488" s="479"/>
      <c r="G488" s="227" t="s">
        <v>86</v>
      </c>
      <c r="H488" s="228" t="str" cm="1">
        <f t="array" ref="H488">IFERROR(INDEX(INVESTOR_LIST[INVESTOR NAME],MATCH(I488,INVESTOR_LIST[INVESTOR CODE],0),)," ")</f>
        <v xml:space="preserve"> </v>
      </c>
      <c r="I488" s="228"/>
      <c r="J488" s="229" t="s">
        <v>961</v>
      </c>
      <c r="K488" s="230" t="s">
        <v>1119</v>
      </c>
      <c r="L488" s="230">
        <v>6465150.2599999998</v>
      </c>
      <c r="U488" s="166"/>
    </row>
    <row r="489" spans="1:21" ht="11.25" customHeight="1" x14ac:dyDescent="0.2">
      <c r="A489" s="221">
        <v>2022</v>
      </c>
      <c r="B489" s="221">
        <v>2</v>
      </c>
      <c r="C489" s="221">
        <v>27</v>
      </c>
      <c r="D489" s="231">
        <f t="shared" si="23"/>
        <v>44619</v>
      </c>
      <c r="E489" s="233">
        <f>DATE(A489,B489,C489)</f>
        <v>44619</v>
      </c>
      <c r="F489" s="478" t="s">
        <v>1130</v>
      </c>
      <c r="G489" s="222" t="s">
        <v>1111</v>
      </c>
      <c r="H489" s="223" t="str" cm="1">
        <f t="array" ref="H489">IFERROR(INDEX(INVESTOR_LIST[INVESTOR NAME],MATCH(I489,INVESTOR_LIST[INVESTOR CODE],0),)," ")</f>
        <v xml:space="preserve"> </v>
      </c>
      <c r="I489" s="223"/>
      <c r="J489" s="224" t="s">
        <v>961</v>
      </c>
      <c r="K489" s="225">
        <v>6465150.2599999998</v>
      </c>
      <c r="L489" s="225" t="s">
        <v>1119</v>
      </c>
      <c r="U489" s="166"/>
    </row>
    <row r="490" spans="1:21" ht="11.25" customHeight="1" x14ac:dyDescent="0.2">
      <c r="A490" s="226">
        <v>2022</v>
      </c>
      <c r="B490" s="226">
        <v>2</v>
      </c>
      <c r="C490" s="226">
        <v>27</v>
      </c>
      <c r="D490" s="232">
        <f t="shared" si="23"/>
        <v>44619</v>
      </c>
      <c r="E490" s="234">
        <f>DATE(A490,B490,C490)</f>
        <v>44619</v>
      </c>
      <c r="F490" s="479"/>
      <c r="G490" s="227" t="s">
        <v>1111</v>
      </c>
      <c r="H490" s="228" t="str" cm="1">
        <f t="array" ref="H490">IFERROR(INDEX(INVESTOR_LIST[INVESTOR NAME],MATCH(I490,INVESTOR_LIST[INVESTOR CODE],0),)," ")</f>
        <v xml:space="preserve"> </v>
      </c>
      <c r="I490" s="228"/>
      <c r="J490" s="229" t="s">
        <v>55</v>
      </c>
      <c r="K490" s="230" t="s">
        <v>1119</v>
      </c>
      <c r="L490" s="230">
        <v>6465150.2599999998</v>
      </c>
      <c r="U490" s="166"/>
    </row>
    <row r="491" spans="1:21" ht="11.25" customHeight="1" x14ac:dyDescent="0.2">
      <c r="A491" s="221">
        <v>2022</v>
      </c>
      <c r="B491" s="221">
        <v>2</v>
      </c>
      <c r="C491" s="221">
        <v>27</v>
      </c>
      <c r="D491" s="231">
        <f t="shared" si="23"/>
        <v>44619</v>
      </c>
      <c r="E491" s="233">
        <f t="shared" ref="E491:E492" si="28">DATE(A491,B491,C491)</f>
        <v>44619</v>
      </c>
      <c r="F491" s="478" t="s">
        <v>1117</v>
      </c>
      <c r="G491" s="222" t="s">
        <v>1111</v>
      </c>
      <c r="H491" s="223" t="str" cm="1">
        <f t="array" ref="H491">IFERROR(INDEX(INVESTOR_LIST[INVESTOR NAME],MATCH(I491,INVESTOR_LIST[INVESTOR CODE],0),)," ")</f>
        <v xml:space="preserve"> </v>
      </c>
      <c r="I491" s="223"/>
      <c r="J491" s="224" t="s">
        <v>961</v>
      </c>
      <c r="K491" s="225">
        <v>3843107.76</v>
      </c>
      <c r="L491" s="225" t="s">
        <v>1119</v>
      </c>
      <c r="U491" s="166"/>
    </row>
    <row r="492" spans="1:21" ht="11.25" customHeight="1" x14ac:dyDescent="0.2">
      <c r="A492" s="226">
        <v>2022</v>
      </c>
      <c r="B492" s="226">
        <v>2</v>
      </c>
      <c r="C492" s="226">
        <v>27</v>
      </c>
      <c r="D492" s="232">
        <f t="shared" si="23"/>
        <v>44619</v>
      </c>
      <c r="E492" s="234">
        <f t="shared" si="28"/>
        <v>44619</v>
      </c>
      <c r="F492" s="479"/>
      <c r="G492" s="227" t="s">
        <v>1111</v>
      </c>
      <c r="H492" s="228" t="str" cm="1">
        <f t="array" ref="H492">IFERROR(INDEX(INVESTOR_LIST[INVESTOR NAME],MATCH(I492,INVESTOR_LIST[INVESTOR CODE],0),)," ")</f>
        <v xml:space="preserve"> </v>
      </c>
      <c r="I492" s="228"/>
      <c r="J492" s="229" t="s">
        <v>55</v>
      </c>
      <c r="K492" s="230" t="s">
        <v>1119</v>
      </c>
      <c r="L492" s="230">
        <v>3843107.76</v>
      </c>
      <c r="U492" s="166"/>
    </row>
    <row r="493" spans="1:21" ht="11.25" customHeight="1" x14ac:dyDescent="0.2">
      <c r="A493" s="221">
        <v>2022</v>
      </c>
      <c r="B493" s="221">
        <v>2</v>
      </c>
      <c r="C493" s="221">
        <v>28</v>
      </c>
      <c r="D493" s="221">
        <f t="shared" si="23"/>
        <v>44620</v>
      </c>
      <c r="E493" s="233">
        <f t="shared" ref="E493:E495" si="29">DATE(A493,B493,C493)</f>
        <v>44620</v>
      </c>
      <c r="F493" s="478" t="s">
        <v>1126</v>
      </c>
      <c r="G493" s="222" t="s">
        <v>86</v>
      </c>
      <c r="H493" s="222" t="str" cm="1">
        <f t="array" ref="H493">IFERROR(INDEX(INVESTOR_LIST[INVESTOR NAME],MATCH(I493,INVESTOR_LIST[INVESTOR CODE],0),)," ")</f>
        <v xml:space="preserve"> </v>
      </c>
      <c r="I493" s="223"/>
      <c r="J493" s="224" t="s">
        <v>80</v>
      </c>
      <c r="K493" s="225">
        <v>921080</v>
      </c>
      <c r="L493" s="225" t="s">
        <v>1119</v>
      </c>
      <c r="U493" s="166"/>
    </row>
    <row r="494" spans="1:21" ht="11.25" customHeight="1" x14ac:dyDescent="0.2">
      <c r="A494" s="164">
        <v>2022</v>
      </c>
      <c r="B494" s="164">
        <v>2</v>
      </c>
      <c r="C494" s="164">
        <v>28</v>
      </c>
      <c r="D494" s="164">
        <f t="shared" si="23"/>
        <v>44620</v>
      </c>
      <c r="E494" s="235">
        <f t="shared" si="29"/>
        <v>44620</v>
      </c>
      <c r="F494" s="480"/>
      <c r="G494" s="208" t="s">
        <v>86</v>
      </c>
      <c r="H494" s="208" t="str" cm="1">
        <f t="array" ref="H494">IFERROR(INDEX(INVESTOR_LIST[INVESTOR NAME],MATCH(I494,INVESTOR_LIST[INVESTOR CODE],0),)," ")</f>
        <v xml:space="preserve"> </v>
      </c>
      <c r="J494" s="165" t="s">
        <v>960</v>
      </c>
      <c r="K494" s="205">
        <v>1657.94</v>
      </c>
      <c r="L494" s="205" t="s">
        <v>1119</v>
      </c>
      <c r="U494" s="166"/>
    </row>
    <row r="495" spans="1:21" ht="11.25" customHeight="1" x14ac:dyDescent="0.2">
      <c r="A495" s="226">
        <v>2022</v>
      </c>
      <c r="B495" s="226">
        <v>2</v>
      </c>
      <c r="C495" s="226">
        <v>28</v>
      </c>
      <c r="D495" s="226">
        <f t="shared" si="23"/>
        <v>44620</v>
      </c>
      <c r="E495" s="234">
        <f t="shared" si="29"/>
        <v>44620</v>
      </c>
      <c r="F495" s="479"/>
      <c r="G495" s="227" t="s">
        <v>86</v>
      </c>
      <c r="H495" s="228" t="str" cm="1">
        <f t="array" ref="H495">IFERROR(INDEX(INVESTOR_LIST[INVESTOR NAME],MATCH(I495,INVESTOR_LIST[INVESTOR CODE],0),)," ")</f>
        <v xml:space="preserve"> </v>
      </c>
      <c r="I495" s="228"/>
      <c r="J495" s="229" t="s">
        <v>961</v>
      </c>
      <c r="K495" s="230" t="s">
        <v>1119</v>
      </c>
      <c r="L495" s="230">
        <v>922737.94</v>
      </c>
      <c r="U495" s="166"/>
    </row>
    <row r="496" spans="1:21" ht="11.25" customHeight="1" x14ac:dyDescent="0.2">
      <c r="A496" s="221">
        <v>2022</v>
      </c>
      <c r="B496" s="221">
        <v>2</v>
      </c>
      <c r="C496" s="221">
        <v>28</v>
      </c>
      <c r="D496" s="231">
        <f t="shared" si="23"/>
        <v>44620</v>
      </c>
      <c r="E496" s="233">
        <f>DATE(A496,B496,C496)</f>
        <v>44620</v>
      </c>
      <c r="F496" s="478" t="s">
        <v>1130</v>
      </c>
      <c r="G496" s="222" t="s">
        <v>1111</v>
      </c>
      <c r="H496" s="223" t="str" cm="1">
        <f t="array" ref="H496">IFERROR(INDEX(INVESTOR_LIST[INVESTOR NAME],MATCH(I496,INVESTOR_LIST[INVESTOR CODE],0),)," ")</f>
        <v xml:space="preserve"> </v>
      </c>
      <c r="I496" s="223"/>
      <c r="J496" s="224" t="s">
        <v>961</v>
      </c>
      <c r="K496" s="225">
        <v>922737.94</v>
      </c>
      <c r="L496" s="225" t="s">
        <v>1119</v>
      </c>
      <c r="U496" s="166"/>
    </row>
    <row r="497" spans="1:21" ht="11.25" customHeight="1" x14ac:dyDescent="0.2">
      <c r="A497" s="226">
        <v>2022</v>
      </c>
      <c r="B497" s="226">
        <v>2</v>
      </c>
      <c r="C497" s="226">
        <v>28</v>
      </c>
      <c r="D497" s="232">
        <f t="shared" si="23"/>
        <v>44620</v>
      </c>
      <c r="E497" s="234">
        <f>DATE(A497,B497,C497)</f>
        <v>44620</v>
      </c>
      <c r="F497" s="479"/>
      <c r="G497" s="227" t="s">
        <v>1111</v>
      </c>
      <c r="H497" s="228" t="str" cm="1">
        <f t="array" ref="H497">IFERROR(INDEX(INVESTOR_LIST[INVESTOR NAME],MATCH(I497,INVESTOR_LIST[INVESTOR CODE],0),)," ")</f>
        <v xml:space="preserve"> </v>
      </c>
      <c r="I497" s="228"/>
      <c r="J497" s="229" t="s">
        <v>55</v>
      </c>
      <c r="K497" s="230" t="s">
        <v>1119</v>
      </c>
      <c r="L497" s="230">
        <v>922737.94</v>
      </c>
      <c r="U497" s="166"/>
    </row>
    <row r="498" spans="1:21" ht="11.25" customHeight="1" x14ac:dyDescent="0.2">
      <c r="A498" s="221">
        <v>2022</v>
      </c>
      <c r="B498" s="221">
        <v>2</v>
      </c>
      <c r="C498" s="221">
        <v>28</v>
      </c>
      <c r="D498" s="221">
        <f t="shared" si="23"/>
        <v>44620</v>
      </c>
      <c r="E498" s="233">
        <f t="shared" ref="E498:E500" si="30">DATE(A498,B498,C498)</f>
        <v>44620</v>
      </c>
      <c r="F498" s="478" t="s">
        <v>1129</v>
      </c>
      <c r="G498" s="222" t="s">
        <v>86</v>
      </c>
      <c r="H498" s="222" t="str" cm="1">
        <f t="array" ref="H498">IFERROR(INDEX(INVESTOR_LIST[INVESTOR NAME],MATCH(I498,INVESTOR_LIST[INVESTOR CODE],0),)," ")</f>
        <v xml:space="preserve"> </v>
      </c>
      <c r="I498" s="223"/>
      <c r="J498" s="224" t="s">
        <v>80</v>
      </c>
      <c r="K498" s="225">
        <v>3757732.7</v>
      </c>
      <c r="L498" s="225" t="s">
        <v>1119</v>
      </c>
      <c r="U498" s="166"/>
    </row>
    <row r="499" spans="1:21" ht="11.25" customHeight="1" x14ac:dyDescent="0.2">
      <c r="A499" s="164">
        <v>2022</v>
      </c>
      <c r="B499" s="164">
        <v>2</v>
      </c>
      <c r="C499" s="164">
        <v>28</v>
      </c>
      <c r="D499" s="164">
        <f t="shared" si="23"/>
        <v>44620</v>
      </c>
      <c r="E499" s="235">
        <f t="shared" si="30"/>
        <v>44620</v>
      </c>
      <c r="F499" s="480"/>
      <c r="G499" s="208" t="s">
        <v>86</v>
      </c>
      <c r="H499" s="208" t="str" cm="1">
        <f t="array" ref="H499">IFERROR(INDEX(INVESTOR_LIST[INVESTOR NAME],MATCH(I499,INVESTOR_LIST[INVESTOR CODE],0),)," ")</f>
        <v xml:space="preserve"> </v>
      </c>
      <c r="J499" s="165" t="s">
        <v>960</v>
      </c>
      <c r="K499" s="205">
        <v>6763.92</v>
      </c>
      <c r="L499" s="205" t="s">
        <v>1119</v>
      </c>
      <c r="U499" s="166"/>
    </row>
    <row r="500" spans="1:21" ht="11.25" customHeight="1" x14ac:dyDescent="0.2">
      <c r="A500" s="226">
        <v>2022</v>
      </c>
      <c r="B500" s="226">
        <v>2</v>
      </c>
      <c r="C500" s="226">
        <v>28</v>
      </c>
      <c r="D500" s="226">
        <f t="shared" si="23"/>
        <v>44620</v>
      </c>
      <c r="E500" s="234">
        <f t="shared" si="30"/>
        <v>44620</v>
      </c>
      <c r="F500" s="479"/>
      <c r="G500" s="227" t="s">
        <v>86</v>
      </c>
      <c r="H500" s="228" t="str" cm="1">
        <f t="array" ref="H500">IFERROR(INDEX(INVESTOR_LIST[INVESTOR NAME],MATCH(I500,INVESTOR_LIST[INVESTOR CODE],0),)," ")</f>
        <v xml:space="preserve"> </v>
      </c>
      <c r="I500" s="228"/>
      <c r="J500" s="229" t="s">
        <v>961</v>
      </c>
      <c r="K500" s="230" t="s">
        <v>1119</v>
      </c>
      <c r="L500" s="230">
        <v>3764496.62</v>
      </c>
      <c r="U500" s="166"/>
    </row>
    <row r="501" spans="1:21" ht="11.25" customHeight="1" x14ac:dyDescent="0.2">
      <c r="A501" s="221">
        <v>2022</v>
      </c>
      <c r="B501" s="221">
        <v>2</v>
      </c>
      <c r="C501" s="221">
        <v>28</v>
      </c>
      <c r="D501" s="231">
        <f t="shared" si="23"/>
        <v>44620</v>
      </c>
      <c r="E501" s="233">
        <f>DATE(A501,B501,C501)</f>
        <v>44620</v>
      </c>
      <c r="F501" s="478" t="s">
        <v>1131</v>
      </c>
      <c r="G501" s="222" t="s">
        <v>1111</v>
      </c>
      <c r="H501" s="223" t="str" cm="1">
        <f t="array" ref="H501">IFERROR(INDEX(INVESTOR_LIST[INVESTOR NAME],MATCH(I501,INVESTOR_LIST[INVESTOR CODE],0),)," ")</f>
        <v xml:space="preserve"> </v>
      </c>
      <c r="I501" s="223"/>
      <c r="J501" s="224" t="s">
        <v>961</v>
      </c>
      <c r="K501" s="225">
        <v>3764496.62</v>
      </c>
      <c r="L501" s="225" t="s">
        <v>1119</v>
      </c>
      <c r="U501" s="166"/>
    </row>
    <row r="502" spans="1:21" ht="11.25" customHeight="1" x14ac:dyDescent="0.2">
      <c r="A502" s="226">
        <v>2022</v>
      </c>
      <c r="B502" s="226">
        <v>2</v>
      </c>
      <c r="C502" s="226">
        <v>28</v>
      </c>
      <c r="D502" s="232">
        <f t="shared" si="23"/>
        <v>44620</v>
      </c>
      <c r="E502" s="234">
        <f>DATE(A502,B502,C502)</f>
        <v>44620</v>
      </c>
      <c r="F502" s="479"/>
      <c r="G502" s="227" t="s">
        <v>1111</v>
      </c>
      <c r="H502" s="228" t="str" cm="1">
        <f t="array" ref="H502">IFERROR(INDEX(INVESTOR_LIST[INVESTOR NAME],MATCH(I502,INVESTOR_LIST[INVESTOR CODE],0),)," ")</f>
        <v xml:space="preserve"> </v>
      </c>
      <c r="I502" s="228"/>
      <c r="J502" s="229" t="s">
        <v>55</v>
      </c>
      <c r="K502" s="230" t="s">
        <v>1119</v>
      </c>
      <c r="L502" s="230">
        <v>3764496.62</v>
      </c>
      <c r="U502" s="166"/>
    </row>
    <row r="503" spans="1:21" ht="11.25" customHeight="1" x14ac:dyDescent="0.2">
      <c r="A503" s="221">
        <v>2022</v>
      </c>
      <c r="B503" s="221">
        <v>3</v>
      </c>
      <c r="C503" s="221">
        <v>1</v>
      </c>
      <c r="D503" s="231">
        <f t="shared" si="23"/>
        <v>44621</v>
      </c>
      <c r="E503" s="233">
        <f>DATE(A503,B503,C503)</f>
        <v>44621</v>
      </c>
      <c r="F503" s="478" t="s">
        <v>1133</v>
      </c>
      <c r="G503" s="222" t="s">
        <v>1111</v>
      </c>
      <c r="H503" s="223" t="str" cm="1">
        <f t="array" ref="H503">IFERROR(INDEX(INVESTOR_LIST[INVESTOR NAME],MATCH(I503,INVESTOR_LIST[INVESTOR CODE],0),)," ")</f>
        <v xml:space="preserve"> </v>
      </c>
      <c r="I503" s="223"/>
      <c r="J503" s="224" t="s">
        <v>88</v>
      </c>
      <c r="K503" s="225">
        <v>80000000</v>
      </c>
      <c r="L503" s="225" t="s">
        <v>1119</v>
      </c>
      <c r="U503" s="166"/>
    </row>
    <row r="504" spans="1:21" ht="11.25" customHeight="1" x14ac:dyDescent="0.2">
      <c r="A504" s="226">
        <v>2022</v>
      </c>
      <c r="B504" s="226">
        <v>3</v>
      </c>
      <c r="C504" s="226">
        <v>1</v>
      </c>
      <c r="D504" s="232">
        <f t="shared" si="23"/>
        <v>44621</v>
      </c>
      <c r="E504" s="234">
        <f>DATE(A504,B504,C504)</f>
        <v>44621</v>
      </c>
      <c r="F504" s="479"/>
      <c r="G504" s="227" t="s">
        <v>1111</v>
      </c>
      <c r="H504" s="228" t="str" cm="1">
        <f t="array" ref="H504">IFERROR(INDEX(INVESTOR_LIST[INVESTOR NAME],MATCH(I504,INVESTOR_LIST[INVESTOR CODE],0),)," ")</f>
        <v xml:space="preserve"> </v>
      </c>
      <c r="I504" s="228"/>
      <c r="J504" s="229" t="s">
        <v>55</v>
      </c>
      <c r="K504" s="230" t="s">
        <v>1119</v>
      </c>
      <c r="L504" s="230">
        <v>80000000</v>
      </c>
      <c r="U504" s="166"/>
    </row>
    <row r="505" spans="1:21" ht="11.25" customHeight="1" x14ac:dyDescent="0.2">
      <c r="A505" s="221">
        <v>2022</v>
      </c>
      <c r="B505" s="221">
        <v>3</v>
      </c>
      <c r="C505" s="221">
        <v>1</v>
      </c>
      <c r="D505" s="231">
        <f t="shared" si="23"/>
        <v>44621</v>
      </c>
      <c r="E505" s="233">
        <f t="shared" ref="E505:E506" si="31">DATE(A505,B505,C505)</f>
        <v>44621</v>
      </c>
      <c r="F505" s="478" t="s">
        <v>1114</v>
      </c>
      <c r="G505" s="222" t="s">
        <v>1111</v>
      </c>
      <c r="H505" s="223" t="str" cm="1">
        <f t="array" ref="H505">IFERROR(INDEX(INVESTOR_LIST[INVESTOR NAME],MATCH(I505,INVESTOR_LIST[INVESTOR CODE],0),)," ")</f>
        <v xml:space="preserve"> </v>
      </c>
      <c r="I505" s="223"/>
      <c r="J505" s="224" t="s">
        <v>63</v>
      </c>
      <c r="K505" s="225">
        <v>115</v>
      </c>
      <c r="L505" s="225" t="s">
        <v>1119</v>
      </c>
      <c r="U505" s="166"/>
    </row>
    <row r="506" spans="1:21" ht="11.25" customHeight="1" x14ac:dyDescent="0.2">
      <c r="A506" s="226">
        <v>2022</v>
      </c>
      <c r="B506" s="226">
        <v>3</v>
      </c>
      <c r="C506" s="226">
        <v>1</v>
      </c>
      <c r="D506" s="232">
        <f t="shared" si="23"/>
        <v>44621</v>
      </c>
      <c r="E506" s="234">
        <f t="shared" si="31"/>
        <v>44621</v>
      </c>
      <c r="F506" s="479"/>
      <c r="G506" s="227" t="s">
        <v>1111</v>
      </c>
      <c r="H506" s="228" t="str" cm="1">
        <f t="array" ref="H506">IFERROR(INDEX(INVESTOR_LIST[INVESTOR NAME],MATCH(I506,INVESTOR_LIST[INVESTOR CODE],0),)," ")</f>
        <v xml:space="preserve"> </v>
      </c>
      <c r="I506" s="228"/>
      <c r="J506" s="229" t="s">
        <v>55</v>
      </c>
      <c r="K506" s="230" t="s">
        <v>1119</v>
      </c>
      <c r="L506" s="230">
        <v>115</v>
      </c>
      <c r="U506" s="166"/>
    </row>
    <row r="507" spans="1:21" ht="11.25" customHeight="1" x14ac:dyDescent="0.2">
      <c r="A507" s="221">
        <v>2022</v>
      </c>
      <c r="B507" s="221">
        <v>3</v>
      </c>
      <c r="C507" s="221">
        <v>1</v>
      </c>
      <c r="D507" s="231">
        <f t="shared" si="23"/>
        <v>44621</v>
      </c>
      <c r="E507" s="233">
        <f t="shared" ref="E507:E509" si="32">DATE(A507,B507,C507)</f>
        <v>44621</v>
      </c>
      <c r="F507" s="478" t="s">
        <v>1132</v>
      </c>
      <c r="G507" s="222" t="s">
        <v>1111</v>
      </c>
      <c r="H507" s="223" t="str" cm="1">
        <f t="array" ref="H507">IFERROR(INDEX(INVESTOR_LIST[INVESTOR NAME],MATCH(I507,INVESTOR_LIST[INVESTOR CODE],0),)," ")</f>
        <v>MOHAMMAD NASIR HOSSAIN</v>
      </c>
      <c r="I507" s="223" t="s">
        <v>549</v>
      </c>
      <c r="J507" s="224" t="s">
        <v>55</v>
      </c>
      <c r="K507" s="225">
        <v>5000</v>
      </c>
      <c r="L507" s="225" t="s">
        <v>1119</v>
      </c>
      <c r="U507" s="166"/>
    </row>
    <row r="508" spans="1:21" ht="11.25" customHeight="1" x14ac:dyDescent="0.2">
      <c r="A508" s="164">
        <v>2022</v>
      </c>
      <c r="B508" s="164">
        <v>3</v>
      </c>
      <c r="C508" s="164">
        <v>1</v>
      </c>
      <c r="D508" s="156">
        <f t="shared" si="23"/>
        <v>44621</v>
      </c>
      <c r="E508" s="235">
        <f t="shared" si="32"/>
        <v>44621</v>
      </c>
      <c r="F508" s="480"/>
      <c r="G508" s="208" t="s">
        <v>1111</v>
      </c>
      <c r="H508" s="206" t="str" cm="1">
        <f t="array" ref="H508">IFERROR(INDEX(INVESTOR_LIST[INVESTOR NAME],MATCH(I508,INVESTOR_LIST[INVESTOR CODE],0),)," ")</f>
        <v>MOHAMMAD NASIR HOSSAIN</v>
      </c>
      <c r="I508" s="206" t="s">
        <v>549</v>
      </c>
      <c r="J508" s="165" t="s">
        <v>1112</v>
      </c>
      <c r="K508" s="205">
        <v>20</v>
      </c>
      <c r="L508" s="205" t="s">
        <v>1119</v>
      </c>
      <c r="U508" s="166"/>
    </row>
    <row r="509" spans="1:21" ht="11.25" customHeight="1" x14ac:dyDescent="0.2">
      <c r="A509" s="226">
        <v>2022</v>
      </c>
      <c r="B509" s="226">
        <v>3</v>
      </c>
      <c r="C509" s="226">
        <v>1</v>
      </c>
      <c r="D509" s="232">
        <f t="shared" si="23"/>
        <v>44621</v>
      </c>
      <c r="E509" s="234">
        <f t="shared" si="32"/>
        <v>44621</v>
      </c>
      <c r="F509" s="479"/>
      <c r="G509" s="227" t="s">
        <v>1111</v>
      </c>
      <c r="H509" s="228" t="str" cm="1">
        <f t="array" ref="H509">IFERROR(INDEX(INVESTOR_LIST[INVESTOR NAME],MATCH(I509,INVESTOR_LIST[INVESTOR CODE],0),)," ")</f>
        <v>MOHAMMAD NASIR HOSSAIN</v>
      </c>
      <c r="I509" s="228" t="s">
        <v>549</v>
      </c>
      <c r="J509" s="229" t="s">
        <v>14</v>
      </c>
      <c r="K509" s="230" t="s">
        <v>1119</v>
      </c>
      <c r="L509" s="230">
        <v>5020</v>
      </c>
      <c r="U509" s="166"/>
    </row>
    <row r="510" spans="1:21" ht="11.25" customHeight="1" x14ac:dyDescent="0.2">
      <c r="A510" s="221">
        <v>2022</v>
      </c>
      <c r="B510" s="221">
        <v>3</v>
      </c>
      <c r="C510" s="164">
        <v>2</v>
      </c>
      <c r="D510" s="231">
        <f t="shared" si="23"/>
        <v>44622</v>
      </c>
      <c r="E510" s="233">
        <f>DATE(A510,B510,C510)</f>
        <v>44622</v>
      </c>
      <c r="F510" s="478" t="s">
        <v>1115</v>
      </c>
      <c r="G510" s="222" t="s">
        <v>1111</v>
      </c>
      <c r="H510" s="223" t="str" cm="1">
        <f t="array" ref="H510">IFERROR(INDEX(INVESTOR_LIST[INVESTOR NAME],MATCH(I510,INVESTOR_LIST[INVESTOR CODE],0),)," ")</f>
        <v>B.M. MIRAZ HOSSAIN</v>
      </c>
      <c r="I510" s="223" t="s">
        <v>937</v>
      </c>
      <c r="J510" s="224" t="s">
        <v>14</v>
      </c>
      <c r="K510" s="225">
        <v>100000</v>
      </c>
      <c r="L510" s="225" t="s">
        <v>1119</v>
      </c>
      <c r="U510" s="166"/>
    </row>
    <row r="511" spans="1:21" ht="11.25" customHeight="1" x14ac:dyDescent="0.2">
      <c r="A511" s="164">
        <v>2022</v>
      </c>
      <c r="B511" s="164">
        <v>3</v>
      </c>
      <c r="C511" s="164">
        <v>2</v>
      </c>
      <c r="D511" s="156">
        <f t="shared" si="23"/>
        <v>44622</v>
      </c>
      <c r="E511" s="235">
        <f t="shared" ref="E511" si="33">DATE(A511,B511,C511)</f>
        <v>44622</v>
      </c>
      <c r="F511" s="480"/>
      <c r="G511" s="208" t="s">
        <v>1111</v>
      </c>
      <c r="H511" s="206" t="str" cm="1">
        <f t="array" ref="H511">IFERROR(INDEX(INVESTOR_LIST[INVESTOR NAME],MATCH(I511,INVESTOR_LIST[INVESTOR CODE],0),)," ")</f>
        <v>B.M. MIRAZ HOSSAIN</v>
      </c>
      <c r="I511" s="206" t="s">
        <v>937</v>
      </c>
      <c r="J511" s="165" t="s">
        <v>1112</v>
      </c>
      <c r="K511" s="205" t="s">
        <v>1119</v>
      </c>
      <c r="L511" s="205">
        <v>300</v>
      </c>
      <c r="U511" s="166"/>
    </row>
    <row r="512" spans="1:21" ht="11.25" customHeight="1" x14ac:dyDescent="0.2">
      <c r="A512" s="226">
        <v>2022</v>
      </c>
      <c r="B512" s="226">
        <v>3</v>
      </c>
      <c r="C512" s="226">
        <v>2</v>
      </c>
      <c r="D512" s="232">
        <f t="shared" si="23"/>
        <v>44622</v>
      </c>
      <c r="E512" s="234">
        <f>DATE(A512,B512,C512)</f>
        <v>44622</v>
      </c>
      <c r="F512" s="479"/>
      <c r="G512" s="227" t="s">
        <v>1111</v>
      </c>
      <c r="H512" s="228" t="str" cm="1">
        <f t="array" ref="H512">IFERROR(INDEX(INVESTOR_LIST[INVESTOR NAME],MATCH(I512,INVESTOR_LIST[INVESTOR CODE],0),)," ")</f>
        <v>B.M. MIRAZ HOSSAIN</v>
      </c>
      <c r="I512" s="228" t="s">
        <v>937</v>
      </c>
      <c r="J512" s="229" t="s">
        <v>55</v>
      </c>
      <c r="K512" s="230" t="s">
        <v>1119</v>
      </c>
      <c r="L512" s="230">
        <v>99700</v>
      </c>
      <c r="U512" s="166"/>
    </row>
    <row r="513" spans="1:21" ht="11.25" customHeight="1" x14ac:dyDescent="0.2">
      <c r="A513" s="221">
        <v>2022</v>
      </c>
      <c r="B513" s="221">
        <v>3</v>
      </c>
      <c r="C513" s="221">
        <v>3</v>
      </c>
      <c r="D513" s="231">
        <f t="shared" si="23"/>
        <v>44623</v>
      </c>
      <c r="E513" s="233">
        <f t="shared" ref="E513:E514" si="34">DATE(A513,B513,C513)</f>
        <v>44623</v>
      </c>
      <c r="F513" s="478" t="s">
        <v>1114</v>
      </c>
      <c r="G513" s="222" t="s">
        <v>1111</v>
      </c>
      <c r="H513" s="223" t="str" cm="1">
        <f t="array" ref="H513">IFERROR(INDEX(INVESTOR_LIST[INVESTOR NAME],MATCH(I513,INVESTOR_LIST[INVESTOR CODE],0),)," ")</f>
        <v xml:space="preserve"> </v>
      </c>
      <c r="I513" s="223"/>
      <c r="J513" s="224" t="s">
        <v>63</v>
      </c>
      <c r="K513" s="225">
        <v>402.5</v>
      </c>
      <c r="L513" s="225" t="s">
        <v>1119</v>
      </c>
      <c r="U513" s="166"/>
    </row>
    <row r="514" spans="1:21" ht="11.25" customHeight="1" x14ac:dyDescent="0.2">
      <c r="A514" s="226">
        <v>2022</v>
      </c>
      <c r="B514" s="226">
        <v>3</v>
      </c>
      <c r="C514" s="226">
        <v>3</v>
      </c>
      <c r="D514" s="232">
        <f t="shared" si="23"/>
        <v>44623</v>
      </c>
      <c r="E514" s="234">
        <f t="shared" si="34"/>
        <v>44623</v>
      </c>
      <c r="F514" s="479"/>
      <c r="G514" s="227" t="s">
        <v>1111</v>
      </c>
      <c r="H514" s="228" t="str" cm="1">
        <f t="array" ref="H514">IFERROR(INDEX(INVESTOR_LIST[INVESTOR NAME],MATCH(I514,INVESTOR_LIST[INVESTOR CODE],0),)," ")</f>
        <v xml:space="preserve"> </v>
      </c>
      <c r="I514" s="228"/>
      <c r="J514" s="229" t="s">
        <v>55</v>
      </c>
      <c r="K514" s="230" t="s">
        <v>1119</v>
      </c>
      <c r="L514" s="230">
        <v>402.5</v>
      </c>
      <c r="U514" s="166"/>
    </row>
    <row r="515" spans="1:21" ht="11.25" customHeight="1" x14ac:dyDescent="0.2">
      <c r="A515" s="221">
        <v>2022</v>
      </c>
      <c r="B515" s="221">
        <v>3</v>
      </c>
      <c r="C515" s="164">
        <v>3</v>
      </c>
      <c r="D515" s="231">
        <f t="shared" si="23"/>
        <v>44623</v>
      </c>
      <c r="E515" s="233">
        <f>DATE(A515,B515,C515)</f>
        <v>44623</v>
      </c>
      <c r="F515" s="478" t="s">
        <v>1115</v>
      </c>
      <c r="G515" s="222" t="s">
        <v>1111</v>
      </c>
      <c r="H515" s="223" t="str" cm="1">
        <f t="array" ref="H515">IFERROR(INDEX(INVESTOR_LIST[INVESTOR NAME],MATCH(I515,INVESTOR_LIST[INVESTOR CODE],0),)," ")</f>
        <v>K.M SAKIB AHMED</v>
      </c>
      <c r="I515" s="223" t="s">
        <v>484</v>
      </c>
      <c r="J515" s="224" t="s">
        <v>14</v>
      </c>
      <c r="K515" s="225">
        <v>900000</v>
      </c>
      <c r="L515" s="225" t="s">
        <v>1119</v>
      </c>
      <c r="U515" s="166"/>
    </row>
    <row r="516" spans="1:21" ht="11.25" customHeight="1" x14ac:dyDescent="0.2">
      <c r="A516" s="164">
        <v>2022</v>
      </c>
      <c r="B516" s="164">
        <v>3</v>
      </c>
      <c r="C516" s="164">
        <v>3</v>
      </c>
      <c r="D516" s="156">
        <f t="shared" si="23"/>
        <v>44623</v>
      </c>
      <c r="E516" s="235">
        <f t="shared" ref="E516" si="35">DATE(A516,B516,C516)</f>
        <v>44623</v>
      </c>
      <c r="F516" s="480"/>
      <c r="G516" s="208" t="s">
        <v>1111</v>
      </c>
      <c r="H516" s="206" t="str" cm="1">
        <f t="array" ref="H516">IFERROR(INDEX(INVESTOR_LIST[INVESTOR NAME],MATCH(I516,INVESTOR_LIST[INVESTOR CODE],0),)," ")</f>
        <v>K.M SAKIB AHMED</v>
      </c>
      <c r="I516" s="206" t="s">
        <v>484</v>
      </c>
      <c r="J516" s="165" t="s">
        <v>1112</v>
      </c>
      <c r="K516" s="205" t="s">
        <v>1119</v>
      </c>
      <c r="L516" s="205">
        <v>2700</v>
      </c>
      <c r="U516" s="166"/>
    </row>
    <row r="517" spans="1:21" ht="11.25" customHeight="1" x14ac:dyDescent="0.2">
      <c r="A517" s="226">
        <v>2022</v>
      </c>
      <c r="B517" s="226">
        <v>3</v>
      </c>
      <c r="C517" s="226">
        <v>3</v>
      </c>
      <c r="D517" s="232">
        <f t="shared" si="23"/>
        <v>44623</v>
      </c>
      <c r="E517" s="234">
        <f>DATE(A517,B517,C517)</f>
        <v>44623</v>
      </c>
      <c r="F517" s="479"/>
      <c r="G517" s="227" t="s">
        <v>1111</v>
      </c>
      <c r="H517" s="228" t="str" cm="1">
        <f t="array" ref="H517">IFERROR(INDEX(INVESTOR_LIST[INVESTOR NAME],MATCH(I517,INVESTOR_LIST[INVESTOR CODE],0),)," ")</f>
        <v>K.M SAKIB AHMED</v>
      </c>
      <c r="I517" s="228" t="s">
        <v>484</v>
      </c>
      <c r="J517" s="229" t="s">
        <v>55</v>
      </c>
      <c r="K517" s="230" t="s">
        <v>1119</v>
      </c>
      <c r="L517" s="230">
        <v>897300</v>
      </c>
      <c r="U517" s="166"/>
    </row>
    <row r="518" spans="1:21" ht="11.25" customHeight="1" x14ac:dyDescent="0.2">
      <c r="A518" s="221">
        <v>2022</v>
      </c>
      <c r="B518" s="221">
        <v>3</v>
      </c>
      <c r="C518" s="164">
        <v>3</v>
      </c>
      <c r="D518" s="221">
        <f t="shared" si="23"/>
        <v>44623</v>
      </c>
      <c r="E518" s="233">
        <f t="shared" ref="E518:E520" si="36">DATE(A518,B518,C518)</f>
        <v>44623</v>
      </c>
      <c r="F518" s="478" t="s">
        <v>1135</v>
      </c>
      <c r="G518" s="222" t="s">
        <v>86</v>
      </c>
      <c r="H518" s="222" t="str" cm="1">
        <f t="array" ref="H518">IFERROR(INDEX(INVESTOR_LIST[INVESTOR NAME],MATCH(I518,INVESTOR_LIST[INVESTOR CODE],0),)," ")</f>
        <v xml:space="preserve"> </v>
      </c>
      <c r="I518" s="223"/>
      <c r="J518" s="224" t="s">
        <v>80</v>
      </c>
      <c r="K518" s="225">
        <v>3077878.8</v>
      </c>
      <c r="L518" s="225" t="s">
        <v>1119</v>
      </c>
      <c r="U518" s="166"/>
    </row>
    <row r="519" spans="1:21" ht="11.25" customHeight="1" x14ac:dyDescent="0.2">
      <c r="A519" s="164">
        <v>2022</v>
      </c>
      <c r="B519" s="164">
        <v>3</v>
      </c>
      <c r="C519" s="164">
        <v>3</v>
      </c>
      <c r="D519" s="164">
        <f t="shared" si="23"/>
        <v>44623</v>
      </c>
      <c r="E519" s="235">
        <f t="shared" si="36"/>
        <v>44623</v>
      </c>
      <c r="F519" s="480"/>
      <c r="G519" s="208" t="s">
        <v>86</v>
      </c>
      <c r="H519" s="208" t="str" cm="1">
        <f t="array" ref="H519">IFERROR(INDEX(INVESTOR_LIST[INVESTOR NAME],MATCH(I519,INVESTOR_LIST[INVESTOR CODE],0),)," ")</f>
        <v xml:space="preserve"> </v>
      </c>
      <c r="J519" s="165" t="s">
        <v>960</v>
      </c>
      <c r="K519" s="205">
        <v>5540.18</v>
      </c>
      <c r="L519" s="205" t="s">
        <v>1119</v>
      </c>
      <c r="U519" s="166"/>
    </row>
    <row r="520" spans="1:21" ht="11.25" customHeight="1" x14ac:dyDescent="0.2">
      <c r="A520" s="226">
        <v>2022</v>
      </c>
      <c r="B520" s="226">
        <v>3</v>
      </c>
      <c r="C520" s="226">
        <v>3</v>
      </c>
      <c r="D520" s="226">
        <f t="shared" si="23"/>
        <v>44623</v>
      </c>
      <c r="E520" s="234">
        <f t="shared" si="36"/>
        <v>44623</v>
      </c>
      <c r="F520" s="479"/>
      <c r="G520" s="227" t="s">
        <v>86</v>
      </c>
      <c r="H520" s="228" t="str" cm="1">
        <f t="array" ref="H520">IFERROR(INDEX(INVESTOR_LIST[INVESTOR NAME],MATCH(I520,INVESTOR_LIST[INVESTOR CODE],0),)," ")</f>
        <v xml:space="preserve"> </v>
      </c>
      <c r="I520" s="228"/>
      <c r="J520" s="229" t="s">
        <v>961</v>
      </c>
      <c r="K520" s="230" t="s">
        <v>1119</v>
      </c>
      <c r="L520" s="230">
        <v>3083418.98</v>
      </c>
      <c r="U520" s="166"/>
    </row>
    <row r="521" spans="1:21" ht="11.25" customHeight="1" x14ac:dyDescent="0.2">
      <c r="A521" s="221">
        <v>2022</v>
      </c>
      <c r="B521" s="221">
        <v>3</v>
      </c>
      <c r="C521" s="164">
        <v>3</v>
      </c>
      <c r="D521" s="221">
        <f t="shared" ref="D521:D584" si="37">DATE(A521,B521,C521)</f>
        <v>44623</v>
      </c>
      <c r="E521" s="233">
        <f t="shared" ref="E521:E523" si="38">DATE(A521,B521,C521)</f>
        <v>44623</v>
      </c>
      <c r="F521" s="478" t="s">
        <v>1136</v>
      </c>
      <c r="G521" s="222" t="s">
        <v>86</v>
      </c>
      <c r="H521" s="222" t="str" cm="1">
        <f t="array" ref="H521">IFERROR(INDEX(INVESTOR_LIST[INVESTOR NAME],MATCH(I521,INVESTOR_LIST[INVESTOR CODE],0),)," ")</f>
        <v xml:space="preserve"> </v>
      </c>
      <c r="I521" s="223"/>
      <c r="J521" s="224" t="s">
        <v>80</v>
      </c>
      <c r="K521" s="225">
        <v>7371399.4000000004</v>
      </c>
      <c r="L521" s="225" t="s">
        <v>1119</v>
      </c>
      <c r="U521" s="166"/>
    </row>
    <row r="522" spans="1:21" ht="11.25" customHeight="1" x14ac:dyDescent="0.2">
      <c r="A522" s="164">
        <v>2022</v>
      </c>
      <c r="B522" s="164">
        <v>3</v>
      </c>
      <c r="C522" s="164">
        <v>3</v>
      </c>
      <c r="D522" s="164">
        <f t="shared" si="37"/>
        <v>44623</v>
      </c>
      <c r="E522" s="235">
        <f t="shared" si="38"/>
        <v>44623</v>
      </c>
      <c r="F522" s="480"/>
      <c r="G522" s="208" t="s">
        <v>86</v>
      </c>
      <c r="H522" s="208" t="str" cm="1">
        <f t="array" ref="H522">IFERROR(INDEX(INVESTOR_LIST[INVESTOR NAME],MATCH(I522,INVESTOR_LIST[INVESTOR CODE],0),)," ")</f>
        <v xml:space="preserve"> </v>
      </c>
      <c r="J522" s="165" t="s">
        <v>960</v>
      </c>
      <c r="K522" s="205">
        <v>13268.52</v>
      </c>
      <c r="L522" s="205" t="s">
        <v>1119</v>
      </c>
      <c r="U522" s="166"/>
    </row>
    <row r="523" spans="1:21" ht="11.25" customHeight="1" x14ac:dyDescent="0.2">
      <c r="A523" s="226">
        <v>2022</v>
      </c>
      <c r="B523" s="226">
        <v>3</v>
      </c>
      <c r="C523" s="226">
        <v>3</v>
      </c>
      <c r="D523" s="226">
        <f t="shared" si="37"/>
        <v>44623</v>
      </c>
      <c r="E523" s="234">
        <f t="shared" si="38"/>
        <v>44623</v>
      </c>
      <c r="F523" s="479"/>
      <c r="G523" s="227" t="s">
        <v>86</v>
      </c>
      <c r="H523" s="228" t="str" cm="1">
        <f t="array" ref="H523">IFERROR(INDEX(INVESTOR_LIST[INVESTOR NAME],MATCH(I523,INVESTOR_LIST[INVESTOR CODE],0),)," ")</f>
        <v xml:space="preserve"> </v>
      </c>
      <c r="I523" s="228"/>
      <c r="J523" s="229" t="s">
        <v>961</v>
      </c>
      <c r="K523" s="230" t="s">
        <v>1119</v>
      </c>
      <c r="L523" s="230">
        <v>7384667.9199999999</v>
      </c>
      <c r="U523" s="166"/>
    </row>
    <row r="524" spans="1:21" ht="11.25" customHeight="1" x14ac:dyDescent="0.2">
      <c r="A524" s="221">
        <v>2022</v>
      </c>
      <c r="B524" s="221">
        <v>3</v>
      </c>
      <c r="C524" s="221">
        <v>3</v>
      </c>
      <c r="D524" s="231">
        <f t="shared" si="37"/>
        <v>44623</v>
      </c>
      <c r="E524" s="233">
        <f>DATE(A524,B524,C524)</f>
        <v>44623</v>
      </c>
      <c r="F524" s="478" t="s">
        <v>1130</v>
      </c>
      <c r="G524" s="222" t="s">
        <v>1111</v>
      </c>
      <c r="H524" s="223" t="str" cm="1">
        <f t="array" ref="H524">IFERROR(INDEX(INVESTOR_LIST[INVESTOR NAME],MATCH(I524,INVESTOR_LIST[INVESTOR CODE],0),)," ")</f>
        <v xml:space="preserve"> </v>
      </c>
      <c r="I524" s="223"/>
      <c r="J524" s="224" t="s">
        <v>961</v>
      </c>
      <c r="K524" s="225">
        <v>7384667.9199999999</v>
      </c>
      <c r="L524" s="225" t="s">
        <v>1119</v>
      </c>
      <c r="U524" s="166"/>
    </row>
    <row r="525" spans="1:21" ht="11.25" customHeight="1" x14ac:dyDescent="0.2">
      <c r="A525" s="226">
        <v>2022</v>
      </c>
      <c r="B525" s="226">
        <v>3</v>
      </c>
      <c r="C525" s="226">
        <v>3</v>
      </c>
      <c r="D525" s="232">
        <f t="shared" si="37"/>
        <v>44623</v>
      </c>
      <c r="E525" s="234">
        <f>DATE(A525,B525,C525)</f>
        <v>44623</v>
      </c>
      <c r="F525" s="479"/>
      <c r="G525" s="227" t="s">
        <v>1111</v>
      </c>
      <c r="H525" s="228" t="str" cm="1">
        <f t="array" ref="H525">IFERROR(INDEX(INVESTOR_LIST[INVESTOR NAME],MATCH(I525,INVESTOR_LIST[INVESTOR CODE],0),)," ")</f>
        <v xml:space="preserve"> </v>
      </c>
      <c r="I525" s="228"/>
      <c r="J525" s="229" t="s">
        <v>55</v>
      </c>
      <c r="K525" s="230" t="s">
        <v>1119</v>
      </c>
      <c r="L525" s="230">
        <v>7384667.9199999999</v>
      </c>
      <c r="U525" s="166"/>
    </row>
    <row r="526" spans="1:21" ht="11.25" customHeight="1" x14ac:dyDescent="0.2">
      <c r="A526" s="221">
        <v>2022</v>
      </c>
      <c r="B526" s="221">
        <v>3</v>
      </c>
      <c r="C526" s="221">
        <v>3</v>
      </c>
      <c r="D526" s="231">
        <f t="shared" si="37"/>
        <v>44623</v>
      </c>
      <c r="E526" s="233">
        <f>DATE(A526,B526,C526)</f>
        <v>44623</v>
      </c>
      <c r="F526" s="478" t="s">
        <v>1137</v>
      </c>
      <c r="G526" s="222" t="s">
        <v>1111</v>
      </c>
      <c r="H526" s="223" t="str" cm="1">
        <f t="array" ref="H526">IFERROR(INDEX(INVESTOR_LIST[INVESTOR NAME],MATCH(I526,INVESTOR_LIST[INVESTOR CODE],0),)," ")</f>
        <v xml:space="preserve"> </v>
      </c>
      <c r="I526" s="223"/>
      <c r="J526" s="224" t="s">
        <v>961</v>
      </c>
      <c r="K526" s="225">
        <v>3083418.98</v>
      </c>
      <c r="L526" s="225" t="s">
        <v>1119</v>
      </c>
      <c r="U526" s="166"/>
    </row>
    <row r="527" spans="1:21" ht="11.25" customHeight="1" x14ac:dyDescent="0.2">
      <c r="A527" s="226">
        <v>2022</v>
      </c>
      <c r="B527" s="226">
        <v>3</v>
      </c>
      <c r="C527" s="226">
        <v>3</v>
      </c>
      <c r="D527" s="232">
        <f t="shared" si="37"/>
        <v>44623</v>
      </c>
      <c r="E527" s="234">
        <f>DATE(A527,B527,C527)</f>
        <v>44623</v>
      </c>
      <c r="F527" s="479"/>
      <c r="G527" s="227" t="s">
        <v>1111</v>
      </c>
      <c r="H527" s="228" t="str" cm="1">
        <f t="array" ref="H527">IFERROR(INDEX(INVESTOR_LIST[INVESTOR NAME],MATCH(I527,INVESTOR_LIST[INVESTOR CODE],0),)," ")</f>
        <v xml:space="preserve"> </v>
      </c>
      <c r="I527" s="228"/>
      <c r="J527" s="229" t="s">
        <v>55</v>
      </c>
      <c r="K527" s="230" t="s">
        <v>1119</v>
      </c>
      <c r="L527" s="230">
        <v>3083418.98</v>
      </c>
      <c r="U527" s="166"/>
    </row>
    <row r="528" spans="1:21" ht="11.25" customHeight="1" x14ac:dyDescent="0.2">
      <c r="A528" s="221">
        <v>2022</v>
      </c>
      <c r="B528" s="221">
        <v>3</v>
      </c>
      <c r="C528" s="221">
        <v>3</v>
      </c>
      <c r="D528" s="231">
        <f t="shared" si="37"/>
        <v>44623</v>
      </c>
      <c r="E528" s="233">
        <f t="shared" ref="E528:E529" si="39">DATE(A528,B528,C528)</f>
        <v>44623</v>
      </c>
      <c r="F528" s="478" t="s">
        <v>1140</v>
      </c>
      <c r="G528" s="222" t="s">
        <v>1111</v>
      </c>
      <c r="H528" s="223" t="str" cm="1">
        <f t="array" ref="H528">IFERROR(INDEX(INVESTOR_LIST[INVESTOR NAME],MATCH(I528,INVESTOR_LIST[INVESTOR CODE],0),)," ")</f>
        <v xml:space="preserve"> </v>
      </c>
      <c r="I528" s="223"/>
      <c r="J528" s="224" t="s">
        <v>192</v>
      </c>
      <c r="K528" s="225">
        <v>75000</v>
      </c>
      <c r="L528" s="225" t="s">
        <v>1119</v>
      </c>
      <c r="U528" s="166"/>
    </row>
    <row r="529" spans="1:21" ht="11.25" customHeight="1" x14ac:dyDescent="0.2">
      <c r="A529" s="226">
        <v>2022</v>
      </c>
      <c r="B529" s="226">
        <v>3</v>
      </c>
      <c r="C529" s="226">
        <v>3</v>
      </c>
      <c r="D529" s="232">
        <f t="shared" si="37"/>
        <v>44623</v>
      </c>
      <c r="E529" s="234">
        <f t="shared" si="39"/>
        <v>44623</v>
      </c>
      <c r="F529" s="479"/>
      <c r="G529" s="227" t="s">
        <v>1111</v>
      </c>
      <c r="H529" s="228" t="str" cm="1">
        <f t="array" ref="H529">IFERROR(INDEX(INVESTOR_LIST[INVESTOR NAME],MATCH(I529,INVESTOR_LIST[INVESTOR CODE],0),)," ")</f>
        <v xml:space="preserve"> </v>
      </c>
      <c r="I529" s="228"/>
      <c r="J529" s="229" t="s">
        <v>191</v>
      </c>
      <c r="K529" s="230" t="s">
        <v>1119</v>
      </c>
      <c r="L529" s="230">
        <v>75000</v>
      </c>
      <c r="U529" s="166"/>
    </row>
    <row r="530" spans="1:21" ht="11.25" customHeight="1" x14ac:dyDescent="0.2">
      <c r="A530" s="236">
        <v>2022</v>
      </c>
      <c r="B530" s="236">
        <v>3</v>
      </c>
      <c r="C530" s="236">
        <v>3</v>
      </c>
      <c r="D530" s="237">
        <f t="shared" si="37"/>
        <v>44623</v>
      </c>
      <c r="E530" s="238">
        <f t="shared" ref="E530:E542" si="40">DATE(A530,B530,C530)</f>
        <v>44623</v>
      </c>
      <c r="F530" s="476" t="s">
        <v>1118</v>
      </c>
      <c r="G530" s="239" t="s">
        <v>86</v>
      </c>
      <c r="H530" s="239" t="str" cm="1">
        <f t="array" ref="H530">IFERROR(INDEX(INVESTOR_LIST[INVESTOR NAME],MATCH(I530,INVESTOR_LIST[INVESTOR CODE],0),)," ")</f>
        <v xml:space="preserve"> </v>
      </c>
      <c r="I530" s="240"/>
      <c r="J530" s="241" t="s">
        <v>1123</v>
      </c>
      <c r="K530" s="242">
        <v>436865.7</v>
      </c>
      <c r="L530" s="242" t="s">
        <v>1119</v>
      </c>
      <c r="U530" s="166"/>
    </row>
    <row r="531" spans="1:21" ht="11.25" customHeight="1" x14ac:dyDescent="0.2">
      <c r="A531" s="243">
        <v>2022</v>
      </c>
      <c r="B531" s="243">
        <v>3</v>
      </c>
      <c r="C531" s="243">
        <v>3</v>
      </c>
      <c r="D531" s="248">
        <f t="shared" si="37"/>
        <v>44623</v>
      </c>
      <c r="E531" s="249">
        <f t="shared" si="40"/>
        <v>44623</v>
      </c>
      <c r="F531" s="477"/>
      <c r="G531" s="244" t="s">
        <v>86</v>
      </c>
      <c r="H531" s="244" t="str" cm="1">
        <f t="array" ref="H531">IFERROR(INDEX(INVESTOR_LIST[INVESTOR NAME],MATCH(I531,INVESTOR_LIST[INVESTOR CODE],0),)," ")</f>
        <v xml:space="preserve"> </v>
      </c>
      <c r="I531" s="245"/>
      <c r="J531" s="246" t="s">
        <v>1124</v>
      </c>
      <c r="K531" s="247" t="s">
        <v>1119</v>
      </c>
      <c r="L531" s="247">
        <v>436865.7</v>
      </c>
      <c r="U531" s="166"/>
    </row>
    <row r="532" spans="1:21" ht="11.25" customHeight="1" x14ac:dyDescent="0.2">
      <c r="A532" s="236">
        <v>2022</v>
      </c>
      <c r="B532" s="236">
        <v>3</v>
      </c>
      <c r="C532" s="236">
        <v>3</v>
      </c>
      <c r="D532" s="237">
        <f t="shared" si="37"/>
        <v>44623</v>
      </c>
      <c r="E532" s="238">
        <f t="shared" si="40"/>
        <v>44623</v>
      </c>
      <c r="F532" s="476" t="s">
        <v>1120</v>
      </c>
      <c r="G532" s="239" t="s">
        <v>86</v>
      </c>
      <c r="H532" s="239" t="str" cm="1">
        <f t="array" ref="H532">IFERROR(INDEX(INVESTOR_LIST[INVESTOR NAME],MATCH(I532,INVESTOR_LIST[INVESTOR CODE],0),)," ")</f>
        <v xml:space="preserve"> </v>
      </c>
      <c r="I532" s="240"/>
      <c r="J532" s="241" t="s">
        <v>87</v>
      </c>
      <c r="K532" s="242">
        <v>2747.2527472527472</v>
      </c>
      <c r="L532" s="242"/>
      <c r="U532" s="166"/>
    </row>
    <row r="533" spans="1:21" ht="11.25" customHeight="1" x14ac:dyDescent="0.2">
      <c r="A533" s="243">
        <v>2022</v>
      </c>
      <c r="B533" s="243">
        <v>3</v>
      </c>
      <c r="C533" s="243">
        <v>3</v>
      </c>
      <c r="D533" s="248">
        <f t="shared" si="37"/>
        <v>44623</v>
      </c>
      <c r="E533" s="249">
        <f t="shared" si="40"/>
        <v>44623</v>
      </c>
      <c r="F533" s="477"/>
      <c r="G533" s="244" t="s">
        <v>86</v>
      </c>
      <c r="H533" s="244" t="str" cm="1">
        <f t="array" ref="H533">IFERROR(INDEX(INVESTOR_LIST[INVESTOR NAME],MATCH(I533,INVESTOR_LIST[INVESTOR CODE],0),)," ")</f>
        <v xml:space="preserve"> </v>
      </c>
      <c r="I533" s="245"/>
      <c r="J533" s="246" t="s">
        <v>64</v>
      </c>
      <c r="K533" s="247"/>
      <c r="L533" s="247">
        <v>2747.2527472527472</v>
      </c>
      <c r="U533" s="166"/>
    </row>
    <row r="534" spans="1:21" ht="11.25" customHeight="1" x14ac:dyDescent="0.2">
      <c r="A534" s="236">
        <v>2022</v>
      </c>
      <c r="B534" s="236">
        <v>3</v>
      </c>
      <c r="C534" s="236">
        <v>3</v>
      </c>
      <c r="D534" s="237">
        <f t="shared" si="37"/>
        <v>44623</v>
      </c>
      <c r="E534" s="238">
        <f t="shared" si="40"/>
        <v>44623</v>
      </c>
      <c r="F534" s="476" t="s">
        <v>1121</v>
      </c>
      <c r="G534" s="239" t="s">
        <v>86</v>
      </c>
      <c r="H534" s="239" t="str" cm="1">
        <f t="array" ref="H534">IFERROR(INDEX(INVESTOR_LIST[INVESTOR NAME],MATCH(I534,INVESTOR_LIST[INVESTOR CODE],0),)," ")</f>
        <v xml:space="preserve"> </v>
      </c>
      <c r="I534" s="240"/>
      <c r="J534" s="241" t="s">
        <v>89</v>
      </c>
      <c r="K534" s="242">
        <v>98559.13</v>
      </c>
      <c r="L534" s="242" t="s">
        <v>1119</v>
      </c>
      <c r="U534" s="166"/>
    </row>
    <row r="535" spans="1:21" ht="11.25" customHeight="1" x14ac:dyDescent="0.2">
      <c r="A535" s="243">
        <v>2022</v>
      </c>
      <c r="B535" s="243">
        <v>3</v>
      </c>
      <c r="C535" s="243">
        <v>3</v>
      </c>
      <c r="D535" s="248">
        <f t="shared" si="37"/>
        <v>44623</v>
      </c>
      <c r="E535" s="249">
        <f t="shared" si="40"/>
        <v>44623</v>
      </c>
      <c r="F535" s="477"/>
      <c r="G535" s="244" t="s">
        <v>86</v>
      </c>
      <c r="H535" s="244" t="str" cm="1">
        <f t="array" ref="H535">IFERROR(INDEX(INVESTOR_LIST[INVESTOR NAME],MATCH(I535,INVESTOR_LIST[INVESTOR CODE],0),)," ")</f>
        <v xml:space="preserve"> </v>
      </c>
      <c r="I535" s="245"/>
      <c r="J535" s="246" t="s">
        <v>50</v>
      </c>
      <c r="K535" s="247" t="s">
        <v>1119</v>
      </c>
      <c r="L535" s="247">
        <v>98559.13</v>
      </c>
      <c r="U535" s="166"/>
    </row>
    <row r="536" spans="1:21" ht="11.25" customHeight="1" x14ac:dyDescent="0.2">
      <c r="A536" s="236">
        <v>2022</v>
      </c>
      <c r="B536" s="236">
        <v>3</v>
      </c>
      <c r="C536" s="236">
        <v>3</v>
      </c>
      <c r="D536" s="237">
        <f t="shared" si="37"/>
        <v>44623</v>
      </c>
      <c r="E536" s="238">
        <f t="shared" si="40"/>
        <v>44623</v>
      </c>
      <c r="F536" s="476" t="s">
        <v>1122</v>
      </c>
      <c r="G536" s="239" t="s">
        <v>86</v>
      </c>
      <c r="H536" s="239" t="str" cm="1">
        <f t="array" ref="H536">IFERROR(INDEX(INVESTOR_LIST[INVESTOR NAME],MATCH(I536,INVESTOR_LIST[INVESTOR CODE],0),)," ")</f>
        <v xml:space="preserve"> </v>
      </c>
      <c r="I536" s="240"/>
      <c r="J536" s="241" t="s">
        <v>91</v>
      </c>
      <c r="K536" s="242">
        <v>4687.57</v>
      </c>
      <c r="L536" s="242" t="s">
        <v>1119</v>
      </c>
      <c r="U536" s="166"/>
    </row>
    <row r="537" spans="1:21" ht="11.25" customHeight="1" x14ac:dyDescent="0.2">
      <c r="A537" s="243">
        <v>2022</v>
      </c>
      <c r="B537" s="243">
        <v>3</v>
      </c>
      <c r="C537" s="243">
        <v>3</v>
      </c>
      <c r="D537" s="248">
        <f t="shared" si="37"/>
        <v>44623</v>
      </c>
      <c r="E537" s="249">
        <f t="shared" si="40"/>
        <v>44623</v>
      </c>
      <c r="F537" s="477"/>
      <c r="G537" s="244" t="s">
        <v>86</v>
      </c>
      <c r="H537" s="244" t="str" cm="1">
        <f t="array" ref="H537">IFERROR(INDEX(INVESTOR_LIST[INVESTOR NAME],MATCH(I537,INVESTOR_LIST[INVESTOR CODE],0),)," ")</f>
        <v xml:space="preserve"> </v>
      </c>
      <c r="I537" s="245"/>
      <c r="J537" s="246" t="s">
        <v>51</v>
      </c>
      <c r="K537" s="247" t="s">
        <v>1119</v>
      </c>
      <c r="L537" s="247">
        <v>4687.57</v>
      </c>
      <c r="U537" s="166"/>
    </row>
    <row r="538" spans="1:21" ht="11.25" customHeight="1" x14ac:dyDescent="0.2">
      <c r="A538" s="221">
        <v>2022</v>
      </c>
      <c r="B538" s="221">
        <v>3</v>
      </c>
      <c r="C538" s="221">
        <v>6</v>
      </c>
      <c r="D538" s="231">
        <f t="shared" si="37"/>
        <v>44626</v>
      </c>
      <c r="E538" s="233">
        <f t="shared" si="40"/>
        <v>44626</v>
      </c>
      <c r="F538" s="478" t="s">
        <v>1161</v>
      </c>
      <c r="G538" s="222" t="s">
        <v>1111</v>
      </c>
      <c r="H538" s="223" t="str" cm="1">
        <f t="array" ref="H538">IFERROR(INDEX(INVESTOR_LIST[INVESTOR NAME],MATCH(I538,INVESTOR_LIST[INVESTOR CODE],0),)," ")</f>
        <v xml:space="preserve"> </v>
      </c>
      <c r="I538" s="223"/>
      <c r="J538" s="224" t="s">
        <v>55</v>
      </c>
      <c r="K538" s="225">
        <v>9000</v>
      </c>
      <c r="L538" s="225" t="s">
        <v>1119</v>
      </c>
      <c r="U538" s="166"/>
    </row>
    <row r="539" spans="1:21" ht="11.25" customHeight="1" x14ac:dyDescent="0.2">
      <c r="A539" s="226">
        <v>2022</v>
      </c>
      <c r="B539" s="226">
        <v>3</v>
      </c>
      <c r="C539" s="226">
        <v>6</v>
      </c>
      <c r="D539" s="232">
        <f t="shared" si="37"/>
        <v>44626</v>
      </c>
      <c r="E539" s="234">
        <f t="shared" si="40"/>
        <v>44626</v>
      </c>
      <c r="F539" s="479"/>
      <c r="G539" s="227" t="s">
        <v>1111</v>
      </c>
      <c r="H539" s="228" t="str" cm="1">
        <f t="array" ref="H539">IFERROR(INDEX(INVESTOR_LIST[INVESTOR NAME],MATCH(I539,INVESTOR_LIST[INVESTOR CODE],0),)," ")</f>
        <v xml:space="preserve"> </v>
      </c>
      <c r="I539" s="228"/>
      <c r="J539" s="229" t="s">
        <v>192</v>
      </c>
      <c r="K539" s="230" t="s">
        <v>1119</v>
      </c>
      <c r="L539" s="230">
        <v>9000</v>
      </c>
      <c r="U539" s="166"/>
    </row>
    <row r="540" spans="1:21" ht="11.25" customHeight="1" x14ac:dyDescent="0.2">
      <c r="A540" s="221">
        <v>2022</v>
      </c>
      <c r="B540" s="221">
        <v>3</v>
      </c>
      <c r="C540" s="164">
        <v>7</v>
      </c>
      <c r="D540" s="221">
        <f t="shared" si="37"/>
        <v>44627</v>
      </c>
      <c r="E540" s="233">
        <f t="shared" si="40"/>
        <v>44627</v>
      </c>
      <c r="F540" s="478" t="s">
        <v>1136</v>
      </c>
      <c r="G540" s="222" t="s">
        <v>86</v>
      </c>
      <c r="H540" s="222" t="str" cm="1">
        <f t="array" ref="H540">IFERROR(INDEX(INVESTOR_LIST[INVESTOR NAME],MATCH(I540,INVESTOR_LIST[INVESTOR CODE],0),)," ")</f>
        <v xml:space="preserve"> </v>
      </c>
      <c r="I540" s="223"/>
      <c r="J540" s="224" t="s">
        <v>80</v>
      </c>
      <c r="K540" s="225">
        <v>6699673.0999999996</v>
      </c>
      <c r="L540" s="225" t="s">
        <v>1119</v>
      </c>
      <c r="U540" s="166"/>
    </row>
    <row r="541" spans="1:21" ht="11.25" customHeight="1" x14ac:dyDescent="0.2">
      <c r="A541" s="164">
        <v>2022</v>
      </c>
      <c r="B541" s="164">
        <v>3</v>
      </c>
      <c r="C541" s="164">
        <v>7</v>
      </c>
      <c r="D541" s="164">
        <f t="shared" si="37"/>
        <v>44627</v>
      </c>
      <c r="E541" s="235">
        <f t="shared" si="40"/>
        <v>44627</v>
      </c>
      <c r="F541" s="480"/>
      <c r="G541" s="208" t="s">
        <v>86</v>
      </c>
      <c r="H541" s="208" t="str" cm="1">
        <f t="array" ref="H541">IFERROR(INDEX(INVESTOR_LIST[INVESTOR NAME],MATCH(I541,INVESTOR_LIST[INVESTOR CODE],0),)," ")</f>
        <v xml:space="preserve"> </v>
      </c>
      <c r="J541" s="165" t="s">
        <v>960</v>
      </c>
      <c r="K541" s="205">
        <v>12059.41</v>
      </c>
      <c r="L541" s="205" t="s">
        <v>1119</v>
      </c>
      <c r="U541" s="166"/>
    </row>
    <row r="542" spans="1:21" ht="11.25" customHeight="1" x14ac:dyDescent="0.2">
      <c r="A542" s="226">
        <v>2022</v>
      </c>
      <c r="B542" s="226">
        <v>3</v>
      </c>
      <c r="C542" s="226">
        <v>7</v>
      </c>
      <c r="D542" s="226">
        <f t="shared" si="37"/>
        <v>44627</v>
      </c>
      <c r="E542" s="234">
        <f t="shared" si="40"/>
        <v>44627</v>
      </c>
      <c r="F542" s="479"/>
      <c r="G542" s="227" t="s">
        <v>86</v>
      </c>
      <c r="H542" s="228" t="str" cm="1">
        <f t="array" ref="H542">IFERROR(INDEX(INVESTOR_LIST[INVESTOR NAME],MATCH(I542,INVESTOR_LIST[INVESTOR CODE],0),)," ")</f>
        <v xml:space="preserve"> </v>
      </c>
      <c r="I542" s="228"/>
      <c r="J542" s="229" t="s">
        <v>961</v>
      </c>
      <c r="K542" s="230" t="s">
        <v>1119</v>
      </c>
      <c r="L542" s="230">
        <v>6711732.5099999998</v>
      </c>
      <c r="U542" s="166"/>
    </row>
    <row r="543" spans="1:21" ht="11.25" customHeight="1" x14ac:dyDescent="0.2">
      <c r="A543" s="221">
        <v>2022</v>
      </c>
      <c r="B543" s="221">
        <v>3</v>
      </c>
      <c r="C543" s="221">
        <v>7</v>
      </c>
      <c r="D543" s="231">
        <f t="shared" si="37"/>
        <v>44627</v>
      </c>
      <c r="E543" s="233">
        <f>DATE(A543,B543,C543)</f>
        <v>44627</v>
      </c>
      <c r="F543" s="478" t="s">
        <v>1130</v>
      </c>
      <c r="G543" s="222" t="s">
        <v>1111</v>
      </c>
      <c r="H543" s="223" t="str" cm="1">
        <f t="array" ref="H543">IFERROR(INDEX(INVESTOR_LIST[INVESTOR NAME],MATCH(I543,INVESTOR_LIST[INVESTOR CODE],0),)," ")</f>
        <v xml:space="preserve"> </v>
      </c>
      <c r="I543" s="223"/>
      <c r="J543" s="224" t="s">
        <v>961</v>
      </c>
      <c r="K543" s="225">
        <v>6711732.5099999998</v>
      </c>
      <c r="L543" s="225" t="s">
        <v>1119</v>
      </c>
      <c r="U543" s="166"/>
    </row>
    <row r="544" spans="1:21" ht="11.25" customHeight="1" x14ac:dyDescent="0.2">
      <c r="A544" s="226">
        <v>2022</v>
      </c>
      <c r="B544" s="226">
        <v>3</v>
      </c>
      <c r="C544" s="226">
        <v>7</v>
      </c>
      <c r="D544" s="232">
        <f t="shared" si="37"/>
        <v>44627</v>
      </c>
      <c r="E544" s="234">
        <f>DATE(A544,B544,C544)</f>
        <v>44627</v>
      </c>
      <c r="F544" s="479"/>
      <c r="G544" s="227" t="s">
        <v>1111</v>
      </c>
      <c r="H544" s="228" t="str" cm="1">
        <f t="array" ref="H544">IFERROR(INDEX(INVESTOR_LIST[INVESTOR NAME],MATCH(I544,INVESTOR_LIST[INVESTOR CODE],0),)," ")</f>
        <v xml:space="preserve"> </v>
      </c>
      <c r="I544" s="228"/>
      <c r="J544" s="229" t="s">
        <v>55</v>
      </c>
      <c r="K544" s="230" t="s">
        <v>1119</v>
      </c>
      <c r="L544" s="230">
        <v>6711732.5099999998</v>
      </c>
      <c r="U544" s="166"/>
    </row>
    <row r="545" spans="1:21" ht="11.25" customHeight="1" x14ac:dyDescent="0.2">
      <c r="A545" s="221">
        <v>2022</v>
      </c>
      <c r="B545" s="221">
        <v>3</v>
      </c>
      <c r="C545" s="164">
        <v>7</v>
      </c>
      <c r="D545" s="221">
        <f t="shared" si="37"/>
        <v>44627</v>
      </c>
      <c r="E545" s="233">
        <f t="shared" ref="E545:E547" si="41">DATE(A545,B545,C545)</f>
        <v>44627</v>
      </c>
      <c r="F545" s="478" t="s">
        <v>1135</v>
      </c>
      <c r="G545" s="222" t="s">
        <v>86</v>
      </c>
      <c r="H545" s="222" t="str" cm="1">
        <f t="array" ref="H545">IFERROR(INDEX(INVESTOR_LIST[INVESTOR NAME],MATCH(I545,INVESTOR_LIST[INVESTOR CODE],0),)," ")</f>
        <v xml:space="preserve"> </v>
      </c>
      <c r="I545" s="223"/>
      <c r="J545" s="224" t="s">
        <v>80</v>
      </c>
      <c r="K545" s="225">
        <v>4392702</v>
      </c>
      <c r="L545" s="225" t="s">
        <v>1119</v>
      </c>
      <c r="U545" s="166"/>
    </row>
    <row r="546" spans="1:21" ht="11.25" customHeight="1" x14ac:dyDescent="0.2">
      <c r="A546" s="164">
        <v>2022</v>
      </c>
      <c r="B546" s="164">
        <v>3</v>
      </c>
      <c r="C546" s="164">
        <v>7</v>
      </c>
      <c r="D546" s="164">
        <f t="shared" si="37"/>
        <v>44627</v>
      </c>
      <c r="E546" s="235">
        <f t="shared" si="41"/>
        <v>44627</v>
      </c>
      <c r="F546" s="480"/>
      <c r="G546" s="208" t="s">
        <v>86</v>
      </c>
      <c r="H546" s="208" t="str" cm="1">
        <f t="array" ref="H546">IFERROR(INDEX(INVESTOR_LIST[INVESTOR NAME],MATCH(I546,INVESTOR_LIST[INVESTOR CODE],0),)," ")</f>
        <v xml:space="preserve"> </v>
      </c>
      <c r="J546" s="165" t="s">
        <v>960</v>
      </c>
      <c r="K546" s="205">
        <v>7906.86</v>
      </c>
      <c r="L546" s="205" t="s">
        <v>1119</v>
      </c>
      <c r="U546" s="166"/>
    </row>
    <row r="547" spans="1:21" ht="11.25" customHeight="1" x14ac:dyDescent="0.2">
      <c r="A547" s="226">
        <v>2022</v>
      </c>
      <c r="B547" s="226">
        <v>3</v>
      </c>
      <c r="C547" s="226">
        <v>7</v>
      </c>
      <c r="D547" s="226">
        <f t="shared" si="37"/>
        <v>44627</v>
      </c>
      <c r="E547" s="234">
        <f t="shared" si="41"/>
        <v>44627</v>
      </c>
      <c r="F547" s="479"/>
      <c r="G547" s="227" t="s">
        <v>86</v>
      </c>
      <c r="H547" s="228" t="str" cm="1">
        <f t="array" ref="H547">IFERROR(INDEX(INVESTOR_LIST[INVESTOR NAME],MATCH(I547,INVESTOR_LIST[INVESTOR CODE],0),)," ")</f>
        <v xml:space="preserve"> </v>
      </c>
      <c r="I547" s="228"/>
      <c r="J547" s="229" t="s">
        <v>961</v>
      </c>
      <c r="K547" s="230" t="s">
        <v>1119</v>
      </c>
      <c r="L547" s="230">
        <v>4400608.8600000003</v>
      </c>
      <c r="U547" s="166"/>
    </row>
    <row r="548" spans="1:21" ht="11.25" customHeight="1" x14ac:dyDescent="0.2">
      <c r="A548" s="221">
        <v>2022</v>
      </c>
      <c r="B548" s="221">
        <v>3</v>
      </c>
      <c r="C548" s="221">
        <v>7</v>
      </c>
      <c r="D548" s="231">
        <f t="shared" si="37"/>
        <v>44627</v>
      </c>
      <c r="E548" s="233">
        <f>DATE(A548,B548,C548)</f>
        <v>44627</v>
      </c>
      <c r="F548" s="478" t="s">
        <v>1137</v>
      </c>
      <c r="G548" s="222" t="s">
        <v>1111</v>
      </c>
      <c r="H548" s="223" t="str" cm="1">
        <f t="array" ref="H548">IFERROR(INDEX(INVESTOR_LIST[INVESTOR NAME],MATCH(I548,INVESTOR_LIST[INVESTOR CODE],0),)," ")</f>
        <v xml:space="preserve"> </v>
      </c>
      <c r="I548" s="223"/>
      <c r="J548" s="224" t="s">
        <v>961</v>
      </c>
      <c r="K548" s="225">
        <v>4400608.8600000003</v>
      </c>
      <c r="L548" s="225" t="s">
        <v>1119</v>
      </c>
      <c r="U548" s="166"/>
    </row>
    <row r="549" spans="1:21" ht="11.25" customHeight="1" x14ac:dyDescent="0.2">
      <c r="A549" s="226">
        <v>2022</v>
      </c>
      <c r="B549" s="226">
        <v>3</v>
      </c>
      <c r="C549" s="226">
        <v>7</v>
      </c>
      <c r="D549" s="232">
        <f t="shared" si="37"/>
        <v>44627</v>
      </c>
      <c r="E549" s="234">
        <f>DATE(A549,B549,C549)</f>
        <v>44627</v>
      </c>
      <c r="F549" s="479"/>
      <c r="G549" s="227" t="s">
        <v>1111</v>
      </c>
      <c r="H549" s="228" t="str" cm="1">
        <f t="array" ref="H549">IFERROR(INDEX(INVESTOR_LIST[INVESTOR NAME],MATCH(I549,INVESTOR_LIST[INVESTOR CODE],0),)," ")</f>
        <v xml:space="preserve"> </v>
      </c>
      <c r="I549" s="228"/>
      <c r="J549" s="229" t="s">
        <v>55</v>
      </c>
      <c r="K549" s="230" t="s">
        <v>1119</v>
      </c>
      <c r="L549" s="230">
        <v>4400608.8600000003</v>
      </c>
      <c r="U549" s="166"/>
    </row>
    <row r="550" spans="1:21" ht="11.25" customHeight="1" x14ac:dyDescent="0.2">
      <c r="A550" s="221">
        <v>2022</v>
      </c>
      <c r="B550" s="221">
        <v>3</v>
      </c>
      <c r="C550" s="164">
        <v>8</v>
      </c>
      <c r="D550" s="221">
        <f t="shared" si="37"/>
        <v>44628</v>
      </c>
      <c r="E550" s="233">
        <f t="shared" ref="E550:E552" si="42">DATE(A550,B550,C550)</f>
        <v>44628</v>
      </c>
      <c r="F550" s="478" t="s">
        <v>1136</v>
      </c>
      <c r="G550" s="222" t="s">
        <v>86</v>
      </c>
      <c r="H550" s="222" t="str" cm="1">
        <f t="array" ref="H550">IFERROR(INDEX(INVESTOR_LIST[INVESTOR NAME],MATCH(I550,INVESTOR_LIST[INVESTOR CODE],0),)," ")</f>
        <v xml:space="preserve"> </v>
      </c>
      <c r="I550" s="223"/>
      <c r="J550" s="224" t="s">
        <v>80</v>
      </c>
      <c r="K550" s="225">
        <v>5997077.9000000004</v>
      </c>
      <c r="L550" s="225" t="s">
        <v>1119</v>
      </c>
      <c r="U550" s="166"/>
    </row>
    <row r="551" spans="1:21" ht="11.25" customHeight="1" x14ac:dyDescent="0.2">
      <c r="A551" s="164">
        <v>2022</v>
      </c>
      <c r="B551" s="164">
        <v>3</v>
      </c>
      <c r="C551" s="164">
        <v>8</v>
      </c>
      <c r="D551" s="164">
        <f t="shared" si="37"/>
        <v>44628</v>
      </c>
      <c r="E551" s="235">
        <f t="shared" si="42"/>
        <v>44628</v>
      </c>
      <c r="F551" s="480"/>
      <c r="G551" s="208" t="s">
        <v>86</v>
      </c>
      <c r="H551" s="208" t="str" cm="1">
        <f t="array" ref="H551">IFERROR(INDEX(INVESTOR_LIST[INVESTOR NAME],MATCH(I551,INVESTOR_LIST[INVESTOR CODE],0),)," ")</f>
        <v xml:space="preserve"> </v>
      </c>
      <c r="J551" s="165" t="s">
        <v>960</v>
      </c>
      <c r="K551" s="205">
        <v>10794.74</v>
      </c>
      <c r="L551" s="205" t="s">
        <v>1119</v>
      </c>
      <c r="U551" s="166"/>
    </row>
    <row r="552" spans="1:21" ht="11.25" customHeight="1" x14ac:dyDescent="0.2">
      <c r="A552" s="226">
        <v>2022</v>
      </c>
      <c r="B552" s="226">
        <v>3</v>
      </c>
      <c r="C552" s="226">
        <v>8</v>
      </c>
      <c r="D552" s="226">
        <f t="shared" si="37"/>
        <v>44628</v>
      </c>
      <c r="E552" s="234">
        <f t="shared" si="42"/>
        <v>44628</v>
      </c>
      <c r="F552" s="479"/>
      <c r="G552" s="227" t="s">
        <v>86</v>
      </c>
      <c r="H552" s="228" t="str" cm="1">
        <f t="array" ref="H552">IFERROR(INDEX(INVESTOR_LIST[INVESTOR NAME],MATCH(I552,INVESTOR_LIST[INVESTOR CODE],0),)," ")</f>
        <v xml:space="preserve"> </v>
      </c>
      <c r="I552" s="228"/>
      <c r="J552" s="229" t="s">
        <v>961</v>
      </c>
      <c r="K552" s="230" t="s">
        <v>1119</v>
      </c>
      <c r="L552" s="230">
        <v>6007872.6399999997</v>
      </c>
      <c r="U552" s="166"/>
    </row>
    <row r="553" spans="1:21" ht="11.25" customHeight="1" x14ac:dyDescent="0.2">
      <c r="A553" s="221">
        <v>2022</v>
      </c>
      <c r="B553" s="221">
        <v>3</v>
      </c>
      <c r="C553" s="221">
        <v>8</v>
      </c>
      <c r="D553" s="231">
        <f t="shared" si="37"/>
        <v>44628</v>
      </c>
      <c r="E553" s="233">
        <f>DATE(A553,B553,C553)</f>
        <v>44628</v>
      </c>
      <c r="F553" s="478" t="s">
        <v>1130</v>
      </c>
      <c r="G553" s="222" t="s">
        <v>1111</v>
      </c>
      <c r="H553" s="223" t="str" cm="1">
        <f t="array" ref="H553">IFERROR(INDEX(INVESTOR_LIST[INVESTOR NAME],MATCH(I553,INVESTOR_LIST[INVESTOR CODE],0),)," ")</f>
        <v xml:space="preserve"> </v>
      </c>
      <c r="I553" s="223"/>
      <c r="J553" s="224" t="s">
        <v>961</v>
      </c>
      <c r="K553" s="225">
        <v>6007872.6399999997</v>
      </c>
      <c r="L553" s="225" t="s">
        <v>1119</v>
      </c>
      <c r="U553" s="166"/>
    </row>
    <row r="554" spans="1:21" ht="11.25" customHeight="1" x14ac:dyDescent="0.2">
      <c r="A554" s="226">
        <v>2022</v>
      </c>
      <c r="B554" s="226">
        <v>3</v>
      </c>
      <c r="C554" s="226">
        <v>8</v>
      </c>
      <c r="D554" s="232">
        <f t="shared" si="37"/>
        <v>44628</v>
      </c>
      <c r="E554" s="234">
        <f>DATE(A554,B554,C554)</f>
        <v>44628</v>
      </c>
      <c r="F554" s="479"/>
      <c r="G554" s="227" t="s">
        <v>1111</v>
      </c>
      <c r="H554" s="228" t="str" cm="1">
        <f t="array" ref="H554">IFERROR(INDEX(INVESTOR_LIST[INVESTOR NAME],MATCH(I554,INVESTOR_LIST[INVESTOR CODE],0),)," ")</f>
        <v xml:space="preserve"> </v>
      </c>
      <c r="I554" s="228"/>
      <c r="J554" s="229" t="s">
        <v>55</v>
      </c>
      <c r="K554" s="230" t="s">
        <v>1119</v>
      </c>
      <c r="L554" s="230">
        <v>6007872.6399999997</v>
      </c>
      <c r="U554" s="166"/>
    </row>
    <row r="555" spans="1:21" ht="11.25" customHeight="1" x14ac:dyDescent="0.2">
      <c r="A555" s="221">
        <v>2022</v>
      </c>
      <c r="B555" s="221">
        <v>3</v>
      </c>
      <c r="C555" s="221">
        <v>8</v>
      </c>
      <c r="D555" s="221">
        <f t="shared" si="37"/>
        <v>44628</v>
      </c>
      <c r="E555" s="233">
        <f t="shared" ref="E555:E557" si="43">DATE(A555,B555,C555)</f>
        <v>44628</v>
      </c>
      <c r="F555" s="478" t="s">
        <v>1129</v>
      </c>
      <c r="G555" s="222" t="s">
        <v>86</v>
      </c>
      <c r="H555" s="222" t="str" cm="1">
        <f t="array" ref="H555">IFERROR(INDEX(INVESTOR_LIST[INVESTOR NAME],MATCH(I555,INVESTOR_LIST[INVESTOR CODE],0),)," ")</f>
        <v xml:space="preserve"> </v>
      </c>
      <c r="I555" s="223"/>
      <c r="J555" s="224" t="s">
        <v>80</v>
      </c>
      <c r="K555" s="225">
        <v>5924478.2999999998</v>
      </c>
      <c r="L555" s="225" t="s">
        <v>1119</v>
      </c>
      <c r="U555" s="166"/>
    </row>
    <row r="556" spans="1:21" ht="11.25" customHeight="1" x14ac:dyDescent="0.2">
      <c r="A556" s="164">
        <v>2022</v>
      </c>
      <c r="B556" s="164">
        <v>3</v>
      </c>
      <c r="C556" s="164">
        <v>8</v>
      </c>
      <c r="D556" s="164">
        <f t="shared" si="37"/>
        <v>44628</v>
      </c>
      <c r="E556" s="235">
        <f t="shared" si="43"/>
        <v>44628</v>
      </c>
      <c r="F556" s="480"/>
      <c r="G556" s="208" t="s">
        <v>86</v>
      </c>
      <c r="H556" s="208" t="str" cm="1">
        <f t="array" ref="H556">IFERROR(INDEX(INVESTOR_LIST[INVESTOR NAME],MATCH(I556,INVESTOR_LIST[INVESTOR CODE],0),)," ")</f>
        <v xml:space="preserve"> </v>
      </c>
      <c r="J556" s="165" t="s">
        <v>960</v>
      </c>
      <c r="K556" s="205">
        <v>10664.06</v>
      </c>
      <c r="L556" s="205" t="s">
        <v>1119</v>
      </c>
      <c r="U556" s="166"/>
    </row>
    <row r="557" spans="1:21" ht="11.25" customHeight="1" x14ac:dyDescent="0.2">
      <c r="A557" s="226">
        <v>2022</v>
      </c>
      <c r="B557" s="226">
        <v>3</v>
      </c>
      <c r="C557" s="226">
        <v>8</v>
      </c>
      <c r="D557" s="226">
        <f t="shared" si="37"/>
        <v>44628</v>
      </c>
      <c r="E557" s="234">
        <f t="shared" si="43"/>
        <v>44628</v>
      </c>
      <c r="F557" s="479"/>
      <c r="G557" s="227" t="s">
        <v>86</v>
      </c>
      <c r="H557" s="228" t="str" cm="1">
        <f t="array" ref="H557">IFERROR(INDEX(INVESTOR_LIST[INVESTOR NAME],MATCH(I557,INVESTOR_LIST[INVESTOR CODE],0),)," ")</f>
        <v xml:space="preserve"> </v>
      </c>
      <c r="I557" s="228"/>
      <c r="J557" s="229" t="s">
        <v>961</v>
      </c>
      <c r="K557" s="230" t="s">
        <v>1119</v>
      </c>
      <c r="L557" s="230">
        <v>5935142.3600000003</v>
      </c>
      <c r="U557" s="166"/>
    </row>
    <row r="558" spans="1:21" ht="11.25" customHeight="1" x14ac:dyDescent="0.2">
      <c r="A558" s="221">
        <v>2022</v>
      </c>
      <c r="B558" s="221">
        <v>3</v>
      </c>
      <c r="C558" s="221">
        <v>8</v>
      </c>
      <c r="D558" s="231">
        <f t="shared" si="37"/>
        <v>44628</v>
      </c>
      <c r="E558" s="233">
        <f>DATE(A558,B558,C558)</f>
        <v>44628</v>
      </c>
      <c r="F558" s="478" t="s">
        <v>1131</v>
      </c>
      <c r="G558" s="222" t="s">
        <v>1111</v>
      </c>
      <c r="H558" s="223" t="str" cm="1">
        <f t="array" ref="H558">IFERROR(INDEX(INVESTOR_LIST[INVESTOR NAME],MATCH(I558,INVESTOR_LIST[INVESTOR CODE],0),)," ")</f>
        <v xml:space="preserve"> </v>
      </c>
      <c r="I558" s="223"/>
      <c r="J558" s="224" t="s">
        <v>961</v>
      </c>
      <c r="K558" s="225">
        <v>5935142.3600000003</v>
      </c>
      <c r="L558" s="225" t="s">
        <v>1119</v>
      </c>
      <c r="U558" s="166"/>
    </row>
    <row r="559" spans="1:21" ht="11.25" customHeight="1" x14ac:dyDescent="0.2">
      <c r="A559" s="226">
        <v>2022</v>
      </c>
      <c r="B559" s="226">
        <v>3</v>
      </c>
      <c r="C559" s="226">
        <v>8</v>
      </c>
      <c r="D559" s="232">
        <f t="shared" si="37"/>
        <v>44628</v>
      </c>
      <c r="E559" s="234">
        <f>DATE(A559,B559,C559)</f>
        <v>44628</v>
      </c>
      <c r="F559" s="479"/>
      <c r="G559" s="227" t="s">
        <v>1111</v>
      </c>
      <c r="H559" s="228" t="str" cm="1">
        <f t="array" ref="H559">IFERROR(INDEX(INVESTOR_LIST[INVESTOR NAME],MATCH(I559,INVESTOR_LIST[INVESTOR CODE],0),)," ")</f>
        <v xml:space="preserve"> </v>
      </c>
      <c r="I559" s="228"/>
      <c r="J559" s="229" t="s">
        <v>55</v>
      </c>
      <c r="K559" s="230" t="s">
        <v>1119</v>
      </c>
      <c r="L559" s="230">
        <v>5935142.3600000003</v>
      </c>
      <c r="U559" s="166"/>
    </row>
    <row r="560" spans="1:21" ht="11.25" customHeight="1" x14ac:dyDescent="0.2">
      <c r="A560" s="221">
        <v>2022</v>
      </c>
      <c r="B560" s="221">
        <v>3</v>
      </c>
      <c r="C560" s="164">
        <v>8</v>
      </c>
      <c r="D560" s="221">
        <f t="shared" si="37"/>
        <v>44628</v>
      </c>
      <c r="E560" s="233">
        <f t="shared" ref="E560:E562" si="44">DATE(A560,B560,C560)</f>
        <v>44628</v>
      </c>
      <c r="F560" s="478" t="s">
        <v>1135</v>
      </c>
      <c r="G560" s="222" t="s">
        <v>86</v>
      </c>
      <c r="H560" s="222" t="str" cm="1">
        <f t="array" ref="H560">IFERROR(INDEX(INVESTOR_LIST[INVESTOR NAME],MATCH(I560,INVESTOR_LIST[INVESTOR CODE],0),)," ")</f>
        <v xml:space="preserve"> </v>
      </c>
      <c r="I560" s="223"/>
      <c r="J560" s="224" t="s">
        <v>80</v>
      </c>
      <c r="K560" s="225">
        <v>4078977</v>
      </c>
      <c r="L560" s="225" t="s">
        <v>1119</v>
      </c>
      <c r="U560" s="166"/>
    </row>
    <row r="561" spans="1:21" ht="11.25" customHeight="1" x14ac:dyDescent="0.2">
      <c r="A561" s="164">
        <v>2022</v>
      </c>
      <c r="B561" s="164">
        <v>3</v>
      </c>
      <c r="C561" s="164">
        <v>8</v>
      </c>
      <c r="D561" s="164">
        <f t="shared" si="37"/>
        <v>44628</v>
      </c>
      <c r="E561" s="235">
        <f t="shared" si="44"/>
        <v>44628</v>
      </c>
      <c r="F561" s="480"/>
      <c r="G561" s="208" t="s">
        <v>86</v>
      </c>
      <c r="H561" s="208" t="str" cm="1">
        <f t="array" ref="H561">IFERROR(INDEX(INVESTOR_LIST[INVESTOR NAME],MATCH(I561,INVESTOR_LIST[INVESTOR CODE],0),)," ")</f>
        <v xml:space="preserve"> </v>
      </c>
      <c r="J561" s="165" t="s">
        <v>960</v>
      </c>
      <c r="K561" s="205">
        <v>7342.16</v>
      </c>
      <c r="L561" s="205" t="s">
        <v>1119</v>
      </c>
      <c r="U561" s="166"/>
    </row>
    <row r="562" spans="1:21" ht="11.25" customHeight="1" x14ac:dyDescent="0.2">
      <c r="A562" s="226">
        <v>2022</v>
      </c>
      <c r="B562" s="226">
        <v>3</v>
      </c>
      <c r="C562" s="226">
        <v>8</v>
      </c>
      <c r="D562" s="226">
        <f t="shared" si="37"/>
        <v>44628</v>
      </c>
      <c r="E562" s="234">
        <f t="shared" si="44"/>
        <v>44628</v>
      </c>
      <c r="F562" s="479"/>
      <c r="G562" s="227" t="s">
        <v>86</v>
      </c>
      <c r="H562" s="228" t="str" cm="1">
        <f t="array" ref="H562">IFERROR(INDEX(INVESTOR_LIST[INVESTOR NAME],MATCH(I562,INVESTOR_LIST[INVESTOR CODE],0),)," ")</f>
        <v xml:space="preserve"> </v>
      </c>
      <c r="I562" s="228"/>
      <c r="J562" s="229" t="s">
        <v>961</v>
      </c>
      <c r="K562" s="230" t="s">
        <v>1119</v>
      </c>
      <c r="L562" s="230">
        <v>4086319.16</v>
      </c>
      <c r="U562" s="166"/>
    </row>
    <row r="563" spans="1:21" ht="11.25" customHeight="1" x14ac:dyDescent="0.2">
      <c r="A563" s="221">
        <v>2022</v>
      </c>
      <c r="B563" s="221">
        <v>3</v>
      </c>
      <c r="C563" s="221">
        <v>8</v>
      </c>
      <c r="D563" s="231">
        <f t="shared" si="37"/>
        <v>44628</v>
      </c>
      <c r="E563" s="233">
        <f t="shared" ref="E563:E575" si="45">DATE(A563,B563,C563)</f>
        <v>44628</v>
      </c>
      <c r="F563" s="478" t="s">
        <v>1137</v>
      </c>
      <c r="G563" s="222" t="s">
        <v>1111</v>
      </c>
      <c r="H563" s="223" t="str" cm="1">
        <f t="array" ref="H563">IFERROR(INDEX(INVESTOR_LIST[INVESTOR NAME],MATCH(I563,INVESTOR_LIST[INVESTOR CODE],0),)," ")</f>
        <v xml:space="preserve"> </v>
      </c>
      <c r="I563" s="223"/>
      <c r="J563" s="224" t="s">
        <v>961</v>
      </c>
      <c r="K563" s="225">
        <v>4086319.16</v>
      </c>
      <c r="L563" s="225" t="s">
        <v>1119</v>
      </c>
      <c r="U563" s="166"/>
    </row>
    <row r="564" spans="1:21" ht="11.25" customHeight="1" x14ac:dyDescent="0.2">
      <c r="A564" s="226">
        <v>2022</v>
      </c>
      <c r="B564" s="226">
        <v>3</v>
      </c>
      <c r="C564" s="226">
        <v>8</v>
      </c>
      <c r="D564" s="232">
        <f t="shared" si="37"/>
        <v>44628</v>
      </c>
      <c r="E564" s="234">
        <f t="shared" si="45"/>
        <v>44628</v>
      </c>
      <c r="F564" s="479"/>
      <c r="G564" s="227" t="s">
        <v>1111</v>
      </c>
      <c r="H564" s="228" t="str" cm="1">
        <f t="array" ref="H564">IFERROR(INDEX(INVESTOR_LIST[INVESTOR NAME],MATCH(I564,INVESTOR_LIST[INVESTOR CODE],0),)," ")</f>
        <v xml:space="preserve"> </v>
      </c>
      <c r="I564" s="228"/>
      <c r="J564" s="229" t="s">
        <v>55</v>
      </c>
      <c r="K564" s="230" t="s">
        <v>1119</v>
      </c>
      <c r="L564" s="230">
        <v>4086319.16</v>
      </c>
      <c r="U564" s="166"/>
    </row>
    <row r="565" spans="1:21" ht="11.25" customHeight="1" x14ac:dyDescent="0.2">
      <c r="A565" s="221">
        <v>2022</v>
      </c>
      <c r="B565" s="221">
        <v>3</v>
      </c>
      <c r="C565" s="221">
        <v>8</v>
      </c>
      <c r="D565" s="231">
        <f t="shared" si="37"/>
        <v>44628</v>
      </c>
      <c r="E565" s="233">
        <f t="shared" si="45"/>
        <v>44628</v>
      </c>
      <c r="F565" s="478" t="s">
        <v>1138</v>
      </c>
      <c r="G565" s="222" t="s">
        <v>1111</v>
      </c>
      <c r="H565" s="223" t="str" cm="1">
        <f t="array" ref="H565">IFERROR(INDEX(INVESTOR_LIST[INVESTOR NAME],MATCH(I565,INVESTOR_LIST[INVESTOR CODE],0),)," ")</f>
        <v xml:space="preserve"> </v>
      </c>
      <c r="I565" s="223"/>
      <c r="J565" s="224" t="s">
        <v>88</v>
      </c>
      <c r="K565" s="225">
        <v>40000000</v>
      </c>
      <c r="L565" s="225" t="s">
        <v>1119</v>
      </c>
      <c r="U565" s="166"/>
    </row>
    <row r="566" spans="1:21" ht="11.25" customHeight="1" x14ac:dyDescent="0.2">
      <c r="A566" s="226">
        <v>2022</v>
      </c>
      <c r="B566" s="226">
        <v>3</v>
      </c>
      <c r="C566" s="226">
        <v>8</v>
      </c>
      <c r="D566" s="232">
        <f t="shared" si="37"/>
        <v>44628</v>
      </c>
      <c r="E566" s="234">
        <f t="shared" si="45"/>
        <v>44628</v>
      </c>
      <c r="F566" s="479"/>
      <c r="G566" s="227" t="s">
        <v>1111</v>
      </c>
      <c r="H566" s="228" t="str" cm="1">
        <f t="array" ref="H566">IFERROR(INDEX(INVESTOR_LIST[INVESTOR NAME],MATCH(I566,INVESTOR_LIST[INVESTOR CODE],0),)," ")</f>
        <v xml:space="preserve"> </v>
      </c>
      <c r="I566" s="228"/>
      <c r="J566" s="229" t="s">
        <v>55</v>
      </c>
      <c r="K566" s="230" t="s">
        <v>1119</v>
      </c>
      <c r="L566" s="230">
        <v>40000000</v>
      </c>
      <c r="U566" s="166"/>
    </row>
    <row r="567" spans="1:21" ht="11.25" customHeight="1" x14ac:dyDescent="0.2">
      <c r="A567" s="221">
        <v>2022</v>
      </c>
      <c r="B567" s="221">
        <v>3</v>
      </c>
      <c r="C567" s="221">
        <v>8</v>
      </c>
      <c r="D567" s="231">
        <f t="shared" si="37"/>
        <v>44628</v>
      </c>
      <c r="E567" s="233">
        <f t="shared" si="45"/>
        <v>44628</v>
      </c>
      <c r="F567" s="478" t="s">
        <v>1139</v>
      </c>
      <c r="G567" s="222" t="s">
        <v>1111</v>
      </c>
      <c r="H567" s="223" t="str" cm="1">
        <f t="array" ref="H567">IFERROR(INDEX(INVESTOR_LIST[INVESTOR NAME],MATCH(I567,INVESTOR_LIST[INVESTOR CODE],0),)," ")</f>
        <v xml:space="preserve"> </v>
      </c>
      <c r="I567" s="223"/>
      <c r="J567" s="224" t="s">
        <v>88</v>
      </c>
      <c r="K567" s="225">
        <v>2500000</v>
      </c>
      <c r="L567" s="205" t="s">
        <v>1119</v>
      </c>
      <c r="U567" s="166"/>
    </row>
    <row r="568" spans="1:21" ht="11.25" customHeight="1" x14ac:dyDescent="0.2">
      <c r="A568" s="226">
        <v>2022</v>
      </c>
      <c r="B568" s="226">
        <v>3</v>
      </c>
      <c r="C568" s="226">
        <v>8</v>
      </c>
      <c r="D568" s="232">
        <f t="shared" si="37"/>
        <v>44628</v>
      </c>
      <c r="E568" s="234">
        <f t="shared" si="45"/>
        <v>44628</v>
      </c>
      <c r="F568" s="479"/>
      <c r="G568" s="227" t="s">
        <v>1111</v>
      </c>
      <c r="H568" s="228" t="str" cm="1">
        <f t="array" ref="H568">IFERROR(INDEX(INVESTOR_LIST[INVESTOR NAME],MATCH(I568,INVESTOR_LIST[INVESTOR CODE],0),)," ")</f>
        <v xml:space="preserve"> </v>
      </c>
      <c r="I568" s="228"/>
      <c r="J568" s="229" t="s">
        <v>55</v>
      </c>
      <c r="K568" s="230" t="s">
        <v>1119</v>
      </c>
      <c r="L568" s="230">
        <v>2500000</v>
      </c>
      <c r="U568" s="166"/>
    </row>
    <row r="569" spans="1:21" ht="11.25" customHeight="1" x14ac:dyDescent="0.2">
      <c r="A569" s="221">
        <v>2022</v>
      </c>
      <c r="B569" s="221">
        <v>3</v>
      </c>
      <c r="C569" s="221">
        <v>8</v>
      </c>
      <c r="D569" s="231">
        <f t="shared" si="37"/>
        <v>44628</v>
      </c>
      <c r="E569" s="233">
        <f t="shared" si="45"/>
        <v>44628</v>
      </c>
      <c r="F569" s="478" t="s">
        <v>1139</v>
      </c>
      <c r="G569" s="222" t="s">
        <v>1111</v>
      </c>
      <c r="H569" s="223" t="str" cm="1">
        <f t="array" ref="H569">IFERROR(INDEX(INVESTOR_LIST[INVESTOR NAME],MATCH(I569,INVESTOR_LIST[INVESTOR CODE],0),)," ")</f>
        <v xml:space="preserve"> </v>
      </c>
      <c r="I569" s="223"/>
      <c r="J569" s="224" t="s">
        <v>88</v>
      </c>
      <c r="K569" s="225">
        <v>2500000</v>
      </c>
      <c r="L569" s="225" t="s">
        <v>1119</v>
      </c>
      <c r="U569" s="166"/>
    </row>
    <row r="570" spans="1:21" ht="11.25" customHeight="1" x14ac:dyDescent="0.2">
      <c r="A570" s="226">
        <v>2022</v>
      </c>
      <c r="B570" s="226">
        <v>3</v>
      </c>
      <c r="C570" s="226">
        <v>8</v>
      </c>
      <c r="D570" s="232">
        <f t="shared" si="37"/>
        <v>44628</v>
      </c>
      <c r="E570" s="234">
        <f t="shared" si="45"/>
        <v>44628</v>
      </c>
      <c r="F570" s="479"/>
      <c r="G570" s="227" t="s">
        <v>1111</v>
      </c>
      <c r="H570" s="228" t="str" cm="1">
        <f t="array" ref="H570">IFERROR(INDEX(INVESTOR_LIST[INVESTOR NAME],MATCH(I570,INVESTOR_LIST[INVESTOR CODE],0),)," ")</f>
        <v xml:space="preserve"> </v>
      </c>
      <c r="I570" s="228"/>
      <c r="J570" s="229" t="s">
        <v>55</v>
      </c>
      <c r="K570" s="230" t="s">
        <v>1119</v>
      </c>
      <c r="L570" s="230">
        <v>2500000</v>
      </c>
      <c r="U570" s="166"/>
    </row>
    <row r="571" spans="1:21" ht="11.25" customHeight="1" x14ac:dyDescent="0.2">
      <c r="A571" s="221">
        <v>2022</v>
      </c>
      <c r="B571" s="221">
        <v>3</v>
      </c>
      <c r="C571" s="221">
        <v>3</v>
      </c>
      <c r="D571" s="231">
        <f t="shared" si="37"/>
        <v>44623</v>
      </c>
      <c r="E571" s="233">
        <f t="shared" si="45"/>
        <v>44623</v>
      </c>
      <c r="F571" s="478" t="s">
        <v>1179</v>
      </c>
      <c r="G571" s="222" t="s">
        <v>1111</v>
      </c>
      <c r="H571" s="223" t="s">
        <v>1119</v>
      </c>
      <c r="I571" s="223"/>
      <c r="J571" s="224" t="s">
        <v>192</v>
      </c>
      <c r="K571" s="225">
        <f>30000*1.5</f>
        <v>45000</v>
      </c>
      <c r="L571" s="225"/>
      <c r="U571" s="166"/>
    </row>
    <row r="572" spans="1:21" ht="11.25" customHeight="1" x14ac:dyDescent="0.2">
      <c r="A572" s="226">
        <v>2022</v>
      </c>
      <c r="B572" s="226">
        <v>3</v>
      </c>
      <c r="C572" s="226">
        <v>3</v>
      </c>
      <c r="D572" s="232">
        <f t="shared" si="37"/>
        <v>44623</v>
      </c>
      <c r="E572" s="234">
        <f t="shared" si="45"/>
        <v>44623</v>
      </c>
      <c r="F572" s="479"/>
      <c r="G572" s="227" t="s">
        <v>1111</v>
      </c>
      <c r="H572" s="228" t="s">
        <v>1119</v>
      </c>
      <c r="I572" s="228"/>
      <c r="J572" s="229" t="s">
        <v>191</v>
      </c>
      <c r="K572" s="230"/>
      <c r="L572" s="230">
        <v>45000</v>
      </c>
      <c r="U572" s="166"/>
    </row>
    <row r="573" spans="1:21" ht="11.25" customHeight="1" x14ac:dyDescent="0.2">
      <c r="A573" s="221">
        <v>2022</v>
      </c>
      <c r="B573" s="221">
        <v>3</v>
      </c>
      <c r="C573" s="164">
        <v>9</v>
      </c>
      <c r="D573" s="221">
        <f t="shared" si="37"/>
        <v>44629</v>
      </c>
      <c r="E573" s="233">
        <f t="shared" si="45"/>
        <v>44629</v>
      </c>
      <c r="F573" s="478" t="s">
        <v>1136</v>
      </c>
      <c r="G573" s="222" t="s">
        <v>86</v>
      </c>
      <c r="H573" s="222" t="str" cm="1">
        <f t="array" ref="H573">IFERROR(INDEX(INVESTOR_LIST[INVESTOR NAME],MATCH(I573,INVESTOR_LIST[INVESTOR CODE],0),)," ")</f>
        <v xml:space="preserve"> </v>
      </c>
      <c r="I573" s="223"/>
      <c r="J573" s="224" t="s">
        <v>80</v>
      </c>
      <c r="K573" s="225">
        <v>6236809.5999999996</v>
      </c>
      <c r="L573" s="225" t="s">
        <v>1119</v>
      </c>
      <c r="U573" s="166"/>
    </row>
    <row r="574" spans="1:21" ht="11.25" customHeight="1" x14ac:dyDescent="0.2">
      <c r="A574" s="164">
        <v>2022</v>
      </c>
      <c r="B574" s="164">
        <v>3</v>
      </c>
      <c r="C574" s="164">
        <v>9</v>
      </c>
      <c r="D574" s="164">
        <f t="shared" si="37"/>
        <v>44629</v>
      </c>
      <c r="E574" s="235">
        <f t="shared" si="45"/>
        <v>44629</v>
      </c>
      <c r="F574" s="480"/>
      <c r="G574" s="208" t="s">
        <v>86</v>
      </c>
      <c r="H574" s="208" t="str" cm="1">
        <f t="array" ref="H574">IFERROR(INDEX(INVESTOR_LIST[INVESTOR NAME],MATCH(I574,INVESTOR_LIST[INVESTOR CODE],0),)," ")</f>
        <v xml:space="preserve"> </v>
      </c>
      <c r="J574" s="165" t="s">
        <v>960</v>
      </c>
      <c r="K574" s="205">
        <v>11226.26</v>
      </c>
      <c r="L574" s="205" t="s">
        <v>1119</v>
      </c>
      <c r="U574" s="166"/>
    </row>
    <row r="575" spans="1:21" ht="11.25" customHeight="1" x14ac:dyDescent="0.2">
      <c r="A575" s="226">
        <v>2022</v>
      </c>
      <c r="B575" s="226">
        <v>3</v>
      </c>
      <c r="C575" s="226">
        <v>9</v>
      </c>
      <c r="D575" s="226">
        <f t="shared" si="37"/>
        <v>44629</v>
      </c>
      <c r="E575" s="234">
        <f t="shared" si="45"/>
        <v>44629</v>
      </c>
      <c r="F575" s="479"/>
      <c r="G575" s="227" t="s">
        <v>86</v>
      </c>
      <c r="H575" s="228" t="str" cm="1">
        <f t="array" ref="H575">IFERROR(INDEX(INVESTOR_LIST[INVESTOR NAME],MATCH(I575,INVESTOR_LIST[INVESTOR CODE],0),)," ")</f>
        <v xml:space="preserve"> </v>
      </c>
      <c r="I575" s="228"/>
      <c r="J575" s="229" t="s">
        <v>961</v>
      </c>
      <c r="K575" s="230" t="s">
        <v>1119</v>
      </c>
      <c r="L575" s="230">
        <v>6248035.8600000003</v>
      </c>
      <c r="U575" s="166"/>
    </row>
    <row r="576" spans="1:21" ht="11.25" customHeight="1" x14ac:dyDescent="0.2">
      <c r="A576" s="221">
        <v>2022</v>
      </c>
      <c r="B576" s="221">
        <v>3</v>
      </c>
      <c r="C576" s="221">
        <v>9</v>
      </c>
      <c r="D576" s="231">
        <f t="shared" si="37"/>
        <v>44629</v>
      </c>
      <c r="E576" s="233">
        <f>DATE(A576,B576,C576)</f>
        <v>44629</v>
      </c>
      <c r="F576" s="478" t="s">
        <v>1130</v>
      </c>
      <c r="G576" s="222" t="s">
        <v>1111</v>
      </c>
      <c r="H576" s="223" t="str" cm="1">
        <f t="array" ref="H576">IFERROR(INDEX(INVESTOR_LIST[INVESTOR NAME],MATCH(I576,INVESTOR_LIST[INVESTOR CODE],0),)," ")</f>
        <v xml:space="preserve"> </v>
      </c>
      <c r="I576" s="223"/>
      <c r="J576" s="224" t="s">
        <v>961</v>
      </c>
      <c r="K576" s="225">
        <v>6248035.8600000003</v>
      </c>
      <c r="L576" s="225" t="s">
        <v>1119</v>
      </c>
      <c r="U576" s="166"/>
    </row>
    <row r="577" spans="1:21" ht="11.25" customHeight="1" x14ac:dyDescent="0.2">
      <c r="A577" s="226">
        <v>2022</v>
      </c>
      <c r="B577" s="226">
        <v>3</v>
      </c>
      <c r="C577" s="226">
        <v>9</v>
      </c>
      <c r="D577" s="232">
        <f t="shared" si="37"/>
        <v>44629</v>
      </c>
      <c r="E577" s="234">
        <f>DATE(A577,B577,C577)</f>
        <v>44629</v>
      </c>
      <c r="F577" s="479"/>
      <c r="G577" s="227" t="s">
        <v>1111</v>
      </c>
      <c r="H577" s="228" t="str" cm="1">
        <f t="array" ref="H577">IFERROR(INDEX(INVESTOR_LIST[INVESTOR NAME],MATCH(I577,INVESTOR_LIST[INVESTOR CODE],0),)," ")</f>
        <v xml:space="preserve"> </v>
      </c>
      <c r="I577" s="228"/>
      <c r="J577" s="229" t="s">
        <v>55</v>
      </c>
      <c r="K577" s="230" t="s">
        <v>1119</v>
      </c>
      <c r="L577" s="230">
        <v>6248035.8600000003</v>
      </c>
      <c r="U577" s="166"/>
    </row>
    <row r="578" spans="1:21" ht="11.25" customHeight="1" x14ac:dyDescent="0.2">
      <c r="A578" s="221">
        <v>2022</v>
      </c>
      <c r="B578" s="221">
        <v>3</v>
      </c>
      <c r="C578" s="164">
        <v>9</v>
      </c>
      <c r="D578" s="221">
        <f t="shared" si="37"/>
        <v>44629</v>
      </c>
      <c r="E578" s="233">
        <f t="shared" ref="E578:E585" si="46">DATE(A578,B578,C578)</f>
        <v>44629</v>
      </c>
      <c r="F578" s="478" t="s">
        <v>1135</v>
      </c>
      <c r="G578" s="222" t="s">
        <v>86</v>
      </c>
      <c r="H578" s="222" t="str" cm="1">
        <f t="array" ref="H578">IFERROR(INDEX(INVESTOR_LIST[INVESTOR NAME],MATCH(I578,INVESTOR_LIST[INVESTOR CODE],0),)," ")</f>
        <v xml:space="preserve"> </v>
      </c>
      <c r="I578" s="223"/>
      <c r="J578" s="224" t="s">
        <v>80</v>
      </c>
      <c r="K578" s="225">
        <v>7363035.7000000002</v>
      </c>
      <c r="L578" s="225" t="s">
        <v>1119</v>
      </c>
      <c r="U578" s="166"/>
    </row>
    <row r="579" spans="1:21" ht="11.25" customHeight="1" x14ac:dyDescent="0.2">
      <c r="A579" s="164">
        <v>2022</v>
      </c>
      <c r="B579" s="164">
        <v>3</v>
      </c>
      <c r="C579" s="164">
        <v>9</v>
      </c>
      <c r="D579" s="164">
        <f t="shared" si="37"/>
        <v>44629</v>
      </c>
      <c r="E579" s="235">
        <f t="shared" si="46"/>
        <v>44629</v>
      </c>
      <c r="F579" s="480"/>
      <c r="G579" s="208" t="s">
        <v>86</v>
      </c>
      <c r="H579" s="208" t="str" cm="1">
        <f t="array" ref="H579">IFERROR(INDEX(INVESTOR_LIST[INVESTOR NAME],MATCH(I579,INVESTOR_LIST[INVESTOR CODE],0),)," ")</f>
        <v xml:space="preserve"> </v>
      </c>
      <c r="J579" s="165" t="s">
        <v>960</v>
      </c>
      <c r="K579" s="205">
        <v>13253.47</v>
      </c>
      <c r="L579" s="205" t="s">
        <v>1119</v>
      </c>
      <c r="U579" s="166"/>
    </row>
    <row r="580" spans="1:21" ht="11.25" customHeight="1" x14ac:dyDescent="0.2">
      <c r="A580" s="226">
        <v>2022</v>
      </c>
      <c r="B580" s="226">
        <v>3</v>
      </c>
      <c r="C580" s="226">
        <v>9</v>
      </c>
      <c r="D580" s="226">
        <f t="shared" si="37"/>
        <v>44629</v>
      </c>
      <c r="E580" s="234">
        <f t="shared" si="46"/>
        <v>44629</v>
      </c>
      <c r="F580" s="479"/>
      <c r="G580" s="227" t="s">
        <v>86</v>
      </c>
      <c r="H580" s="228" t="str" cm="1">
        <f t="array" ref="H580">IFERROR(INDEX(INVESTOR_LIST[INVESTOR NAME],MATCH(I580,INVESTOR_LIST[INVESTOR CODE],0),)," ")</f>
        <v xml:space="preserve"> </v>
      </c>
      <c r="I580" s="228"/>
      <c r="J580" s="229" t="s">
        <v>961</v>
      </c>
      <c r="K580" s="230" t="s">
        <v>1119</v>
      </c>
      <c r="L580" s="230">
        <v>7376289.1699999999</v>
      </c>
      <c r="U580" s="166"/>
    </row>
    <row r="581" spans="1:21" ht="11.25" customHeight="1" x14ac:dyDescent="0.2">
      <c r="A581" s="221">
        <v>2022</v>
      </c>
      <c r="B581" s="221">
        <v>3</v>
      </c>
      <c r="C581" s="221">
        <v>9</v>
      </c>
      <c r="D581" s="231">
        <f t="shared" si="37"/>
        <v>44629</v>
      </c>
      <c r="E581" s="233">
        <f t="shared" si="46"/>
        <v>44629</v>
      </c>
      <c r="F581" s="478" t="s">
        <v>1137</v>
      </c>
      <c r="G581" s="222" t="s">
        <v>1111</v>
      </c>
      <c r="H581" s="223" t="str" cm="1">
        <f t="array" ref="H581">IFERROR(INDEX(INVESTOR_LIST[INVESTOR NAME],MATCH(I581,INVESTOR_LIST[INVESTOR CODE],0),)," ")</f>
        <v xml:space="preserve"> </v>
      </c>
      <c r="I581" s="223"/>
      <c r="J581" s="224" t="s">
        <v>961</v>
      </c>
      <c r="K581" s="225">
        <v>7376289.1699999999</v>
      </c>
      <c r="L581" s="225" t="s">
        <v>1119</v>
      </c>
      <c r="U581" s="166"/>
    </row>
    <row r="582" spans="1:21" ht="11.25" customHeight="1" x14ac:dyDescent="0.2">
      <c r="A582" s="226">
        <v>2022</v>
      </c>
      <c r="B582" s="226">
        <v>3</v>
      </c>
      <c r="C582" s="226">
        <v>9</v>
      </c>
      <c r="D582" s="232">
        <f t="shared" si="37"/>
        <v>44629</v>
      </c>
      <c r="E582" s="234">
        <f t="shared" si="46"/>
        <v>44629</v>
      </c>
      <c r="F582" s="479"/>
      <c r="G582" s="227" t="s">
        <v>1111</v>
      </c>
      <c r="H582" s="228" t="str" cm="1">
        <f t="array" ref="H582">IFERROR(INDEX(INVESTOR_LIST[INVESTOR NAME],MATCH(I582,INVESTOR_LIST[INVESTOR CODE],0),)," ")</f>
        <v xml:space="preserve"> </v>
      </c>
      <c r="I582" s="228"/>
      <c r="J582" s="229" t="s">
        <v>55</v>
      </c>
      <c r="K582" s="230" t="s">
        <v>1119</v>
      </c>
      <c r="L582" s="230">
        <v>7376289.1699999999</v>
      </c>
      <c r="U582" s="166"/>
    </row>
    <row r="583" spans="1:21" ht="11.25" customHeight="1" x14ac:dyDescent="0.2">
      <c r="A583" s="221">
        <v>2022</v>
      </c>
      <c r="B583" s="221">
        <v>3</v>
      </c>
      <c r="C583" s="221">
        <v>9</v>
      </c>
      <c r="D583" s="221">
        <f t="shared" si="37"/>
        <v>44629</v>
      </c>
      <c r="E583" s="233">
        <f t="shared" si="46"/>
        <v>44629</v>
      </c>
      <c r="F583" s="478" t="s">
        <v>1129</v>
      </c>
      <c r="G583" s="222" t="s">
        <v>86</v>
      </c>
      <c r="H583" s="222" t="str" cm="1">
        <f t="array" ref="H583">IFERROR(INDEX(INVESTOR_LIST[INVESTOR NAME],MATCH(I583,INVESTOR_LIST[INVESTOR CODE],0),)," ")</f>
        <v xml:space="preserve"> </v>
      </c>
      <c r="I583" s="223"/>
      <c r="J583" s="224" t="s">
        <v>80</v>
      </c>
      <c r="K583" s="225">
        <v>2985140.4</v>
      </c>
      <c r="L583" s="225" t="s">
        <v>1119</v>
      </c>
      <c r="U583" s="166"/>
    </row>
    <row r="584" spans="1:21" ht="11.25" customHeight="1" x14ac:dyDescent="0.2">
      <c r="A584" s="164">
        <v>2022</v>
      </c>
      <c r="B584" s="164">
        <v>3</v>
      </c>
      <c r="C584" s="164">
        <v>9</v>
      </c>
      <c r="D584" s="164">
        <f t="shared" si="37"/>
        <v>44629</v>
      </c>
      <c r="E584" s="235">
        <f t="shared" si="46"/>
        <v>44629</v>
      </c>
      <c r="F584" s="480"/>
      <c r="G584" s="208" t="s">
        <v>86</v>
      </c>
      <c r="H584" s="208" t="str" cm="1">
        <f t="array" ref="H584">IFERROR(INDEX(INVESTOR_LIST[INVESTOR NAME],MATCH(I584,INVESTOR_LIST[INVESTOR CODE],0),)," ")</f>
        <v xml:space="preserve"> </v>
      </c>
      <c r="J584" s="165" t="s">
        <v>960</v>
      </c>
      <c r="K584" s="205">
        <v>5373.25</v>
      </c>
      <c r="L584" s="205" t="s">
        <v>1119</v>
      </c>
      <c r="U584" s="166"/>
    </row>
    <row r="585" spans="1:21" ht="11.25" customHeight="1" x14ac:dyDescent="0.2">
      <c r="A585" s="226">
        <v>2022</v>
      </c>
      <c r="B585" s="226">
        <v>3</v>
      </c>
      <c r="C585" s="226">
        <v>9</v>
      </c>
      <c r="D585" s="226">
        <f t="shared" ref="D585:D648" si="47">DATE(A585,B585,C585)</f>
        <v>44629</v>
      </c>
      <c r="E585" s="234">
        <f t="shared" si="46"/>
        <v>44629</v>
      </c>
      <c r="F585" s="479"/>
      <c r="G585" s="227" t="s">
        <v>86</v>
      </c>
      <c r="H585" s="228" t="str" cm="1">
        <f t="array" ref="H585">IFERROR(INDEX(INVESTOR_LIST[INVESTOR NAME],MATCH(I585,INVESTOR_LIST[INVESTOR CODE],0),)," ")</f>
        <v xml:space="preserve"> </v>
      </c>
      <c r="I585" s="228"/>
      <c r="J585" s="229" t="s">
        <v>961</v>
      </c>
      <c r="K585" s="230" t="s">
        <v>1119</v>
      </c>
      <c r="L585" s="230">
        <v>2990513.65</v>
      </c>
      <c r="U585" s="166"/>
    </row>
    <row r="586" spans="1:21" ht="11.25" customHeight="1" x14ac:dyDescent="0.2">
      <c r="A586" s="221">
        <v>2022</v>
      </c>
      <c r="B586" s="221">
        <v>3</v>
      </c>
      <c r="C586" s="221">
        <v>9</v>
      </c>
      <c r="D586" s="231">
        <f t="shared" si="47"/>
        <v>44629</v>
      </c>
      <c r="E586" s="233">
        <f>DATE(A586,B586,C586)</f>
        <v>44629</v>
      </c>
      <c r="F586" s="478" t="s">
        <v>1131</v>
      </c>
      <c r="G586" s="222" t="s">
        <v>1111</v>
      </c>
      <c r="H586" s="223" t="str" cm="1">
        <f t="array" ref="H586">IFERROR(INDEX(INVESTOR_LIST[INVESTOR NAME],MATCH(I586,INVESTOR_LIST[INVESTOR CODE],0),)," ")</f>
        <v xml:space="preserve"> </v>
      </c>
      <c r="I586" s="223"/>
      <c r="J586" s="224" t="s">
        <v>961</v>
      </c>
      <c r="K586" s="225">
        <v>2990513.65</v>
      </c>
      <c r="L586" s="225" t="s">
        <v>1119</v>
      </c>
      <c r="U586" s="166"/>
    </row>
    <row r="587" spans="1:21" ht="11.25" customHeight="1" x14ac:dyDescent="0.2">
      <c r="A587" s="226">
        <v>2022</v>
      </c>
      <c r="B587" s="226">
        <v>3</v>
      </c>
      <c r="C587" s="226">
        <v>9</v>
      </c>
      <c r="D587" s="232">
        <f t="shared" si="47"/>
        <v>44629</v>
      </c>
      <c r="E587" s="234">
        <f>DATE(A587,B587,C587)</f>
        <v>44629</v>
      </c>
      <c r="F587" s="479"/>
      <c r="G587" s="227" t="s">
        <v>1111</v>
      </c>
      <c r="H587" s="228" t="str" cm="1">
        <f t="array" ref="H587">IFERROR(INDEX(INVESTOR_LIST[INVESTOR NAME],MATCH(I587,INVESTOR_LIST[INVESTOR CODE],0),)," ")</f>
        <v xml:space="preserve"> </v>
      </c>
      <c r="I587" s="228"/>
      <c r="J587" s="229" t="s">
        <v>55</v>
      </c>
      <c r="K587" s="230" t="s">
        <v>1119</v>
      </c>
      <c r="L587" s="230">
        <v>2990513.65</v>
      </c>
      <c r="U587" s="166"/>
    </row>
    <row r="588" spans="1:21" ht="11.25" customHeight="1" x14ac:dyDescent="0.2">
      <c r="A588" s="221">
        <v>2022</v>
      </c>
      <c r="B588" s="221">
        <v>3</v>
      </c>
      <c r="C588" s="164">
        <v>10</v>
      </c>
      <c r="D588" s="221">
        <f t="shared" si="47"/>
        <v>44630</v>
      </c>
      <c r="E588" s="233">
        <f t="shared" ref="E588:E590" si="48">DATE(A588,B588,C588)</f>
        <v>44630</v>
      </c>
      <c r="F588" s="478" t="s">
        <v>1136</v>
      </c>
      <c r="G588" s="222" t="s">
        <v>86</v>
      </c>
      <c r="H588" s="222" t="str" cm="1">
        <f t="array" ref="H588">IFERROR(INDEX(INVESTOR_LIST[INVESTOR NAME],MATCH(I588,INVESTOR_LIST[INVESTOR CODE],0),)," ")</f>
        <v xml:space="preserve"> </v>
      </c>
      <c r="I588" s="223"/>
      <c r="J588" s="224" t="s">
        <v>80</v>
      </c>
      <c r="K588" s="225">
        <v>3936483.8</v>
      </c>
      <c r="L588" s="225" t="s">
        <v>1119</v>
      </c>
      <c r="U588" s="166"/>
    </row>
    <row r="589" spans="1:21" ht="11.25" customHeight="1" x14ac:dyDescent="0.2">
      <c r="A589" s="164">
        <v>2022</v>
      </c>
      <c r="B589" s="164">
        <v>3</v>
      </c>
      <c r="C589" s="164">
        <v>10</v>
      </c>
      <c r="D589" s="164">
        <f t="shared" si="47"/>
        <v>44630</v>
      </c>
      <c r="E589" s="235">
        <f t="shared" si="48"/>
        <v>44630</v>
      </c>
      <c r="F589" s="480"/>
      <c r="G589" s="208" t="s">
        <v>86</v>
      </c>
      <c r="H589" s="208" t="str" cm="1">
        <f t="array" ref="H589">IFERROR(INDEX(INVESTOR_LIST[INVESTOR NAME],MATCH(I589,INVESTOR_LIST[INVESTOR CODE],0),)," ")</f>
        <v xml:space="preserve"> </v>
      </c>
      <c r="J589" s="165" t="s">
        <v>960</v>
      </c>
      <c r="K589" s="205">
        <v>7085.68</v>
      </c>
      <c r="L589" s="205" t="s">
        <v>1119</v>
      </c>
      <c r="U589" s="166"/>
    </row>
    <row r="590" spans="1:21" ht="11.25" customHeight="1" x14ac:dyDescent="0.2">
      <c r="A590" s="226">
        <v>2022</v>
      </c>
      <c r="B590" s="226">
        <v>3</v>
      </c>
      <c r="C590" s="226">
        <v>10</v>
      </c>
      <c r="D590" s="226">
        <f t="shared" si="47"/>
        <v>44630</v>
      </c>
      <c r="E590" s="234">
        <f t="shared" si="48"/>
        <v>44630</v>
      </c>
      <c r="F590" s="479"/>
      <c r="G590" s="227" t="s">
        <v>86</v>
      </c>
      <c r="H590" s="228" t="str" cm="1">
        <f t="array" ref="H590">IFERROR(INDEX(INVESTOR_LIST[INVESTOR NAME],MATCH(I590,INVESTOR_LIST[INVESTOR CODE],0),)," ")</f>
        <v xml:space="preserve"> </v>
      </c>
      <c r="I590" s="228"/>
      <c r="J590" s="229" t="s">
        <v>961</v>
      </c>
      <c r="K590" s="230" t="s">
        <v>1119</v>
      </c>
      <c r="L590" s="230">
        <v>3943569.48</v>
      </c>
      <c r="U590" s="166"/>
    </row>
    <row r="591" spans="1:21" ht="11.25" customHeight="1" x14ac:dyDescent="0.2">
      <c r="A591" s="221">
        <v>2022</v>
      </c>
      <c r="B591" s="221">
        <v>3</v>
      </c>
      <c r="C591" s="221">
        <v>10</v>
      </c>
      <c r="D591" s="231">
        <f t="shared" si="47"/>
        <v>44630</v>
      </c>
      <c r="E591" s="233">
        <f>DATE(A591,B591,C591)</f>
        <v>44630</v>
      </c>
      <c r="F591" s="478" t="s">
        <v>1130</v>
      </c>
      <c r="G591" s="222" t="s">
        <v>1111</v>
      </c>
      <c r="H591" s="223" t="str" cm="1">
        <f t="array" ref="H591">IFERROR(INDEX(INVESTOR_LIST[INVESTOR NAME],MATCH(I591,INVESTOR_LIST[INVESTOR CODE],0),)," ")</f>
        <v xml:space="preserve"> </v>
      </c>
      <c r="I591" s="223"/>
      <c r="J591" s="224" t="s">
        <v>961</v>
      </c>
      <c r="K591" s="225">
        <v>3943569.48</v>
      </c>
      <c r="L591" s="225" t="s">
        <v>1119</v>
      </c>
      <c r="U591" s="166"/>
    </row>
    <row r="592" spans="1:21" ht="11.25" customHeight="1" x14ac:dyDescent="0.2">
      <c r="A592" s="226">
        <v>2022</v>
      </c>
      <c r="B592" s="226">
        <v>3</v>
      </c>
      <c r="C592" s="226">
        <v>10</v>
      </c>
      <c r="D592" s="232">
        <f t="shared" si="47"/>
        <v>44630</v>
      </c>
      <c r="E592" s="234">
        <f>DATE(A592,B592,C592)</f>
        <v>44630</v>
      </c>
      <c r="F592" s="479"/>
      <c r="G592" s="227" t="s">
        <v>1111</v>
      </c>
      <c r="H592" s="228" t="str" cm="1">
        <f t="array" ref="H592">IFERROR(INDEX(INVESTOR_LIST[INVESTOR NAME],MATCH(I592,INVESTOR_LIST[INVESTOR CODE],0),)," ")</f>
        <v xml:space="preserve"> </v>
      </c>
      <c r="I592" s="228"/>
      <c r="J592" s="229" t="s">
        <v>55</v>
      </c>
      <c r="K592" s="230" t="s">
        <v>1119</v>
      </c>
      <c r="L592" s="230">
        <v>3943569.48</v>
      </c>
      <c r="U592" s="166"/>
    </row>
    <row r="593" spans="1:21" ht="11.25" customHeight="1" x14ac:dyDescent="0.2">
      <c r="A593" s="221">
        <v>2022</v>
      </c>
      <c r="B593" s="221">
        <v>3</v>
      </c>
      <c r="C593" s="221">
        <v>10</v>
      </c>
      <c r="D593" s="221">
        <f t="shared" si="47"/>
        <v>44630</v>
      </c>
      <c r="E593" s="233">
        <f t="shared" ref="E593:E595" si="49">DATE(A593,B593,C593)</f>
        <v>44630</v>
      </c>
      <c r="F593" s="478" t="s">
        <v>1129</v>
      </c>
      <c r="G593" s="222" t="s">
        <v>86</v>
      </c>
      <c r="H593" s="222" t="str" cm="1">
        <f t="array" ref="H593">IFERROR(INDEX(INVESTOR_LIST[INVESTOR NAME],MATCH(I593,INVESTOR_LIST[INVESTOR CODE],0),)," ")</f>
        <v xml:space="preserve"> </v>
      </c>
      <c r="I593" s="223"/>
      <c r="J593" s="224" t="s">
        <v>80</v>
      </c>
      <c r="K593" s="225">
        <v>1673516.7</v>
      </c>
      <c r="L593" s="225" t="s">
        <v>1119</v>
      </c>
      <c r="U593" s="166"/>
    </row>
    <row r="594" spans="1:21" ht="11.25" customHeight="1" x14ac:dyDescent="0.2">
      <c r="A594" s="164">
        <v>2022</v>
      </c>
      <c r="B594" s="164">
        <v>3</v>
      </c>
      <c r="C594" s="164">
        <v>10</v>
      </c>
      <c r="D594" s="164">
        <f t="shared" si="47"/>
        <v>44630</v>
      </c>
      <c r="E594" s="235">
        <f t="shared" si="49"/>
        <v>44630</v>
      </c>
      <c r="F594" s="480"/>
      <c r="G594" s="208" t="s">
        <v>86</v>
      </c>
      <c r="H594" s="208" t="str" cm="1">
        <f t="array" ref="H594">IFERROR(INDEX(INVESTOR_LIST[INVESTOR NAME],MATCH(I594,INVESTOR_LIST[INVESTOR CODE],0),)," ")</f>
        <v xml:space="preserve"> </v>
      </c>
      <c r="J594" s="165" t="s">
        <v>960</v>
      </c>
      <c r="K594" s="205">
        <v>3012.33</v>
      </c>
      <c r="L594" s="205" t="s">
        <v>1119</v>
      </c>
      <c r="U594" s="166"/>
    </row>
    <row r="595" spans="1:21" ht="11.25" customHeight="1" x14ac:dyDescent="0.2">
      <c r="A595" s="226">
        <v>2022</v>
      </c>
      <c r="B595" s="226">
        <v>3</v>
      </c>
      <c r="C595" s="226">
        <v>10</v>
      </c>
      <c r="D595" s="226">
        <f t="shared" si="47"/>
        <v>44630</v>
      </c>
      <c r="E595" s="234">
        <f t="shared" si="49"/>
        <v>44630</v>
      </c>
      <c r="F595" s="479"/>
      <c r="G595" s="227" t="s">
        <v>86</v>
      </c>
      <c r="H595" s="228" t="str" cm="1">
        <f t="array" ref="H595">IFERROR(INDEX(INVESTOR_LIST[INVESTOR NAME],MATCH(I595,INVESTOR_LIST[INVESTOR CODE],0),)," ")</f>
        <v xml:space="preserve"> </v>
      </c>
      <c r="I595" s="228"/>
      <c r="J595" s="229" t="s">
        <v>961</v>
      </c>
      <c r="K595" s="230" t="s">
        <v>1119</v>
      </c>
      <c r="L595" s="230">
        <v>1676529.03</v>
      </c>
      <c r="U595" s="166"/>
    </row>
    <row r="596" spans="1:21" ht="11.25" customHeight="1" x14ac:dyDescent="0.2">
      <c r="A596" s="221">
        <v>2022</v>
      </c>
      <c r="B596" s="221">
        <v>3</v>
      </c>
      <c r="C596" s="221">
        <v>10</v>
      </c>
      <c r="D596" s="231">
        <f t="shared" si="47"/>
        <v>44630</v>
      </c>
      <c r="E596" s="233">
        <f>DATE(A596,B596,C596)</f>
        <v>44630</v>
      </c>
      <c r="F596" s="478" t="s">
        <v>1131</v>
      </c>
      <c r="G596" s="222" t="s">
        <v>1111</v>
      </c>
      <c r="H596" s="223" t="str" cm="1">
        <f t="array" ref="H596">IFERROR(INDEX(INVESTOR_LIST[INVESTOR NAME],MATCH(I596,INVESTOR_LIST[INVESTOR CODE],0),)," ")</f>
        <v xml:space="preserve"> </v>
      </c>
      <c r="I596" s="223"/>
      <c r="J596" s="224" t="s">
        <v>961</v>
      </c>
      <c r="K596" s="225">
        <v>1676529.03</v>
      </c>
      <c r="L596" s="225" t="s">
        <v>1119</v>
      </c>
      <c r="U596" s="166"/>
    </row>
    <row r="597" spans="1:21" ht="11.25" customHeight="1" x14ac:dyDescent="0.2">
      <c r="A597" s="226">
        <v>2022</v>
      </c>
      <c r="B597" s="226">
        <v>3</v>
      </c>
      <c r="C597" s="226">
        <v>10</v>
      </c>
      <c r="D597" s="232">
        <f t="shared" si="47"/>
        <v>44630</v>
      </c>
      <c r="E597" s="234">
        <f>DATE(A597,B597,C597)</f>
        <v>44630</v>
      </c>
      <c r="F597" s="479"/>
      <c r="G597" s="227" t="s">
        <v>1111</v>
      </c>
      <c r="H597" s="228" t="str" cm="1">
        <f t="array" ref="H597">IFERROR(INDEX(INVESTOR_LIST[INVESTOR NAME],MATCH(I597,INVESTOR_LIST[INVESTOR CODE],0),)," ")</f>
        <v xml:space="preserve"> </v>
      </c>
      <c r="I597" s="228"/>
      <c r="J597" s="229" t="s">
        <v>55</v>
      </c>
      <c r="K597" s="230" t="s">
        <v>1119</v>
      </c>
      <c r="L597" s="230">
        <v>1676529.03</v>
      </c>
      <c r="U597" s="166"/>
    </row>
    <row r="598" spans="1:21" ht="11.25" customHeight="1" x14ac:dyDescent="0.2">
      <c r="A598" s="221">
        <v>2022</v>
      </c>
      <c r="B598" s="221">
        <v>3</v>
      </c>
      <c r="C598" s="164">
        <v>10</v>
      </c>
      <c r="D598" s="221">
        <f t="shared" si="47"/>
        <v>44630</v>
      </c>
      <c r="E598" s="233">
        <f t="shared" ref="E598:E602" si="50">DATE(A598,B598,C598)</f>
        <v>44630</v>
      </c>
      <c r="F598" s="478" t="s">
        <v>1135</v>
      </c>
      <c r="G598" s="222" t="s">
        <v>86</v>
      </c>
      <c r="H598" s="222" t="str" cm="1">
        <f t="array" ref="H598">IFERROR(INDEX(INVESTOR_LIST[INVESTOR NAME],MATCH(I598,INVESTOR_LIST[INVESTOR CODE],0),)," ")</f>
        <v xml:space="preserve"> </v>
      </c>
      <c r="I598" s="223"/>
      <c r="J598" s="224" t="s">
        <v>80</v>
      </c>
      <c r="K598" s="225">
        <v>2543252.5</v>
      </c>
      <c r="L598" s="225" t="s">
        <v>1119</v>
      </c>
      <c r="U598" s="166"/>
    </row>
    <row r="599" spans="1:21" ht="11.25" customHeight="1" x14ac:dyDescent="0.2">
      <c r="A599" s="164">
        <v>2022</v>
      </c>
      <c r="B599" s="164">
        <v>3</v>
      </c>
      <c r="C599" s="164">
        <v>10</v>
      </c>
      <c r="D599" s="164">
        <f t="shared" si="47"/>
        <v>44630</v>
      </c>
      <c r="E599" s="235">
        <f t="shared" si="50"/>
        <v>44630</v>
      </c>
      <c r="F599" s="480"/>
      <c r="G599" s="208" t="s">
        <v>86</v>
      </c>
      <c r="H599" s="208" t="str" cm="1">
        <f t="array" ref="H599">IFERROR(INDEX(INVESTOR_LIST[INVESTOR NAME],MATCH(I599,INVESTOR_LIST[INVESTOR CODE],0),)," ")</f>
        <v xml:space="preserve"> </v>
      </c>
      <c r="J599" s="165" t="s">
        <v>960</v>
      </c>
      <c r="K599" s="205">
        <v>4577.8599999999997</v>
      </c>
      <c r="L599" s="205" t="s">
        <v>1119</v>
      </c>
      <c r="U599" s="166"/>
    </row>
    <row r="600" spans="1:21" ht="11.25" customHeight="1" x14ac:dyDescent="0.2">
      <c r="A600" s="226">
        <v>2022</v>
      </c>
      <c r="B600" s="226">
        <v>3</v>
      </c>
      <c r="C600" s="226">
        <v>10</v>
      </c>
      <c r="D600" s="226">
        <f t="shared" si="47"/>
        <v>44630</v>
      </c>
      <c r="E600" s="234">
        <f t="shared" si="50"/>
        <v>44630</v>
      </c>
      <c r="F600" s="479"/>
      <c r="G600" s="227" t="s">
        <v>86</v>
      </c>
      <c r="H600" s="228" t="str" cm="1">
        <f t="array" ref="H600">IFERROR(INDEX(INVESTOR_LIST[INVESTOR NAME],MATCH(I600,INVESTOR_LIST[INVESTOR CODE],0),)," ")</f>
        <v xml:space="preserve"> </v>
      </c>
      <c r="I600" s="228"/>
      <c r="J600" s="229" t="s">
        <v>961</v>
      </c>
      <c r="K600" s="230" t="s">
        <v>1119</v>
      </c>
      <c r="L600" s="230">
        <v>2547830.36</v>
      </c>
      <c r="U600" s="166"/>
    </row>
    <row r="601" spans="1:21" ht="11.25" customHeight="1" x14ac:dyDescent="0.2">
      <c r="A601" s="221">
        <v>2022</v>
      </c>
      <c r="B601" s="221">
        <v>3</v>
      </c>
      <c r="C601" s="221">
        <v>10</v>
      </c>
      <c r="D601" s="231">
        <f t="shared" si="47"/>
        <v>44630</v>
      </c>
      <c r="E601" s="233">
        <f t="shared" si="50"/>
        <v>44630</v>
      </c>
      <c r="F601" s="478" t="s">
        <v>1137</v>
      </c>
      <c r="G601" s="222" t="s">
        <v>1111</v>
      </c>
      <c r="H601" s="223" t="str" cm="1">
        <f t="array" ref="H601">IFERROR(INDEX(INVESTOR_LIST[INVESTOR NAME],MATCH(I601,INVESTOR_LIST[INVESTOR CODE],0),)," ")</f>
        <v xml:space="preserve"> </v>
      </c>
      <c r="I601" s="223"/>
      <c r="J601" s="224" t="s">
        <v>961</v>
      </c>
      <c r="K601" s="225">
        <v>2547830.36</v>
      </c>
      <c r="L601" s="225" t="s">
        <v>1119</v>
      </c>
      <c r="U601" s="166"/>
    </row>
    <row r="602" spans="1:21" ht="11.25" customHeight="1" x14ac:dyDescent="0.2">
      <c r="A602" s="226">
        <v>2022</v>
      </c>
      <c r="B602" s="226">
        <v>3</v>
      </c>
      <c r="C602" s="226">
        <v>10</v>
      </c>
      <c r="D602" s="232">
        <f t="shared" si="47"/>
        <v>44630</v>
      </c>
      <c r="E602" s="234">
        <f t="shared" si="50"/>
        <v>44630</v>
      </c>
      <c r="F602" s="479"/>
      <c r="G602" s="227" t="s">
        <v>1111</v>
      </c>
      <c r="H602" s="228" t="str" cm="1">
        <f t="array" ref="H602">IFERROR(INDEX(INVESTOR_LIST[INVESTOR NAME],MATCH(I602,INVESTOR_LIST[INVESTOR CODE],0),)," ")</f>
        <v xml:space="preserve"> </v>
      </c>
      <c r="I602" s="228"/>
      <c r="J602" s="229" t="s">
        <v>55</v>
      </c>
      <c r="K602" s="230" t="s">
        <v>1119</v>
      </c>
      <c r="L602" s="230">
        <v>2547830.36</v>
      </c>
      <c r="U602" s="166"/>
    </row>
    <row r="603" spans="1:21" ht="11.25" customHeight="1" x14ac:dyDescent="0.2">
      <c r="A603" s="221">
        <v>2022</v>
      </c>
      <c r="B603" s="221">
        <v>3</v>
      </c>
      <c r="C603" s="164">
        <v>10</v>
      </c>
      <c r="D603" s="231">
        <f t="shared" si="47"/>
        <v>44630</v>
      </c>
      <c r="E603" s="233">
        <f>DATE(A603,B603,C603)</f>
        <v>44630</v>
      </c>
      <c r="F603" s="478" t="s">
        <v>1115</v>
      </c>
      <c r="G603" s="222" t="s">
        <v>1111</v>
      </c>
      <c r="H603" s="223" t="str" cm="1">
        <f t="array" ref="H603">IFERROR(INDEX(INVESTOR_LIST[INVESTOR NAME],MATCH(I603,INVESTOR_LIST[INVESTOR CODE],0),)," ")</f>
        <v>BISWAS ARIFUR RAHMAN</v>
      </c>
      <c r="I603" s="223" t="s">
        <v>324</v>
      </c>
      <c r="J603" s="224" t="s">
        <v>14</v>
      </c>
      <c r="K603" s="225">
        <v>200000</v>
      </c>
      <c r="L603" s="225" t="s">
        <v>1119</v>
      </c>
      <c r="U603" s="166"/>
    </row>
    <row r="604" spans="1:21" ht="11.25" customHeight="1" x14ac:dyDescent="0.2">
      <c r="A604" s="164">
        <v>2022</v>
      </c>
      <c r="B604" s="164">
        <v>3</v>
      </c>
      <c r="C604" s="164">
        <v>10</v>
      </c>
      <c r="D604" s="156">
        <f t="shared" si="47"/>
        <v>44630</v>
      </c>
      <c r="E604" s="235">
        <f t="shared" ref="E604" si="51">DATE(A604,B604,C604)</f>
        <v>44630</v>
      </c>
      <c r="F604" s="480"/>
      <c r="G604" s="208" t="s">
        <v>1111</v>
      </c>
      <c r="H604" s="206" t="str" cm="1">
        <f t="array" ref="H604">IFERROR(INDEX(INVESTOR_LIST[INVESTOR NAME],MATCH(I604,INVESTOR_LIST[INVESTOR CODE],0),)," ")</f>
        <v>BISWAS ARIFUR RAHMAN</v>
      </c>
      <c r="I604" s="206" t="s">
        <v>324</v>
      </c>
      <c r="J604" s="165" t="s">
        <v>1112</v>
      </c>
      <c r="K604" s="205" t="s">
        <v>1119</v>
      </c>
      <c r="L604" s="205">
        <v>1000</v>
      </c>
      <c r="U604" s="166"/>
    </row>
    <row r="605" spans="1:21" ht="11.25" customHeight="1" x14ac:dyDescent="0.2">
      <c r="A605" s="226">
        <v>2022</v>
      </c>
      <c r="B605" s="226">
        <v>3</v>
      </c>
      <c r="C605" s="226">
        <v>10</v>
      </c>
      <c r="D605" s="232">
        <f t="shared" si="47"/>
        <v>44630</v>
      </c>
      <c r="E605" s="234">
        <f>DATE(A605,B605,C605)</f>
        <v>44630</v>
      </c>
      <c r="F605" s="479"/>
      <c r="G605" s="227" t="s">
        <v>1111</v>
      </c>
      <c r="H605" s="228" t="str" cm="1">
        <f t="array" ref="H605">IFERROR(INDEX(INVESTOR_LIST[INVESTOR NAME],MATCH(I605,INVESTOR_LIST[INVESTOR CODE],0),)," ")</f>
        <v>BISWAS ARIFUR RAHMAN</v>
      </c>
      <c r="I605" s="228" t="s">
        <v>324</v>
      </c>
      <c r="J605" s="229" t="s">
        <v>55</v>
      </c>
      <c r="K605" s="230" t="s">
        <v>1119</v>
      </c>
      <c r="L605" s="230">
        <v>199000</v>
      </c>
      <c r="U605" s="166"/>
    </row>
    <row r="606" spans="1:21" ht="11.25" customHeight="1" x14ac:dyDescent="0.2">
      <c r="A606" s="236">
        <v>2022</v>
      </c>
      <c r="B606" s="236">
        <v>3</v>
      </c>
      <c r="C606" s="236">
        <v>10</v>
      </c>
      <c r="D606" s="237">
        <f t="shared" si="47"/>
        <v>44630</v>
      </c>
      <c r="E606" s="238">
        <f t="shared" ref="E606:E623" si="52">DATE(A606,B606,C606)</f>
        <v>44630</v>
      </c>
      <c r="F606" s="476" t="s">
        <v>1118</v>
      </c>
      <c r="G606" s="239" t="s">
        <v>86</v>
      </c>
      <c r="H606" s="239" t="str" cm="1">
        <f t="array" ref="H606">IFERROR(INDEX(INVESTOR_LIST[INVESTOR NAME],MATCH(I606,INVESTOR_LIST[INVESTOR CODE],0),)," ")</f>
        <v xml:space="preserve"> </v>
      </c>
      <c r="I606" s="240"/>
      <c r="J606" s="241" t="s">
        <v>1123</v>
      </c>
      <c r="K606" s="242">
        <v>1246587</v>
      </c>
      <c r="L606" s="242" t="s">
        <v>1119</v>
      </c>
      <c r="U606" s="166"/>
    </row>
    <row r="607" spans="1:21" ht="11.25" customHeight="1" x14ac:dyDescent="0.2">
      <c r="A607" s="243">
        <v>2022</v>
      </c>
      <c r="B607" s="243">
        <v>3</v>
      </c>
      <c r="C607" s="243">
        <v>10</v>
      </c>
      <c r="D607" s="248">
        <f t="shared" si="47"/>
        <v>44630</v>
      </c>
      <c r="E607" s="249">
        <f t="shared" si="52"/>
        <v>44630</v>
      </c>
      <c r="F607" s="477"/>
      <c r="G607" s="244" t="s">
        <v>86</v>
      </c>
      <c r="H607" s="244" t="str" cm="1">
        <f t="array" ref="H607">IFERROR(INDEX(INVESTOR_LIST[INVESTOR NAME],MATCH(I607,INVESTOR_LIST[INVESTOR CODE],0),)," ")</f>
        <v xml:space="preserve"> </v>
      </c>
      <c r="I607" s="245"/>
      <c r="J607" s="246" t="s">
        <v>1124</v>
      </c>
      <c r="K607" s="247" t="s">
        <v>1119</v>
      </c>
      <c r="L607" s="247">
        <v>1246587</v>
      </c>
      <c r="U607" s="166"/>
    </row>
    <row r="608" spans="1:21" ht="11.25" customHeight="1" x14ac:dyDescent="0.2">
      <c r="A608" s="236">
        <v>2022</v>
      </c>
      <c r="B608" s="236">
        <v>3</v>
      </c>
      <c r="C608" s="236">
        <v>10</v>
      </c>
      <c r="D608" s="237">
        <f t="shared" si="47"/>
        <v>44630</v>
      </c>
      <c r="E608" s="238">
        <f t="shared" si="52"/>
        <v>44630</v>
      </c>
      <c r="F608" s="476" t="s">
        <v>1120</v>
      </c>
      <c r="G608" s="239" t="s">
        <v>86</v>
      </c>
      <c r="H608" s="239" t="str" cm="1">
        <f t="array" ref="H608">IFERROR(INDEX(INVESTOR_LIST[INVESTOR NAME],MATCH(I608,INVESTOR_LIST[INVESTOR CODE],0),)," ")</f>
        <v xml:space="preserve"> </v>
      </c>
      <c r="I608" s="240"/>
      <c r="J608" s="241" t="s">
        <v>87</v>
      </c>
      <c r="K608" s="242">
        <v>2747.2527472527472</v>
      </c>
      <c r="L608" s="242"/>
      <c r="U608" s="166"/>
    </row>
    <row r="609" spans="1:21" ht="11.25" customHeight="1" x14ac:dyDescent="0.2">
      <c r="A609" s="243">
        <v>2022</v>
      </c>
      <c r="B609" s="243">
        <v>3</v>
      </c>
      <c r="C609" s="243">
        <v>10</v>
      </c>
      <c r="D609" s="248">
        <f t="shared" si="47"/>
        <v>44630</v>
      </c>
      <c r="E609" s="249">
        <f t="shared" si="52"/>
        <v>44630</v>
      </c>
      <c r="F609" s="477"/>
      <c r="G609" s="244" t="s">
        <v>86</v>
      </c>
      <c r="H609" s="244" t="str" cm="1">
        <f t="array" ref="H609">IFERROR(INDEX(INVESTOR_LIST[INVESTOR NAME],MATCH(I609,INVESTOR_LIST[INVESTOR CODE],0),)," ")</f>
        <v xml:space="preserve"> </v>
      </c>
      <c r="I609" s="245"/>
      <c r="J609" s="246" t="s">
        <v>64</v>
      </c>
      <c r="K609" s="247"/>
      <c r="L609" s="247">
        <v>2747.2527472527472</v>
      </c>
      <c r="U609" s="166"/>
    </row>
    <row r="610" spans="1:21" ht="11.25" customHeight="1" x14ac:dyDescent="0.2">
      <c r="A610" s="236">
        <v>2022</v>
      </c>
      <c r="B610" s="236">
        <v>3</v>
      </c>
      <c r="C610" s="236">
        <v>10</v>
      </c>
      <c r="D610" s="237">
        <f t="shared" si="47"/>
        <v>44630</v>
      </c>
      <c r="E610" s="238">
        <f t="shared" si="52"/>
        <v>44630</v>
      </c>
      <c r="F610" s="476" t="s">
        <v>1121</v>
      </c>
      <c r="G610" s="239" t="s">
        <v>86</v>
      </c>
      <c r="H610" s="239" t="str" cm="1">
        <f t="array" ref="H610">IFERROR(INDEX(INVESTOR_LIST[INVESTOR NAME],MATCH(I610,INVESTOR_LIST[INVESTOR CODE],0),)," ")</f>
        <v xml:space="preserve"> </v>
      </c>
      <c r="I610" s="240"/>
      <c r="J610" s="241" t="s">
        <v>89</v>
      </c>
      <c r="K610" s="242">
        <v>98007.93</v>
      </c>
      <c r="L610" s="242" t="s">
        <v>1119</v>
      </c>
      <c r="U610" s="166"/>
    </row>
    <row r="611" spans="1:21" ht="11.25" customHeight="1" x14ac:dyDescent="0.2">
      <c r="A611" s="243">
        <v>2022</v>
      </c>
      <c r="B611" s="243">
        <v>3</v>
      </c>
      <c r="C611" s="243">
        <v>10</v>
      </c>
      <c r="D611" s="248">
        <f t="shared" si="47"/>
        <v>44630</v>
      </c>
      <c r="E611" s="249">
        <f t="shared" si="52"/>
        <v>44630</v>
      </c>
      <c r="F611" s="477"/>
      <c r="G611" s="244" t="s">
        <v>86</v>
      </c>
      <c r="H611" s="244" t="str" cm="1">
        <f t="array" ref="H611">IFERROR(INDEX(INVESTOR_LIST[INVESTOR NAME],MATCH(I611,INVESTOR_LIST[INVESTOR CODE],0),)," ")</f>
        <v xml:space="preserve"> </v>
      </c>
      <c r="I611" s="245"/>
      <c r="J611" s="246" t="s">
        <v>50</v>
      </c>
      <c r="K611" s="247" t="s">
        <v>1119</v>
      </c>
      <c r="L611" s="247">
        <v>98007.93</v>
      </c>
      <c r="U611" s="166"/>
    </row>
    <row r="612" spans="1:21" ht="11.25" customHeight="1" x14ac:dyDescent="0.2">
      <c r="A612" s="236">
        <v>2022</v>
      </c>
      <c r="B612" s="236">
        <v>3</v>
      </c>
      <c r="C612" s="236">
        <v>10</v>
      </c>
      <c r="D612" s="237">
        <f t="shared" si="47"/>
        <v>44630</v>
      </c>
      <c r="E612" s="238">
        <f t="shared" si="52"/>
        <v>44630</v>
      </c>
      <c r="F612" s="476" t="s">
        <v>1122</v>
      </c>
      <c r="G612" s="239" t="s">
        <v>86</v>
      </c>
      <c r="H612" s="239" t="str" cm="1">
        <f t="array" ref="H612">IFERROR(INDEX(INVESTOR_LIST[INVESTOR NAME],MATCH(I612,INVESTOR_LIST[INVESTOR CODE],0),)," ")</f>
        <v xml:space="preserve"> </v>
      </c>
      <c r="I612" s="240"/>
      <c r="J612" s="241" t="s">
        <v>91</v>
      </c>
      <c r="K612" s="242">
        <v>4660.01</v>
      </c>
      <c r="L612" s="242" t="s">
        <v>1119</v>
      </c>
      <c r="U612" s="166"/>
    </row>
    <row r="613" spans="1:21" ht="11.25" customHeight="1" x14ac:dyDescent="0.2">
      <c r="A613" s="264">
        <v>2022</v>
      </c>
      <c r="B613" s="264">
        <v>3</v>
      </c>
      <c r="C613" s="264">
        <v>10</v>
      </c>
      <c r="D613" s="265">
        <f t="shared" si="47"/>
        <v>44630</v>
      </c>
      <c r="E613" s="266">
        <f t="shared" si="52"/>
        <v>44630</v>
      </c>
      <c r="F613" s="488"/>
      <c r="G613" s="267" t="s">
        <v>86</v>
      </c>
      <c r="H613" s="267" t="str" cm="1">
        <f t="array" ref="H613">IFERROR(INDEX(INVESTOR_LIST[INVESTOR NAME],MATCH(I613,INVESTOR_LIST[INVESTOR CODE],0),)," ")</f>
        <v xml:space="preserve"> </v>
      </c>
      <c r="I613" s="268"/>
      <c r="J613" s="269" t="s">
        <v>51</v>
      </c>
      <c r="K613" s="270" t="s">
        <v>1119</v>
      </c>
      <c r="L613" s="270">
        <v>4660.01</v>
      </c>
      <c r="U613" s="166"/>
    </row>
    <row r="614" spans="1:21" ht="11.25" customHeight="1" x14ac:dyDescent="0.2">
      <c r="A614" s="221">
        <v>2022</v>
      </c>
      <c r="B614" s="221">
        <v>3</v>
      </c>
      <c r="C614" s="221">
        <v>14</v>
      </c>
      <c r="D614" s="221">
        <f t="shared" si="47"/>
        <v>44634</v>
      </c>
      <c r="E614" s="271">
        <f t="shared" si="52"/>
        <v>44634</v>
      </c>
      <c r="F614" s="478" t="s">
        <v>1141</v>
      </c>
      <c r="G614" s="222" t="s">
        <v>1111</v>
      </c>
      <c r="H614" s="222" t="str" cm="1">
        <f t="array" ref="H614">IFERROR(INDEX(INVESTOR_LIST[INVESTOR NAME],MATCH(I614,INVESTOR_LIST[INVESTOR CODE],0),)," ")</f>
        <v xml:space="preserve"> </v>
      </c>
      <c r="I614" s="223"/>
      <c r="J614" s="224" t="s">
        <v>64</v>
      </c>
      <c r="K614" s="225">
        <v>1000000</v>
      </c>
      <c r="L614" s="225"/>
      <c r="U614" s="166"/>
    </row>
    <row r="615" spans="1:21" ht="11.25" customHeight="1" x14ac:dyDescent="0.2">
      <c r="A615" s="226">
        <v>2022</v>
      </c>
      <c r="B615" s="226">
        <v>3</v>
      </c>
      <c r="C615" s="226">
        <v>14</v>
      </c>
      <c r="D615" s="226">
        <f t="shared" si="47"/>
        <v>44634</v>
      </c>
      <c r="E615" s="272">
        <f t="shared" si="52"/>
        <v>44634</v>
      </c>
      <c r="F615" s="479"/>
      <c r="G615" s="227" t="s">
        <v>1111</v>
      </c>
      <c r="H615" s="227" t="str" cm="1">
        <f t="array" ref="H615">IFERROR(INDEX(INVESTOR_LIST[INVESTOR NAME],MATCH(I615,INVESTOR_LIST[INVESTOR CODE],0),)," ")</f>
        <v xml:space="preserve"> </v>
      </c>
      <c r="I615" s="228"/>
      <c r="J615" s="229" t="s">
        <v>55</v>
      </c>
      <c r="K615" s="230"/>
      <c r="L615" s="230">
        <v>1000000</v>
      </c>
      <c r="U615" s="166"/>
    </row>
    <row r="616" spans="1:21" ht="11.25" customHeight="1" x14ac:dyDescent="0.2">
      <c r="A616" s="164">
        <v>2022</v>
      </c>
      <c r="B616" s="164">
        <v>3</v>
      </c>
      <c r="C616" s="164">
        <v>14</v>
      </c>
      <c r="D616" s="164">
        <f t="shared" si="47"/>
        <v>44634</v>
      </c>
      <c r="E616" s="235">
        <f t="shared" si="52"/>
        <v>44634</v>
      </c>
      <c r="F616" s="480" t="s">
        <v>1136</v>
      </c>
      <c r="G616" s="208" t="s">
        <v>86</v>
      </c>
      <c r="H616" s="208" t="str" cm="1">
        <f t="array" ref="H616">IFERROR(INDEX(INVESTOR_LIST[INVESTOR NAME],MATCH(I616,INVESTOR_LIST[INVESTOR CODE],0),)," ")</f>
        <v xml:space="preserve"> </v>
      </c>
      <c r="J616" s="165" t="s">
        <v>80</v>
      </c>
      <c r="K616" s="205">
        <v>4786061.2</v>
      </c>
      <c r="L616" s="205" t="s">
        <v>1119</v>
      </c>
      <c r="U616" s="166"/>
    </row>
    <row r="617" spans="1:21" ht="11.25" customHeight="1" x14ac:dyDescent="0.2">
      <c r="A617" s="164">
        <v>2022</v>
      </c>
      <c r="B617" s="164">
        <v>3</v>
      </c>
      <c r="C617" s="164">
        <v>14</v>
      </c>
      <c r="D617" s="164">
        <f t="shared" si="47"/>
        <v>44634</v>
      </c>
      <c r="E617" s="235">
        <f t="shared" si="52"/>
        <v>44634</v>
      </c>
      <c r="F617" s="480"/>
      <c r="G617" s="208" t="s">
        <v>86</v>
      </c>
      <c r="H617" s="208" t="str" cm="1">
        <f t="array" ref="H617">IFERROR(INDEX(INVESTOR_LIST[INVESTOR NAME],MATCH(I617,INVESTOR_LIST[INVESTOR CODE],0),)," ")</f>
        <v xml:space="preserve"> </v>
      </c>
      <c r="J617" s="165" t="s">
        <v>960</v>
      </c>
      <c r="K617" s="205">
        <v>8614.91</v>
      </c>
      <c r="L617" s="205" t="s">
        <v>1119</v>
      </c>
      <c r="U617" s="166"/>
    </row>
    <row r="618" spans="1:21" ht="11.25" customHeight="1" x14ac:dyDescent="0.2">
      <c r="A618" s="226">
        <v>2022</v>
      </c>
      <c r="B618" s="226">
        <v>3</v>
      </c>
      <c r="C618" s="226">
        <v>14</v>
      </c>
      <c r="D618" s="226">
        <f t="shared" si="47"/>
        <v>44634</v>
      </c>
      <c r="E618" s="234">
        <f t="shared" si="52"/>
        <v>44634</v>
      </c>
      <c r="F618" s="479"/>
      <c r="G618" s="227" t="s">
        <v>86</v>
      </c>
      <c r="H618" s="228" t="str" cm="1">
        <f t="array" ref="H618">IFERROR(INDEX(INVESTOR_LIST[INVESTOR NAME],MATCH(I618,INVESTOR_LIST[INVESTOR CODE],0),)," ")</f>
        <v xml:space="preserve"> </v>
      </c>
      <c r="I618" s="228"/>
      <c r="J618" s="229" t="s">
        <v>961</v>
      </c>
      <c r="K618" s="230" t="s">
        <v>1119</v>
      </c>
      <c r="L618" s="230">
        <v>4794676.1100000003</v>
      </c>
    </row>
    <row r="619" spans="1:21" ht="11.25" customHeight="1" x14ac:dyDescent="0.2">
      <c r="A619" s="221">
        <v>2022</v>
      </c>
      <c r="B619" s="221">
        <v>3</v>
      </c>
      <c r="C619" s="221">
        <v>14</v>
      </c>
      <c r="D619" s="231">
        <f t="shared" si="47"/>
        <v>44634</v>
      </c>
      <c r="E619" s="233">
        <f>DATE(A619,B619,C619)</f>
        <v>44634</v>
      </c>
      <c r="F619" s="478" t="s">
        <v>1130</v>
      </c>
      <c r="G619" s="222" t="s">
        <v>1111</v>
      </c>
      <c r="H619" s="223" t="str" cm="1">
        <f t="array" ref="H619">IFERROR(INDEX(INVESTOR_LIST[INVESTOR NAME],MATCH(I619,INVESTOR_LIST[INVESTOR CODE],0),)," ")</f>
        <v xml:space="preserve"> </v>
      </c>
      <c r="I619" s="223"/>
      <c r="J619" s="224" t="s">
        <v>961</v>
      </c>
      <c r="K619" s="225">
        <v>4794676.1100000003</v>
      </c>
      <c r="L619" s="225" t="s">
        <v>1119</v>
      </c>
    </row>
    <row r="620" spans="1:21" ht="11.25" customHeight="1" x14ac:dyDescent="0.2">
      <c r="A620" s="226">
        <v>2022</v>
      </c>
      <c r="B620" s="226">
        <v>3</v>
      </c>
      <c r="C620" s="226">
        <v>14</v>
      </c>
      <c r="D620" s="232">
        <f t="shared" si="47"/>
        <v>44634</v>
      </c>
      <c r="E620" s="234">
        <f>DATE(A620,B620,C620)</f>
        <v>44634</v>
      </c>
      <c r="F620" s="479"/>
      <c r="G620" s="227" t="s">
        <v>1111</v>
      </c>
      <c r="H620" s="228" t="str" cm="1">
        <f t="array" ref="H620">IFERROR(INDEX(INVESTOR_LIST[INVESTOR NAME],MATCH(I620,INVESTOR_LIST[INVESTOR CODE],0),)," ")</f>
        <v xml:space="preserve"> </v>
      </c>
      <c r="I620" s="228"/>
      <c r="J620" s="229" t="s">
        <v>55</v>
      </c>
      <c r="K620" s="230" t="s">
        <v>1119</v>
      </c>
      <c r="L620" s="230">
        <v>4794676.1100000003</v>
      </c>
    </row>
    <row r="621" spans="1:21" ht="11.25" customHeight="1" x14ac:dyDescent="0.2">
      <c r="A621" s="221">
        <v>2022</v>
      </c>
      <c r="B621" s="221">
        <v>3</v>
      </c>
      <c r="C621" s="164">
        <v>14</v>
      </c>
      <c r="D621" s="221">
        <f t="shared" si="47"/>
        <v>44634</v>
      </c>
      <c r="E621" s="233">
        <f t="shared" si="52"/>
        <v>44634</v>
      </c>
      <c r="F621" s="478" t="s">
        <v>1129</v>
      </c>
      <c r="G621" s="222" t="s">
        <v>86</v>
      </c>
      <c r="H621" s="222" t="str" cm="1">
        <f t="array" ref="H621">IFERROR(INDEX(INVESTOR_LIST[INVESTOR NAME],MATCH(I621,INVESTOR_LIST[INVESTOR CODE],0),)," ")</f>
        <v xml:space="preserve"> </v>
      </c>
      <c r="I621" s="223"/>
      <c r="J621" s="224" t="s">
        <v>80</v>
      </c>
      <c r="K621" s="225">
        <v>1111121.7</v>
      </c>
      <c r="L621" s="225" t="s">
        <v>1119</v>
      </c>
    </row>
    <row r="622" spans="1:21" ht="11.25" customHeight="1" x14ac:dyDescent="0.2">
      <c r="A622" s="164">
        <v>2022</v>
      </c>
      <c r="B622" s="164">
        <v>3</v>
      </c>
      <c r="C622" s="164">
        <v>14</v>
      </c>
      <c r="D622" s="164">
        <f t="shared" si="47"/>
        <v>44634</v>
      </c>
      <c r="E622" s="235">
        <f t="shared" si="52"/>
        <v>44634</v>
      </c>
      <c r="F622" s="480"/>
      <c r="G622" s="208" t="s">
        <v>86</v>
      </c>
      <c r="H622" s="208" t="str" cm="1">
        <f t="array" ref="H622">IFERROR(INDEX(INVESTOR_LIST[INVESTOR NAME],MATCH(I622,INVESTOR_LIST[INVESTOR CODE],0),)," ")</f>
        <v xml:space="preserve"> </v>
      </c>
      <c r="J622" s="165" t="s">
        <v>960</v>
      </c>
      <c r="K622" s="205">
        <v>2000.02</v>
      </c>
      <c r="L622" s="205" t="s">
        <v>1119</v>
      </c>
    </row>
    <row r="623" spans="1:21" ht="11.25" customHeight="1" x14ac:dyDescent="0.2">
      <c r="A623" s="226">
        <v>2022</v>
      </c>
      <c r="B623" s="226">
        <v>3</v>
      </c>
      <c r="C623" s="226">
        <v>14</v>
      </c>
      <c r="D623" s="226">
        <f t="shared" si="47"/>
        <v>44634</v>
      </c>
      <c r="E623" s="234">
        <f t="shared" si="52"/>
        <v>44634</v>
      </c>
      <c r="F623" s="479"/>
      <c r="G623" s="227" t="s">
        <v>86</v>
      </c>
      <c r="H623" s="228" t="str" cm="1">
        <f t="array" ref="H623">IFERROR(INDEX(INVESTOR_LIST[INVESTOR NAME],MATCH(I623,INVESTOR_LIST[INVESTOR CODE],0),)," ")</f>
        <v xml:space="preserve"> </v>
      </c>
      <c r="I623" s="228"/>
      <c r="J623" s="229" t="s">
        <v>961</v>
      </c>
      <c r="K623" s="230"/>
      <c r="L623" s="230">
        <v>1113121.72</v>
      </c>
    </row>
    <row r="624" spans="1:21" ht="11.25" customHeight="1" x14ac:dyDescent="0.2">
      <c r="A624" s="221">
        <v>2022</v>
      </c>
      <c r="B624" s="221">
        <v>3</v>
      </c>
      <c r="C624" s="221">
        <v>14</v>
      </c>
      <c r="D624" s="231">
        <f t="shared" si="47"/>
        <v>44634</v>
      </c>
      <c r="E624" s="233">
        <f>DATE(A624,B624,C624)</f>
        <v>44634</v>
      </c>
      <c r="F624" s="478" t="s">
        <v>1131</v>
      </c>
      <c r="G624" s="222" t="s">
        <v>1111</v>
      </c>
      <c r="H624" s="223" t="str" cm="1">
        <f t="array" ref="H624">IFERROR(INDEX(INVESTOR_LIST[INVESTOR NAME],MATCH(I624,INVESTOR_LIST[INVESTOR CODE],0),)," ")</f>
        <v xml:space="preserve"> </v>
      </c>
      <c r="I624" s="223"/>
      <c r="J624" s="224" t="s">
        <v>961</v>
      </c>
      <c r="K624" s="225">
        <v>1113121.72</v>
      </c>
      <c r="L624" s="225" t="s">
        <v>1119</v>
      </c>
    </row>
    <row r="625" spans="1:13" ht="11.25" customHeight="1" x14ac:dyDescent="0.2">
      <c r="A625" s="226">
        <v>2022</v>
      </c>
      <c r="B625" s="226">
        <v>3</v>
      </c>
      <c r="C625" s="226">
        <v>14</v>
      </c>
      <c r="D625" s="232">
        <f t="shared" si="47"/>
        <v>44634</v>
      </c>
      <c r="E625" s="234">
        <f>DATE(A625,B625,C625)</f>
        <v>44634</v>
      </c>
      <c r="F625" s="479"/>
      <c r="G625" s="227" t="s">
        <v>1111</v>
      </c>
      <c r="H625" s="228" t="str" cm="1">
        <f t="array" ref="H625">IFERROR(INDEX(INVESTOR_LIST[INVESTOR NAME],MATCH(I625,INVESTOR_LIST[INVESTOR CODE],0),)," ")</f>
        <v xml:space="preserve"> </v>
      </c>
      <c r="I625" s="228"/>
      <c r="J625" s="229" t="s">
        <v>55</v>
      </c>
      <c r="K625" s="230" t="s">
        <v>1119</v>
      </c>
      <c r="L625" s="230">
        <v>1113121.72</v>
      </c>
    </row>
    <row r="626" spans="1:13" ht="11.25" customHeight="1" x14ac:dyDescent="0.2">
      <c r="A626" s="221">
        <v>2022</v>
      </c>
      <c r="B626" s="221">
        <v>3</v>
      </c>
      <c r="C626" s="221">
        <v>15</v>
      </c>
      <c r="D626" s="221">
        <f t="shared" si="47"/>
        <v>44635</v>
      </c>
      <c r="E626" s="233">
        <f t="shared" ref="E626:E635" si="53">DATE(A626,B626,C626)</f>
        <v>44635</v>
      </c>
      <c r="F626" s="478" t="s">
        <v>1135</v>
      </c>
      <c r="G626" s="222" t="s">
        <v>86</v>
      </c>
      <c r="H626" s="222" t="str" cm="1">
        <f t="array" ref="H626">IFERROR(INDEX(INVESTOR_LIST[INVESTOR NAME],MATCH(I626,INVESTOR_LIST[INVESTOR CODE],0),)," ")</f>
        <v xml:space="preserve"> </v>
      </c>
      <c r="I626" s="223"/>
      <c r="J626" s="224" t="s">
        <v>80</v>
      </c>
      <c r="K626" s="225">
        <v>3196400</v>
      </c>
      <c r="L626" s="225"/>
    </row>
    <row r="627" spans="1:13" ht="11.25" customHeight="1" x14ac:dyDescent="0.2">
      <c r="A627" s="164">
        <v>2022</v>
      </c>
      <c r="B627" s="164">
        <v>3</v>
      </c>
      <c r="C627" s="164">
        <v>15</v>
      </c>
      <c r="D627" s="164">
        <f t="shared" si="47"/>
        <v>44635</v>
      </c>
      <c r="E627" s="235">
        <f t="shared" si="53"/>
        <v>44635</v>
      </c>
      <c r="F627" s="480"/>
      <c r="G627" s="208" t="s">
        <v>86</v>
      </c>
      <c r="H627" s="208" t="str" cm="1">
        <f t="array" ref="H627">IFERROR(INDEX(INVESTOR_LIST[INVESTOR NAME],MATCH(I627,INVESTOR_LIST[INVESTOR CODE],0),)," ")</f>
        <v xml:space="preserve"> </v>
      </c>
      <c r="J627" s="165" t="s">
        <v>960</v>
      </c>
      <c r="K627" s="205">
        <v>5753.52</v>
      </c>
      <c r="L627" s="205"/>
    </row>
    <row r="628" spans="1:13" ht="11.25" customHeight="1" x14ac:dyDescent="0.2">
      <c r="A628" s="226">
        <v>2022</v>
      </c>
      <c r="B628" s="226">
        <v>3</v>
      </c>
      <c r="C628" s="226">
        <v>15</v>
      </c>
      <c r="D628" s="226">
        <f t="shared" si="47"/>
        <v>44635</v>
      </c>
      <c r="E628" s="234">
        <f t="shared" si="53"/>
        <v>44635</v>
      </c>
      <c r="F628" s="479"/>
      <c r="G628" s="227" t="s">
        <v>86</v>
      </c>
      <c r="H628" s="228" t="str" cm="1">
        <f t="array" ref="H628">IFERROR(INDEX(INVESTOR_LIST[INVESTOR NAME],MATCH(I628,INVESTOR_LIST[INVESTOR CODE],0),)," ")</f>
        <v xml:space="preserve"> </v>
      </c>
      <c r="I628" s="228"/>
      <c r="J628" s="229" t="s">
        <v>961</v>
      </c>
      <c r="K628" s="230"/>
      <c r="L628" s="230">
        <v>3202153.52</v>
      </c>
    </row>
    <row r="629" spans="1:13" ht="11.25" customHeight="1" x14ac:dyDescent="0.2">
      <c r="A629" s="221">
        <v>2022</v>
      </c>
      <c r="B629" s="221">
        <v>3</v>
      </c>
      <c r="C629" s="221">
        <v>15</v>
      </c>
      <c r="D629" s="231">
        <f t="shared" si="47"/>
        <v>44635</v>
      </c>
      <c r="E629" s="233">
        <f t="shared" si="53"/>
        <v>44635</v>
      </c>
      <c r="F629" s="478" t="s">
        <v>1137</v>
      </c>
      <c r="G629" s="222" t="s">
        <v>1111</v>
      </c>
      <c r="H629" s="223" t="str" cm="1">
        <f t="array" ref="H629">IFERROR(INDEX(INVESTOR_LIST[INVESTOR NAME],MATCH(I629,INVESTOR_LIST[INVESTOR CODE],0),)," ")</f>
        <v xml:space="preserve"> </v>
      </c>
      <c r="I629" s="223"/>
      <c r="J629" s="224" t="s">
        <v>961</v>
      </c>
      <c r="K629" s="225">
        <v>3202153.52</v>
      </c>
      <c r="L629" s="225"/>
    </row>
    <row r="630" spans="1:13" ht="11.25" customHeight="1" x14ac:dyDescent="0.2">
      <c r="A630" s="226">
        <v>2022</v>
      </c>
      <c r="B630" s="226">
        <v>3</v>
      </c>
      <c r="C630" s="226">
        <v>15</v>
      </c>
      <c r="D630" s="232">
        <f t="shared" si="47"/>
        <v>44635</v>
      </c>
      <c r="E630" s="234">
        <f t="shared" si="53"/>
        <v>44635</v>
      </c>
      <c r="F630" s="479"/>
      <c r="G630" s="227" t="s">
        <v>1111</v>
      </c>
      <c r="H630" s="228" t="str" cm="1">
        <f t="array" ref="H630">IFERROR(INDEX(INVESTOR_LIST[INVESTOR NAME],MATCH(I630,INVESTOR_LIST[INVESTOR CODE],0),)," ")</f>
        <v xml:space="preserve"> </v>
      </c>
      <c r="I630" s="228"/>
      <c r="J630" s="229" t="s">
        <v>55</v>
      </c>
      <c r="K630" s="230"/>
      <c r="L630" s="230">
        <v>3202153.52</v>
      </c>
      <c r="M630" s="166"/>
    </row>
    <row r="631" spans="1:13" ht="11.25" customHeight="1" x14ac:dyDescent="0.2">
      <c r="A631" s="221">
        <v>2022</v>
      </c>
      <c r="B631" s="221">
        <v>3</v>
      </c>
      <c r="C631" s="221">
        <v>15</v>
      </c>
      <c r="D631" s="231">
        <f t="shared" si="47"/>
        <v>44635</v>
      </c>
      <c r="E631" s="233">
        <f t="shared" si="53"/>
        <v>44635</v>
      </c>
      <c r="F631" s="478" t="s">
        <v>802</v>
      </c>
      <c r="G631" s="222" t="s">
        <v>1111</v>
      </c>
      <c r="H631" s="223" t="str" cm="1">
        <f t="array" ref="H631">IFERROR(INDEX(INVESTOR_LIST[INVESTOR NAME],MATCH(I631,INVESTOR_LIST[INVESTOR CODE],0),)," ")</f>
        <v>FAHMIDA HAQUE</v>
      </c>
      <c r="I631" s="223" t="s">
        <v>343</v>
      </c>
      <c r="J631" s="224" t="s">
        <v>55</v>
      </c>
      <c r="K631" s="225">
        <v>500000</v>
      </c>
      <c r="L631" s="225"/>
    </row>
    <row r="632" spans="1:13" ht="11.25" customHeight="1" x14ac:dyDescent="0.2">
      <c r="A632" s="164">
        <v>2022</v>
      </c>
      <c r="B632" s="164">
        <v>3</v>
      </c>
      <c r="C632" s="164">
        <v>15</v>
      </c>
      <c r="D632" s="156">
        <f t="shared" si="47"/>
        <v>44635</v>
      </c>
      <c r="E632" s="235">
        <f t="shared" si="53"/>
        <v>44635</v>
      </c>
      <c r="F632" s="480"/>
      <c r="G632" s="208" t="s">
        <v>1111</v>
      </c>
      <c r="H632" s="206" t="str" cm="1">
        <f t="array" ref="H632">IFERROR(INDEX(INVESTOR_LIST[INVESTOR NAME],MATCH(I632,INVESTOR_LIST[INVESTOR CODE],0),)," ")</f>
        <v>FAHMIDA HAQUE</v>
      </c>
      <c r="I632" s="206" t="s">
        <v>343</v>
      </c>
      <c r="J632" s="165" t="s">
        <v>1112</v>
      </c>
      <c r="K632" s="205">
        <v>5050</v>
      </c>
      <c r="L632" s="205"/>
    </row>
    <row r="633" spans="1:13" ht="11.25" customHeight="1" x14ac:dyDescent="0.2">
      <c r="A633" s="226">
        <v>2022</v>
      </c>
      <c r="B633" s="226">
        <v>3</v>
      </c>
      <c r="C633" s="226">
        <v>15</v>
      </c>
      <c r="D633" s="232">
        <f t="shared" si="47"/>
        <v>44635</v>
      </c>
      <c r="E633" s="234">
        <f t="shared" si="53"/>
        <v>44635</v>
      </c>
      <c r="F633" s="479"/>
      <c r="G633" s="227" t="s">
        <v>1111</v>
      </c>
      <c r="H633" s="228" t="str" cm="1">
        <f t="array" ref="H633">IFERROR(INDEX(INVESTOR_LIST[INVESTOR NAME],MATCH(I633,INVESTOR_LIST[INVESTOR CODE],0),)," ")</f>
        <v>FAHMIDA HAQUE</v>
      </c>
      <c r="I633" s="228" t="s">
        <v>343</v>
      </c>
      <c r="J633" s="229" t="s">
        <v>14</v>
      </c>
      <c r="K633" s="230"/>
      <c r="L633" s="230">
        <v>505050</v>
      </c>
    </row>
    <row r="634" spans="1:13" ht="11.25" customHeight="1" x14ac:dyDescent="0.2">
      <c r="A634" s="221">
        <v>2022</v>
      </c>
      <c r="B634" s="221">
        <v>3</v>
      </c>
      <c r="C634" s="221">
        <v>15</v>
      </c>
      <c r="D634" s="231">
        <f t="shared" si="47"/>
        <v>44635</v>
      </c>
      <c r="E634" s="233">
        <f t="shared" si="53"/>
        <v>44635</v>
      </c>
      <c r="F634" s="478" t="s">
        <v>1114</v>
      </c>
      <c r="G634" s="222" t="s">
        <v>1111</v>
      </c>
      <c r="H634" s="223" t="str" cm="1">
        <f t="array" ref="H634">IFERROR(INDEX(INVESTOR_LIST[INVESTOR NAME],MATCH(I634,INVESTOR_LIST[INVESTOR CODE],0),)," ")</f>
        <v xml:space="preserve"> </v>
      </c>
      <c r="I634" s="223"/>
      <c r="J634" s="224" t="s">
        <v>63</v>
      </c>
      <c r="K634" s="225">
        <v>25</v>
      </c>
      <c r="L634" s="225" t="s">
        <v>1119</v>
      </c>
    </row>
    <row r="635" spans="1:13" ht="11.25" customHeight="1" x14ac:dyDescent="0.2">
      <c r="A635" s="226">
        <v>2022</v>
      </c>
      <c r="B635" s="226">
        <v>3</v>
      </c>
      <c r="C635" s="226">
        <v>15</v>
      </c>
      <c r="D635" s="232">
        <f t="shared" si="47"/>
        <v>44635</v>
      </c>
      <c r="E635" s="234">
        <f t="shared" si="53"/>
        <v>44635</v>
      </c>
      <c r="F635" s="479"/>
      <c r="G635" s="227" t="s">
        <v>1111</v>
      </c>
      <c r="H635" s="228" t="str" cm="1">
        <f t="array" ref="H635">IFERROR(INDEX(INVESTOR_LIST[INVESTOR NAME],MATCH(I635,INVESTOR_LIST[INVESTOR CODE],0),)," ")</f>
        <v xml:space="preserve"> </v>
      </c>
      <c r="I635" s="228"/>
      <c r="J635" s="229" t="s">
        <v>55</v>
      </c>
      <c r="K635" s="230" t="s">
        <v>1119</v>
      </c>
      <c r="L635" s="230">
        <v>25</v>
      </c>
    </row>
    <row r="636" spans="1:13" ht="11.25" customHeight="1" x14ac:dyDescent="0.2">
      <c r="A636" s="221">
        <v>2022</v>
      </c>
      <c r="B636" s="221">
        <v>3</v>
      </c>
      <c r="C636" s="221">
        <v>16</v>
      </c>
      <c r="D636" s="221">
        <f t="shared" si="47"/>
        <v>44636</v>
      </c>
      <c r="E636" s="233">
        <f t="shared" ref="E636:E653" si="54">DATE(A636,B636,C636)</f>
        <v>44636</v>
      </c>
      <c r="F636" s="478" t="s">
        <v>1135</v>
      </c>
      <c r="G636" s="222" t="s">
        <v>86</v>
      </c>
      <c r="H636" s="222" t="str" cm="1">
        <f t="array" ref="H636">IFERROR(INDEX(INVESTOR_LIST[INVESTOR NAME],MATCH(I636,INVESTOR_LIST[INVESTOR CODE],0),)," ")</f>
        <v xml:space="preserve"> </v>
      </c>
      <c r="I636" s="223"/>
      <c r="J636" s="224" t="s">
        <v>80</v>
      </c>
      <c r="K636" s="225">
        <v>482472.1</v>
      </c>
      <c r="L636" s="225"/>
    </row>
    <row r="637" spans="1:13" ht="11.25" customHeight="1" x14ac:dyDescent="0.2">
      <c r="A637" s="164">
        <v>2022</v>
      </c>
      <c r="B637" s="164">
        <v>3</v>
      </c>
      <c r="C637" s="164">
        <v>16</v>
      </c>
      <c r="D637" s="164">
        <f t="shared" si="47"/>
        <v>44636</v>
      </c>
      <c r="E637" s="235">
        <f t="shared" si="54"/>
        <v>44636</v>
      </c>
      <c r="F637" s="480"/>
      <c r="G637" s="208" t="s">
        <v>86</v>
      </c>
      <c r="H637" s="208" t="str" cm="1">
        <f t="array" ref="H637">IFERROR(INDEX(INVESTOR_LIST[INVESTOR NAME],MATCH(I637,INVESTOR_LIST[INVESTOR CODE],0),)," ")</f>
        <v xml:space="preserve"> </v>
      </c>
      <c r="J637" s="165" t="s">
        <v>960</v>
      </c>
      <c r="K637" s="205">
        <v>868.45</v>
      </c>
      <c r="L637" s="205"/>
    </row>
    <row r="638" spans="1:13" ht="11.25" customHeight="1" x14ac:dyDescent="0.2">
      <c r="A638" s="226">
        <v>2022</v>
      </c>
      <c r="B638" s="226">
        <v>3</v>
      </c>
      <c r="C638" s="226">
        <v>16</v>
      </c>
      <c r="D638" s="226">
        <f t="shared" si="47"/>
        <v>44636</v>
      </c>
      <c r="E638" s="234">
        <f t="shared" si="54"/>
        <v>44636</v>
      </c>
      <c r="F638" s="479"/>
      <c r="G638" s="227" t="s">
        <v>86</v>
      </c>
      <c r="H638" s="228" t="str" cm="1">
        <f t="array" ref="H638">IFERROR(INDEX(INVESTOR_LIST[INVESTOR NAME],MATCH(I638,INVESTOR_LIST[INVESTOR CODE],0),)," ")</f>
        <v xml:space="preserve"> </v>
      </c>
      <c r="I638" s="228"/>
      <c r="J638" s="229" t="s">
        <v>961</v>
      </c>
      <c r="K638" s="230"/>
      <c r="L638" s="230">
        <v>483340.55</v>
      </c>
    </row>
    <row r="639" spans="1:13" ht="11.25" customHeight="1" x14ac:dyDescent="0.2">
      <c r="A639" s="221">
        <v>2022</v>
      </c>
      <c r="B639" s="221">
        <v>3</v>
      </c>
      <c r="C639" s="221">
        <v>16</v>
      </c>
      <c r="D639" s="231">
        <f t="shared" si="47"/>
        <v>44636</v>
      </c>
      <c r="E639" s="233">
        <f t="shared" si="54"/>
        <v>44636</v>
      </c>
      <c r="F639" s="478" t="s">
        <v>1137</v>
      </c>
      <c r="G639" s="222" t="s">
        <v>1111</v>
      </c>
      <c r="H639" s="223" t="str" cm="1">
        <f t="array" ref="H639">IFERROR(INDEX(INVESTOR_LIST[INVESTOR NAME],MATCH(I639,INVESTOR_LIST[INVESTOR CODE],0),)," ")</f>
        <v xml:space="preserve"> </v>
      </c>
      <c r="I639" s="223"/>
      <c r="J639" s="224" t="s">
        <v>961</v>
      </c>
      <c r="K639" s="225">
        <v>483340.55</v>
      </c>
      <c r="L639" s="225"/>
    </row>
    <row r="640" spans="1:13" ht="11.25" customHeight="1" x14ac:dyDescent="0.2">
      <c r="A640" s="226">
        <v>2022</v>
      </c>
      <c r="B640" s="226">
        <v>3</v>
      </c>
      <c r="C640" s="226">
        <v>16</v>
      </c>
      <c r="D640" s="232">
        <f t="shared" si="47"/>
        <v>44636</v>
      </c>
      <c r="E640" s="234">
        <f t="shared" si="54"/>
        <v>44636</v>
      </c>
      <c r="F640" s="479"/>
      <c r="G640" s="227" t="s">
        <v>1111</v>
      </c>
      <c r="H640" s="228" t="str" cm="1">
        <f t="array" ref="H640">IFERROR(INDEX(INVESTOR_LIST[INVESTOR NAME],MATCH(I640,INVESTOR_LIST[INVESTOR CODE],0),)," ")</f>
        <v xml:space="preserve"> </v>
      </c>
      <c r="I640" s="228"/>
      <c r="J640" s="229" t="s">
        <v>55</v>
      </c>
      <c r="K640" s="230"/>
      <c r="L640" s="230">
        <v>483340.55</v>
      </c>
    </row>
    <row r="641" spans="1:13" ht="11.25" customHeight="1" x14ac:dyDescent="0.2">
      <c r="A641" s="221">
        <v>2022</v>
      </c>
      <c r="B641" s="221">
        <v>3</v>
      </c>
      <c r="C641" s="221">
        <v>16</v>
      </c>
      <c r="D641" s="231">
        <f t="shared" si="47"/>
        <v>44636</v>
      </c>
      <c r="E641" s="233">
        <f t="shared" si="54"/>
        <v>44636</v>
      </c>
      <c r="F641" s="478" t="s">
        <v>1142</v>
      </c>
      <c r="G641" s="222" t="s">
        <v>1111</v>
      </c>
      <c r="H641" s="223" t="str" cm="1">
        <f t="array" ref="H641">IFERROR(INDEX(INVESTOR_LIST[INVESTOR NAME],MATCH(I641,INVESTOR_LIST[INVESTOR CODE],0),)," ")</f>
        <v xml:space="preserve"> </v>
      </c>
      <c r="I641" s="223"/>
      <c r="J641" s="224" t="s">
        <v>189</v>
      </c>
      <c r="K641" s="225">
        <v>1575</v>
      </c>
      <c r="L641" s="225"/>
    </row>
    <row r="642" spans="1:13" ht="11.25" customHeight="1" x14ac:dyDescent="0.2">
      <c r="A642" s="226">
        <v>2022</v>
      </c>
      <c r="B642" s="226">
        <v>3</v>
      </c>
      <c r="C642" s="226">
        <v>16</v>
      </c>
      <c r="D642" s="232">
        <f t="shared" si="47"/>
        <v>44636</v>
      </c>
      <c r="E642" s="234">
        <f t="shared" si="54"/>
        <v>44636</v>
      </c>
      <c r="F642" s="479"/>
      <c r="G642" s="227" t="s">
        <v>1111</v>
      </c>
      <c r="H642" s="228" t="str" cm="1">
        <f t="array" ref="H642">IFERROR(INDEX(INVESTOR_LIST[INVESTOR NAME],MATCH(I642,INVESTOR_LIST[INVESTOR CODE],0),)," ")</f>
        <v xml:space="preserve"> </v>
      </c>
      <c r="I642" s="228"/>
      <c r="J642" s="229" t="s">
        <v>55</v>
      </c>
      <c r="K642" s="230"/>
      <c r="L642" s="230">
        <v>1575</v>
      </c>
    </row>
    <row r="643" spans="1:13" ht="11.25" customHeight="1" x14ac:dyDescent="0.2">
      <c r="A643" s="236">
        <v>2022</v>
      </c>
      <c r="B643" s="236">
        <v>3</v>
      </c>
      <c r="C643" s="236">
        <v>16</v>
      </c>
      <c r="D643" s="237">
        <f t="shared" si="47"/>
        <v>44636</v>
      </c>
      <c r="E643" s="238">
        <f t="shared" si="54"/>
        <v>44636</v>
      </c>
      <c r="F643" s="476" t="s">
        <v>1118</v>
      </c>
      <c r="G643" s="239" t="s">
        <v>86</v>
      </c>
      <c r="H643" s="239" t="str" cm="1">
        <f t="array" ref="H643">IFERROR(INDEX(INVESTOR_LIST[INVESTOR NAME],MATCH(I643,INVESTOR_LIST[INVESTOR CODE],0),)," ")</f>
        <v xml:space="preserve"> </v>
      </c>
      <c r="I643" s="240"/>
      <c r="J643" s="241" t="s">
        <v>98</v>
      </c>
      <c r="K643" s="242">
        <v>1894664.9999999879</v>
      </c>
      <c r="L643" s="242"/>
    </row>
    <row r="644" spans="1:13" ht="11.25" customHeight="1" x14ac:dyDescent="0.2">
      <c r="A644" s="243">
        <v>2022</v>
      </c>
      <c r="B644" s="243">
        <v>3</v>
      </c>
      <c r="C644" s="243">
        <v>16</v>
      </c>
      <c r="D644" s="248">
        <f t="shared" si="47"/>
        <v>44636</v>
      </c>
      <c r="E644" s="249">
        <f t="shared" si="54"/>
        <v>44636</v>
      </c>
      <c r="F644" s="477"/>
      <c r="G644" s="244" t="s">
        <v>86</v>
      </c>
      <c r="H644" s="244" t="str" cm="1">
        <f t="array" ref="H644">IFERROR(INDEX(INVESTOR_LIST[INVESTOR NAME],MATCH(I644,INVESTOR_LIST[INVESTOR CODE],0),)," ")</f>
        <v xml:space="preserve"> </v>
      </c>
      <c r="I644" s="245"/>
      <c r="J644" s="246" t="s">
        <v>82</v>
      </c>
      <c r="K644" s="247"/>
      <c r="L644" s="247">
        <v>1894664.9999999879</v>
      </c>
    </row>
    <row r="645" spans="1:13" ht="11.25" customHeight="1" x14ac:dyDescent="0.2">
      <c r="A645" s="236">
        <v>2022</v>
      </c>
      <c r="B645" s="236">
        <v>3</v>
      </c>
      <c r="C645" s="236">
        <v>16</v>
      </c>
      <c r="D645" s="237">
        <f t="shared" si="47"/>
        <v>44636</v>
      </c>
      <c r="E645" s="238">
        <f t="shared" si="54"/>
        <v>44636</v>
      </c>
      <c r="F645" s="476" t="s">
        <v>1120</v>
      </c>
      <c r="G645" s="239" t="s">
        <v>86</v>
      </c>
      <c r="H645" s="239" t="str" cm="1">
        <f t="array" ref="H645">IFERROR(INDEX(INVESTOR_LIST[INVESTOR NAME],MATCH(I645,INVESTOR_LIST[INVESTOR CODE],0),)," ")</f>
        <v xml:space="preserve"> </v>
      </c>
      <c r="I645" s="240"/>
      <c r="J645" s="241" t="s">
        <v>87</v>
      </c>
      <c r="K645" s="242">
        <v>2747.2527472527472</v>
      </c>
      <c r="L645" s="242"/>
    </row>
    <row r="646" spans="1:13" ht="11.25" customHeight="1" x14ac:dyDescent="0.2">
      <c r="A646" s="243">
        <v>2022</v>
      </c>
      <c r="B646" s="243">
        <v>3</v>
      </c>
      <c r="C646" s="243">
        <v>16</v>
      </c>
      <c r="D646" s="248">
        <f t="shared" si="47"/>
        <v>44636</v>
      </c>
      <c r="E646" s="249">
        <f t="shared" si="54"/>
        <v>44636</v>
      </c>
      <c r="F646" s="477"/>
      <c r="G646" s="244" t="s">
        <v>86</v>
      </c>
      <c r="H646" s="244" t="str" cm="1">
        <f t="array" ref="H646">IFERROR(INDEX(INVESTOR_LIST[INVESTOR NAME],MATCH(I646,INVESTOR_LIST[INVESTOR CODE],0),)," ")</f>
        <v xml:space="preserve"> </v>
      </c>
      <c r="I646" s="245"/>
      <c r="J646" s="246" t="s">
        <v>64</v>
      </c>
      <c r="K646" s="247"/>
      <c r="L646" s="247">
        <v>2747.2527472527472</v>
      </c>
    </row>
    <row r="647" spans="1:13" ht="11.25" customHeight="1" x14ac:dyDescent="0.2">
      <c r="A647" s="236">
        <v>2022</v>
      </c>
      <c r="B647" s="236">
        <v>3</v>
      </c>
      <c r="C647" s="236">
        <v>16</v>
      </c>
      <c r="D647" s="237">
        <f t="shared" si="47"/>
        <v>44636</v>
      </c>
      <c r="E647" s="238">
        <f t="shared" si="54"/>
        <v>44636</v>
      </c>
      <c r="F647" s="476" t="s">
        <v>1121</v>
      </c>
      <c r="G647" s="239" t="s">
        <v>86</v>
      </c>
      <c r="H647" s="239" t="str" cm="1">
        <f t="array" ref="H647">IFERROR(INDEX(INVESTOR_LIST[INVESTOR NAME],MATCH(I647,INVESTOR_LIST[INVESTOR CODE],0),)," ")</f>
        <v xml:space="preserve"> </v>
      </c>
      <c r="I647" s="240"/>
      <c r="J647" s="241" t="s">
        <v>89</v>
      </c>
      <c r="K647" s="242">
        <v>98882.22</v>
      </c>
      <c r="L647" s="242"/>
    </row>
    <row r="648" spans="1:13" ht="11.25" customHeight="1" x14ac:dyDescent="0.2">
      <c r="A648" s="243">
        <v>2022</v>
      </c>
      <c r="B648" s="243">
        <v>3</v>
      </c>
      <c r="C648" s="243">
        <v>16</v>
      </c>
      <c r="D648" s="248">
        <f t="shared" si="47"/>
        <v>44636</v>
      </c>
      <c r="E648" s="249">
        <f t="shared" si="54"/>
        <v>44636</v>
      </c>
      <c r="F648" s="477"/>
      <c r="G648" s="244" t="s">
        <v>86</v>
      </c>
      <c r="H648" s="244" t="str" cm="1">
        <f t="array" ref="H648">IFERROR(INDEX(INVESTOR_LIST[INVESTOR NAME],MATCH(I648,INVESTOR_LIST[INVESTOR CODE],0),)," ")</f>
        <v xml:space="preserve"> </v>
      </c>
      <c r="I648" s="245"/>
      <c r="J648" s="246" t="s">
        <v>50</v>
      </c>
      <c r="K648" s="247"/>
      <c r="L648" s="247">
        <v>98882.22</v>
      </c>
    </row>
    <row r="649" spans="1:13" ht="11.25" customHeight="1" x14ac:dyDescent="0.2">
      <c r="A649" s="236">
        <v>2022</v>
      </c>
      <c r="B649" s="236">
        <v>3</v>
      </c>
      <c r="C649" s="236">
        <v>16</v>
      </c>
      <c r="D649" s="237">
        <f t="shared" ref="D649:D712" si="55">DATE(A649,B649,C649)</f>
        <v>44636</v>
      </c>
      <c r="E649" s="238">
        <f t="shared" si="54"/>
        <v>44636</v>
      </c>
      <c r="F649" s="476" t="s">
        <v>1122</v>
      </c>
      <c r="G649" s="239" t="s">
        <v>86</v>
      </c>
      <c r="H649" s="239" t="str" cm="1">
        <f t="array" ref="H649">IFERROR(INDEX(INVESTOR_LIST[INVESTOR NAME],MATCH(I649,INVESTOR_LIST[INVESTOR CODE],0),)," ")</f>
        <v xml:space="preserve"> </v>
      </c>
      <c r="I649" s="240"/>
      <c r="J649" s="241" t="s">
        <v>91</v>
      </c>
      <c r="K649" s="242">
        <v>4703.7265478846148</v>
      </c>
      <c r="L649" s="242"/>
    </row>
    <row r="650" spans="1:13" ht="11.25" customHeight="1" x14ac:dyDescent="0.2">
      <c r="A650" s="243">
        <v>2022</v>
      </c>
      <c r="B650" s="243">
        <v>3</v>
      </c>
      <c r="C650" s="243">
        <v>16</v>
      </c>
      <c r="D650" s="248">
        <f t="shared" si="55"/>
        <v>44636</v>
      </c>
      <c r="E650" s="249">
        <f t="shared" si="54"/>
        <v>44636</v>
      </c>
      <c r="F650" s="477"/>
      <c r="G650" s="244" t="s">
        <v>86</v>
      </c>
      <c r="H650" s="244" t="str" cm="1">
        <f t="array" ref="H650">IFERROR(INDEX(INVESTOR_LIST[INVESTOR NAME],MATCH(I650,INVESTOR_LIST[INVESTOR CODE],0),)," ")</f>
        <v xml:space="preserve"> </v>
      </c>
      <c r="I650" s="245"/>
      <c r="J650" s="246" t="s">
        <v>51</v>
      </c>
      <c r="K650" s="247"/>
      <c r="L650" s="247">
        <v>4703.7265478846148</v>
      </c>
    </row>
    <row r="651" spans="1:13" ht="11.25" customHeight="1" x14ac:dyDescent="0.2">
      <c r="A651" s="221">
        <v>2022</v>
      </c>
      <c r="B651" s="221">
        <v>3</v>
      </c>
      <c r="C651" s="221">
        <v>20</v>
      </c>
      <c r="D651" s="231">
        <f t="shared" si="55"/>
        <v>44640</v>
      </c>
      <c r="E651" s="233">
        <f t="shared" si="54"/>
        <v>44640</v>
      </c>
      <c r="F651" s="478" t="s">
        <v>802</v>
      </c>
      <c r="G651" s="222" t="s">
        <v>1111</v>
      </c>
      <c r="H651" s="223" t="str" cm="1">
        <f t="array" ref="H651">IFERROR(INDEX(INVESTOR_LIST[INVESTOR NAME],MATCH(I651,INVESTOR_LIST[INVESTOR CODE],0),)," ")</f>
        <v>MUTUAL TRUST BANK LIMITED</v>
      </c>
      <c r="I651" s="223" t="s">
        <v>1143</v>
      </c>
      <c r="J651" s="224" t="s">
        <v>55</v>
      </c>
      <c r="K651" s="225">
        <v>10000000</v>
      </c>
      <c r="L651" s="225"/>
    </row>
    <row r="652" spans="1:13" ht="11.25" customHeight="1" x14ac:dyDescent="0.2">
      <c r="A652" s="164">
        <v>2022</v>
      </c>
      <c r="B652" s="164">
        <v>3</v>
      </c>
      <c r="C652" s="164">
        <v>20</v>
      </c>
      <c r="D652" s="156">
        <f t="shared" si="55"/>
        <v>44640</v>
      </c>
      <c r="E652" s="235">
        <f t="shared" si="54"/>
        <v>44640</v>
      </c>
      <c r="F652" s="480"/>
      <c r="G652" s="208" t="s">
        <v>1111</v>
      </c>
      <c r="H652" s="206" t="str" cm="1">
        <f t="array" ref="H652">IFERROR(INDEX(INVESTOR_LIST[INVESTOR NAME],MATCH(I652,INVESTOR_LIST[INVESTOR CODE],0),)," ")</f>
        <v>MUTUAL TRUST BANK LIMITED</v>
      </c>
      <c r="I652" s="206" t="s">
        <v>1143</v>
      </c>
      <c r="J652" s="165" t="s">
        <v>1112</v>
      </c>
      <c r="K652" s="205">
        <v>101010</v>
      </c>
      <c r="L652" s="205"/>
    </row>
    <row r="653" spans="1:13" ht="11.25" customHeight="1" x14ac:dyDescent="0.2">
      <c r="A653" s="226">
        <v>2022</v>
      </c>
      <c r="B653" s="226">
        <v>3</v>
      </c>
      <c r="C653" s="226">
        <v>20</v>
      </c>
      <c r="D653" s="232">
        <f t="shared" si="55"/>
        <v>44640</v>
      </c>
      <c r="E653" s="234">
        <f t="shared" si="54"/>
        <v>44640</v>
      </c>
      <c r="F653" s="479"/>
      <c r="G653" s="227" t="s">
        <v>1111</v>
      </c>
      <c r="H653" s="228" t="str" cm="1">
        <f t="array" ref="H653">IFERROR(INDEX(INVESTOR_LIST[INVESTOR NAME],MATCH(I653,INVESTOR_LIST[INVESTOR CODE],0),)," ")</f>
        <v>MUTUAL TRUST BANK LIMITED</v>
      </c>
      <c r="I653" s="228" t="s">
        <v>1143</v>
      </c>
      <c r="J653" s="229" t="s">
        <v>14</v>
      </c>
      <c r="K653" s="230"/>
      <c r="L653" s="230">
        <v>10101010</v>
      </c>
      <c r="M653" s="166"/>
    </row>
    <row r="654" spans="1:13" ht="11.25" customHeight="1" x14ac:dyDescent="0.2">
      <c r="A654" s="221">
        <v>2022</v>
      </c>
      <c r="B654" s="221">
        <v>3</v>
      </c>
      <c r="C654" s="221">
        <v>20</v>
      </c>
      <c r="D654" s="231">
        <f t="shared" si="55"/>
        <v>44640</v>
      </c>
      <c r="E654" s="233">
        <f t="shared" ref="E654:E658" si="56">DATE(A654,B654,C654)</f>
        <v>44640</v>
      </c>
      <c r="F654" s="478" t="s">
        <v>802</v>
      </c>
      <c r="G654" s="222" t="s">
        <v>1111</v>
      </c>
      <c r="H654" s="223" t="str" cm="1">
        <f t="array" ref="H654">IFERROR(INDEX(INVESTOR_LIST[INVESTOR NAME],MATCH(I654,INVESTOR_LIST[INVESTOR CODE],0),)," ")</f>
        <v>REAZ UDDIN AHMED</v>
      </c>
      <c r="I654" s="223" t="s">
        <v>382</v>
      </c>
      <c r="J654" s="224" t="s">
        <v>55</v>
      </c>
      <c r="K654" s="225">
        <v>9900</v>
      </c>
      <c r="L654" s="225"/>
    </row>
    <row r="655" spans="1:13" ht="11.25" customHeight="1" x14ac:dyDescent="0.2">
      <c r="A655" s="164">
        <v>2022</v>
      </c>
      <c r="B655" s="164">
        <v>3</v>
      </c>
      <c r="C655" s="164">
        <v>20</v>
      </c>
      <c r="D655" s="156">
        <f t="shared" si="55"/>
        <v>44640</v>
      </c>
      <c r="E655" s="235">
        <f t="shared" si="56"/>
        <v>44640</v>
      </c>
      <c r="F655" s="480"/>
      <c r="G655" s="208" t="s">
        <v>1111</v>
      </c>
      <c r="H655" s="206" t="str" cm="1">
        <f t="array" ref="H655">IFERROR(INDEX(INVESTOR_LIST[INVESTOR NAME],MATCH(I655,INVESTOR_LIST[INVESTOR CODE],0),)," ")</f>
        <v>REAZ UDDIN AHMED</v>
      </c>
      <c r="I655" s="206" t="s">
        <v>382</v>
      </c>
      <c r="J655" s="165" t="s">
        <v>1112</v>
      </c>
      <c r="K655" s="205">
        <v>40</v>
      </c>
      <c r="L655" s="205"/>
    </row>
    <row r="656" spans="1:13" ht="11.25" customHeight="1" x14ac:dyDescent="0.2">
      <c r="A656" s="226">
        <v>2022</v>
      </c>
      <c r="B656" s="226">
        <v>3</v>
      </c>
      <c r="C656" s="226">
        <v>20</v>
      </c>
      <c r="D656" s="232">
        <f t="shared" si="55"/>
        <v>44640</v>
      </c>
      <c r="E656" s="234">
        <f t="shared" si="56"/>
        <v>44640</v>
      </c>
      <c r="F656" s="479"/>
      <c r="G656" s="227" t="s">
        <v>1111</v>
      </c>
      <c r="H656" s="228" t="str" cm="1">
        <f t="array" ref="H656">IFERROR(INDEX(INVESTOR_LIST[INVESTOR NAME],MATCH(I656,INVESTOR_LIST[INVESTOR CODE],0),)," ")</f>
        <v>REAZ UDDIN AHMED</v>
      </c>
      <c r="I656" s="228" t="s">
        <v>382</v>
      </c>
      <c r="J656" s="229" t="s">
        <v>14</v>
      </c>
      <c r="K656" s="230"/>
      <c r="L656" s="230">
        <v>9940</v>
      </c>
    </row>
    <row r="657" spans="1:13" ht="11.25" customHeight="1" x14ac:dyDescent="0.2">
      <c r="A657" s="221">
        <v>2022</v>
      </c>
      <c r="B657" s="221">
        <v>3</v>
      </c>
      <c r="C657" s="221">
        <v>20</v>
      </c>
      <c r="D657" s="231">
        <f t="shared" si="55"/>
        <v>44640</v>
      </c>
      <c r="E657" s="233">
        <f t="shared" si="56"/>
        <v>44640</v>
      </c>
      <c r="F657" s="478" t="s">
        <v>1114</v>
      </c>
      <c r="G657" s="222" t="s">
        <v>1111</v>
      </c>
      <c r="H657" s="223" t="str" cm="1">
        <f t="array" ref="H657">IFERROR(INDEX(INVESTOR_LIST[INVESTOR NAME],MATCH(I657,INVESTOR_LIST[INVESTOR CODE],0),)," ")</f>
        <v xml:space="preserve"> </v>
      </c>
      <c r="I657" s="223"/>
      <c r="J657" s="224" t="s">
        <v>63</v>
      </c>
      <c r="K657" s="225">
        <v>60</v>
      </c>
      <c r="L657" s="225" t="s">
        <v>1119</v>
      </c>
      <c r="M657" s="166"/>
    </row>
    <row r="658" spans="1:13" ht="11.25" customHeight="1" x14ac:dyDescent="0.2">
      <c r="A658" s="226">
        <v>2022</v>
      </c>
      <c r="B658" s="226">
        <v>3</v>
      </c>
      <c r="C658" s="226">
        <v>20</v>
      </c>
      <c r="D658" s="232">
        <f t="shared" si="55"/>
        <v>44640</v>
      </c>
      <c r="E658" s="234">
        <f t="shared" si="56"/>
        <v>44640</v>
      </c>
      <c r="F658" s="479"/>
      <c r="G658" s="227" t="s">
        <v>1111</v>
      </c>
      <c r="H658" s="228" t="str" cm="1">
        <f t="array" ref="H658">IFERROR(INDEX(INVESTOR_LIST[INVESTOR NAME],MATCH(I658,INVESTOR_LIST[INVESTOR CODE],0),)," ")</f>
        <v xml:space="preserve"> </v>
      </c>
      <c r="I658" s="228"/>
      <c r="J658" s="229" t="s">
        <v>55</v>
      </c>
      <c r="K658" s="230" t="s">
        <v>1119</v>
      </c>
      <c r="L658" s="230">
        <v>60</v>
      </c>
    </row>
    <row r="659" spans="1:13" ht="11.25" customHeight="1" x14ac:dyDescent="0.2">
      <c r="A659" s="221">
        <v>2022</v>
      </c>
      <c r="B659" s="221">
        <v>3</v>
      </c>
      <c r="C659" s="221">
        <v>20</v>
      </c>
      <c r="D659" s="231">
        <f t="shared" si="55"/>
        <v>44640</v>
      </c>
      <c r="E659" s="233">
        <f>DATE(A659,B659,C659)</f>
        <v>44640</v>
      </c>
      <c r="F659" s="478" t="s">
        <v>1115</v>
      </c>
      <c r="G659" s="222" t="s">
        <v>1111</v>
      </c>
      <c r="H659" s="223" t="str" cm="1">
        <f t="array" ref="H659">IFERROR(INDEX(INVESTOR_LIST[INVESTOR NAME],MATCH(I659,INVESTOR_LIST[INVESTOR CODE],0),)," ")</f>
        <v>BILKISS ARA</v>
      </c>
      <c r="I659" s="223" t="s">
        <v>390</v>
      </c>
      <c r="J659" s="224" t="s">
        <v>14</v>
      </c>
      <c r="K659" s="225">
        <v>351410</v>
      </c>
      <c r="L659" s="225"/>
    </row>
    <row r="660" spans="1:13" ht="11.25" customHeight="1" x14ac:dyDescent="0.2">
      <c r="A660" s="164">
        <v>2022</v>
      </c>
      <c r="B660" s="164">
        <v>3</v>
      </c>
      <c r="C660" s="164">
        <v>20</v>
      </c>
      <c r="D660" s="156">
        <f t="shared" si="55"/>
        <v>44640</v>
      </c>
      <c r="E660" s="235">
        <f t="shared" ref="E660" si="57">DATE(A660,B660,C660)</f>
        <v>44640</v>
      </c>
      <c r="F660" s="480"/>
      <c r="G660" s="208" t="s">
        <v>1111</v>
      </c>
      <c r="H660" s="206" t="str" cm="1">
        <f t="array" ref="H660">IFERROR(INDEX(INVESTOR_LIST[INVESTOR NAME],MATCH(I660,INVESTOR_LIST[INVESTOR CODE],0),)," ")</f>
        <v>BILKISS ARA</v>
      </c>
      <c r="I660" s="206" t="s">
        <v>390</v>
      </c>
      <c r="J660" s="165" t="s">
        <v>1112</v>
      </c>
      <c r="K660" s="205"/>
      <c r="L660" s="205">
        <v>1405.64</v>
      </c>
    </row>
    <row r="661" spans="1:13" ht="11.25" customHeight="1" x14ac:dyDescent="0.2">
      <c r="A661" s="226">
        <v>2022</v>
      </c>
      <c r="B661" s="226">
        <v>3</v>
      </c>
      <c r="C661" s="226">
        <v>20</v>
      </c>
      <c r="D661" s="232">
        <f t="shared" si="55"/>
        <v>44640</v>
      </c>
      <c r="E661" s="234">
        <f>DATE(A661,B661,C661)</f>
        <v>44640</v>
      </c>
      <c r="F661" s="479"/>
      <c r="G661" s="227" t="s">
        <v>1111</v>
      </c>
      <c r="H661" s="228" t="str" cm="1">
        <f t="array" ref="H661">IFERROR(INDEX(INVESTOR_LIST[INVESTOR NAME],MATCH(I661,INVESTOR_LIST[INVESTOR CODE],0),)," ")</f>
        <v>BILKISS ARA</v>
      </c>
      <c r="I661" s="228" t="s">
        <v>390</v>
      </c>
      <c r="J661" s="229" t="s">
        <v>55</v>
      </c>
      <c r="K661" s="230"/>
      <c r="L661" s="230">
        <v>350004.36</v>
      </c>
    </row>
    <row r="662" spans="1:13" ht="11.25" customHeight="1" x14ac:dyDescent="0.2">
      <c r="A662" s="164">
        <v>2022</v>
      </c>
      <c r="B662" s="164">
        <v>3</v>
      </c>
      <c r="C662" s="164">
        <v>20</v>
      </c>
      <c r="D662" s="164">
        <f t="shared" si="55"/>
        <v>44640</v>
      </c>
      <c r="E662" s="235">
        <f t="shared" ref="E662:E664" si="58">DATE(A662,B662,C662)</f>
        <v>44640</v>
      </c>
      <c r="F662" s="480" t="s">
        <v>1136</v>
      </c>
      <c r="G662" s="208" t="s">
        <v>86</v>
      </c>
      <c r="H662" s="208" t="str" cm="1">
        <f t="array" ref="H662">IFERROR(INDEX(INVESTOR_LIST[INVESTOR NAME],MATCH(I662,INVESTOR_LIST[INVESTOR CODE],0),)," ")</f>
        <v xml:space="preserve"> </v>
      </c>
      <c r="J662" s="165" t="s">
        <v>80</v>
      </c>
      <c r="K662" s="205">
        <v>2311243.5</v>
      </c>
      <c r="L662" s="205"/>
    </row>
    <row r="663" spans="1:13" ht="11.25" customHeight="1" x14ac:dyDescent="0.2">
      <c r="A663" s="164">
        <v>2022</v>
      </c>
      <c r="B663" s="164">
        <v>3</v>
      </c>
      <c r="C663" s="164">
        <v>20</v>
      </c>
      <c r="D663" s="164">
        <f t="shared" si="55"/>
        <v>44640</v>
      </c>
      <c r="E663" s="235">
        <f t="shared" si="58"/>
        <v>44640</v>
      </c>
      <c r="F663" s="480"/>
      <c r="G663" s="208" t="s">
        <v>86</v>
      </c>
      <c r="H663" s="208" t="str" cm="1">
        <f t="array" ref="H663">IFERROR(INDEX(INVESTOR_LIST[INVESTOR NAME],MATCH(I663,INVESTOR_LIST[INVESTOR CODE],0),)," ")</f>
        <v xml:space="preserve"> </v>
      </c>
      <c r="J663" s="165" t="s">
        <v>960</v>
      </c>
      <c r="K663" s="205">
        <v>4160.24</v>
      </c>
      <c r="L663" s="205"/>
      <c r="M663" s="166"/>
    </row>
    <row r="664" spans="1:13" ht="11.25" customHeight="1" x14ac:dyDescent="0.2">
      <c r="A664" s="226">
        <v>2022</v>
      </c>
      <c r="B664" s="226">
        <v>3</v>
      </c>
      <c r="C664" s="226">
        <v>20</v>
      </c>
      <c r="D664" s="226">
        <f t="shared" si="55"/>
        <v>44640</v>
      </c>
      <c r="E664" s="234">
        <f t="shared" si="58"/>
        <v>44640</v>
      </c>
      <c r="F664" s="479"/>
      <c r="G664" s="227" t="s">
        <v>86</v>
      </c>
      <c r="H664" s="228" t="str" cm="1">
        <f t="array" ref="H664">IFERROR(INDEX(INVESTOR_LIST[INVESTOR NAME],MATCH(I664,INVESTOR_LIST[INVESTOR CODE],0),)," ")</f>
        <v xml:space="preserve"> </v>
      </c>
      <c r="I664" s="228"/>
      <c r="J664" s="229" t="s">
        <v>961</v>
      </c>
      <c r="K664" s="230"/>
      <c r="L664" s="230">
        <v>2315403.7400000002</v>
      </c>
    </row>
    <row r="665" spans="1:13" ht="11.25" customHeight="1" x14ac:dyDescent="0.2">
      <c r="A665" s="221">
        <v>2022</v>
      </c>
      <c r="B665" s="221">
        <v>3</v>
      </c>
      <c r="C665" s="221">
        <v>20</v>
      </c>
      <c r="D665" s="231">
        <f t="shared" si="55"/>
        <v>44640</v>
      </c>
      <c r="E665" s="233">
        <f>DATE(A665,B665,C665)</f>
        <v>44640</v>
      </c>
      <c r="F665" s="478" t="s">
        <v>1130</v>
      </c>
      <c r="G665" s="222" t="s">
        <v>1111</v>
      </c>
      <c r="H665" s="223" t="str" cm="1">
        <f t="array" ref="H665">IFERROR(INDEX(INVESTOR_LIST[INVESTOR NAME],MATCH(I665,INVESTOR_LIST[INVESTOR CODE],0),)," ")</f>
        <v xml:space="preserve"> </v>
      </c>
      <c r="I665" s="223"/>
      <c r="J665" s="224" t="s">
        <v>961</v>
      </c>
      <c r="K665" s="225">
        <v>2315403.7400000002</v>
      </c>
      <c r="L665" s="225"/>
    </row>
    <row r="666" spans="1:13" ht="11.25" customHeight="1" x14ac:dyDescent="0.2">
      <c r="A666" s="226">
        <v>2022</v>
      </c>
      <c r="B666" s="226">
        <v>3</v>
      </c>
      <c r="C666" s="226">
        <v>20</v>
      </c>
      <c r="D666" s="232">
        <f t="shared" si="55"/>
        <v>44640</v>
      </c>
      <c r="E666" s="234">
        <f>DATE(A666,B666,C666)</f>
        <v>44640</v>
      </c>
      <c r="F666" s="479"/>
      <c r="G666" s="227" t="s">
        <v>1111</v>
      </c>
      <c r="H666" s="228" t="str" cm="1">
        <f t="array" ref="H666">IFERROR(INDEX(INVESTOR_LIST[INVESTOR NAME],MATCH(I666,INVESTOR_LIST[INVESTOR CODE],0),)," ")</f>
        <v xml:space="preserve"> </v>
      </c>
      <c r="I666" s="228"/>
      <c r="J666" s="229" t="s">
        <v>55</v>
      </c>
      <c r="K666" s="230"/>
      <c r="L666" s="230">
        <v>2315403.7400000002</v>
      </c>
    </row>
    <row r="667" spans="1:13" ht="11.25" customHeight="1" x14ac:dyDescent="0.2">
      <c r="A667" s="221">
        <v>2022</v>
      </c>
      <c r="B667" s="221">
        <v>3</v>
      </c>
      <c r="C667" s="164">
        <v>20</v>
      </c>
      <c r="D667" s="221">
        <f t="shared" si="55"/>
        <v>44640</v>
      </c>
      <c r="E667" s="233">
        <f t="shared" ref="E667:E669" si="59">DATE(A667,B667,C667)</f>
        <v>44640</v>
      </c>
      <c r="F667" s="478" t="s">
        <v>1129</v>
      </c>
      <c r="G667" s="222" t="s">
        <v>86</v>
      </c>
      <c r="H667" s="222" t="str" cm="1">
        <f t="array" ref="H667">IFERROR(INDEX(INVESTOR_LIST[INVESTOR NAME],MATCH(I667,INVESTOR_LIST[INVESTOR CODE],0),)," ")</f>
        <v xml:space="preserve"> </v>
      </c>
      <c r="I667" s="223"/>
      <c r="J667" s="224" t="s">
        <v>80</v>
      </c>
      <c r="K667" s="225">
        <v>990500</v>
      </c>
      <c r="L667" s="225"/>
    </row>
    <row r="668" spans="1:13" ht="11.25" customHeight="1" x14ac:dyDescent="0.2">
      <c r="A668" s="164">
        <v>2022</v>
      </c>
      <c r="B668" s="164">
        <v>3</v>
      </c>
      <c r="C668" s="164">
        <v>20</v>
      </c>
      <c r="D668" s="164">
        <f t="shared" si="55"/>
        <v>44640</v>
      </c>
      <c r="E668" s="235">
        <f t="shared" si="59"/>
        <v>44640</v>
      </c>
      <c r="F668" s="480"/>
      <c r="G668" s="208" t="s">
        <v>86</v>
      </c>
      <c r="H668" s="208" t="str" cm="1">
        <f t="array" ref="H668">IFERROR(INDEX(INVESTOR_LIST[INVESTOR NAME],MATCH(I668,INVESTOR_LIST[INVESTOR CODE],0),)," ")</f>
        <v xml:space="preserve"> </v>
      </c>
      <c r="J668" s="165" t="s">
        <v>960</v>
      </c>
      <c r="K668" s="205">
        <v>1782.9</v>
      </c>
      <c r="L668" s="205"/>
    </row>
    <row r="669" spans="1:13" ht="11.25" customHeight="1" x14ac:dyDescent="0.2">
      <c r="A669" s="226">
        <v>2022</v>
      </c>
      <c r="B669" s="226">
        <v>3</v>
      </c>
      <c r="C669" s="226">
        <v>20</v>
      </c>
      <c r="D669" s="226">
        <f t="shared" si="55"/>
        <v>44640</v>
      </c>
      <c r="E669" s="234">
        <f t="shared" si="59"/>
        <v>44640</v>
      </c>
      <c r="F669" s="479"/>
      <c r="G669" s="227" t="s">
        <v>86</v>
      </c>
      <c r="H669" s="228" t="str" cm="1">
        <f t="array" ref="H669">IFERROR(INDEX(INVESTOR_LIST[INVESTOR NAME],MATCH(I669,INVESTOR_LIST[INVESTOR CODE],0),)," ")</f>
        <v xml:space="preserve"> </v>
      </c>
      <c r="I669" s="228"/>
      <c r="J669" s="229" t="s">
        <v>961</v>
      </c>
      <c r="K669" s="230"/>
      <c r="L669" s="230">
        <v>992282.9</v>
      </c>
    </row>
    <row r="670" spans="1:13" ht="11.25" customHeight="1" x14ac:dyDescent="0.2">
      <c r="A670" s="221">
        <v>2022</v>
      </c>
      <c r="B670" s="221">
        <v>3</v>
      </c>
      <c r="C670" s="221">
        <v>20</v>
      </c>
      <c r="D670" s="231">
        <f t="shared" si="55"/>
        <v>44640</v>
      </c>
      <c r="E670" s="233">
        <f>DATE(A670,B670,C670)</f>
        <v>44640</v>
      </c>
      <c r="F670" s="478" t="s">
        <v>1131</v>
      </c>
      <c r="G670" s="222" t="s">
        <v>1111</v>
      </c>
      <c r="H670" s="223" t="str" cm="1">
        <f t="array" ref="H670">IFERROR(INDEX(INVESTOR_LIST[INVESTOR NAME],MATCH(I670,INVESTOR_LIST[INVESTOR CODE],0),)," ")</f>
        <v xml:space="preserve"> </v>
      </c>
      <c r="I670" s="223"/>
      <c r="J670" s="224" t="s">
        <v>961</v>
      </c>
      <c r="K670" s="225">
        <v>992282.9</v>
      </c>
      <c r="L670" s="225"/>
    </row>
    <row r="671" spans="1:13" ht="11.25" customHeight="1" x14ac:dyDescent="0.2">
      <c r="A671" s="226">
        <v>2022</v>
      </c>
      <c r="B671" s="226">
        <v>3</v>
      </c>
      <c r="C671" s="226">
        <v>20</v>
      </c>
      <c r="D671" s="232">
        <f t="shared" si="55"/>
        <v>44640</v>
      </c>
      <c r="E671" s="234">
        <f>DATE(A671,B671,C671)</f>
        <v>44640</v>
      </c>
      <c r="F671" s="479"/>
      <c r="G671" s="227" t="s">
        <v>1111</v>
      </c>
      <c r="H671" s="228" t="str" cm="1">
        <f t="array" ref="H671">IFERROR(INDEX(INVESTOR_LIST[INVESTOR NAME],MATCH(I671,INVESTOR_LIST[INVESTOR CODE],0),)," ")</f>
        <v xml:space="preserve"> </v>
      </c>
      <c r="I671" s="228"/>
      <c r="J671" s="229" t="s">
        <v>55</v>
      </c>
      <c r="K671" s="230"/>
      <c r="L671" s="230">
        <v>992282.9</v>
      </c>
    </row>
    <row r="672" spans="1:13" ht="11.25" customHeight="1" x14ac:dyDescent="0.2">
      <c r="A672" s="221">
        <v>2022</v>
      </c>
      <c r="B672" s="221">
        <v>3</v>
      </c>
      <c r="C672" s="221">
        <v>20</v>
      </c>
      <c r="D672" s="221">
        <f t="shared" si="55"/>
        <v>44640</v>
      </c>
      <c r="E672" s="233">
        <f t="shared" ref="E672:E679" si="60">DATE(A672,B672,C672)</f>
        <v>44640</v>
      </c>
      <c r="F672" s="478" t="s">
        <v>1135</v>
      </c>
      <c r="G672" s="222" t="s">
        <v>86</v>
      </c>
      <c r="H672" s="222" t="str" cm="1">
        <f t="array" ref="H672">IFERROR(INDEX(INVESTOR_LIST[INVESTOR NAME],MATCH(I672,INVESTOR_LIST[INVESTOR CODE],0),)," ")</f>
        <v xml:space="preserve"> </v>
      </c>
      <c r="I672" s="223"/>
      <c r="J672" s="224" t="s">
        <v>80</v>
      </c>
      <c r="K672" s="225">
        <v>1482500</v>
      </c>
      <c r="L672" s="225"/>
    </row>
    <row r="673" spans="1:12" ht="11.25" customHeight="1" x14ac:dyDescent="0.2">
      <c r="A673" s="164">
        <v>2022</v>
      </c>
      <c r="B673" s="164">
        <v>3</v>
      </c>
      <c r="C673" s="164">
        <v>20</v>
      </c>
      <c r="D673" s="164">
        <f t="shared" si="55"/>
        <v>44640</v>
      </c>
      <c r="E673" s="235">
        <f t="shared" si="60"/>
        <v>44640</v>
      </c>
      <c r="F673" s="480"/>
      <c r="G673" s="208" t="s">
        <v>86</v>
      </c>
      <c r="H673" s="208" t="str" cm="1">
        <f t="array" ref="H673">IFERROR(INDEX(INVESTOR_LIST[INVESTOR NAME],MATCH(I673,INVESTOR_LIST[INVESTOR CODE],0),)," ")</f>
        <v xml:space="preserve"> </v>
      </c>
      <c r="J673" s="165" t="s">
        <v>960</v>
      </c>
      <c r="K673" s="205">
        <v>2668.5</v>
      </c>
      <c r="L673" s="205"/>
    </row>
    <row r="674" spans="1:12" ht="11.25" customHeight="1" x14ac:dyDescent="0.2">
      <c r="A674" s="226">
        <v>2022</v>
      </c>
      <c r="B674" s="226">
        <v>3</v>
      </c>
      <c r="C674" s="226">
        <v>20</v>
      </c>
      <c r="D674" s="226">
        <f t="shared" si="55"/>
        <v>44640</v>
      </c>
      <c r="E674" s="234">
        <f t="shared" si="60"/>
        <v>44640</v>
      </c>
      <c r="F674" s="479"/>
      <c r="G674" s="227" t="s">
        <v>86</v>
      </c>
      <c r="H674" s="228" t="str" cm="1">
        <f t="array" ref="H674">IFERROR(INDEX(INVESTOR_LIST[INVESTOR NAME],MATCH(I674,INVESTOR_LIST[INVESTOR CODE],0),)," ")</f>
        <v xml:space="preserve"> </v>
      </c>
      <c r="I674" s="228"/>
      <c r="J674" s="229" t="s">
        <v>961</v>
      </c>
      <c r="K674" s="230"/>
      <c r="L674" s="230">
        <v>1485168.5</v>
      </c>
    </row>
    <row r="675" spans="1:12" ht="11.25" customHeight="1" x14ac:dyDescent="0.2">
      <c r="A675" s="221">
        <v>2022</v>
      </c>
      <c r="B675" s="221">
        <v>3</v>
      </c>
      <c r="C675" s="221">
        <v>20</v>
      </c>
      <c r="D675" s="231">
        <f t="shared" si="55"/>
        <v>44640</v>
      </c>
      <c r="E675" s="233">
        <f t="shared" si="60"/>
        <v>44640</v>
      </c>
      <c r="F675" s="478" t="s">
        <v>1137</v>
      </c>
      <c r="G675" s="222" t="s">
        <v>1111</v>
      </c>
      <c r="H675" s="223" t="str" cm="1">
        <f t="array" ref="H675">IFERROR(INDEX(INVESTOR_LIST[INVESTOR NAME],MATCH(I675,INVESTOR_LIST[INVESTOR CODE],0),)," ")</f>
        <v xml:space="preserve"> </v>
      </c>
      <c r="I675" s="223"/>
      <c r="J675" s="224" t="s">
        <v>961</v>
      </c>
      <c r="K675" s="225">
        <v>1485168.5</v>
      </c>
      <c r="L675" s="225"/>
    </row>
    <row r="676" spans="1:12" ht="11.25" customHeight="1" x14ac:dyDescent="0.2">
      <c r="A676" s="226">
        <v>2022</v>
      </c>
      <c r="B676" s="226">
        <v>3</v>
      </c>
      <c r="C676" s="226">
        <v>20</v>
      </c>
      <c r="D676" s="232">
        <f t="shared" si="55"/>
        <v>44640</v>
      </c>
      <c r="E676" s="234">
        <f t="shared" si="60"/>
        <v>44640</v>
      </c>
      <c r="F676" s="479"/>
      <c r="G676" s="227" t="s">
        <v>1111</v>
      </c>
      <c r="H676" s="228" t="str" cm="1">
        <f t="array" ref="H676">IFERROR(INDEX(INVESTOR_LIST[INVESTOR NAME],MATCH(I676,INVESTOR_LIST[INVESTOR CODE],0),)," ")</f>
        <v xml:space="preserve"> </v>
      </c>
      <c r="I676" s="228"/>
      <c r="J676" s="229" t="s">
        <v>55</v>
      </c>
      <c r="K676" s="230"/>
      <c r="L676" s="230">
        <v>1485168.5</v>
      </c>
    </row>
    <row r="677" spans="1:12" ht="11.25" customHeight="1" x14ac:dyDescent="0.2">
      <c r="A677" s="164">
        <v>2022</v>
      </c>
      <c r="B677" s="164">
        <v>3</v>
      </c>
      <c r="C677" s="164">
        <v>21</v>
      </c>
      <c r="D677" s="164">
        <f t="shared" si="55"/>
        <v>44641</v>
      </c>
      <c r="E677" s="235">
        <f t="shared" si="60"/>
        <v>44641</v>
      </c>
      <c r="F677" s="480" t="s">
        <v>1136</v>
      </c>
      <c r="G677" s="208" t="s">
        <v>86</v>
      </c>
      <c r="H677" s="208" t="str" cm="1">
        <f t="array" ref="H677">IFERROR(INDEX(INVESTOR_LIST[INVESTOR NAME],MATCH(I677,INVESTOR_LIST[INVESTOR CODE],0),)," ")</f>
        <v xml:space="preserve"> </v>
      </c>
      <c r="J677" s="165" t="s">
        <v>80</v>
      </c>
      <c r="K677" s="205">
        <v>2189246</v>
      </c>
      <c r="L677" s="205"/>
    </row>
    <row r="678" spans="1:12" ht="11.25" customHeight="1" x14ac:dyDescent="0.2">
      <c r="A678" s="164">
        <v>2022</v>
      </c>
      <c r="B678" s="164">
        <v>3</v>
      </c>
      <c r="C678" s="164">
        <v>21</v>
      </c>
      <c r="D678" s="164">
        <f t="shared" si="55"/>
        <v>44641</v>
      </c>
      <c r="E678" s="235">
        <f t="shared" si="60"/>
        <v>44641</v>
      </c>
      <c r="F678" s="480"/>
      <c r="G678" s="208" t="s">
        <v>86</v>
      </c>
      <c r="H678" s="208" t="str" cm="1">
        <f t="array" ref="H678">IFERROR(INDEX(INVESTOR_LIST[INVESTOR NAME],MATCH(I678,INVESTOR_LIST[INVESTOR CODE],0),)," ")</f>
        <v xml:space="preserve"> </v>
      </c>
      <c r="J678" s="165" t="s">
        <v>960</v>
      </c>
      <c r="K678" s="205">
        <v>3940.64</v>
      </c>
      <c r="L678" s="205"/>
    </row>
    <row r="679" spans="1:12" ht="11.25" customHeight="1" x14ac:dyDescent="0.2">
      <c r="A679" s="226">
        <v>2022</v>
      </c>
      <c r="B679" s="226">
        <v>3</v>
      </c>
      <c r="C679" s="226">
        <v>21</v>
      </c>
      <c r="D679" s="226">
        <f t="shared" si="55"/>
        <v>44641</v>
      </c>
      <c r="E679" s="234">
        <f t="shared" si="60"/>
        <v>44641</v>
      </c>
      <c r="F679" s="479"/>
      <c r="G679" s="227" t="s">
        <v>86</v>
      </c>
      <c r="H679" s="228" t="str" cm="1">
        <f t="array" ref="H679">IFERROR(INDEX(INVESTOR_LIST[INVESTOR NAME],MATCH(I679,INVESTOR_LIST[INVESTOR CODE],0),)," ")</f>
        <v xml:space="preserve"> </v>
      </c>
      <c r="I679" s="228"/>
      <c r="J679" s="229" t="s">
        <v>961</v>
      </c>
      <c r="K679" s="230"/>
      <c r="L679" s="230">
        <v>2193186.64</v>
      </c>
    </row>
    <row r="680" spans="1:12" ht="11.25" customHeight="1" x14ac:dyDescent="0.2">
      <c r="A680" s="221">
        <v>2022</v>
      </c>
      <c r="B680" s="221">
        <v>3</v>
      </c>
      <c r="C680" s="221">
        <v>21</v>
      </c>
      <c r="D680" s="231">
        <f t="shared" si="55"/>
        <v>44641</v>
      </c>
      <c r="E680" s="233">
        <f>DATE(A680,B680,C680)</f>
        <v>44641</v>
      </c>
      <c r="F680" s="478" t="s">
        <v>1130</v>
      </c>
      <c r="G680" s="222" t="s">
        <v>1111</v>
      </c>
      <c r="H680" s="223" t="str" cm="1">
        <f t="array" ref="H680">IFERROR(INDEX(INVESTOR_LIST[INVESTOR NAME],MATCH(I680,INVESTOR_LIST[INVESTOR CODE],0),)," ")</f>
        <v xml:space="preserve"> </v>
      </c>
      <c r="I680" s="223"/>
      <c r="J680" s="224" t="s">
        <v>961</v>
      </c>
      <c r="K680" s="225">
        <v>2193186.64</v>
      </c>
      <c r="L680" s="225"/>
    </row>
    <row r="681" spans="1:12" ht="11.25" customHeight="1" x14ac:dyDescent="0.2">
      <c r="A681" s="226">
        <v>2022</v>
      </c>
      <c r="B681" s="226">
        <v>3</v>
      </c>
      <c r="C681" s="226">
        <v>21</v>
      </c>
      <c r="D681" s="232">
        <f t="shared" si="55"/>
        <v>44641</v>
      </c>
      <c r="E681" s="234">
        <f>DATE(A681,B681,C681)</f>
        <v>44641</v>
      </c>
      <c r="F681" s="479"/>
      <c r="G681" s="227" t="s">
        <v>1111</v>
      </c>
      <c r="H681" s="228" t="str" cm="1">
        <f t="array" ref="H681">IFERROR(INDEX(INVESTOR_LIST[INVESTOR NAME],MATCH(I681,INVESTOR_LIST[INVESTOR CODE],0),)," ")</f>
        <v xml:space="preserve"> </v>
      </c>
      <c r="I681" s="228"/>
      <c r="J681" s="229" t="s">
        <v>55</v>
      </c>
      <c r="K681" s="230"/>
      <c r="L681" s="230">
        <v>2193186.64</v>
      </c>
    </row>
    <row r="682" spans="1:12" ht="11.25" customHeight="1" x14ac:dyDescent="0.2">
      <c r="A682" s="221">
        <v>2022</v>
      </c>
      <c r="B682" s="221">
        <v>3</v>
      </c>
      <c r="C682" s="164">
        <v>21</v>
      </c>
      <c r="D682" s="221">
        <f t="shared" si="55"/>
        <v>44641</v>
      </c>
      <c r="E682" s="233">
        <f t="shared" ref="E682:E684" si="61">DATE(A682,B682,C682)</f>
        <v>44641</v>
      </c>
      <c r="F682" s="478" t="s">
        <v>1129</v>
      </c>
      <c r="G682" s="222" t="s">
        <v>86</v>
      </c>
      <c r="H682" s="222" t="str" cm="1">
        <f t="array" ref="H682">IFERROR(INDEX(INVESTOR_LIST[INVESTOR NAME],MATCH(I682,INVESTOR_LIST[INVESTOR CODE],0),)," ")</f>
        <v xml:space="preserve"> </v>
      </c>
      <c r="I682" s="223"/>
      <c r="J682" s="224" t="s">
        <v>80</v>
      </c>
      <c r="K682" s="225">
        <v>1313686.8</v>
      </c>
      <c r="L682" s="225"/>
    </row>
    <row r="683" spans="1:12" ht="11.25" customHeight="1" x14ac:dyDescent="0.2">
      <c r="A683" s="164">
        <v>2022</v>
      </c>
      <c r="B683" s="164">
        <v>3</v>
      </c>
      <c r="C683" s="164">
        <v>21</v>
      </c>
      <c r="D683" s="164">
        <f t="shared" si="55"/>
        <v>44641</v>
      </c>
      <c r="E683" s="235">
        <f t="shared" si="61"/>
        <v>44641</v>
      </c>
      <c r="F683" s="480"/>
      <c r="G683" s="208" t="s">
        <v>86</v>
      </c>
      <c r="H683" s="208" t="str" cm="1">
        <f t="array" ref="H683">IFERROR(INDEX(INVESTOR_LIST[INVESTOR NAME],MATCH(I683,INVESTOR_LIST[INVESTOR CODE],0),)," ")</f>
        <v xml:space="preserve"> </v>
      </c>
      <c r="J683" s="165" t="s">
        <v>960</v>
      </c>
      <c r="K683" s="205">
        <v>2364.64</v>
      </c>
      <c r="L683" s="205"/>
    </row>
    <row r="684" spans="1:12" ht="11.25" customHeight="1" x14ac:dyDescent="0.2">
      <c r="A684" s="226">
        <v>2022</v>
      </c>
      <c r="B684" s="226">
        <v>3</v>
      </c>
      <c r="C684" s="226">
        <v>21</v>
      </c>
      <c r="D684" s="226">
        <f t="shared" si="55"/>
        <v>44641</v>
      </c>
      <c r="E684" s="234">
        <f t="shared" si="61"/>
        <v>44641</v>
      </c>
      <c r="F684" s="479"/>
      <c r="G684" s="227" t="s">
        <v>86</v>
      </c>
      <c r="H684" s="228" t="str" cm="1">
        <f t="array" ref="H684">IFERROR(INDEX(INVESTOR_LIST[INVESTOR NAME],MATCH(I684,INVESTOR_LIST[INVESTOR CODE],0),)," ")</f>
        <v xml:space="preserve"> </v>
      </c>
      <c r="I684" s="228"/>
      <c r="J684" s="229" t="s">
        <v>961</v>
      </c>
      <c r="K684" s="230"/>
      <c r="L684" s="230">
        <v>1316051.44</v>
      </c>
    </row>
    <row r="685" spans="1:12" ht="11.25" customHeight="1" x14ac:dyDescent="0.2">
      <c r="A685" s="221">
        <v>2022</v>
      </c>
      <c r="B685" s="221">
        <v>3</v>
      </c>
      <c r="C685" s="221">
        <v>21</v>
      </c>
      <c r="D685" s="231">
        <f t="shared" si="55"/>
        <v>44641</v>
      </c>
      <c r="E685" s="233">
        <f>DATE(A685,B685,C685)</f>
        <v>44641</v>
      </c>
      <c r="F685" s="478" t="s">
        <v>1131</v>
      </c>
      <c r="G685" s="222" t="s">
        <v>1111</v>
      </c>
      <c r="H685" s="223" t="str" cm="1">
        <f t="array" ref="H685">IFERROR(INDEX(INVESTOR_LIST[INVESTOR NAME],MATCH(I685,INVESTOR_LIST[INVESTOR CODE],0),)," ")</f>
        <v xml:space="preserve"> </v>
      </c>
      <c r="I685" s="223"/>
      <c r="J685" s="224" t="s">
        <v>961</v>
      </c>
      <c r="K685" s="225">
        <v>1316051.44</v>
      </c>
      <c r="L685" s="225"/>
    </row>
    <row r="686" spans="1:12" ht="11.25" customHeight="1" x14ac:dyDescent="0.2">
      <c r="A686" s="226">
        <v>2022</v>
      </c>
      <c r="B686" s="226">
        <v>3</v>
      </c>
      <c r="C686" s="226">
        <v>21</v>
      </c>
      <c r="D686" s="232">
        <f t="shared" si="55"/>
        <v>44641</v>
      </c>
      <c r="E686" s="234">
        <f>DATE(A686,B686,C686)</f>
        <v>44641</v>
      </c>
      <c r="F686" s="479"/>
      <c r="G686" s="227" t="s">
        <v>1111</v>
      </c>
      <c r="H686" s="228" t="str" cm="1">
        <f t="array" ref="H686">IFERROR(INDEX(INVESTOR_LIST[INVESTOR NAME],MATCH(I686,INVESTOR_LIST[INVESTOR CODE],0),)," ")</f>
        <v xml:space="preserve"> </v>
      </c>
      <c r="I686" s="228"/>
      <c r="J686" s="229" t="s">
        <v>55</v>
      </c>
      <c r="K686" s="230"/>
      <c r="L686" s="230">
        <v>1316051.44</v>
      </c>
    </row>
    <row r="687" spans="1:12" ht="11.25" customHeight="1" x14ac:dyDescent="0.2">
      <c r="A687" s="221">
        <v>2022</v>
      </c>
      <c r="B687" s="221">
        <v>3</v>
      </c>
      <c r="C687" s="221">
        <v>21</v>
      </c>
      <c r="D687" s="221">
        <f t="shared" si="55"/>
        <v>44641</v>
      </c>
      <c r="E687" s="233">
        <f t="shared" ref="E687:E691" si="62">DATE(A687,B687,C687)</f>
        <v>44641</v>
      </c>
      <c r="F687" s="478" t="s">
        <v>1135</v>
      </c>
      <c r="G687" s="222" t="s">
        <v>86</v>
      </c>
      <c r="H687" s="222" t="str" cm="1">
        <f t="array" ref="H687">IFERROR(INDEX(INVESTOR_LIST[INVESTOR NAME],MATCH(I687,INVESTOR_LIST[INVESTOR CODE],0),)," ")</f>
        <v xml:space="preserve"> </v>
      </c>
      <c r="I687" s="223"/>
      <c r="J687" s="224" t="s">
        <v>80</v>
      </c>
      <c r="K687" s="225">
        <v>1410337.5</v>
      </c>
      <c r="L687" s="225"/>
    </row>
    <row r="688" spans="1:12" ht="11.25" customHeight="1" x14ac:dyDescent="0.2">
      <c r="A688" s="164">
        <v>2022</v>
      </c>
      <c r="B688" s="164">
        <v>3</v>
      </c>
      <c r="C688" s="164">
        <v>21</v>
      </c>
      <c r="D688" s="164">
        <f t="shared" si="55"/>
        <v>44641</v>
      </c>
      <c r="E688" s="235">
        <f t="shared" si="62"/>
        <v>44641</v>
      </c>
      <c r="F688" s="480"/>
      <c r="G688" s="208" t="s">
        <v>86</v>
      </c>
      <c r="H688" s="208" t="str" cm="1">
        <f t="array" ref="H688">IFERROR(INDEX(INVESTOR_LIST[INVESTOR NAME],MATCH(I688,INVESTOR_LIST[INVESTOR CODE],0),)," ")</f>
        <v xml:space="preserve"> </v>
      </c>
      <c r="J688" s="165" t="s">
        <v>960</v>
      </c>
      <c r="K688" s="205">
        <v>2538.61</v>
      </c>
      <c r="L688" s="205"/>
    </row>
    <row r="689" spans="1:12" ht="11.25" customHeight="1" x14ac:dyDescent="0.2">
      <c r="A689" s="226">
        <v>2022</v>
      </c>
      <c r="B689" s="226">
        <v>3</v>
      </c>
      <c r="C689" s="226">
        <v>21</v>
      </c>
      <c r="D689" s="226">
        <f t="shared" si="55"/>
        <v>44641</v>
      </c>
      <c r="E689" s="234">
        <f t="shared" si="62"/>
        <v>44641</v>
      </c>
      <c r="F689" s="479"/>
      <c r="G689" s="227" t="s">
        <v>86</v>
      </c>
      <c r="H689" s="228" t="str" cm="1">
        <f t="array" ref="H689">IFERROR(INDEX(INVESTOR_LIST[INVESTOR NAME],MATCH(I689,INVESTOR_LIST[INVESTOR CODE],0),)," ")</f>
        <v xml:space="preserve"> </v>
      </c>
      <c r="I689" s="228"/>
      <c r="J689" s="229" t="s">
        <v>961</v>
      </c>
      <c r="K689" s="230"/>
      <c r="L689" s="230">
        <v>1412876.11</v>
      </c>
    </row>
    <row r="690" spans="1:12" ht="11.25" customHeight="1" x14ac:dyDescent="0.2">
      <c r="A690" s="221">
        <v>2022</v>
      </c>
      <c r="B690" s="221">
        <v>3</v>
      </c>
      <c r="C690" s="221">
        <v>21</v>
      </c>
      <c r="D690" s="231">
        <f t="shared" si="55"/>
        <v>44641</v>
      </c>
      <c r="E690" s="233">
        <f t="shared" si="62"/>
        <v>44641</v>
      </c>
      <c r="F690" s="478" t="s">
        <v>1137</v>
      </c>
      <c r="G690" s="222" t="s">
        <v>1111</v>
      </c>
      <c r="H690" s="223" t="str" cm="1">
        <f t="array" ref="H690">IFERROR(INDEX(INVESTOR_LIST[INVESTOR NAME],MATCH(I690,INVESTOR_LIST[INVESTOR CODE],0),)," ")</f>
        <v xml:space="preserve"> </v>
      </c>
      <c r="I690" s="223"/>
      <c r="J690" s="224" t="s">
        <v>961</v>
      </c>
      <c r="K690" s="225">
        <v>1412876.11</v>
      </c>
      <c r="L690" s="225"/>
    </row>
    <row r="691" spans="1:12" ht="11.25" customHeight="1" x14ac:dyDescent="0.2">
      <c r="A691" s="226">
        <v>2022</v>
      </c>
      <c r="B691" s="226">
        <v>3</v>
      </c>
      <c r="C691" s="226">
        <v>21</v>
      </c>
      <c r="D691" s="232">
        <f t="shared" si="55"/>
        <v>44641</v>
      </c>
      <c r="E691" s="234">
        <f t="shared" si="62"/>
        <v>44641</v>
      </c>
      <c r="F691" s="479"/>
      <c r="G691" s="227" t="s">
        <v>1111</v>
      </c>
      <c r="H691" s="228" t="str" cm="1">
        <f t="array" ref="H691">IFERROR(INDEX(INVESTOR_LIST[INVESTOR NAME],MATCH(I691,INVESTOR_LIST[INVESTOR CODE],0),)," ")</f>
        <v xml:space="preserve"> </v>
      </c>
      <c r="I691" s="228"/>
      <c r="J691" s="229" t="s">
        <v>55</v>
      </c>
      <c r="K691" s="230"/>
      <c r="L691" s="230">
        <v>1412876.11</v>
      </c>
    </row>
    <row r="692" spans="1:12" ht="11.25" customHeight="1" x14ac:dyDescent="0.2">
      <c r="A692" s="221">
        <v>2022</v>
      </c>
      <c r="B692" s="221">
        <v>3</v>
      </c>
      <c r="C692" s="221">
        <v>23</v>
      </c>
      <c r="D692" s="231">
        <f t="shared" si="55"/>
        <v>44643</v>
      </c>
      <c r="E692" s="233">
        <f t="shared" ref="E692:E693" si="63">DATE(A692,B692,C692)</f>
        <v>44643</v>
      </c>
      <c r="F692" s="478" t="s">
        <v>1162</v>
      </c>
      <c r="G692" s="222" t="s">
        <v>1111</v>
      </c>
      <c r="H692" s="223" t="str" cm="1">
        <f t="array" ref="H692">IFERROR(INDEX(INVESTOR_LIST[INVESTOR NAME],MATCH(I692,INVESTOR_LIST[INVESTOR CODE],0),)," ")</f>
        <v xml:space="preserve"> </v>
      </c>
      <c r="I692" s="223"/>
      <c r="J692" s="224" t="s">
        <v>189</v>
      </c>
      <c r="K692" s="225">
        <v>1800</v>
      </c>
      <c r="L692" s="225"/>
    </row>
    <row r="693" spans="1:12" ht="11.25" customHeight="1" x14ac:dyDescent="0.2">
      <c r="A693" s="226">
        <v>2022</v>
      </c>
      <c r="B693" s="226">
        <v>3</v>
      </c>
      <c r="C693" s="226">
        <v>23</v>
      </c>
      <c r="D693" s="232">
        <f t="shared" si="55"/>
        <v>44643</v>
      </c>
      <c r="E693" s="234">
        <f t="shared" si="63"/>
        <v>44643</v>
      </c>
      <c r="F693" s="479"/>
      <c r="G693" s="227" t="s">
        <v>1111</v>
      </c>
      <c r="H693" s="228" t="str" cm="1">
        <f t="array" ref="H693">IFERROR(INDEX(INVESTOR_LIST[INVESTOR NAME],MATCH(I693,INVESTOR_LIST[INVESTOR CODE],0),)," ")</f>
        <v xml:space="preserve"> </v>
      </c>
      <c r="I693" s="228"/>
      <c r="J693" s="229" t="s">
        <v>55</v>
      </c>
      <c r="K693" s="230"/>
      <c r="L693" s="230">
        <v>1800</v>
      </c>
    </row>
    <row r="694" spans="1:12" ht="11.25" customHeight="1" x14ac:dyDescent="0.2">
      <c r="A694" s="221">
        <v>2022</v>
      </c>
      <c r="B694" s="221">
        <v>3</v>
      </c>
      <c r="C694" s="221">
        <v>23</v>
      </c>
      <c r="D694" s="231">
        <f t="shared" si="55"/>
        <v>44643</v>
      </c>
      <c r="E694" s="233">
        <f t="shared" ref="E694:E709" si="64">DATE(A694,B694,C694)</f>
        <v>44643</v>
      </c>
      <c r="F694" s="478" t="s">
        <v>1163</v>
      </c>
      <c r="G694" s="222" t="s">
        <v>1111</v>
      </c>
      <c r="H694" s="223" t="str" cm="1">
        <f t="array" ref="H694">IFERROR(INDEX(INVESTOR_LIST[INVESTOR NAME],MATCH(I694,INVESTOR_LIST[INVESTOR CODE],0),)," ")</f>
        <v xml:space="preserve"> </v>
      </c>
      <c r="I694" s="223"/>
      <c r="J694" s="224" t="s">
        <v>95</v>
      </c>
      <c r="K694" s="225">
        <v>3986.09</v>
      </c>
      <c r="L694" s="225"/>
    </row>
    <row r="695" spans="1:12" ht="11.25" customHeight="1" x14ac:dyDescent="0.2">
      <c r="A695" s="226">
        <v>2022</v>
      </c>
      <c r="B695" s="226">
        <v>3</v>
      </c>
      <c r="C695" s="226">
        <v>23</v>
      </c>
      <c r="D695" s="232">
        <f t="shared" si="55"/>
        <v>44643</v>
      </c>
      <c r="E695" s="234">
        <f t="shared" si="64"/>
        <v>44643</v>
      </c>
      <c r="F695" s="479"/>
      <c r="G695" s="227" t="s">
        <v>1111</v>
      </c>
      <c r="H695" s="228" t="str" cm="1">
        <f t="array" ref="H695">IFERROR(INDEX(INVESTOR_LIST[INVESTOR NAME],MATCH(I695,INVESTOR_LIST[INVESTOR CODE],0),)," ")</f>
        <v xml:space="preserve"> </v>
      </c>
      <c r="I695" s="228"/>
      <c r="J695" s="229" t="s">
        <v>55</v>
      </c>
      <c r="K695" s="230"/>
      <c r="L695" s="230">
        <v>3986.09</v>
      </c>
    </row>
    <row r="696" spans="1:12" ht="11.25" customHeight="1" x14ac:dyDescent="0.2">
      <c r="A696" s="221">
        <v>2022</v>
      </c>
      <c r="B696" s="221">
        <v>3</v>
      </c>
      <c r="C696" s="221">
        <v>23</v>
      </c>
      <c r="D696" s="221">
        <f t="shared" si="55"/>
        <v>44643</v>
      </c>
      <c r="E696" s="233">
        <f t="shared" si="64"/>
        <v>44643</v>
      </c>
      <c r="F696" s="478" t="s">
        <v>1135</v>
      </c>
      <c r="G696" s="222" t="s">
        <v>86</v>
      </c>
      <c r="H696" s="222" t="str" cm="1">
        <f t="array" ref="H696">IFERROR(INDEX(INVESTOR_LIST[INVESTOR NAME],MATCH(I696,INVESTOR_LIST[INVESTOR CODE],0),)," ")</f>
        <v xml:space="preserve"> </v>
      </c>
      <c r="I696" s="223"/>
      <c r="J696" s="224" t="s">
        <v>199</v>
      </c>
      <c r="K696" s="225">
        <v>2269013.5099999998</v>
      </c>
      <c r="L696" s="225"/>
    </row>
    <row r="697" spans="1:12" ht="11.25" customHeight="1" x14ac:dyDescent="0.2">
      <c r="A697" s="164">
        <v>2022</v>
      </c>
      <c r="B697" s="164">
        <v>3</v>
      </c>
      <c r="C697" s="164">
        <v>23</v>
      </c>
      <c r="D697" s="164">
        <f t="shared" si="55"/>
        <v>44643</v>
      </c>
      <c r="E697" s="235">
        <f t="shared" ref="E697" si="65">DATE(A697,B697,C697)</f>
        <v>44643</v>
      </c>
      <c r="F697" s="480"/>
      <c r="G697" s="208" t="s">
        <v>86</v>
      </c>
      <c r="H697" s="208"/>
      <c r="J697" s="165" t="s">
        <v>960</v>
      </c>
      <c r="K697" s="205">
        <v>4091.59</v>
      </c>
      <c r="L697" s="205"/>
    </row>
    <row r="698" spans="1:12" ht="11.25" customHeight="1" x14ac:dyDescent="0.2">
      <c r="A698" s="164">
        <v>2022</v>
      </c>
      <c r="B698" s="164">
        <v>3</v>
      </c>
      <c r="C698" s="164">
        <v>23</v>
      </c>
      <c r="D698" s="164">
        <f t="shared" si="55"/>
        <v>44643</v>
      </c>
      <c r="E698" s="235">
        <f t="shared" si="64"/>
        <v>44643</v>
      </c>
      <c r="F698" s="480"/>
      <c r="G698" s="208" t="s">
        <v>86</v>
      </c>
      <c r="H698" s="208" t="str" cm="1">
        <f t="array" ref="H698">IFERROR(INDEX(INVESTOR_LIST[INVESTOR NAME],MATCH(I698,INVESTOR_LIST[INVESTOR CODE],0),)," ")</f>
        <v xml:space="preserve"> </v>
      </c>
      <c r="J698" s="165" t="s">
        <v>200</v>
      </c>
      <c r="K698" s="205">
        <v>120576.72</v>
      </c>
      <c r="L698" s="205"/>
    </row>
    <row r="699" spans="1:12" ht="11.25" customHeight="1" x14ac:dyDescent="0.2">
      <c r="A699" s="226">
        <v>2022</v>
      </c>
      <c r="B699" s="226">
        <v>3</v>
      </c>
      <c r="C699" s="226">
        <v>23</v>
      </c>
      <c r="D699" s="226">
        <f t="shared" si="55"/>
        <v>44643</v>
      </c>
      <c r="E699" s="234">
        <f t="shared" si="64"/>
        <v>44643</v>
      </c>
      <c r="F699" s="479"/>
      <c r="G699" s="227" t="s">
        <v>86</v>
      </c>
      <c r="H699" s="228" t="str" cm="1">
        <f t="array" ref="H699">IFERROR(INDEX(INVESTOR_LIST[INVESTOR NAME],MATCH(I699,INVESTOR_LIST[INVESTOR CODE],0),)," ")</f>
        <v xml:space="preserve"> </v>
      </c>
      <c r="I699" s="228"/>
      <c r="J699" s="229" t="s">
        <v>80</v>
      </c>
      <c r="K699" s="230"/>
      <c r="L699" s="230">
        <v>2393681.8199999998</v>
      </c>
    </row>
    <row r="700" spans="1:12" ht="11.25" customHeight="1" x14ac:dyDescent="0.2">
      <c r="A700" s="236">
        <v>2022</v>
      </c>
      <c r="B700" s="236">
        <v>3</v>
      </c>
      <c r="C700" s="236">
        <v>24</v>
      </c>
      <c r="D700" s="237">
        <f t="shared" si="55"/>
        <v>44644</v>
      </c>
      <c r="E700" s="238">
        <f t="shared" si="64"/>
        <v>44644</v>
      </c>
      <c r="F700" s="476" t="s">
        <v>1118</v>
      </c>
      <c r="G700" s="239" t="s">
        <v>86</v>
      </c>
      <c r="H700" s="239" t="str" cm="1">
        <f t="array" ref="H700">IFERROR(INDEX(INVESTOR_LIST[INVESTOR NAME],MATCH(I700,INVESTOR_LIST[INVESTOR CODE],0),)," ")</f>
        <v xml:space="preserve"> </v>
      </c>
      <c r="I700" s="240"/>
      <c r="J700" s="241" t="s">
        <v>98</v>
      </c>
      <c r="K700" s="242">
        <v>116673.01999999583</v>
      </c>
      <c r="L700" s="242"/>
    </row>
    <row r="701" spans="1:12" ht="11.25" customHeight="1" x14ac:dyDescent="0.2">
      <c r="A701" s="243">
        <v>2022</v>
      </c>
      <c r="B701" s="243">
        <v>3</v>
      </c>
      <c r="C701" s="243">
        <v>24</v>
      </c>
      <c r="D701" s="248">
        <f t="shared" si="55"/>
        <v>44644</v>
      </c>
      <c r="E701" s="249">
        <f t="shared" si="64"/>
        <v>44644</v>
      </c>
      <c r="F701" s="477"/>
      <c r="G701" s="244" t="s">
        <v>86</v>
      </c>
      <c r="H701" s="244" t="str" cm="1">
        <f t="array" ref="H701">IFERROR(INDEX(INVESTOR_LIST[INVESTOR NAME],MATCH(I701,INVESTOR_LIST[INVESTOR CODE],0),)," ")</f>
        <v xml:space="preserve"> </v>
      </c>
      <c r="I701" s="245"/>
      <c r="J701" s="246" t="s">
        <v>82</v>
      </c>
      <c r="K701" s="247"/>
      <c r="L701" s="247">
        <v>116673.01999999583</v>
      </c>
    </row>
    <row r="702" spans="1:12" ht="11.25" customHeight="1" x14ac:dyDescent="0.2">
      <c r="A702" s="236">
        <v>2022</v>
      </c>
      <c r="B702" s="236">
        <v>3</v>
      </c>
      <c r="C702" s="236">
        <v>24</v>
      </c>
      <c r="D702" s="237">
        <f t="shared" si="55"/>
        <v>44644</v>
      </c>
      <c r="E702" s="238">
        <f t="shared" si="64"/>
        <v>44644</v>
      </c>
      <c r="F702" s="476" t="s">
        <v>1120</v>
      </c>
      <c r="G702" s="239" t="s">
        <v>86</v>
      </c>
      <c r="H702" s="239" t="str" cm="1">
        <f t="array" ref="H702">IFERROR(INDEX(INVESTOR_LIST[INVESTOR NAME],MATCH(I702,INVESTOR_LIST[INVESTOR CODE],0),)," ")</f>
        <v xml:space="preserve"> </v>
      </c>
      <c r="I702" s="240"/>
      <c r="J702" s="241" t="s">
        <v>87</v>
      </c>
      <c r="K702" s="242">
        <v>2747.2527472527472</v>
      </c>
      <c r="L702" s="242"/>
    </row>
    <row r="703" spans="1:12" ht="11.25" customHeight="1" x14ac:dyDescent="0.2">
      <c r="A703" s="243">
        <v>2022</v>
      </c>
      <c r="B703" s="243">
        <v>3</v>
      </c>
      <c r="C703" s="243">
        <v>24</v>
      </c>
      <c r="D703" s="248">
        <f t="shared" si="55"/>
        <v>44644</v>
      </c>
      <c r="E703" s="249">
        <f t="shared" si="64"/>
        <v>44644</v>
      </c>
      <c r="F703" s="477"/>
      <c r="G703" s="244" t="s">
        <v>86</v>
      </c>
      <c r="H703" s="244" t="str" cm="1">
        <f t="array" ref="H703">IFERROR(INDEX(INVESTOR_LIST[INVESTOR NAME],MATCH(I703,INVESTOR_LIST[INVESTOR CODE],0),)," ")</f>
        <v xml:space="preserve"> </v>
      </c>
      <c r="I703" s="245"/>
      <c r="J703" s="246" t="s">
        <v>64</v>
      </c>
      <c r="K703" s="247"/>
      <c r="L703" s="247">
        <v>2747.2527472527472</v>
      </c>
    </row>
    <row r="704" spans="1:12" ht="11.25" customHeight="1" x14ac:dyDescent="0.2">
      <c r="A704" s="236">
        <v>2022</v>
      </c>
      <c r="B704" s="236">
        <v>3</v>
      </c>
      <c r="C704" s="236">
        <v>24</v>
      </c>
      <c r="D704" s="237">
        <f t="shared" si="55"/>
        <v>44644</v>
      </c>
      <c r="E704" s="238">
        <f t="shared" si="64"/>
        <v>44644</v>
      </c>
      <c r="F704" s="476" t="s">
        <v>1121</v>
      </c>
      <c r="G704" s="239" t="s">
        <v>86</v>
      </c>
      <c r="H704" s="239" t="str" cm="1">
        <f t="array" ref="H704">IFERROR(INDEX(INVESTOR_LIST[INVESTOR NAME],MATCH(I704,INVESTOR_LIST[INVESTOR CODE],0),)," ")</f>
        <v xml:space="preserve"> </v>
      </c>
      <c r="I704" s="240"/>
      <c r="J704" s="241" t="s">
        <v>89</v>
      </c>
      <c r="K704" s="242">
        <v>102149.65</v>
      </c>
      <c r="L704" s="242"/>
    </row>
    <row r="705" spans="1:12" ht="11.25" customHeight="1" x14ac:dyDescent="0.2">
      <c r="A705" s="243">
        <v>2022</v>
      </c>
      <c r="B705" s="243">
        <v>3</v>
      </c>
      <c r="C705" s="243">
        <v>24</v>
      </c>
      <c r="D705" s="248">
        <f t="shared" si="55"/>
        <v>44644</v>
      </c>
      <c r="E705" s="249">
        <f t="shared" si="64"/>
        <v>44644</v>
      </c>
      <c r="F705" s="477"/>
      <c r="G705" s="244" t="s">
        <v>86</v>
      </c>
      <c r="H705" s="244" t="str" cm="1">
        <f t="array" ref="H705">IFERROR(INDEX(INVESTOR_LIST[INVESTOR NAME],MATCH(I705,INVESTOR_LIST[INVESTOR CODE],0),)," ")</f>
        <v xml:space="preserve"> </v>
      </c>
      <c r="I705" s="245"/>
      <c r="J705" s="246" t="s">
        <v>50</v>
      </c>
      <c r="K705" s="247"/>
      <c r="L705" s="247">
        <v>102149.65</v>
      </c>
    </row>
    <row r="706" spans="1:12" ht="11.25" customHeight="1" x14ac:dyDescent="0.2">
      <c r="A706" s="236">
        <v>2022</v>
      </c>
      <c r="B706" s="236">
        <v>3</v>
      </c>
      <c r="C706" s="236">
        <v>24</v>
      </c>
      <c r="D706" s="237">
        <f t="shared" si="55"/>
        <v>44644</v>
      </c>
      <c r="E706" s="238">
        <f t="shared" si="64"/>
        <v>44644</v>
      </c>
      <c r="F706" s="476" t="s">
        <v>1122</v>
      </c>
      <c r="G706" s="239" t="s">
        <v>86</v>
      </c>
      <c r="H706" s="239" t="str" cm="1">
        <f t="array" ref="H706">IFERROR(INDEX(INVESTOR_LIST[INVESTOR NAME],MATCH(I706,INVESTOR_LIST[INVESTOR CODE],0),)," ")</f>
        <v xml:space="preserve"> </v>
      </c>
      <c r="I706" s="240"/>
      <c r="J706" s="241" t="s">
        <v>91</v>
      </c>
      <c r="K706" s="242">
        <v>4886.8998705805134</v>
      </c>
      <c r="L706" s="242"/>
    </row>
    <row r="707" spans="1:12" ht="11.25" customHeight="1" x14ac:dyDescent="0.2">
      <c r="A707" s="243">
        <v>2022</v>
      </c>
      <c r="B707" s="243">
        <v>3</v>
      </c>
      <c r="C707" s="243">
        <v>24</v>
      </c>
      <c r="D707" s="248">
        <f t="shared" si="55"/>
        <v>44644</v>
      </c>
      <c r="E707" s="249">
        <f t="shared" si="64"/>
        <v>44644</v>
      </c>
      <c r="F707" s="477"/>
      <c r="G707" s="244" t="s">
        <v>86</v>
      </c>
      <c r="H707" s="244" t="str" cm="1">
        <f t="array" ref="H707">IFERROR(INDEX(INVESTOR_LIST[INVESTOR NAME],MATCH(I707,INVESTOR_LIST[INVESTOR CODE],0),)," ")</f>
        <v xml:space="preserve"> </v>
      </c>
      <c r="I707" s="245"/>
      <c r="J707" s="246" t="s">
        <v>51</v>
      </c>
      <c r="K707" s="247"/>
      <c r="L707" s="247">
        <v>4886.8998705805134</v>
      </c>
    </row>
    <row r="708" spans="1:12" ht="11.25" customHeight="1" x14ac:dyDescent="0.2">
      <c r="A708" s="221">
        <v>2022</v>
      </c>
      <c r="B708" s="221">
        <v>3</v>
      </c>
      <c r="C708" s="221">
        <v>28</v>
      </c>
      <c r="D708" s="231">
        <f t="shared" si="55"/>
        <v>44648</v>
      </c>
      <c r="E708" s="233">
        <f t="shared" si="64"/>
        <v>44648</v>
      </c>
      <c r="F708" s="478" t="s">
        <v>1164</v>
      </c>
      <c r="G708" s="222" t="s">
        <v>1111</v>
      </c>
      <c r="H708" s="223" t="str" cm="1">
        <f t="array" ref="H708">IFERROR(INDEX(INVESTOR_LIST[INVESTOR NAME],MATCH(I708,INVESTOR_LIST[INVESTOR CODE],0),)," ")</f>
        <v xml:space="preserve"> </v>
      </c>
      <c r="I708" s="223"/>
      <c r="J708" s="224" t="s">
        <v>55</v>
      </c>
      <c r="K708" s="225">
        <v>2269013.5099999998</v>
      </c>
      <c r="L708" s="225"/>
    </row>
    <row r="709" spans="1:12" ht="11.25" customHeight="1" x14ac:dyDescent="0.2">
      <c r="A709" s="226">
        <v>2022</v>
      </c>
      <c r="B709" s="226">
        <v>3</v>
      </c>
      <c r="C709" s="226">
        <v>28</v>
      </c>
      <c r="D709" s="232">
        <f t="shared" si="55"/>
        <v>44648</v>
      </c>
      <c r="E709" s="234">
        <f t="shared" si="64"/>
        <v>44648</v>
      </c>
      <c r="F709" s="479"/>
      <c r="G709" s="227" t="s">
        <v>1111</v>
      </c>
      <c r="H709" s="228" t="str" cm="1">
        <f t="array" ref="H709">IFERROR(INDEX(INVESTOR_LIST[INVESTOR NAME],MATCH(I709,INVESTOR_LIST[INVESTOR CODE],0),)," ")</f>
        <v xml:space="preserve"> </v>
      </c>
      <c r="I709" s="228"/>
      <c r="J709" s="229" t="s">
        <v>199</v>
      </c>
      <c r="K709" s="230"/>
      <c r="L709" s="230">
        <v>2269013.5099999998</v>
      </c>
    </row>
    <row r="710" spans="1:12" ht="11.25" customHeight="1" x14ac:dyDescent="0.2">
      <c r="A710" s="221">
        <v>2022</v>
      </c>
      <c r="B710" s="221">
        <v>3</v>
      </c>
      <c r="C710" s="221">
        <v>28</v>
      </c>
      <c r="D710" s="221">
        <f t="shared" si="55"/>
        <v>44648</v>
      </c>
      <c r="E710" s="233">
        <f t="shared" ref="E710:E718" si="66">DATE(A710,B710,C710)</f>
        <v>44648</v>
      </c>
      <c r="F710" s="478" t="s">
        <v>1135</v>
      </c>
      <c r="G710" s="222" t="s">
        <v>86</v>
      </c>
      <c r="H710" s="222" t="str" cm="1">
        <f t="array" ref="H710">IFERROR(INDEX(INVESTOR_LIST[INVESTOR NAME],MATCH(I710,INVESTOR_LIST[INVESTOR CODE],0),)," ")</f>
        <v xml:space="preserve"> </v>
      </c>
      <c r="I710" s="223"/>
      <c r="J710" s="224" t="s">
        <v>199</v>
      </c>
      <c r="K710" s="225">
        <v>2475170.96</v>
      </c>
      <c r="L710" s="225"/>
    </row>
    <row r="711" spans="1:12" ht="11.25" customHeight="1" x14ac:dyDescent="0.2">
      <c r="A711" s="164">
        <v>2022</v>
      </c>
      <c r="B711" s="164">
        <v>3</v>
      </c>
      <c r="C711" s="164">
        <v>28</v>
      </c>
      <c r="D711" s="164">
        <f t="shared" si="55"/>
        <v>44648</v>
      </c>
      <c r="E711" s="235">
        <f t="shared" si="66"/>
        <v>44648</v>
      </c>
      <c r="F711" s="480"/>
      <c r="G711" s="208" t="s">
        <v>86</v>
      </c>
      <c r="H711" s="208"/>
      <c r="J711" s="165" t="s">
        <v>960</v>
      </c>
      <c r="K711" s="205">
        <v>4463.34</v>
      </c>
      <c r="L711" s="205"/>
    </row>
    <row r="712" spans="1:12" ht="11.25" customHeight="1" x14ac:dyDescent="0.2">
      <c r="A712" s="164">
        <v>2022</v>
      </c>
      <c r="B712" s="164">
        <v>3</v>
      </c>
      <c r="C712" s="164">
        <v>28</v>
      </c>
      <c r="D712" s="164">
        <f t="shared" si="55"/>
        <v>44648</v>
      </c>
      <c r="E712" s="235">
        <f t="shared" si="66"/>
        <v>44648</v>
      </c>
      <c r="F712" s="480"/>
      <c r="G712" s="208" t="s">
        <v>86</v>
      </c>
      <c r="H712" s="208" t="str" cm="1">
        <f t="array" ref="H712">IFERROR(INDEX(INVESTOR_LIST[INVESTOR NAME],MATCH(I712,INVESTOR_LIST[INVESTOR CODE],0),)," ")</f>
        <v xml:space="preserve"> </v>
      </c>
      <c r="J712" s="165" t="s">
        <v>200</v>
      </c>
      <c r="K712" s="205">
        <v>85024.79</v>
      </c>
      <c r="L712" s="205"/>
    </row>
    <row r="713" spans="1:12" ht="11.25" customHeight="1" x14ac:dyDescent="0.2">
      <c r="A713" s="226">
        <v>2022</v>
      </c>
      <c r="B713" s="226">
        <v>3</v>
      </c>
      <c r="C713" s="226">
        <v>28</v>
      </c>
      <c r="D713" s="226">
        <f t="shared" ref="D713:D776" si="67">DATE(A713,B713,C713)</f>
        <v>44648</v>
      </c>
      <c r="E713" s="234">
        <f t="shared" si="66"/>
        <v>44648</v>
      </c>
      <c r="F713" s="479"/>
      <c r="G713" s="227" t="s">
        <v>86</v>
      </c>
      <c r="H713" s="228" t="str" cm="1">
        <f t="array" ref="H713">IFERROR(INDEX(INVESTOR_LIST[INVESTOR NAME],MATCH(I713,INVESTOR_LIST[INVESTOR CODE],0),)," ")</f>
        <v xml:space="preserve"> </v>
      </c>
      <c r="I713" s="228"/>
      <c r="J713" s="229" t="s">
        <v>80</v>
      </c>
      <c r="K713" s="230"/>
      <c r="L713" s="230">
        <v>2564659.09</v>
      </c>
    </row>
    <row r="714" spans="1:12" ht="11.25" customHeight="1" x14ac:dyDescent="0.2">
      <c r="A714" s="221">
        <v>2022</v>
      </c>
      <c r="B714" s="221">
        <v>3</v>
      </c>
      <c r="C714" s="221">
        <v>29</v>
      </c>
      <c r="D714" s="231">
        <f t="shared" si="67"/>
        <v>44649</v>
      </c>
      <c r="E714" s="233">
        <f t="shared" si="66"/>
        <v>44649</v>
      </c>
      <c r="F714" s="478" t="s">
        <v>1115</v>
      </c>
      <c r="G714" s="222" t="s">
        <v>1111</v>
      </c>
      <c r="H714" s="223" t="str" cm="1">
        <f t="array" ref="H714">IFERROR(INDEX(INVESTOR_LIST[INVESTOR NAME],MATCH(I714,INVESTOR_LIST[INVESTOR CODE],0),)," ")</f>
        <v>EDGE VENTURES LIMITED</v>
      </c>
      <c r="I714" s="223" t="s">
        <v>946</v>
      </c>
      <c r="J714" s="224" t="s">
        <v>14</v>
      </c>
      <c r="K714" s="225">
        <v>2300000</v>
      </c>
      <c r="L714" s="225"/>
    </row>
    <row r="715" spans="1:12" ht="11.25" customHeight="1" x14ac:dyDescent="0.2">
      <c r="A715" s="164">
        <v>2022</v>
      </c>
      <c r="B715" s="164">
        <v>3</v>
      </c>
      <c r="C715" s="164">
        <v>29</v>
      </c>
      <c r="D715" s="156">
        <f t="shared" si="67"/>
        <v>44649</v>
      </c>
      <c r="E715" s="235">
        <f t="shared" si="66"/>
        <v>44649</v>
      </c>
      <c r="F715" s="480"/>
      <c r="G715" s="208" t="s">
        <v>1111</v>
      </c>
      <c r="H715" s="206" t="str" cm="1">
        <f t="array" ref="H715">IFERROR(INDEX(INVESTOR_LIST[INVESTOR NAME],MATCH(I715,INVESTOR_LIST[INVESTOR CODE],0),)," ")</f>
        <v>EDGE VENTURES LIMITED</v>
      </c>
      <c r="I715" s="206" t="s">
        <v>946</v>
      </c>
      <c r="J715" s="165" t="s">
        <v>1112</v>
      </c>
      <c r="K715" s="205"/>
      <c r="L715" s="205">
        <v>6900</v>
      </c>
    </row>
    <row r="716" spans="1:12" ht="11.25" customHeight="1" x14ac:dyDescent="0.2">
      <c r="A716" s="226">
        <v>2022</v>
      </c>
      <c r="B716" s="226">
        <v>3</v>
      </c>
      <c r="C716" s="226">
        <v>29</v>
      </c>
      <c r="D716" s="232">
        <f t="shared" si="67"/>
        <v>44649</v>
      </c>
      <c r="E716" s="234">
        <f t="shared" si="66"/>
        <v>44649</v>
      </c>
      <c r="F716" s="479"/>
      <c r="G716" s="227" t="s">
        <v>1111</v>
      </c>
      <c r="H716" s="228" t="str" cm="1">
        <f t="array" ref="H716">IFERROR(INDEX(INVESTOR_LIST[INVESTOR NAME],MATCH(I716,INVESTOR_LIST[INVESTOR CODE],0),)," ")</f>
        <v>EDGE VENTURES LIMITED</v>
      </c>
      <c r="I716" s="228" t="s">
        <v>946</v>
      </c>
      <c r="J716" s="229" t="s">
        <v>55</v>
      </c>
      <c r="K716" s="230"/>
      <c r="L716" s="230">
        <v>2293100</v>
      </c>
    </row>
    <row r="717" spans="1:12" ht="11.25" customHeight="1" x14ac:dyDescent="0.2">
      <c r="A717" s="221">
        <v>2022</v>
      </c>
      <c r="B717" s="221">
        <v>3</v>
      </c>
      <c r="C717" s="221">
        <v>30</v>
      </c>
      <c r="D717" s="231">
        <f t="shared" si="67"/>
        <v>44650</v>
      </c>
      <c r="E717" s="233">
        <f t="shared" si="66"/>
        <v>44650</v>
      </c>
      <c r="F717" s="478" t="s">
        <v>1164</v>
      </c>
      <c r="G717" s="222" t="s">
        <v>1111</v>
      </c>
      <c r="H717" s="223" t="str" cm="1">
        <f t="array" ref="H717">IFERROR(INDEX(INVESTOR_LIST[INVESTOR NAME],MATCH(I717,INVESTOR_LIST[INVESTOR CODE],0),)," ")</f>
        <v xml:space="preserve"> </v>
      </c>
      <c r="I717" s="223"/>
      <c r="J717" s="224" t="s">
        <v>55</v>
      </c>
      <c r="K717" s="225">
        <v>2475170.96</v>
      </c>
      <c r="L717" s="225"/>
    </row>
    <row r="718" spans="1:12" ht="11.25" customHeight="1" x14ac:dyDescent="0.2">
      <c r="A718" s="226">
        <v>2022</v>
      </c>
      <c r="B718" s="226">
        <v>3</v>
      </c>
      <c r="C718" s="226">
        <v>30</v>
      </c>
      <c r="D718" s="232">
        <f t="shared" si="67"/>
        <v>44650</v>
      </c>
      <c r="E718" s="234">
        <f t="shared" si="66"/>
        <v>44650</v>
      </c>
      <c r="F718" s="479"/>
      <c r="G718" s="227" t="s">
        <v>1111</v>
      </c>
      <c r="H718" s="228" t="str" cm="1">
        <f t="array" ref="H718">IFERROR(INDEX(INVESTOR_LIST[INVESTOR NAME],MATCH(I718,INVESTOR_LIST[INVESTOR CODE],0),)," ")</f>
        <v xml:space="preserve"> </v>
      </c>
      <c r="I718" s="228"/>
      <c r="J718" s="229" t="s">
        <v>199</v>
      </c>
      <c r="K718" s="230"/>
      <c r="L718" s="230">
        <v>2475170.96</v>
      </c>
    </row>
    <row r="719" spans="1:12" ht="11.25" customHeight="1" x14ac:dyDescent="0.2">
      <c r="A719" s="221">
        <v>2022</v>
      </c>
      <c r="B719" s="221">
        <v>3</v>
      </c>
      <c r="C719" s="221">
        <v>30</v>
      </c>
      <c r="D719" s="231">
        <f t="shared" si="67"/>
        <v>44650</v>
      </c>
      <c r="E719" s="233">
        <f t="shared" ref="E719:E754" si="68">DATE(A719,B719,C719)</f>
        <v>44650</v>
      </c>
      <c r="F719" s="478" t="s">
        <v>1165</v>
      </c>
      <c r="G719" s="222" t="s">
        <v>1111</v>
      </c>
      <c r="H719" s="223" t="str" cm="1">
        <f t="array" ref="H719">IFERROR(INDEX(INVESTOR_LIST[INVESTOR NAME],MATCH(I719,INVESTOR_LIST[INVESTOR CODE],0),)," ")</f>
        <v xml:space="preserve"> </v>
      </c>
      <c r="I719" s="223"/>
      <c r="J719" s="224" t="s">
        <v>95</v>
      </c>
      <c r="K719" s="225">
        <v>78610</v>
      </c>
      <c r="L719" s="225"/>
    </row>
    <row r="720" spans="1:12" ht="11.25" customHeight="1" x14ac:dyDescent="0.2">
      <c r="A720" s="226">
        <v>2022</v>
      </c>
      <c r="B720" s="226">
        <v>3</v>
      </c>
      <c r="C720" s="226">
        <v>30</v>
      </c>
      <c r="D720" s="232">
        <f t="shared" si="67"/>
        <v>44650</v>
      </c>
      <c r="E720" s="234">
        <f t="shared" si="68"/>
        <v>44650</v>
      </c>
      <c r="F720" s="479"/>
      <c r="G720" s="227" t="s">
        <v>1111</v>
      </c>
      <c r="H720" s="228" t="str" cm="1">
        <f t="array" ref="H720">IFERROR(INDEX(INVESTOR_LIST[INVESTOR NAME],MATCH(I720,INVESTOR_LIST[INVESTOR CODE],0),)," ")</f>
        <v xml:space="preserve"> </v>
      </c>
      <c r="I720" s="228"/>
      <c r="J720" s="229" t="s">
        <v>55</v>
      </c>
      <c r="K720" s="230"/>
      <c r="L720" s="230">
        <v>78610</v>
      </c>
    </row>
    <row r="721" spans="1:15" ht="11.25" customHeight="1" x14ac:dyDescent="0.2">
      <c r="A721" s="221">
        <v>2022</v>
      </c>
      <c r="B721" s="221">
        <v>3</v>
      </c>
      <c r="C721" s="221">
        <v>30</v>
      </c>
      <c r="D721" s="231">
        <f t="shared" si="67"/>
        <v>44650</v>
      </c>
      <c r="E721" s="233">
        <f t="shared" si="68"/>
        <v>44650</v>
      </c>
      <c r="F721" s="478" t="s">
        <v>802</v>
      </c>
      <c r="G721" s="222" t="s">
        <v>1111</v>
      </c>
      <c r="H721" s="223" t="str" cm="1">
        <f t="array" ref="H721">IFERROR(INDEX(INVESTOR_LIST[INVESTOR NAME],MATCH(I721,INVESTOR_LIST[INVESTOR CODE],0),)," ")</f>
        <v>EKUSH WEALTH MANAGEMENT LIMITED</v>
      </c>
      <c r="I721" s="223" t="s">
        <v>320</v>
      </c>
      <c r="J721" s="224" t="s">
        <v>55</v>
      </c>
      <c r="K721" s="225">
        <v>49000</v>
      </c>
      <c r="L721" s="225"/>
      <c r="M721" s="166"/>
    </row>
    <row r="722" spans="1:15" ht="11.25" customHeight="1" x14ac:dyDescent="0.2">
      <c r="A722" s="164">
        <v>2022</v>
      </c>
      <c r="B722" s="164">
        <v>3</v>
      </c>
      <c r="C722" s="164">
        <v>30</v>
      </c>
      <c r="D722" s="156">
        <f t="shared" si="67"/>
        <v>44650</v>
      </c>
      <c r="E722" s="235">
        <f t="shared" si="68"/>
        <v>44650</v>
      </c>
      <c r="F722" s="480"/>
      <c r="G722" s="208" t="s">
        <v>1111</v>
      </c>
      <c r="H722" s="206" t="str" cm="1">
        <f t="array" ref="H722">IFERROR(INDEX(INVESTOR_LIST[INVESTOR NAME],MATCH(I722,INVESTOR_LIST[INVESTOR CODE],0),)," ")</f>
        <v>EKUSH WEALTH MANAGEMENT LIMITED</v>
      </c>
      <c r="I722" s="206" t="s">
        <v>320</v>
      </c>
      <c r="J722" s="165" t="s">
        <v>1112</v>
      </c>
      <c r="K722" s="205">
        <v>200</v>
      </c>
      <c r="L722" s="205"/>
    </row>
    <row r="723" spans="1:15" ht="11.25" customHeight="1" x14ac:dyDescent="0.2">
      <c r="A723" s="226">
        <v>2022</v>
      </c>
      <c r="B723" s="226">
        <v>3</v>
      </c>
      <c r="C723" s="226">
        <v>30</v>
      </c>
      <c r="D723" s="232">
        <f t="shared" si="67"/>
        <v>44650</v>
      </c>
      <c r="E723" s="234">
        <f t="shared" si="68"/>
        <v>44650</v>
      </c>
      <c r="F723" s="479"/>
      <c r="G723" s="227" t="s">
        <v>1111</v>
      </c>
      <c r="H723" s="228" t="str" cm="1">
        <f t="array" ref="H723">IFERROR(INDEX(INVESTOR_LIST[INVESTOR NAME],MATCH(I723,INVESTOR_LIST[INVESTOR CODE],0),)," ")</f>
        <v>EKUSH WEALTH MANAGEMENT LIMITED</v>
      </c>
      <c r="I723" s="228" t="s">
        <v>320</v>
      </c>
      <c r="J723" s="229" t="s">
        <v>14</v>
      </c>
      <c r="K723" s="230"/>
      <c r="L723" s="230">
        <v>49200</v>
      </c>
    </row>
    <row r="724" spans="1:15" ht="11.25" customHeight="1" x14ac:dyDescent="0.2">
      <c r="A724" s="221">
        <v>2022</v>
      </c>
      <c r="B724" s="221">
        <v>3</v>
      </c>
      <c r="C724" s="221">
        <v>31</v>
      </c>
      <c r="D724" s="221">
        <f t="shared" si="67"/>
        <v>44651</v>
      </c>
      <c r="E724" s="233">
        <f t="shared" si="68"/>
        <v>44651</v>
      </c>
      <c r="F724" s="478" t="s">
        <v>1166</v>
      </c>
      <c r="G724" s="222" t="s">
        <v>86</v>
      </c>
      <c r="H724" s="222" t="str" cm="1">
        <f t="array" ref="H724">IFERROR(INDEX(INVESTOR_LIST[INVESTOR NAME],MATCH(I724,INVESTOR_LIST[INVESTOR CODE],0),)," ")</f>
        <v xml:space="preserve"> </v>
      </c>
      <c r="I724" s="223"/>
      <c r="J724" s="224" t="s">
        <v>196</v>
      </c>
      <c r="K724" s="225">
        <v>200000</v>
      </c>
      <c r="L724" s="225"/>
    </row>
    <row r="725" spans="1:15" ht="11.25" customHeight="1" x14ac:dyDescent="0.2">
      <c r="A725" s="164">
        <v>2022</v>
      </c>
      <c r="B725" s="164">
        <v>3</v>
      </c>
      <c r="C725" s="164">
        <v>31</v>
      </c>
      <c r="D725" s="164">
        <f t="shared" si="67"/>
        <v>44651</v>
      </c>
      <c r="E725" s="235">
        <f t="shared" si="68"/>
        <v>44651</v>
      </c>
      <c r="F725" s="480"/>
      <c r="G725" s="208" t="s">
        <v>86</v>
      </c>
      <c r="H725" s="208" t="str" cm="1">
        <f t="array" ref="H725">IFERROR(INDEX(INVESTOR_LIST[INVESTOR NAME],MATCH(I725,INVESTOR_LIST[INVESTOR CODE],0),)," ")</f>
        <v xml:space="preserve"> </v>
      </c>
      <c r="J725" s="165" t="s">
        <v>63</v>
      </c>
      <c r="K725" s="205">
        <v>115</v>
      </c>
      <c r="L725" s="205"/>
    </row>
    <row r="726" spans="1:15" ht="11.25" customHeight="1" x14ac:dyDescent="0.2">
      <c r="A726" s="226">
        <v>2022</v>
      </c>
      <c r="B726" s="226">
        <v>3</v>
      </c>
      <c r="C726" s="226">
        <v>31</v>
      </c>
      <c r="D726" s="226">
        <f t="shared" si="67"/>
        <v>44651</v>
      </c>
      <c r="E726" s="234">
        <f t="shared" si="68"/>
        <v>44651</v>
      </c>
      <c r="F726" s="479"/>
      <c r="G726" s="227" t="s">
        <v>86</v>
      </c>
      <c r="H726" s="228" t="str" cm="1">
        <f t="array" ref="H726">IFERROR(INDEX(INVESTOR_LIST[INVESTOR NAME],MATCH(I726,INVESTOR_LIST[INVESTOR CODE],0),)," ")</f>
        <v xml:space="preserve"> </v>
      </c>
      <c r="I726" s="228"/>
      <c r="J726" s="229" t="s">
        <v>55</v>
      </c>
      <c r="K726" s="230"/>
      <c r="L726" s="230">
        <v>200115</v>
      </c>
    </row>
    <row r="727" spans="1:15" ht="11.25" customHeight="1" x14ac:dyDescent="0.2">
      <c r="A727" s="221">
        <v>2022</v>
      </c>
      <c r="B727" s="221">
        <v>3</v>
      </c>
      <c r="C727" s="221">
        <v>31</v>
      </c>
      <c r="D727" s="231">
        <f t="shared" si="67"/>
        <v>44651</v>
      </c>
      <c r="E727" s="233">
        <f t="shared" si="68"/>
        <v>44651</v>
      </c>
      <c r="F727" s="478" t="s">
        <v>1115</v>
      </c>
      <c r="G727" s="222" t="s">
        <v>1111</v>
      </c>
      <c r="H727" s="223" t="str" cm="1">
        <f t="array" ref="H727">IFERROR(INDEX(INVESTOR_LIST[INVESTOR NAME],MATCH(I727,INVESTOR_LIST[INVESTOR CODE],0),)," ")</f>
        <v>MOHAMMED ALI XAHANGIR</v>
      </c>
      <c r="I727" s="223" t="s">
        <v>541</v>
      </c>
      <c r="J727" s="224" t="s">
        <v>14</v>
      </c>
      <c r="K727" s="225">
        <v>878510</v>
      </c>
      <c r="L727" s="225"/>
    </row>
    <row r="728" spans="1:15" ht="11.25" customHeight="1" x14ac:dyDescent="0.2">
      <c r="A728" s="164">
        <v>2022</v>
      </c>
      <c r="B728" s="164">
        <v>3</v>
      </c>
      <c r="C728" s="164">
        <v>31</v>
      </c>
      <c r="D728" s="156">
        <f t="shared" si="67"/>
        <v>44651</v>
      </c>
      <c r="E728" s="235">
        <f t="shared" si="68"/>
        <v>44651</v>
      </c>
      <c r="F728" s="480"/>
      <c r="G728" s="208" t="s">
        <v>1111</v>
      </c>
      <c r="H728" s="206" t="str" cm="1">
        <f t="array" ref="H728">IFERROR(INDEX(INVESTOR_LIST[INVESTOR NAME],MATCH(I728,INVESTOR_LIST[INVESTOR CODE],0),)," ")</f>
        <v>MOHAMMED ALI XAHANGIR</v>
      </c>
      <c r="I728" s="206" t="s">
        <v>541</v>
      </c>
      <c r="J728" s="165" t="s">
        <v>1112</v>
      </c>
      <c r="K728" s="205"/>
      <c r="L728" s="205">
        <v>3510</v>
      </c>
    </row>
    <row r="729" spans="1:15" ht="11.25" customHeight="1" x14ac:dyDescent="0.2">
      <c r="A729" s="226">
        <v>2022</v>
      </c>
      <c r="B729" s="226">
        <v>3</v>
      </c>
      <c r="C729" s="226">
        <v>31</v>
      </c>
      <c r="D729" s="232">
        <f t="shared" si="67"/>
        <v>44651</v>
      </c>
      <c r="E729" s="234">
        <f t="shared" si="68"/>
        <v>44651</v>
      </c>
      <c r="F729" s="479"/>
      <c r="G729" s="227" t="s">
        <v>1111</v>
      </c>
      <c r="H729" s="228" t="str" cm="1">
        <f t="array" ref="H729">IFERROR(INDEX(INVESTOR_LIST[INVESTOR NAME],MATCH(I729,INVESTOR_LIST[INVESTOR CODE],0),)," ")</f>
        <v>MOHAMMED ALI XAHANGIR</v>
      </c>
      <c r="I729" s="228" t="s">
        <v>541</v>
      </c>
      <c r="J729" s="229" t="s">
        <v>55</v>
      </c>
      <c r="K729" s="230"/>
      <c r="L729" s="230">
        <v>875000</v>
      </c>
    </row>
    <row r="730" spans="1:15" ht="11.25" customHeight="1" x14ac:dyDescent="0.2">
      <c r="A730" s="236">
        <v>2022</v>
      </c>
      <c r="B730" s="236">
        <v>3</v>
      </c>
      <c r="C730" s="236">
        <v>31</v>
      </c>
      <c r="D730" s="237">
        <f t="shared" si="67"/>
        <v>44651</v>
      </c>
      <c r="E730" s="238">
        <f t="shared" si="68"/>
        <v>44651</v>
      </c>
      <c r="F730" s="476" t="s">
        <v>1118</v>
      </c>
      <c r="G730" s="239" t="s">
        <v>86</v>
      </c>
      <c r="H730" s="239" t="str" cm="1">
        <f t="array" ref="H730">IFERROR(INDEX(INVESTOR_LIST[INVESTOR NAME],MATCH(I730,INVESTOR_LIST[INVESTOR CODE],0),)," ")</f>
        <v xml:space="preserve"> </v>
      </c>
      <c r="I730" s="240"/>
      <c r="J730" s="241" t="s">
        <v>98</v>
      </c>
      <c r="K730" s="242">
        <v>285244.09000000358</v>
      </c>
      <c r="L730" s="242"/>
    </row>
    <row r="731" spans="1:15" ht="11.25" customHeight="1" x14ac:dyDescent="0.2">
      <c r="A731" s="243">
        <v>2022</v>
      </c>
      <c r="B731" s="243">
        <v>3</v>
      </c>
      <c r="C731" s="243">
        <v>31</v>
      </c>
      <c r="D731" s="248">
        <f t="shared" si="67"/>
        <v>44651</v>
      </c>
      <c r="E731" s="249">
        <f t="shared" si="68"/>
        <v>44651</v>
      </c>
      <c r="F731" s="477"/>
      <c r="G731" s="244" t="s">
        <v>86</v>
      </c>
      <c r="H731" s="244" t="str" cm="1">
        <f t="array" ref="H731">IFERROR(INDEX(INVESTOR_LIST[INVESTOR NAME],MATCH(I731,INVESTOR_LIST[INVESTOR CODE],0),)," ")</f>
        <v xml:space="preserve"> </v>
      </c>
      <c r="I731" s="245"/>
      <c r="J731" s="246" t="s">
        <v>82</v>
      </c>
      <c r="K731" s="247"/>
      <c r="L731" s="247">
        <v>285244.09000000358</v>
      </c>
    </row>
    <row r="732" spans="1:15" ht="11.25" customHeight="1" x14ac:dyDescent="0.2">
      <c r="A732" s="236">
        <v>2022</v>
      </c>
      <c r="B732" s="236">
        <v>3</v>
      </c>
      <c r="C732" s="236">
        <v>31</v>
      </c>
      <c r="D732" s="237">
        <f t="shared" si="67"/>
        <v>44651</v>
      </c>
      <c r="E732" s="238">
        <f t="shared" si="68"/>
        <v>44651</v>
      </c>
      <c r="F732" s="476" t="s">
        <v>1120</v>
      </c>
      <c r="G732" s="239" t="s">
        <v>86</v>
      </c>
      <c r="H732" s="239" t="str" cm="1">
        <f t="array" ref="H732">IFERROR(INDEX(INVESTOR_LIST[INVESTOR NAME],MATCH(I732,INVESTOR_LIST[INVESTOR CODE],0),)," ")</f>
        <v xml:space="preserve"> </v>
      </c>
      <c r="I732" s="240"/>
      <c r="J732" s="241" t="s">
        <v>87</v>
      </c>
      <c r="K732" s="242">
        <v>2747.2527472527472</v>
      </c>
      <c r="L732" s="242"/>
    </row>
    <row r="733" spans="1:15" ht="11.25" customHeight="1" x14ac:dyDescent="0.2">
      <c r="A733" s="243">
        <v>2022</v>
      </c>
      <c r="B733" s="243">
        <v>3</v>
      </c>
      <c r="C733" s="243">
        <v>31</v>
      </c>
      <c r="D733" s="248">
        <f t="shared" si="67"/>
        <v>44651</v>
      </c>
      <c r="E733" s="249">
        <f t="shared" si="68"/>
        <v>44651</v>
      </c>
      <c r="F733" s="477"/>
      <c r="G733" s="244" t="s">
        <v>86</v>
      </c>
      <c r="H733" s="244" t="str" cm="1">
        <f t="array" ref="H733">IFERROR(INDEX(INVESTOR_LIST[INVESTOR NAME],MATCH(I733,INVESTOR_LIST[INVESTOR CODE],0),)," ")</f>
        <v xml:space="preserve"> </v>
      </c>
      <c r="I733" s="245"/>
      <c r="J733" s="246" t="s">
        <v>64</v>
      </c>
      <c r="K733" s="247"/>
      <c r="L733" s="247">
        <v>2747.2527472527472</v>
      </c>
      <c r="O733" s="167"/>
    </row>
    <row r="734" spans="1:15" ht="11.25" customHeight="1" x14ac:dyDescent="0.2">
      <c r="A734" s="236">
        <v>2022</v>
      </c>
      <c r="B734" s="236">
        <v>3</v>
      </c>
      <c r="C734" s="236">
        <v>31</v>
      </c>
      <c r="D734" s="237">
        <f t="shared" si="67"/>
        <v>44651</v>
      </c>
      <c r="E734" s="238">
        <f t="shared" si="68"/>
        <v>44651</v>
      </c>
      <c r="F734" s="476" t="s">
        <v>1121</v>
      </c>
      <c r="G734" s="239" t="s">
        <v>86</v>
      </c>
      <c r="H734" s="239" t="str" cm="1">
        <f t="array" ref="H734">IFERROR(INDEX(INVESTOR_LIST[INVESTOR NAME],MATCH(I734,INVESTOR_LIST[INVESTOR CODE],0),)," ")</f>
        <v xml:space="preserve"> </v>
      </c>
      <c r="I734" s="240"/>
      <c r="J734" s="241" t="s">
        <v>89</v>
      </c>
      <c r="K734" s="242">
        <v>101252.79452411005</v>
      </c>
      <c r="L734" s="242"/>
      <c r="O734" s="167"/>
    </row>
    <row r="735" spans="1:15" ht="11.25" customHeight="1" x14ac:dyDescent="0.2">
      <c r="A735" s="243">
        <v>2022</v>
      </c>
      <c r="B735" s="243">
        <v>3</v>
      </c>
      <c r="C735" s="243">
        <v>31</v>
      </c>
      <c r="D735" s="248">
        <f t="shared" si="67"/>
        <v>44651</v>
      </c>
      <c r="E735" s="249">
        <f t="shared" si="68"/>
        <v>44651</v>
      </c>
      <c r="F735" s="477"/>
      <c r="G735" s="244" t="s">
        <v>86</v>
      </c>
      <c r="H735" s="244" t="str" cm="1">
        <f t="array" ref="H735">IFERROR(INDEX(INVESTOR_LIST[INVESTOR NAME],MATCH(I735,INVESTOR_LIST[INVESTOR CODE],0),)," ")</f>
        <v xml:space="preserve"> </v>
      </c>
      <c r="I735" s="245"/>
      <c r="J735" s="246" t="s">
        <v>50</v>
      </c>
      <c r="K735" s="247"/>
      <c r="L735" s="247">
        <v>101252.79452411005</v>
      </c>
      <c r="O735" s="167"/>
    </row>
    <row r="736" spans="1:15" ht="11.25" customHeight="1" x14ac:dyDescent="0.2">
      <c r="A736" s="236">
        <v>2022</v>
      </c>
      <c r="B736" s="236">
        <v>3</v>
      </c>
      <c r="C736" s="236">
        <v>31</v>
      </c>
      <c r="D736" s="237">
        <f t="shared" si="67"/>
        <v>44651</v>
      </c>
      <c r="E736" s="238">
        <f t="shared" si="68"/>
        <v>44651</v>
      </c>
      <c r="F736" s="476" t="s">
        <v>1122</v>
      </c>
      <c r="G736" s="239" t="s">
        <v>86</v>
      </c>
      <c r="H736" s="239" t="str" cm="1">
        <f t="array" ref="H736">IFERROR(INDEX(INVESTOR_LIST[INVESTOR NAME],MATCH(I736,INVESTOR_LIST[INVESTOR CODE],0),)," ")</f>
        <v xml:space="preserve"> </v>
      </c>
      <c r="I736" s="240"/>
      <c r="J736" s="241" t="s">
        <v>91</v>
      </c>
      <c r="K736" s="242">
        <v>4827.1093785304138</v>
      </c>
      <c r="L736" s="242"/>
      <c r="O736" s="167"/>
    </row>
    <row r="737" spans="1:14" ht="11.25" customHeight="1" x14ac:dyDescent="0.2">
      <c r="A737" s="243">
        <v>2022</v>
      </c>
      <c r="B737" s="243">
        <v>3</v>
      </c>
      <c r="C737" s="243">
        <v>31</v>
      </c>
      <c r="D737" s="248">
        <f t="shared" si="67"/>
        <v>44651</v>
      </c>
      <c r="E737" s="249">
        <f t="shared" si="68"/>
        <v>44651</v>
      </c>
      <c r="F737" s="477"/>
      <c r="G737" s="244" t="s">
        <v>86</v>
      </c>
      <c r="H737" s="244" t="str" cm="1">
        <f t="array" ref="H737">IFERROR(INDEX(INVESTOR_LIST[INVESTOR NAME],MATCH(I737,INVESTOR_LIST[INVESTOR CODE],0),)," ")</f>
        <v xml:space="preserve"> </v>
      </c>
      <c r="I737" s="245"/>
      <c r="J737" s="246" t="s">
        <v>51</v>
      </c>
      <c r="K737" s="247"/>
      <c r="L737" s="247">
        <v>4827.1093785304138</v>
      </c>
    </row>
    <row r="738" spans="1:14" ht="11.25" customHeight="1" x14ac:dyDescent="0.2">
      <c r="A738" s="221">
        <v>2022</v>
      </c>
      <c r="B738" s="221">
        <v>4</v>
      </c>
      <c r="C738" s="221">
        <v>3</v>
      </c>
      <c r="D738" s="231">
        <f t="shared" si="67"/>
        <v>44654</v>
      </c>
      <c r="E738" s="233">
        <f t="shared" ref="E738:E743" si="69">DATE(A738,B738,C738)</f>
        <v>44654</v>
      </c>
      <c r="F738" s="478" t="s">
        <v>1115</v>
      </c>
      <c r="G738" s="222" t="s">
        <v>1111</v>
      </c>
      <c r="H738" s="223" t="str" cm="1">
        <f t="array" ref="H738">IFERROR(INDEX(INVESTOR_LIST[INVESTOR NAME],MATCH(I738,INVESTOR_LIST[INVESTOR CODE],0),)," ")</f>
        <v>M.A. MALEK SIDDIQUE WALI &amp; CO.</v>
      </c>
      <c r="I738" s="223" t="s">
        <v>823</v>
      </c>
      <c r="J738" s="224" t="s">
        <v>14</v>
      </c>
      <c r="K738" s="225">
        <v>300000</v>
      </c>
      <c r="L738" s="225"/>
    </row>
    <row r="739" spans="1:14" ht="11.25" customHeight="1" x14ac:dyDescent="0.2">
      <c r="A739" s="164">
        <v>2022</v>
      </c>
      <c r="B739" s="164">
        <v>4</v>
      </c>
      <c r="C739" s="164">
        <v>3</v>
      </c>
      <c r="D739" s="156">
        <f t="shared" si="67"/>
        <v>44654</v>
      </c>
      <c r="E739" s="235">
        <f t="shared" si="69"/>
        <v>44654</v>
      </c>
      <c r="F739" s="480"/>
      <c r="G739" s="208" t="s">
        <v>1111</v>
      </c>
      <c r="H739" s="206" t="str" cm="1">
        <f t="array" ref="H739">IFERROR(INDEX(INVESTOR_LIST[INVESTOR NAME],MATCH(I739,INVESTOR_LIST[INVESTOR CODE],0),)," ")</f>
        <v>M.A. MALEK SIDDIQUE WALI &amp; CO.</v>
      </c>
      <c r="I739" s="206" t="s">
        <v>823</v>
      </c>
      <c r="J739" s="165" t="s">
        <v>1112</v>
      </c>
      <c r="K739" s="205"/>
      <c r="L739" s="205">
        <v>1200</v>
      </c>
    </row>
    <row r="740" spans="1:14" ht="11.25" customHeight="1" x14ac:dyDescent="0.2">
      <c r="A740" s="226">
        <v>2022</v>
      </c>
      <c r="B740" s="226">
        <v>4</v>
      </c>
      <c r="C740" s="226">
        <v>3</v>
      </c>
      <c r="D740" s="232">
        <f t="shared" si="67"/>
        <v>44654</v>
      </c>
      <c r="E740" s="234">
        <f t="shared" si="69"/>
        <v>44654</v>
      </c>
      <c r="F740" s="479"/>
      <c r="G740" s="227" t="s">
        <v>1111</v>
      </c>
      <c r="H740" s="228" t="str" cm="1">
        <f t="array" ref="H740">IFERROR(INDEX(INVESTOR_LIST[INVESTOR NAME],MATCH(I740,INVESTOR_LIST[INVESTOR CODE],0),)," ")</f>
        <v>M.A. MALEK SIDDIQUE WALI &amp; CO.</v>
      </c>
      <c r="I740" s="228" t="s">
        <v>823</v>
      </c>
      <c r="J740" s="229" t="s">
        <v>55</v>
      </c>
      <c r="K740" s="230"/>
      <c r="L740" s="230">
        <v>298800</v>
      </c>
      <c r="N740" s="166">
        <f>K741/9.96</f>
        <v>3714.8594377510035</v>
      </c>
    </row>
    <row r="741" spans="1:14" ht="11.25" customHeight="1" x14ac:dyDescent="0.2">
      <c r="A741" s="221">
        <v>2022</v>
      </c>
      <c r="B741" s="221">
        <v>4</v>
      </c>
      <c r="C741" s="221">
        <v>3</v>
      </c>
      <c r="D741" s="231">
        <f t="shared" si="67"/>
        <v>44654</v>
      </c>
      <c r="E741" s="233">
        <f t="shared" si="69"/>
        <v>44654</v>
      </c>
      <c r="F741" s="478" t="s">
        <v>802</v>
      </c>
      <c r="G741" s="222" t="s">
        <v>1111</v>
      </c>
      <c r="H741" s="223" t="str" cm="1">
        <f t="array" ref="H741">IFERROR(INDEX(INVESTOR_LIST[INVESTOR NAME],MATCH(I741,INVESTOR_LIST[INVESTOR CODE],0),)," ")</f>
        <v>MD MIZANUR RAHMAN</v>
      </c>
      <c r="I741" s="223" t="s">
        <v>431</v>
      </c>
      <c r="J741" s="224" t="s">
        <v>55</v>
      </c>
      <c r="K741" s="225">
        <v>37000</v>
      </c>
      <c r="L741" s="225"/>
      <c r="N741" s="263"/>
    </row>
    <row r="742" spans="1:14" ht="11.25" customHeight="1" x14ac:dyDescent="0.2">
      <c r="A742" s="164">
        <v>2022</v>
      </c>
      <c r="B742" s="164">
        <v>4</v>
      </c>
      <c r="C742" s="164">
        <v>3</v>
      </c>
      <c r="D742" s="156">
        <f t="shared" si="67"/>
        <v>44654</v>
      </c>
      <c r="E742" s="235">
        <f t="shared" si="69"/>
        <v>44654</v>
      </c>
      <c r="F742" s="480"/>
      <c r="G742" s="208" t="s">
        <v>1111</v>
      </c>
      <c r="H742" s="206" t="str" cm="1">
        <f t="array" ref="H742">IFERROR(INDEX(INVESTOR_LIST[INVESTOR NAME],MATCH(I742,INVESTOR_LIST[INVESTOR CODE],0),)," ")</f>
        <v>MD MIZANUR RAHMAN</v>
      </c>
      <c r="I742" s="206" t="s">
        <v>431</v>
      </c>
      <c r="J742" s="165" t="s">
        <v>1112</v>
      </c>
      <c r="K742" s="205">
        <v>150</v>
      </c>
      <c r="L742" s="205"/>
    </row>
    <row r="743" spans="1:14" ht="11.25" customHeight="1" x14ac:dyDescent="0.2">
      <c r="A743" s="226">
        <v>2022</v>
      </c>
      <c r="B743" s="226">
        <v>4</v>
      </c>
      <c r="C743" s="226">
        <v>3</v>
      </c>
      <c r="D743" s="232">
        <f t="shared" si="67"/>
        <v>44654</v>
      </c>
      <c r="E743" s="234">
        <f t="shared" si="69"/>
        <v>44654</v>
      </c>
      <c r="F743" s="479"/>
      <c r="G743" s="227" t="s">
        <v>1111</v>
      </c>
      <c r="H743" s="228" t="str" cm="1">
        <f t="array" ref="H743">IFERROR(INDEX(INVESTOR_LIST[INVESTOR NAME],MATCH(I743,INVESTOR_LIST[INVESTOR CODE],0),)," ")</f>
        <v>MD MIZANUR RAHMAN</v>
      </c>
      <c r="I743" s="228" t="s">
        <v>431</v>
      </c>
      <c r="J743" s="229" t="s">
        <v>14</v>
      </c>
      <c r="K743" s="230"/>
      <c r="L743" s="230">
        <v>37150</v>
      </c>
      <c r="N743" s="263"/>
    </row>
    <row r="744" spans="1:14" ht="11.25" customHeight="1" x14ac:dyDescent="0.2">
      <c r="A744" s="221">
        <v>2022</v>
      </c>
      <c r="B744" s="221">
        <v>4</v>
      </c>
      <c r="C744" s="221">
        <v>3</v>
      </c>
      <c r="D744" s="231">
        <f t="shared" si="67"/>
        <v>44654</v>
      </c>
      <c r="E744" s="233">
        <f t="shared" ref="E744:E746" si="70">DATE(A744,B744,C744)</f>
        <v>44654</v>
      </c>
      <c r="F744" s="478" t="s">
        <v>802</v>
      </c>
      <c r="G744" s="222" t="s">
        <v>1111</v>
      </c>
      <c r="H744" s="223" t="str" cm="1">
        <f t="array" ref="H744">IFERROR(INDEX(INVESTOR_LIST[INVESTOR NAME],MATCH(I744,INVESTOR_LIST[INVESTOR CODE],0),)," ")</f>
        <v>ANIK KUMAR GUPTA</v>
      </c>
      <c r="I744" s="223" t="s">
        <v>950</v>
      </c>
      <c r="J744" s="224" t="s">
        <v>55</v>
      </c>
      <c r="K744" s="225">
        <v>5000</v>
      </c>
      <c r="L744" s="225"/>
      <c r="N744" s="166">
        <f>K744/9.96</f>
        <v>502.008032128514</v>
      </c>
    </row>
    <row r="745" spans="1:14" ht="11.25" customHeight="1" x14ac:dyDescent="0.2">
      <c r="A745" s="164">
        <v>2022</v>
      </c>
      <c r="B745" s="164">
        <v>4</v>
      </c>
      <c r="C745" s="164">
        <v>3</v>
      </c>
      <c r="D745" s="156">
        <f t="shared" si="67"/>
        <v>44654</v>
      </c>
      <c r="E745" s="235">
        <f t="shared" si="70"/>
        <v>44654</v>
      </c>
      <c r="F745" s="480"/>
      <c r="G745" s="208" t="s">
        <v>1111</v>
      </c>
      <c r="H745" s="206" t="str" cm="1">
        <f t="array" ref="H745">IFERROR(INDEX(INVESTOR_LIST[INVESTOR NAME],MATCH(I745,INVESTOR_LIST[INVESTOR CODE],0),)," ")</f>
        <v>ANIK KUMAR GUPTA</v>
      </c>
      <c r="I745" s="206" t="s">
        <v>950</v>
      </c>
      <c r="J745" s="165" t="s">
        <v>1112</v>
      </c>
      <c r="K745" s="205">
        <v>20</v>
      </c>
      <c r="L745" s="205"/>
    </row>
    <row r="746" spans="1:14" ht="11.25" customHeight="1" x14ac:dyDescent="0.2">
      <c r="A746" s="226">
        <v>2022</v>
      </c>
      <c r="B746" s="226">
        <v>4</v>
      </c>
      <c r="C746" s="226">
        <v>3</v>
      </c>
      <c r="D746" s="232">
        <f t="shared" si="67"/>
        <v>44654</v>
      </c>
      <c r="E746" s="234">
        <f t="shared" si="70"/>
        <v>44654</v>
      </c>
      <c r="F746" s="479"/>
      <c r="G746" s="227" t="s">
        <v>1111</v>
      </c>
      <c r="H746" s="228" t="str" cm="1">
        <f t="array" ref="H746">IFERROR(INDEX(INVESTOR_LIST[INVESTOR NAME],MATCH(I746,INVESTOR_LIST[INVESTOR CODE],0),)," ")</f>
        <v>ANIK KUMAR GUPTA</v>
      </c>
      <c r="I746" s="228" t="s">
        <v>950</v>
      </c>
      <c r="J746" s="229" t="s">
        <v>14</v>
      </c>
      <c r="K746" s="230"/>
      <c r="L746" s="230">
        <v>5020</v>
      </c>
    </row>
    <row r="747" spans="1:14" ht="11.25" customHeight="1" x14ac:dyDescent="0.2">
      <c r="A747" s="221">
        <v>2022</v>
      </c>
      <c r="B747" s="221">
        <v>4</v>
      </c>
      <c r="C747" s="221">
        <v>4</v>
      </c>
      <c r="D747" s="221">
        <f t="shared" si="67"/>
        <v>44655</v>
      </c>
      <c r="E747" s="233">
        <f t="shared" si="68"/>
        <v>44655</v>
      </c>
      <c r="F747" s="478" t="s">
        <v>1135</v>
      </c>
      <c r="G747" s="222" t="s">
        <v>86</v>
      </c>
      <c r="H747" s="222" t="str" cm="1">
        <f t="array" ref="H747">IFERROR(INDEX(INVESTOR_LIST[INVESTOR NAME],MATCH(I747,INVESTOR_LIST[INVESTOR CODE],0),)," ")</f>
        <v xml:space="preserve"> </v>
      </c>
      <c r="I747" s="223"/>
      <c r="J747" s="224" t="s">
        <v>199</v>
      </c>
      <c r="K747" s="225">
        <v>982322.83</v>
      </c>
      <c r="L747" s="225"/>
    </row>
    <row r="748" spans="1:14" ht="11.25" customHeight="1" x14ac:dyDescent="0.2">
      <c r="A748" s="164">
        <v>2022</v>
      </c>
      <c r="B748" s="164">
        <v>4</v>
      </c>
      <c r="C748" s="164">
        <v>4</v>
      </c>
      <c r="D748" s="164">
        <f t="shared" si="67"/>
        <v>44655</v>
      </c>
      <c r="E748" s="235">
        <f t="shared" si="68"/>
        <v>44655</v>
      </c>
      <c r="F748" s="480"/>
      <c r="G748" s="208" t="s">
        <v>86</v>
      </c>
      <c r="H748" s="208"/>
      <c r="J748" s="165" t="s">
        <v>960</v>
      </c>
      <c r="K748" s="205">
        <v>1771.37</v>
      </c>
      <c r="L748" s="205"/>
    </row>
    <row r="749" spans="1:14" ht="11.25" customHeight="1" x14ac:dyDescent="0.2">
      <c r="A749" s="164">
        <v>2022</v>
      </c>
      <c r="B749" s="164">
        <v>4</v>
      </c>
      <c r="C749" s="164">
        <v>4</v>
      </c>
      <c r="D749" s="164">
        <f t="shared" si="67"/>
        <v>44655</v>
      </c>
      <c r="E749" s="235">
        <f t="shared" si="68"/>
        <v>44655</v>
      </c>
      <c r="F749" s="480"/>
      <c r="G749" s="208" t="s">
        <v>86</v>
      </c>
      <c r="H749" s="208" t="str" cm="1">
        <f t="array" ref="H749">IFERROR(INDEX(INVESTOR_LIST[INVESTOR NAME],MATCH(I749,INVESTOR_LIST[INVESTOR CODE],0),)," ")</f>
        <v xml:space="preserve"> </v>
      </c>
      <c r="J749" s="165" t="s">
        <v>200</v>
      </c>
      <c r="K749" s="205"/>
      <c r="L749" s="205">
        <v>2951.31</v>
      </c>
    </row>
    <row r="750" spans="1:14" ht="11.25" customHeight="1" x14ac:dyDescent="0.2">
      <c r="A750" s="226">
        <v>2022</v>
      </c>
      <c r="B750" s="226">
        <v>4</v>
      </c>
      <c r="C750" s="226">
        <v>4</v>
      </c>
      <c r="D750" s="226">
        <f t="shared" si="67"/>
        <v>44655</v>
      </c>
      <c r="E750" s="234">
        <f t="shared" si="68"/>
        <v>44655</v>
      </c>
      <c r="F750" s="479"/>
      <c r="G750" s="227" t="s">
        <v>86</v>
      </c>
      <c r="H750" s="228" t="str" cm="1">
        <f t="array" ref="H750">IFERROR(INDEX(INVESTOR_LIST[INVESTOR NAME],MATCH(I750,INVESTOR_LIST[INVESTOR CODE],0),)," ")</f>
        <v xml:space="preserve"> </v>
      </c>
      <c r="I750" s="228"/>
      <c r="J750" s="229" t="s">
        <v>80</v>
      </c>
      <c r="K750" s="230"/>
      <c r="L750" s="230">
        <v>981142.89</v>
      </c>
    </row>
    <row r="751" spans="1:14" ht="11.25" customHeight="1" x14ac:dyDescent="0.2">
      <c r="A751" s="221">
        <v>2022</v>
      </c>
      <c r="B751" s="221">
        <v>4</v>
      </c>
      <c r="C751" s="221">
        <v>5</v>
      </c>
      <c r="D751" s="221">
        <f t="shared" si="67"/>
        <v>44656</v>
      </c>
      <c r="E751" s="233">
        <f t="shared" si="68"/>
        <v>44656</v>
      </c>
      <c r="F751" s="478" t="s">
        <v>1136</v>
      </c>
      <c r="G751" s="222" t="s">
        <v>86</v>
      </c>
      <c r="H751" s="222" t="str" cm="1">
        <f t="array" ref="H751">IFERROR(INDEX(INVESTOR_LIST[INVESTOR NAME],MATCH(I751,INVESTOR_LIST[INVESTOR CODE],0),)," ")</f>
        <v xml:space="preserve"> </v>
      </c>
      <c r="I751" s="223"/>
      <c r="J751" s="224" t="s">
        <v>199</v>
      </c>
      <c r="K751" s="225">
        <v>998200</v>
      </c>
      <c r="L751" s="225"/>
    </row>
    <row r="752" spans="1:14" ht="11.25" customHeight="1" x14ac:dyDescent="0.2">
      <c r="A752" s="164">
        <v>2022</v>
      </c>
      <c r="B752" s="164">
        <v>4</v>
      </c>
      <c r="C752" s="164">
        <v>5</v>
      </c>
      <c r="D752" s="164">
        <f t="shared" si="67"/>
        <v>44656</v>
      </c>
      <c r="E752" s="235">
        <f t="shared" si="68"/>
        <v>44656</v>
      </c>
      <c r="F752" s="480"/>
      <c r="G752" s="208" t="s">
        <v>86</v>
      </c>
      <c r="H752" s="208"/>
      <c r="J752" s="165" t="s">
        <v>960</v>
      </c>
      <c r="K752" s="205">
        <v>1800</v>
      </c>
      <c r="L752" s="205"/>
    </row>
    <row r="753" spans="1:13" ht="11.25" customHeight="1" x14ac:dyDescent="0.2">
      <c r="A753" s="164">
        <v>2022</v>
      </c>
      <c r="B753" s="164">
        <v>4</v>
      </c>
      <c r="C753" s="164">
        <v>5</v>
      </c>
      <c r="D753" s="164">
        <f t="shared" si="67"/>
        <v>44656</v>
      </c>
      <c r="E753" s="235">
        <f t="shared" si="68"/>
        <v>44656</v>
      </c>
      <c r="F753" s="480"/>
      <c r="G753" s="208" t="s">
        <v>86</v>
      </c>
      <c r="H753" s="208" t="str" cm="1">
        <f t="array" ref="H753">IFERROR(INDEX(INVESTOR_LIST[INVESTOR NAME],MATCH(I753,INVESTOR_LIST[INVESTOR CODE],0),)," ")</f>
        <v xml:space="preserve"> </v>
      </c>
      <c r="J753" s="165" t="s">
        <v>200</v>
      </c>
      <c r="K753" s="205"/>
      <c r="L753" s="205">
        <v>521813.85</v>
      </c>
    </row>
    <row r="754" spans="1:13" ht="11.25" customHeight="1" x14ac:dyDescent="0.2">
      <c r="A754" s="226">
        <v>2022</v>
      </c>
      <c r="B754" s="226">
        <v>4</v>
      </c>
      <c r="C754" s="226">
        <v>5</v>
      </c>
      <c r="D754" s="226">
        <f t="shared" si="67"/>
        <v>44656</v>
      </c>
      <c r="E754" s="234">
        <f t="shared" si="68"/>
        <v>44656</v>
      </c>
      <c r="F754" s="479"/>
      <c r="G754" s="227" t="s">
        <v>86</v>
      </c>
      <c r="H754" s="228" t="str" cm="1">
        <f t="array" ref="H754">IFERROR(INDEX(INVESTOR_LIST[INVESTOR NAME],MATCH(I754,INVESTOR_LIST[INVESTOR CODE],0),)," ")</f>
        <v xml:space="preserve"> </v>
      </c>
      <c r="I754" s="228"/>
      <c r="J754" s="229" t="s">
        <v>80</v>
      </c>
      <c r="K754" s="230"/>
      <c r="L754" s="230">
        <v>478186.15</v>
      </c>
    </row>
    <row r="755" spans="1:13" ht="11.25" customHeight="1" x14ac:dyDescent="0.2">
      <c r="A755" s="221">
        <v>2022</v>
      </c>
      <c r="B755" s="221">
        <v>4</v>
      </c>
      <c r="C755" s="221">
        <v>5</v>
      </c>
      <c r="D755" s="221">
        <f t="shared" si="67"/>
        <v>44656</v>
      </c>
      <c r="E755" s="233">
        <f t="shared" ref="E755:E759" si="71">DATE(A755,B755,C755)</f>
        <v>44656</v>
      </c>
      <c r="F755" s="478" t="s">
        <v>1135</v>
      </c>
      <c r="G755" s="222" t="s">
        <v>86</v>
      </c>
      <c r="H755" s="222" t="str" cm="1">
        <f t="array" ref="H755">IFERROR(INDEX(INVESTOR_LIST[INVESTOR NAME],MATCH(I755,INVESTOR_LIST[INVESTOR CODE],0),)," ")</f>
        <v xml:space="preserve"> </v>
      </c>
      <c r="I755" s="223"/>
      <c r="J755" s="224" t="s">
        <v>80</v>
      </c>
      <c r="K755" s="225">
        <v>1039950</v>
      </c>
      <c r="L755" s="225"/>
    </row>
    <row r="756" spans="1:13" ht="11.25" customHeight="1" x14ac:dyDescent="0.2">
      <c r="A756" s="164">
        <v>2022</v>
      </c>
      <c r="B756" s="164">
        <v>4</v>
      </c>
      <c r="C756" s="164">
        <v>5</v>
      </c>
      <c r="D756" s="164">
        <f t="shared" si="67"/>
        <v>44656</v>
      </c>
      <c r="E756" s="235">
        <f t="shared" si="71"/>
        <v>44656</v>
      </c>
      <c r="F756" s="480"/>
      <c r="G756" s="208" t="s">
        <v>86</v>
      </c>
      <c r="H756" s="208"/>
      <c r="J756" s="165" t="s">
        <v>960</v>
      </c>
      <c r="K756" s="205">
        <v>3654.54</v>
      </c>
      <c r="L756" s="205"/>
    </row>
    <row r="757" spans="1:13" ht="11.25" customHeight="1" x14ac:dyDescent="0.2">
      <c r="A757" s="164">
        <v>2022</v>
      </c>
      <c r="B757" s="164">
        <v>4</v>
      </c>
      <c r="C757" s="164">
        <v>5</v>
      </c>
      <c r="D757" s="164">
        <f t="shared" si="67"/>
        <v>44656</v>
      </c>
      <c r="E757" s="235">
        <f t="shared" ref="E757" si="72">DATE(A757,B757,C757)</f>
        <v>44656</v>
      </c>
      <c r="F757" s="480"/>
      <c r="G757" s="208" t="s">
        <v>86</v>
      </c>
      <c r="H757" s="208"/>
      <c r="J757" s="165" t="s">
        <v>961</v>
      </c>
      <c r="K757" s="205"/>
      <c r="L757" s="205">
        <v>53254.14</v>
      </c>
    </row>
    <row r="758" spans="1:13" ht="11.25" customHeight="1" x14ac:dyDescent="0.2">
      <c r="A758" s="164">
        <v>2022</v>
      </c>
      <c r="B758" s="164">
        <v>4</v>
      </c>
      <c r="C758" s="164">
        <v>5</v>
      </c>
      <c r="D758" s="164">
        <f t="shared" si="67"/>
        <v>44656</v>
      </c>
      <c r="E758" s="235">
        <f t="shared" si="71"/>
        <v>44656</v>
      </c>
      <c r="F758" s="480"/>
      <c r="G758" s="208" t="s">
        <v>86</v>
      </c>
      <c r="H758" s="208" t="str" cm="1">
        <f t="array" ref="H758">IFERROR(INDEX(INVESTOR_LIST[INVESTOR NAME],MATCH(I758,INVESTOR_LIST[INVESTOR CODE],0),)," ")</f>
        <v xml:space="preserve"> </v>
      </c>
      <c r="J758" s="165" t="s">
        <v>200</v>
      </c>
      <c r="K758" s="205"/>
      <c r="L758" s="205">
        <v>512164.25</v>
      </c>
    </row>
    <row r="759" spans="1:13" ht="11.25" customHeight="1" x14ac:dyDescent="0.2">
      <c r="A759" s="226">
        <v>2022</v>
      </c>
      <c r="B759" s="226">
        <v>4</v>
      </c>
      <c r="C759" s="226">
        <v>5</v>
      </c>
      <c r="D759" s="226">
        <f t="shared" si="67"/>
        <v>44656</v>
      </c>
      <c r="E759" s="234">
        <f t="shared" si="71"/>
        <v>44656</v>
      </c>
      <c r="F759" s="479"/>
      <c r="G759" s="227" t="s">
        <v>86</v>
      </c>
      <c r="H759" s="228" t="str" cm="1">
        <f t="array" ref="H759">IFERROR(INDEX(INVESTOR_LIST[INVESTOR NAME],MATCH(I759,INVESTOR_LIST[INVESTOR CODE],0),)," ")</f>
        <v xml:space="preserve"> </v>
      </c>
      <c r="I759" s="228"/>
      <c r="J759" s="229" t="s">
        <v>80</v>
      </c>
      <c r="K759" s="230"/>
      <c r="L759" s="230">
        <v>478186.15</v>
      </c>
    </row>
    <row r="760" spans="1:13" ht="11.25" customHeight="1" x14ac:dyDescent="0.2">
      <c r="A760" s="221">
        <v>2022</v>
      </c>
      <c r="B760" s="221">
        <v>4</v>
      </c>
      <c r="C760" s="221">
        <v>5</v>
      </c>
      <c r="D760" s="221">
        <f t="shared" si="67"/>
        <v>44656</v>
      </c>
      <c r="E760" s="233">
        <f t="shared" ref="E760:E775" si="73">DATE(A760,B760,C760)</f>
        <v>44656</v>
      </c>
      <c r="F760" s="478" t="s">
        <v>1136</v>
      </c>
      <c r="G760" s="222" t="s">
        <v>86</v>
      </c>
      <c r="H760" s="222" t="str" cm="1">
        <f t="array" ref="H760">IFERROR(INDEX(INVESTOR_LIST[INVESTOR NAME],MATCH(I760,INVESTOR_LIST[INVESTOR CODE],0),)," ")</f>
        <v xml:space="preserve"> </v>
      </c>
      <c r="I760" s="223"/>
      <c r="J760" s="224" t="s">
        <v>80</v>
      </c>
      <c r="K760" s="225">
        <v>1045879.2</v>
      </c>
      <c r="L760" s="225"/>
    </row>
    <row r="761" spans="1:13" ht="11.25" customHeight="1" x14ac:dyDescent="0.2">
      <c r="A761" s="164">
        <v>2022</v>
      </c>
      <c r="B761" s="164">
        <v>4</v>
      </c>
      <c r="C761" s="164">
        <v>5</v>
      </c>
      <c r="D761" s="164">
        <f t="shared" si="67"/>
        <v>44656</v>
      </c>
      <c r="E761" s="235">
        <f t="shared" si="73"/>
        <v>44656</v>
      </c>
      <c r="F761" s="480"/>
      <c r="G761" s="208" t="s">
        <v>86</v>
      </c>
      <c r="H761" s="208"/>
      <c r="J761" s="165" t="s">
        <v>960</v>
      </c>
      <c r="K761" s="205">
        <v>1882.58</v>
      </c>
      <c r="L761" s="205"/>
      <c r="M761" s="166"/>
    </row>
    <row r="762" spans="1:13" ht="11.25" customHeight="1" x14ac:dyDescent="0.2">
      <c r="A762" s="226">
        <v>2022</v>
      </c>
      <c r="B762" s="226">
        <v>4</v>
      </c>
      <c r="C762" s="226">
        <v>5</v>
      </c>
      <c r="D762" s="226">
        <f t="shared" si="67"/>
        <v>44656</v>
      </c>
      <c r="E762" s="234">
        <f t="shared" si="73"/>
        <v>44656</v>
      </c>
      <c r="F762" s="479"/>
      <c r="G762" s="227" t="s">
        <v>86</v>
      </c>
      <c r="H762" s="228" t="str" cm="1">
        <f t="array" ref="H762">IFERROR(INDEX(INVESTOR_LIST[INVESTOR NAME],MATCH(I762,INVESTOR_LIST[INVESTOR CODE],0),)," ")</f>
        <v xml:space="preserve"> </v>
      </c>
      <c r="I762" s="228"/>
      <c r="J762" s="229" t="s">
        <v>961</v>
      </c>
      <c r="K762" s="230"/>
      <c r="L762" s="230">
        <v>1047761.78</v>
      </c>
    </row>
    <row r="763" spans="1:13" ht="11.25" customHeight="1" x14ac:dyDescent="0.2">
      <c r="A763" s="221">
        <v>2022</v>
      </c>
      <c r="B763" s="221">
        <v>4</v>
      </c>
      <c r="C763" s="221">
        <v>6</v>
      </c>
      <c r="D763" s="231">
        <f t="shared" si="67"/>
        <v>44657</v>
      </c>
      <c r="E763" s="233">
        <f t="shared" ref="E763:E768" si="74">DATE(A763,B763,C763)</f>
        <v>44657</v>
      </c>
      <c r="F763" s="478" t="s">
        <v>1137</v>
      </c>
      <c r="G763" s="222" t="s">
        <v>1111</v>
      </c>
      <c r="H763" s="223" t="str" cm="1">
        <f t="array" ref="H763">IFERROR(INDEX(INVESTOR_LIST[INVESTOR NAME],MATCH(I763,INVESTOR_LIST[INVESTOR CODE],0),)," ")</f>
        <v xml:space="preserve"> </v>
      </c>
      <c r="I763" s="223"/>
      <c r="J763" s="224" t="s">
        <v>961</v>
      </c>
      <c r="K763" s="225">
        <v>53254.14</v>
      </c>
      <c r="L763" s="225"/>
    </row>
    <row r="764" spans="1:13" ht="11.25" customHeight="1" x14ac:dyDescent="0.2">
      <c r="A764" s="226">
        <v>2022</v>
      </c>
      <c r="B764" s="226">
        <v>4</v>
      </c>
      <c r="C764" s="226">
        <v>6</v>
      </c>
      <c r="D764" s="232">
        <f t="shared" si="67"/>
        <v>44657</v>
      </c>
      <c r="E764" s="234">
        <f t="shared" si="74"/>
        <v>44657</v>
      </c>
      <c r="F764" s="479"/>
      <c r="G764" s="227" t="s">
        <v>1111</v>
      </c>
      <c r="H764" s="228" t="str" cm="1">
        <f t="array" ref="H764">IFERROR(INDEX(INVESTOR_LIST[INVESTOR NAME],MATCH(I764,INVESTOR_LIST[INVESTOR CODE],0),)," ")</f>
        <v xml:space="preserve"> </v>
      </c>
      <c r="I764" s="228"/>
      <c r="J764" s="229" t="s">
        <v>55</v>
      </c>
      <c r="K764" s="230"/>
      <c r="L764" s="230">
        <v>53254.14</v>
      </c>
    </row>
    <row r="765" spans="1:13" ht="11.25" customHeight="1" x14ac:dyDescent="0.2">
      <c r="A765" s="221">
        <v>2022</v>
      </c>
      <c r="B765" s="221">
        <v>4</v>
      </c>
      <c r="C765" s="221">
        <v>6</v>
      </c>
      <c r="D765" s="231">
        <f t="shared" si="67"/>
        <v>44657</v>
      </c>
      <c r="E765" s="233">
        <f t="shared" si="74"/>
        <v>44657</v>
      </c>
      <c r="F765" s="478" t="s">
        <v>1168</v>
      </c>
      <c r="G765" s="222" t="s">
        <v>1111</v>
      </c>
      <c r="H765" s="223" t="str" cm="1">
        <f t="array" ref="H765">IFERROR(INDEX(INVESTOR_LIST[INVESTOR NAME],MATCH(I765,INVESTOR_LIST[INVESTOR CODE],0),)," ")</f>
        <v xml:space="preserve"> </v>
      </c>
      <c r="I765" s="223"/>
      <c r="J765" s="224" t="s">
        <v>55</v>
      </c>
      <c r="K765" s="225">
        <v>998200</v>
      </c>
      <c r="L765" s="225"/>
    </row>
    <row r="766" spans="1:13" ht="11.25" customHeight="1" x14ac:dyDescent="0.2">
      <c r="A766" s="226">
        <v>2022</v>
      </c>
      <c r="B766" s="226">
        <v>4</v>
      </c>
      <c r="C766" s="226">
        <v>6</v>
      </c>
      <c r="D766" s="232">
        <f t="shared" si="67"/>
        <v>44657</v>
      </c>
      <c r="E766" s="234">
        <f t="shared" si="74"/>
        <v>44657</v>
      </c>
      <c r="F766" s="479"/>
      <c r="G766" s="227" t="s">
        <v>1111</v>
      </c>
      <c r="H766" s="228" t="str" cm="1">
        <f t="array" ref="H766">IFERROR(INDEX(INVESTOR_LIST[INVESTOR NAME],MATCH(I766,INVESTOR_LIST[INVESTOR CODE],0),)," ")</f>
        <v xml:space="preserve"> </v>
      </c>
      <c r="I766" s="228"/>
      <c r="J766" s="229" t="s">
        <v>199</v>
      </c>
      <c r="K766" s="230"/>
      <c r="L766" s="230">
        <v>998200</v>
      </c>
    </row>
    <row r="767" spans="1:13" ht="11.25" customHeight="1" x14ac:dyDescent="0.2">
      <c r="A767" s="221">
        <v>2022</v>
      </c>
      <c r="B767" s="221">
        <v>4</v>
      </c>
      <c r="C767" s="221">
        <v>6</v>
      </c>
      <c r="D767" s="231">
        <f t="shared" si="67"/>
        <v>44657</v>
      </c>
      <c r="E767" s="233">
        <f t="shared" si="74"/>
        <v>44657</v>
      </c>
      <c r="F767" s="478" t="s">
        <v>1130</v>
      </c>
      <c r="G767" s="222" t="s">
        <v>1111</v>
      </c>
      <c r="H767" s="223" t="str" cm="1">
        <f t="array" ref="H767">IFERROR(INDEX(INVESTOR_LIST[INVESTOR NAME],MATCH(I767,INVESTOR_LIST[INVESTOR CODE],0),)," ")</f>
        <v xml:space="preserve"> </v>
      </c>
      <c r="I767" s="223"/>
      <c r="J767" s="224" t="s">
        <v>961</v>
      </c>
      <c r="K767" s="225">
        <v>1047761.78</v>
      </c>
      <c r="L767" s="225"/>
    </row>
    <row r="768" spans="1:13" ht="11.25" customHeight="1" x14ac:dyDescent="0.2">
      <c r="A768" s="226">
        <v>2022</v>
      </c>
      <c r="B768" s="226">
        <v>4</v>
      </c>
      <c r="C768" s="226">
        <v>6</v>
      </c>
      <c r="D768" s="232">
        <f t="shared" si="67"/>
        <v>44657</v>
      </c>
      <c r="E768" s="234">
        <f t="shared" si="74"/>
        <v>44657</v>
      </c>
      <c r="F768" s="479"/>
      <c r="G768" s="227" t="s">
        <v>1111</v>
      </c>
      <c r="H768" s="228" t="str" cm="1">
        <f t="array" ref="H768">IFERROR(INDEX(INVESTOR_LIST[INVESTOR NAME],MATCH(I768,INVESTOR_LIST[INVESTOR CODE],0),)," ")</f>
        <v xml:space="preserve"> </v>
      </c>
      <c r="I768" s="228"/>
      <c r="J768" s="229" t="s">
        <v>55</v>
      </c>
      <c r="K768" s="230"/>
      <c r="L768" s="230">
        <v>1047761.78</v>
      </c>
    </row>
    <row r="769" spans="1:13" ht="11.25" customHeight="1" x14ac:dyDescent="0.2">
      <c r="A769" s="221">
        <v>2022</v>
      </c>
      <c r="B769" s="221">
        <v>4</v>
      </c>
      <c r="C769" s="221">
        <v>6</v>
      </c>
      <c r="D769" s="231">
        <f t="shared" si="67"/>
        <v>44657</v>
      </c>
      <c r="E769" s="233">
        <f t="shared" si="73"/>
        <v>44657</v>
      </c>
      <c r="F769" s="478" t="s">
        <v>1167</v>
      </c>
      <c r="G769" s="222" t="s">
        <v>1111</v>
      </c>
      <c r="H769" s="223" t="str" cm="1">
        <f t="array" ref="H769">IFERROR(INDEX(INVESTOR_LIST[INVESTOR NAME],MATCH(I769,INVESTOR_LIST[INVESTOR CODE],0),)," ")</f>
        <v xml:space="preserve"> </v>
      </c>
      <c r="I769" s="223"/>
      <c r="J769" s="224" t="s">
        <v>192</v>
      </c>
      <c r="K769" s="225">
        <v>315000</v>
      </c>
      <c r="L769" s="225" t="s">
        <v>1119</v>
      </c>
    </row>
    <row r="770" spans="1:13" ht="11.25" customHeight="1" x14ac:dyDescent="0.2">
      <c r="A770" s="226">
        <v>2022</v>
      </c>
      <c r="B770" s="226">
        <v>4</v>
      </c>
      <c r="C770" s="226">
        <v>6</v>
      </c>
      <c r="D770" s="232">
        <f t="shared" si="67"/>
        <v>44657</v>
      </c>
      <c r="E770" s="234">
        <f t="shared" si="73"/>
        <v>44657</v>
      </c>
      <c r="F770" s="479"/>
      <c r="G770" s="227" t="s">
        <v>1111</v>
      </c>
      <c r="H770" s="228" t="str" cm="1">
        <f t="array" ref="H770">IFERROR(INDEX(INVESTOR_LIST[INVESTOR NAME],MATCH(I770,INVESTOR_LIST[INVESTOR CODE],0),)," ")</f>
        <v xml:space="preserve"> </v>
      </c>
      <c r="I770" s="228"/>
      <c r="J770" s="229" t="s">
        <v>191</v>
      </c>
      <c r="K770" s="230" t="s">
        <v>1119</v>
      </c>
      <c r="L770" s="230">
        <v>315000</v>
      </c>
    </row>
    <row r="771" spans="1:13" ht="11.25" customHeight="1" x14ac:dyDescent="0.2">
      <c r="A771" s="221">
        <v>2022</v>
      </c>
      <c r="B771" s="221">
        <v>4</v>
      </c>
      <c r="C771" s="221">
        <v>6</v>
      </c>
      <c r="D771" s="231">
        <f t="shared" si="67"/>
        <v>44657</v>
      </c>
      <c r="E771" s="233">
        <f>DATE(A771,B771,C771)</f>
        <v>44657</v>
      </c>
      <c r="F771" s="478" t="s">
        <v>1164</v>
      </c>
      <c r="G771" s="222" t="s">
        <v>1111</v>
      </c>
      <c r="H771" s="223" t="str" cm="1">
        <f t="array" ref="H771">IFERROR(INDEX(INVESTOR_LIST[INVESTOR NAME],MATCH(I771,INVESTOR_LIST[INVESTOR CODE],0),)," ")</f>
        <v xml:space="preserve"> </v>
      </c>
      <c r="I771" s="223"/>
      <c r="J771" s="224" t="s">
        <v>55</v>
      </c>
      <c r="K771" s="225">
        <v>982322.83</v>
      </c>
      <c r="L771" s="225"/>
      <c r="M771" s="166"/>
    </row>
    <row r="772" spans="1:13" ht="11.25" customHeight="1" x14ac:dyDescent="0.2">
      <c r="A772" s="226">
        <v>2022</v>
      </c>
      <c r="B772" s="226">
        <v>4</v>
      </c>
      <c r="C772" s="226">
        <v>6</v>
      </c>
      <c r="D772" s="232">
        <f t="shared" si="67"/>
        <v>44657</v>
      </c>
      <c r="E772" s="234">
        <f>DATE(A772,B772,C772)</f>
        <v>44657</v>
      </c>
      <c r="F772" s="479"/>
      <c r="G772" s="227" t="s">
        <v>1111</v>
      </c>
      <c r="H772" s="228" t="str" cm="1">
        <f t="array" ref="H772">IFERROR(INDEX(INVESTOR_LIST[INVESTOR NAME],MATCH(I772,INVESTOR_LIST[INVESTOR CODE],0),)," ")</f>
        <v xml:space="preserve"> </v>
      </c>
      <c r="I772" s="228"/>
      <c r="J772" s="229" t="s">
        <v>199</v>
      </c>
      <c r="K772" s="230"/>
      <c r="L772" s="230">
        <v>982322.83</v>
      </c>
    </row>
    <row r="773" spans="1:13" ht="11.25" customHeight="1" x14ac:dyDescent="0.2">
      <c r="A773" s="221">
        <v>2022</v>
      </c>
      <c r="B773" s="221">
        <v>4</v>
      </c>
      <c r="C773" s="221">
        <v>7</v>
      </c>
      <c r="D773" s="231">
        <f t="shared" si="67"/>
        <v>44658</v>
      </c>
      <c r="E773" s="233">
        <f t="shared" si="73"/>
        <v>44658</v>
      </c>
      <c r="F773" s="478" t="s">
        <v>1115</v>
      </c>
      <c r="G773" s="222" t="s">
        <v>1111</v>
      </c>
      <c r="H773" s="223" t="str" cm="1">
        <f t="array" ref="H773">IFERROR(INDEX(INVESTOR_LIST[INVESTOR NAME],MATCH(I773,INVESTOR_LIST[INVESTOR CODE],0),)," ")</f>
        <v>MD. IMRAN HOSSAIN</v>
      </c>
      <c r="I773" s="223" t="s">
        <v>853</v>
      </c>
      <c r="J773" s="224" t="s">
        <v>14</v>
      </c>
      <c r="K773" s="225">
        <v>50000</v>
      </c>
      <c r="L773" s="225"/>
    </row>
    <row r="774" spans="1:13" ht="11.25" customHeight="1" x14ac:dyDescent="0.2">
      <c r="A774" s="164">
        <v>2022</v>
      </c>
      <c r="B774" s="164">
        <v>4</v>
      </c>
      <c r="C774" s="164">
        <v>7</v>
      </c>
      <c r="D774" s="156">
        <f t="shared" si="67"/>
        <v>44658</v>
      </c>
      <c r="E774" s="235">
        <f t="shared" si="73"/>
        <v>44658</v>
      </c>
      <c r="F774" s="480"/>
      <c r="G774" s="208" t="s">
        <v>1111</v>
      </c>
      <c r="H774" s="206" t="str" cm="1">
        <f t="array" ref="H774">IFERROR(INDEX(INVESTOR_LIST[INVESTOR NAME],MATCH(I774,INVESTOR_LIST[INVESTOR CODE],0),)," ")</f>
        <v>MD. IMRAN HOSSAIN</v>
      </c>
      <c r="I774" s="206" t="s">
        <v>853</v>
      </c>
      <c r="J774" s="165" t="s">
        <v>1112</v>
      </c>
      <c r="K774" s="205"/>
      <c r="L774" s="205">
        <v>200</v>
      </c>
    </row>
    <row r="775" spans="1:13" ht="11.25" customHeight="1" x14ac:dyDescent="0.2">
      <c r="A775" s="226">
        <v>2022</v>
      </c>
      <c r="B775" s="226">
        <v>4</v>
      </c>
      <c r="C775" s="226">
        <v>7</v>
      </c>
      <c r="D775" s="232">
        <f t="shared" si="67"/>
        <v>44658</v>
      </c>
      <c r="E775" s="234">
        <f t="shared" si="73"/>
        <v>44658</v>
      </c>
      <c r="F775" s="479"/>
      <c r="G775" s="227" t="s">
        <v>1111</v>
      </c>
      <c r="H775" s="228" t="str" cm="1">
        <f t="array" ref="H775">IFERROR(INDEX(INVESTOR_LIST[INVESTOR NAME],MATCH(I775,INVESTOR_LIST[INVESTOR CODE],0),)," ")</f>
        <v>MD. IMRAN HOSSAIN</v>
      </c>
      <c r="I775" s="228" t="s">
        <v>853</v>
      </c>
      <c r="J775" s="229" t="s">
        <v>55</v>
      </c>
      <c r="K775" s="230"/>
      <c r="L775" s="230">
        <v>49800</v>
      </c>
    </row>
    <row r="776" spans="1:13" ht="11.25" customHeight="1" x14ac:dyDescent="0.2">
      <c r="A776" s="221">
        <v>2022</v>
      </c>
      <c r="B776" s="221">
        <v>4</v>
      </c>
      <c r="C776" s="221">
        <v>7</v>
      </c>
      <c r="D776" s="231">
        <f t="shared" si="67"/>
        <v>44658</v>
      </c>
      <c r="E776" s="233">
        <f t="shared" ref="E776:E781" si="75">DATE(A776,B776,C776)</f>
        <v>44658</v>
      </c>
      <c r="F776" s="478" t="s">
        <v>1169</v>
      </c>
      <c r="G776" s="222" t="s">
        <v>1111</v>
      </c>
      <c r="H776" s="223" t="str" cm="1">
        <f t="array" ref="H776">IFERROR(INDEX(INVESTOR_LIST[INVESTOR NAME],MATCH(I776,INVESTOR_LIST[INVESTOR CODE],0),)," ")</f>
        <v xml:space="preserve"> </v>
      </c>
      <c r="I776" s="223"/>
      <c r="J776" s="224" t="s">
        <v>80</v>
      </c>
      <c r="K776" s="225">
        <v>8840</v>
      </c>
      <c r="L776" s="225"/>
    </row>
    <row r="777" spans="1:13" ht="11.25" customHeight="1" x14ac:dyDescent="0.2">
      <c r="A777" s="164">
        <v>2022</v>
      </c>
      <c r="B777" s="164">
        <v>4</v>
      </c>
      <c r="C777" s="164">
        <v>7</v>
      </c>
      <c r="D777" s="156">
        <f t="shared" ref="D777:D840" si="76">DATE(A777,B777,C777)</f>
        <v>44658</v>
      </c>
      <c r="E777" s="235">
        <f t="shared" si="75"/>
        <v>44658</v>
      </c>
      <c r="F777" s="480"/>
      <c r="G777" s="208" t="s">
        <v>1111</v>
      </c>
      <c r="H777" s="206" t="str" cm="1">
        <f t="array" ref="H777">IFERROR(INDEX(INVESTOR_LIST[INVESTOR NAME],MATCH(I777,INVESTOR_LIST[INVESTOR CODE],0),)," ")</f>
        <v xml:space="preserve"> </v>
      </c>
      <c r="J777" s="165" t="s">
        <v>55</v>
      </c>
      <c r="K777" s="205">
        <v>191160</v>
      </c>
      <c r="L777" s="205"/>
    </row>
    <row r="778" spans="1:13" ht="11.25" customHeight="1" x14ac:dyDescent="0.2">
      <c r="A778" s="226">
        <v>2022</v>
      </c>
      <c r="B778" s="226">
        <v>4</v>
      </c>
      <c r="C778" s="226">
        <v>7</v>
      </c>
      <c r="D778" s="232">
        <f t="shared" si="76"/>
        <v>44658</v>
      </c>
      <c r="E778" s="234">
        <f t="shared" si="75"/>
        <v>44658</v>
      </c>
      <c r="F778" s="479"/>
      <c r="G778" s="227" t="s">
        <v>1111</v>
      </c>
      <c r="H778" s="228" t="str" cm="1">
        <f t="array" ref="H778">IFERROR(INDEX(INVESTOR_LIST[INVESTOR NAME],MATCH(I778,INVESTOR_LIST[INVESTOR CODE],0),)," ")</f>
        <v xml:space="preserve"> </v>
      </c>
      <c r="I778" s="228"/>
      <c r="J778" s="229" t="s">
        <v>196</v>
      </c>
      <c r="K778" s="230"/>
      <c r="L778" s="230">
        <v>200000</v>
      </c>
    </row>
    <row r="779" spans="1:13" ht="11.25" customHeight="1" x14ac:dyDescent="0.2">
      <c r="A779" s="221">
        <v>2022</v>
      </c>
      <c r="B779" s="221">
        <v>4</v>
      </c>
      <c r="C779" s="221">
        <v>7</v>
      </c>
      <c r="D779" s="231">
        <f t="shared" si="76"/>
        <v>44658</v>
      </c>
      <c r="E779" s="233">
        <f t="shared" si="75"/>
        <v>44658</v>
      </c>
      <c r="F779" s="478" t="s">
        <v>1115</v>
      </c>
      <c r="G779" s="222" t="s">
        <v>1111</v>
      </c>
      <c r="H779" s="223" t="str" cm="1">
        <f t="array" ref="H779">IFERROR(INDEX(INVESTOR_LIST[INVESTOR NAME],MATCH(I779,INVESTOR_LIST[INVESTOR CODE],0),)," ")</f>
        <v>HASIB MUSTABSIR</v>
      </c>
      <c r="I779" s="223" t="s">
        <v>470</v>
      </c>
      <c r="J779" s="224" t="s">
        <v>14</v>
      </c>
      <c r="K779" s="225">
        <v>1004020</v>
      </c>
      <c r="L779" s="225"/>
      <c r="M779" s="166"/>
    </row>
    <row r="780" spans="1:13" ht="11.25" customHeight="1" x14ac:dyDescent="0.2">
      <c r="A780" s="164">
        <v>2022</v>
      </c>
      <c r="B780" s="164">
        <v>4</v>
      </c>
      <c r="C780" s="164">
        <v>7</v>
      </c>
      <c r="D780" s="156">
        <f t="shared" si="76"/>
        <v>44658</v>
      </c>
      <c r="E780" s="235">
        <f t="shared" si="75"/>
        <v>44658</v>
      </c>
      <c r="F780" s="480"/>
      <c r="G780" s="208" t="s">
        <v>1111</v>
      </c>
      <c r="H780" s="206" t="str" cm="1">
        <f t="array" ref="H780">IFERROR(INDEX(INVESTOR_LIST[INVESTOR NAME],MATCH(I780,INVESTOR_LIST[INVESTOR CODE],0),)," ")</f>
        <v>HASIB MUSTABSIR</v>
      </c>
      <c r="I780" s="206" t="s">
        <v>470</v>
      </c>
      <c r="J780" s="165" t="s">
        <v>1112</v>
      </c>
      <c r="K780" s="205"/>
      <c r="L780" s="205">
        <v>4020</v>
      </c>
    </row>
    <row r="781" spans="1:13" ht="11.25" customHeight="1" x14ac:dyDescent="0.2">
      <c r="A781" s="226">
        <v>2022</v>
      </c>
      <c r="B781" s="226">
        <v>4</v>
      </c>
      <c r="C781" s="226">
        <v>7</v>
      </c>
      <c r="D781" s="232">
        <f t="shared" si="76"/>
        <v>44658</v>
      </c>
      <c r="E781" s="234">
        <f t="shared" si="75"/>
        <v>44658</v>
      </c>
      <c r="F781" s="479"/>
      <c r="G781" s="227" t="s">
        <v>1111</v>
      </c>
      <c r="H781" s="228" t="str" cm="1">
        <f t="array" ref="H781">IFERROR(INDEX(INVESTOR_LIST[INVESTOR NAME],MATCH(I781,INVESTOR_LIST[INVESTOR CODE],0),)," ")</f>
        <v>HASIB MUSTABSIR</v>
      </c>
      <c r="I781" s="228" t="s">
        <v>470</v>
      </c>
      <c r="J781" s="229" t="s">
        <v>55</v>
      </c>
      <c r="K781" s="230"/>
      <c r="L781" s="230">
        <v>1000000</v>
      </c>
    </row>
    <row r="782" spans="1:13" ht="11.25" customHeight="1" x14ac:dyDescent="0.2">
      <c r="A782" s="221">
        <v>2022</v>
      </c>
      <c r="B782" s="221">
        <v>4</v>
      </c>
      <c r="C782" s="221">
        <v>7</v>
      </c>
      <c r="D782" s="231">
        <f t="shared" si="76"/>
        <v>44658</v>
      </c>
      <c r="E782" s="233">
        <f>DATE(A782,B782,C782)</f>
        <v>44658</v>
      </c>
      <c r="F782" s="478" t="s">
        <v>1177</v>
      </c>
      <c r="G782" s="222" t="s">
        <v>86</v>
      </c>
      <c r="H782" s="223" t="str" cm="1">
        <f t="array" ref="H782">IFERROR(INDEX(INVESTOR_LIST[INVESTOR NAME],MATCH(I782,INVESTOR_LIST[INVESTOR CODE],0),)," ")</f>
        <v xml:space="preserve"> </v>
      </c>
      <c r="I782" s="223"/>
      <c r="J782" s="224" t="s">
        <v>131</v>
      </c>
      <c r="K782" s="225">
        <v>757236.11111111101</v>
      </c>
      <c r="L782" s="225"/>
    </row>
    <row r="783" spans="1:13" ht="11.25" customHeight="1" x14ac:dyDescent="0.2">
      <c r="A783" s="226">
        <v>2022</v>
      </c>
      <c r="B783" s="226">
        <v>4</v>
      </c>
      <c r="C783" s="226">
        <v>7</v>
      </c>
      <c r="D783" s="232">
        <f t="shared" si="76"/>
        <v>44658</v>
      </c>
      <c r="E783" s="234">
        <f>DATE(A783,B783,C783)</f>
        <v>44658</v>
      </c>
      <c r="F783" s="479"/>
      <c r="G783" s="227" t="s">
        <v>86</v>
      </c>
      <c r="H783" s="228" t="str" cm="1">
        <f t="array" ref="H783">IFERROR(INDEX(INVESTOR_LIST[INVESTOR NAME],MATCH(I783,INVESTOR_LIST[INVESTOR CODE],0),)," ")</f>
        <v xml:space="preserve"> </v>
      </c>
      <c r="I783" s="228"/>
      <c r="J783" s="229" t="s">
        <v>174</v>
      </c>
      <c r="K783" s="230"/>
      <c r="L783" s="230">
        <v>757236.11111111101</v>
      </c>
    </row>
    <row r="784" spans="1:13" ht="11.25" customHeight="1" x14ac:dyDescent="0.2">
      <c r="A784" s="236">
        <v>2022</v>
      </c>
      <c r="B784" s="236">
        <v>4</v>
      </c>
      <c r="C784" s="236">
        <v>7</v>
      </c>
      <c r="D784" s="237">
        <f t="shared" si="76"/>
        <v>44658</v>
      </c>
      <c r="E784" s="238">
        <f t="shared" ref="E784:E798" si="77">DATE(A784,B784,C784)</f>
        <v>44658</v>
      </c>
      <c r="F784" s="476" t="s">
        <v>1118</v>
      </c>
      <c r="G784" s="239" t="s">
        <v>86</v>
      </c>
      <c r="H784" s="239" t="str" cm="1">
        <f t="array" ref="H784">IFERROR(INDEX(INVESTOR_LIST[INVESTOR NAME],MATCH(I784,INVESTOR_LIST[INVESTOR CODE],0),)," ")</f>
        <v xml:space="preserve"> </v>
      </c>
      <c r="I784" s="240"/>
      <c r="J784" s="241" t="s">
        <v>82</v>
      </c>
      <c r="K784" s="242">
        <v>1362139.0100000054</v>
      </c>
      <c r="L784" s="242"/>
    </row>
    <row r="785" spans="1:16" ht="11.25" customHeight="1" x14ac:dyDescent="0.2">
      <c r="A785" s="243">
        <v>2022</v>
      </c>
      <c r="B785" s="243">
        <v>4</v>
      </c>
      <c r="C785" s="243">
        <v>7</v>
      </c>
      <c r="D785" s="248">
        <f t="shared" si="76"/>
        <v>44658</v>
      </c>
      <c r="E785" s="249">
        <f t="shared" si="77"/>
        <v>44658</v>
      </c>
      <c r="F785" s="477"/>
      <c r="G785" s="244" t="s">
        <v>86</v>
      </c>
      <c r="H785" s="244" t="str" cm="1">
        <f t="array" ref="H785">IFERROR(INDEX(INVESTOR_LIST[INVESTOR NAME],MATCH(I785,INVESTOR_LIST[INVESTOR CODE],0),)," ")</f>
        <v xml:space="preserve"> </v>
      </c>
      <c r="I785" s="245"/>
      <c r="J785" s="246" t="s">
        <v>98</v>
      </c>
      <c r="K785" s="247"/>
      <c r="L785" s="247">
        <v>1362139.0100000054</v>
      </c>
    </row>
    <row r="786" spans="1:16" ht="11.25" customHeight="1" x14ac:dyDescent="0.2">
      <c r="A786" s="236">
        <v>2022</v>
      </c>
      <c r="B786" s="236">
        <v>4</v>
      </c>
      <c r="C786" s="236">
        <v>7</v>
      </c>
      <c r="D786" s="237">
        <f t="shared" si="76"/>
        <v>44658</v>
      </c>
      <c r="E786" s="238">
        <f t="shared" si="77"/>
        <v>44658</v>
      </c>
      <c r="F786" s="476" t="s">
        <v>1120</v>
      </c>
      <c r="G786" s="239" t="s">
        <v>86</v>
      </c>
      <c r="H786" s="239" t="str" cm="1">
        <f t="array" ref="H786">IFERROR(INDEX(INVESTOR_LIST[INVESTOR NAME],MATCH(I786,INVESTOR_LIST[INVESTOR CODE],0),)," ")</f>
        <v xml:space="preserve"> </v>
      </c>
      <c r="I786" s="240"/>
      <c r="J786" s="241" t="s">
        <v>87</v>
      </c>
      <c r="K786" s="242">
        <v>2747.2527472527472</v>
      </c>
      <c r="L786" s="242"/>
    </row>
    <row r="787" spans="1:16" ht="11.25" customHeight="1" x14ac:dyDescent="0.2">
      <c r="A787" s="243">
        <v>2022</v>
      </c>
      <c r="B787" s="243">
        <v>4</v>
      </c>
      <c r="C787" s="243">
        <v>7</v>
      </c>
      <c r="D787" s="248">
        <f t="shared" si="76"/>
        <v>44658</v>
      </c>
      <c r="E787" s="249">
        <f t="shared" si="77"/>
        <v>44658</v>
      </c>
      <c r="F787" s="477"/>
      <c r="G787" s="244" t="s">
        <v>86</v>
      </c>
      <c r="H787" s="244" t="str" cm="1">
        <f t="array" ref="H787">IFERROR(INDEX(INVESTOR_LIST[INVESTOR NAME],MATCH(I787,INVESTOR_LIST[INVESTOR CODE],0),)," ")</f>
        <v xml:space="preserve"> </v>
      </c>
      <c r="I787" s="245"/>
      <c r="J787" s="246" t="s">
        <v>64</v>
      </c>
      <c r="K787" s="247"/>
      <c r="L787" s="247">
        <v>2747.2527472527472</v>
      </c>
    </row>
    <row r="788" spans="1:16" ht="11.25" customHeight="1" x14ac:dyDescent="0.2">
      <c r="A788" s="236">
        <v>2022</v>
      </c>
      <c r="B788" s="236">
        <v>4</v>
      </c>
      <c r="C788" s="236">
        <v>7</v>
      </c>
      <c r="D788" s="237">
        <f t="shared" si="76"/>
        <v>44658</v>
      </c>
      <c r="E788" s="238">
        <f t="shared" si="77"/>
        <v>44658</v>
      </c>
      <c r="F788" s="476" t="s">
        <v>1121</v>
      </c>
      <c r="G788" s="239" t="s">
        <v>86</v>
      </c>
      <c r="H788" s="239" t="str" cm="1">
        <f t="array" ref="H788">IFERROR(INDEX(INVESTOR_LIST[INVESTOR NAME],MATCH(I788,INVESTOR_LIST[INVESTOR CODE],0),)," ")</f>
        <v xml:space="preserve"> </v>
      </c>
      <c r="I788" s="240"/>
      <c r="J788" s="241" t="s">
        <v>89</v>
      </c>
      <c r="K788" s="242">
        <v>101058.15167330479</v>
      </c>
      <c r="L788" s="242"/>
    </row>
    <row r="789" spans="1:16" ht="11.25" customHeight="1" x14ac:dyDescent="0.2">
      <c r="A789" s="243">
        <v>2022</v>
      </c>
      <c r="B789" s="243">
        <v>4</v>
      </c>
      <c r="C789" s="243">
        <v>7</v>
      </c>
      <c r="D789" s="248">
        <f t="shared" si="76"/>
        <v>44658</v>
      </c>
      <c r="E789" s="249">
        <f t="shared" si="77"/>
        <v>44658</v>
      </c>
      <c r="F789" s="477"/>
      <c r="G789" s="244" t="s">
        <v>86</v>
      </c>
      <c r="H789" s="244" t="str" cm="1">
        <f t="array" ref="H789">IFERROR(INDEX(INVESTOR_LIST[INVESTOR NAME],MATCH(I789,INVESTOR_LIST[INVESTOR CODE],0),)," ")</f>
        <v xml:space="preserve"> </v>
      </c>
      <c r="I789" s="245"/>
      <c r="J789" s="246" t="s">
        <v>50</v>
      </c>
      <c r="K789" s="247"/>
      <c r="L789" s="247">
        <v>101058.15167330479</v>
      </c>
    </row>
    <row r="790" spans="1:16" ht="11.25" customHeight="1" x14ac:dyDescent="0.2">
      <c r="A790" s="236">
        <v>2022</v>
      </c>
      <c r="B790" s="236">
        <v>4</v>
      </c>
      <c r="C790" s="236">
        <v>7</v>
      </c>
      <c r="D790" s="237">
        <f t="shared" si="76"/>
        <v>44658</v>
      </c>
      <c r="E790" s="238">
        <f t="shared" si="77"/>
        <v>44658</v>
      </c>
      <c r="F790" s="476" t="s">
        <v>1122</v>
      </c>
      <c r="G790" s="239" t="s">
        <v>86</v>
      </c>
      <c r="H790" s="239" t="str" cm="1">
        <f t="array" ref="H790">IFERROR(INDEX(INVESTOR_LIST[INVESTOR NAME],MATCH(I790,INVESTOR_LIST[INVESTOR CODE],0),)," ")</f>
        <v xml:space="preserve"> </v>
      </c>
      <c r="I790" s="240"/>
      <c r="J790" s="241" t="s">
        <v>91</v>
      </c>
      <c r="K790" s="242">
        <v>4814.1331884767305</v>
      </c>
      <c r="L790" s="242"/>
      <c r="M790" s="166"/>
    </row>
    <row r="791" spans="1:16" ht="11.25" customHeight="1" x14ac:dyDescent="0.2">
      <c r="A791" s="243">
        <v>2022</v>
      </c>
      <c r="B791" s="243">
        <v>4</v>
      </c>
      <c r="C791" s="243">
        <v>7</v>
      </c>
      <c r="D791" s="248">
        <f t="shared" si="76"/>
        <v>44658</v>
      </c>
      <c r="E791" s="249">
        <f t="shared" si="77"/>
        <v>44658</v>
      </c>
      <c r="F791" s="477"/>
      <c r="G791" s="244" t="s">
        <v>86</v>
      </c>
      <c r="H791" s="244" t="str" cm="1">
        <f t="array" ref="H791">IFERROR(INDEX(INVESTOR_LIST[INVESTOR NAME],MATCH(I791,INVESTOR_LIST[INVESTOR CODE],0),)," ")</f>
        <v xml:space="preserve"> </v>
      </c>
      <c r="I791" s="245"/>
      <c r="J791" s="246" t="s">
        <v>51</v>
      </c>
      <c r="K791" s="247"/>
      <c r="L791" s="247">
        <v>4814.1331884767305</v>
      </c>
      <c r="N791" s="263"/>
      <c r="O791" s="263"/>
      <c r="P791" s="263"/>
    </row>
    <row r="792" spans="1:16" ht="11.25" customHeight="1" x14ac:dyDescent="0.2">
      <c r="A792" s="221">
        <v>2022</v>
      </c>
      <c r="B792" s="221">
        <v>4</v>
      </c>
      <c r="C792" s="221">
        <v>10</v>
      </c>
      <c r="D792" s="221">
        <f t="shared" si="76"/>
        <v>44661</v>
      </c>
      <c r="E792" s="233">
        <f t="shared" si="77"/>
        <v>44661</v>
      </c>
      <c r="F792" s="478" t="s">
        <v>1135</v>
      </c>
      <c r="G792" s="222" t="s">
        <v>86</v>
      </c>
      <c r="H792" s="222" t="str" cm="1">
        <f t="array" ref="H792">IFERROR(INDEX(INVESTOR_LIST[INVESTOR NAME],MATCH(I792,INVESTOR_LIST[INVESTOR CODE],0),)," ")</f>
        <v xml:space="preserve"> </v>
      </c>
      <c r="I792" s="223"/>
      <c r="J792" s="224" t="s">
        <v>80</v>
      </c>
      <c r="K792" s="225">
        <v>2299500</v>
      </c>
      <c r="L792" s="225"/>
    </row>
    <row r="793" spans="1:16" ht="11.25" customHeight="1" x14ac:dyDescent="0.2">
      <c r="A793" s="164">
        <v>2022</v>
      </c>
      <c r="B793" s="164">
        <v>4</v>
      </c>
      <c r="C793" s="164">
        <v>10</v>
      </c>
      <c r="D793" s="164">
        <f t="shared" si="76"/>
        <v>44661</v>
      </c>
      <c r="E793" s="235">
        <f t="shared" si="77"/>
        <v>44661</v>
      </c>
      <c r="F793" s="480"/>
      <c r="G793" s="208" t="s">
        <v>86</v>
      </c>
      <c r="H793" s="208"/>
      <c r="J793" s="165" t="s">
        <v>960</v>
      </c>
      <c r="K793" s="205">
        <v>8930.41</v>
      </c>
      <c r="L793" s="205"/>
    </row>
    <row r="794" spans="1:16" ht="11.25" customHeight="1" x14ac:dyDescent="0.2">
      <c r="A794" s="164">
        <v>2022</v>
      </c>
      <c r="B794" s="164">
        <v>4</v>
      </c>
      <c r="C794" s="164">
        <v>10</v>
      </c>
      <c r="D794" s="164">
        <f t="shared" si="76"/>
        <v>44661</v>
      </c>
      <c r="E794" s="235">
        <f t="shared" si="77"/>
        <v>44661</v>
      </c>
      <c r="F794" s="480"/>
      <c r="G794" s="208" t="s">
        <v>86</v>
      </c>
      <c r="H794" s="208"/>
      <c r="J794" s="165" t="s">
        <v>199</v>
      </c>
      <c r="K794" s="205">
        <v>353409.59</v>
      </c>
      <c r="L794" s="205"/>
    </row>
    <row r="795" spans="1:16" ht="11.25" customHeight="1" x14ac:dyDescent="0.2">
      <c r="A795" s="164">
        <v>2022</v>
      </c>
      <c r="B795" s="164">
        <v>4</v>
      </c>
      <c r="C795" s="164">
        <v>10</v>
      </c>
      <c r="D795" s="164">
        <f t="shared" si="76"/>
        <v>44661</v>
      </c>
      <c r="E795" s="235">
        <f t="shared" si="77"/>
        <v>44661</v>
      </c>
      <c r="F795" s="480"/>
      <c r="G795" s="208" t="s">
        <v>86</v>
      </c>
      <c r="H795" s="208" t="str" cm="1">
        <f t="array" ref="H795">IFERROR(INDEX(INVESTOR_LIST[INVESTOR NAME],MATCH(I795,INVESTOR_LIST[INVESTOR CODE],0),)," ")</f>
        <v xml:space="preserve"> </v>
      </c>
      <c r="J795" s="165" t="s">
        <v>200</v>
      </c>
      <c r="K795" s="205">
        <v>28757.53</v>
      </c>
      <c r="L795" s="205"/>
    </row>
    <row r="796" spans="1:16" ht="11.25" customHeight="1" x14ac:dyDescent="0.2">
      <c r="A796" s="226">
        <v>2022</v>
      </c>
      <c r="B796" s="226">
        <v>4</v>
      </c>
      <c r="C796" s="226">
        <v>10</v>
      </c>
      <c r="D796" s="226">
        <f t="shared" si="76"/>
        <v>44661</v>
      </c>
      <c r="E796" s="234">
        <f t="shared" si="77"/>
        <v>44661</v>
      </c>
      <c r="F796" s="479"/>
      <c r="G796" s="227" t="s">
        <v>86</v>
      </c>
      <c r="H796" s="228" t="str" cm="1">
        <f t="array" ref="H796">IFERROR(INDEX(INVESTOR_LIST[INVESTOR NAME],MATCH(I796,INVESTOR_LIST[INVESTOR CODE],0),)," ")</f>
        <v xml:space="preserve"> </v>
      </c>
      <c r="I796" s="228"/>
      <c r="J796" s="229" t="s">
        <v>80</v>
      </c>
      <c r="K796" s="230"/>
      <c r="L796" s="230">
        <v>2690597.53</v>
      </c>
    </row>
    <row r="797" spans="1:16" ht="11.25" customHeight="1" x14ac:dyDescent="0.2">
      <c r="A797" s="221">
        <v>2022</v>
      </c>
      <c r="B797" s="221">
        <v>4</v>
      </c>
      <c r="C797" s="221">
        <v>10</v>
      </c>
      <c r="D797" s="231">
        <f t="shared" si="76"/>
        <v>44661</v>
      </c>
      <c r="E797" s="233">
        <f t="shared" si="77"/>
        <v>44661</v>
      </c>
      <c r="F797" s="478" t="s">
        <v>1142</v>
      </c>
      <c r="G797" s="222" t="s">
        <v>1111</v>
      </c>
      <c r="H797" s="223" t="str" cm="1">
        <f t="array" ref="H797">IFERROR(INDEX(INVESTOR_LIST[INVESTOR NAME],MATCH(I797,INVESTOR_LIST[INVESTOR CODE],0),)," ")</f>
        <v xml:space="preserve"> </v>
      </c>
      <c r="I797" s="223"/>
      <c r="J797" s="224" t="s">
        <v>189</v>
      </c>
      <c r="K797" s="225">
        <v>1575</v>
      </c>
      <c r="L797" s="225"/>
    </row>
    <row r="798" spans="1:16" ht="11.25" customHeight="1" x14ac:dyDescent="0.2">
      <c r="A798" s="226">
        <v>2022</v>
      </c>
      <c r="B798" s="226">
        <v>4</v>
      </c>
      <c r="C798" s="226">
        <v>10</v>
      </c>
      <c r="D798" s="232">
        <f t="shared" si="76"/>
        <v>44661</v>
      </c>
      <c r="E798" s="234">
        <f t="shared" si="77"/>
        <v>44661</v>
      </c>
      <c r="F798" s="479"/>
      <c r="G798" s="227" t="s">
        <v>1111</v>
      </c>
      <c r="H798" s="228" t="str" cm="1">
        <f t="array" ref="H798">IFERROR(INDEX(INVESTOR_LIST[INVESTOR NAME],MATCH(I798,INVESTOR_LIST[INVESTOR CODE],0),)," ")</f>
        <v xml:space="preserve"> </v>
      </c>
      <c r="I798" s="228"/>
      <c r="J798" s="229" t="s">
        <v>55</v>
      </c>
      <c r="K798" s="230"/>
      <c r="L798" s="230">
        <v>1575</v>
      </c>
    </row>
    <row r="799" spans="1:16" ht="11.25" customHeight="1" x14ac:dyDescent="0.2">
      <c r="A799" s="221">
        <v>2022</v>
      </c>
      <c r="B799" s="221">
        <v>4</v>
      </c>
      <c r="C799" s="221">
        <v>11</v>
      </c>
      <c r="D799" s="231">
        <f t="shared" si="76"/>
        <v>44662</v>
      </c>
      <c r="E799" s="233">
        <f t="shared" ref="E799:E800" si="78">DATE(A799,B799,C799)</f>
        <v>44662</v>
      </c>
      <c r="F799" s="478" t="s">
        <v>1142</v>
      </c>
      <c r="G799" s="222" t="s">
        <v>1111</v>
      </c>
      <c r="H799" s="223" t="str" cm="1">
        <f t="array" ref="H799">IFERROR(INDEX(INVESTOR_LIST[INVESTOR NAME],MATCH(I799,INVESTOR_LIST[INVESTOR CODE],0),)," ")</f>
        <v xml:space="preserve"> </v>
      </c>
      <c r="I799" s="223"/>
      <c r="J799" s="224" t="s">
        <v>189</v>
      </c>
      <c r="K799" s="225">
        <v>1575</v>
      </c>
      <c r="L799" s="225"/>
    </row>
    <row r="800" spans="1:16" ht="11.25" customHeight="1" x14ac:dyDescent="0.2">
      <c r="A800" s="226">
        <v>2022</v>
      </c>
      <c r="B800" s="226">
        <v>4</v>
      </c>
      <c r="C800" s="226">
        <v>11</v>
      </c>
      <c r="D800" s="232">
        <f t="shared" si="76"/>
        <v>44662</v>
      </c>
      <c r="E800" s="234">
        <f t="shared" si="78"/>
        <v>44662</v>
      </c>
      <c r="F800" s="479"/>
      <c r="G800" s="227" t="s">
        <v>1111</v>
      </c>
      <c r="H800" s="228" t="str" cm="1">
        <f t="array" ref="H800">IFERROR(INDEX(INVESTOR_LIST[INVESTOR NAME],MATCH(I800,INVESTOR_LIST[INVESTOR CODE],0),)," ")</f>
        <v xml:space="preserve"> </v>
      </c>
      <c r="I800" s="228"/>
      <c r="J800" s="229" t="s">
        <v>55</v>
      </c>
      <c r="K800" s="230"/>
      <c r="L800" s="230">
        <v>1575</v>
      </c>
    </row>
    <row r="801" spans="1:12" ht="11.25" customHeight="1" x14ac:dyDescent="0.2">
      <c r="A801" s="221">
        <v>2022</v>
      </c>
      <c r="B801" s="221">
        <v>4</v>
      </c>
      <c r="C801" s="221">
        <v>12</v>
      </c>
      <c r="D801" s="221">
        <f t="shared" si="76"/>
        <v>44663</v>
      </c>
      <c r="E801" s="233">
        <f t="shared" ref="E801:E808" si="79">DATE(A801,B801,C801)</f>
        <v>44663</v>
      </c>
      <c r="F801" s="478" t="s">
        <v>1135</v>
      </c>
      <c r="G801" s="222" t="s">
        <v>86</v>
      </c>
      <c r="H801" s="222" t="str" cm="1">
        <f t="array" ref="H801">IFERROR(INDEX(INVESTOR_LIST[INVESTOR NAME],MATCH(I801,INVESTOR_LIST[INVESTOR CODE],0),)," ")</f>
        <v xml:space="preserve"> </v>
      </c>
      <c r="I801" s="223"/>
      <c r="J801" s="224" t="s">
        <v>80</v>
      </c>
      <c r="K801" s="225">
        <v>499500</v>
      </c>
      <c r="L801" s="225"/>
    </row>
    <row r="802" spans="1:12" ht="11.25" customHeight="1" x14ac:dyDescent="0.2">
      <c r="A802" s="164">
        <v>2022</v>
      </c>
      <c r="B802" s="164">
        <v>4</v>
      </c>
      <c r="C802" s="164">
        <v>12</v>
      </c>
      <c r="D802" s="164">
        <f t="shared" si="76"/>
        <v>44663</v>
      </c>
      <c r="E802" s="235">
        <f t="shared" si="79"/>
        <v>44663</v>
      </c>
      <c r="F802" s="480"/>
      <c r="G802" s="208" t="s">
        <v>86</v>
      </c>
      <c r="H802" s="208"/>
      <c r="J802" s="165" t="s">
        <v>960</v>
      </c>
      <c r="K802" s="205">
        <v>899.1</v>
      </c>
      <c r="L802" s="205"/>
    </row>
    <row r="803" spans="1:12" ht="11.25" customHeight="1" x14ac:dyDescent="0.2">
      <c r="A803" s="226">
        <v>2022</v>
      </c>
      <c r="B803" s="226">
        <v>4</v>
      </c>
      <c r="C803" s="226">
        <v>12</v>
      </c>
      <c r="D803" s="226">
        <f t="shared" si="76"/>
        <v>44663</v>
      </c>
      <c r="E803" s="234">
        <f t="shared" si="79"/>
        <v>44663</v>
      </c>
      <c r="F803" s="479"/>
      <c r="G803" s="227" t="s">
        <v>86</v>
      </c>
      <c r="H803" s="228" t="str" cm="1">
        <f t="array" ref="H803">IFERROR(INDEX(INVESTOR_LIST[INVESTOR NAME],MATCH(I803,INVESTOR_LIST[INVESTOR CODE],0),)," ")</f>
        <v xml:space="preserve"> </v>
      </c>
      <c r="I803" s="228"/>
      <c r="J803" s="229" t="s">
        <v>961</v>
      </c>
      <c r="K803" s="230"/>
      <c r="L803" s="230">
        <v>500399.1</v>
      </c>
    </row>
    <row r="804" spans="1:12" ht="11.25" customHeight="1" x14ac:dyDescent="0.2">
      <c r="A804" s="221">
        <v>2022</v>
      </c>
      <c r="B804" s="221">
        <v>4</v>
      </c>
      <c r="C804" s="221">
        <v>13</v>
      </c>
      <c r="D804" s="221">
        <f t="shared" si="76"/>
        <v>44664</v>
      </c>
      <c r="E804" s="233">
        <f t="shared" si="79"/>
        <v>44664</v>
      </c>
      <c r="F804" s="478" t="s">
        <v>1135</v>
      </c>
      <c r="G804" s="222" t="s">
        <v>86</v>
      </c>
      <c r="H804" s="222" t="str" cm="1">
        <f t="array" ref="H804">IFERROR(INDEX(INVESTOR_LIST[INVESTOR NAME],MATCH(I804,INVESTOR_LIST[INVESTOR CODE],0),)," ")</f>
        <v xml:space="preserve"> </v>
      </c>
      <c r="I804" s="223"/>
      <c r="J804" s="224" t="s">
        <v>80</v>
      </c>
      <c r="K804" s="225">
        <v>279010</v>
      </c>
      <c r="L804" s="225"/>
    </row>
    <row r="805" spans="1:12" ht="11.25" customHeight="1" x14ac:dyDescent="0.2">
      <c r="A805" s="164">
        <v>2022</v>
      </c>
      <c r="B805" s="164">
        <v>4</v>
      </c>
      <c r="C805" s="164">
        <v>13</v>
      </c>
      <c r="D805" s="164">
        <f t="shared" si="76"/>
        <v>44664</v>
      </c>
      <c r="E805" s="235">
        <f t="shared" si="79"/>
        <v>44664</v>
      </c>
      <c r="F805" s="480"/>
      <c r="G805" s="208" t="s">
        <v>86</v>
      </c>
      <c r="H805" s="208"/>
      <c r="J805" s="165" t="s">
        <v>960</v>
      </c>
      <c r="K805" s="205">
        <v>1029.3000000000002</v>
      </c>
      <c r="L805" s="205"/>
    </row>
    <row r="806" spans="1:12" ht="11.25" customHeight="1" x14ac:dyDescent="0.2">
      <c r="A806" s="164">
        <v>2022</v>
      </c>
      <c r="B806" s="164">
        <v>4</v>
      </c>
      <c r="C806" s="164">
        <v>13</v>
      </c>
      <c r="D806" s="164">
        <f t="shared" si="76"/>
        <v>44664</v>
      </c>
      <c r="E806" s="235">
        <f t="shared" si="79"/>
        <v>44664</v>
      </c>
      <c r="F806" s="480"/>
      <c r="G806" s="208" t="s">
        <v>86</v>
      </c>
      <c r="H806" s="208"/>
      <c r="J806" s="165" t="s">
        <v>199</v>
      </c>
      <c r="K806" s="205">
        <v>12785.7</v>
      </c>
      <c r="L806" s="205"/>
    </row>
    <row r="807" spans="1:12" ht="11.25" customHeight="1" x14ac:dyDescent="0.2">
      <c r="A807" s="164">
        <v>2022</v>
      </c>
      <c r="B807" s="164">
        <v>4</v>
      </c>
      <c r="C807" s="164">
        <v>13</v>
      </c>
      <c r="D807" s="164">
        <f t="shared" si="76"/>
        <v>44664</v>
      </c>
      <c r="E807" s="235">
        <f t="shared" si="79"/>
        <v>44664</v>
      </c>
      <c r="F807" s="480"/>
      <c r="G807" s="208" t="s">
        <v>86</v>
      </c>
      <c r="H807" s="208" t="str" cm="1">
        <f t="array" ref="H807">IFERROR(INDEX(INVESTOR_LIST[INVESTOR NAME],MATCH(I807,INVESTOR_LIST[INVESTOR CODE],0),)," ")</f>
        <v xml:space="preserve"> </v>
      </c>
      <c r="J807" s="165" t="s">
        <v>200</v>
      </c>
      <c r="K807" s="205">
        <v>12030.03</v>
      </c>
      <c r="L807" s="205"/>
    </row>
    <row r="808" spans="1:12" ht="11.25" customHeight="1" x14ac:dyDescent="0.2">
      <c r="A808" s="226">
        <v>2022</v>
      </c>
      <c r="B808" s="226">
        <v>4</v>
      </c>
      <c r="C808" s="226">
        <v>13</v>
      </c>
      <c r="D808" s="226">
        <f t="shared" si="76"/>
        <v>44664</v>
      </c>
      <c r="E808" s="234">
        <f t="shared" si="79"/>
        <v>44664</v>
      </c>
      <c r="F808" s="479"/>
      <c r="G808" s="227" t="s">
        <v>86</v>
      </c>
      <c r="H808" s="228" t="str" cm="1">
        <f t="array" ref="H808">IFERROR(INDEX(INVESTOR_LIST[INVESTOR NAME],MATCH(I808,INVESTOR_LIST[INVESTOR CODE],0),)," ")</f>
        <v xml:space="preserve"> </v>
      </c>
      <c r="I808" s="228"/>
      <c r="J808" s="229" t="s">
        <v>80</v>
      </c>
      <c r="K808" s="230"/>
      <c r="L808" s="230">
        <v>304855.03000000003</v>
      </c>
    </row>
    <row r="809" spans="1:12" ht="11.25" customHeight="1" x14ac:dyDescent="0.2">
      <c r="A809" s="221">
        <v>2022</v>
      </c>
      <c r="B809" s="221">
        <v>4</v>
      </c>
      <c r="C809" s="221">
        <v>13</v>
      </c>
      <c r="D809" s="231">
        <f t="shared" si="76"/>
        <v>44664</v>
      </c>
      <c r="E809" s="233">
        <f>DATE(A809,B809,C809)</f>
        <v>44664</v>
      </c>
      <c r="F809" s="478" t="s">
        <v>1164</v>
      </c>
      <c r="G809" s="222" t="s">
        <v>1111</v>
      </c>
      <c r="H809" s="223" t="str" cm="1">
        <f t="array" ref="H809">IFERROR(INDEX(INVESTOR_LIST[INVESTOR NAME],MATCH(I809,INVESTOR_LIST[INVESTOR CODE],0),)," ")</f>
        <v xml:space="preserve"> </v>
      </c>
      <c r="I809" s="223"/>
      <c r="J809" s="224" t="s">
        <v>55</v>
      </c>
      <c r="K809" s="225">
        <v>353409.59</v>
      </c>
      <c r="L809" s="225"/>
    </row>
    <row r="810" spans="1:12" ht="11.25" customHeight="1" x14ac:dyDescent="0.2">
      <c r="A810" s="226">
        <v>2022</v>
      </c>
      <c r="B810" s="226">
        <v>4</v>
      </c>
      <c r="C810" s="226">
        <v>13</v>
      </c>
      <c r="D810" s="232">
        <f t="shared" si="76"/>
        <v>44664</v>
      </c>
      <c r="E810" s="234">
        <f>DATE(A810,B810,C810)</f>
        <v>44664</v>
      </c>
      <c r="F810" s="479"/>
      <c r="G810" s="227" t="s">
        <v>1111</v>
      </c>
      <c r="H810" s="228" t="str" cm="1">
        <f t="array" ref="H810">IFERROR(INDEX(INVESTOR_LIST[INVESTOR NAME],MATCH(I810,INVESTOR_LIST[INVESTOR CODE],0),)," ")</f>
        <v xml:space="preserve"> </v>
      </c>
      <c r="I810" s="228"/>
      <c r="J810" s="229" t="s">
        <v>199</v>
      </c>
      <c r="K810" s="230"/>
      <c r="L810" s="230">
        <v>353409.59</v>
      </c>
    </row>
    <row r="811" spans="1:12" ht="11.25" customHeight="1" x14ac:dyDescent="0.2">
      <c r="A811" s="221">
        <v>2022</v>
      </c>
      <c r="B811" s="221">
        <v>4</v>
      </c>
      <c r="C811" s="221">
        <v>13</v>
      </c>
      <c r="D811" s="231">
        <f t="shared" si="76"/>
        <v>44664</v>
      </c>
      <c r="E811" s="233">
        <f t="shared" ref="E811:E812" si="80">DATE(A811,B811,C811)</f>
        <v>44664</v>
      </c>
      <c r="F811" s="478" t="s">
        <v>1137</v>
      </c>
      <c r="G811" s="222" t="s">
        <v>1111</v>
      </c>
      <c r="H811" s="223" t="str" cm="1">
        <f t="array" ref="H811">IFERROR(INDEX(INVESTOR_LIST[INVESTOR NAME],MATCH(I811,INVESTOR_LIST[INVESTOR CODE],0),)," ")</f>
        <v xml:space="preserve"> </v>
      </c>
      <c r="I811" s="223"/>
      <c r="J811" s="224" t="s">
        <v>961</v>
      </c>
      <c r="K811" s="225">
        <v>500399.1</v>
      </c>
      <c r="L811" s="225"/>
    </row>
    <row r="812" spans="1:12" ht="11.25" customHeight="1" x14ac:dyDescent="0.2">
      <c r="A812" s="226">
        <v>2022</v>
      </c>
      <c r="B812" s="226">
        <v>4</v>
      </c>
      <c r="C812" s="226">
        <v>13</v>
      </c>
      <c r="D812" s="232">
        <f t="shared" si="76"/>
        <v>44664</v>
      </c>
      <c r="E812" s="234">
        <f t="shared" si="80"/>
        <v>44664</v>
      </c>
      <c r="F812" s="479"/>
      <c r="G812" s="227" t="s">
        <v>1111</v>
      </c>
      <c r="H812" s="228" t="str" cm="1">
        <f t="array" ref="H812">IFERROR(INDEX(INVESTOR_LIST[INVESTOR NAME],MATCH(I812,INVESTOR_LIST[INVESTOR CODE],0),)," ")</f>
        <v xml:space="preserve"> </v>
      </c>
      <c r="I812" s="228"/>
      <c r="J812" s="229" t="s">
        <v>55</v>
      </c>
      <c r="K812" s="230"/>
      <c r="L812" s="230">
        <v>500399.1</v>
      </c>
    </row>
    <row r="813" spans="1:12" ht="11.25" customHeight="1" x14ac:dyDescent="0.2">
      <c r="A813" s="221">
        <v>2022</v>
      </c>
      <c r="B813" s="221">
        <v>4</v>
      </c>
      <c r="C813" s="221">
        <v>13</v>
      </c>
      <c r="D813" s="231">
        <f t="shared" si="76"/>
        <v>44664</v>
      </c>
      <c r="E813" s="233">
        <f>DATE(A813,B813,C813)</f>
        <v>44664</v>
      </c>
      <c r="F813" s="478" t="s">
        <v>1177</v>
      </c>
      <c r="G813" s="222" t="s">
        <v>86</v>
      </c>
      <c r="H813" s="223" t="str" cm="1">
        <f t="array" ref="H813">IFERROR(INDEX(INVESTOR_LIST[INVESTOR NAME],MATCH(I813,INVESTOR_LIST[INVESTOR CODE],0),)," ")</f>
        <v xml:space="preserve"> </v>
      </c>
      <c r="I813" s="223"/>
      <c r="J813" s="224" t="s">
        <v>131</v>
      </c>
      <c r="K813" s="225">
        <v>135750.00000000012</v>
      </c>
      <c r="L813" s="225"/>
    </row>
    <row r="814" spans="1:12" ht="11.25" customHeight="1" x14ac:dyDescent="0.2">
      <c r="A814" s="226">
        <v>2022</v>
      </c>
      <c r="B814" s="226">
        <v>4</v>
      </c>
      <c r="C814" s="226">
        <v>13</v>
      </c>
      <c r="D814" s="232">
        <f t="shared" si="76"/>
        <v>44664</v>
      </c>
      <c r="E814" s="234">
        <f>DATE(A814,B814,C814)</f>
        <v>44664</v>
      </c>
      <c r="F814" s="479"/>
      <c r="G814" s="227" t="s">
        <v>86</v>
      </c>
      <c r="H814" s="228" t="str" cm="1">
        <f t="array" ref="H814">IFERROR(INDEX(INVESTOR_LIST[INVESTOR NAME],MATCH(I814,INVESTOR_LIST[INVESTOR CODE],0),)," ")</f>
        <v xml:space="preserve"> </v>
      </c>
      <c r="I814" s="228"/>
      <c r="J814" s="229" t="s">
        <v>174</v>
      </c>
      <c r="K814" s="230"/>
      <c r="L814" s="230">
        <v>135750.00000000012</v>
      </c>
    </row>
    <row r="815" spans="1:12" ht="11.25" customHeight="1" x14ac:dyDescent="0.2">
      <c r="A815" s="221">
        <v>2022</v>
      </c>
      <c r="B815" s="221">
        <v>4</v>
      </c>
      <c r="C815" s="221">
        <v>13</v>
      </c>
      <c r="D815" s="231">
        <f t="shared" si="76"/>
        <v>44664</v>
      </c>
      <c r="E815" s="233">
        <f t="shared" ref="E815:E816" si="81">DATE(A815,B815,C815)</f>
        <v>44664</v>
      </c>
      <c r="F815" s="478" t="s">
        <v>1178</v>
      </c>
      <c r="G815" s="222" t="s">
        <v>1111</v>
      </c>
      <c r="H815" s="223" t="str" cm="1">
        <f t="array" ref="H815">IFERROR(INDEX(INVESTOR_LIST[INVESTOR NAME],MATCH(I815,INVESTOR_LIST[INVESTOR CODE],0),)," ")</f>
        <v xml:space="preserve"> </v>
      </c>
      <c r="I815" s="223"/>
      <c r="J815" s="224" t="s">
        <v>189</v>
      </c>
      <c r="K815" s="225">
        <v>4000</v>
      </c>
      <c r="L815" s="225"/>
    </row>
    <row r="816" spans="1:12" ht="11.25" customHeight="1" x14ac:dyDescent="0.2">
      <c r="A816" s="226">
        <v>2022</v>
      </c>
      <c r="B816" s="226">
        <v>4</v>
      </c>
      <c r="C816" s="226">
        <v>13</v>
      </c>
      <c r="D816" s="232">
        <f t="shared" si="76"/>
        <v>44664</v>
      </c>
      <c r="E816" s="234">
        <f t="shared" si="81"/>
        <v>44664</v>
      </c>
      <c r="F816" s="479"/>
      <c r="G816" s="227" t="s">
        <v>1111</v>
      </c>
      <c r="H816" s="228" t="str" cm="1">
        <f t="array" ref="H816">IFERROR(INDEX(INVESTOR_LIST[INVESTOR NAME],MATCH(I816,INVESTOR_LIST[INVESTOR CODE],0),)," ")</f>
        <v xml:space="preserve"> </v>
      </c>
      <c r="I816" s="228"/>
      <c r="J816" s="229" t="s">
        <v>55</v>
      </c>
      <c r="K816" s="230"/>
      <c r="L816" s="230">
        <v>4000</v>
      </c>
    </row>
    <row r="817" spans="1:13" ht="11.25" customHeight="1" x14ac:dyDescent="0.2">
      <c r="A817" s="236">
        <v>2022</v>
      </c>
      <c r="B817" s="236">
        <v>4</v>
      </c>
      <c r="C817" s="236">
        <v>13</v>
      </c>
      <c r="D817" s="237">
        <f t="shared" si="76"/>
        <v>44664</v>
      </c>
      <c r="E817" s="238">
        <f t="shared" ref="E817:E833" si="82">DATE(A817,B817,C817)</f>
        <v>44664</v>
      </c>
      <c r="F817" s="476" t="s">
        <v>1118</v>
      </c>
      <c r="G817" s="239" t="s">
        <v>86</v>
      </c>
      <c r="H817" s="239" t="str" cm="1">
        <f t="array" ref="H817">IFERROR(INDEX(INVESTOR_LIST[INVESTOR NAME],MATCH(I817,INVESTOR_LIST[INVESTOR CODE],0),)," ")</f>
        <v xml:space="preserve"> </v>
      </c>
      <c r="I817" s="240"/>
      <c r="J817" s="241" t="s">
        <v>82</v>
      </c>
      <c r="K817" s="242">
        <v>315417.56000000238</v>
      </c>
      <c r="L817" s="242"/>
    </row>
    <row r="818" spans="1:13" ht="11.25" customHeight="1" x14ac:dyDescent="0.2">
      <c r="A818" s="243">
        <v>2022</v>
      </c>
      <c r="B818" s="243">
        <v>4</v>
      </c>
      <c r="C818" s="243">
        <v>13</v>
      </c>
      <c r="D818" s="248">
        <f t="shared" si="76"/>
        <v>44664</v>
      </c>
      <c r="E818" s="249">
        <f t="shared" si="82"/>
        <v>44664</v>
      </c>
      <c r="F818" s="477"/>
      <c r="G818" s="244" t="s">
        <v>86</v>
      </c>
      <c r="H818" s="244" t="str" cm="1">
        <f t="array" ref="H818">IFERROR(INDEX(INVESTOR_LIST[INVESTOR NAME],MATCH(I818,INVESTOR_LIST[INVESTOR CODE],0),)," ")</f>
        <v xml:space="preserve"> </v>
      </c>
      <c r="I818" s="245"/>
      <c r="J818" s="246" t="s">
        <v>98</v>
      </c>
      <c r="K818" s="247"/>
      <c r="L818" s="247">
        <v>315417.56000000238</v>
      </c>
    </row>
    <row r="819" spans="1:13" ht="11.25" customHeight="1" x14ac:dyDescent="0.2">
      <c r="A819" s="236">
        <v>2022</v>
      </c>
      <c r="B819" s="236">
        <v>4</v>
      </c>
      <c r="C819" s="236">
        <v>13</v>
      </c>
      <c r="D819" s="237">
        <f t="shared" si="76"/>
        <v>44664</v>
      </c>
      <c r="E819" s="238">
        <f t="shared" si="82"/>
        <v>44664</v>
      </c>
      <c r="F819" s="476" t="s">
        <v>1120</v>
      </c>
      <c r="G819" s="239" t="s">
        <v>86</v>
      </c>
      <c r="H819" s="239" t="str" cm="1">
        <f t="array" ref="H819">IFERROR(INDEX(INVESTOR_LIST[INVESTOR NAME],MATCH(I819,INVESTOR_LIST[INVESTOR CODE],0),)," ")</f>
        <v xml:space="preserve"> </v>
      </c>
      <c r="I819" s="240"/>
      <c r="J819" s="241" t="s">
        <v>87</v>
      </c>
      <c r="K819" s="242">
        <v>2747.2527472527472</v>
      </c>
      <c r="L819" s="242"/>
    </row>
    <row r="820" spans="1:13" ht="11.25" customHeight="1" x14ac:dyDescent="0.2">
      <c r="A820" s="243">
        <v>2022</v>
      </c>
      <c r="B820" s="243">
        <v>4</v>
      </c>
      <c r="C820" s="243">
        <v>13</v>
      </c>
      <c r="D820" s="248">
        <f t="shared" si="76"/>
        <v>44664</v>
      </c>
      <c r="E820" s="249">
        <f t="shared" si="82"/>
        <v>44664</v>
      </c>
      <c r="F820" s="477"/>
      <c r="G820" s="244" t="s">
        <v>86</v>
      </c>
      <c r="H820" s="244" t="str" cm="1">
        <f t="array" ref="H820">IFERROR(INDEX(INVESTOR_LIST[INVESTOR NAME],MATCH(I820,INVESTOR_LIST[INVESTOR CODE],0),)," ")</f>
        <v xml:space="preserve"> </v>
      </c>
      <c r="I820" s="245"/>
      <c r="J820" s="246" t="s">
        <v>64</v>
      </c>
      <c r="K820" s="247"/>
      <c r="L820" s="247">
        <v>2747.2527472527472</v>
      </c>
    </row>
    <row r="821" spans="1:13" ht="11.25" customHeight="1" x14ac:dyDescent="0.2">
      <c r="A821" s="236">
        <v>2022</v>
      </c>
      <c r="B821" s="236">
        <v>4</v>
      </c>
      <c r="C821" s="236">
        <v>13</v>
      </c>
      <c r="D821" s="237">
        <f t="shared" si="76"/>
        <v>44664</v>
      </c>
      <c r="E821" s="238">
        <f t="shared" si="82"/>
        <v>44664</v>
      </c>
      <c r="F821" s="476" t="s">
        <v>1121</v>
      </c>
      <c r="G821" s="239" t="s">
        <v>86</v>
      </c>
      <c r="H821" s="239" t="str" cm="1">
        <f t="array" ref="H821">IFERROR(INDEX(INVESTOR_LIST[INVESTOR NAME],MATCH(I821,INVESTOR_LIST[INVESTOR CODE],0),)," ")</f>
        <v xml:space="preserve"> </v>
      </c>
      <c r="I821" s="240"/>
      <c r="J821" s="241" t="s">
        <v>89</v>
      </c>
      <c r="K821" s="242">
        <v>100960.66907151084</v>
      </c>
      <c r="L821" s="242"/>
    </row>
    <row r="822" spans="1:13" ht="11.25" customHeight="1" x14ac:dyDescent="0.2">
      <c r="A822" s="243">
        <v>2022</v>
      </c>
      <c r="B822" s="243">
        <v>4</v>
      </c>
      <c r="C822" s="243">
        <v>13</v>
      </c>
      <c r="D822" s="248">
        <f t="shared" si="76"/>
        <v>44664</v>
      </c>
      <c r="E822" s="249">
        <f t="shared" si="82"/>
        <v>44664</v>
      </c>
      <c r="F822" s="477"/>
      <c r="G822" s="244" t="s">
        <v>86</v>
      </c>
      <c r="H822" s="244" t="str" cm="1">
        <f t="array" ref="H822">IFERROR(INDEX(INVESTOR_LIST[INVESTOR NAME],MATCH(I822,INVESTOR_LIST[INVESTOR CODE],0),)," ")</f>
        <v xml:space="preserve"> </v>
      </c>
      <c r="I822" s="245"/>
      <c r="J822" s="246" t="s">
        <v>50</v>
      </c>
      <c r="K822" s="247"/>
      <c r="L822" s="247">
        <v>100960.66907151084</v>
      </c>
    </row>
    <row r="823" spans="1:13" ht="11.25" customHeight="1" x14ac:dyDescent="0.2">
      <c r="A823" s="236">
        <v>2022</v>
      </c>
      <c r="B823" s="236">
        <v>4</v>
      </c>
      <c r="C823" s="236">
        <v>13</v>
      </c>
      <c r="D823" s="237">
        <f t="shared" si="76"/>
        <v>44664</v>
      </c>
      <c r="E823" s="238">
        <f t="shared" si="82"/>
        <v>44664</v>
      </c>
      <c r="F823" s="476" t="s">
        <v>1122</v>
      </c>
      <c r="G823" s="239" t="s">
        <v>86</v>
      </c>
      <c r="H823" s="239" t="str" cm="1">
        <f t="array" ref="H823">IFERROR(INDEX(INVESTOR_LIST[INVESTOR NAME],MATCH(I823,INVESTOR_LIST[INVESTOR CODE],0),)," ")</f>
        <v xml:space="preserve"> </v>
      </c>
      <c r="I823" s="240"/>
      <c r="J823" s="241" t="s">
        <v>91</v>
      </c>
      <c r="K823" s="242">
        <v>4807.6488381909276</v>
      </c>
      <c r="L823" s="242"/>
    </row>
    <row r="824" spans="1:13" ht="11.25" customHeight="1" x14ac:dyDescent="0.2">
      <c r="A824" s="243">
        <v>2022</v>
      </c>
      <c r="B824" s="243">
        <v>4</v>
      </c>
      <c r="C824" s="243">
        <v>13</v>
      </c>
      <c r="D824" s="248">
        <f t="shared" si="76"/>
        <v>44664</v>
      </c>
      <c r="E824" s="249">
        <f t="shared" si="82"/>
        <v>44664</v>
      </c>
      <c r="F824" s="477"/>
      <c r="G824" s="244" t="s">
        <v>86</v>
      </c>
      <c r="H824" s="244" t="str" cm="1">
        <f t="array" ref="H824">IFERROR(INDEX(INVESTOR_LIST[INVESTOR NAME],MATCH(I824,INVESTOR_LIST[INVESTOR CODE],0),)," ")</f>
        <v xml:space="preserve"> </v>
      </c>
      <c r="I824" s="245"/>
      <c r="J824" s="246" t="s">
        <v>51</v>
      </c>
      <c r="K824" s="247"/>
      <c r="L824" s="247">
        <v>4807.6488381909276</v>
      </c>
    </row>
    <row r="825" spans="1:13" ht="11.25" customHeight="1" x14ac:dyDescent="0.2">
      <c r="A825" s="164">
        <v>2022</v>
      </c>
      <c r="B825" s="164">
        <v>4</v>
      </c>
      <c r="C825" s="164">
        <v>17</v>
      </c>
      <c r="D825" s="164">
        <f t="shared" si="76"/>
        <v>44668</v>
      </c>
      <c r="E825" s="235">
        <f t="shared" si="82"/>
        <v>44668</v>
      </c>
      <c r="F825" s="480" t="s">
        <v>1135</v>
      </c>
      <c r="G825" s="208" t="s">
        <v>86</v>
      </c>
      <c r="H825" s="208"/>
      <c r="J825" s="165" t="s">
        <v>960</v>
      </c>
      <c r="K825" s="205">
        <v>918.96</v>
      </c>
      <c r="L825" s="205"/>
    </row>
    <row r="826" spans="1:13" ht="11.25" customHeight="1" x14ac:dyDescent="0.2">
      <c r="A826" s="164">
        <v>2022</v>
      </c>
      <c r="B826" s="164">
        <v>4</v>
      </c>
      <c r="C826" s="164">
        <v>17</v>
      </c>
      <c r="D826" s="164">
        <f t="shared" si="76"/>
        <v>44668</v>
      </c>
      <c r="E826" s="235">
        <f t="shared" si="82"/>
        <v>44668</v>
      </c>
      <c r="F826" s="480"/>
      <c r="G826" s="208" t="s">
        <v>86</v>
      </c>
      <c r="H826" s="208"/>
      <c r="J826" s="165" t="s">
        <v>199</v>
      </c>
      <c r="K826" s="205">
        <v>509611.05</v>
      </c>
      <c r="L826" s="205"/>
    </row>
    <row r="827" spans="1:13" ht="11.25" customHeight="1" x14ac:dyDescent="0.2">
      <c r="A827" s="164">
        <v>2022</v>
      </c>
      <c r="B827" s="164">
        <v>4</v>
      </c>
      <c r="C827" s="164">
        <v>17</v>
      </c>
      <c r="D827" s="164">
        <f t="shared" si="76"/>
        <v>44668</v>
      </c>
      <c r="E827" s="235">
        <f t="shared" si="82"/>
        <v>44668</v>
      </c>
      <c r="F827" s="480"/>
      <c r="G827" s="208" t="s">
        <v>86</v>
      </c>
      <c r="H827" s="208" t="str" cm="1">
        <f t="array" ref="H827">IFERROR(INDEX(INVESTOR_LIST[INVESTOR NAME],MATCH(I827,INVESTOR_LIST[INVESTOR CODE],0),)," ")</f>
        <v xml:space="preserve"> </v>
      </c>
      <c r="J827" s="165" t="s">
        <v>200</v>
      </c>
      <c r="K827" s="205">
        <v>8968.52</v>
      </c>
      <c r="L827" s="205"/>
    </row>
    <row r="828" spans="1:13" ht="11.25" customHeight="1" x14ac:dyDescent="0.2">
      <c r="A828" s="226">
        <v>2022</v>
      </c>
      <c r="B828" s="226">
        <v>4</v>
      </c>
      <c r="C828" s="226">
        <v>17</v>
      </c>
      <c r="D828" s="226">
        <f t="shared" si="76"/>
        <v>44668</v>
      </c>
      <c r="E828" s="234">
        <f t="shared" si="82"/>
        <v>44668</v>
      </c>
      <c r="F828" s="479"/>
      <c r="G828" s="227" t="s">
        <v>86</v>
      </c>
      <c r="H828" s="228" t="str" cm="1">
        <f t="array" ref="H828">IFERROR(INDEX(INVESTOR_LIST[INVESTOR NAME],MATCH(I828,INVESTOR_LIST[INVESTOR CODE],0),)," ")</f>
        <v xml:space="preserve"> </v>
      </c>
      <c r="I828" s="228"/>
      <c r="J828" s="229" t="s">
        <v>80</v>
      </c>
      <c r="K828" s="230"/>
      <c r="L828" s="230">
        <v>519498.53</v>
      </c>
    </row>
    <row r="829" spans="1:13" ht="11.25" customHeight="1" x14ac:dyDescent="0.2">
      <c r="A829" s="221">
        <v>2022</v>
      </c>
      <c r="B829" s="221">
        <v>4</v>
      </c>
      <c r="C829" s="221">
        <v>18</v>
      </c>
      <c r="D829" s="221">
        <f t="shared" si="76"/>
        <v>44669</v>
      </c>
      <c r="E829" s="233">
        <f t="shared" si="82"/>
        <v>44669</v>
      </c>
      <c r="F829" s="478" t="s">
        <v>1135</v>
      </c>
      <c r="G829" s="222" t="s">
        <v>86</v>
      </c>
      <c r="H829" s="222" t="str" cm="1">
        <f t="array" ref="H829">IFERROR(INDEX(INVESTOR_LIST[INVESTOR NAME],MATCH(I829,INVESTOR_LIST[INVESTOR CODE],0),)," ")</f>
        <v xml:space="preserve"> </v>
      </c>
      <c r="I829" s="223"/>
      <c r="J829" s="224" t="s">
        <v>80</v>
      </c>
      <c r="K829" s="225">
        <v>1354373.4</v>
      </c>
      <c r="L829" s="225"/>
    </row>
    <row r="830" spans="1:13" ht="11.25" customHeight="1" x14ac:dyDescent="0.2">
      <c r="A830" s="164">
        <v>2022</v>
      </c>
      <c r="B830" s="164">
        <v>4</v>
      </c>
      <c r="C830" s="164">
        <v>18</v>
      </c>
      <c r="D830" s="164">
        <f t="shared" si="76"/>
        <v>44669</v>
      </c>
      <c r="E830" s="235">
        <f t="shared" si="82"/>
        <v>44669</v>
      </c>
      <c r="F830" s="480"/>
      <c r="G830" s="208" t="s">
        <v>86</v>
      </c>
      <c r="H830" s="208"/>
      <c r="J830" s="165" t="s">
        <v>960</v>
      </c>
      <c r="K830" s="205">
        <v>5021.2</v>
      </c>
      <c r="L830" s="205"/>
    </row>
    <row r="831" spans="1:13" ht="11.25" customHeight="1" x14ac:dyDescent="0.2">
      <c r="A831" s="164">
        <v>2022</v>
      </c>
      <c r="B831" s="164">
        <v>4</v>
      </c>
      <c r="C831" s="164">
        <v>18</v>
      </c>
      <c r="D831" s="164">
        <f t="shared" si="76"/>
        <v>44669</v>
      </c>
      <c r="E831" s="235">
        <f t="shared" si="82"/>
        <v>44669</v>
      </c>
      <c r="F831" s="480"/>
      <c r="G831" s="208" t="s">
        <v>86</v>
      </c>
      <c r="H831" s="208"/>
      <c r="J831" s="165" t="s">
        <v>199</v>
      </c>
      <c r="K831" s="205">
        <v>75774.12</v>
      </c>
      <c r="L831" s="205"/>
      <c r="M831" s="166"/>
    </row>
    <row r="832" spans="1:13" ht="11.25" customHeight="1" x14ac:dyDescent="0.2">
      <c r="A832" s="164">
        <v>2022</v>
      </c>
      <c r="B832" s="164">
        <v>4</v>
      </c>
      <c r="C832" s="164">
        <v>18</v>
      </c>
      <c r="D832" s="164">
        <f t="shared" si="76"/>
        <v>44669</v>
      </c>
      <c r="E832" s="235">
        <f t="shared" si="82"/>
        <v>44669</v>
      </c>
      <c r="F832" s="480"/>
      <c r="G832" s="208" t="s">
        <v>86</v>
      </c>
      <c r="H832" s="208" t="str" cm="1">
        <f t="array" ref="H832">IFERROR(INDEX(INVESTOR_LIST[INVESTOR NAME],MATCH(I832,INVESTOR_LIST[INVESTOR CODE],0),)," ")</f>
        <v xml:space="preserve"> </v>
      </c>
      <c r="J832" s="165" t="s">
        <v>200</v>
      </c>
      <c r="K832" s="205">
        <v>35580.76</v>
      </c>
      <c r="L832" s="205"/>
    </row>
    <row r="833" spans="1:12" ht="11.25" customHeight="1" x14ac:dyDescent="0.2">
      <c r="A833" s="226">
        <v>2022</v>
      </c>
      <c r="B833" s="226">
        <v>4</v>
      </c>
      <c r="C833" s="226">
        <v>18</v>
      </c>
      <c r="D833" s="226">
        <f t="shared" si="76"/>
        <v>44669</v>
      </c>
      <c r="E833" s="234">
        <f t="shared" si="82"/>
        <v>44669</v>
      </c>
      <c r="F833" s="479"/>
      <c r="G833" s="227" t="s">
        <v>86</v>
      </c>
      <c r="H833" s="228" t="str" cm="1">
        <f t="array" ref="H833">IFERROR(INDEX(INVESTOR_LIST[INVESTOR NAME],MATCH(I833,INVESTOR_LIST[INVESTOR CODE],0),)," ")</f>
        <v xml:space="preserve"> </v>
      </c>
      <c r="I833" s="228"/>
      <c r="J833" s="229" t="s">
        <v>80</v>
      </c>
      <c r="K833" s="230"/>
      <c r="L833" s="230">
        <v>1470749.48</v>
      </c>
    </row>
    <row r="834" spans="1:12" ht="11.25" customHeight="1" x14ac:dyDescent="0.2">
      <c r="A834" s="221">
        <v>2022</v>
      </c>
      <c r="B834" s="221">
        <v>4</v>
      </c>
      <c r="C834" s="221">
        <v>19</v>
      </c>
      <c r="D834" s="221">
        <f t="shared" si="76"/>
        <v>44670</v>
      </c>
      <c r="E834" s="233">
        <f t="shared" ref="E834:E838" si="83">DATE(A834,B834,C834)</f>
        <v>44670</v>
      </c>
      <c r="F834" s="478" t="s">
        <v>1135</v>
      </c>
      <c r="G834" s="222" t="s">
        <v>86</v>
      </c>
      <c r="H834" s="222" t="str" cm="1">
        <f t="array" ref="H834">IFERROR(INDEX(INVESTOR_LIST[INVESTOR NAME],MATCH(I834,INVESTOR_LIST[INVESTOR CODE],0),)," ")</f>
        <v xml:space="preserve"> </v>
      </c>
      <c r="I834" s="223"/>
      <c r="J834" s="224" t="s">
        <v>80</v>
      </c>
      <c r="K834" s="225">
        <v>3596901.4</v>
      </c>
      <c r="L834" s="225"/>
    </row>
    <row r="835" spans="1:12" ht="11.25" customHeight="1" x14ac:dyDescent="0.2">
      <c r="A835" s="164">
        <v>2022</v>
      </c>
      <c r="B835" s="164">
        <v>4</v>
      </c>
      <c r="C835" s="164">
        <v>19</v>
      </c>
      <c r="D835" s="164">
        <f t="shared" si="76"/>
        <v>44670</v>
      </c>
      <c r="E835" s="235">
        <f t="shared" si="83"/>
        <v>44670</v>
      </c>
      <c r="F835" s="480"/>
      <c r="G835" s="208" t="s">
        <v>86</v>
      </c>
      <c r="H835" s="208"/>
      <c r="J835" s="165" t="s">
        <v>960</v>
      </c>
      <c r="K835" s="205">
        <v>8507.9699999999993</v>
      </c>
      <c r="L835" s="205"/>
    </row>
    <row r="836" spans="1:12" ht="11.25" customHeight="1" x14ac:dyDescent="0.2">
      <c r="A836" s="164">
        <v>2022</v>
      </c>
      <c r="B836" s="164">
        <v>4</v>
      </c>
      <c r="C836" s="164">
        <v>19</v>
      </c>
      <c r="D836" s="164">
        <f t="shared" si="76"/>
        <v>44670</v>
      </c>
      <c r="E836" s="235">
        <f t="shared" si="83"/>
        <v>44670</v>
      </c>
      <c r="F836" s="480"/>
      <c r="G836" s="208" t="s">
        <v>86</v>
      </c>
      <c r="H836" s="208"/>
      <c r="J836" s="165" t="s">
        <v>200</v>
      </c>
      <c r="K836" s="205">
        <v>39620.94</v>
      </c>
      <c r="L836" s="205"/>
    </row>
    <row r="837" spans="1:12" ht="11.25" customHeight="1" x14ac:dyDescent="0.2">
      <c r="A837" s="164">
        <v>2022</v>
      </c>
      <c r="B837" s="164">
        <v>4</v>
      </c>
      <c r="C837" s="164">
        <v>19</v>
      </c>
      <c r="D837" s="164">
        <f t="shared" si="76"/>
        <v>44670</v>
      </c>
      <c r="E837" s="235">
        <f t="shared" si="83"/>
        <v>44670</v>
      </c>
      <c r="F837" s="480"/>
      <c r="G837" s="208" t="s">
        <v>86</v>
      </c>
      <c r="H837" s="208" t="str" cm="1">
        <f t="array" ref="H837">IFERROR(INDEX(INVESTOR_LIST[INVESTOR NAME],MATCH(I837,INVESTOR_LIST[INVESTOR CODE],0),)," ")</f>
        <v xml:space="preserve"> </v>
      </c>
      <c r="J837" s="165" t="s">
        <v>961</v>
      </c>
      <c r="K837" s="205"/>
      <c r="L837" s="205">
        <v>2475659.37</v>
      </c>
    </row>
    <row r="838" spans="1:12" ht="11.25" customHeight="1" x14ac:dyDescent="0.2">
      <c r="A838" s="226">
        <v>2022</v>
      </c>
      <c r="B838" s="226">
        <v>4</v>
      </c>
      <c r="C838" s="226">
        <v>19</v>
      </c>
      <c r="D838" s="226">
        <f t="shared" si="76"/>
        <v>44670</v>
      </c>
      <c r="E838" s="234">
        <f t="shared" si="83"/>
        <v>44670</v>
      </c>
      <c r="F838" s="479"/>
      <c r="G838" s="227" t="s">
        <v>86</v>
      </c>
      <c r="H838" s="228" t="str" cm="1">
        <f t="array" ref="H838">IFERROR(INDEX(INVESTOR_LIST[INVESTOR NAME],MATCH(I838,INVESTOR_LIST[INVESTOR CODE],0),)," ")</f>
        <v xml:space="preserve"> </v>
      </c>
      <c r="I838" s="228"/>
      <c r="J838" s="229" t="s">
        <v>80</v>
      </c>
      <c r="K838" s="230"/>
      <c r="L838" s="230">
        <v>1169370.94</v>
      </c>
    </row>
    <row r="839" spans="1:12" ht="11.25" customHeight="1" x14ac:dyDescent="0.2">
      <c r="A839" s="221">
        <v>2022</v>
      </c>
      <c r="B839" s="221">
        <v>4</v>
      </c>
      <c r="C839" s="221">
        <v>19</v>
      </c>
      <c r="D839" s="231">
        <f t="shared" si="76"/>
        <v>44670</v>
      </c>
      <c r="E839" s="233">
        <f>DATE(A839,B839,C839)</f>
        <v>44670</v>
      </c>
      <c r="F839" s="478" t="s">
        <v>1164</v>
      </c>
      <c r="G839" s="222" t="s">
        <v>1111</v>
      </c>
      <c r="H839" s="223" t="str" cm="1">
        <f t="array" ref="H839">IFERROR(INDEX(INVESTOR_LIST[INVESTOR NAME],MATCH(I839,INVESTOR_LIST[INVESTOR CODE],0),)," ")</f>
        <v xml:space="preserve"> </v>
      </c>
      <c r="I839" s="223"/>
      <c r="J839" s="224" t="s">
        <v>55</v>
      </c>
      <c r="K839" s="225">
        <v>509611.05</v>
      </c>
      <c r="L839" s="225"/>
    </row>
    <row r="840" spans="1:12" ht="11.25" customHeight="1" x14ac:dyDescent="0.2">
      <c r="A840" s="226">
        <v>2022</v>
      </c>
      <c r="B840" s="226">
        <v>4</v>
      </c>
      <c r="C840" s="226">
        <v>19</v>
      </c>
      <c r="D840" s="232">
        <f t="shared" si="76"/>
        <v>44670</v>
      </c>
      <c r="E840" s="234">
        <f>DATE(A840,B840,C840)</f>
        <v>44670</v>
      </c>
      <c r="F840" s="479"/>
      <c r="G840" s="227" t="s">
        <v>1111</v>
      </c>
      <c r="H840" s="228" t="str" cm="1">
        <f t="array" ref="H840">IFERROR(INDEX(INVESTOR_LIST[INVESTOR NAME],MATCH(I840,INVESTOR_LIST[INVESTOR CODE],0),)," ")</f>
        <v xml:space="preserve"> </v>
      </c>
      <c r="I840" s="228"/>
      <c r="J840" s="229" t="s">
        <v>199</v>
      </c>
      <c r="K840" s="230"/>
      <c r="L840" s="230">
        <v>509611.05</v>
      </c>
    </row>
    <row r="841" spans="1:12" ht="11.25" customHeight="1" x14ac:dyDescent="0.2">
      <c r="A841" s="221">
        <v>2022</v>
      </c>
      <c r="B841" s="221">
        <v>4</v>
      </c>
      <c r="C841" s="221">
        <v>19</v>
      </c>
      <c r="D841" s="231">
        <f t="shared" ref="D841:D904" si="84">DATE(A841,B841,C841)</f>
        <v>44670</v>
      </c>
      <c r="E841" s="233">
        <f>DATE(A841,B841,C841)</f>
        <v>44670</v>
      </c>
      <c r="F841" s="478" t="s">
        <v>1164</v>
      </c>
      <c r="G841" s="222" t="s">
        <v>1111</v>
      </c>
      <c r="H841" s="223" t="str" cm="1">
        <f t="array" ref="H841">IFERROR(INDEX(INVESTOR_LIST[INVESTOR NAME],MATCH(I841,INVESTOR_LIST[INVESTOR CODE],0),)," ")</f>
        <v xml:space="preserve"> </v>
      </c>
      <c r="I841" s="223"/>
      <c r="J841" s="224" t="s">
        <v>55</v>
      </c>
      <c r="K841" s="225">
        <v>12785.7</v>
      </c>
      <c r="L841" s="225"/>
    </row>
    <row r="842" spans="1:12" ht="11.25" customHeight="1" x14ac:dyDescent="0.2">
      <c r="A842" s="226">
        <v>2022</v>
      </c>
      <c r="B842" s="226">
        <v>4</v>
      </c>
      <c r="C842" s="226">
        <v>19</v>
      </c>
      <c r="D842" s="232">
        <f t="shared" si="84"/>
        <v>44670</v>
      </c>
      <c r="E842" s="234">
        <f>DATE(A842,B842,C842)</f>
        <v>44670</v>
      </c>
      <c r="F842" s="479"/>
      <c r="G842" s="227" t="s">
        <v>1111</v>
      </c>
      <c r="H842" s="228" t="str" cm="1">
        <f t="array" ref="H842">IFERROR(INDEX(INVESTOR_LIST[INVESTOR NAME],MATCH(I842,INVESTOR_LIST[INVESTOR CODE],0),)," ")</f>
        <v xml:space="preserve"> </v>
      </c>
      <c r="I842" s="228"/>
      <c r="J842" s="229" t="s">
        <v>199</v>
      </c>
      <c r="K842" s="230"/>
      <c r="L842" s="230">
        <v>12785.7</v>
      </c>
    </row>
    <row r="843" spans="1:12" ht="11.25" customHeight="1" x14ac:dyDescent="0.2">
      <c r="A843" s="221">
        <v>2022</v>
      </c>
      <c r="B843" s="221">
        <v>4</v>
      </c>
      <c r="C843" s="221">
        <v>19</v>
      </c>
      <c r="D843" s="231">
        <f t="shared" si="84"/>
        <v>44670</v>
      </c>
      <c r="E843" s="233">
        <f t="shared" ref="E843:E845" si="85">DATE(A843,B843,C843)</f>
        <v>44670</v>
      </c>
      <c r="F843" s="478" t="s">
        <v>1115</v>
      </c>
      <c r="G843" s="222" t="s">
        <v>1111</v>
      </c>
      <c r="H843" s="223" t="str" cm="1">
        <f t="array" ref="H843">IFERROR(INDEX(INVESTOR_LIST[INVESTOR NAME],MATCH(I843,INVESTOR_LIST[INVESTOR CODE],0),)," ")</f>
        <v>MOHAMMAD MONJUR ALAM</v>
      </c>
      <c r="I843" s="223" t="s">
        <v>380</v>
      </c>
      <c r="J843" s="224" t="s">
        <v>14</v>
      </c>
      <c r="K843" s="225">
        <v>500000</v>
      </c>
      <c r="L843" s="225"/>
    </row>
    <row r="844" spans="1:12" ht="11.25" customHeight="1" x14ac:dyDescent="0.2">
      <c r="A844" s="164">
        <v>2022</v>
      </c>
      <c r="B844" s="164">
        <v>4</v>
      </c>
      <c r="C844" s="164">
        <v>19</v>
      </c>
      <c r="D844" s="156">
        <f t="shared" si="84"/>
        <v>44670</v>
      </c>
      <c r="E844" s="235">
        <f t="shared" si="85"/>
        <v>44670</v>
      </c>
      <c r="F844" s="480"/>
      <c r="G844" s="208" t="s">
        <v>1111</v>
      </c>
      <c r="H844" s="206" t="str" cm="1">
        <f t="array" ref="H844">IFERROR(INDEX(INVESTOR_LIST[INVESTOR NAME],MATCH(I844,INVESTOR_LIST[INVESTOR CODE],0),)," ")</f>
        <v>MOHAMMAD MONJUR ALAM</v>
      </c>
      <c r="I844" s="206" t="s">
        <v>380</v>
      </c>
      <c r="J844" s="165" t="s">
        <v>1112</v>
      </c>
      <c r="K844" s="205"/>
      <c r="L844" s="205">
        <v>500</v>
      </c>
    </row>
    <row r="845" spans="1:12" ht="11.25" customHeight="1" x14ac:dyDescent="0.2">
      <c r="A845" s="226">
        <v>2022</v>
      </c>
      <c r="B845" s="226">
        <v>4</v>
      </c>
      <c r="C845" s="226">
        <v>19</v>
      </c>
      <c r="D845" s="232">
        <f t="shared" si="84"/>
        <v>44670</v>
      </c>
      <c r="E845" s="234">
        <f t="shared" si="85"/>
        <v>44670</v>
      </c>
      <c r="F845" s="479"/>
      <c r="G845" s="227" t="s">
        <v>1111</v>
      </c>
      <c r="H845" s="228" t="str" cm="1">
        <f t="array" ref="H845">IFERROR(INDEX(INVESTOR_LIST[INVESTOR NAME],MATCH(I845,INVESTOR_LIST[INVESTOR CODE],0),)," ")</f>
        <v>MOHAMMAD MONJUR ALAM</v>
      </c>
      <c r="I845" s="228" t="s">
        <v>380</v>
      </c>
      <c r="J845" s="229" t="s">
        <v>55</v>
      </c>
      <c r="K845" s="230"/>
      <c r="L845" s="230">
        <v>499500</v>
      </c>
    </row>
    <row r="846" spans="1:12" ht="11.25" customHeight="1" x14ac:dyDescent="0.2">
      <c r="A846" s="221">
        <v>2022</v>
      </c>
      <c r="B846" s="221">
        <v>4</v>
      </c>
      <c r="C846" s="221">
        <v>20</v>
      </c>
      <c r="D846" s="231">
        <f t="shared" si="84"/>
        <v>44671</v>
      </c>
      <c r="E846" s="233">
        <f t="shared" ref="E846:E847" si="86">DATE(A846,B846,C846)</f>
        <v>44671</v>
      </c>
      <c r="F846" s="478" t="s">
        <v>1180</v>
      </c>
      <c r="G846" s="222" t="s">
        <v>1111</v>
      </c>
      <c r="H846" s="223" t="str" cm="1">
        <f t="array" ref="H846">IFERROR(INDEX(INVESTOR_LIST[INVESTOR NAME],MATCH(I846,INVESTOR_LIST[INVESTOR CODE],0),)," ")</f>
        <v xml:space="preserve"> </v>
      </c>
      <c r="I846" s="223"/>
      <c r="J846" s="224" t="s">
        <v>55</v>
      </c>
      <c r="K846" s="225">
        <v>75000</v>
      </c>
      <c r="L846" s="225" t="s">
        <v>1119</v>
      </c>
    </row>
    <row r="847" spans="1:12" ht="11.25" customHeight="1" x14ac:dyDescent="0.2">
      <c r="A847" s="226">
        <v>2022</v>
      </c>
      <c r="B847" s="226">
        <v>4</v>
      </c>
      <c r="C847" s="226">
        <v>20</v>
      </c>
      <c r="D847" s="232">
        <f t="shared" si="84"/>
        <v>44671</v>
      </c>
      <c r="E847" s="234">
        <f t="shared" si="86"/>
        <v>44671</v>
      </c>
      <c r="F847" s="479"/>
      <c r="G847" s="227" t="s">
        <v>1111</v>
      </c>
      <c r="H847" s="228" t="str" cm="1">
        <f t="array" ref="H847">IFERROR(INDEX(INVESTOR_LIST[INVESTOR NAME],MATCH(I847,INVESTOR_LIST[INVESTOR CODE],0),)," ")</f>
        <v xml:space="preserve"> </v>
      </c>
      <c r="I847" s="228"/>
      <c r="J847" s="229" t="s">
        <v>192</v>
      </c>
      <c r="K847" s="230" t="s">
        <v>1119</v>
      </c>
      <c r="L847" s="230">
        <v>75000</v>
      </c>
    </row>
    <row r="848" spans="1:12" ht="11.25" customHeight="1" x14ac:dyDescent="0.2">
      <c r="A848" s="221">
        <v>2022</v>
      </c>
      <c r="B848" s="221">
        <v>4</v>
      </c>
      <c r="C848" s="221">
        <v>21</v>
      </c>
      <c r="D848" s="231">
        <f t="shared" si="84"/>
        <v>44672</v>
      </c>
      <c r="E848" s="233">
        <f>DATE(A848,B848,C848)</f>
        <v>44672</v>
      </c>
      <c r="F848" s="478" t="s">
        <v>1164</v>
      </c>
      <c r="G848" s="222" t="s">
        <v>1111</v>
      </c>
      <c r="H848" s="223" t="str" cm="1">
        <f t="array" ref="H848">IFERROR(INDEX(INVESTOR_LIST[INVESTOR NAME],MATCH(I848,INVESTOR_LIST[INVESTOR CODE],0),)," ")</f>
        <v xml:space="preserve"> </v>
      </c>
      <c r="I848" s="223"/>
      <c r="J848" s="224" t="s">
        <v>55</v>
      </c>
      <c r="K848" s="225">
        <v>75774.12</v>
      </c>
      <c r="L848" s="225"/>
    </row>
    <row r="849" spans="1:13" ht="11.25" customHeight="1" x14ac:dyDescent="0.2">
      <c r="A849" s="226">
        <v>2022</v>
      </c>
      <c r="B849" s="226">
        <v>4</v>
      </c>
      <c r="C849" s="226">
        <v>21</v>
      </c>
      <c r="D849" s="232">
        <f t="shared" si="84"/>
        <v>44672</v>
      </c>
      <c r="E849" s="234">
        <f>DATE(A849,B849,C849)</f>
        <v>44672</v>
      </c>
      <c r="F849" s="479"/>
      <c r="G849" s="227" t="s">
        <v>1111</v>
      </c>
      <c r="H849" s="228" t="str" cm="1">
        <f t="array" ref="H849">IFERROR(INDEX(INVESTOR_LIST[INVESTOR NAME],MATCH(I849,INVESTOR_LIST[INVESTOR CODE],0),)," ")</f>
        <v xml:space="preserve"> </v>
      </c>
      <c r="I849" s="228"/>
      <c r="J849" s="229" t="s">
        <v>199</v>
      </c>
      <c r="K849" s="230"/>
      <c r="L849" s="230">
        <v>75774.12</v>
      </c>
    </row>
    <row r="850" spans="1:13" ht="11.25" customHeight="1" x14ac:dyDescent="0.2">
      <c r="A850" s="221">
        <v>2022</v>
      </c>
      <c r="B850" s="221">
        <v>4</v>
      </c>
      <c r="C850" s="221">
        <v>21</v>
      </c>
      <c r="D850" s="231">
        <f t="shared" si="84"/>
        <v>44672</v>
      </c>
      <c r="E850" s="233">
        <f t="shared" ref="E850:E852" si="87">DATE(A850,B850,C850)</f>
        <v>44672</v>
      </c>
      <c r="F850" s="478" t="s">
        <v>802</v>
      </c>
      <c r="G850" s="222" t="s">
        <v>1111</v>
      </c>
      <c r="H850" s="223" t="str" cm="1">
        <f t="array" ref="H850">IFERROR(INDEX(INVESTOR_LIST[INVESTOR NAME],MATCH(I850,INVESTOR_LIST[INVESTOR CODE],0),)," ")</f>
        <v>RAHNUMA SULTANA</v>
      </c>
      <c r="I850" s="223" t="s">
        <v>395</v>
      </c>
      <c r="J850" s="224" t="s">
        <v>55</v>
      </c>
      <c r="K850" s="225">
        <v>100000</v>
      </c>
      <c r="L850" s="225"/>
    </row>
    <row r="851" spans="1:13" ht="11.25" customHeight="1" x14ac:dyDescent="0.2">
      <c r="A851" s="164">
        <v>2022</v>
      </c>
      <c r="B851" s="164">
        <v>4</v>
      </c>
      <c r="C851" s="164">
        <v>21</v>
      </c>
      <c r="D851" s="156">
        <f t="shared" si="84"/>
        <v>44672</v>
      </c>
      <c r="E851" s="235">
        <f t="shared" si="87"/>
        <v>44672</v>
      </c>
      <c r="F851" s="480"/>
      <c r="G851" s="208" t="s">
        <v>1111</v>
      </c>
      <c r="H851" s="206" t="str" cm="1">
        <f t="array" ref="H851">IFERROR(INDEX(INVESTOR_LIST[INVESTOR NAME],MATCH(I851,INVESTOR_LIST[INVESTOR CODE],0),)," ")</f>
        <v>RAHNUMA SULTANA</v>
      </c>
      <c r="I851" s="206" t="s">
        <v>395</v>
      </c>
      <c r="J851" s="165" t="s">
        <v>1112</v>
      </c>
      <c r="K851" s="205">
        <v>100</v>
      </c>
      <c r="L851" s="205"/>
      <c r="M851" s="166"/>
    </row>
    <row r="852" spans="1:13" ht="11.25" customHeight="1" x14ac:dyDescent="0.2">
      <c r="A852" s="226">
        <v>2022</v>
      </c>
      <c r="B852" s="226">
        <v>4</v>
      </c>
      <c r="C852" s="226">
        <v>21</v>
      </c>
      <c r="D852" s="232">
        <f t="shared" si="84"/>
        <v>44672</v>
      </c>
      <c r="E852" s="234">
        <f t="shared" si="87"/>
        <v>44672</v>
      </c>
      <c r="F852" s="479"/>
      <c r="G852" s="227" t="s">
        <v>1111</v>
      </c>
      <c r="H852" s="228" t="str" cm="1">
        <f t="array" ref="H852">IFERROR(INDEX(INVESTOR_LIST[INVESTOR NAME],MATCH(I852,INVESTOR_LIST[INVESTOR CODE],0),)," ")</f>
        <v>RAHNUMA SULTANA</v>
      </c>
      <c r="I852" s="228" t="s">
        <v>395</v>
      </c>
      <c r="J852" s="229" t="s">
        <v>14</v>
      </c>
      <c r="K852" s="230"/>
      <c r="L852" s="230">
        <v>100100</v>
      </c>
    </row>
    <row r="853" spans="1:13" ht="11.25" customHeight="1" x14ac:dyDescent="0.2">
      <c r="A853" s="221">
        <v>2022</v>
      </c>
      <c r="B853" s="221">
        <v>4</v>
      </c>
      <c r="C853" s="221">
        <v>21</v>
      </c>
      <c r="D853" s="231">
        <f t="shared" si="84"/>
        <v>44672</v>
      </c>
      <c r="E853" s="233">
        <f t="shared" ref="E853:E882" si="88">DATE(A853,B853,C853)</f>
        <v>44672</v>
      </c>
      <c r="F853" s="478" t="s">
        <v>802</v>
      </c>
      <c r="G853" s="222" t="s">
        <v>1111</v>
      </c>
      <c r="H853" s="223" t="str" cm="1">
        <f t="array" ref="H853">IFERROR(INDEX(INVESTOR_LIST[INVESTOR NAME],MATCH(I853,INVESTOR_LIST[INVESTOR CODE],0),)," ")</f>
        <v>SHAHINOOR KHANUM</v>
      </c>
      <c r="I853" s="223" t="s">
        <v>1186</v>
      </c>
      <c r="J853" s="224" t="s">
        <v>55</v>
      </c>
      <c r="K853" s="225">
        <v>105000</v>
      </c>
      <c r="L853" s="225"/>
    </row>
    <row r="854" spans="1:13" ht="11.25" customHeight="1" x14ac:dyDescent="0.2">
      <c r="A854" s="164">
        <v>2022</v>
      </c>
      <c r="B854" s="164">
        <v>4</v>
      </c>
      <c r="C854" s="164">
        <v>21</v>
      </c>
      <c r="D854" s="156">
        <f t="shared" si="84"/>
        <v>44672</v>
      </c>
      <c r="E854" s="235">
        <f t="shared" si="88"/>
        <v>44672</v>
      </c>
      <c r="F854" s="480"/>
      <c r="G854" s="208" t="s">
        <v>1111</v>
      </c>
      <c r="H854" s="206" t="str" cm="1">
        <f t="array" ref="H854">IFERROR(INDEX(INVESTOR_LIST[INVESTOR NAME],MATCH(I854,INVESTOR_LIST[INVESTOR CODE],0),)," ")</f>
        <v>SHAHINOOR KHANUM</v>
      </c>
      <c r="I854" s="206" t="s">
        <v>1186</v>
      </c>
      <c r="J854" s="165" t="s">
        <v>1112</v>
      </c>
      <c r="K854" s="205">
        <v>110</v>
      </c>
      <c r="L854" s="205"/>
    </row>
    <row r="855" spans="1:13" ht="11.25" customHeight="1" x14ac:dyDescent="0.2">
      <c r="A855" s="226">
        <v>2022</v>
      </c>
      <c r="B855" s="226">
        <v>4</v>
      </c>
      <c r="C855" s="226">
        <v>21</v>
      </c>
      <c r="D855" s="232">
        <f t="shared" si="84"/>
        <v>44672</v>
      </c>
      <c r="E855" s="234">
        <f t="shared" si="88"/>
        <v>44672</v>
      </c>
      <c r="F855" s="479"/>
      <c r="G855" s="227" t="s">
        <v>1111</v>
      </c>
      <c r="H855" s="228" t="str" cm="1">
        <f t="array" ref="H855">IFERROR(INDEX(INVESTOR_LIST[INVESTOR NAME],MATCH(I855,INVESTOR_LIST[INVESTOR CODE],0),)," ")</f>
        <v>SHAHINOOR KHANUM</v>
      </c>
      <c r="I855" s="228" t="s">
        <v>1186</v>
      </c>
      <c r="J855" s="229" t="s">
        <v>14</v>
      </c>
      <c r="K855" s="230"/>
      <c r="L855" s="230">
        <v>105110</v>
      </c>
      <c r="M855" s="166"/>
    </row>
    <row r="856" spans="1:13" ht="11.25" customHeight="1" x14ac:dyDescent="0.2">
      <c r="A856" s="236">
        <v>2022</v>
      </c>
      <c r="B856" s="236">
        <v>4</v>
      </c>
      <c r="C856" s="236">
        <v>21</v>
      </c>
      <c r="D856" s="237">
        <f t="shared" si="84"/>
        <v>44672</v>
      </c>
      <c r="E856" s="238">
        <f t="shared" si="88"/>
        <v>44672</v>
      </c>
      <c r="F856" s="476" t="s">
        <v>1118</v>
      </c>
      <c r="G856" s="239" t="s">
        <v>86</v>
      </c>
      <c r="H856" s="239" t="str" cm="1">
        <f t="array" ref="H856">IFERROR(INDEX(INVESTOR_LIST[INVESTOR NAME],MATCH(I856,INVESTOR_LIST[INVESTOR CODE],0),)," ")</f>
        <v xml:space="preserve"> </v>
      </c>
      <c r="I856" s="240"/>
      <c r="J856" s="241" t="s">
        <v>98</v>
      </c>
      <c r="K856" s="242">
        <v>2441229.2699999958</v>
      </c>
      <c r="L856" s="242"/>
    </row>
    <row r="857" spans="1:13" ht="11.25" customHeight="1" x14ac:dyDescent="0.2">
      <c r="A857" s="243">
        <v>2022</v>
      </c>
      <c r="B857" s="243">
        <v>4</v>
      </c>
      <c r="C857" s="243">
        <v>21</v>
      </c>
      <c r="D857" s="248">
        <f t="shared" si="84"/>
        <v>44672</v>
      </c>
      <c r="E857" s="249">
        <f t="shared" si="88"/>
        <v>44672</v>
      </c>
      <c r="F857" s="477"/>
      <c r="G857" s="244" t="s">
        <v>86</v>
      </c>
      <c r="H857" s="244" t="str" cm="1">
        <f t="array" ref="H857">IFERROR(INDEX(INVESTOR_LIST[INVESTOR NAME],MATCH(I857,INVESTOR_LIST[INVESTOR CODE],0),)," ")</f>
        <v xml:space="preserve"> </v>
      </c>
      <c r="I857" s="245"/>
      <c r="J857" s="246" t="s">
        <v>82</v>
      </c>
      <c r="K857" s="247"/>
      <c r="L857" s="247">
        <v>2441229.2699999958</v>
      </c>
    </row>
    <row r="858" spans="1:13" ht="11.25" customHeight="1" x14ac:dyDescent="0.2">
      <c r="A858" s="236">
        <v>2022</v>
      </c>
      <c r="B858" s="236">
        <v>4</v>
      </c>
      <c r="C858" s="236">
        <v>21</v>
      </c>
      <c r="D858" s="237">
        <f t="shared" si="84"/>
        <v>44672</v>
      </c>
      <c r="E858" s="238">
        <f t="shared" si="88"/>
        <v>44672</v>
      </c>
      <c r="F858" s="476" t="s">
        <v>1120</v>
      </c>
      <c r="G858" s="239" t="s">
        <v>86</v>
      </c>
      <c r="H858" s="239" t="str" cm="1">
        <f t="array" ref="H858">IFERROR(INDEX(INVESTOR_LIST[INVESTOR NAME],MATCH(I858,INVESTOR_LIST[INVESTOR CODE],0),)," ")</f>
        <v xml:space="preserve"> </v>
      </c>
      <c r="I858" s="240"/>
      <c r="J858" s="241" t="s">
        <v>87</v>
      </c>
      <c r="K858" s="242">
        <v>2747.2527472527472</v>
      </c>
      <c r="L858" s="242"/>
    </row>
    <row r="859" spans="1:13" ht="11.25" customHeight="1" x14ac:dyDescent="0.2">
      <c r="A859" s="243">
        <v>2022</v>
      </c>
      <c r="B859" s="243">
        <v>4</v>
      </c>
      <c r="C859" s="243">
        <v>21</v>
      </c>
      <c r="D859" s="248">
        <f t="shared" si="84"/>
        <v>44672</v>
      </c>
      <c r="E859" s="249">
        <f t="shared" si="88"/>
        <v>44672</v>
      </c>
      <c r="F859" s="477"/>
      <c r="G859" s="244" t="s">
        <v>86</v>
      </c>
      <c r="H859" s="244" t="str" cm="1">
        <f t="array" ref="H859">IFERROR(INDEX(INVESTOR_LIST[INVESTOR NAME],MATCH(I859,INVESTOR_LIST[INVESTOR CODE],0),)," ")</f>
        <v xml:space="preserve"> </v>
      </c>
      <c r="I859" s="245"/>
      <c r="J859" s="246" t="s">
        <v>64</v>
      </c>
      <c r="K859" s="247"/>
      <c r="L859" s="247">
        <v>2747.2527472527472</v>
      </c>
    </row>
    <row r="860" spans="1:13" ht="11.25" customHeight="1" x14ac:dyDescent="0.2">
      <c r="A860" s="236">
        <v>2022</v>
      </c>
      <c r="B860" s="236">
        <v>4</v>
      </c>
      <c r="C860" s="236">
        <v>21</v>
      </c>
      <c r="D860" s="237">
        <f t="shared" si="84"/>
        <v>44672</v>
      </c>
      <c r="E860" s="238">
        <f t="shared" si="88"/>
        <v>44672</v>
      </c>
      <c r="F860" s="476" t="s">
        <v>1121</v>
      </c>
      <c r="G860" s="239" t="s">
        <v>86</v>
      </c>
      <c r="H860" s="239" t="str" cm="1">
        <f t="array" ref="H860">IFERROR(INDEX(INVESTOR_LIST[INVESTOR NAME],MATCH(I860,INVESTOR_LIST[INVESTOR CODE],0),)," ")</f>
        <v xml:space="preserve"> </v>
      </c>
      <c r="I860" s="240"/>
      <c r="J860" s="241" t="s">
        <v>89</v>
      </c>
      <c r="K860" s="242">
        <v>101532.09582346687</v>
      </c>
      <c r="L860" s="242"/>
    </row>
    <row r="861" spans="1:13" ht="11.25" customHeight="1" x14ac:dyDescent="0.2">
      <c r="A861" s="243">
        <v>2022</v>
      </c>
      <c r="B861" s="243">
        <v>4</v>
      </c>
      <c r="C861" s="243">
        <v>21</v>
      </c>
      <c r="D861" s="248">
        <f t="shared" si="84"/>
        <v>44672</v>
      </c>
      <c r="E861" s="249">
        <f t="shared" si="88"/>
        <v>44672</v>
      </c>
      <c r="F861" s="477"/>
      <c r="G861" s="244" t="s">
        <v>86</v>
      </c>
      <c r="H861" s="244" t="str" cm="1">
        <f t="array" ref="H861">IFERROR(INDEX(INVESTOR_LIST[INVESTOR NAME],MATCH(I861,INVESTOR_LIST[INVESTOR CODE],0),)," ")</f>
        <v xml:space="preserve"> </v>
      </c>
      <c r="I861" s="245"/>
      <c r="J861" s="246" t="s">
        <v>50</v>
      </c>
      <c r="K861" s="247"/>
      <c r="L861" s="247">
        <v>101532.09582346687</v>
      </c>
    </row>
    <row r="862" spans="1:13" ht="11.25" customHeight="1" x14ac:dyDescent="0.2">
      <c r="A862" s="236">
        <v>2022</v>
      </c>
      <c r="B862" s="236">
        <v>4</v>
      </c>
      <c r="C862" s="236">
        <v>21</v>
      </c>
      <c r="D862" s="237">
        <f t="shared" si="84"/>
        <v>44672</v>
      </c>
      <c r="E862" s="238">
        <f t="shared" si="88"/>
        <v>44672</v>
      </c>
      <c r="F862" s="476" t="s">
        <v>1122</v>
      </c>
      <c r="G862" s="239" t="s">
        <v>86</v>
      </c>
      <c r="H862" s="239" t="str" cm="1">
        <f t="array" ref="H862">IFERROR(INDEX(INVESTOR_LIST[INVESTOR NAME],MATCH(I862,INVESTOR_LIST[INVESTOR CODE],0),)," ")</f>
        <v xml:space="preserve"> </v>
      </c>
      <c r="I862" s="240"/>
      <c r="J862" s="241" t="s">
        <v>91</v>
      </c>
      <c r="K862" s="242">
        <v>4845.7294651542015</v>
      </c>
      <c r="L862" s="242"/>
    </row>
    <row r="863" spans="1:13" ht="11.25" customHeight="1" x14ac:dyDescent="0.2">
      <c r="A863" s="243">
        <v>2022</v>
      </c>
      <c r="B863" s="243">
        <v>4</v>
      </c>
      <c r="C863" s="243">
        <v>21</v>
      </c>
      <c r="D863" s="248">
        <f t="shared" si="84"/>
        <v>44672</v>
      </c>
      <c r="E863" s="249">
        <f t="shared" si="88"/>
        <v>44672</v>
      </c>
      <c r="F863" s="477"/>
      <c r="G863" s="244" t="s">
        <v>86</v>
      </c>
      <c r="H863" s="244" t="str" cm="1">
        <f t="array" ref="H863">IFERROR(INDEX(INVESTOR_LIST[INVESTOR NAME],MATCH(I863,INVESTOR_LIST[INVESTOR CODE],0),)," ")</f>
        <v xml:space="preserve"> </v>
      </c>
      <c r="I863" s="245"/>
      <c r="J863" s="246" t="s">
        <v>51</v>
      </c>
      <c r="K863" s="247"/>
      <c r="L863" s="247">
        <v>4845.7294651542015</v>
      </c>
    </row>
    <row r="864" spans="1:13" ht="11.25" customHeight="1" x14ac:dyDescent="0.2">
      <c r="A864" s="221">
        <v>2022</v>
      </c>
      <c r="B864" s="221">
        <v>4</v>
      </c>
      <c r="C864" s="221">
        <v>24</v>
      </c>
      <c r="D864" s="231">
        <f t="shared" si="84"/>
        <v>44675</v>
      </c>
      <c r="E864" s="233">
        <f t="shared" si="88"/>
        <v>44675</v>
      </c>
      <c r="F864" s="478" t="s">
        <v>802</v>
      </c>
      <c r="G864" s="222" t="s">
        <v>1111</v>
      </c>
      <c r="H864" s="223" t="str" cm="1">
        <f t="array" ref="H864">IFERROR(INDEX(INVESTOR_LIST[INVESTOR NAME],MATCH(I864,INVESTOR_LIST[INVESTOR CODE],0),)," ")</f>
        <v>EKUSH WEALTH MANAGEMENT LIMITED</v>
      </c>
      <c r="I864" s="223" t="s">
        <v>320</v>
      </c>
      <c r="J864" s="224" t="s">
        <v>55</v>
      </c>
      <c r="K864" s="225">
        <v>1400000</v>
      </c>
      <c r="L864" s="225"/>
    </row>
    <row r="865" spans="1:13" ht="11.25" customHeight="1" x14ac:dyDescent="0.2">
      <c r="A865" s="164">
        <v>2022</v>
      </c>
      <c r="B865" s="164">
        <v>4</v>
      </c>
      <c r="C865" s="164">
        <v>24</v>
      </c>
      <c r="D865" s="156">
        <f t="shared" si="84"/>
        <v>44675</v>
      </c>
      <c r="E865" s="235">
        <f t="shared" si="88"/>
        <v>44675</v>
      </c>
      <c r="F865" s="480"/>
      <c r="G865" s="208" t="s">
        <v>1111</v>
      </c>
      <c r="H865" s="206" t="str" cm="1">
        <f t="array" ref="H865">IFERROR(INDEX(INVESTOR_LIST[INVESTOR NAME],MATCH(I865,INVESTOR_LIST[INVESTOR CODE],0),)," ")</f>
        <v>EKUSH WEALTH MANAGEMENT LIMITED</v>
      </c>
      <c r="I865" s="206" t="s">
        <v>320</v>
      </c>
      <c r="J865" s="165" t="s">
        <v>14</v>
      </c>
      <c r="K865" s="205"/>
      <c r="L865" s="205">
        <v>1391650</v>
      </c>
      <c r="M865" s="166"/>
    </row>
    <row r="866" spans="1:13" ht="11.25" customHeight="1" x14ac:dyDescent="0.2">
      <c r="A866" s="226">
        <v>2022</v>
      </c>
      <c r="B866" s="226">
        <v>4</v>
      </c>
      <c r="C866" s="226">
        <v>24</v>
      </c>
      <c r="D866" s="232">
        <f t="shared" si="84"/>
        <v>44675</v>
      </c>
      <c r="E866" s="234">
        <f t="shared" si="88"/>
        <v>44675</v>
      </c>
      <c r="F866" s="479"/>
      <c r="G866" s="227" t="s">
        <v>1111</v>
      </c>
      <c r="H866" s="228" t="str" cm="1">
        <f t="array" ref="H866">IFERROR(INDEX(INVESTOR_LIST[INVESTOR NAME],MATCH(I866,INVESTOR_LIST[INVESTOR CODE],0),)," ")</f>
        <v>EKUSH WEALTH MANAGEMENT LIMITED</v>
      </c>
      <c r="I866" s="228" t="s">
        <v>320</v>
      </c>
      <c r="J866" s="229" t="s">
        <v>1112</v>
      </c>
      <c r="K866" s="230"/>
      <c r="L866" s="230">
        <v>8350</v>
      </c>
    </row>
    <row r="867" spans="1:13" ht="11.25" customHeight="1" x14ac:dyDescent="0.2">
      <c r="A867" s="221">
        <v>2022</v>
      </c>
      <c r="B867" s="221">
        <v>4</v>
      </c>
      <c r="C867" s="221">
        <v>25</v>
      </c>
      <c r="D867" s="231">
        <f t="shared" si="84"/>
        <v>44676</v>
      </c>
      <c r="E867" s="233">
        <f t="shared" si="88"/>
        <v>44676</v>
      </c>
      <c r="F867" s="478" t="s">
        <v>1137</v>
      </c>
      <c r="G867" s="222" t="s">
        <v>1111</v>
      </c>
      <c r="H867" s="223" t="str" cm="1">
        <f t="array" ref="H867">IFERROR(INDEX(INVESTOR_LIST[INVESTOR NAME],MATCH(I867,INVESTOR_LIST[INVESTOR CODE],0),)," ")</f>
        <v xml:space="preserve"> </v>
      </c>
      <c r="I867" s="223"/>
      <c r="J867" s="224" t="s">
        <v>961</v>
      </c>
      <c r="K867" s="225">
        <v>2475659.37</v>
      </c>
      <c r="L867" s="225"/>
    </row>
    <row r="868" spans="1:13" ht="11.25" customHeight="1" x14ac:dyDescent="0.2">
      <c r="A868" s="226">
        <v>2022</v>
      </c>
      <c r="B868" s="226">
        <v>4</v>
      </c>
      <c r="C868" s="226">
        <v>25</v>
      </c>
      <c r="D868" s="232">
        <f t="shared" si="84"/>
        <v>44676</v>
      </c>
      <c r="E868" s="234">
        <f t="shared" si="88"/>
        <v>44676</v>
      </c>
      <c r="F868" s="479"/>
      <c r="G868" s="227" t="s">
        <v>1111</v>
      </c>
      <c r="H868" s="228" t="str" cm="1">
        <f t="array" ref="H868">IFERROR(INDEX(INVESTOR_LIST[INVESTOR NAME],MATCH(I868,INVESTOR_LIST[INVESTOR CODE],0),)," ")</f>
        <v xml:space="preserve"> </v>
      </c>
      <c r="I868" s="228"/>
      <c r="J868" s="229" t="s">
        <v>55</v>
      </c>
      <c r="K868" s="230"/>
      <c r="L868" s="230">
        <v>2475659.37</v>
      </c>
    </row>
    <row r="869" spans="1:13" ht="11.25" customHeight="1" x14ac:dyDescent="0.2">
      <c r="A869" s="221">
        <v>2022</v>
      </c>
      <c r="B869" s="221">
        <v>4</v>
      </c>
      <c r="C869" s="221">
        <v>25</v>
      </c>
      <c r="D869" s="231">
        <f t="shared" si="84"/>
        <v>44676</v>
      </c>
      <c r="E869" s="233">
        <f t="shared" si="88"/>
        <v>44676</v>
      </c>
      <c r="F869" s="478" t="s">
        <v>1114</v>
      </c>
      <c r="G869" s="222" t="s">
        <v>1111</v>
      </c>
      <c r="H869" s="223" t="str" cm="1">
        <f t="array" ref="H869">IFERROR(INDEX(INVESTOR_LIST[INVESTOR NAME],MATCH(I869,INVESTOR_LIST[INVESTOR CODE],0),)," ")</f>
        <v xml:space="preserve"> </v>
      </c>
      <c r="I869" s="223"/>
      <c r="J869" s="224" t="s">
        <v>63</v>
      </c>
      <c r="K869" s="225">
        <v>100</v>
      </c>
      <c r="L869" s="225" t="s">
        <v>1119</v>
      </c>
    </row>
    <row r="870" spans="1:13" ht="11.25" customHeight="1" x14ac:dyDescent="0.2">
      <c r="A870" s="226">
        <v>2022</v>
      </c>
      <c r="B870" s="226">
        <v>4</v>
      </c>
      <c r="C870" s="226">
        <v>25</v>
      </c>
      <c r="D870" s="232">
        <f t="shared" si="84"/>
        <v>44676</v>
      </c>
      <c r="E870" s="234">
        <f t="shared" si="88"/>
        <v>44676</v>
      </c>
      <c r="F870" s="479"/>
      <c r="G870" s="227" t="s">
        <v>1111</v>
      </c>
      <c r="H870" s="228" t="str" cm="1">
        <f t="array" ref="H870">IFERROR(INDEX(INVESTOR_LIST[INVESTOR NAME],MATCH(I870,INVESTOR_LIST[INVESTOR CODE],0),)," ")</f>
        <v xml:space="preserve"> </v>
      </c>
      <c r="I870" s="228"/>
      <c r="J870" s="229" t="s">
        <v>55</v>
      </c>
      <c r="K870" s="230" t="s">
        <v>1119</v>
      </c>
      <c r="L870" s="230">
        <v>100</v>
      </c>
    </row>
    <row r="871" spans="1:13" ht="11.25" customHeight="1" x14ac:dyDescent="0.2">
      <c r="A871" s="221">
        <v>2022</v>
      </c>
      <c r="B871" s="221">
        <v>4</v>
      </c>
      <c r="C871" s="221">
        <v>25</v>
      </c>
      <c r="D871" s="231">
        <f t="shared" si="84"/>
        <v>44676</v>
      </c>
      <c r="E871" s="233">
        <f t="shared" ref="E871:E880" si="89">DATE(A871,B871,C871)</f>
        <v>44676</v>
      </c>
      <c r="F871" s="478" t="s">
        <v>1196</v>
      </c>
      <c r="G871" s="222" t="s">
        <v>1111</v>
      </c>
      <c r="H871" s="223" t="str" cm="1">
        <f t="array" ref="H871">IFERROR(INDEX(INVESTOR_LIST[INVESTOR NAME],MATCH(I871,INVESTOR_LIST[INVESTOR CODE],0),)," ")</f>
        <v xml:space="preserve"> </v>
      </c>
      <c r="I871" s="223"/>
      <c r="J871" s="224" t="s">
        <v>95</v>
      </c>
      <c r="K871" s="225">
        <v>12710.03</v>
      </c>
      <c r="L871" s="225" t="s">
        <v>1119</v>
      </c>
    </row>
    <row r="872" spans="1:13" ht="11.25" customHeight="1" x14ac:dyDescent="0.2">
      <c r="A872" s="226">
        <v>2022</v>
      </c>
      <c r="B872" s="226">
        <v>4</v>
      </c>
      <c r="C872" s="226">
        <v>25</v>
      </c>
      <c r="D872" s="232">
        <f t="shared" si="84"/>
        <v>44676</v>
      </c>
      <c r="E872" s="234">
        <f t="shared" si="89"/>
        <v>44676</v>
      </c>
      <c r="F872" s="479"/>
      <c r="G872" s="227" t="s">
        <v>1111</v>
      </c>
      <c r="H872" s="228" t="str" cm="1">
        <f t="array" ref="H872">IFERROR(INDEX(INVESTOR_LIST[INVESTOR NAME],MATCH(I872,INVESTOR_LIST[INVESTOR CODE],0),)," ")</f>
        <v xml:space="preserve"> </v>
      </c>
      <c r="I872" s="228"/>
      <c r="J872" s="229" t="s">
        <v>55</v>
      </c>
      <c r="K872" s="230" t="s">
        <v>1119</v>
      </c>
      <c r="L872" s="230">
        <v>12710.03</v>
      </c>
    </row>
    <row r="873" spans="1:13" ht="11.25" customHeight="1" x14ac:dyDescent="0.2">
      <c r="A873" s="221">
        <v>2022</v>
      </c>
      <c r="B873" s="221">
        <v>4</v>
      </c>
      <c r="C873" s="221">
        <v>25</v>
      </c>
      <c r="D873" s="231">
        <f t="shared" si="84"/>
        <v>44676</v>
      </c>
      <c r="E873" s="233">
        <f t="shared" si="89"/>
        <v>44676</v>
      </c>
      <c r="F873" s="478" t="s">
        <v>1211</v>
      </c>
      <c r="G873" s="222" t="s">
        <v>1111</v>
      </c>
      <c r="H873" s="223" t="str" cm="1">
        <f t="array" ref="H873">IFERROR(INDEX(INVESTOR_LIST[INVESTOR NAME],MATCH(I873,INVESTOR_LIST[INVESTOR CODE],0),)," ")</f>
        <v xml:space="preserve"> </v>
      </c>
      <c r="I873" s="223"/>
      <c r="J873" s="224" t="s">
        <v>192</v>
      </c>
      <c r="K873" s="225">
        <v>162500</v>
      </c>
      <c r="L873" s="225"/>
    </row>
    <row r="874" spans="1:13" ht="11.25" customHeight="1" x14ac:dyDescent="0.2">
      <c r="A874" s="226">
        <v>2022</v>
      </c>
      <c r="B874" s="226">
        <v>4</v>
      </c>
      <c r="C874" s="226">
        <v>25</v>
      </c>
      <c r="D874" s="232">
        <f t="shared" si="84"/>
        <v>44676</v>
      </c>
      <c r="E874" s="234">
        <f t="shared" si="89"/>
        <v>44676</v>
      </c>
      <c r="F874" s="479"/>
      <c r="G874" s="227" t="s">
        <v>1111</v>
      </c>
      <c r="H874" s="228" t="str" cm="1">
        <f t="array" ref="H874">IFERROR(INDEX(INVESTOR_LIST[INVESTOR NAME],MATCH(I874,INVESTOR_LIST[INVESTOR CODE],0),)," ")</f>
        <v xml:space="preserve"> </v>
      </c>
      <c r="I874" s="228"/>
      <c r="J874" s="229" t="s">
        <v>191</v>
      </c>
      <c r="K874" s="230"/>
      <c r="L874" s="230">
        <v>162500</v>
      </c>
    </row>
    <row r="875" spans="1:13" ht="11.25" customHeight="1" x14ac:dyDescent="0.2">
      <c r="A875" s="221">
        <v>2022</v>
      </c>
      <c r="B875" s="221">
        <v>4</v>
      </c>
      <c r="C875" s="221">
        <v>26</v>
      </c>
      <c r="D875" s="231">
        <f t="shared" si="84"/>
        <v>44677</v>
      </c>
      <c r="E875" s="233">
        <f t="shared" si="89"/>
        <v>44677</v>
      </c>
      <c r="F875" s="478" t="s">
        <v>1210</v>
      </c>
      <c r="G875" s="222" t="s">
        <v>1111</v>
      </c>
      <c r="H875" s="223" t="str" cm="1">
        <f t="array" ref="H875">IFERROR(INDEX(INVESTOR_LIST[INVESTOR NAME],MATCH(I875,INVESTOR_LIST[INVESTOR CODE],0),)," ")</f>
        <v xml:space="preserve"> </v>
      </c>
      <c r="I875" s="223"/>
      <c r="J875" s="224" t="s">
        <v>55</v>
      </c>
      <c r="K875" s="225">
        <v>38250</v>
      </c>
      <c r="L875" s="225" t="s">
        <v>1119</v>
      </c>
      <c r="M875" s="166"/>
    </row>
    <row r="876" spans="1:13" ht="11.25" customHeight="1" x14ac:dyDescent="0.2">
      <c r="A876" s="164">
        <v>2022</v>
      </c>
      <c r="B876" s="164">
        <v>4</v>
      </c>
      <c r="C876" s="164">
        <v>26</v>
      </c>
      <c r="D876" s="156">
        <f t="shared" si="84"/>
        <v>44677</v>
      </c>
      <c r="E876" s="235">
        <f t="shared" ref="E876" si="90">DATE(A876,B876,C876)</f>
        <v>44677</v>
      </c>
      <c r="F876" s="480"/>
      <c r="G876" s="208" t="s">
        <v>1111</v>
      </c>
      <c r="J876" s="165" t="s">
        <v>189</v>
      </c>
      <c r="K876" s="205">
        <v>6750</v>
      </c>
    </row>
    <row r="877" spans="1:13" ht="11.25" customHeight="1" x14ac:dyDescent="0.2">
      <c r="A877" s="226">
        <v>2022</v>
      </c>
      <c r="B877" s="226">
        <v>4</v>
      </c>
      <c r="C877" s="226">
        <v>26</v>
      </c>
      <c r="D877" s="232">
        <f t="shared" si="84"/>
        <v>44677</v>
      </c>
      <c r="E877" s="234">
        <f t="shared" si="89"/>
        <v>44677</v>
      </c>
      <c r="F877" s="479"/>
      <c r="G877" s="227" t="s">
        <v>1111</v>
      </c>
      <c r="H877" s="228" t="str" cm="1">
        <f t="array" ref="H877">IFERROR(INDEX(INVESTOR_LIST[INVESTOR NAME],MATCH(I877,INVESTOR_LIST[INVESTOR CODE],0),)," ")</f>
        <v xml:space="preserve"> </v>
      </c>
      <c r="I877" s="228"/>
      <c r="J877" s="229" t="s">
        <v>192</v>
      </c>
      <c r="K877" s="230" t="s">
        <v>1119</v>
      </c>
      <c r="L877" s="230">
        <v>45000</v>
      </c>
    </row>
    <row r="878" spans="1:13" ht="11.25" customHeight="1" x14ac:dyDescent="0.2">
      <c r="A878" s="221">
        <v>2022</v>
      </c>
      <c r="B878" s="221">
        <v>4</v>
      </c>
      <c r="C878" s="221">
        <v>26</v>
      </c>
      <c r="D878" s="231">
        <f t="shared" si="84"/>
        <v>44677</v>
      </c>
      <c r="E878" s="233">
        <f t="shared" si="89"/>
        <v>44677</v>
      </c>
      <c r="F878" s="478" t="s">
        <v>1132</v>
      </c>
      <c r="G878" s="222" t="s">
        <v>1111</v>
      </c>
      <c r="H878" s="223"/>
      <c r="I878" s="223"/>
      <c r="J878" s="224" t="s">
        <v>55</v>
      </c>
      <c r="K878" s="225">
        <v>5000</v>
      </c>
      <c r="L878" s="225"/>
    </row>
    <row r="879" spans="1:13" ht="11.25" customHeight="1" x14ac:dyDescent="0.2">
      <c r="A879" s="164">
        <v>2022</v>
      </c>
      <c r="B879" s="164">
        <v>4</v>
      </c>
      <c r="C879" s="164">
        <v>26</v>
      </c>
      <c r="D879" s="156">
        <f t="shared" si="84"/>
        <v>44677</v>
      </c>
      <c r="E879" s="235">
        <f t="shared" si="89"/>
        <v>44677</v>
      </c>
      <c r="F879" s="480"/>
      <c r="G879" s="208" t="s">
        <v>1111</v>
      </c>
      <c r="J879" s="165" t="s">
        <v>14</v>
      </c>
      <c r="K879" s="205"/>
      <c r="L879" s="205">
        <v>4970</v>
      </c>
    </row>
    <row r="880" spans="1:13" ht="11.25" customHeight="1" x14ac:dyDescent="0.2">
      <c r="A880" s="226">
        <v>2022</v>
      </c>
      <c r="B880" s="226">
        <v>4</v>
      </c>
      <c r="C880" s="226">
        <v>26</v>
      </c>
      <c r="D880" s="232">
        <f t="shared" si="84"/>
        <v>44677</v>
      </c>
      <c r="E880" s="234">
        <f t="shared" si="89"/>
        <v>44677</v>
      </c>
      <c r="F880" s="479"/>
      <c r="G880" s="227" t="s">
        <v>1111</v>
      </c>
      <c r="H880" s="228"/>
      <c r="I880" s="228"/>
      <c r="J880" s="229" t="s">
        <v>1112</v>
      </c>
      <c r="K880" s="230"/>
      <c r="L880" s="230">
        <v>30</v>
      </c>
    </row>
    <row r="881" spans="1:16" ht="11.25" customHeight="1" x14ac:dyDescent="0.2">
      <c r="A881" s="221">
        <v>2022</v>
      </c>
      <c r="B881" s="221">
        <v>4</v>
      </c>
      <c r="C881" s="221">
        <v>27</v>
      </c>
      <c r="D881" s="231">
        <f t="shared" si="84"/>
        <v>44678</v>
      </c>
      <c r="E881" s="233">
        <f t="shared" si="88"/>
        <v>44678</v>
      </c>
      <c r="F881" s="478" t="s">
        <v>1195</v>
      </c>
      <c r="G881" s="222" t="s">
        <v>1111</v>
      </c>
      <c r="H881" s="223" t="str" cm="1">
        <f t="array" ref="H881">IFERROR(INDEX(INVESTOR_LIST[INVESTOR NAME],MATCH(I881,INVESTOR_LIST[INVESTOR CODE],0),)," ")</f>
        <v xml:space="preserve"> </v>
      </c>
      <c r="I881" s="223"/>
      <c r="J881" s="224" t="s">
        <v>55</v>
      </c>
      <c r="K881" s="225">
        <v>250000</v>
      </c>
      <c r="L881" s="225" t="s">
        <v>1119</v>
      </c>
    </row>
    <row r="882" spans="1:16" ht="11.25" customHeight="1" x14ac:dyDescent="0.2">
      <c r="A882" s="226">
        <v>2022</v>
      </c>
      <c r="B882" s="226">
        <v>4</v>
      </c>
      <c r="C882" s="226">
        <v>27</v>
      </c>
      <c r="D882" s="232">
        <f t="shared" si="84"/>
        <v>44678</v>
      </c>
      <c r="E882" s="234">
        <f t="shared" si="88"/>
        <v>44678</v>
      </c>
      <c r="F882" s="479"/>
      <c r="G882" s="227" t="s">
        <v>1111</v>
      </c>
      <c r="H882" s="228" t="str" cm="1">
        <f t="array" ref="H882">IFERROR(INDEX(INVESTOR_LIST[INVESTOR NAME],MATCH(I882,INVESTOR_LIST[INVESTOR CODE],0),)," ")</f>
        <v xml:space="preserve"> </v>
      </c>
      <c r="I882" s="228"/>
      <c r="J882" s="229" t="s">
        <v>192</v>
      </c>
      <c r="K882" s="230" t="s">
        <v>1119</v>
      </c>
      <c r="L882" s="230">
        <v>250000</v>
      </c>
    </row>
    <row r="883" spans="1:16" ht="11.25" customHeight="1" x14ac:dyDescent="0.2">
      <c r="A883" s="221">
        <v>2022</v>
      </c>
      <c r="B883" s="221">
        <v>4</v>
      </c>
      <c r="C883" s="221">
        <v>28</v>
      </c>
      <c r="D883" s="231">
        <f t="shared" si="84"/>
        <v>44679</v>
      </c>
      <c r="E883" s="233">
        <f>DATE(A883,B883,C883)</f>
        <v>44679</v>
      </c>
      <c r="F883" s="478" t="s">
        <v>1177</v>
      </c>
      <c r="G883" s="222" t="s">
        <v>86</v>
      </c>
      <c r="H883" s="223" t="str" cm="1">
        <f t="array" ref="H883">IFERROR(INDEX(INVESTOR_LIST[INVESTOR NAME],MATCH(I883,INVESTOR_LIST[INVESTOR CODE],0),)," ")</f>
        <v xml:space="preserve"> </v>
      </c>
      <c r="I883" s="223"/>
      <c r="J883" s="224" t="s">
        <v>131</v>
      </c>
      <c r="K883" s="225">
        <v>362625</v>
      </c>
      <c r="L883" s="225"/>
    </row>
    <row r="884" spans="1:16" ht="11.25" customHeight="1" x14ac:dyDescent="0.2">
      <c r="A884" s="226">
        <v>2022</v>
      </c>
      <c r="B884" s="226">
        <v>4</v>
      </c>
      <c r="C884" s="226">
        <v>28</v>
      </c>
      <c r="D884" s="232">
        <f t="shared" si="84"/>
        <v>44679</v>
      </c>
      <c r="E884" s="234">
        <f>DATE(A884,B884,C884)</f>
        <v>44679</v>
      </c>
      <c r="F884" s="479"/>
      <c r="G884" s="227" t="s">
        <v>86</v>
      </c>
      <c r="H884" s="228" t="str" cm="1">
        <f t="array" ref="H884">IFERROR(INDEX(INVESTOR_LIST[INVESTOR NAME],MATCH(I884,INVESTOR_LIST[INVESTOR CODE],0),)," ")</f>
        <v xml:space="preserve"> </v>
      </c>
      <c r="I884" s="228"/>
      <c r="J884" s="229" t="s">
        <v>174</v>
      </c>
      <c r="K884" s="230"/>
      <c r="L884" s="230">
        <v>362625</v>
      </c>
    </row>
    <row r="885" spans="1:16" ht="11.25" customHeight="1" x14ac:dyDescent="0.2">
      <c r="A885" s="236">
        <v>2022</v>
      </c>
      <c r="B885" s="236">
        <v>4</v>
      </c>
      <c r="C885" s="236">
        <v>28</v>
      </c>
      <c r="D885" s="237">
        <f t="shared" si="84"/>
        <v>44679</v>
      </c>
      <c r="E885" s="238">
        <f t="shared" ref="E885:E901" si="91">DATE(A885,B885,C885)</f>
        <v>44679</v>
      </c>
      <c r="F885" s="476" t="s">
        <v>1118</v>
      </c>
      <c r="G885" s="239" t="s">
        <v>86</v>
      </c>
      <c r="H885" s="239" t="str" cm="1">
        <f t="array" ref="H885">IFERROR(INDEX(INVESTOR_LIST[INVESTOR NAME],MATCH(I885,INVESTOR_LIST[INVESTOR CODE],0),)," ")</f>
        <v xml:space="preserve"> </v>
      </c>
      <c r="I885" s="240"/>
      <c r="J885" s="241" t="s">
        <v>98</v>
      </c>
      <c r="K885" s="242">
        <v>118075</v>
      </c>
      <c r="L885" s="242"/>
    </row>
    <row r="886" spans="1:16" ht="11.25" customHeight="1" x14ac:dyDescent="0.2">
      <c r="A886" s="243">
        <v>2022</v>
      </c>
      <c r="B886" s="243">
        <v>4</v>
      </c>
      <c r="C886" s="243">
        <v>28</v>
      </c>
      <c r="D886" s="248">
        <f t="shared" si="84"/>
        <v>44679</v>
      </c>
      <c r="E886" s="249">
        <f t="shared" si="91"/>
        <v>44679</v>
      </c>
      <c r="F886" s="477"/>
      <c r="G886" s="244" t="s">
        <v>86</v>
      </c>
      <c r="H886" s="244" t="str" cm="1">
        <f t="array" ref="H886">IFERROR(INDEX(INVESTOR_LIST[INVESTOR NAME],MATCH(I886,INVESTOR_LIST[INVESTOR CODE],0),)," ")</f>
        <v xml:space="preserve"> </v>
      </c>
      <c r="I886" s="245"/>
      <c r="J886" s="246" t="s">
        <v>82</v>
      </c>
      <c r="K886" s="247"/>
      <c r="L886" s="247">
        <v>118075</v>
      </c>
    </row>
    <row r="887" spans="1:16" ht="11.25" customHeight="1" x14ac:dyDescent="0.2">
      <c r="A887" s="236">
        <v>2022</v>
      </c>
      <c r="B887" s="236">
        <v>4</v>
      </c>
      <c r="C887" s="236">
        <v>28</v>
      </c>
      <c r="D887" s="237">
        <f t="shared" si="84"/>
        <v>44679</v>
      </c>
      <c r="E887" s="238">
        <f t="shared" si="91"/>
        <v>44679</v>
      </c>
      <c r="F887" s="476" t="s">
        <v>1120</v>
      </c>
      <c r="G887" s="239" t="s">
        <v>86</v>
      </c>
      <c r="H887" s="239" t="str" cm="1">
        <f t="array" ref="H887">IFERROR(INDEX(INVESTOR_LIST[INVESTOR NAME],MATCH(I887,INVESTOR_LIST[INVESTOR CODE],0),)," ")</f>
        <v xml:space="preserve"> </v>
      </c>
      <c r="I887" s="240"/>
      <c r="J887" s="241" t="s">
        <v>87</v>
      </c>
      <c r="K887" s="242">
        <v>2747.2527472527472</v>
      </c>
      <c r="L887" s="242"/>
    </row>
    <row r="888" spans="1:16" ht="11.25" customHeight="1" x14ac:dyDescent="0.2">
      <c r="A888" s="243">
        <v>2022</v>
      </c>
      <c r="B888" s="243">
        <v>4</v>
      </c>
      <c r="C888" s="243">
        <v>28</v>
      </c>
      <c r="D888" s="248">
        <f t="shared" si="84"/>
        <v>44679</v>
      </c>
      <c r="E888" s="249">
        <f t="shared" si="91"/>
        <v>44679</v>
      </c>
      <c r="F888" s="477"/>
      <c r="G888" s="244" t="s">
        <v>86</v>
      </c>
      <c r="H888" s="244" t="str" cm="1">
        <f t="array" ref="H888">IFERROR(INDEX(INVESTOR_LIST[INVESTOR NAME],MATCH(I888,INVESTOR_LIST[INVESTOR CODE],0),)," ")</f>
        <v xml:space="preserve"> </v>
      </c>
      <c r="I888" s="245"/>
      <c r="J888" s="246" t="s">
        <v>64</v>
      </c>
      <c r="K888" s="247"/>
      <c r="L888" s="247">
        <v>2747.2527472527472</v>
      </c>
    </row>
    <row r="889" spans="1:16" ht="11.25" customHeight="1" x14ac:dyDescent="0.2">
      <c r="A889" s="236">
        <v>2022</v>
      </c>
      <c r="B889" s="236">
        <v>4</v>
      </c>
      <c r="C889" s="236">
        <v>28</v>
      </c>
      <c r="D889" s="237">
        <f t="shared" si="84"/>
        <v>44679</v>
      </c>
      <c r="E889" s="238">
        <f t="shared" si="91"/>
        <v>44679</v>
      </c>
      <c r="F889" s="476" t="s">
        <v>1121</v>
      </c>
      <c r="G889" s="239" t="s">
        <v>86</v>
      </c>
      <c r="H889" s="239" t="str" cm="1">
        <f t="array" ref="H889">IFERROR(INDEX(INVESTOR_LIST[INVESTOR NAME],MATCH(I889,INVESTOR_LIST[INVESTOR CODE],0),)," ")</f>
        <v xml:space="preserve"> </v>
      </c>
      <c r="I889" s="240"/>
      <c r="J889" s="241" t="s">
        <v>89</v>
      </c>
      <c r="K889" s="242">
        <v>102041.48634597978</v>
      </c>
      <c r="L889" s="242"/>
    </row>
    <row r="890" spans="1:16" ht="11.25" customHeight="1" x14ac:dyDescent="0.2">
      <c r="A890" s="243">
        <v>2022</v>
      </c>
      <c r="B890" s="243">
        <v>4</v>
      </c>
      <c r="C890" s="243">
        <v>28</v>
      </c>
      <c r="D890" s="248">
        <f t="shared" si="84"/>
        <v>44679</v>
      </c>
      <c r="E890" s="249">
        <f t="shared" si="91"/>
        <v>44679</v>
      </c>
      <c r="F890" s="477"/>
      <c r="G890" s="244" t="s">
        <v>86</v>
      </c>
      <c r="H890" s="244" t="str" cm="1">
        <f t="array" ref="H890">IFERROR(INDEX(INVESTOR_LIST[INVESTOR NAME],MATCH(I890,INVESTOR_LIST[INVESTOR CODE],0),)," ")</f>
        <v xml:space="preserve"> </v>
      </c>
      <c r="I890" s="245"/>
      <c r="J890" s="246" t="s">
        <v>50</v>
      </c>
      <c r="K890" s="247"/>
      <c r="L890" s="247">
        <v>102041.48634597978</v>
      </c>
    </row>
    <row r="891" spans="1:16" ht="11.25" customHeight="1" x14ac:dyDescent="0.2">
      <c r="A891" s="236">
        <v>2022</v>
      </c>
      <c r="B891" s="236">
        <v>4</v>
      </c>
      <c r="C891" s="236">
        <v>28</v>
      </c>
      <c r="D891" s="237">
        <f t="shared" si="84"/>
        <v>44679</v>
      </c>
      <c r="E891" s="238">
        <f t="shared" si="91"/>
        <v>44679</v>
      </c>
      <c r="F891" s="476" t="s">
        <v>1122</v>
      </c>
      <c r="G891" s="239" t="s">
        <v>86</v>
      </c>
      <c r="H891" s="239" t="str" cm="1">
        <f t="array" ref="H891">IFERROR(INDEX(INVESTOR_LIST[INVESTOR NAME],MATCH(I891,INVESTOR_LIST[INVESTOR CODE],0),)," ")</f>
        <v xml:space="preserve"> </v>
      </c>
      <c r="I891" s="240"/>
      <c r="J891" s="241" t="s">
        <v>91</v>
      </c>
      <c r="K891" s="242">
        <v>4879.6888333217285</v>
      </c>
      <c r="L891" s="242"/>
    </row>
    <row r="892" spans="1:16" ht="11.25" customHeight="1" x14ac:dyDescent="0.2">
      <c r="A892" s="243">
        <v>2022</v>
      </c>
      <c r="B892" s="243">
        <v>4</v>
      </c>
      <c r="C892" s="243">
        <v>28</v>
      </c>
      <c r="D892" s="248">
        <f t="shared" si="84"/>
        <v>44679</v>
      </c>
      <c r="E892" s="249">
        <f t="shared" si="91"/>
        <v>44679</v>
      </c>
      <c r="F892" s="477"/>
      <c r="G892" s="244" t="s">
        <v>86</v>
      </c>
      <c r="H892" s="244" t="str" cm="1">
        <f t="array" ref="H892">IFERROR(INDEX(INVESTOR_LIST[INVESTOR NAME],MATCH(I892,INVESTOR_LIST[INVESTOR CODE],0),)," ")</f>
        <v xml:space="preserve"> </v>
      </c>
      <c r="I892" s="245"/>
      <c r="J892" s="246" t="s">
        <v>51</v>
      </c>
      <c r="K892" s="247"/>
      <c r="L892" s="247">
        <v>4879.6888333217285</v>
      </c>
    </row>
    <row r="893" spans="1:16" ht="11.25" customHeight="1" x14ac:dyDescent="0.2">
      <c r="A893" s="221">
        <v>2022</v>
      </c>
      <c r="B893" s="221">
        <v>5</v>
      </c>
      <c r="C893" s="221">
        <v>5</v>
      </c>
      <c r="D893" s="221">
        <f t="shared" si="84"/>
        <v>44686</v>
      </c>
      <c r="E893" s="276">
        <f t="shared" si="91"/>
        <v>44686</v>
      </c>
      <c r="F893" s="478" t="s">
        <v>1135</v>
      </c>
      <c r="G893" s="222" t="s">
        <v>86</v>
      </c>
      <c r="H893" s="222" t="str" cm="1">
        <f t="array" ref="H893">IFERROR(INDEX(INVESTOR_LIST[INVESTOR NAME],MATCH(I893,INVESTOR_LIST[INVESTOR CODE],0),)," ")</f>
        <v xml:space="preserve"> </v>
      </c>
      <c r="I893" s="223"/>
      <c r="J893" s="224" t="s">
        <v>199</v>
      </c>
      <c r="K893" s="225">
        <v>241789</v>
      </c>
      <c r="L893" s="225"/>
    </row>
    <row r="894" spans="1:16" ht="11.25" customHeight="1" x14ac:dyDescent="0.2">
      <c r="A894" s="164">
        <v>2022</v>
      </c>
      <c r="B894" s="164">
        <v>5</v>
      </c>
      <c r="C894" s="164">
        <v>5</v>
      </c>
      <c r="D894" s="164">
        <f t="shared" si="84"/>
        <v>44686</v>
      </c>
      <c r="E894" s="276">
        <f t="shared" si="91"/>
        <v>44686</v>
      </c>
      <c r="F894" s="480"/>
      <c r="G894" s="208" t="s">
        <v>86</v>
      </c>
      <c r="H894" s="208"/>
      <c r="J894" s="165" t="s">
        <v>960</v>
      </c>
      <c r="K894" s="205">
        <v>436</v>
      </c>
      <c r="L894" s="205"/>
      <c r="M894" s="263"/>
      <c r="N894" s="263"/>
      <c r="O894" s="263"/>
      <c r="P894" s="263"/>
    </row>
    <row r="895" spans="1:16" ht="11.25" customHeight="1" x14ac:dyDescent="0.2">
      <c r="A895" s="164">
        <v>2022</v>
      </c>
      <c r="B895" s="164">
        <v>5</v>
      </c>
      <c r="C895" s="164">
        <v>5</v>
      </c>
      <c r="D895" s="164">
        <f t="shared" si="84"/>
        <v>44686</v>
      </c>
      <c r="E895" s="276">
        <f t="shared" si="91"/>
        <v>44686</v>
      </c>
      <c r="F895" s="480"/>
      <c r="G895" s="208" t="s">
        <v>86</v>
      </c>
      <c r="H895" s="208"/>
      <c r="J895" s="165" t="s">
        <v>200</v>
      </c>
      <c r="K895" s="205">
        <v>13843.61</v>
      </c>
      <c r="L895" s="205"/>
    </row>
    <row r="896" spans="1:16" ht="11.25" customHeight="1" x14ac:dyDescent="0.2">
      <c r="A896" s="226">
        <v>2022</v>
      </c>
      <c r="B896" s="226">
        <v>5</v>
      </c>
      <c r="C896" s="226">
        <v>5</v>
      </c>
      <c r="D896" s="226">
        <f t="shared" si="84"/>
        <v>44686</v>
      </c>
      <c r="E896" s="272">
        <f t="shared" si="91"/>
        <v>44686</v>
      </c>
      <c r="F896" s="479"/>
      <c r="G896" s="227" t="s">
        <v>86</v>
      </c>
      <c r="H896" s="228" t="str" cm="1">
        <f t="array" ref="H896">IFERROR(INDEX(INVESTOR_LIST[INVESTOR NAME],MATCH(I896,INVESTOR_LIST[INVESTOR CODE],0),)," ")</f>
        <v xml:space="preserve"> </v>
      </c>
      <c r="I896" s="228"/>
      <c r="J896" s="229" t="s">
        <v>80</v>
      </c>
      <c r="K896" s="230"/>
      <c r="L896" s="230">
        <v>256068.61</v>
      </c>
    </row>
    <row r="897" spans="1:12" ht="11.25" customHeight="1" x14ac:dyDescent="0.2">
      <c r="A897" s="221">
        <v>2022</v>
      </c>
      <c r="B897" s="221">
        <v>5</v>
      </c>
      <c r="C897" s="221">
        <v>9</v>
      </c>
      <c r="D897" s="221">
        <f t="shared" si="84"/>
        <v>44690</v>
      </c>
      <c r="E897" s="233">
        <f t="shared" si="91"/>
        <v>44690</v>
      </c>
      <c r="F897" s="478" t="s">
        <v>1136</v>
      </c>
      <c r="G897" s="222" t="s">
        <v>86</v>
      </c>
      <c r="H897" s="222" t="str" cm="1">
        <f t="array" ref="H897">IFERROR(INDEX(INVESTOR_LIST[INVESTOR NAME],MATCH(I897,INVESTOR_LIST[INVESTOR CODE],0),)," ")</f>
        <v xml:space="preserve"> </v>
      </c>
      <c r="I897" s="223"/>
      <c r="J897" s="224" t="s">
        <v>80</v>
      </c>
      <c r="K897" s="225">
        <v>2431814.6</v>
      </c>
      <c r="L897" s="225"/>
    </row>
    <row r="898" spans="1:12" ht="11.25" customHeight="1" x14ac:dyDescent="0.2">
      <c r="A898" s="164">
        <v>2022</v>
      </c>
      <c r="B898" s="164">
        <v>5</v>
      </c>
      <c r="C898" s="164">
        <v>9</v>
      </c>
      <c r="D898" s="164">
        <f t="shared" si="84"/>
        <v>44690</v>
      </c>
      <c r="E898" s="235">
        <f t="shared" si="91"/>
        <v>44690</v>
      </c>
      <c r="F898" s="480"/>
      <c r="G898" s="208" t="s">
        <v>86</v>
      </c>
      <c r="H898" s="208"/>
      <c r="J898" s="165" t="s">
        <v>960</v>
      </c>
      <c r="K898" s="205">
        <v>9254.07</v>
      </c>
      <c r="L898" s="205"/>
    </row>
    <row r="899" spans="1:12" ht="11.25" customHeight="1" x14ac:dyDescent="0.2">
      <c r="A899" s="164">
        <v>2022</v>
      </c>
      <c r="B899" s="164">
        <v>5</v>
      </c>
      <c r="C899" s="164">
        <v>9</v>
      </c>
      <c r="D899" s="164">
        <f t="shared" si="84"/>
        <v>44690</v>
      </c>
      <c r="E899" s="235">
        <f t="shared" si="91"/>
        <v>44690</v>
      </c>
      <c r="F899" s="480"/>
      <c r="G899" s="208" t="s">
        <v>86</v>
      </c>
      <c r="H899" s="208"/>
      <c r="J899" s="165" t="s">
        <v>199</v>
      </c>
      <c r="K899" s="205">
        <v>268267.33000009297</v>
      </c>
      <c r="L899" s="205"/>
    </row>
    <row r="900" spans="1:12" ht="11.25" customHeight="1" x14ac:dyDescent="0.2">
      <c r="A900" s="164">
        <v>2022</v>
      </c>
      <c r="B900" s="164">
        <v>5</v>
      </c>
      <c r="C900" s="164">
        <v>9</v>
      </c>
      <c r="D900" s="164">
        <f t="shared" si="84"/>
        <v>44690</v>
      </c>
      <c r="E900" s="235">
        <f t="shared" si="91"/>
        <v>44690</v>
      </c>
      <c r="F900" s="480"/>
      <c r="G900" s="208" t="s">
        <v>86</v>
      </c>
      <c r="H900" s="208" t="str" cm="1">
        <f t="array" ref="H900">IFERROR(INDEX(INVESTOR_LIST[INVESTOR NAME],MATCH(I900,INVESTOR_LIST[INVESTOR CODE],0),)," ")</f>
        <v xml:space="preserve"> </v>
      </c>
      <c r="J900" s="165" t="s">
        <v>200</v>
      </c>
      <c r="K900" s="205">
        <v>104240.37</v>
      </c>
      <c r="L900" s="205"/>
    </row>
    <row r="901" spans="1:12" ht="11.25" customHeight="1" x14ac:dyDescent="0.2">
      <c r="A901" s="226">
        <v>2022</v>
      </c>
      <c r="B901" s="226">
        <v>5</v>
      </c>
      <c r="C901" s="226">
        <v>9</v>
      </c>
      <c r="D901" s="226">
        <f t="shared" si="84"/>
        <v>44690</v>
      </c>
      <c r="E901" s="234">
        <f t="shared" si="91"/>
        <v>44690</v>
      </c>
      <c r="F901" s="479"/>
      <c r="G901" s="227" t="s">
        <v>86</v>
      </c>
      <c r="H901" s="228" t="str" cm="1">
        <f t="array" ref="H901">IFERROR(INDEX(INVESTOR_LIST[INVESTOR NAME],MATCH(I901,INVESTOR_LIST[INVESTOR CODE],0),)," ")</f>
        <v xml:space="preserve"> </v>
      </c>
      <c r="I901" s="228"/>
      <c r="J901" s="229" t="s">
        <v>80</v>
      </c>
      <c r="K901" s="230"/>
      <c r="L901" s="230">
        <v>2813576.37</v>
      </c>
    </row>
    <row r="902" spans="1:12" ht="11.25" customHeight="1" x14ac:dyDescent="0.2">
      <c r="A902" s="221">
        <v>2022</v>
      </c>
      <c r="B902" s="221">
        <v>5</v>
      </c>
      <c r="C902" s="221">
        <v>9</v>
      </c>
      <c r="D902" s="231">
        <f t="shared" si="84"/>
        <v>44690</v>
      </c>
      <c r="E902" s="233">
        <f>DATE(A902,B902,C902)</f>
        <v>44690</v>
      </c>
      <c r="F902" s="478" t="s">
        <v>1164</v>
      </c>
      <c r="G902" s="222" t="s">
        <v>1111</v>
      </c>
      <c r="H902" s="223" t="str" cm="1">
        <f t="array" ref="H902">IFERROR(INDEX(INVESTOR_LIST[INVESTOR NAME],MATCH(I902,INVESTOR_LIST[INVESTOR CODE],0),)," ")</f>
        <v xml:space="preserve"> </v>
      </c>
      <c r="I902" s="223"/>
      <c r="J902" s="224" t="s">
        <v>55</v>
      </c>
      <c r="K902" s="225">
        <v>241789</v>
      </c>
      <c r="L902" s="225"/>
    </row>
    <row r="903" spans="1:12" ht="11.25" customHeight="1" x14ac:dyDescent="0.2">
      <c r="A903" s="226">
        <v>2022</v>
      </c>
      <c r="B903" s="226">
        <v>5</v>
      </c>
      <c r="C903" s="226">
        <v>9</v>
      </c>
      <c r="D903" s="232">
        <f t="shared" si="84"/>
        <v>44690</v>
      </c>
      <c r="E903" s="234">
        <f>DATE(A903,B903,C903)</f>
        <v>44690</v>
      </c>
      <c r="F903" s="479"/>
      <c r="G903" s="227" t="s">
        <v>1111</v>
      </c>
      <c r="H903" s="228" t="str" cm="1">
        <f t="array" ref="H903">IFERROR(INDEX(INVESTOR_LIST[INVESTOR NAME],MATCH(I903,INVESTOR_LIST[INVESTOR CODE],0),)," ")</f>
        <v xml:space="preserve"> </v>
      </c>
      <c r="I903" s="228"/>
      <c r="J903" s="229" t="s">
        <v>199</v>
      </c>
      <c r="K903" s="230"/>
      <c r="L903" s="230">
        <v>241789</v>
      </c>
    </row>
    <row r="904" spans="1:12" ht="11.25" customHeight="1" x14ac:dyDescent="0.2">
      <c r="A904" s="221">
        <v>2022</v>
      </c>
      <c r="B904" s="221">
        <v>5</v>
      </c>
      <c r="C904" s="221">
        <v>10</v>
      </c>
      <c r="D904" s="231">
        <f t="shared" si="84"/>
        <v>44691</v>
      </c>
      <c r="E904" s="233">
        <f>DATE(A904,B904,C904)</f>
        <v>44691</v>
      </c>
      <c r="F904" s="478" t="s">
        <v>1207</v>
      </c>
      <c r="G904" s="222" t="s">
        <v>1111</v>
      </c>
      <c r="H904" s="223" t="str" cm="1">
        <f t="array" ref="H904">IFERROR(INDEX(INVESTOR_LIST[INVESTOR NAME],MATCH(I904,INVESTOR_LIST[INVESTOR CODE],0),)," ")</f>
        <v xml:space="preserve"> </v>
      </c>
      <c r="I904" s="223"/>
      <c r="J904" s="224" t="s">
        <v>55</v>
      </c>
      <c r="K904" s="225">
        <v>268267.33</v>
      </c>
      <c r="L904" s="225"/>
    </row>
    <row r="905" spans="1:12" ht="11.25" customHeight="1" x14ac:dyDescent="0.2">
      <c r="A905" s="226">
        <v>2022</v>
      </c>
      <c r="B905" s="226">
        <v>5</v>
      </c>
      <c r="C905" s="226">
        <v>10</v>
      </c>
      <c r="D905" s="232">
        <f t="shared" ref="D905:D968" si="92">DATE(A905,B905,C905)</f>
        <v>44691</v>
      </c>
      <c r="E905" s="234">
        <f>DATE(A905,B905,C905)</f>
        <v>44691</v>
      </c>
      <c r="F905" s="479"/>
      <c r="G905" s="227" t="s">
        <v>1111</v>
      </c>
      <c r="H905" s="228" t="str" cm="1">
        <f t="array" ref="H905">IFERROR(INDEX(INVESTOR_LIST[INVESTOR NAME],MATCH(I905,INVESTOR_LIST[INVESTOR CODE],0),)," ")</f>
        <v xml:space="preserve"> </v>
      </c>
      <c r="I905" s="228"/>
      <c r="J905" s="229" t="s">
        <v>199</v>
      </c>
      <c r="K905" s="230"/>
      <c r="L905" s="230">
        <v>268267.33</v>
      </c>
    </row>
    <row r="906" spans="1:12" ht="11.25" customHeight="1" x14ac:dyDescent="0.2">
      <c r="A906" s="221">
        <v>2022</v>
      </c>
      <c r="B906" s="221">
        <v>5</v>
      </c>
      <c r="C906" s="221">
        <v>11</v>
      </c>
      <c r="D906" s="221">
        <f t="shared" si="92"/>
        <v>44692</v>
      </c>
      <c r="E906" s="233">
        <f t="shared" ref="E906:E913" si="93">DATE(A906,B906,C906)</f>
        <v>44692</v>
      </c>
      <c r="F906" s="478" t="s">
        <v>1135</v>
      </c>
      <c r="G906" s="222" t="s">
        <v>86</v>
      </c>
      <c r="H906" s="222" t="str" cm="1">
        <f t="array" ref="H906">IFERROR(INDEX(INVESTOR_LIST[INVESTOR NAME],MATCH(I906,INVESTOR_LIST[INVESTOR CODE],0),)," ")</f>
        <v xml:space="preserve"> </v>
      </c>
      <c r="I906" s="223"/>
      <c r="J906" s="224" t="s">
        <v>80</v>
      </c>
      <c r="K906" s="225">
        <v>590375</v>
      </c>
      <c r="L906" s="225"/>
    </row>
    <row r="907" spans="1:12" ht="11.25" customHeight="1" x14ac:dyDescent="0.2">
      <c r="A907" s="164">
        <v>2022</v>
      </c>
      <c r="B907" s="164">
        <v>5</v>
      </c>
      <c r="C907" s="164">
        <v>11</v>
      </c>
      <c r="D907" s="164">
        <f t="shared" si="92"/>
        <v>44692</v>
      </c>
      <c r="E907" s="235">
        <f t="shared" si="93"/>
        <v>44692</v>
      </c>
      <c r="F907" s="480"/>
      <c r="G907" s="208" t="s">
        <v>86</v>
      </c>
      <c r="H907" s="208"/>
      <c r="J907" s="165" t="s">
        <v>960</v>
      </c>
      <c r="K907" s="205">
        <v>6760.43</v>
      </c>
      <c r="L907" s="205"/>
    </row>
    <row r="908" spans="1:12" ht="11.25" customHeight="1" x14ac:dyDescent="0.2">
      <c r="A908" s="164">
        <v>2022</v>
      </c>
      <c r="B908" s="164">
        <v>5</v>
      </c>
      <c r="C908" s="164">
        <v>11</v>
      </c>
      <c r="D908" s="164">
        <f t="shared" si="92"/>
        <v>44692</v>
      </c>
      <c r="E908" s="235">
        <f t="shared" si="93"/>
        <v>44692</v>
      </c>
      <c r="F908" s="480"/>
      <c r="G908" s="208" t="s">
        <v>86</v>
      </c>
      <c r="H908" s="208"/>
      <c r="J908" s="165" t="s">
        <v>199</v>
      </c>
      <c r="K908" s="205">
        <v>2568286.17</v>
      </c>
      <c r="L908" s="205"/>
    </row>
    <row r="909" spans="1:12" ht="11.25" customHeight="1" x14ac:dyDescent="0.2">
      <c r="A909" s="164">
        <v>2022</v>
      </c>
      <c r="B909" s="164">
        <v>5</v>
      </c>
      <c r="C909" s="164">
        <v>11</v>
      </c>
      <c r="D909" s="164">
        <f t="shared" si="92"/>
        <v>44692</v>
      </c>
      <c r="E909" s="235">
        <f t="shared" si="93"/>
        <v>44692</v>
      </c>
      <c r="F909" s="480"/>
      <c r="G909" s="208" t="s">
        <v>86</v>
      </c>
      <c r="H909" s="208" t="str" cm="1">
        <f t="array" ref="H909">IFERROR(INDEX(INVESTOR_LIST[INVESTOR NAME],MATCH(I909,INVESTOR_LIST[INVESTOR CODE],0),)," ")</f>
        <v xml:space="preserve"> </v>
      </c>
      <c r="J909" s="165" t="s">
        <v>200</v>
      </c>
      <c r="K909" s="205">
        <v>254123.85</v>
      </c>
      <c r="L909" s="205"/>
    </row>
    <row r="910" spans="1:12" ht="11.25" customHeight="1" x14ac:dyDescent="0.2">
      <c r="A910" s="226">
        <v>2022</v>
      </c>
      <c r="B910" s="226">
        <v>5</v>
      </c>
      <c r="C910" s="226">
        <v>11</v>
      </c>
      <c r="D910" s="226">
        <f t="shared" si="92"/>
        <v>44692</v>
      </c>
      <c r="E910" s="234">
        <f t="shared" si="93"/>
        <v>44692</v>
      </c>
      <c r="F910" s="479"/>
      <c r="G910" s="227" t="s">
        <v>86</v>
      </c>
      <c r="H910" s="228" t="str" cm="1">
        <f t="array" ref="H910">IFERROR(INDEX(INVESTOR_LIST[INVESTOR NAME],MATCH(I910,INVESTOR_LIST[INVESTOR CODE],0),)," ")</f>
        <v xml:space="preserve"> </v>
      </c>
      <c r="I910" s="228"/>
      <c r="J910" s="229" t="s">
        <v>80</v>
      </c>
      <c r="K910" s="230"/>
      <c r="L910" s="230">
        <v>3419545.45</v>
      </c>
    </row>
    <row r="911" spans="1:12" ht="11.25" customHeight="1" x14ac:dyDescent="0.2">
      <c r="A911" s="221">
        <v>2022</v>
      </c>
      <c r="B911" s="221">
        <v>5</v>
      </c>
      <c r="C911" s="221">
        <v>11</v>
      </c>
      <c r="D911" s="231">
        <f t="shared" si="92"/>
        <v>44692</v>
      </c>
      <c r="E911" s="233">
        <f t="shared" si="93"/>
        <v>44692</v>
      </c>
      <c r="F911" s="478" t="s">
        <v>1115</v>
      </c>
      <c r="G911" s="222" t="s">
        <v>1111</v>
      </c>
      <c r="H911" s="223" t="str" cm="1">
        <f t="array" ref="H911">IFERROR(INDEX(INVESTOR_LIST[INVESTOR NAME],MATCH(I911,INVESTOR_LIST[INVESTOR CODE],0),)," ")</f>
        <v>BILKISS ARA</v>
      </c>
      <c r="I911" s="223" t="s">
        <v>390</v>
      </c>
      <c r="J911" s="224" t="s">
        <v>14</v>
      </c>
      <c r="K911" s="225">
        <v>98590</v>
      </c>
      <c r="L911" s="225"/>
    </row>
    <row r="912" spans="1:12" ht="11.25" customHeight="1" x14ac:dyDescent="0.2">
      <c r="A912" s="164">
        <v>2022</v>
      </c>
      <c r="B912" s="164">
        <v>5</v>
      </c>
      <c r="C912" s="164">
        <v>11</v>
      </c>
      <c r="D912" s="156">
        <f t="shared" si="92"/>
        <v>44692</v>
      </c>
      <c r="E912" s="235">
        <f t="shared" si="93"/>
        <v>44692</v>
      </c>
      <c r="F912" s="480"/>
      <c r="G912" s="208" t="s">
        <v>1111</v>
      </c>
      <c r="H912" s="206" t="str" cm="1">
        <f t="array" ref="H912">IFERROR(INDEX(INVESTOR_LIST[INVESTOR NAME],MATCH(I912,INVESTOR_LIST[INVESTOR CODE],0),)," ")</f>
        <v>BILKISS ARA</v>
      </c>
      <c r="I912" s="206" t="s">
        <v>390</v>
      </c>
      <c r="J912" s="165" t="s">
        <v>1112</v>
      </c>
      <c r="K912" s="205">
        <v>788.72</v>
      </c>
      <c r="L912" s="205"/>
    </row>
    <row r="913" spans="1:12" ht="11.25" customHeight="1" x14ac:dyDescent="0.2">
      <c r="A913" s="226">
        <v>2022</v>
      </c>
      <c r="B913" s="226">
        <v>5</v>
      </c>
      <c r="C913" s="226">
        <v>11</v>
      </c>
      <c r="D913" s="232">
        <f t="shared" si="92"/>
        <v>44692</v>
      </c>
      <c r="E913" s="234">
        <f t="shared" si="93"/>
        <v>44692</v>
      </c>
      <c r="F913" s="479"/>
      <c r="G913" s="227" t="s">
        <v>1111</v>
      </c>
      <c r="H913" s="228" t="str" cm="1">
        <f t="array" ref="H913">IFERROR(INDEX(INVESTOR_LIST[INVESTOR NAME],MATCH(I913,INVESTOR_LIST[INVESTOR CODE],0),)," ")</f>
        <v>BILKISS ARA</v>
      </c>
      <c r="I913" s="228" t="s">
        <v>390</v>
      </c>
      <c r="J913" s="229" t="s">
        <v>55</v>
      </c>
      <c r="K913" s="230"/>
      <c r="L913" s="230">
        <v>99378.72</v>
      </c>
    </row>
    <row r="914" spans="1:12" ht="11.25" customHeight="1" x14ac:dyDescent="0.2">
      <c r="A914" s="221">
        <v>2022</v>
      </c>
      <c r="B914" s="221">
        <v>5</v>
      </c>
      <c r="C914" s="221">
        <v>12</v>
      </c>
      <c r="D914" s="221">
        <f t="shared" si="92"/>
        <v>44693</v>
      </c>
      <c r="E914" s="233">
        <f t="shared" ref="E914:E918" si="94">DATE(A914,B914,C914)</f>
        <v>44693</v>
      </c>
      <c r="F914" s="478" t="s">
        <v>1135</v>
      </c>
      <c r="G914" s="222" t="s">
        <v>86</v>
      </c>
      <c r="H914" s="222" t="str" cm="1">
        <f t="array" ref="H914">IFERROR(INDEX(INVESTOR_LIST[INVESTOR NAME],MATCH(I914,INVESTOR_LIST[INVESTOR CODE],0),)," ")</f>
        <v xml:space="preserve"> </v>
      </c>
      <c r="I914" s="223"/>
      <c r="J914" s="224" t="s">
        <v>80</v>
      </c>
      <c r="K914" s="225">
        <v>2372500</v>
      </c>
      <c r="L914" s="225"/>
    </row>
    <row r="915" spans="1:12" ht="11.25" customHeight="1" x14ac:dyDescent="0.2">
      <c r="A915" s="164">
        <v>2022</v>
      </c>
      <c r="B915" s="164">
        <v>5</v>
      </c>
      <c r="C915" s="164">
        <v>12</v>
      </c>
      <c r="D915" s="164">
        <f t="shared" si="92"/>
        <v>44693</v>
      </c>
      <c r="E915" s="235">
        <f t="shared" si="94"/>
        <v>44693</v>
      </c>
      <c r="F915" s="480"/>
      <c r="G915" s="208" t="s">
        <v>86</v>
      </c>
      <c r="H915" s="208"/>
      <c r="J915" s="165" t="s">
        <v>960</v>
      </c>
      <c r="K915" s="205">
        <v>12196.74</v>
      </c>
      <c r="L915" s="205"/>
    </row>
    <row r="916" spans="1:12" ht="11.25" customHeight="1" x14ac:dyDescent="0.2">
      <c r="A916" s="164">
        <v>2022</v>
      </c>
      <c r="B916" s="164">
        <v>5</v>
      </c>
      <c r="C916" s="164">
        <v>12</v>
      </c>
      <c r="D916" s="164">
        <f t="shared" si="92"/>
        <v>44693</v>
      </c>
      <c r="E916" s="235">
        <f t="shared" si="94"/>
        <v>44693</v>
      </c>
      <c r="F916" s="480"/>
      <c r="G916" s="208" t="s">
        <v>86</v>
      </c>
      <c r="H916" s="208"/>
      <c r="J916" s="165" t="s">
        <v>199</v>
      </c>
      <c r="K916" s="205">
        <v>2018770.25</v>
      </c>
      <c r="L916" s="205"/>
    </row>
    <row r="917" spans="1:12" ht="11.25" customHeight="1" x14ac:dyDescent="0.2">
      <c r="A917" s="164">
        <v>2022</v>
      </c>
      <c r="B917" s="164">
        <v>5</v>
      </c>
      <c r="C917" s="164">
        <v>12</v>
      </c>
      <c r="D917" s="164">
        <f t="shared" si="92"/>
        <v>44693</v>
      </c>
      <c r="E917" s="235">
        <f t="shared" si="94"/>
        <v>44693</v>
      </c>
      <c r="F917" s="480"/>
      <c r="G917" s="208" t="s">
        <v>86</v>
      </c>
      <c r="H917" s="208" t="str" cm="1">
        <f t="array" ref="H917">IFERROR(INDEX(INVESTOR_LIST[INVESTOR NAME],MATCH(I917,INVESTOR_LIST[INVESTOR CODE],0),)," ")</f>
        <v xml:space="preserve"> </v>
      </c>
      <c r="J917" s="165" t="s">
        <v>200</v>
      </c>
      <c r="K917" s="205">
        <v>474950.86</v>
      </c>
      <c r="L917" s="205"/>
    </row>
    <row r="918" spans="1:12" ht="11.25" customHeight="1" x14ac:dyDescent="0.2">
      <c r="A918" s="226">
        <v>2022</v>
      </c>
      <c r="B918" s="226">
        <v>5</v>
      </c>
      <c r="C918" s="226">
        <v>12</v>
      </c>
      <c r="D918" s="226">
        <f t="shared" si="92"/>
        <v>44693</v>
      </c>
      <c r="E918" s="234">
        <f t="shared" si="94"/>
        <v>44693</v>
      </c>
      <c r="F918" s="479"/>
      <c r="G918" s="227" t="s">
        <v>86</v>
      </c>
      <c r="H918" s="228" t="str" cm="1">
        <f t="array" ref="H918">IFERROR(INDEX(INVESTOR_LIST[INVESTOR NAME],MATCH(I918,INVESTOR_LIST[INVESTOR CODE],0),)," ")</f>
        <v xml:space="preserve"> </v>
      </c>
      <c r="I918" s="228"/>
      <c r="J918" s="229" t="s">
        <v>80</v>
      </c>
      <c r="K918" s="230"/>
      <c r="L918" s="230">
        <v>4878417.8499999996</v>
      </c>
    </row>
    <row r="919" spans="1:12" ht="11.25" customHeight="1" x14ac:dyDescent="0.2">
      <c r="A919" s="221">
        <v>2022</v>
      </c>
      <c r="B919" s="221">
        <v>5</v>
      </c>
      <c r="C919" s="221">
        <v>12</v>
      </c>
      <c r="D919" s="231">
        <f t="shared" si="92"/>
        <v>44693</v>
      </c>
      <c r="E919" s="233">
        <f>DATE(A919,B919,C919)</f>
        <v>44693</v>
      </c>
      <c r="F919" s="478" t="s">
        <v>1177</v>
      </c>
      <c r="G919" s="222" t="s">
        <v>86</v>
      </c>
      <c r="H919" s="223" t="str" cm="1">
        <f t="array" ref="H919">IFERROR(INDEX(INVESTOR_LIST[INVESTOR NAME],MATCH(I919,INVESTOR_LIST[INVESTOR CODE],0),)," ")</f>
        <v xml:space="preserve"> </v>
      </c>
      <c r="I919" s="223"/>
      <c r="J919" s="224" t="s">
        <v>131</v>
      </c>
      <c r="K919" s="225">
        <v>294124.99999999977</v>
      </c>
      <c r="L919" s="225"/>
    </row>
    <row r="920" spans="1:12" ht="11.25" customHeight="1" x14ac:dyDescent="0.2">
      <c r="A920" s="226">
        <v>2022</v>
      </c>
      <c r="B920" s="226">
        <v>5</v>
      </c>
      <c r="C920" s="226">
        <v>12</v>
      </c>
      <c r="D920" s="232">
        <f t="shared" si="92"/>
        <v>44693</v>
      </c>
      <c r="E920" s="234">
        <f>DATE(A920,B920,C920)</f>
        <v>44693</v>
      </c>
      <c r="F920" s="479"/>
      <c r="G920" s="227" t="s">
        <v>86</v>
      </c>
      <c r="H920" s="228" t="str" cm="1">
        <f t="array" ref="H920">IFERROR(INDEX(INVESTOR_LIST[INVESTOR NAME],MATCH(I920,INVESTOR_LIST[INVESTOR CODE],0),)," ")</f>
        <v xml:space="preserve"> </v>
      </c>
      <c r="I920" s="228"/>
      <c r="J920" s="229" t="s">
        <v>174</v>
      </c>
      <c r="K920" s="230"/>
      <c r="L920" s="230">
        <v>294124.99999999977</v>
      </c>
    </row>
    <row r="921" spans="1:12" ht="11.25" customHeight="1" x14ac:dyDescent="0.2">
      <c r="A921" s="221">
        <v>2022</v>
      </c>
      <c r="B921" s="221">
        <v>5</v>
      </c>
      <c r="C921" s="221">
        <v>12</v>
      </c>
      <c r="D921" s="231">
        <f t="shared" si="92"/>
        <v>44693</v>
      </c>
      <c r="E921" s="233">
        <f t="shared" ref="E921:E943" si="95">DATE(A921,B921,C921)</f>
        <v>44693</v>
      </c>
      <c r="F921" s="478" t="s">
        <v>802</v>
      </c>
      <c r="G921" s="222" t="s">
        <v>1111</v>
      </c>
      <c r="H921" s="223" t="str" cm="1">
        <f t="array" ref="H921">IFERROR(INDEX(INVESTOR_LIST[INVESTOR NAME],MATCH(I921,INVESTOR_LIST[INVESTOR CODE],0),)," ")</f>
        <v>SYED SADEK HUSSAIN</v>
      </c>
      <c r="I921" s="223" t="s">
        <v>1206</v>
      </c>
      <c r="J921" s="224" t="s">
        <v>55</v>
      </c>
      <c r="K921" s="225">
        <v>453600</v>
      </c>
      <c r="L921" s="225"/>
    </row>
    <row r="922" spans="1:12" ht="11.25" customHeight="1" x14ac:dyDescent="0.2">
      <c r="A922" s="164">
        <v>2022</v>
      </c>
      <c r="B922" s="164">
        <v>5</v>
      </c>
      <c r="C922" s="164">
        <v>12</v>
      </c>
      <c r="D922" s="156">
        <f t="shared" si="92"/>
        <v>44693</v>
      </c>
      <c r="E922" s="235">
        <f t="shared" si="95"/>
        <v>44693</v>
      </c>
      <c r="F922" s="480"/>
      <c r="G922" s="208" t="s">
        <v>1111</v>
      </c>
      <c r="H922" s="206" t="str" cm="1">
        <f t="array" ref="H922">IFERROR(INDEX(INVESTOR_LIST[INVESTOR NAME],MATCH(I922,INVESTOR_LIST[INVESTOR CODE],0),)," ")</f>
        <v>SYED SADEK HUSSAIN</v>
      </c>
      <c r="I922" s="206" t="s">
        <v>1206</v>
      </c>
      <c r="J922" s="165" t="s">
        <v>14</v>
      </c>
      <c r="K922" s="205"/>
      <c r="L922" s="205">
        <v>451790</v>
      </c>
    </row>
    <row r="923" spans="1:12" ht="11.25" customHeight="1" x14ac:dyDescent="0.2">
      <c r="A923" s="226">
        <v>2022</v>
      </c>
      <c r="B923" s="226">
        <v>5</v>
      </c>
      <c r="C923" s="226">
        <v>12</v>
      </c>
      <c r="D923" s="232">
        <f t="shared" si="92"/>
        <v>44693</v>
      </c>
      <c r="E923" s="234">
        <f t="shared" si="95"/>
        <v>44693</v>
      </c>
      <c r="F923" s="479"/>
      <c r="G923" s="227" t="s">
        <v>1111</v>
      </c>
      <c r="H923" s="228" t="str" cm="1">
        <f t="array" ref="H923">IFERROR(INDEX(INVESTOR_LIST[INVESTOR NAME],MATCH(I923,INVESTOR_LIST[INVESTOR CODE],0),)," ")</f>
        <v>SYED SADEK HUSSAIN</v>
      </c>
      <c r="I923" s="228" t="s">
        <v>1206</v>
      </c>
      <c r="J923" s="229" t="s">
        <v>1112</v>
      </c>
      <c r="K923" s="230"/>
      <c r="L923" s="230">
        <v>1810</v>
      </c>
    </row>
    <row r="924" spans="1:12" ht="11.25" customHeight="1" x14ac:dyDescent="0.2">
      <c r="A924" s="221">
        <v>2022</v>
      </c>
      <c r="B924" s="221">
        <v>5</v>
      </c>
      <c r="C924" s="221">
        <v>12</v>
      </c>
      <c r="D924" s="231">
        <f t="shared" si="92"/>
        <v>44693</v>
      </c>
      <c r="E924" s="233">
        <f t="shared" si="95"/>
        <v>44693</v>
      </c>
      <c r="F924" s="478" t="s">
        <v>1114</v>
      </c>
      <c r="G924" s="222" t="s">
        <v>1111</v>
      </c>
      <c r="H924" s="223" t="str" cm="1">
        <f t="array" ref="H924">IFERROR(INDEX(INVESTOR_LIST[INVESTOR NAME],MATCH(I924,INVESTOR_LIST[INVESTOR CODE],0),)," ")</f>
        <v xml:space="preserve"> </v>
      </c>
      <c r="I924" s="223"/>
      <c r="J924" s="224" t="s">
        <v>63</v>
      </c>
      <c r="K924" s="225">
        <v>10</v>
      </c>
      <c r="L924" s="225" t="s">
        <v>1119</v>
      </c>
    </row>
    <row r="925" spans="1:12" ht="11.25" customHeight="1" x14ac:dyDescent="0.2">
      <c r="A925" s="226">
        <v>2022</v>
      </c>
      <c r="B925" s="226">
        <v>5</v>
      </c>
      <c r="C925" s="226">
        <v>12</v>
      </c>
      <c r="D925" s="232">
        <f t="shared" si="92"/>
        <v>44693</v>
      </c>
      <c r="E925" s="234">
        <f t="shared" si="95"/>
        <v>44693</v>
      </c>
      <c r="F925" s="479"/>
      <c r="G925" s="227" t="s">
        <v>1111</v>
      </c>
      <c r="H925" s="228" t="str" cm="1">
        <f t="array" ref="H925">IFERROR(INDEX(INVESTOR_LIST[INVESTOR NAME],MATCH(I925,INVESTOR_LIST[INVESTOR CODE],0),)," ")</f>
        <v xml:space="preserve"> </v>
      </c>
      <c r="I925" s="228"/>
      <c r="J925" s="229" t="s">
        <v>55</v>
      </c>
      <c r="K925" s="230" t="s">
        <v>1119</v>
      </c>
      <c r="L925" s="230">
        <v>10</v>
      </c>
    </row>
    <row r="926" spans="1:12" ht="11.25" customHeight="1" x14ac:dyDescent="0.2">
      <c r="A926" s="236">
        <v>2022</v>
      </c>
      <c r="B926" s="236">
        <v>5</v>
      </c>
      <c r="C926" s="236">
        <v>12</v>
      </c>
      <c r="D926" s="237">
        <f t="shared" si="92"/>
        <v>44693</v>
      </c>
      <c r="E926" s="238">
        <f t="shared" si="95"/>
        <v>44693</v>
      </c>
      <c r="F926" s="476" t="s">
        <v>1118</v>
      </c>
      <c r="G926" s="239" t="s">
        <v>86</v>
      </c>
      <c r="H926" s="239" t="str" cm="1">
        <f t="array" ref="H926">IFERROR(INDEX(INVESTOR_LIST[INVESTOR NAME],MATCH(I926,INVESTOR_LIST[INVESTOR CODE],0),)," ")</f>
        <v xml:space="preserve"> </v>
      </c>
      <c r="I926" s="240"/>
      <c r="J926" s="241" t="s">
        <v>82</v>
      </c>
      <c r="K926" s="242">
        <v>257803.71999999881</v>
      </c>
      <c r="L926" s="242"/>
    </row>
    <row r="927" spans="1:12" ht="11.25" customHeight="1" x14ac:dyDescent="0.2">
      <c r="A927" s="243">
        <v>2022</v>
      </c>
      <c r="B927" s="243">
        <v>5</v>
      </c>
      <c r="C927" s="243">
        <v>12</v>
      </c>
      <c r="D927" s="248">
        <f t="shared" si="92"/>
        <v>44693</v>
      </c>
      <c r="E927" s="249">
        <f t="shared" si="95"/>
        <v>44693</v>
      </c>
      <c r="F927" s="477"/>
      <c r="G927" s="244" t="s">
        <v>86</v>
      </c>
      <c r="H927" s="244" t="str" cm="1">
        <f t="array" ref="H927">IFERROR(INDEX(INVESTOR_LIST[INVESTOR NAME],MATCH(I927,INVESTOR_LIST[INVESTOR CODE],0),)," ")</f>
        <v xml:space="preserve"> </v>
      </c>
      <c r="I927" s="245"/>
      <c r="J927" s="246" t="s">
        <v>98</v>
      </c>
      <c r="K927" s="247"/>
      <c r="L927" s="247">
        <v>257803.71999999881</v>
      </c>
    </row>
    <row r="928" spans="1:12" ht="11.25" customHeight="1" x14ac:dyDescent="0.2">
      <c r="A928" s="236">
        <v>2022</v>
      </c>
      <c r="B928" s="236">
        <v>5</v>
      </c>
      <c r="C928" s="236">
        <v>12</v>
      </c>
      <c r="D928" s="237">
        <f t="shared" si="92"/>
        <v>44693</v>
      </c>
      <c r="E928" s="238">
        <f t="shared" si="95"/>
        <v>44693</v>
      </c>
      <c r="F928" s="476" t="s">
        <v>1120</v>
      </c>
      <c r="G928" s="239" t="s">
        <v>86</v>
      </c>
      <c r="H928" s="239" t="str" cm="1">
        <f t="array" ref="H928">IFERROR(INDEX(INVESTOR_LIST[INVESTOR NAME],MATCH(I928,INVESTOR_LIST[INVESTOR CODE],0),)," ")</f>
        <v xml:space="preserve"> </v>
      </c>
      <c r="I928" s="240"/>
      <c r="J928" s="241" t="s">
        <v>87</v>
      </c>
      <c r="K928" s="242">
        <v>2747.2527472527472</v>
      </c>
      <c r="L928" s="242"/>
    </row>
    <row r="929" spans="1:15" ht="11.25" customHeight="1" x14ac:dyDescent="0.2">
      <c r="A929" s="243">
        <v>2022</v>
      </c>
      <c r="B929" s="243">
        <v>5</v>
      </c>
      <c r="C929" s="243">
        <v>12</v>
      </c>
      <c r="D929" s="248">
        <f t="shared" si="92"/>
        <v>44693</v>
      </c>
      <c r="E929" s="249">
        <f t="shared" si="95"/>
        <v>44693</v>
      </c>
      <c r="F929" s="477"/>
      <c r="G929" s="244" t="s">
        <v>86</v>
      </c>
      <c r="H929" s="244" t="str" cm="1">
        <f t="array" ref="H929">IFERROR(INDEX(INVESTOR_LIST[INVESTOR NAME],MATCH(I929,INVESTOR_LIST[INVESTOR CODE],0),)," ")</f>
        <v xml:space="preserve"> </v>
      </c>
      <c r="I929" s="245"/>
      <c r="J929" s="246" t="s">
        <v>64</v>
      </c>
      <c r="K929" s="247"/>
      <c r="L929" s="247">
        <v>2747.2527472527472</v>
      </c>
    </row>
    <row r="930" spans="1:15" ht="11.25" customHeight="1" x14ac:dyDescent="0.2">
      <c r="A930" s="236">
        <v>2022</v>
      </c>
      <c r="B930" s="236">
        <v>5</v>
      </c>
      <c r="C930" s="236">
        <v>12</v>
      </c>
      <c r="D930" s="237">
        <f t="shared" si="92"/>
        <v>44693</v>
      </c>
      <c r="E930" s="238">
        <f t="shared" si="95"/>
        <v>44693</v>
      </c>
      <c r="F930" s="476" t="s">
        <v>1121</v>
      </c>
      <c r="G930" s="239" t="s">
        <v>86</v>
      </c>
      <c r="H930" s="239" t="str" cm="1">
        <f t="array" ref="H930">IFERROR(INDEX(INVESTOR_LIST[INVESTOR NAME],MATCH(I930,INVESTOR_LIST[INVESTOR CODE],0),)," ")</f>
        <v xml:space="preserve"> </v>
      </c>
      <c r="I930" s="240"/>
      <c r="J930" s="241" t="s">
        <v>89</v>
      </c>
      <c r="K930" s="242">
        <v>101868.71388390883</v>
      </c>
      <c r="L930" s="242"/>
    </row>
    <row r="931" spans="1:15" ht="11.25" customHeight="1" x14ac:dyDescent="0.2">
      <c r="A931" s="243">
        <v>2022</v>
      </c>
      <c r="B931" s="243">
        <v>5</v>
      </c>
      <c r="C931" s="243">
        <v>12</v>
      </c>
      <c r="D931" s="248">
        <f t="shared" si="92"/>
        <v>44693</v>
      </c>
      <c r="E931" s="249">
        <f t="shared" si="95"/>
        <v>44693</v>
      </c>
      <c r="F931" s="477"/>
      <c r="G931" s="244" t="s">
        <v>86</v>
      </c>
      <c r="H931" s="244" t="str" cm="1">
        <f t="array" ref="H931">IFERROR(INDEX(INVESTOR_LIST[INVESTOR NAME],MATCH(I931,INVESTOR_LIST[INVESTOR CODE],0),)," ")</f>
        <v xml:space="preserve"> </v>
      </c>
      <c r="I931" s="245"/>
      <c r="J931" s="246" t="s">
        <v>50</v>
      </c>
      <c r="K931" s="247"/>
      <c r="L931" s="247">
        <v>101868.71388390883</v>
      </c>
    </row>
    <row r="932" spans="1:15" ht="11.25" customHeight="1" x14ac:dyDescent="0.2">
      <c r="A932" s="236">
        <v>2022</v>
      </c>
      <c r="B932" s="236">
        <v>5</v>
      </c>
      <c r="C932" s="236">
        <v>12</v>
      </c>
      <c r="D932" s="237">
        <f t="shared" si="92"/>
        <v>44693</v>
      </c>
      <c r="E932" s="238">
        <f t="shared" si="95"/>
        <v>44693</v>
      </c>
      <c r="F932" s="476" t="s">
        <v>1122</v>
      </c>
      <c r="G932" s="239" t="s">
        <v>86</v>
      </c>
      <c r="H932" s="239" t="str" cm="1">
        <f t="array" ref="H932">IFERROR(INDEX(INVESTOR_LIST[INVESTOR NAME],MATCH(I932,INVESTOR_LIST[INVESTOR CODE],0),)," ")</f>
        <v xml:space="preserve"> </v>
      </c>
      <c r="I932" s="240"/>
      <c r="J932" s="241" t="s">
        <v>91</v>
      </c>
      <c r="K932" s="242">
        <v>4879.6888333217285</v>
      </c>
      <c r="L932" s="242"/>
    </row>
    <row r="933" spans="1:15" ht="11.25" customHeight="1" x14ac:dyDescent="0.2">
      <c r="A933" s="243">
        <v>2022</v>
      </c>
      <c r="B933" s="243">
        <v>5</v>
      </c>
      <c r="C933" s="243">
        <v>12</v>
      </c>
      <c r="D933" s="248">
        <f t="shared" si="92"/>
        <v>44693</v>
      </c>
      <c r="E933" s="249">
        <f t="shared" si="95"/>
        <v>44693</v>
      </c>
      <c r="F933" s="477"/>
      <c r="G933" s="244" t="s">
        <v>86</v>
      </c>
      <c r="H933" s="244" t="str" cm="1">
        <f t="array" ref="H933">IFERROR(INDEX(INVESTOR_LIST[INVESTOR NAME],MATCH(I933,INVESTOR_LIST[INVESTOR CODE],0),)," ")</f>
        <v xml:space="preserve"> </v>
      </c>
      <c r="I933" s="245"/>
      <c r="J933" s="246" t="s">
        <v>51</v>
      </c>
      <c r="K933" s="247"/>
      <c r="L933" s="247">
        <v>4879.6888333217285</v>
      </c>
      <c r="M933" s="166"/>
      <c r="N933" s="166"/>
      <c r="O933" s="166"/>
    </row>
    <row r="934" spans="1:15" ht="11.25" customHeight="1" x14ac:dyDescent="0.2">
      <c r="A934" s="221">
        <v>2022</v>
      </c>
      <c r="B934" s="221">
        <v>5</v>
      </c>
      <c r="C934" s="221">
        <v>13</v>
      </c>
      <c r="D934" s="231">
        <f t="shared" si="92"/>
        <v>44694</v>
      </c>
      <c r="E934" s="233">
        <f t="shared" si="95"/>
        <v>44694</v>
      </c>
      <c r="F934" s="478" t="s">
        <v>1178</v>
      </c>
      <c r="G934" s="222" t="s">
        <v>1111</v>
      </c>
      <c r="H934" s="223" t="str" cm="1">
        <f t="array" ref="H934">IFERROR(INDEX(INVESTOR_LIST[INVESTOR NAME],MATCH(I934,INVESTOR_LIST[INVESTOR CODE],0),)," ")</f>
        <v xml:space="preserve"> </v>
      </c>
      <c r="I934" s="223"/>
      <c r="J934" s="224" t="s">
        <v>189</v>
      </c>
      <c r="K934" s="225">
        <v>4000</v>
      </c>
      <c r="L934" s="225"/>
    </row>
    <row r="935" spans="1:15" ht="11.25" customHeight="1" x14ac:dyDescent="0.2">
      <c r="A935" s="226">
        <v>2022</v>
      </c>
      <c r="B935" s="221">
        <v>5</v>
      </c>
      <c r="C935" s="221">
        <v>13</v>
      </c>
      <c r="D935" s="232">
        <f t="shared" si="92"/>
        <v>44694</v>
      </c>
      <c r="E935" s="234">
        <f t="shared" si="95"/>
        <v>44694</v>
      </c>
      <c r="F935" s="479"/>
      <c r="G935" s="227" t="s">
        <v>1111</v>
      </c>
      <c r="H935" s="228" t="str" cm="1">
        <f t="array" ref="H935">IFERROR(INDEX(INVESTOR_LIST[INVESTOR NAME],MATCH(I935,INVESTOR_LIST[INVESTOR CODE],0),)," ")</f>
        <v xml:space="preserve"> </v>
      </c>
      <c r="I935" s="228"/>
      <c r="J935" s="229" t="s">
        <v>55</v>
      </c>
      <c r="K935" s="230"/>
      <c r="L935" s="230">
        <v>4000</v>
      </c>
    </row>
    <row r="936" spans="1:15" ht="11.25" customHeight="1" x14ac:dyDescent="0.2">
      <c r="A936" s="221">
        <v>2022</v>
      </c>
      <c r="B936" s="221">
        <v>5</v>
      </c>
      <c r="C936" s="221">
        <v>15</v>
      </c>
      <c r="D936" s="231">
        <f t="shared" si="92"/>
        <v>44696</v>
      </c>
      <c r="E936" s="233">
        <f t="shared" si="95"/>
        <v>44696</v>
      </c>
      <c r="F936" s="478" t="s">
        <v>1132</v>
      </c>
      <c r="G936" s="222" t="s">
        <v>1111</v>
      </c>
      <c r="H936" s="223" t="str" cm="1">
        <f t="array" ref="H936">IFERROR(INDEX(INVESTOR_LIST[INVESTOR NAME],MATCH(I936,INVESTOR_LIST[INVESTOR CODE],0),)," ")</f>
        <v>ANIK KUMAR GUPTA</v>
      </c>
      <c r="I936" s="223" t="s">
        <v>950</v>
      </c>
      <c r="J936" s="224" t="s">
        <v>55</v>
      </c>
      <c r="K936" s="225">
        <v>1000</v>
      </c>
      <c r="L936" s="225" t="s">
        <v>1119</v>
      </c>
    </row>
    <row r="937" spans="1:15" ht="11.25" customHeight="1" x14ac:dyDescent="0.2">
      <c r="A937" s="226">
        <v>2022</v>
      </c>
      <c r="B937" s="226">
        <v>5</v>
      </c>
      <c r="C937" s="226">
        <v>15</v>
      </c>
      <c r="D937" s="232">
        <f t="shared" si="92"/>
        <v>44696</v>
      </c>
      <c r="E937" s="234">
        <f t="shared" si="95"/>
        <v>44696</v>
      </c>
      <c r="F937" s="479"/>
      <c r="G937" s="227" t="s">
        <v>1111</v>
      </c>
      <c r="H937" s="228" t="str" cm="1">
        <f t="array" ref="H937">IFERROR(INDEX(INVESTOR_LIST[INVESTOR NAME],MATCH(I937,INVESTOR_LIST[INVESTOR CODE],0),)," ")</f>
        <v>ANIK KUMAR GUPTA</v>
      </c>
      <c r="I937" s="228" t="s">
        <v>950</v>
      </c>
      <c r="J937" s="229" t="s">
        <v>14</v>
      </c>
      <c r="K937" s="230" t="s">
        <v>1119</v>
      </c>
      <c r="L937" s="230">
        <v>1000</v>
      </c>
    </row>
    <row r="938" spans="1:15" ht="11.25" customHeight="1" x14ac:dyDescent="0.2">
      <c r="A938" s="221">
        <v>2022</v>
      </c>
      <c r="B938" s="221">
        <v>5</v>
      </c>
      <c r="C938" s="221">
        <v>16</v>
      </c>
      <c r="D938" s="231">
        <f t="shared" si="92"/>
        <v>44697</v>
      </c>
      <c r="E938" s="233">
        <f t="shared" si="95"/>
        <v>44697</v>
      </c>
      <c r="F938" s="478" t="s">
        <v>1115</v>
      </c>
      <c r="G938" s="222" t="s">
        <v>1111</v>
      </c>
      <c r="H938" s="223" t="str" cm="1">
        <f t="array" ref="H938">IFERROR(INDEX(INVESTOR_LIST[INVESTOR NAME],MATCH(I938,INVESTOR_LIST[INVESTOR CODE],0),)," ")</f>
        <v>SK FEROZ ALAM</v>
      </c>
      <c r="I938" s="223" t="s">
        <v>411</v>
      </c>
      <c r="J938" s="224" t="s">
        <v>14</v>
      </c>
      <c r="K938" s="225">
        <v>300000</v>
      </c>
      <c r="L938" s="225"/>
    </row>
    <row r="939" spans="1:15" ht="11.25" customHeight="1" x14ac:dyDescent="0.2">
      <c r="A939" s="164">
        <v>2022</v>
      </c>
      <c r="B939" s="164">
        <v>5</v>
      </c>
      <c r="C939" s="164">
        <v>16</v>
      </c>
      <c r="D939" s="156">
        <f t="shared" si="92"/>
        <v>44697</v>
      </c>
      <c r="E939" s="235">
        <f t="shared" si="95"/>
        <v>44697</v>
      </c>
      <c r="F939" s="480"/>
      <c r="G939" s="208" t="s">
        <v>1111</v>
      </c>
      <c r="H939" s="206" t="str" cm="1">
        <f t="array" ref="H939">IFERROR(INDEX(INVESTOR_LIST[INVESTOR NAME],MATCH(I939,INVESTOR_LIST[INVESTOR CODE],0),)," ")</f>
        <v>SK FEROZ ALAM</v>
      </c>
      <c r="I939" s="206" t="s">
        <v>411</v>
      </c>
      <c r="J939" s="165" t="s">
        <v>1112</v>
      </c>
      <c r="K939" s="205">
        <v>2400</v>
      </c>
      <c r="L939" s="205"/>
    </row>
    <row r="940" spans="1:15" ht="11.25" customHeight="1" x14ac:dyDescent="0.2">
      <c r="A940" s="226">
        <v>2022</v>
      </c>
      <c r="B940" s="226">
        <v>5</v>
      </c>
      <c r="C940" s="226">
        <v>16</v>
      </c>
      <c r="D940" s="232">
        <f t="shared" si="92"/>
        <v>44697</v>
      </c>
      <c r="E940" s="234">
        <f t="shared" si="95"/>
        <v>44697</v>
      </c>
      <c r="F940" s="479"/>
      <c r="G940" s="227" t="s">
        <v>1111</v>
      </c>
      <c r="H940" s="228" t="str" cm="1">
        <f t="array" ref="H940">IFERROR(INDEX(INVESTOR_LIST[INVESTOR NAME],MATCH(I940,INVESTOR_LIST[INVESTOR CODE],0),)," ")</f>
        <v>SK FEROZ ALAM</v>
      </c>
      <c r="I940" s="228" t="s">
        <v>411</v>
      </c>
      <c r="J940" s="229" t="s">
        <v>55</v>
      </c>
      <c r="K940" s="230"/>
      <c r="L940" s="230">
        <v>302400</v>
      </c>
    </row>
    <row r="941" spans="1:15" ht="11.25" customHeight="1" x14ac:dyDescent="0.2">
      <c r="A941" s="221">
        <v>2022</v>
      </c>
      <c r="B941" s="221">
        <v>5</v>
      </c>
      <c r="C941" s="221">
        <v>16</v>
      </c>
      <c r="D941" s="231">
        <f t="shared" si="92"/>
        <v>44697</v>
      </c>
      <c r="E941" s="233">
        <f t="shared" si="95"/>
        <v>44697</v>
      </c>
      <c r="F941" s="478" t="s">
        <v>1115</v>
      </c>
      <c r="G941" s="222" t="s">
        <v>1111</v>
      </c>
      <c r="H941" s="223" t="str" cm="1">
        <f t="array" ref="H941">IFERROR(INDEX(INVESTOR_LIST[INVESTOR NAME],MATCH(I941,INVESTOR_LIST[INVESTOR CODE],0),)," ")</f>
        <v>SK FEROZ ALAM &amp; MD BULBUL ISLAM</v>
      </c>
      <c r="I941" s="223" t="s">
        <v>485</v>
      </c>
      <c r="J941" s="224" t="s">
        <v>14</v>
      </c>
      <c r="K941" s="225">
        <v>200000</v>
      </c>
      <c r="L941" s="225"/>
    </row>
    <row r="942" spans="1:15" ht="11.25" customHeight="1" x14ac:dyDescent="0.2">
      <c r="A942" s="164">
        <v>2022</v>
      </c>
      <c r="B942" s="164">
        <v>5</v>
      </c>
      <c r="C942" s="164">
        <v>16</v>
      </c>
      <c r="D942" s="156">
        <f t="shared" si="92"/>
        <v>44697</v>
      </c>
      <c r="E942" s="235">
        <f t="shared" si="95"/>
        <v>44697</v>
      </c>
      <c r="F942" s="480"/>
      <c r="G942" s="208" t="s">
        <v>1111</v>
      </c>
      <c r="H942" s="206" t="str" cm="1">
        <f t="array" ref="H942">IFERROR(INDEX(INVESTOR_LIST[INVESTOR NAME],MATCH(I942,INVESTOR_LIST[INVESTOR CODE],0),)," ")</f>
        <v>SK FEROZ ALAM &amp; MD BULBUL ISLAM</v>
      </c>
      <c r="I942" s="206" t="s">
        <v>485</v>
      </c>
      <c r="J942" s="165" t="s">
        <v>1112</v>
      </c>
      <c r="K942" s="205">
        <v>1600</v>
      </c>
      <c r="L942" s="205"/>
    </row>
    <row r="943" spans="1:15" ht="11.25" customHeight="1" x14ac:dyDescent="0.2">
      <c r="A943" s="226">
        <v>2022</v>
      </c>
      <c r="B943" s="226">
        <v>5</v>
      </c>
      <c r="C943" s="226">
        <v>16</v>
      </c>
      <c r="D943" s="232">
        <f t="shared" si="92"/>
        <v>44697</v>
      </c>
      <c r="E943" s="234">
        <f t="shared" si="95"/>
        <v>44697</v>
      </c>
      <c r="F943" s="479"/>
      <c r="G943" s="227" t="s">
        <v>1111</v>
      </c>
      <c r="H943" s="228" t="str" cm="1">
        <f t="array" ref="H943">IFERROR(INDEX(INVESTOR_LIST[INVESTOR NAME],MATCH(I943,INVESTOR_LIST[INVESTOR CODE],0),)," ")</f>
        <v>SK FEROZ ALAM &amp; MD BULBUL ISLAM</v>
      </c>
      <c r="I943" s="228" t="s">
        <v>485</v>
      </c>
      <c r="J943" s="229" t="s">
        <v>55</v>
      </c>
      <c r="K943" s="230"/>
      <c r="L943" s="230">
        <v>201600</v>
      </c>
    </row>
    <row r="944" spans="1:15" ht="11.25" customHeight="1" x14ac:dyDescent="0.2">
      <c r="A944" s="221">
        <v>2022</v>
      </c>
      <c r="B944" s="221">
        <v>5</v>
      </c>
      <c r="C944" s="221">
        <v>16</v>
      </c>
      <c r="D944" s="231">
        <f t="shared" si="92"/>
        <v>44697</v>
      </c>
      <c r="E944" s="233">
        <f>DATE(A944,B944,C944)</f>
        <v>44697</v>
      </c>
      <c r="F944" s="478" t="s">
        <v>1164</v>
      </c>
      <c r="G944" s="222" t="s">
        <v>1111</v>
      </c>
      <c r="H944" s="223" t="str" cm="1">
        <f t="array" ref="H944">IFERROR(INDEX(INVESTOR_LIST[INVESTOR NAME],MATCH(I944,INVESTOR_LIST[INVESTOR CODE],0),)," ")</f>
        <v xml:space="preserve"> </v>
      </c>
      <c r="I944" s="223"/>
      <c r="J944" s="224" t="s">
        <v>55</v>
      </c>
      <c r="K944" s="225">
        <v>2568286.17</v>
      </c>
      <c r="L944" s="225"/>
    </row>
    <row r="945" spans="1:12" ht="11.25" customHeight="1" x14ac:dyDescent="0.2">
      <c r="A945" s="226">
        <v>2022</v>
      </c>
      <c r="B945" s="226">
        <v>5</v>
      </c>
      <c r="C945" s="226">
        <v>16</v>
      </c>
      <c r="D945" s="232">
        <f t="shared" si="92"/>
        <v>44697</v>
      </c>
      <c r="E945" s="234">
        <f>DATE(A945,B945,C945)</f>
        <v>44697</v>
      </c>
      <c r="F945" s="479"/>
      <c r="G945" s="227" t="s">
        <v>1111</v>
      </c>
      <c r="H945" s="228" t="str" cm="1">
        <f t="array" ref="H945">IFERROR(INDEX(INVESTOR_LIST[INVESTOR NAME],MATCH(I945,INVESTOR_LIST[INVESTOR CODE],0),)," ")</f>
        <v xml:space="preserve"> </v>
      </c>
      <c r="I945" s="228"/>
      <c r="J945" s="229" t="s">
        <v>199</v>
      </c>
      <c r="K945" s="230"/>
      <c r="L945" s="230">
        <v>2568286.17</v>
      </c>
    </row>
    <row r="946" spans="1:12" ht="11.25" customHeight="1" x14ac:dyDescent="0.2">
      <c r="A946" s="221">
        <v>2022</v>
      </c>
      <c r="B946" s="221">
        <v>5</v>
      </c>
      <c r="C946" s="221">
        <v>17</v>
      </c>
      <c r="D946" s="221">
        <f t="shared" si="92"/>
        <v>44698</v>
      </c>
      <c r="E946" s="233">
        <f t="shared" ref="E946:E950" si="96">DATE(A946,B946,C946)</f>
        <v>44698</v>
      </c>
      <c r="F946" s="478" t="s">
        <v>1135</v>
      </c>
      <c r="G946" s="222" t="s">
        <v>86</v>
      </c>
      <c r="H946" s="222" t="str" cm="1">
        <f t="array" ref="H946">IFERROR(INDEX(INVESTOR_LIST[INVESTOR NAME],MATCH(I946,INVESTOR_LIST[INVESTOR CODE],0),)," ")</f>
        <v xml:space="preserve"> </v>
      </c>
      <c r="I946" s="223"/>
      <c r="J946" s="224" t="s">
        <v>80</v>
      </c>
      <c r="K946" s="225">
        <v>4389084.8</v>
      </c>
      <c r="L946" s="225"/>
    </row>
    <row r="947" spans="1:12" ht="11.25" customHeight="1" x14ac:dyDescent="0.2">
      <c r="A947" s="164">
        <v>2022</v>
      </c>
      <c r="B947" s="164">
        <v>5</v>
      </c>
      <c r="C947" s="164">
        <v>17</v>
      </c>
      <c r="D947" s="164">
        <f t="shared" si="92"/>
        <v>44698</v>
      </c>
      <c r="E947" s="235">
        <f t="shared" si="96"/>
        <v>44698</v>
      </c>
      <c r="F947" s="480"/>
      <c r="G947" s="208" t="s">
        <v>86</v>
      </c>
      <c r="H947" s="208"/>
      <c r="J947" s="165" t="s">
        <v>960</v>
      </c>
      <c r="K947" s="205">
        <v>14791.12</v>
      </c>
      <c r="L947" s="205"/>
    </row>
    <row r="948" spans="1:12" ht="11.25" customHeight="1" x14ac:dyDescent="0.2">
      <c r="A948" s="164">
        <v>2022</v>
      </c>
      <c r="B948" s="164">
        <v>5</v>
      </c>
      <c r="C948" s="164">
        <v>17</v>
      </c>
      <c r="D948" s="164">
        <f t="shared" si="92"/>
        <v>44698</v>
      </c>
      <c r="E948" s="235">
        <f t="shared" si="96"/>
        <v>44698</v>
      </c>
      <c r="F948" s="480"/>
      <c r="G948" s="208" t="s">
        <v>86</v>
      </c>
      <c r="H948" s="208"/>
      <c r="J948" s="165" t="s">
        <v>200</v>
      </c>
      <c r="K948" s="205">
        <v>155298.79</v>
      </c>
      <c r="L948" s="205"/>
    </row>
    <row r="949" spans="1:12" ht="11.25" customHeight="1" x14ac:dyDescent="0.2">
      <c r="A949" s="164">
        <v>2022</v>
      </c>
      <c r="B949" s="164">
        <v>5</v>
      </c>
      <c r="C949" s="164">
        <v>17</v>
      </c>
      <c r="D949" s="164">
        <f t="shared" si="92"/>
        <v>44698</v>
      </c>
      <c r="E949" s="235">
        <f t="shared" si="96"/>
        <v>44698</v>
      </c>
      <c r="F949" s="480"/>
      <c r="G949" s="208" t="s">
        <v>86</v>
      </c>
      <c r="H949" s="208" t="str" cm="1">
        <f t="array" ref="H949">IFERROR(INDEX(INVESTOR_LIST[INVESTOR NAME],MATCH(I949,INVESTOR_LIST[INVESTOR CODE],0),)," ")</f>
        <v xml:space="preserve"> </v>
      </c>
      <c r="J949" s="165" t="s">
        <v>961</v>
      </c>
      <c r="L949" s="205">
        <v>575672.81999999995</v>
      </c>
    </row>
    <row r="950" spans="1:12" ht="11.25" customHeight="1" x14ac:dyDescent="0.2">
      <c r="A950" s="226">
        <v>2022</v>
      </c>
      <c r="B950" s="226">
        <v>5</v>
      </c>
      <c r="C950" s="226">
        <v>17</v>
      </c>
      <c r="D950" s="226">
        <f t="shared" si="92"/>
        <v>44698</v>
      </c>
      <c r="E950" s="234">
        <f t="shared" si="96"/>
        <v>44698</v>
      </c>
      <c r="F950" s="479"/>
      <c r="G950" s="227" t="s">
        <v>86</v>
      </c>
      <c r="H950" s="228" t="str" cm="1">
        <f t="array" ref="H950">IFERROR(INDEX(INVESTOR_LIST[INVESTOR NAME],MATCH(I950,INVESTOR_LIST[INVESTOR CODE],0),)," ")</f>
        <v xml:space="preserve"> </v>
      </c>
      <c r="I950" s="228"/>
      <c r="J950" s="229" t="s">
        <v>80</v>
      </c>
      <c r="K950" s="230"/>
      <c r="L950" s="230">
        <v>3983501.8899999997</v>
      </c>
    </row>
    <row r="951" spans="1:12" ht="11.25" customHeight="1" x14ac:dyDescent="0.2">
      <c r="A951" s="221">
        <v>2022</v>
      </c>
      <c r="B951" s="221">
        <v>5</v>
      </c>
      <c r="C951" s="221">
        <v>17</v>
      </c>
      <c r="D951" s="231">
        <f t="shared" si="92"/>
        <v>44698</v>
      </c>
      <c r="E951" s="233">
        <f>DATE(A951,B951,C951)</f>
        <v>44698</v>
      </c>
      <c r="F951" s="478" t="s">
        <v>1164</v>
      </c>
      <c r="G951" s="222" t="s">
        <v>1111</v>
      </c>
      <c r="H951" s="223" t="str" cm="1">
        <f t="array" ref="H951">IFERROR(INDEX(INVESTOR_LIST[INVESTOR NAME],MATCH(I951,INVESTOR_LIST[INVESTOR CODE],0),)," ")</f>
        <v xml:space="preserve"> </v>
      </c>
      <c r="I951" s="223"/>
      <c r="J951" s="224" t="s">
        <v>55</v>
      </c>
      <c r="K951" s="225">
        <v>2018770.25</v>
      </c>
      <c r="L951" s="225"/>
    </row>
    <row r="952" spans="1:12" ht="11.25" customHeight="1" x14ac:dyDescent="0.2">
      <c r="A952" s="226">
        <v>2022</v>
      </c>
      <c r="B952" s="226">
        <v>5</v>
      </c>
      <c r="C952" s="226">
        <v>17</v>
      </c>
      <c r="D952" s="232">
        <f t="shared" si="92"/>
        <v>44698</v>
      </c>
      <c r="E952" s="234">
        <f>DATE(A952,B952,C952)</f>
        <v>44698</v>
      </c>
      <c r="F952" s="479"/>
      <c r="G952" s="227" t="s">
        <v>1111</v>
      </c>
      <c r="H952" s="228" t="str" cm="1">
        <f t="array" ref="H952">IFERROR(INDEX(INVESTOR_LIST[INVESTOR NAME],MATCH(I952,INVESTOR_LIST[INVESTOR CODE],0),)," ")</f>
        <v xml:space="preserve"> </v>
      </c>
      <c r="I952" s="228"/>
      <c r="J952" s="229" t="s">
        <v>199</v>
      </c>
      <c r="K952" s="230"/>
      <c r="L952" s="230">
        <v>2018770.25</v>
      </c>
    </row>
    <row r="953" spans="1:12" ht="11.25" customHeight="1" x14ac:dyDescent="0.2">
      <c r="A953" s="221">
        <v>2022</v>
      </c>
      <c r="B953" s="221">
        <v>5</v>
      </c>
      <c r="C953" s="221">
        <v>17</v>
      </c>
      <c r="D953" s="221">
        <f t="shared" si="92"/>
        <v>44698</v>
      </c>
      <c r="E953" s="233">
        <f t="shared" ref="E953:E956" si="97">DATE(A953,B953,C953)</f>
        <v>44698</v>
      </c>
      <c r="F953" s="478" t="s">
        <v>1215</v>
      </c>
      <c r="G953" s="222" t="s">
        <v>1111</v>
      </c>
      <c r="H953" s="222" t="str" cm="1">
        <f t="array" ref="H953">IFERROR(INDEX(INVESTOR_LIST[INVESTOR NAME],MATCH(I953,INVESTOR_LIST[INVESTOR CODE],0),)," ")</f>
        <v xml:space="preserve"> </v>
      </c>
      <c r="I953" s="223"/>
      <c r="J953" s="224" t="s">
        <v>196</v>
      </c>
      <c r="K953" s="225">
        <v>680000</v>
      </c>
      <c r="L953" s="225"/>
    </row>
    <row r="954" spans="1:12" ht="11.25" customHeight="1" x14ac:dyDescent="0.2">
      <c r="A954" s="164">
        <v>2022</v>
      </c>
      <c r="B954" s="164">
        <v>5</v>
      </c>
      <c r="C954" s="164">
        <v>17</v>
      </c>
      <c r="D954" s="164">
        <f t="shared" si="92"/>
        <v>44698</v>
      </c>
      <c r="E954" s="235">
        <f t="shared" ref="E954" si="98">DATE(A954,B954,C954)</f>
        <v>44698</v>
      </c>
      <c r="F954" s="480"/>
      <c r="G954" s="208" t="s">
        <v>1111</v>
      </c>
      <c r="H954" s="208"/>
      <c r="J954" s="165" t="s">
        <v>197</v>
      </c>
      <c r="K954" s="205">
        <v>3000</v>
      </c>
      <c r="L954" s="205"/>
    </row>
    <row r="955" spans="1:12" ht="11.25" customHeight="1" x14ac:dyDescent="0.2">
      <c r="A955" s="164">
        <v>2022</v>
      </c>
      <c r="B955" s="164">
        <v>5</v>
      </c>
      <c r="C955" s="164">
        <v>17</v>
      </c>
      <c r="D955" s="164">
        <f t="shared" si="92"/>
        <v>44698</v>
      </c>
      <c r="E955" s="235">
        <f t="shared" si="97"/>
        <v>44698</v>
      </c>
      <c r="F955" s="480"/>
      <c r="G955" s="208" t="s">
        <v>1111</v>
      </c>
      <c r="H955" s="208" t="str" cm="1">
        <f t="array" ref="H955">IFERROR(INDEX(INVESTOR_LIST[INVESTOR NAME],MATCH(I955,INVESTOR_LIST[INVESTOR CODE],0),)," ")</f>
        <v xml:space="preserve"> </v>
      </c>
      <c r="J955" s="165" t="s">
        <v>63</v>
      </c>
      <c r="K955" s="205">
        <v>115</v>
      </c>
      <c r="L955" s="205"/>
    </row>
    <row r="956" spans="1:12" ht="11.25" customHeight="1" x14ac:dyDescent="0.2">
      <c r="A956" s="226">
        <v>2022</v>
      </c>
      <c r="B956" s="226">
        <v>5</v>
      </c>
      <c r="C956" s="226">
        <v>17</v>
      </c>
      <c r="D956" s="226">
        <f t="shared" si="92"/>
        <v>44698</v>
      </c>
      <c r="E956" s="234">
        <f t="shared" si="97"/>
        <v>44698</v>
      </c>
      <c r="F956" s="479"/>
      <c r="G956" s="227" t="s">
        <v>1111</v>
      </c>
      <c r="H956" s="228" t="str" cm="1">
        <f t="array" ref="H956">IFERROR(INDEX(INVESTOR_LIST[INVESTOR NAME],MATCH(I956,INVESTOR_LIST[INVESTOR CODE],0),)," ")</f>
        <v xml:space="preserve"> </v>
      </c>
      <c r="I956" s="228"/>
      <c r="J956" s="229" t="s">
        <v>55</v>
      </c>
      <c r="K956" s="230"/>
      <c r="L956" s="230">
        <v>683115</v>
      </c>
    </row>
    <row r="957" spans="1:12" ht="11.25" customHeight="1" x14ac:dyDescent="0.2">
      <c r="A957" s="221">
        <v>2022</v>
      </c>
      <c r="B957" s="221">
        <v>5</v>
      </c>
      <c r="C957" s="221">
        <v>17</v>
      </c>
      <c r="D957" s="231">
        <f t="shared" si="92"/>
        <v>44698</v>
      </c>
      <c r="E957" s="233">
        <f>DATE(A957,B957,C957)</f>
        <v>44698</v>
      </c>
      <c r="F957" s="478" t="s">
        <v>1208</v>
      </c>
      <c r="G957" s="222" t="s">
        <v>1111</v>
      </c>
      <c r="H957" s="223" t="str" cm="1">
        <f t="array" ref="H957">IFERROR(INDEX(INVESTOR_LIST[INVESTOR NAME],MATCH(I957,INVESTOR_LIST[INVESTOR CODE],0),)," ")</f>
        <v xml:space="preserve"> </v>
      </c>
      <c r="I957" s="223"/>
      <c r="J957" s="224" t="s">
        <v>961</v>
      </c>
      <c r="K957" s="225">
        <v>575672.81999999995</v>
      </c>
      <c r="L957" s="225"/>
    </row>
    <row r="958" spans="1:12" ht="11.25" customHeight="1" x14ac:dyDescent="0.2">
      <c r="A958" s="226">
        <v>2022</v>
      </c>
      <c r="B958" s="226">
        <v>5</v>
      </c>
      <c r="C958" s="226">
        <v>17</v>
      </c>
      <c r="D958" s="232">
        <f t="shared" si="92"/>
        <v>44698</v>
      </c>
      <c r="E958" s="234">
        <f>DATE(A958,B958,C958)</f>
        <v>44698</v>
      </c>
      <c r="F958" s="479"/>
      <c r="G958" s="227" t="s">
        <v>1111</v>
      </c>
      <c r="H958" s="228" t="str" cm="1">
        <f t="array" ref="H958">IFERROR(INDEX(INVESTOR_LIST[INVESTOR NAME],MATCH(I958,INVESTOR_LIST[INVESTOR CODE],0),)," ")</f>
        <v xml:space="preserve"> </v>
      </c>
      <c r="I958" s="228"/>
      <c r="J958" s="229" t="s">
        <v>55</v>
      </c>
      <c r="K958" s="230"/>
      <c r="L958" s="230">
        <v>575672.81999999995</v>
      </c>
    </row>
    <row r="959" spans="1:12" ht="11.25" customHeight="1" x14ac:dyDescent="0.2">
      <c r="A959" s="164">
        <v>2022</v>
      </c>
      <c r="B959" s="164">
        <v>5</v>
      </c>
      <c r="C959" s="164">
        <v>18</v>
      </c>
      <c r="D959" s="164">
        <f t="shared" si="92"/>
        <v>44699</v>
      </c>
      <c r="E959" s="235">
        <f t="shared" ref="E959:E962" si="99">DATE(A959,B959,C959)</f>
        <v>44699</v>
      </c>
      <c r="F959" s="480" t="s">
        <v>1135</v>
      </c>
      <c r="G959" s="208" t="s">
        <v>86</v>
      </c>
      <c r="H959" s="208"/>
      <c r="J959" s="165" t="s">
        <v>199</v>
      </c>
      <c r="K959" s="205">
        <v>29466.86</v>
      </c>
      <c r="L959" s="205"/>
    </row>
    <row r="960" spans="1:12" ht="11.25" customHeight="1" x14ac:dyDescent="0.2">
      <c r="A960" s="164">
        <v>2022</v>
      </c>
      <c r="B960" s="164">
        <v>5</v>
      </c>
      <c r="C960" s="164">
        <v>18</v>
      </c>
      <c r="D960" s="164">
        <f t="shared" si="92"/>
        <v>44699</v>
      </c>
      <c r="E960" s="235">
        <f t="shared" si="99"/>
        <v>44699</v>
      </c>
      <c r="F960" s="480"/>
      <c r="G960" s="208" t="s">
        <v>86</v>
      </c>
      <c r="H960" s="208"/>
      <c r="J960" s="165" t="s">
        <v>960</v>
      </c>
      <c r="K960" s="205">
        <v>53.14</v>
      </c>
      <c r="L960" s="205"/>
    </row>
    <row r="961" spans="1:12" ht="11.25" customHeight="1" x14ac:dyDescent="0.2">
      <c r="A961" s="164">
        <v>2022</v>
      </c>
      <c r="B961" s="164">
        <v>5</v>
      </c>
      <c r="C961" s="164">
        <v>18</v>
      </c>
      <c r="D961" s="164">
        <f t="shared" si="92"/>
        <v>44699</v>
      </c>
      <c r="E961" s="235">
        <f t="shared" si="99"/>
        <v>44699</v>
      </c>
      <c r="F961" s="480"/>
      <c r="G961" s="208" t="s">
        <v>86</v>
      </c>
      <c r="H961" s="208" t="str" cm="1">
        <f t="array" ref="H961">IFERROR(INDEX(INVESTOR_LIST[INVESTOR NAME],MATCH(I961,INVESTOR_LIST[INVESTOR CODE],0),)," ")</f>
        <v xml:space="preserve"> </v>
      </c>
      <c r="J961" s="165" t="s">
        <v>200</v>
      </c>
      <c r="L961" s="205">
        <v>19005.12</v>
      </c>
    </row>
    <row r="962" spans="1:12" ht="11.25" customHeight="1" x14ac:dyDescent="0.2">
      <c r="A962" s="226">
        <v>2022</v>
      </c>
      <c r="B962" s="226">
        <v>5</v>
      </c>
      <c r="C962" s="226">
        <v>18</v>
      </c>
      <c r="D962" s="226">
        <f t="shared" si="92"/>
        <v>44699</v>
      </c>
      <c r="E962" s="234">
        <f t="shared" si="99"/>
        <v>44699</v>
      </c>
      <c r="F962" s="479"/>
      <c r="G962" s="227" t="s">
        <v>86</v>
      </c>
      <c r="H962" s="228" t="str" cm="1">
        <f t="array" ref="H962">IFERROR(INDEX(INVESTOR_LIST[INVESTOR NAME],MATCH(I962,INVESTOR_LIST[INVESTOR CODE],0),)," ")</f>
        <v xml:space="preserve"> </v>
      </c>
      <c r="I962" s="228"/>
      <c r="J962" s="229" t="s">
        <v>80</v>
      </c>
      <c r="K962" s="230"/>
      <c r="L962" s="230">
        <v>10514.88</v>
      </c>
    </row>
    <row r="963" spans="1:12" ht="11.25" customHeight="1" x14ac:dyDescent="0.2">
      <c r="A963" s="221">
        <v>2022</v>
      </c>
      <c r="B963" s="221">
        <v>5</v>
      </c>
      <c r="C963" s="221">
        <v>18</v>
      </c>
      <c r="D963" s="231">
        <f t="shared" si="92"/>
        <v>44699</v>
      </c>
      <c r="E963" s="233">
        <f t="shared" ref="E963:E970" si="100">DATE(A963,B963,C963)</f>
        <v>44699</v>
      </c>
      <c r="F963" s="478" t="s">
        <v>1142</v>
      </c>
      <c r="G963" s="222" t="s">
        <v>1111</v>
      </c>
      <c r="H963" s="223" t="str" cm="1">
        <f t="array" ref="H963">IFERROR(INDEX(INVESTOR_LIST[INVESTOR NAME],MATCH(I963,INVESTOR_LIST[INVESTOR CODE],0),)," ")</f>
        <v xml:space="preserve"> </v>
      </c>
      <c r="I963" s="223"/>
      <c r="J963" s="224" t="s">
        <v>189</v>
      </c>
      <c r="K963" s="225">
        <v>1575</v>
      </c>
      <c r="L963" s="225"/>
    </row>
    <row r="964" spans="1:12" ht="11.25" customHeight="1" x14ac:dyDescent="0.2">
      <c r="A964" s="226">
        <v>2022</v>
      </c>
      <c r="B964" s="226">
        <v>5</v>
      </c>
      <c r="C964" s="226">
        <v>18</v>
      </c>
      <c r="D964" s="232">
        <f t="shared" si="92"/>
        <v>44699</v>
      </c>
      <c r="E964" s="234">
        <f t="shared" si="100"/>
        <v>44699</v>
      </c>
      <c r="F964" s="479"/>
      <c r="G964" s="227" t="s">
        <v>1111</v>
      </c>
      <c r="H964" s="228" t="str" cm="1">
        <f t="array" ref="H964">IFERROR(INDEX(INVESTOR_LIST[INVESTOR NAME],MATCH(I964,INVESTOR_LIST[INVESTOR CODE],0),)," ")</f>
        <v xml:space="preserve"> </v>
      </c>
      <c r="I964" s="228"/>
      <c r="J964" s="229" t="s">
        <v>55</v>
      </c>
      <c r="K964" s="230"/>
      <c r="L964" s="230">
        <v>1575</v>
      </c>
    </row>
    <row r="965" spans="1:12" ht="11.25" customHeight="1" x14ac:dyDescent="0.2">
      <c r="A965" s="221">
        <v>2022</v>
      </c>
      <c r="B965" s="221">
        <v>5</v>
      </c>
      <c r="C965" s="221">
        <v>18</v>
      </c>
      <c r="D965" s="231">
        <f t="shared" si="92"/>
        <v>44699</v>
      </c>
      <c r="E965" s="233">
        <f t="shared" si="100"/>
        <v>44699</v>
      </c>
      <c r="F965" s="478" t="s">
        <v>1115</v>
      </c>
      <c r="G965" s="222" t="s">
        <v>1111</v>
      </c>
      <c r="H965" s="223" t="str" cm="1">
        <f t="array" ref="H965">IFERROR(INDEX(INVESTOR_LIST[INVESTOR NAME],MATCH(I965,INVESTOR_LIST[INVESTOR CODE],0),)," ")</f>
        <v>MOHAMMED ALI XAHANGIR</v>
      </c>
      <c r="I965" s="223" t="s">
        <v>541</v>
      </c>
      <c r="J965" s="224" t="s">
        <v>14</v>
      </c>
      <c r="K965" s="225">
        <v>1521490</v>
      </c>
      <c r="L965" s="225"/>
    </row>
    <row r="966" spans="1:12" ht="11.25" customHeight="1" x14ac:dyDescent="0.2">
      <c r="A966" s="164">
        <v>2022</v>
      </c>
      <c r="B966" s="164">
        <v>5</v>
      </c>
      <c r="C966" s="164">
        <v>18</v>
      </c>
      <c r="D966" s="156">
        <f t="shared" si="92"/>
        <v>44699</v>
      </c>
      <c r="E966" s="235">
        <f t="shared" si="100"/>
        <v>44699</v>
      </c>
      <c r="F966" s="480"/>
      <c r="G966" s="208" t="s">
        <v>1111</v>
      </c>
      <c r="H966" s="206" t="str" cm="1">
        <f t="array" ref="H966">IFERROR(INDEX(INVESTOR_LIST[INVESTOR NAME],MATCH(I966,INVESTOR_LIST[INVESTOR CODE],0),)," ")</f>
        <v>MOHAMMED ALI XAHANGIR</v>
      </c>
      <c r="I966" s="206" t="s">
        <v>541</v>
      </c>
      <c r="J966" s="165" t="s">
        <v>1112</v>
      </c>
      <c r="K966" s="205">
        <v>12171.92</v>
      </c>
      <c r="L966" s="205"/>
    </row>
    <row r="967" spans="1:12" ht="11.25" customHeight="1" x14ac:dyDescent="0.2">
      <c r="A967" s="226">
        <v>2022</v>
      </c>
      <c r="B967" s="226">
        <v>5</v>
      </c>
      <c r="C967" s="226">
        <v>18</v>
      </c>
      <c r="D967" s="232">
        <f t="shared" si="92"/>
        <v>44699</v>
      </c>
      <c r="E967" s="234">
        <f t="shared" si="100"/>
        <v>44699</v>
      </c>
      <c r="F967" s="479"/>
      <c r="G967" s="227" t="s">
        <v>1111</v>
      </c>
      <c r="H967" s="228" t="str" cm="1">
        <f t="array" ref="H967">IFERROR(INDEX(INVESTOR_LIST[INVESTOR NAME],MATCH(I967,INVESTOR_LIST[INVESTOR CODE],0),)," ")</f>
        <v>MOHAMMED ALI XAHANGIR</v>
      </c>
      <c r="I967" s="228" t="s">
        <v>541</v>
      </c>
      <c r="J967" s="229" t="s">
        <v>55</v>
      </c>
      <c r="K967" s="230"/>
      <c r="L967" s="230">
        <v>1533661.92</v>
      </c>
    </row>
    <row r="968" spans="1:12" ht="11.25" customHeight="1" x14ac:dyDescent="0.2">
      <c r="A968" s="221">
        <v>2022</v>
      </c>
      <c r="B968" s="221">
        <v>5</v>
      </c>
      <c r="C968" s="221">
        <v>18</v>
      </c>
      <c r="D968" s="231">
        <f t="shared" si="92"/>
        <v>44699</v>
      </c>
      <c r="E968" s="233">
        <f t="shared" si="100"/>
        <v>44699</v>
      </c>
      <c r="F968" s="478" t="s">
        <v>1115</v>
      </c>
      <c r="G968" s="222" t="s">
        <v>1111</v>
      </c>
      <c r="H968" s="223" t="str" cm="1">
        <f t="array" ref="H968">IFERROR(INDEX(INVESTOR_LIST[INVESTOR NAME],MATCH(I968,INVESTOR_LIST[INVESTOR CODE],0),)," ")</f>
        <v>FAISAL BIN MALEQUE</v>
      </c>
      <c r="I968" s="223" t="s">
        <v>851</v>
      </c>
      <c r="J968" s="224" t="s">
        <v>14</v>
      </c>
      <c r="K968" s="225">
        <v>500000</v>
      </c>
      <c r="L968" s="225"/>
    </row>
    <row r="969" spans="1:12" ht="11.25" customHeight="1" x14ac:dyDescent="0.2">
      <c r="A969" s="164">
        <v>2022</v>
      </c>
      <c r="B969" s="164">
        <v>5</v>
      </c>
      <c r="C969" s="164">
        <v>18</v>
      </c>
      <c r="D969" s="156">
        <f t="shared" ref="D969:D1032" si="101">DATE(A969,B969,C969)</f>
        <v>44699</v>
      </c>
      <c r="E969" s="235">
        <f t="shared" si="100"/>
        <v>44699</v>
      </c>
      <c r="F969" s="480"/>
      <c r="G969" s="208" t="s">
        <v>1111</v>
      </c>
      <c r="H969" s="206" t="str" cm="1">
        <f t="array" ref="H969">IFERROR(INDEX(INVESTOR_LIST[INVESTOR NAME],MATCH(I969,INVESTOR_LIST[INVESTOR CODE],0),)," ")</f>
        <v>FAISAL BIN MALEQUE</v>
      </c>
      <c r="I969" s="206" t="s">
        <v>851</v>
      </c>
      <c r="J969" s="165" t="s">
        <v>1112</v>
      </c>
      <c r="K969" s="205">
        <v>2000</v>
      </c>
      <c r="L969" s="205"/>
    </row>
    <row r="970" spans="1:12" ht="11.25" customHeight="1" x14ac:dyDescent="0.2">
      <c r="A970" s="226">
        <v>2022</v>
      </c>
      <c r="B970" s="226">
        <v>5</v>
      </c>
      <c r="C970" s="226">
        <v>18</v>
      </c>
      <c r="D970" s="232">
        <f t="shared" si="101"/>
        <v>44699</v>
      </c>
      <c r="E970" s="234">
        <f t="shared" si="100"/>
        <v>44699</v>
      </c>
      <c r="F970" s="479"/>
      <c r="G970" s="227" t="s">
        <v>1111</v>
      </c>
      <c r="H970" s="228" t="str" cm="1">
        <f t="array" ref="H970">IFERROR(INDEX(INVESTOR_LIST[INVESTOR NAME],MATCH(I970,INVESTOR_LIST[INVESTOR CODE],0),)," ")</f>
        <v>FAISAL BIN MALEQUE</v>
      </c>
      <c r="I970" s="228" t="s">
        <v>851</v>
      </c>
      <c r="J970" s="229" t="s">
        <v>55</v>
      </c>
      <c r="K970" s="230"/>
      <c r="L970" s="230">
        <v>502000</v>
      </c>
    </row>
    <row r="971" spans="1:12" ht="11.25" customHeight="1" x14ac:dyDescent="0.2">
      <c r="A971" s="221">
        <v>2022</v>
      </c>
      <c r="B971" s="221">
        <v>5</v>
      </c>
      <c r="C971" s="221">
        <v>18</v>
      </c>
      <c r="D971" s="231">
        <f t="shared" si="101"/>
        <v>44699</v>
      </c>
      <c r="E971" s="233">
        <f t="shared" ref="E971:E976" si="102">DATE(A971,B971,C971)</f>
        <v>44699</v>
      </c>
      <c r="F971" s="478" t="s">
        <v>1115</v>
      </c>
      <c r="G971" s="222" t="s">
        <v>1111</v>
      </c>
      <c r="H971" s="223" t="str" cm="1">
        <f t="array" ref="H971">IFERROR(INDEX(INVESTOR_LIST[INVESTOR NAME],MATCH(I971,INVESTOR_LIST[INVESTOR CODE],0),)," ")</f>
        <v>AMARSTOCK LTD. EMP. PF.</v>
      </c>
      <c r="I971" s="223" t="s">
        <v>942</v>
      </c>
      <c r="J971" s="224" t="s">
        <v>14</v>
      </c>
      <c r="K971" s="225">
        <v>1000000</v>
      </c>
      <c r="L971" s="225"/>
    </row>
    <row r="972" spans="1:12" ht="11.25" customHeight="1" x14ac:dyDescent="0.2">
      <c r="A972" s="164">
        <v>2022</v>
      </c>
      <c r="B972" s="164">
        <v>5</v>
      </c>
      <c r="C972" s="164">
        <v>18</v>
      </c>
      <c r="D972" s="156">
        <f t="shared" si="101"/>
        <v>44699</v>
      </c>
      <c r="E972" s="235">
        <f t="shared" si="102"/>
        <v>44699</v>
      </c>
      <c r="F972" s="480"/>
      <c r="G972" s="208" t="s">
        <v>1111</v>
      </c>
      <c r="H972" s="206" t="str" cm="1">
        <f t="array" ref="H972">IFERROR(INDEX(INVESTOR_LIST[INVESTOR NAME],MATCH(I972,INVESTOR_LIST[INVESTOR CODE],0),)," ")</f>
        <v>AMARSTOCK LTD. EMP. PF.</v>
      </c>
      <c r="I972" s="206" t="s">
        <v>942</v>
      </c>
      <c r="J972" s="165" t="s">
        <v>1112</v>
      </c>
      <c r="K972" s="205">
        <v>4000</v>
      </c>
      <c r="L972" s="205"/>
    </row>
    <row r="973" spans="1:12" ht="11.25" customHeight="1" x14ac:dyDescent="0.2">
      <c r="A973" s="226">
        <v>2022</v>
      </c>
      <c r="B973" s="226">
        <v>5</v>
      </c>
      <c r="C973" s="226">
        <v>18</v>
      </c>
      <c r="D973" s="232">
        <f t="shared" si="101"/>
        <v>44699</v>
      </c>
      <c r="E973" s="234">
        <f t="shared" si="102"/>
        <v>44699</v>
      </c>
      <c r="F973" s="479"/>
      <c r="G973" s="227" t="s">
        <v>1111</v>
      </c>
      <c r="H973" s="228" t="str" cm="1">
        <f t="array" ref="H973">IFERROR(INDEX(INVESTOR_LIST[INVESTOR NAME],MATCH(I973,INVESTOR_LIST[INVESTOR CODE],0),)," ")</f>
        <v>AMARSTOCK LTD. EMP. PF.</v>
      </c>
      <c r="I973" s="228" t="s">
        <v>942</v>
      </c>
      <c r="J973" s="229" t="s">
        <v>55</v>
      </c>
      <c r="K973" s="230"/>
      <c r="L973" s="230">
        <v>1004000</v>
      </c>
    </row>
    <row r="974" spans="1:12" ht="11.25" customHeight="1" x14ac:dyDescent="0.2">
      <c r="A974" s="221">
        <v>2022</v>
      </c>
      <c r="B974" s="221">
        <v>5</v>
      </c>
      <c r="C974" s="221">
        <v>18</v>
      </c>
      <c r="D974" s="231">
        <f t="shared" si="101"/>
        <v>44699</v>
      </c>
      <c r="E974" s="233">
        <f t="shared" si="102"/>
        <v>44699</v>
      </c>
      <c r="F974" s="478" t="s">
        <v>1115</v>
      </c>
      <c r="G974" s="222" t="s">
        <v>1111</v>
      </c>
      <c r="H974" s="223" t="str" cm="1">
        <f t="array" ref="H974">IFERROR(INDEX(INVESTOR_LIST[INVESTOR NAME],MATCH(I974,INVESTOR_LIST[INVESTOR CODE],0),)," ")</f>
        <v>SHABBIR KHAN</v>
      </c>
      <c r="I974" s="223" t="s">
        <v>944</v>
      </c>
      <c r="J974" s="224" t="s">
        <v>14</v>
      </c>
      <c r="K974" s="225">
        <v>1000000</v>
      </c>
      <c r="L974" s="225"/>
    </row>
    <row r="975" spans="1:12" ht="11.25" customHeight="1" x14ac:dyDescent="0.2">
      <c r="A975" s="164">
        <v>2022</v>
      </c>
      <c r="B975" s="164">
        <v>5</v>
      </c>
      <c r="C975" s="164">
        <v>18</v>
      </c>
      <c r="D975" s="156">
        <f t="shared" si="101"/>
        <v>44699</v>
      </c>
      <c r="E975" s="235">
        <f t="shared" si="102"/>
        <v>44699</v>
      </c>
      <c r="F975" s="480"/>
      <c r="G975" s="208" t="s">
        <v>1111</v>
      </c>
      <c r="H975" s="206" t="str" cm="1">
        <f t="array" ref="H975">IFERROR(INDEX(INVESTOR_LIST[INVESTOR NAME],MATCH(I975,INVESTOR_LIST[INVESTOR CODE],0),)," ")</f>
        <v>SHABBIR KHAN</v>
      </c>
      <c r="I975" s="206" t="s">
        <v>944</v>
      </c>
      <c r="J975" s="165" t="s">
        <v>1112</v>
      </c>
      <c r="K975" s="205">
        <v>4000</v>
      </c>
      <c r="L975" s="205"/>
    </row>
    <row r="976" spans="1:12" ht="11.25" customHeight="1" x14ac:dyDescent="0.2">
      <c r="A976" s="226">
        <v>2022</v>
      </c>
      <c r="B976" s="226">
        <v>5</v>
      </c>
      <c r="C976" s="226">
        <v>18</v>
      </c>
      <c r="D976" s="232">
        <f t="shared" si="101"/>
        <v>44699</v>
      </c>
      <c r="E976" s="234">
        <f t="shared" si="102"/>
        <v>44699</v>
      </c>
      <c r="F976" s="479"/>
      <c r="G976" s="227" t="s">
        <v>1111</v>
      </c>
      <c r="H976" s="228" t="str" cm="1">
        <f t="array" ref="H976">IFERROR(INDEX(INVESTOR_LIST[INVESTOR NAME],MATCH(I976,INVESTOR_LIST[INVESTOR CODE],0),)," ")</f>
        <v>SHABBIR KHAN</v>
      </c>
      <c r="I976" s="228" t="s">
        <v>944</v>
      </c>
      <c r="J976" s="229" t="s">
        <v>55</v>
      </c>
      <c r="K976" s="230"/>
      <c r="L976" s="230">
        <v>1004000</v>
      </c>
    </row>
    <row r="977" spans="1:12" ht="11.25" customHeight="1" x14ac:dyDescent="0.2">
      <c r="A977" s="221">
        <v>2022</v>
      </c>
      <c r="B977" s="221">
        <v>5</v>
      </c>
      <c r="C977" s="221">
        <v>19</v>
      </c>
      <c r="D977" s="221">
        <f t="shared" si="101"/>
        <v>44700</v>
      </c>
      <c r="E977" s="233">
        <f t="shared" ref="E977:E983" si="103">DATE(A977,B977,C977)</f>
        <v>44700</v>
      </c>
      <c r="F977" s="478" t="s">
        <v>1135</v>
      </c>
      <c r="G977" s="222" t="s">
        <v>86</v>
      </c>
      <c r="H977" s="222" t="str" cm="1">
        <f t="array" ref="H977">IFERROR(INDEX(INVESTOR_LIST[INVESTOR NAME],MATCH(I977,INVESTOR_LIST[INVESTOR CODE],0),)," ")</f>
        <v xml:space="preserve"> </v>
      </c>
      <c r="I977" s="223"/>
      <c r="J977" s="224" t="s">
        <v>80</v>
      </c>
      <c r="K977" s="225">
        <v>1622760.3</v>
      </c>
      <c r="L977" s="225"/>
    </row>
    <row r="978" spans="1:12" ht="11.25" customHeight="1" x14ac:dyDescent="0.2">
      <c r="A978" s="164">
        <v>2022</v>
      </c>
      <c r="B978" s="164">
        <v>5</v>
      </c>
      <c r="C978" s="164">
        <v>19</v>
      </c>
      <c r="D978" s="164">
        <f t="shared" si="101"/>
        <v>44700</v>
      </c>
      <c r="E978" s="235">
        <f t="shared" si="103"/>
        <v>44700</v>
      </c>
      <c r="F978" s="480"/>
      <c r="G978" s="208" t="s">
        <v>86</v>
      </c>
      <c r="H978" s="208"/>
      <c r="J978" s="165" t="s">
        <v>960</v>
      </c>
      <c r="K978" s="205">
        <v>5570.6399999999994</v>
      </c>
      <c r="L978" s="205"/>
    </row>
    <row r="979" spans="1:12" ht="11.25" customHeight="1" x14ac:dyDescent="0.2">
      <c r="A979" s="164">
        <v>2022</v>
      </c>
      <c r="B979" s="164">
        <v>5</v>
      </c>
      <c r="C979" s="164">
        <v>19</v>
      </c>
      <c r="D979" s="164">
        <f t="shared" si="101"/>
        <v>44700</v>
      </c>
      <c r="E979" s="235">
        <f t="shared" si="103"/>
        <v>44700</v>
      </c>
      <c r="F979" s="480"/>
      <c r="G979" s="208" t="s">
        <v>86</v>
      </c>
      <c r="H979" s="208"/>
      <c r="J979" s="165" t="s">
        <v>200</v>
      </c>
      <c r="K979" s="205">
        <v>22340.85</v>
      </c>
      <c r="L979" s="205"/>
    </row>
    <row r="980" spans="1:12" ht="11.25" customHeight="1" x14ac:dyDescent="0.2">
      <c r="A980" s="164">
        <v>2022</v>
      </c>
      <c r="B980" s="164">
        <v>5</v>
      </c>
      <c r="C980" s="164">
        <v>19</v>
      </c>
      <c r="D980" s="164">
        <f t="shared" si="101"/>
        <v>44700</v>
      </c>
      <c r="E980" s="235">
        <f t="shared" si="103"/>
        <v>44700</v>
      </c>
      <c r="F980" s="480"/>
      <c r="G980" s="208" t="s">
        <v>86</v>
      </c>
      <c r="H980" s="208" t="str" cm="1">
        <f t="array" ref="H980">IFERROR(INDEX(INVESTOR_LIST[INVESTOR NAME],MATCH(I980,INVESTOR_LIST[INVESTOR CODE],0),)," ")</f>
        <v xml:space="preserve"> </v>
      </c>
      <c r="J980" s="165" t="s">
        <v>961</v>
      </c>
      <c r="L980" s="205">
        <v>156293.34</v>
      </c>
    </row>
    <row r="981" spans="1:12" ht="11.25" customHeight="1" x14ac:dyDescent="0.2">
      <c r="A981" s="226">
        <v>2022</v>
      </c>
      <c r="B981" s="226">
        <v>5</v>
      </c>
      <c r="C981" s="226">
        <v>19</v>
      </c>
      <c r="D981" s="226">
        <f t="shared" si="101"/>
        <v>44700</v>
      </c>
      <c r="E981" s="234">
        <f t="shared" si="103"/>
        <v>44700</v>
      </c>
      <c r="F981" s="479"/>
      <c r="G981" s="227" t="s">
        <v>86</v>
      </c>
      <c r="H981" s="228" t="str" cm="1">
        <f t="array" ref="H981">IFERROR(INDEX(INVESTOR_LIST[INVESTOR NAME],MATCH(I981,INVESTOR_LIST[INVESTOR CODE],0),)," ")</f>
        <v xml:space="preserve"> </v>
      </c>
      <c r="I981" s="228"/>
      <c r="J981" s="229" t="s">
        <v>80</v>
      </c>
      <c r="K981" s="230"/>
      <c r="L981" s="230">
        <v>1494378.45</v>
      </c>
    </row>
    <row r="982" spans="1:12" ht="11.25" customHeight="1" x14ac:dyDescent="0.2">
      <c r="A982" s="221">
        <v>2022</v>
      </c>
      <c r="B982" s="221">
        <v>5</v>
      </c>
      <c r="C982" s="221">
        <v>19</v>
      </c>
      <c r="D982" s="231">
        <f t="shared" si="101"/>
        <v>44700</v>
      </c>
      <c r="E982" s="233">
        <f t="shared" si="103"/>
        <v>44700</v>
      </c>
      <c r="F982" s="478" t="s">
        <v>1209</v>
      </c>
      <c r="G982" s="222" t="s">
        <v>1111</v>
      </c>
      <c r="H982" s="223" t="str" cm="1">
        <f t="array" ref="H982">IFERROR(INDEX(INVESTOR_LIST[INVESTOR NAME],MATCH(I982,INVESTOR_LIST[INVESTOR CODE],0),)," ")</f>
        <v xml:space="preserve"> </v>
      </c>
      <c r="I982" s="223"/>
      <c r="J982" s="224" t="s">
        <v>95</v>
      </c>
      <c r="K982" s="225">
        <v>2410.91</v>
      </c>
      <c r="L982" s="225"/>
    </row>
    <row r="983" spans="1:12" ht="11.25" customHeight="1" x14ac:dyDescent="0.2">
      <c r="A983" s="226">
        <v>2022</v>
      </c>
      <c r="B983" s="226">
        <v>5</v>
      </c>
      <c r="C983" s="226">
        <v>19</v>
      </c>
      <c r="D983" s="232">
        <f t="shared" si="101"/>
        <v>44700</v>
      </c>
      <c r="E983" s="234">
        <f t="shared" si="103"/>
        <v>44700</v>
      </c>
      <c r="F983" s="479"/>
      <c r="G983" s="227" t="s">
        <v>1111</v>
      </c>
      <c r="H983" s="228" t="str" cm="1">
        <f t="array" ref="H983">IFERROR(INDEX(INVESTOR_LIST[INVESTOR NAME],MATCH(I983,INVESTOR_LIST[INVESTOR CODE],0),)," ")</f>
        <v xml:space="preserve"> </v>
      </c>
      <c r="I983" s="228"/>
      <c r="J983" s="229" t="s">
        <v>55</v>
      </c>
      <c r="K983" s="230"/>
      <c r="L983" s="230">
        <v>2410.91</v>
      </c>
    </row>
    <row r="984" spans="1:12" ht="11.25" customHeight="1" x14ac:dyDescent="0.2">
      <c r="A984" s="221">
        <v>2022</v>
      </c>
      <c r="B984" s="221">
        <v>5</v>
      </c>
      <c r="C984" s="221">
        <v>19</v>
      </c>
      <c r="D984" s="231">
        <f t="shared" si="101"/>
        <v>44700</v>
      </c>
      <c r="E984" s="233">
        <f>DATE(A984,B984,C984)</f>
        <v>44700</v>
      </c>
      <c r="F984" s="478" t="s">
        <v>1177</v>
      </c>
      <c r="G984" s="222" t="s">
        <v>86</v>
      </c>
      <c r="H984" s="223" t="str" cm="1">
        <f t="array" ref="H984">IFERROR(INDEX(INVESTOR_LIST[INVESTOR NAME],MATCH(I984,INVESTOR_LIST[INVESTOR CODE],0),)," ")</f>
        <v xml:space="preserve"> </v>
      </c>
      <c r="I984" s="223"/>
      <c r="J984" s="224" t="s">
        <v>131</v>
      </c>
      <c r="K984" s="225">
        <v>158375.00000000023</v>
      </c>
      <c r="L984" s="225"/>
    </row>
    <row r="985" spans="1:12" ht="11.25" customHeight="1" x14ac:dyDescent="0.2">
      <c r="A985" s="226">
        <v>2022</v>
      </c>
      <c r="B985" s="226">
        <v>5</v>
      </c>
      <c r="C985" s="226">
        <v>19</v>
      </c>
      <c r="D985" s="232">
        <f t="shared" si="101"/>
        <v>44700</v>
      </c>
      <c r="E985" s="234">
        <f>DATE(A985,B985,C985)</f>
        <v>44700</v>
      </c>
      <c r="F985" s="479"/>
      <c r="G985" s="227" t="s">
        <v>86</v>
      </c>
      <c r="H985" s="228" t="str" cm="1">
        <f t="array" ref="H985">IFERROR(INDEX(INVESTOR_LIST[INVESTOR NAME],MATCH(I985,INVESTOR_LIST[INVESTOR CODE],0),)," ")</f>
        <v xml:space="preserve"> </v>
      </c>
      <c r="I985" s="228"/>
      <c r="J985" s="229" t="s">
        <v>174</v>
      </c>
      <c r="K985" s="230"/>
      <c r="L985" s="230">
        <v>158375.00000000023</v>
      </c>
    </row>
    <row r="986" spans="1:12" ht="11.25" customHeight="1" x14ac:dyDescent="0.2">
      <c r="A986" s="236">
        <v>2022</v>
      </c>
      <c r="B986" s="236">
        <v>5</v>
      </c>
      <c r="C986" s="236">
        <v>19</v>
      </c>
      <c r="D986" s="237">
        <f t="shared" si="101"/>
        <v>44700</v>
      </c>
      <c r="E986" s="238">
        <f t="shared" ref="E986:E1013" si="104">DATE(A986,B986,C986)</f>
        <v>44700</v>
      </c>
      <c r="F986" s="476" t="s">
        <v>1118</v>
      </c>
      <c r="G986" s="239" t="s">
        <v>86</v>
      </c>
      <c r="H986" s="239" t="str" cm="1">
        <f t="array" ref="H986">IFERROR(INDEX(INVESTOR_LIST[INVESTOR NAME],MATCH(I986,INVESTOR_LIST[INVESTOR CODE],0),)," ")</f>
        <v xml:space="preserve"> </v>
      </c>
      <c r="I986" s="240"/>
      <c r="J986" s="241" t="s">
        <v>82</v>
      </c>
      <c r="K986" s="242">
        <v>3518457.3600000143</v>
      </c>
      <c r="L986" s="242"/>
    </row>
    <row r="987" spans="1:12" ht="11.25" customHeight="1" x14ac:dyDescent="0.2">
      <c r="A987" s="243">
        <v>2022</v>
      </c>
      <c r="B987" s="243">
        <v>5</v>
      </c>
      <c r="C987" s="243">
        <v>19</v>
      </c>
      <c r="D987" s="248">
        <f t="shared" si="101"/>
        <v>44700</v>
      </c>
      <c r="E987" s="249">
        <f t="shared" si="104"/>
        <v>44700</v>
      </c>
      <c r="F987" s="477"/>
      <c r="G987" s="244" t="s">
        <v>86</v>
      </c>
      <c r="H987" s="244" t="str" cm="1">
        <f t="array" ref="H987">IFERROR(INDEX(INVESTOR_LIST[INVESTOR NAME],MATCH(I987,INVESTOR_LIST[INVESTOR CODE],0),)," ")</f>
        <v xml:space="preserve"> </v>
      </c>
      <c r="I987" s="245"/>
      <c r="J987" s="246" t="s">
        <v>98</v>
      </c>
      <c r="K987" s="247"/>
      <c r="L987" s="247">
        <v>3518457.3600000143</v>
      </c>
    </row>
    <row r="988" spans="1:12" ht="11.25" customHeight="1" x14ac:dyDescent="0.2">
      <c r="A988" s="236">
        <v>2022</v>
      </c>
      <c r="B988" s="236">
        <v>5</v>
      </c>
      <c r="C988" s="236">
        <v>19</v>
      </c>
      <c r="D988" s="237">
        <f t="shared" si="101"/>
        <v>44700</v>
      </c>
      <c r="E988" s="238">
        <f t="shared" si="104"/>
        <v>44700</v>
      </c>
      <c r="F988" s="476" t="s">
        <v>1120</v>
      </c>
      <c r="G988" s="239" t="s">
        <v>86</v>
      </c>
      <c r="H988" s="239" t="str" cm="1">
        <f t="array" ref="H988">IFERROR(INDEX(INVESTOR_LIST[INVESTOR NAME],MATCH(I988,INVESTOR_LIST[INVESTOR CODE],0),)," ")</f>
        <v xml:space="preserve"> </v>
      </c>
      <c r="I988" s="240"/>
      <c r="J988" s="241" t="s">
        <v>87</v>
      </c>
      <c r="K988" s="242">
        <v>2747.2527472527472</v>
      </c>
      <c r="L988" s="242"/>
    </row>
    <row r="989" spans="1:12" ht="11.25" customHeight="1" x14ac:dyDescent="0.2">
      <c r="A989" s="243">
        <v>2022</v>
      </c>
      <c r="B989" s="243">
        <v>5</v>
      </c>
      <c r="C989" s="243">
        <v>19</v>
      </c>
      <c r="D989" s="248">
        <f t="shared" si="101"/>
        <v>44700</v>
      </c>
      <c r="E989" s="249">
        <f t="shared" si="104"/>
        <v>44700</v>
      </c>
      <c r="F989" s="477"/>
      <c r="G989" s="244" t="s">
        <v>86</v>
      </c>
      <c r="H989" s="244" t="str" cm="1">
        <f t="array" ref="H989">IFERROR(INDEX(INVESTOR_LIST[INVESTOR NAME],MATCH(I989,INVESTOR_LIST[INVESTOR CODE],0),)," ")</f>
        <v xml:space="preserve"> </v>
      </c>
      <c r="I989" s="245"/>
      <c r="J989" s="246" t="s">
        <v>64</v>
      </c>
      <c r="K989" s="247"/>
      <c r="L989" s="247">
        <v>2747.2527472527472</v>
      </c>
    </row>
    <row r="990" spans="1:12" ht="11.25" customHeight="1" x14ac:dyDescent="0.2">
      <c r="A990" s="236">
        <v>2022</v>
      </c>
      <c r="B990" s="236">
        <v>5</v>
      </c>
      <c r="C990" s="236">
        <v>19</v>
      </c>
      <c r="D990" s="237">
        <f t="shared" si="101"/>
        <v>44700</v>
      </c>
      <c r="E990" s="238">
        <f t="shared" si="104"/>
        <v>44700</v>
      </c>
      <c r="F990" s="476" t="s">
        <v>1121</v>
      </c>
      <c r="G990" s="239" t="s">
        <v>86</v>
      </c>
      <c r="H990" s="239" t="str" cm="1">
        <f t="array" ref="H990">IFERROR(INDEX(INVESTOR_LIST[INVESTOR NAME],MATCH(I990,INVESTOR_LIST[INVESTOR CODE],0),)," ")</f>
        <v xml:space="preserve"> </v>
      </c>
      <c r="I990" s="240"/>
      <c r="J990" s="241" t="s">
        <v>89</v>
      </c>
      <c r="K990" s="242">
        <v>99010.543165738229</v>
      </c>
      <c r="L990" s="242"/>
    </row>
    <row r="991" spans="1:12" ht="11.25" customHeight="1" x14ac:dyDescent="0.2">
      <c r="A991" s="243">
        <v>2022</v>
      </c>
      <c r="B991" s="243">
        <v>5</v>
      </c>
      <c r="C991" s="243">
        <v>19</v>
      </c>
      <c r="D991" s="248">
        <f t="shared" si="101"/>
        <v>44700</v>
      </c>
      <c r="E991" s="249">
        <f t="shared" si="104"/>
        <v>44700</v>
      </c>
      <c r="F991" s="477"/>
      <c r="G991" s="244" t="s">
        <v>86</v>
      </c>
      <c r="H991" s="244" t="str" cm="1">
        <f t="array" ref="H991">IFERROR(INDEX(INVESTOR_LIST[INVESTOR NAME],MATCH(I991,INVESTOR_LIST[INVESTOR CODE],0),)," ")</f>
        <v xml:space="preserve"> </v>
      </c>
      <c r="I991" s="245"/>
      <c r="J991" s="246" t="s">
        <v>50</v>
      </c>
      <c r="K991" s="247"/>
      <c r="L991" s="247">
        <v>99010.543165738229</v>
      </c>
    </row>
    <row r="992" spans="1:12" ht="11.25" customHeight="1" x14ac:dyDescent="0.2">
      <c r="A992" s="236">
        <v>2022</v>
      </c>
      <c r="B992" s="236">
        <v>5</v>
      </c>
      <c r="C992" s="236">
        <v>19</v>
      </c>
      <c r="D992" s="237">
        <f t="shared" si="101"/>
        <v>44700</v>
      </c>
      <c r="E992" s="238">
        <f t="shared" si="104"/>
        <v>44700</v>
      </c>
      <c r="F992" s="476" t="s">
        <v>1122</v>
      </c>
      <c r="G992" s="239" t="s">
        <v>86</v>
      </c>
      <c r="H992" s="239" t="str" cm="1">
        <f t="array" ref="H992">IFERROR(INDEX(INVESTOR_LIST[INVESTOR NAME],MATCH(I992,INVESTOR_LIST[INVESTOR CODE],0),)," ")</f>
        <v xml:space="preserve"> </v>
      </c>
      <c r="I992" s="240"/>
      <c r="J992" s="241" t="s">
        <v>91</v>
      </c>
      <c r="K992" s="242">
        <v>4710.1425429022966</v>
      </c>
      <c r="L992" s="242"/>
    </row>
    <row r="993" spans="1:13" ht="11.25" customHeight="1" x14ac:dyDescent="0.2">
      <c r="A993" s="243">
        <v>2022</v>
      </c>
      <c r="B993" s="243">
        <v>5</v>
      </c>
      <c r="C993" s="243">
        <v>19</v>
      </c>
      <c r="D993" s="248">
        <f t="shared" si="101"/>
        <v>44700</v>
      </c>
      <c r="E993" s="249">
        <f t="shared" si="104"/>
        <v>44700</v>
      </c>
      <c r="F993" s="477"/>
      <c r="G993" s="244" t="s">
        <v>86</v>
      </c>
      <c r="H993" s="244" t="str" cm="1">
        <f t="array" ref="H993">IFERROR(INDEX(INVESTOR_LIST[INVESTOR NAME],MATCH(I993,INVESTOR_LIST[INVESTOR CODE],0),)," ")</f>
        <v xml:space="preserve"> </v>
      </c>
      <c r="I993" s="245"/>
      <c r="J993" s="246" t="s">
        <v>51</v>
      </c>
      <c r="K993" s="247"/>
      <c r="L993" s="247">
        <v>4710.1425429022966</v>
      </c>
    </row>
    <row r="994" spans="1:13" ht="11.25" customHeight="1" x14ac:dyDescent="0.2">
      <c r="A994" s="221">
        <v>2022</v>
      </c>
      <c r="B994" s="221">
        <v>5</v>
      </c>
      <c r="C994" s="221">
        <v>22</v>
      </c>
      <c r="D994" s="231">
        <f t="shared" si="101"/>
        <v>44703</v>
      </c>
      <c r="E994" s="233">
        <f t="shared" si="104"/>
        <v>44703</v>
      </c>
      <c r="F994" s="478" t="s">
        <v>1212</v>
      </c>
      <c r="G994" s="222" t="s">
        <v>1111</v>
      </c>
      <c r="H994" s="223" t="str" cm="1">
        <f t="array" ref="H994">IFERROR(INDEX(INVESTOR_LIST[INVESTOR NAME],MATCH(I994,INVESTOR_LIST[INVESTOR CODE],0),)," ")</f>
        <v xml:space="preserve"> </v>
      </c>
      <c r="I994" s="223"/>
      <c r="J994" s="224" t="s">
        <v>55</v>
      </c>
      <c r="K994" s="225">
        <v>162500</v>
      </c>
      <c r="L994" s="225"/>
    </row>
    <row r="995" spans="1:13" ht="11.25" customHeight="1" x14ac:dyDescent="0.2">
      <c r="A995" s="226">
        <v>2022</v>
      </c>
      <c r="B995" s="226">
        <v>5</v>
      </c>
      <c r="C995" s="226">
        <v>22</v>
      </c>
      <c r="D995" s="232">
        <f t="shared" si="101"/>
        <v>44703</v>
      </c>
      <c r="E995" s="234">
        <f t="shared" si="104"/>
        <v>44703</v>
      </c>
      <c r="F995" s="479"/>
      <c r="G995" s="227" t="s">
        <v>1111</v>
      </c>
      <c r="H995" s="228" t="str" cm="1">
        <f t="array" ref="H995">IFERROR(INDEX(INVESTOR_LIST[INVESTOR NAME],MATCH(I995,INVESTOR_LIST[INVESTOR CODE],0),)," ")</f>
        <v xml:space="preserve"> </v>
      </c>
      <c r="I995" s="228"/>
      <c r="J995" s="229" t="s">
        <v>192</v>
      </c>
      <c r="K995" s="230"/>
      <c r="L995" s="230">
        <v>162500</v>
      </c>
    </row>
    <row r="996" spans="1:13" ht="11.25" customHeight="1" x14ac:dyDescent="0.2">
      <c r="A996" s="221">
        <v>2022</v>
      </c>
      <c r="B996" s="221">
        <v>5</v>
      </c>
      <c r="C996" s="221">
        <v>22</v>
      </c>
      <c r="D996" s="231">
        <f t="shared" si="101"/>
        <v>44703</v>
      </c>
      <c r="E996" s="233">
        <f>DATE(A996,B996,C996)</f>
        <v>44703</v>
      </c>
      <c r="F996" s="478" t="s">
        <v>1164</v>
      </c>
      <c r="G996" s="222" t="s">
        <v>1111</v>
      </c>
      <c r="H996" s="223" t="str" cm="1">
        <f t="array" ref="H996">IFERROR(INDEX(INVESTOR_LIST[INVESTOR NAME],MATCH(I996,INVESTOR_LIST[INVESTOR CODE],0),)," ")</f>
        <v xml:space="preserve"> </v>
      </c>
      <c r="I996" s="223"/>
      <c r="J996" s="224" t="s">
        <v>55</v>
      </c>
      <c r="K996" s="225">
        <v>29466.86</v>
      </c>
      <c r="L996" s="225"/>
    </row>
    <row r="997" spans="1:13" ht="11.25" customHeight="1" x14ac:dyDescent="0.2">
      <c r="A997" s="226">
        <v>2022</v>
      </c>
      <c r="B997" s="226">
        <v>5</v>
      </c>
      <c r="C997" s="226">
        <v>22</v>
      </c>
      <c r="D997" s="232">
        <f t="shared" si="101"/>
        <v>44703</v>
      </c>
      <c r="E997" s="234">
        <f>DATE(A997,B997,C997)</f>
        <v>44703</v>
      </c>
      <c r="F997" s="479"/>
      <c r="G997" s="227" t="s">
        <v>1111</v>
      </c>
      <c r="H997" s="228" t="str" cm="1">
        <f t="array" ref="H997">IFERROR(INDEX(INVESTOR_LIST[INVESTOR NAME],MATCH(I997,INVESTOR_LIST[INVESTOR CODE],0),)," ")</f>
        <v xml:space="preserve"> </v>
      </c>
      <c r="I997" s="228"/>
      <c r="J997" s="229" t="s">
        <v>199</v>
      </c>
      <c r="K997" s="230"/>
      <c r="L997" s="230">
        <v>29466.86</v>
      </c>
      <c r="M997" s="166"/>
    </row>
    <row r="998" spans="1:13" ht="11.25" customHeight="1" x14ac:dyDescent="0.2">
      <c r="A998" s="164">
        <v>2022</v>
      </c>
      <c r="B998" s="164">
        <v>5</v>
      </c>
      <c r="C998" s="164">
        <v>23</v>
      </c>
      <c r="D998" s="164">
        <f t="shared" si="101"/>
        <v>44704</v>
      </c>
      <c r="E998" s="235">
        <f t="shared" si="104"/>
        <v>44704</v>
      </c>
      <c r="F998" s="480" t="s">
        <v>1135</v>
      </c>
      <c r="G998" s="208" t="s">
        <v>86</v>
      </c>
      <c r="H998" s="208"/>
      <c r="J998" s="165" t="s">
        <v>199</v>
      </c>
      <c r="K998" s="205">
        <v>2746083.64</v>
      </c>
      <c r="L998" s="205"/>
    </row>
    <row r="999" spans="1:13" ht="11.25" customHeight="1" x14ac:dyDescent="0.2">
      <c r="A999" s="164">
        <v>2022</v>
      </c>
      <c r="B999" s="164">
        <v>5</v>
      </c>
      <c r="C999" s="164">
        <v>23</v>
      </c>
      <c r="D999" s="164">
        <f t="shared" si="101"/>
        <v>44704</v>
      </c>
      <c r="E999" s="235">
        <f t="shared" si="104"/>
        <v>44704</v>
      </c>
      <c r="F999" s="480"/>
      <c r="G999" s="208" t="s">
        <v>86</v>
      </c>
      <c r="H999" s="208"/>
      <c r="J999" s="165" t="s">
        <v>960</v>
      </c>
      <c r="K999" s="205">
        <v>4951.8599999999997</v>
      </c>
      <c r="L999" s="205"/>
    </row>
    <row r="1000" spans="1:13" ht="11.25" customHeight="1" x14ac:dyDescent="0.2">
      <c r="A1000" s="164">
        <v>2022</v>
      </c>
      <c r="B1000" s="164">
        <v>5</v>
      </c>
      <c r="C1000" s="164">
        <v>23</v>
      </c>
      <c r="D1000" s="164">
        <f t="shared" si="101"/>
        <v>44704</v>
      </c>
      <c r="E1000" s="235">
        <f t="shared" si="104"/>
        <v>44704</v>
      </c>
      <c r="F1000" s="480"/>
      <c r="G1000" s="208" t="s">
        <v>86</v>
      </c>
      <c r="H1000" s="208" t="str" cm="1">
        <f t="array" ref="H1000">IFERROR(INDEX(INVESTOR_LIST[INVESTOR NAME],MATCH(I1000,INVESTOR_LIST[INVESTOR CODE],0),)," ")</f>
        <v xml:space="preserve"> </v>
      </c>
      <c r="J1000" s="165" t="s">
        <v>200</v>
      </c>
      <c r="K1000" s="167">
        <v>22820.35</v>
      </c>
      <c r="L1000" s="205"/>
    </row>
    <row r="1001" spans="1:13" ht="11.25" customHeight="1" x14ac:dyDescent="0.2">
      <c r="A1001" s="226">
        <v>2022</v>
      </c>
      <c r="B1001" s="226">
        <v>5</v>
      </c>
      <c r="C1001" s="226">
        <v>23</v>
      </c>
      <c r="D1001" s="226">
        <f t="shared" si="101"/>
        <v>44704</v>
      </c>
      <c r="E1001" s="234">
        <f t="shared" si="104"/>
        <v>44704</v>
      </c>
      <c r="F1001" s="479"/>
      <c r="G1001" s="227" t="s">
        <v>86</v>
      </c>
      <c r="H1001" s="228" t="str" cm="1">
        <f t="array" ref="H1001">IFERROR(INDEX(INVESTOR_LIST[INVESTOR NAME],MATCH(I1001,INVESTOR_LIST[INVESTOR CODE],0),)," ")</f>
        <v xml:space="preserve"> </v>
      </c>
      <c r="I1001" s="228"/>
      <c r="J1001" s="229" t="s">
        <v>80</v>
      </c>
      <c r="K1001" s="230"/>
      <c r="L1001" s="230">
        <v>2773855.85</v>
      </c>
    </row>
    <row r="1002" spans="1:13" ht="11.25" customHeight="1" x14ac:dyDescent="0.2">
      <c r="A1002" s="221">
        <v>2022</v>
      </c>
      <c r="B1002" s="221">
        <v>5</v>
      </c>
      <c r="C1002" s="221">
        <v>23</v>
      </c>
      <c r="D1002" s="231">
        <f t="shared" si="101"/>
        <v>44704</v>
      </c>
      <c r="E1002" s="233">
        <f t="shared" si="104"/>
        <v>44704</v>
      </c>
      <c r="F1002" s="478" t="s">
        <v>1218</v>
      </c>
      <c r="G1002" s="222" t="s">
        <v>1111</v>
      </c>
      <c r="H1002" s="223" t="str" cm="1">
        <f t="array" ref="H1002">IFERROR(INDEX(INVESTOR_LIST[INVESTOR NAME],MATCH(I1002,INVESTOR_LIST[INVESTOR CODE],0),)," ")</f>
        <v xml:space="preserve"> </v>
      </c>
      <c r="I1002" s="223"/>
      <c r="J1002" s="224" t="s">
        <v>55</v>
      </c>
      <c r="K1002" s="225">
        <v>315000</v>
      </c>
      <c r="L1002" s="225" t="s">
        <v>1119</v>
      </c>
    </row>
    <row r="1003" spans="1:13" ht="11.25" customHeight="1" x14ac:dyDescent="0.2">
      <c r="A1003" s="226">
        <v>2022</v>
      </c>
      <c r="B1003" s="226">
        <v>5</v>
      </c>
      <c r="C1003" s="226">
        <v>23</v>
      </c>
      <c r="D1003" s="232">
        <f t="shared" si="101"/>
        <v>44704</v>
      </c>
      <c r="E1003" s="234">
        <f t="shared" si="104"/>
        <v>44704</v>
      </c>
      <c r="F1003" s="479"/>
      <c r="G1003" s="227" t="s">
        <v>1111</v>
      </c>
      <c r="H1003" s="228" t="str" cm="1">
        <f t="array" ref="H1003">IFERROR(INDEX(INVESTOR_LIST[INVESTOR NAME],MATCH(I1003,INVESTOR_LIST[INVESTOR CODE],0),)," ")</f>
        <v xml:space="preserve"> </v>
      </c>
      <c r="I1003" s="228"/>
      <c r="J1003" s="229" t="s">
        <v>192</v>
      </c>
      <c r="K1003" s="230" t="s">
        <v>1119</v>
      </c>
      <c r="L1003" s="230">
        <v>315000</v>
      </c>
    </row>
    <row r="1004" spans="1:13" ht="11.25" customHeight="1" x14ac:dyDescent="0.2">
      <c r="A1004" s="221">
        <v>2022</v>
      </c>
      <c r="B1004" s="221">
        <v>5</v>
      </c>
      <c r="C1004" s="221">
        <v>24</v>
      </c>
      <c r="D1004" s="221">
        <f t="shared" si="101"/>
        <v>44705</v>
      </c>
      <c r="E1004" s="233">
        <f t="shared" si="104"/>
        <v>44705</v>
      </c>
      <c r="F1004" s="478" t="s">
        <v>1135</v>
      </c>
      <c r="G1004" s="222" t="s">
        <v>86</v>
      </c>
      <c r="H1004" s="222" t="str" cm="1">
        <f t="array" ref="H1004">IFERROR(INDEX(INVESTOR_LIST[INVESTOR NAME],MATCH(I1004,INVESTOR_LIST[INVESTOR CODE],0),)," ")</f>
        <v xml:space="preserve"> </v>
      </c>
      <c r="I1004" s="223"/>
      <c r="J1004" s="224" t="s">
        <v>80</v>
      </c>
      <c r="K1004" s="225">
        <v>825703.5</v>
      </c>
      <c r="L1004" s="225"/>
    </row>
    <row r="1005" spans="1:13" ht="11.25" customHeight="1" x14ac:dyDescent="0.2">
      <c r="A1005" s="164">
        <v>2022</v>
      </c>
      <c r="B1005" s="164">
        <v>5</v>
      </c>
      <c r="C1005" s="164">
        <v>24</v>
      </c>
      <c r="D1005" s="164">
        <f t="shared" si="101"/>
        <v>44705</v>
      </c>
      <c r="E1005" s="235">
        <f t="shared" si="104"/>
        <v>44705</v>
      </c>
      <c r="F1005" s="480"/>
      <c r="G1005" s="208" t="s">
        <v>86</v>
      </c>
      <c r="H1005" s="208"/>
      <c r="J1005" s="165" t="s">
        <v>960</v>
      </c>
      <c r="K1005" s="205">
        <v>3448.08</v>
      </c>
      <c r="L1005" s="205"/>
    </row>
    <row r="1006" spans="1:13" ht="11.25" customHeight="1" x14ac:dyDescent="0.2">
      <c r="A1006" s="164">
        <v>2022</v>
      </c>
      <c r="B1006" s="164">
        <v>5</v>
      </c>
      <c r="C1006" s="164">
        <v>24</v>
      </c>
      <c r="D1006" s="164">
        <f t="shared" si="101"/>
        <v>44705</v>
      </c>
      <c r="E1006" s="235">
        <f t="shared" si="104"/>
        <v>44705</v>
      </c>
      <c r="F1006" s="480"/>
      <c r="G1006" s="208" t="s">
        <v>86</v>
      </c>
      <c r="H1006" s="208"/>
      <c r="J1006" s="165" t="s">
        <v>199</v>
      </c>
      <c r="K1006" s="205">
        <v>260745.92</v>
      </c>
      <c r="L1006" s="205"/>
    </row>
    <row r="1007" spans="1:13" ht="11.25" customHeight="1" x14ac:dyDescent="0.2">
      <c r="A1007" s="164">
        <v>2022</v>
      </c>
      <c r="B1007" s="164">
        <v>5</v>
      </c>
      <c r="C1007" s="164">
        <v>24</v>
      </c>
      <c r="D1007" s="164">
        <f t="shared" si="101"/>
        <v>44705</v>
      </c>
      <c r="E1007" s="235">
        <f t="shared" si="104"/>
        <v>44705</v>
      </c>
      <c r="F1007" s="480"/>
      <c r="G1007" s="208" t="s">
        <v>86</v>
      </c>
      <c r="H1007" s="208" t="str" cm="1">
        <f t="array" ref="H1007">IFERROR(INDEX(INVESTOR_LIST[INVESTOR NAME],MATCH(I1007,INVESTOR_LIST[INVESTOR CODE],0),)," ")</f>
        <v xml:space="preserve"> </v>
      </c>
      <c r="J1007" s="165" t="s">
        <v>200</v>
      </c>
      <c r="L1007" s="205">
        <v>2546.77</v>
      </c>
    </row>
    <row r="1008" spans="1:13" ht="11.25" customHeight="1" x14ac:dyDescent="0.2">
      <c r="A1008" s="226">
        <v>2022</v>
      </c>
      <c r="B1008" s="226">
        <v>5</v>
      </c>
      <c r="C1008" s="226">
        <v>24</v>
      </c>
      <c r="D1008" s="226">
        <f t="shared" si="101"/>
        <v>44705</v>
      </c>
      <c r="E1008" s="234">
        <f t="shared" si="104"/>
        <v>44705</v>
      </c>
      <c r="F1008" s="479"/>
      <c r="G1008" s="227" t="s">
        <v>86</v>
      </c>
      <c r="H1008" s="228" t="str" cm="1">
        <f t="array" ref="H1008">IFERROR(INDEX(INVESTOR_LIST[INVESTOR NAME],MATCH(I1008,INVESTOR_LIST[INVESTOR CODE],0),)," ")</f>
        <v xml:space="preserve"> </v>
      </c>
      <c r="I1008" s="228"/>
      <c r="J1008" s="229" t="s">
        <v>80</v>
      </c>
      <c r="K1008" s="230"/>
      <c r="L1008" s="230">
        <v>1087350.73</v>
      </c>
    </row>
    <row r="1009" spans="1:12" ht="11.25" customHeight="1" x14ac:dyDescent="0.2">
      <c r="A1009" s="221">
        <v>2022</v>
      </c>
      <c r="B1009" s="221">
        <v>5</v>
      </c>
      <c r="C1009" s="221">
        <v>24</v>
      </c>
      <c r="D1009" s="231">
        <f t="shared" si="101"/>
        <v>44705</v>
      </c>
      <c r="E1009" s="233">
        <f t="shared" si="104"/>
        <v>44705</v>
      </c>
      <c r="F1009" s="478" t="s">
        <v>1115</v>
      </c>
      <c r="G1009" s="222" t="s">
        <v>1111</v>
      </c>
      <c r="H1009" s="223" t="str" cm="1">
        <f t="array" ref="H1009">IFERROR(INDEX(INVESTOR_LIST[INVESTOR NAME],MATCH(I1009,INVESTOR_LIST[INVESTOR CODE],0),)," ")</f>
        <v>SYED SADEK HUSSAIN</v>
      </c>
      <c r="I1009" s="223" t="s">
        <v>1206</v>
      </c>
      <c r="J1009" s="224" t="s">
        <v>14</v>
      </c>
      <c r="K1009" s="225">
        <v>451790</v>
      </c>
      <c r="L1009" s="225"/>
    </row>
    <row r="1010" spans="1:12" ht="11.25" customHeight="1" x14ac:dyDescent="0.2">
      <c r="A1010" s="164">
        <v>2022</v>
      </c>
      <c r="B1010" s="164">
        <v>5</v>
      </c>
      <c r="C1010" s="164">
        <v>24</v>
      </c>
      <c r="D1010" s="156">
        <f t="shared" si="101"/>
        <v>44705</v>
      </c>
      <c r="E1010" s="235">
        <f t="shared" si="104"/>
        <v>44705</v>
      </c>
      <c r="F1010" s="480"/>
      <c r="G1010" s="208" t="s">
        <v>1111</v>
      </c>
      <c r="H1010" s="206" t="str" cm="1">
        <f t="array" ref="H1010">IFERROR(INDEX(INVESTOR_LIST[INVESTOR NAME],MATCH(I1010,INVESTOR_LIST[INVESTOR CODE],0),)," ")</f>
        <v>SYED SADEK HUSSAIN</v>
      </c>
      <c r="I1010" s="206" t="s">
        <v>1206</v>
      </c>
      <c r="J1010" s="165" t="s">
        <v>1112</v>
      </c>
      <c r="K1010" s="205">
        <v>1810</v>
      </c>
      <c r="L1010" s="205"/>
    </row>
    <row r="1011" spans="1:12" ht="11.25" customHeight="1" x14ac:dyDescent="0.2">
      <c r="A1011" s="226">
        <v>2022</v>
      </c>
      <c r="B1011" s="226">
        <v>5</v>
      </c>
      <c r="C1011" s="226">
        <v>24</v>
      </c>
      <c r="D1011" s="232">
        <f t="shared" si="101"/>
        <v>44705</v>
      </c>
      <c r="E1011" s="234">
        <f t="shared" si="104"/>
        <v>44705</v>
      </c>
      <c r="F1011" s="479"/>
      <c r="G1011" s="227" t="s">
        <v>1111</v>
      </c>
      <c r="H1011" s="228" t="str" cm="1">
        <f t="array" ref="H1011">IFERROR(INDEX(INVESTOR_LIST[INVESTOR NAME],MATCH(I1011,INVESTOR_LIST[INVESTOR CODE],0),)," ")</f>
        <v>SYED SADEK HUSSAIN</v>
      </c>
      <c r="I1011" s="228" t="s">
        <v>1206</v>
      </c>
      <c r="J1011" s="229" t="s">
        <v>55</v>
      </c>
      <c r="K1011" s="230"/>
      <c r="L1011" s="230">
        <v>453600</v>
      </c>
    </row>
    <row r="1012" spans="1:12" ht="11.25" customHeight="1" x14ac:dyDescent="0.2">
      <c r="A1012" s="221">
        <v>2022</v>
      </c>
      <c r="B1012" s="221">
        <v>5</v>
      </c>
      <c r="C1012" s="221">
        <v>24</v>
      </c>
      <c r="D1012" s="231">
        <f t="shared" si="101"/>
        <v>44705</v>
      </c>
      <c r="E1012" s="233">
        <f t="shared" si="104"/>
        <v>44705</v>
      </c>
      <c r="F1012" s="478" t="s">
        <v>1114</v>
      </c>
      <c r="G1012" s="222" t="s">
        <v>1111</v>
      </c>
      <c r="H1012" s="223" t="str" cm="1">
        <f t="array" ref="H1012">IFERROR(INDEX(INVESTOR_LIST[INVESTOR NAME],MATCH(I1012,INVESTOR_LIST[INVESTOR CODE],0),)," ")</f>
        <v xml:space="preserve"> </v>
      </c>
      <c r="I1012" s="223"/>
      <c r="J1012" s="224" t="s">
        <v>63</v>
      </c>
      <c r="K1012" s="225">
        <v>58</v>
      </c>
      <c r="L1012" s="225"/>
    </row>
    <row r="1013" spans="1:12" ht="11.25" customHeight="1" x14ac:dyDescent="0.2">
      <c r="A1013" s="226">
        <v>2022</v>
      </c>
      <c r="B1013" s="226">
        <v>5</v>
      </c>
      <c r="C1013" s="226">
        <v>24</v>
      </c>
      <c r="D1013" s="232">
        <f t="shared" si="101"/>
        <v>44705</v>
      </c>
      <c r="E1013" s="234">
        <f t="shared" si="104"/>
        <v>44705</v>
      </c>
      <c r="F1013" s="479"/>
      <c r="G1013" s="227" t="s">
        <v>1111</v>
      </c>
      <c r="H1013" s="228" t="str" cm="1">
        <f t="array" ref="H1013">IFERROR(INDEX(INVESTOR_LIST[INVESTOR NAME],MATCH(I1013,INVESTOR_LIST[INVESTOR CODE],0),)," ")</f>
        <v xml:space="preserve"> </v>
      </c>
      <c r="I1013" s="228"/>
      <c r="J1013" s="229" t="s">
        <v>55</v>
      </c>
      <c r="K1013" s="230"/>
      <c r="L1013" s="230">
        <v>58</v>
      </c>
    </row>
    <row r="1014" spans="1:12" ht="11.25" customHeight="1" x14ac:dyDescent="0.2">
      <c r="A1014" s="221">
        <v>2022</v>
      </c>
      <c r="B1014" s="221">
        <v>5</v>
      </c>
      <c r="C1014" s="221">
        <v>24</v>
      </c>
      <c r="D1014" s="231">
        <f t="shared" si="101"/>
        <v>44705</v>
      </c>
      <c r="E1014" s="233">
        <f>DATE(A1014,B1014,C1014)</f>
        <v>44705</v>
      </c>
      <c r="F1014" s="478" t="s">
        <v>1208</v>
      </c>
      <c r="G1014" s="222" t="s">
        <v>1111</v>
      </c>
      <c r="H1014" s="223" t="str" cm="1">
        <f t="array" ref="H1014">IFERROR(INDEX(INVESTOR_LIST[INVESTOR NAME],MATCH(I1014,INVESTOR_LIST[INVESTOR CODE],0),)," ")</f>
        <v xml:space="preserve"> </v>
      </c>
      <c r="I1014" s="223"/>
      <c r="J1014" s="224" t="s">
        <v>961</v>
      </c>
      <c r="K1014" s="225">
        <v>156293.34</v>
      </c>
      <c r="L1014" s="225"/>
    </row>
    <row r="1015" spans="1:12" ht="11.25" customHeight="1" x14ac:dyDescent="0.2">
      <c r="A1015" s="226">
        <v>2022</v>
      </c>
      <c r="B1015" s="226">
        <v>5</v>
      </c>
      <c r="C1015" s="226">
        <v>24</v>
      </c>
      <c r="D1015" s="232">
        <f t="shared" si="101"/>
        <v>44705</v>
      </c>
      <c r="E1015" s="234">
        <f>DATE(A1015,B1015,C1015)</f>
        <v>44705</v>
      </c>
      <c r="F1015" s="479"/>
      <c r="G1015" s="227" t="s">
        <v>1111</v>
      </c>
      <c r="H1015" s="228" t="str" cm="1">
        <f t="array" ref="H1015">IFERROR(INDEX(INVESTOR_LIST[INVESTOR NAME],MATCH(I1015,INVESTOR_LIST[INVESTOR CODE],0),)," ")</f>
        <v xml:space="preserve"> </v>
      </c>
      <c r="I1015" s="228"/>
      <c r="J1015" s="229" t="s">
        <v>55</v>
      </c>
      <c r="K1015" s="230"/>
      <c r="L1015" s="230">
        <v>156293.34</v>
      </c>
    </row>
    <row r="1016" spans="1:12" ht="11.25" customHeight="1" x14ac:dyDescent="0.2">
      <c r="A1016" s="221">
        <v>2022</v>
      </c>
      <c r="B1016" s="221">
        <v>5</v>
      </c>
      <c r="C1016" s="221">
        <v>25</v>
      </c>
      <c r="D1016" s="231">
        <f t="shared" si="101"/>
        <v>44706</v>
      </c>
      <c r="E1016" s="233">
        <f>DATE(A1016,B1016,C1016)</f>
        <v>44706</v>
      </c>
      <c r="F1016" s="478" t="s">
        <v>1164</v>
      </c>
      <c r="G1016" s="222" t="s">
        <v>1111</v>
      </c>
      <c r="H1016" s="223" t="str" cm="1">
        <f t="array" ref="H1016">IFERROR(INDEX(INVESTOR_LIST[INVESTOR NAME],MATCH(I1016,INVESTOR_LIST[INVESTOR CODE],0),)," ")</f>
        <v xml:space="preserve"> </v>
      </c>
      <c r="I1016" s="223"/>
      <c r="J1016" s="224" t="s">
        <v>55</v>
      </c>
      <c r="K1016" s="225">
        <v>2746083.64</v>
      </c>
      <c r="L1016" s="225"/>
    </row>
    <row r="1017" spans="1:12" ht="11.25" customHeight="1" x14ac:dyDescent="0.2">
      <c r="A1017" s="226">
        <v>2022</v>
      </c>
      <c r="B1017" s="226">
        <v>5</v>
      </c>
      <c r="C1017" s="226">
        <v>25</v>
      </c>
      <c r="D1017" s="232">
        <f t="shared" si="101"/>
        <v>44706</v>
      </c>
      <c r="E1017" s="234">
        <f>DATE(A1017,B1017,C1017)</f>
        <v>44706</v>
      </c>
      <c r="F1017" s="479"/>
      <c r="G1017" s="227" t="s">
        <v>1111</v>
      </c>
      <c r="H1017" s="228" t="str" cm="1">
        <f t="array" ref="H1017">IFERROR(INDEX(INVESTOR_LIST[INVESTOR NAME],MATCH(I1017,INVESTOR_LIST[INVESTOR CODE],0),)," ")</f>
        <v xml:space="preserve"> </v>
      </c>
      <c r="I1017" s="228"/>
      <c r="J1017" s="229" t="s">
        <v>199</v>
      </c>
      <c r="K1017" s="230"/>
      <c r="L1017" s="230">
        <v>2746083.64</v>
      </c>
    </row>
    <row r="1018" spans="1:12" ht="11.25" customHeight="1" x14ac:dyDescent="0.2">
      <c r="A1018" s="221">
        <v>2022</v>
      </c>
      <c r="B1018" s="221">
        <v>5</v>
      </c>
      <c r="C1018" s="221">
        <v>25</v>
      </c>
      <c r="D1018" s="231">
        <f t="shared" si="101"/>
        <v>44706</v>
      </c>
      <c r="E1018" s="233">
        <f t="shared" ref="E1018:E1022" si="105">DATE(A1018,B1018,C1018)</f>
        <v>44706</v>
      </c>
      <c r="F1018" s="478" t="s">
        <v>1115</v>
      </c>
      <c r="G1018" s="222" t="s">
        <v>1111</v>
      </c>
      <c r="H1018" s="223" t="str" cm="1">
        <f t="array" ref="H1018">IFERROR(INDEX(INVESTOR_LIST[INVESTOR NAME],MATCH(I1018,INVESTOR_LIST[INVESTOR CODE],0),)," ")</f>
        <v>MD. SHAHIDUL ISLAM</v>
      </c>
      <c r="I1018" s="223" t="s">
        <v>344</v>
      </c>
      <c r="J1018" s="224" t="s">
        <v>14</v>
      </c>
      <c r="K1018" s="225">
        <v>2000000</v>
      </c>
      <c r="L1018" s="225"/>
    </row>
    <row r="1019" spans="1:12" ht="11.25" customHeight="1" x14ac:dyDescent="0.2">
      <c r="A1019" s="164">
        <v>2022</v>
      </c>
      <c r="B1019" s="164">
        <v>5</v>
      </c>
      <c r="C1019" s="164">
        <v>25</v>
      </c>
      <c r="D1019" s="156">
        <f t="shared" si="101"/>
        <v>44706</v>
      </c>
      <c r="E1019" s="235">
        <f t="shared" si="105"/>
        <v>44706</v>
      </c>
      <c r="F1019" s="480"/>
      <c r="G1019" s="208" t="s">
        <v>1111</v>
      </c>
      <c r="H1019" s="206" t="str" cm="1">
        <f t="array" ref="H1019">IFERROR(INDEX(INVESTOR_LIST[INVESTOR NAME],MATCH(I1019,INVESTOR_LIST[INVESTOR CODE],0),)," ")</f>
        <v>MD. SHAHIDUL ISLAM</v>
      </c>
      <c r="I1019" s="206" t="s">
        <v>344</v>
      </c>
      <c r="J1019" s="165" t="s">
        <v>1112</v>
      </c>
      <c r="K1019" s="205">
        <v>8000</v>
      </c>
      <c r="L1019" s="205"/>
    </row>
    <row r="1020" spans="1:12" ht="11.25" customHeight="1" x14ac:dyDescent="0.2">
      <c r="A1020" s="226">
        <v>2022</v>
      </c>
      <c r="B1020" s="226">
        <v>5</v>
      </c>
      <c r="C1020" s="226">
        <v>25</v>
      </c>
      <c r="D1020" s="232">
        <f t="shared" si="101"/>
        <v>44706</v>
      </c>
      <c r="E1020" s="234">
        <f t="shared" si="105"/>
        <v>44706</v>
      </c>
      <c r="F1020" s="479"/>
      <c r="G1020" s="227" t="s">
        <v>1111</v>
      </c>
      <c r="H1020" s="228" t="str" cm="1">
        <f t="array" ref="H1020">IFERROR(INDEX(INVESTOR_LIST[INVESTOR NAME],MATCH(I1020,INVESTOR_LIST[INVESTOR CODE],0),)," ")</f>
        <v>MD. SHAHIDUL ISLAM</v>
      </c>
      <c r="I1020" s="228" t="s">
        <v>344</v>
      </c>
      <c r="J1020" s="229" t="s">
        <v>55</v>
      </c>
      <c r="K1020" s="230"/>
      <c r="L1020" s="230">
        <v>2008000</v>
      </c>
    </row>
    <row r="1021" spans="1:12" ht="11.25" customHeight="1" x14ac:dyDescent="0.2">
      <c r="A1021" s="221">
        <v>2022</v>
      </c>
      <c r="B1021" s="221">
        <v>5</v>
      </c>
      <c r="C1021" s="221">
        <v>25</v>
      </c>
      <c r="D1021" s="231">
        <f t="shared" si="101"/>
        <v>44706</v>
      </c>
      <c r="E1021" s="233">
        <f t="shared" si="105"/>
        <v>44706</v>
      </c>
      <c r="F1021" s="478" t="s">
        <v>1114</v>
      </c>
      <c r="G1021" s="222" t="s">
        <v>1111</v>
      </c>
      <c r="H1021" s="223" t="str" cm="1">
        <f t="array" ref="H1021">IFERROR(INDEX(INVESTOR_LIST[INVESTOR NAME],MATCH(I1021,INVESTOR_LIST[INVESTOR CODE],0),)," ")</f>
        <v xml:space="preserve"> </v>
      </c>
      <c r="I1021" s="223"/>
      <c r="J1021" s="224" t="s">
        <v>63</v>
      </c>
      <c r="K1021" s="225">
        <v>100</v>
      </c>
      <c r="L1021" s="225"/>
    </row>
    <row r="1022" spans="1:12" ht="11.25" customHeight="1" x14ac:dyDescent="0.2">
      <c r="A1022" s="226">
        <v>2022</v>
      </c>
      <c r="B1022" s="226">
        <v>5</v>
      </c>
      <c r="C1022" s="226">
        <v>25</v>
      </c>
      <c r="D1022" s="232">
        <f t="shared" si="101"/>
        <v>44706</v>
      </c>
      <c r="E1022" s="234">
        <f t="shared" si="105"/>
        <v>44706</v>
      </c>
      <c r="F1022" s="479"/>
      <c r="G1022" s="227" t="s">
        <v>1111</v>
      </c>
      <c r="H1022" s="228" t="str" cm="1">
        <f t="array" ref="H1022">IFERROR(INDEX(INVESTOR_LIST[INVESTOR NAME],MATCH(I1022,INVESTOR_LIST[INVESTOR CODE],0),)," ")</f>
        <v xml:space="preserve"> </v>
      </c>
      <c r="I1022" s="228"/>
      <c r="J1022" s="229" t="s">
        <v>55</v>
      </c>
      <c r="K1022" s="230"/>
      <c r="L1022" s="230">
        <v>100</v>
      </c>
    </row>
    <row r="1023" spans="1:12" ht="11.25" customHeight="1" x14ac:dyDescent="0.2">
      <c r="A1023" s="221">
        <v>2022</v>
      </c>
      <c r="B1023" s="221">
        <v>5</v>
      </c>
      <c r="C1023" s="221">
        <v>25</v>
      </c>
      <c r="D1023" s="231">
        <f t="shared" si="101"/>
        <v>44706</v>
      </c>
      <c r="E1023" s="233">
        <f t="shared" ref="E1023:E1027" si="106">DATE(A1023,B1023,C1023)</f>
        <v>44706</v>
      </c>
      <c r="F1023" s="478" t="s">
        <v>1115</v>
      </c>
      <c r="G1023" s="222" t="s">
        <v>1111</v>
      </c>
      <c r="H1023" s="223" t="str" cm="1">
        <f t="array" ref="H1023">IFERROR(INDEX(INVESTOR_LIST[INVESTOR NAME],MATCH(I1023,INVESTOR_LIST[INVESTOR CODE],0),)," ")</f>
        <v>RAIS-UR-RUBBI</v>
      </c>
      <c r="I1023" s="223" t="s">
        <v>605</v>
      </c>
      <c r="J1023" s="224" t="s">
        <v>14</v>
      </c>
      <c r="K1023" s="225">
        <v>400000</v>
      </c>
      <c r="L1023" s="225"/>
    </row>
    <row r="1024" spans="1:12" ht="11.25" customHeight="1" x14ac:dyDescent="0.2">
      <c r="A1024" s="164">
        <v>2022</v>
      </c>
      <c r="B1024" s="164">
        <v>5</v>
      </c>
      <c r="C1024" s="164">
        <v>25</v>
      </c>
      <c r="D1024" s="156">
        <f t="shared" si="101"/>
        <v>44706</v>
      </c>
      <c r="E1024" s="235">
        <f t="shared" si="106"/>
        <v>44706</v>
      </c>
      <c r="F1024" s="480"/>
      <c r="G1024" s="208" t="s">
        <v>1111</v>
      </c>
      <c r="H1024" s="206" t="str" cm="1">
        <f t="array" ref="H1024">IFERROR(INDEX(INVESTOR_LIST[INVESTOR NAME],MATCH(I1024,INVESTOR_LIST[INVESTOR CODE],0),)," ")</f>
        <v>RAIS-UR-RUBBI</v>
      </c>
      <c r="I1024" s="206" t="s">
        <v>605</v>
      </c>
      <c r="J1024" s="165" t="s">
        <v>1112</v>
      </c>
      <c r="K1024" s="205">
        <v>1600</v>
      </c>
      <c r="L1024" s="205"/>
    </row>
    <row r="1025" spans="1:13" ht="11.25" customHeight="1" x14ac:dyDescent="0.2">
      <c r="A1025" s="226">
        <v>2022</v>
      </c>
      <c r="B1025" s="226">
        <v>5</v>
      </c>
      <c r="C1025" s="226">
        <v>25</v>
      </c>
      <c r="D1025" s="232">
        <f t="shared" si="101"/>
        <v>44706</v>
      </c>
      <c r="E1025" s="234">
        <f t="shared" si="106"/>
        <v>44706</v>
      </c>
      <c r="F1025" s="479"/>
      <c r="G1025" s="227" t="s">
        <v>1111</v>
      </c>
      <c r="H1025" s="228" t="str" cm="1">
        <f t="array" ref="H1025">IFERROR(INDEX(INVESTOR_LIST[INVESTOR NAME],MATCH(I1025,INVESTOR_LIST[INVESTOR CODE],0),)," ")</f>
        <v>RAIS-UR-RUBBI</v>
      </c>
      <c r="I1025" s="228" t="s">
        <v>605</v>
      </c>
      <c r="J1025" s="229" t="s">
        <v>55</v>
      </c>
      <c r="K1025" s="230"/>
      <c r="L1025" s="230">
        <v>401600</v>
      </c>
    </row>
    <row r="1026" spans="1:13" ht="11.25" customHeight="1" x14ac:dyDescent="0.2">
      <c r="A1026" s="221">
        <v>2022</v>
      </c>
      <c r="B1026" s="221">
        <v>5</v>
      </c>
      <c r="C1026" s="221">
        <v>25</v>
      </c>
      <c r="D1026" s="231">
        <f t="shared" si="101"/>
        <v>44706</v>
      </c>
      <c r="E1026" s="233">
        <f t="shared" si="106"/>
        <v>44706</v>
      </c>
      <c r="F1026" s="478" t="s">
        <v>1114</v>
      </c>
      <c r="G1026" s="222" t="s">
        <v>1111</v>
      </c>
      <c r="H1026" s="223" t="str" cm="1">
        <f t="array" ref="H1026">IFERROR(INDEX(INVESTOR_LIST[INVESTOR NAME],MATCH(I1026,INVESTOR_LIST[INVESTOR CODE],0),)," ")</f>
        <v xml:space="preserve"> </v>
      </c>
      <c r="I1026" s="223"/>
      <c r="J1026" s="224" t="s">
        <v>63</v>
      </c>
      <c r="K1026" s="225">
        <v>58</v>
      </c>
      <c r="L1026" s="225"/>
    </row>
    <row r="1027" spans="1:13" ht="11.25" customHeight="1" x14ac:dyDescent="0.2">
      <c r="A1027" s="226">
        <v>2022</v>
      </c>
      <c r="B1027" s="226">
        <v>5</v>
      </c>
      <c r="C1027" s="226">
        <v>25</v>
      </c>
      <c r="D1027" s="232">
        <f t="shared" si="101"/>
        <v>44706</v>
      </c>
      <c r="E1027" s="234">
        <f t="shared" si="106"/>
        <v>44706</v>
      </c>
      <c r="F1027" s="479"/>
      <c r="G1027" s="227" t="s">
        <v>1111</v>
      </c>
      <c r="H1027" s="228" t="str" cm="1">
        <f t="array" ref="H1027">IFERROR(INDEX(INVESTOR_LIST[INVESTOR NAME],MATCH(I1027,INVESTOR_LIST[INVESTOR CODE],0),)," ")</f>
        <v xml:space="preserve"> </v>
      </c>
      <c r="I1027" s="228"/>
      <c r="J1027" s="229" t="s">
        <v>55</v>
      </c>
      <c r="K1027" s="230"/>
      <c r="L1027" s="230">
        <v>58</v>
      </c>
    </row>
    <row r="1028" spans="1:13" ht="11.25" customHeight="1" x14ac:dyDescent="0.2">
      <c r="A1028" s="221">
        <v>2022</v>
      </c>
      <c r="B1028" s="221">
        <v>5</v>
      </c>
      <c r="C1028" s="221">
        <v>25</v>
      </c>
      <c r="D1028" s="231">
        <f t="shared" si="101"/>
        <v>44706</v>
      </c>
      <c r="E1028" s="233">
        <f t="shared" ref="E1028:E1033" si="107">DATE(A1028,B1028,C1028)</f>
        <v>44706</v>
      </c>
      <c r="F1028" s="478" t="s">
        <v>1115</v>
      </c>
      <c r="G1028" s="222" t="s">
        <v>1111</v>
      </c>
      <c r="H1028" s="223" t="str" cm="1">
        <f t="array" ref="H1028">IFERROR(INDEX(INVESTOR_LIST[INVESTOR NAME],MATCH(I1028,INVESTOR_LIST[INVESTOR CODE],0),)," ")</f>
        <v>MONSURUL MOHAMMAD SHAHRIAR</v>
      </c>
      <c r="I1028" s="223" t="s">
        <v>801</v>
      </c>
      <c r="J1028" s="224" t="s">
        <v>14</v>
      </c>
      <c r="K1028" s="225">
        <v>100000</v>
      </c>
      <c r="L1028" s="225"/>
    </row>
    <row r="1029" spans="1:13" ht="11.25" customHeight="1" x14ac:dyDescent="0.2">
      <c r="A1029" s="164">
        <v>2022</v>
      </c>
      <c r="B1029" s="164">
        <v>5</v>
      </c>
      <c r="C1029" s="164">
        <v>25</v>
      </c>
      <c r="D1029" s="156">
        <f t="shared" si="101"/>
        <v>44706</v>
      </c>
      <c r="E1029" s="235">
        <f t="shared" si="107"/>
        <v>44706</v>
      </c>
      <c r="F1029" s="480"/>
      <c r="G1029" s="208" t="s">
        <v>1111</v>
      </c>
      <c r="H1029" s="206" t="str" cm="1">
        <f t="array" ref="H1029">IFERROR(INDEX(INVESTOR_LIST[INVESTOR NAME],MATCH(I1029,INVESTOR_LIST[INVESTOR CODE],0),)," ")</f>
        <v>MONSURUL MOHAMMAD SHAHRIAR</v>
      </c>
      <c r="I1029" s="206" t="s">
        <v>801</v>
      </c>
      <c r="J1029" s="165" t="s">
        <v>1112</v>
      </c>
      <c r="K1029" s="205">
        <v>400</v>
      </c>
      <c r="L1029" s="205"/>
    </row>
    <row r="1030" spans="1:13" ht="11.25" customHeight="1" x14ac:dyDescent="0.2">
      <c r="A1030" s="226">
        <v>2022</v>
      </c>
      <c r="B1030" s="226">
        <v>5</v>
      </c>
      <c r="C1030" s="226">
        <v>25</v>
      </c>
      <c r="D1030" s="232">
        <f t="shared" si="101"/>
        <v>44706</v>
      </c>
      <c r="E1030" s="234">
        <f t="shared" si="107"/>
        <v>44706</v>
      </c>
      <c r="F1030" s="479"/>
      <c r="G1030" s="227" t="s">
        <v>1111</v>
      </c>
      <c r="H1030" s="228" t="str" cm="1">
        <f t="array" ref="H1030">IFERROR(INDEX(INVESTOR_LIST[INVESTOR NAME],MATCH(I1030,INVESTOR_LIST[INVESTOR CODE],0),)," ")</f>
        <v>MONSURUL MOHAMMAD SHAHRIAR</v>
      </c>
      <c r="I1030" s="228" t="s">
        <v>801</v>
      </c>
      <c r="J1030" s="229" t="s">
        <v>55</v>
      </c>
      <c r="K1030" s="230"/>
      <c r="L1030" s="230">
        <v>100400</v>
      </c>
      <c r="M1030" s="278">
        <f>K1031/9.83</f>
        <v>162767.03967446592</v>
      </c>
    </row>
    <row r="1031" spans="1:13" ht="11.25" customHeight="1" x14ac:dyDescent="0.2">
      <c r="A1031" s="221">
        <v>2022</v>
      </c>
      <c r="B1031" s="221">
        <v>5</v>
      </c>
      <c r="C1031" s="221">
        <v>25</v>
      </c>
      <c r="D1031" s="231">
        <f t="shared" si="101"/>
        <v>44706</v>
      </c>
      <c r="E1031" s="233">
        <f t="shared" si="107"/>
        <v>44706</v>
      </c>
      <c r="F1031" s="478" t="s">
        <v>802</v>
      </c>
      <c r="G1031" s="222" t="s">
        <v>1111</v>
      </c>
      <c r="H1031" s="223" t="str" cm="1">
        <f t="array" ref="H1031">IFERROR(INDEX(INVESTOR_LIST[INVESTOR NAME],MATCH(I1031,INVESTOR_LIST[INVESTOR CODE],0),)," ")</f>
        <v>REZIA RAHMAT</v>
      </c>
      <c r="I1031" s="223" t="s">
        <v>476</v>
      </c>
      <c r="J1031" s="224" t="s">
        <v>55</v>
      </c>
      <c r="K1031" s="225">
        <v>1600000</v>
      </c>
      <c r="L1031" s="225"/>
    </row>
    <row r="1032" spans="1:13" ht="11.25" customHeight="1" x14ac:dyDescent="0.2">
      <c r="A1032" s="164">
        <v>2022</v>
      </c>
      <c r="B1032" s="164">
        <v>5</v>
      </c>
      <c r="C1032" s="164">
        <v>25</v>
      </c>
      <c r="D1032" s="156">
        <f t="shared" si="101"/>
        <v>44706</v>
      </c>
      <c r="E1032" s="235">
        <f t="shared" si="107"/>
        <v>44706</v>
      </c>
      <c r="F1032" s="480"/>
      <c r="G1032" s="208" t="s">
        <v>1111</v>
      </c>
      <c r="H1032" s="206" t="str" cm="1">
        <f t="array" ref="H1032">IFERROR(INDEX(INVESTOR_LIST[INVESTOR NAME],MATCH(I1032,INVESTOR_LIST[INVESTOR CODE],0),)," ")</f>
        <v>REZIA RAHMAT</v>
      </c>
      <c r="I1032" s="206" t="s">
        <v>476</v>
      </c>
      <c r="J1032" s="165" t="s">
        <v>1112</v>
      </c>
      <c r="K1032" s="205">
        <v>27670</v>
      </c>
      <c r="L1032" s="205"/>
    </row>
    <row r="1033" spans="1:13" ht="11.25" customHeight="1" x14ac:dyDescent="0.2">
      <c r="A1033" s="226">
        <v>2022</v>
      </c>
      <c r="B1033" s="226">
        <v>5</v>
      </c>
      <c r="C1033" s="226">
        <v>25</v>
      </c>
      <c r="D1033" s="232">
        <f t="shared" ref="D1033:D1096" si="108">DATE(A1033,B1033,C1033)</f>
        <v>44706</v>
      </c>
      <c r="E1033" s="234">
        <f t="shared" si="107"/>
        <v>44706</v>
      </c>
      <c r="F1033" s="479"/>
      <c r="G1033" s="227" t="s">
        <v>1111</v>
      </c>
      <c r="H1033" s="228" t="str" cm="1">
        <f t="array" ref="H1033">IFERROR(INDEX(INVESTOR_LIST[INVESTOR NAME],MATCH(I1033,INVESTOR_LIST[INVESTOR CODE],0),)," ")</f>
        <v>REZIA RAHMAT</v>
      </c>
      <c r="I1033" s="228" t="s">
        <v>476</v>
      </c>
      <c r="J1033" s="229" t="s">
        <v>14</v>
      </c>
      <c r="K1033" s="230"/>
      <c r="L1033" s="230">
        <v>1627670</v>
      </c>
    </row>
    <row r="1034" spans="1:13" ht="11.25" customHeight="1" x14ac:dyDescent="0.2">
      <c r="A1034" s="221">
        <v>2022</v>
      </c>
      <c r="B1034" s="221">
        <v>5</v>
      </c>
      <c r="C1034" s="221">
        <v>25</v>
      </c>
      <c r="D1034" s="231">
        <f t="shared" si="108"/>
        <v>44706</v>
      </c>
      <c r="E1034" s="233">
        <f t="shared" ref="E1034:E1040" si="109">DATE(A1034,B1034,C1034)</f>
        <v>44706</v>
      </c>
      <c r="F1034" s="478" t="s">
        <v>802</v>
      </c>
      <c r="G1034" s="222" t="s">
        <v>1111</v>
      </c>
      <c r="H1034" s="223" t="str" cm="1">
        <f t="array" ref="H1034">IFERROR(INDEX(INVESTOR_LIST[INVESTOR NAME],MATCH(I1034,INVESTOR_LIST[INVESTOR CODE],0),)," ")</f>
        <v>NATEQ BE NAZIR IBN MINAR</v>
      </c>
      <c r="I1034" s="223" t="s">
        <v>1214</v>
      </c>
      <c r="J1034" s="224" t="s">
        <v>55</v>
      </c>
      <c r="K1034" s="225">
        <v>1500000</v>
      </c>
      <c r="L1034" s="225"/>
      <c r="M1034" s="278">
        <f>K1034/9.83</f>
        <v>152594.0996948118</v>
      </c>
    </row>
    <row r="1035" spans="1:13" ht="11.25" customHeight="1" x14ac:dyDescent="0.2">
      <c r="A1035" s="164">
        <v>2022</v>
      </c>
      <c r="B1035" s="164">
        <v>5</v>
      </c>
      <c r="C1035" s="164">
        <v>25</v>
      </c>
      <c r="D1035" s="156">
        <f t="shared" si="108"/>
        <v>44706</v>
      </c>
      <c r="E1035" s="235">
        <f t="shared" si="109"/>
        <v>44706</v>
      </c>
      <c r="F1035" s="480"/>
      <c r="G1035" s="208" t="s">
        <v>1111</v>
      </c>
      <c r="H1035" s="206" t="str" cm="1">
        <f t="array" ref="H1035">IFERROR(INDEX(INVESTOR_LIST[INVESTOR NAME],MATCH(I1035,INVESTOR_LIST[INVESTOR CODE],0),)," ")</f>
        <v>NATEQ BE NAZIR IBN MINAR</v>
      </c>
      <c r="I1035" s="206" t="s">
        <v>1214</v>
      </c>
      <c r="J1035" s="165" t="s">
        <v>1112</v>
      </c>
      <c r="K1035" s="205">
        <v>25940</v>
      </c>
      <c r="L1035" s="205"/>
    </row>
    <row r="1036" spans="1:13" ht="11.25" customHeight="1" x14ac:dyDescent="0.2">
      <c r="A1036" s="226">
        <v>2022</v>
      </c>
      <c r="B1036" s="226">
        <v>5</v>
      </c>
      <c r="C1036" s="226">
        <v>25</v>
      </c>
      <c r="D1036" s="232">
        <f t="shared" si="108"/>
        <v>44706</v>
      </c>
      <c r="E1036" s="234">
        <f t="shared" si="109"/>
        <v>44706</v>
      </c>
      <c r="F1036" s="479"/>
      <c r="G1036" s="227" t="s">
        <v>1111</v>
      </c>
      <c r="H1036" s="228" t="str" cm="1">
        <f t="array" ref="H1036">IFERROR(INDEX(INVESTOR_LIST[INVESTOR NAME],MATCH(I1036,INVESTOR_LIST[INVESTOR CODE],0),)," ")</f>
        <v>NATEQ BE NAZIR IBN MINAR</v>
      </c>
      <c r="I1036" s="228" t="s">
        <v>1214</v>
      </c>
      <c r="J1036" s="229" t="s">
        <v>14</v>
      </c>
      <c r="K1036" s="230"/>
      <c r="L1036" s="230">
        <v>1525940</v>
      </c>
    </row>
    <row r="1037" spans="1:13" ht="11.25" customHeight="1" x14ac:dyDescent="0.2">
      <c r="A1037" s="221">
        <v>2022</v>
      </c>
      <c r="B1037" s="221">
        <v>5</v>
      </c>
      <c r="C1037" s="221">
        <v>25</v>
      </c>
      <c r="D1037" s="231">
        <f t="shared" si="108"/>
        <v>44706</v>
      </c>
      <c r="E1037" s="233">
        <f t="shared" si="109"/>
        <v>44706</v>
      </c>
      <c r="F1037" s="478" t="s">
        <v>1114</v>
      </c>
      <c r="G1037" s="222" t="s">
        <v>1111</v>
      </c>
      <c r="H1037" s="223" t="str" cm="1">
        <f t="array" ref="H1037">IFERROR(INDEX(INVESTOR_LIST[INVESTOR NAME],MATCH(I1037,INVESTOR_LIST[INVESTOR CODE],0),)," ")</f>
        <v xml:space="preserve"> </v>
      </c>
      <c r="I1037" s="223"/>
      <c r="J1037" s="224" t="s">
        <v>63</v>
      </c>
      <c r="K1037" s="225">
        <v>60</v>
      </c>
      <c r="L1037" s="225"/>
    </row>
    <row r="1038" spans="1:13" ht="11.25" customHeight="1" x14ac:dyDescent="0.2">
      <c r="A1038" s="226">
        <v>2022</v>
      </c>
      <c r="B1038" s="226">
        <v>5</v>
      </c>
      <c r="C1038" s="226">
        <v>25</v>
      </c>
      <c r="D1038" s="232">
        <f t="shared" si="108"/>
        <v>44706</v>
      </c>
      <c r="E1038" s="234">
        <f t="shared" si="109"/>
        <v>44706</v>
      </c>
      <c r="F1038" s="479"/>
      <c r="G1038" s="227" t="s">
        <v>1111</v>
      </c>
      <c r="H1038" s="228" t="str" cm="1">
        <f t="array" ref="H1038">IFERROR(INDEX(INVESTOR_LIST[INVESTOR NAME],MATCH(I1038,INVESTOR_LIST[INVESTOR CODE],0),)," ")</f>
        <v xml:space="preserve"> </v>
      </c>
      <c r="I1038" s="228"/>
      <c r="J1038" s="229" t="s">
        <v>55</v>
      </c>
      <c r="K1038" s="230"/>
      <c r="L1038" s="230">
        <v>60</v>
      </c>
    </row>
    <row r="1039" spans="1:13" ht="11.25" customHeight="1" x14ac:dyDescent="0.2">
      <c r="A1039" s="221">
        <v>2022</v>
      </c>
      <c r="B1039" s="221">
        <v>5</v>
      </c>
      <c r="C1039" s="221">
        <v>25</v>
      </c>
      <c r="D1039" s="231">
        <f t="shared" si="108"/>
        <v>44706</v>
      </c>
      <c r="E1039" s="233">
        <f t="shared" si="109"/>
        <v>44706</v>
      </c>
      <c r="F1039" s="478" t="s">
        <v>1114</v>
      </c>
      <c r="G1039" s="222" t="s">
        <v>1111</v>
      </c>
      <c r="H1039" s="223" t="str" cm="1">
        <f t="array" ref="H1039">IFERROR(INDEX(INVESTOR_LIST[INVESTOR NAME],MATCH(I1039,INVESTOR_LIST[INVESTOR CODE],0),)," ")</f>
        <v xml:space="preserve"> </v>
      </c>
      <c r="I1039" s="223"/>
      <c r="J1039" s="224" t="s">
        <v>63</v>
      </c>
      <c r="K1039" s="225">
        <v>60</v>
      </c>
      <c r="L1039" s="225"/>
    </row>
    <row r="1040" spans="1:13" ht="11.25" customHeight="1" x14ac:dyDescent="0.2">
      <c r="A1040" s="226">
        <v>2022</v>
      </c>
      <c r="B1040" s="226">
        <v>5</v>
      </c>
      <c r="C1040" s="226">
        <v>25</v>
      </c>
      <c r="D1040" s="232">
        <f t="shared" si="108"/>
        <v>44706</v>
      </c>
      <c r="E1040" s="234">
        <f t="shared" si="109"/>
        <v>44706</v>
      </c>
      <c r="F1040" s="479"/>
      <c r="G1040" s="227" t="s">
        <v>1111</v>
      </c>
      <c r="H1040" s="228" t="str" cm="1">
        <f t="array" ref="H1040">IFERROR(INDEX(INVESTOR_LIST[INVESTOR NAME],MATCH(I1040,INVESTOR_LIST[INVESTOR CODE],0),)," ")</f>
        <v xml:space="preserve"> </v>
      </c>
      <c r="I1040" s="228"/>
      <c r="J1040" s="229" t="s">
        <v>55</v>
      </c>
      <c r="K1040" s="230"/>
      <c r="L1040" s="230">
        <v>60</v>
      </c>
    </row>
    <row r="1041" spans="1:13" ht="11.25" customHeight="1" x14ac:dyDescent="0.2">
      <c r="A1041" s="221">
        <v>2022</v>
      </c>
      <c r="B1041" s="221">
        <v>5</v>
      </c>
      <c r="C1041" s="221">
        <v>25</v>
      </c>
      <c r="D1041" s="231">
        <f t="shared" si="108"/>
        <v>44706</v>
      </c>
      <c r="E1041" s="233">
        <f t="shared" ref="E1041:E1057" si="110">DATE(A1041,B1041,C1041)</f>
        <v>44706</v>
      </c>
      <c r="F1041" s="478" t="s">
        <v>802</v>
      </c>
      <c r="G1041" s="222" t="s">
        <v>1111</v>
      </c>
      <c r="H1041" s="223" t="str" cm="1">
        <f t="array" ref="H1041">IFERROR(INDEX(INVESTOR_LIST[INVESTOR NAME],MATCH(I1041,INVESTOR_LIST[INVESTOR CODE],0),)," ")</f>
        <v>EKUSH WEALTH MANAGEMENT LIMITED</v>
      </c>
      <c r="I1041" s="223" t="s">
        <v>320</v>
      </c>
      <c r="J1041" s="224" t="s">
        <v>55</v>
      </c>
      <c r="K1041" s="225">
        <v>9000000</v>
      </c>
      <c r="L1041" s="225"/>
      <c r="M1041" s="166"/>
    </row>
    <row r="1042" spans="1:13" ht="11.25" customHeight="1" x14ac:dyDescent="0.2">
      <c r="A1042" s="164">
        <v>2022</v>
      </c>
      <c r="B1042" s="164">
        <v>5</v>
      </c>
      <c r="C1042" s="164">
        <v>25</v>
      </c>
      <c r="D1042" s="156">
        <f t="shared" si="108"/>
        <v>44706</v>
      </c>
      <c r="E1042" s="235">
        <f t="shared" si="110"/>
        <v>44706</v>
      </c>
      <c r="F1042" s="480"/>
      <c r="G1042" s="208" t="s">
        <v>1111</v>
      </c>
      <c r="H1042" s="206" t="str" cm="1">
        <f t="array" ref="H1042">IFERROR(INDEX(INVESTOR_LIST[INVESTOR NAME],MATCH(I1042,INVESTOR_LIST[INVESTOR CODE],0),)," ")</f>
        <v>EKUSH WEALTH MANAGEMENT LIMITED</v>
      </c>
      <c r="I1042" s="206" t="s">
        <v>320</v>
      </c>
      <c r="J1042" s="165" t="s">
        <v>1112</v>
      </c>
      <c r="K1042" s="205">
        <v>100100</v>
      </c>
      <c r="L1042" s="205"/>
    </row>
    <row r="1043" spans="1:13" ht="11.25" customHeight="1" x14ac:dyDescent="0.2">
      <c r="A1043" s="226">
        <v>2022</v>
      </c>
      <c r="B1043" s="226">
        <v>5</v>
      </c>
      <c r="C1043" s="226">
        <v>25</v>
      </c>
      <c r="D1043" s="232">
        <f t="shared" si="108"/>
        <v>44706</v>
      </c>
      <c r="E1043" s="234">
        <f t="shared" si="110"/>
        <v>44706</v>
      </c>
      <c r="F1043" s="479"/>
      <c r="G1043" s="227" t="s">
        <v>1111</v>
      </c>
      <c r="H1043" s="228" t="str" cm="1">
        <f t="array" ref="H1043">IFERROR(INDEX(INVESTOR_LIST[INVESTOR NAME],MATCH(I1043,INVESTOR_LIST[INVESTOR CODE],0),)," ")</f>
        <v>EKUSH WEALTH MANAGEMENT LIMITED</v>
      </c>
      <c r="I1043" s="228" t="s">
        <v>320</v>
      </c>
      <c r="J1043" s="229" t="s">
        <v>14</v>
      </c>
      <c r="K1043" s="230"/>
      <c r="L1043" s="230">
        <v>9100100</v>
      </c>
    </row>
    <row r="1044" spans="1:13" ht="11.25" customHeight="1" x14ac:dyDescent="0.2">
      <c r="A1044" s="221">
        <v>2022</v>
      </c>
      <c r="B1044" s="221">
        <v>5</v>
      </c>
      <c r="C1044" s="221">
        <v>25</v>
      </c>
      <c r="D1044" s="221">
        <f t="shared" si="108"/>
        <v>44706</v>
      </c>
      <c r="E1044" s="233">
        <f t="shared" si="110"/>
        <v>44706</v>
      </c>
      <c r="F1044" s="478" t="s">
        <v>1216</v>
      </c>
      <c r="G1044" s="222" t="s">
        <v>1111</v>
      </c>
      <c r="H1044" s="222" t="str" cm="1">
        <f t="array" ref="H1044">IFERROR(INDEX(INVESTOR_LIST[INVESTOR NAME],MATCH(I1044,INVESTOR_LIST[INVESTOR CODE],0),)," ")</f>
        <v xml:space="preserve"> </v>
      </c>
      <c r="I1044" s="223"/>
      <c r="J1044" s="224" t="s">
        <v>80</v>
      </c>
      <c r="K1044" s="225">
        <v>73110</v>
      </c>
      <c r="L1044" s="225"/>
    </row>
    <row r="1045" spans="1:13" ht="11.25" customHeight="1" x14ac:dyDescent="0.2">
      <c r="A1045" s="164">
        <v>2022</v>
      </c>
      <c r="B1045" s="164">
        <v>5</v>
      </c>
      <c r="C1045" s="164">
        <v>25</v>
      </c>
      <c r="D1045" s="164">
        <f t="shared" si="108"/>
        <v>44706</v>
      </c>
      <c r="E1045" s="235">
        <f t="shared" si="110"/>
        <v>44706</v>
      </c>
      <c r="F1045" s="480"/>
      <c r="G1045" s="208" t="s">
        <v>1111</v>
      </c>
      <c r="H1045" s="208" t="str" cm="1">
        <f t="array" ref="H1045">IFERROR(INDEX(INVESTOR_LIST[INVESTOR NAME],MATCH(I1045,INVESTOR_LIST[INVESTOR CODE],0),)," ")</f>
        <v xml:space="preserve"> </v>
      </c>
      <c r="J1045" s="165" t="s">
        <v>55</v>
      </c>
      <c r="K1045" s="205">
        <v>606890</v>
      </c>
      <c r="L1045" s="205"/>
    </row>
    <row r="1046" spans="1:13" ht="11.25" customHeight="1" x14ac:dyDescent="0.2">
      <c r="A1046" s="226">
        <v>2022</v>
      </c>
      <c r="B1046" s="226">
        <v>5</v>
      </c>
      <c r="C1046" s="226">
        <v>25</v>
      </c>
      <c r="D1046" s="226">
        <f t="shared" si="108"/>
        <v>44706</v>
      </c>
      <c r="E1046" s="234">
        <f t="shared" si="110"/>
        <v>44706</v>
      </c>
      <c r="F1046" s="479"/>
      <c r="G1046" s="227" t="s">
        <v>1111</v>
      </c>
      <c r="H1046" s="228" t="str" cm="1">
        <f t="array" ref="H1046">IFERROR(INDEX(INVESTOR_LIST[INVESTOR NAME],MATCH(I1046,INVESTOR_LIST[INVESTOR CODE],0),)," ")</f>
        <v xml:space="preserve"> </v>
      </c>
      <c r="I1046" s="228"/>
      <c r="J1046" s="229" t="s">
        <v>196</v>
      </c>
      <c r="K1046" s="230"/>
      <c r="L1046" s="230">
        <v>680000</v>
      </c>
    </row>
    <row r="1047" spans="1:13" ht="11.25" customHeight="1" x14ac:dyDescent="0.2">
      <c r="A1047" s="221">
        <v>2022</v>
      </c>
      <c r="B1047" s="221">
        <v>5</v>
      </c>
      <c r="C1047" s="221">
        <v>25</v>
      </c>
      <c r="D1047" s="221">
        <f t="shared" si="108"/>
        <v>44706</v>
      </c>
      <c r="E1047" s="233">
        <f>DATE(A1047,B1047,C1047)</f>
        <v>44706</v>
      </c>
      <c r="F1047" s="478" t="s">
        <v>1217</v>
      </c>
      <c r="G1047" s="222" t="s">
        <v>86</v>
      </c>
      <c r="H1047" s="222" t="str" cm="1">
        <f t="array" ref="H1047">IFERROR(INDEX(INVESTOR_LIST[INVESTOR NAME],MATCH(I1047,INVESTOR_LIST[INVESTOR CODE],0),)," ")</f>
        <v xml:space="preserve"> </v>
      </c>
      <c r="I1047" s="223"/>
      <c r="J1047" s="224" t="s">
        <v>196</v>
      </c>
      <c r="K1047" s="225">
        <v>12000000</v>
      </c>
      <c r="L1047" s="225"/>
    </row>
    <row r="1048" spans="1:13" ht="11.25" customHeight="1" x14ac:dyDescent="0.2">
      <c r="A1048" s="164">
        <v>2022</v>
      </c>
      <c r="B1048" s="164">
        <v>5</v>
      </c>
      <c r="C1048" s="164">
        <v>25</v>
      </c>
      <c r="D1048" s="164">
        <f t="shared" si="108"/>
        <v>44706</v>
      </c>
      <c r="E1048" s="235">
        <f>DATE(A1048,B1048,C1048)</f>
        <v>44706</v>
      </c>
      <c r="F1048" s="480"/>
      <c r="G1048" s="208" t="s">
        <v>86</v>
      </c>
      <c r="H1048" s="208" t="str" cm="1">
        <f t="array" ref="H1048">IFERROR(INDEX(INVESTOR_LIST[INVESTOR NAME],MATCH(I1048,INVESTOR_LIST[INVESTOR CODE],0),)," ")</f>
        <v xml:space="preserve"> </v>
      </c>
      <c r="J1048" s="165" t="s">
        <v>63</v>
      </c>
      <c r="K1048" s="205">
        <v>115</v>
      </c>
      <c r="L1048" s="205"/>
    </row>
    <row r="1049" spans="1:13" ht="11.25" customHeight="1" x14ac:dyDescent="0.2">
      <c r="A1049" s="226">
        <v>2022</v>
      </c>
      <c r="B1049" s="226">
        <v>5</v>
      </c>
      <c r="C1049" s="226">
        <v>25</v>
      </c>
      <c r="D1049" s="226">
        <f t="shared" si="108"/>
        <v>44706</v>
      </c>
      <c r="E1049" s="234">
        <f>DATE(A1049,B1049,C1049)</f>
        <v>44706</v>
      </c>
      <c r="F1049" s="479"/>
      <c r="G1049" s="227" t="s">
        <v>86</v>
      </c>
      <c r="H1049" s="228" t="str" cm="1">
        <f t="array" ref="H1049">IFERROR(INDEX(INVESTOR_LIST[INVESTOR NAME],MATCH(I1049,INVESTOR_LIST[INVESTOR CODE],0),)," ")</f>
        <v xml:space="preserve"> </v>
      </c>
      <c r="I1049" s="228"/>
      <c r="J1049" s="229" t="s">
        <v>55</v>
      </c>
      <c r="K1049" s="230"/>
      <c r="L1049" s="230">
        <v>12000115</v>
      </c>
    </row>
    <row r="1050" spans="1:13" ht="11.25" customHeight="1" x14ac:dyDescent="0.2">
      <c r="A1050" s="221">
        <v>2022</v>
      </c>
      <c r="B1050" s="221">
        <v>5</v>
      </c>
      <c r="C1050" s="221">
        <v>26</v>
      </c>
      <c r="D1050" s="231">
        <f t="shared" si="108"/>
        <v>44707</v>
      </c>
      <c r="E1050" s="233">
        <f t="shared" si="110"/>
        <v>44707</v>
      </c>
      <c r="F1050" s="478" t="s">
        <v>1115</v>
      </c>
      <c r="G1050" s="222" t="s">
        <v>1111</v>
      </c>
      <c r="H1050" s="223" t="str" cm="1">
        <f t="array" ref="H1050">IFERROR(INDEX(INVESTOR_LIST[INVESTOR NAME],MATCH(I1050,INVESTOR_LIST[INVESTOR CODE],0),)," ")</f>
        <v>MD. JAHIRUL ISLAM</v>
      </c>
      <c r="I1050" s="223" t="s">
        <v>812</v>
      </c>
      <c r="J1050" s="224" t="s">
        <v>14</v>
      </c>
      <c r="K1050" s="225">
        <v>100000</v>
      </c>
      <c r="L1050" s="225"/>
    </row>
    <row r="1051" spans="1:13" ht="11.25" customHeight="1" x14ac:dyDescent="0.2">
      <c r="A1051" s="164">
        <v>2022</v>
      </c>
      <c r="B1051" s="164">
        <v>5</v>
      </c>
      <c r="C1051" s="164">
        <v>26</v>
      </c>
      <c r="D1051" s="156">
        <f t="shared" si="108"/>
        <v>44707</v>
      </c>
      <c r="E1051" s="235">
        <f t="shared" si="110"/>
        <v>44707</v>
      </c>
      <c r="F1051" s="480"/>
      <c r="G1051" s="208" t="s">
        <v>1111</v>
      </c>
      <c r="H1051" s="206" t="str" cm="1">
        <f t="array" ref="H1051">IFERROR(INDEX(INVESTOR_LIST[INVESTOR NAME],MATCH(I1051,INVESTOR_LIST[INVESTOR CODE],0),)," ")</f>
        <v>MD. JAHIRUL ISLAM</v>
      </c>
      <c r="I1051" s="206" t="s">
        <v>812</v>
      </c>
      <c r="J1051" s="165" t="s">
        <v>1112</v>
      </c>
      <c r="K1051" s="205"/>
      <c r="L1051" s="205">
        <v>1100</v>
      </c>
    </row>
    <row r="1052" spans="1:13" ht="11.25" customHeight="1" x14ac:dyDescent="0.2">
      <c r="A1052" s="226">
        <v>2022</v>
      </c>
      <c r="B1052" s="226">
        <v>5</v>
      </c>
      <c r="C1052" s="226">
        <v>26</v>
      </c>
      <c r="D1052" s="232">
        <f t="shared" si="108"/>
        <v>44707</v>
      </c>
      <c r="E1052" s="234">
        <f t="shared" si="110"/>
        <v>44707</v>
      </c>
      <c r="F1052" s="479"/>
      <c r="G1052" s="227" t="s">
        <v>1111</v>
      </c>
      <c r="H1052" s="228" t="str" cm="1">
        <f t="array" ref="H1052">IFERROR(INDEX(INVESTOR_LIST[INVESTOR NAME],MATCH(I1052,INVESTOR_LIST[INVESTOR CODE],0),)," ")</f>
        <v>MD. JAHIRUL ISLAM</v>
      </c>
      <c r="I1052" s="228" t="s">
        <v>812</v>
      </c>
      <c r="J1052" s="229" t="s">
        <v>55</v>
      </c>
      <c r="K1052" s="230"/>
      <c r="L1052" s="230">
        <v>98900</v>
      </c>
    </row>
    <row r="1053" spans="1:13" ht="11.25" customHeight="1" x14ac:dyDescent="0.2">
      <c r="A1053" s="221">
        <v>2022</v>
      </c>
      <c r="B1053" s="221">
        <v>5</v>
      </c>
      <c r="C1053" s="221">
        <v>26</v>
      </c>
      <c r="D1053" s="221">
        <f t="shared" si="108"/>
        <v>44707</v>
      </c>
      <c r="E1053" s="233">
        <f t="shared" si="110"/>
        <v>44707</v>
      </c>
      <c r="F1053" s="478" t="s">
        <v>1135</v>
      </c>
      <c r="G1053" s="222" t="s">
        <v>86</v>
      </c>
      <c r="H1053" s="222" t="str" cm="1">
        <f t="array" ref="H1053">IFERROR(INDEX(INVESTOR_LIST[INVESTOR NAME],MATCH(I1053,INVESTOR_LIST[INVESTOR CODE],0),)," ")</f>
        <v xml:space="preserve"> </v>
      </c>
      <c r="I1053" s="223"/>
      <c r="J1053" s="224" t="s">
        <v>80</v>
      </c>
      <c r="K1053" s="225">
        <v>5285725.4000000004</v>
      </c>
      <c r="L1053" s="225"/>
    </row>
    <row r="1054" spans="1:13" ht="11.25" customHeight="1" x14ac:dyDescent="0.2">
      <c r="A1054" s="164">
        <v>2022</v>
      </c>
      <c r="B1054" s="164">
        <v>5</v>
      </c>
      <c r="C1054" s="164">
        <v>26</v>
      </c>
      <c r="D1054" s="164">
        <f t="shared" si="108"/>
        <v>44707</v>
      </c>
      <c r="E1054" s="235">
        <f t="shared" si="110"/>
        <v>44707</v>
      </c>
      <c r="F1054" s="480"/>
      <c r="G1054" s="208" t="s">
        <v>86</v>
      </c>
      <c r="H1054" s="208"/>
      <c r="J1054" s="165" t="s">
        <v>960</v>
      </c>
      <c r="K1054" s="205">
        <v>15865.869999999999</v>
      </c>
      <c r="L1054" s="205"/>
      <c r="M1054" s="166"/>
    </row>
    <row r="1055" spans="1:13" ht="11.25" customHeight="1" x14ac:dyDescent="0.2">
      <c r="A1055" s="164">
        <v>2022</v>
      </c>
      <c r="B1055" s="164">
        <v>5</v>
      </c>
      <c r="C1055" s="164">
        <v>26</v>
      </c>
      <c r="D1055" s="164">
        <f t="shared" si="108"/>
        <v>44707</v>
      </c>
      <c r="E1055" s="235">
        <f t="shared" si="110"/>
        <v>44707</v>
      </c>
      <c r="F1055" s="480"/>
      <c r="G1055" s="208" t="s">
        <v>86</v>
      </c>
      <c r="H1055" s="208"/>
      <c r="J1055" s="165" t="s">
        <v>200</v>
      </c>
      <c r="K1055" s="205">
        <v>70129.919999999998</v>
      </c>
      <c r="L1055" s="205"/>
    </row>
    <row r="1056" spans="1:13" ht="11.25" customHeight="1" x14ac:dyDescent="0.2">
      <c r="A1056" s="164">
        <v>2022</v>
      </c>
      <c r="B1056" s="164">
        <v>5</v>
      </c>
      <c r="C1056" s="164">
        <v>26</v>
      </c>
      <c r="D1056" s="164">
        <f t="shared" si="108"/>
        <v>44707</v>
      </c>
      <c r="E1056" s="235">
        <f t="shared" si="110"/>
        <v>44707</v>
      </c>
      <c r="F1056" s="480"/>
      <c r="G1056" s="208" t="s">
        <v>86</v>
      </c>
      <c r="H1056" s="208" t="str" cm="1">
        <f t="array" ref="H1056">IFERROR(INDEX(INVESTOR_LIST[INVESTOR NAME],MATCH(I1056,INVESTOR_LIST[INVESTOR CODE],0),)," ")</f>
        <v xml:space="preserve"> </v>
      </c>
      <c r="J1056" s="165" t="s">
        <v>961</v>
      </c>
      <c r="L1056" s="205">
        <v>1772945.87</v>
      </c>
    </row>
    <row r="1057" spans="1:13" ht="11.25" customHeight="1" x14ac:dyDescent="0.2">
      <c r="A1057" s="226">
        <v>2022</v>
      </c>
      <c r="B1057" s="226">
        <v>5</v>
      </c>
      <c r="C1057" s="226">
        <v>26</v>
      </c>
      <c r="D1057" s="226">
        <f t="shared" si="108"/>
        <v>44707</v>
      </c>
      <c r="E1057" s="234">
        <f t="shared" si="110"/>
        <v>44707</v>
      </c>
      <c r="F1057" s="479"/>
      <c r="G1057" s="227" t="s">
        <v>86</v>
      </c>
      <c r="H1057" s="228" t="str" cm="1">
        <f t="array" ref="H1057">IFERROR(INDEX(INVESTOR_LIST[INVESTOR NAME],MATCH(I1057,INVESTOR_LIST[INVESTOR CODE],0),)," ")</f>
        <v xml:space="preserve"> </v>
      </c>
      <c r="I1057" s="228"/>
      <c r="J1057" s="229" t="s">
        <v>80</v>
      </c>
      <c r="K1057" s="230"/>
      <c r="L1057" s="230">
        <v>3598775.32</v>
      </c>
    </row>
    <row r="1058" spans="1:13" ht="11.25" customHeight="1" x14ac:dyDescent="0.2">
      <c r="A1058" s="221">
        <v>2022</v>
      </c>
      <c r="B1058" s="221">
        <v>5</v>
      </c>
      <c r="C1058" s="221">
        <v>26</v>
      </c>
      <c r="D1058" s="231">
        <f t="shared" si="108"/>
        <v>44707</v>
      </c>
      <c r="E1058" s="233">
        <f>DATE(A1058,B1058,C1058)</f>
        <v>44707</v>
      </c>
      <c r="F1058" s="478" t="s">
        <v>1164</v>
      </c>
      <c r="G1058" s="222" t="s">
        <v>1111</v>
      </c>
      <c r="H1058" s="223" t="str" cm="1">
        <f t="array" ref="H1058">IFERROR(INDEX(INVESTOR_LIST[INVESTOR NAME],MATCH(I1058,INVESTOR_LIST[INVESTOR CODE],0),)," ")</f>
        <v xml:space="preserve"> </v>
      </c>
      <c r="I1058" s="223"/>
      <c r="J1058" s="224" t="s">
        <v>55</v>
      </c>
      <c r="K1058" s="225">
        <v>260745.92</v>
      </c>
      <c r="L1058" s="225"/>
    </row>
    <row r="1059" spans="1:13" ht="11.25" customHeight="1" x14ac:dyDescent="0.2">
      <c r="A1059" s="226">
        <v>2022</v>
      </c>
      <c r="B1059" s="226">
        <v>5</v>
      </c>
      <c r="C1059" s="226">
        <v>26</v>
      </c>
      <c r="D1059" s="232">
        <f t="shared" si="108"/>
        <v>44707</v>
      </c>
      <c r="E1059" s="234">
        <f>DATE(A1059,B1059,C1059)</f>
        <v>44707</v>
      </c>
      <c r="F1059" s="479"/>
      <c r="G1059" s="227" t="s">
        <v>1111</v>
      </c>
      <c r="H1059" s="228" t="str" cm="1">
        <f t="array" ref="H1059">IFERROR(INDEX(INVESTOR_LIST[INVESTOR NAME],MATCH(I1059,INVESTOR_LIST[INVESTOR CODE],0),)," ")</f>
        <v xml:space="preserve"> </v>
      </c>
      <c r="I1059" s="228"/>
      <c r="J1059" s="229" t="s">
        <v>199</v>
      </c>
      <c r="K1059" s="230"/>
      <c r="L1059" s="230">
        <v>260745.92</v>
      </c>
    </row>
    <row r="1060" spans="1:13" ht="11.25" customHeight="1" x14ac:dyDescent="0.2">
      <c r="A1060" s="221">
        <v>2022</v>
      </c>
      <c r="B1060" s="221">
        <v>5</v>
      </c>
      <c r="C1060" s="221">
        <v>26</v>
      </c>
      <c r="D1060" s="231">
        <f t="shared" si="108"/>
        <v>44707</v>
      </c>
      <c r="E1060" s="233">
        <f>DATE(A1060,B1060,C1060)</f>
        <v>44707</v>
      </c>
      <c r="F1060" s="478" t="s">
        <v>1177</v>
      </c>
      <c r="G1060" s="222" t="s">
        <v>86</v>
      </c>
      <c r="H1060" s="223" t="str" cm="1">
        <f t="array" ref="H1060">IFERROR(INDEX(INVESTOR_LIST[INVESTOR NAME],MATCH(I1060,INVESTOR_LIST[INVESTOR CODE],0),)," ")</f>
        <v xml:space="preserve"> </v>
      </c>
      <c r="I1060" s="223"/>
      <c r="J1060" s="224" t="s">
        <v>131</v>
      </c>
      <c r="K1060" s="225">
        <v>158375</v>
      </c>
      <c r="L1060" s="225"/>
      <c r="M1060" s="263">
        <v>2036250</v>
      </c>
    </row>
    <row r="1061" spans="1:13" ht="11.25" customHeight="1" x14ac:dyDescent="0.2">
      <c r="A1061" s="226">
        <v>2022</v>
      </c>
      <c r="B1061" s="226">
        <v>5</v>
      </c>
      <c r="C1061" s="226">
        <v>26</v>
      </c>
      <c r="D1061" s="232">
        <f t="shared" si="108"/>
        <v>44707</v>
      </c>
      <c r="E1061" s="234">
        <f>DATE(A1061,B1061,C1061)</f>
        <v>44707</v>
      </c>
      <c r="F1061" s="479"/>
      <c r="G1061" s="227" t="s">
        <v>86</v>
      </c>
      <c r="H1061" s="228" t="str" cm="1">
        <f t="array" ref="H1061">IFERROR(INDEX(INVESTOR_LIST[INVESTOR NAME],MATCH(I1061,INVESTOR_LIST[INVESTOR CODE],0),)," ")</f>
        <v xml:space="preserve"> </v>
      </c>
      <c r="I1061" s="228"/>
      <c r="J1061" s="229" t="s">
        <v>174</v>
      </c>
      <c r="K1061" s="230"/>
      <c r="L1061" s="230">
        <v>158375</v>
      </c>
    </row>
    <row r="1062" spans="1:13" ht="11.25" customHeight="1" x14ac:dyDescent="0.2">
      <c r="A1062" s="236">
        <v>2022</v>
      </c>
      <c r="B1062" s="236">
        <v>5</v>
      </c>
      <c r="C1062" s="236">
        <v>26</v>
      </c>
      <c r="D1062" s="237">
        <f t="shared" si="108"/>
        <v>44707</v>
      </c>
      <c r="E1062" s="238">
        <f t="shared" ref="E1062:E1079" si="111">DATE(A1062,B1062,C1062)</f>
        <v>44707</v>
      </c>
      <c r="F1062" s="476" t="s">
        <v>1118</v>
      </c>
      <c r="G1062" s="239" t="s">
        <v>86</v>
      </c>
      <c r="H1062" s="239" t="str" cm="1">
        <f t="array" ref="H1062">IFERROR(INDEX(INVESTOR_LIST[INVESTOR NAME],MATCH(I1062,INVESTOR_LIST[INVESTOR CODE],0),)," ")</f>
        <v xml:space="preserve"> </v>
      </c>
      <c r="I1062" s="240"/>
      <c r="J1062" s="241" t="s">
        <v>82</v>
      </c>
      <c r="K1062" s="242">
        <v>1567817.1200000197</v>
      </c>
      <c r="L1062" s="242"/>
    </row>
    <row r="1063" spans="1:13" ht="11.25" customHeight="1" x14ac:dyDescent="0.2">
      <c r="A1063" s="243">
        <v>2022</v>
      </c>
      <c r="B1063" s="243">
        <v>5</v>
      </c>
      <c r="C1063" s="243">
        <v>26</v>
      </c>
      <c r="D1063" s="248">
        <f t="shared" si="108"/>
        <v>44707</v>
      </c>
      <c r="E1063" s="249">
        <f t="shared" si="111"/>
        <v>44707</v>
      </c>
      <c r="F1063" s="477"/>
      <c r="G1063" s="244" t="s">
        <v>86</v>
      </c>
      <c r="H1063" s="244" t="str" cm="1">
        <f t="array" ref="H1063">IFERROR(INDEX(INVESTOR_LIST[INVESTOR NAME],MATCH(I1063,INVESTOR_LIST[INVESTOR CODE],0),)," ")</f>
        <v xml:space="preserve"> </v>
      </c>
      <c r="I1063" s="245"/>
      <c r="J1063" s="246" t="s">
        <v>98</v>
      </c>
      <c r="K1063" s="247"/>
      <c r="L1063" s="247">
        <v>1567817.1200000197</v>
      </c>
    </row>
    <row r="1064" spans="1:13" ht="11.25" customHeight="1" x14ac:dyDescent="0.2">
      <c r="A1064" s="236">
        <v>2022</v>
      </c>
      <c r="B1064" s="236">
        <v>5</v>
      </c>
      <c r="C1064" s="236">
        <v>26</v>
      </c>
      <c r="D1064" s="237">
        <f t="shared" si="108"/>
        <v>44707</v>
      </c>
      <c r="E1064" s="238">
        <f t="shared" si="111"/>
        <v>44707</v>
      </c>
      <c r="F1064" s="476" t="s">
        <v>1120</v>
      </c>
      <c r="G1064" s="239" t="s">
        <v>86</v>
      </c>
      <c r="H1064" s="239" t="str" cm="1">
        <f t="array" ref="H1064">IFERROR(INDEX(INVESTOR_LIST[INVESTOR NAME],MATCH(I1064,INVESTOR_LIST[INVESTOR CODE],0),)," ")</f>
        <v xml:space="preserve"> </v>
      </c>
      <c r="I1064" s="240"/>
      <c r="J1064" s="241" t="s">
        <v>87</v>
      </c>
      <c r="K1064" s="242">
        <v>2747.2527472527472</v>
      </c>
      <c r="L1064" s="242"/>
    </row>
    <row r="1065" spans="1:13" ht="11.25" customHeight="1" x14ac:dyDescent="0.2">
      <c r="A1065" s="243">
        <v>2022</v>
      </c>
      <c r="B1065" s="243">
        <v>5</v>
      </c>
      <c r="C1065" s="243">
        <v>26</v>
      </c>
      <c r="D1065" s="248">
        <f t="shared" si="108"/>
        <v>44707</v>
      </c>
      <c r="E1065" s="249">
        <f t="shared" si="111"/>
        <v>44707</v>
      </c>
      <c r="F1065" s="477"/>
      <c r="G1065" s="244" t="s">
        <v>86</v>
      </c>
      <c r="H1065" s="244" t="str" cm="1">
        <f t="array" ref="H1065">IFERROR(INDEX(INVESTOR_LIST[INVESTOR NAME],MATCH(I1065,INVESTOR_LIST[INVESTOR CODE],0),)," ")</f>
        <v xml:space="preserve"> </v>
      </c>
      <c r="I1065" s="245"/>
      <c r="J1065" s="246" t="s">
        <v>64</v>
      </c>
      <c r="K1065" s="247"/>
      <c r="L1065" s="247">
        <v>2747.2527472527472</v>
      </c>
    </row>
    <row r="1066" spans="1:13" ht="11.25" customHeight="1" x14ac:dyDescent="0.2">
      <c r="A1066" s="236">
        <v>2022</v>
      </c>
      <c r="B1066" s="236">
        <v>5</v>
      </c>
      <c r="C1066" s="236">
        <v>26</v>
      </c>
      <c r="D1066" s="237">
        <f t="shared" si="108"/>
        <v>44707</v>
      </c>
      <c r="E1066" s="238">
        <f t="shared" si="111"/>
        <v>44707</v>
      </c>
      <c r="F1066" s="476" t="s">
        <v>1121</v>
      </c>
      <c r="G1066" s="239" t="s">
        <v>86</v>
      </c>
      <c r="H1066" s="239" t="str" cm="1">
        <f t="array" ref="H1066">IFERROR(INDEX(INVESTOR_LIST[INVESTOR NAME],MATCH(I1066,INVESTOR_LIST[INVESTOR CODE],0),)," ")</f>
        <v xml:space="preserve"> </v>
      </c>
      <c r="I1066" s="240"/>
      <c r="J1066" s="241" t="s">
        <v>89</v>
      </c>
      <c r="K1066" s="242">
        <v>101687.90800823386</v>
      </c>
      <c r="L1066" s="242"/>
    </row>
    <row r="1067" spans="1:13" ht="11.25" customHeight="1" x14ac:dyDescent="0.2">
      <c r="A1067" s="243">
        <v>2022</v>
      </c>
      <c r="B1067" s="243">
        <v>5</v>
      </c>
      <c r="C1067" s="243">
        <v>26</v>
      </c>
      <c r="D1067" s="248">
        <f t="shared" si="108"/>
        <v>44707</v>
      </c>
      <c r="E1067" s="249">
        <f t="shared" si="111"/>
        <v>44707</v>
      </c>
      <c r="F1067" s="477"/>
      <c r="G1067" s="244" t="s">
        <v>86</v>
      </c>
      <c r="H1067" s="244" t="str" cm="1">
        <f t="array" ref="H1067">IFERROR(INDEX(INVESTOR_LIST[INVESTOR NAME],MATCH(I1067,INVESTOR_LIST[INVESTOR CODE],0),)," ")</f>
        <v xml:space="preserve"> </v>
      </c>
      <c r="I1067" s="245"/>
      <c r="J1067" s="246" t="s">
        <v>50</v>
      </c>
      <c r="K1067" s="247"/>
      <c r="L1067" s="247">
        <v>101687.90800823386</v>
      </c>
    </row>
    <row r="1068" spans="1:13" ht="11.25" customHeight="1" x14ac:dyDescent="0.2">
      <c r="A1068" s="236">
        <v>2022</v>
      </c>
      <c r="B1068" s="236">
        <v>5</v>
      </c>
      <c r="C1068" s="236">
        <v>26</v>
      </c>
      <c r="D1068" s="237">
        <f t="shared" si="108"/>
        <v>44707</v>
      </c>
      <c r="E1068" s="238">
        <f t="shared" si="111"/>
        <v>44707</v>
      </c>
      <c r="F1068" s="476" t="s">
        <v>1122</v>
      </c>
      <c r="G1068" s="239" t="s">
        <v>86</v>
      </c>
      <c r="H1068" s="239" t="str" cm="1">
        <f t="array" ref="H1068">IFERROR(INDEX(INVESTOR_LIST[INVESTOR NAME],MATCH(I1068,INVESTOR_LIST[INVESTOR CODE],0),)," ")</f>
        <v xml:space="preserve"> </v>
      </c>
      <c r="I1068" s="240"/>
      <c r="J1068" s="241" t="s">
        <v>91</v>
      </c>
      <c r="K1068" s="242">
        <v>4856.1169441386683</v>
      </c>
      <c r="L1068" s="242"/>
    </row>
    <row r="1069" spans="1:13" ht="11.25" customHeight="1" x14ac:dyDescent="0.2">
      <c r="A1069" s="243">
        <v>2022</v>
      </c>
      <c r="B1069" s="243">
        <v>5</v>
      </c>
      <c r="C1069" s="243">
        <v>26</v>
      </c>
      <c r="D1069" s="248">
        <f t="shared" si="108"/>
        <v>44707</v>
      </c>
      <c r="E1069" s="249">
        <f t="shared" si="111"/>
        <v>44707</v>
      </c>
      <c r="F1069" s="477"/>
      <c r="G1069" s="244" t="s">
        <v>86</v>
      </c>
      <c r="H1069" s="244" t="str" cm="1">
        <f t="array" ref="H1069">IFERROR(INDEX(INVESTOR_LIST[INVESTOR NAME],MATCH(I1069,INVESTOR_LIST[INVESTOR CODE],0),)," ")</f>
        <v xml:space="preserve"> </v>
      </c>
      <c r="I1069" s="245"/>
      <c r="J1069" s="246" t="s">
        <v>51</v>
      </c>
      <c r="K1069" s="247"/>
      <c r="L1069" s="247">
        <v>4856.1169441386683</v>
      </c>
    </row>
    <row r="1070" spans="1:13" ht="11.25" customHeight="1" x14ac:dyDescent="0.2">
      <c r="A1070" s="221">
        <v>2022</v>
      </c>
      <c r="B1070" s="221">
        <v>5</v>
      </c>
      <c r="C1070" s="221">
        <v>29</v>
      </c>
      <c r="D1070" s="231">
        <f t="shared" si="108"/>
        <v>44710</v>
      </c>
      <c r="E1070" s="233">
        <f t="shared" ref="E1070:E1072" si="112">DATE(A1070,B1070,C1070)</f>
        <v>44710</v>
      </c>
      <c r="F1070" s="478" t="s">
        <v>1132</v>
      </c>
      <c r="G1070" s="222" t="s">
        <v>1111</v>
      </c>
      <c r="H1070" s="223" t="str" cm="1">
        <f t="array" ref="H1070">IFERROR(INDEX(INVESTOR_LIST[INVESTOR NAME],MATCH(I1070,INVESTOR_LIST[INVESTOR CODE],0),)," ")</f>
        <v>MRIDUL KUMAR DEY</v>
      </c>
      <c r="I1070" s="223" t="s">
        <v>337</v>
      </c>
      <c r="J1070" s="224" t="s">
        <v>55</v>
      </c>
      <c r="K1070" s="225">
        <v>5000</v>
      </c>
      <c r="L1070" s="225"/>
    </row>
    <row r="1071" spans="1:13" ht="11.25" customHeight="1" x14ac:dyDescent="0.2">
      <c r="A1071" s="164">
        <v>2022</v>
      </c>
      <c r="B1071" s="164">
        <v>5</v>
      </c>
      <c r="C1071" s="164">
        <v>29</v>
      </c>
      <c r="D1071" s="156">
        <f t="shared" si="108"/>
        <v>44710</v>
      </c>
      <c r="E1071" s="235">
        <f t="shared" si="112"/>
        <v>44710</v>
      </c>
      <c r="F1071" s="480"/>
      <c r="G1071" s="208" t="s">
        <v>1111</v>
      </c>
      <c r="H1071" s="206" t="str" cm="1">
        <f t="array" ref="H1071">IFERROR(INDEX(INVESTOR_LIST[INVESTOR NAME],MATCH(I1071,INVESTOR_LIST[INVESTOR CODE],0),)," ")</f>
        <v>MRIDUL KUMAR DEY</v>
      </c>
      <c r="I1071" s="206" t="s">
        <v>337</v>
      </c>
      <c r="J1071" s="165" t="s">
        <v>1112</v>
      </c>
      <c r="K1071" s="205">
        <v>90</v>
      </c>
      <c r="L1071" s="205"/>
    </row>
    <row r="1072" spans="1:13" ht="11.25" customHeight="1" x14ac:dyDescent="0.2">
      <c r="A1072" s="226">
        <v>2022</v>
      </c>
      <c r="B1072" s="226">
        <v>5</v>
      </c>
      <c r="C1072" s="226">
        <v>29</v>
      </c>
      <c r="D1072" s="232">
        <f t="shared" si="108"/>
        <v>44710</v>
      </c>
      <c r="E1072" s="234">
        <f t="shared" si="112"/>
        <v>44710</v>
      </c>
      <c r="F1072" s="479"/>
      <c r="G1072" s="227" t="s">
        <v>1111</v>
      </c>
      <c r="H1072" s="228" t="str" cm="1">
        <f t="array" ref="H1072">IFERROR(INDEX(INVESTOR_LIST[INVESTOR NAME],MATCH(I1072,INVESTOR_LIST[INVESTOR CODE],0),)," ")</f>
        <v>MRIDUL KUMAR DEY</v>
      </c>
      <c r="I1072" s="228" t="s">
        <v>337</v>
      </c>
      <c r="J1072" s="229" t="s">
        <v>14</v>
      </c>
      <c r="K1072" s="230"/>
      <c r="L1072" s="230">
        <v>5090</v>
      </c>
      <c r="M1072" s="166"/>
    </row>
    <row r="1073" spans="1:14" ht="11.25" customHeight="1" x14ac:dyDescent="0.2">
      <c r="A1073" s="221">
        <v>2022</v>
      </c>
      <c r="B1073" s="221">
        <v>5</v>
      </c>
      <c r="C1073" s="221">
        <v>29</v>
      </c>
      <c r="D1073" s="221">
        <f t="shared" si="108"/>
        <v>44710</v>
      </c>
      <c r="E1073" s="233">
        <f t="shared" si="111"/>
        <v>44710</v>
      </c>
      <c r="F1073" s="478" t="s">
        <v>1135</v>
      </c>
      <c r="G1073" s="222" t="s">
        <v>86</v>
      </c>
      <c r="H1073" s="222" t="str" cm="1">
        <f t="array" ref="H1073">IFERROR(INDEX(INVESTOR_LIST[INVESTOR NAME],MATCH(I1073,INVESTOR_LIST[INVESTOR CODE],0),)," ")</f>
        <v xml:space="preserve"> </v>
      </c>
      <c r="I1073" s="223"/>
      <c r="J1073" s="224" t="s">
        <v>199</v>
      </c>
      <c r="K1073" s="225">
        <v>1621556.14</v>
      </c>
      <c r="L1073" s="225"/>
    </row>
    <row r="1074" spans="1:14" ht="11.25" customHeight="1" x14ac:dyDescent="0.2">
      <c r="A1074" s="164">
        <v>2022</v>
      </c>
      <c r="B1074" s="164">
        <v>5</v>
      </c>
      <c r="C1074" s="164">
        <v>29</v>
      </c>
      <c r="D1074" s="164">
        <f t="shared" si="108"/>
        <v>44710</v>
      </c>
      <c r="E1074" s="235">
        <f t="shared" si="111"/>
        <v>44710</v>
      </c>
      <c r="F1074" s="480"/>
      <c r="G1074" s="208" t="s">
        <v>86</v>
      </c>
      <c r="H1074" s="208"/>
      <c r="J1074" s="165" t="s">
        <v>960</v>
      </c>
      <c r="K1074" s="205">
        <v>2924.06</v>
      </c>
      <c r="L1074" s="205"/>
    </row>
    <row r="1075" spans="1:14" ht="11.25" customHeight="1" x14ac:dyDescent="0.2">
      <c r="A1075" s="164">
        <v>2022</v>
      </c>
      <c r="B1075" s="164">
        <v>5</v>
      </c>
      <c r="C1075" s="164">
        <v>29</v>
      </c>
      <c r="D1075" s="164">
        <f t="shared" si="108"/>
        <v>44710</v>
      </c>
      <c r="E1075" s="235">
        <f t="shared" si="111"/>
        <v>44710</v>
      </c>
      <c r="F1075" s="480"/>
      <c r="G1075" s="208" t="s">
        <v>86</v>
      </c>
      <c r="H1075" s="208"/>
      <c r="J1075" s="165" t="s">
        <v>200</v>
      </c>
      <c r="K1075" s="205">
        <v>20935.91</v>
      </c>
      <c r="L1075" s="205"/>
    </row>
    <row r="1076" spans="1:14" ht="11.25" customHeight="1" x14ac:dyDescent="0.2">
      <c r="A1076" s="226">
        <v>2022</v>
      </c>
      <c r="B1076" s="226">
        <v>5</v>
      </c>
      <c r="C1076" s="226">
        <v>29</v>
      </c>
      <c r="D1076" s="226">
        <f t="shared" si="108"/>
        <v>44710</v>
      </c>
      <c r="E1076" s="234">
        <f t="shared" si="111"/>
        <v>44710</v>
      </c>
      <c r="F1076" s="479"/>
      <c r="G1076" s="227" t="s">
        <v>86</v>
      </c>
      <c r="H1076" s="228" t="str" cm="1">
        <f t="array" ref="H1076">IFERROR(INDEX(INVESTOR_LIST[INVESTOR NAME],MATCH(I1076,INVESTOR_LIST[INVESTOR CODE],0),)," ")</f>
        <v xml:space="preserve"> </v>
      </c>
      <c r="I1076" s="228"/>
      <c r="J1076" s="229" t="s">
        <v>80</v>
      </c>
      <c r="K1076" s="230"/>
      <c r="L1076" s="230">
        <v>1645416.11</v>
      </c>
    </row>
    <row r="1077" spans="1:14" ht="11.25" customHeight="1" x14ac:dyDescent="0.2">
      <c r="A1077" s="221">
        <v>2022</v>
      </c>
      <c r="B1077" s="221">
        <v>5</v>
      </c>
      <c r="C1077" s="221">
        <v>29</v>
      </c>
      <c r="D1077" s="231">
        <f t="shared" si="108"/>
        <v>44710</v>
      </c>
      <c r="E1077" s="233">
        <f t="shared" si="111"/>
        <v>44710</v>
      </c>
      <c r="F1077" s="478" t="s">
        <v>802</v>
      </c>
      <c r="G1077" s="222" t="s">
        <v>1111</v>
      </c>
      <c r="H1077" s="223" t="str" cm="1">
        <f t="array" ref="H1077">IFERROR(INDEX(INVESTOR_LIST[INVESTOR NAME],MATCH(I1077,INVESTOR_LIST[INVESTOR CODE],0),)," ")</f>
        <v>MD MIZANUR RAHMAN</v>
      </c>
      <c r="I1077" s="223" t="s">
        <v>431</v>
      </c>
      <c r="J1077" s="224" t="s">
        <v>55</v>
      </c>
      <c r="K1077" s="225">
        <v>31500</v>
      </c>
      <c r="L1077" s="225"/>
    </row>
    <row r="1078" spans="1:14" ht="11.25" customHeight="1" x14ac:dyDescent="0.2">
      <c r="A1078" s="164">
        <v>2022</v>
      </c>
      <c r="B1078" s="164">
        <v>5</v>
      </c>
      <c r="C1078" s="164">
        <v>29</v>
      </c>
      <c r="D1078" s="156">
        <f t="shared" si="108"/>
        <v>44710</v>
      </c>
      <c r="E1078" s="235">
        <f t="shared" si="111"/>
        <v>44710</v>
      </c>
      <c r="F1078" s="480"/>
      <c r="G1078" s="208" t="s">
        <v>1111</v>
      </c>
      <c r="H1078" s="206" t="str" cm="1">
        <f t="array" ref="H1078">IFERROR(INDEX(INVESTOR_LIST[INVESTOR NAME],MATCH(I1078,INVESTOR_LIST[INVESTOR CODE],0),)," ")</f>
        <v>MD MIZANUR RAHMAN</v>
      </c>
      <c r="I1078" s="206" t="s">
        <v>431</v>
      </c>
      <c r="J1078" s="165" t="s">
        <v>1112</v>
      </c>
      <c r="K1078" s="205">
        <v>540</v>
      </c>
      <c r="L1078" s="205"/>
    </row>
    <row r="1079" spans="1:14" ht="11.25" customHeight="1" x14ac:dyDescent="0.2">
      <c r="A1079" s="226">
        <v>2022</v>
      </c>
      <c r="B1079" s="226">
        <v>5</v>
      </c>
      <c r="C1079" s="226">
        <v>29</v>
      </c>
      <c r="D1079" s="232">
        <f t="shared" si="108"/>
        <v>44710</v>
      </c>
      <c r="E1079" s="234">
        <f t="shared" si="111"/>
        <v>44710</v>
      </c>
      <c r="F1079" s="479"/>
      <c r="G1079" s="227" t="s">
        <v>1111</v>
      </c>
      <c r="H1079" s="228" t="str" cm="1">
        <f t="array" ref="H1079">IFERROR(INDEX(INVESTOR_LIST[INVESTOR NAME],MATCH(I1079,INVESTOR_LIST[INVESTOR CODE],0),)," ")</f>
        <v>MD MIZANUR RAHMAN</v>
      </c>
      <c r="I1079" s="228" t="s">
        <v>431</v>
      </c>
      <c r="J1079" s="229" t="s">
        <v>14</v>
      </c>
      <c r="K1079" s="230"/>
      <c r="L1079" s="230">
        <v>32040</v>
      </c>
      <c r="M1079" s="166"/>
    </row>
    <row r="1080" spans="1:14" ht="11.25" customHeight="1" x14ac:dyDescent="0.2">
      <c r="A1080" s="221">
        <v>2022</v>
      </c>
      <c r="B1080" s="221">
        <v>5</v>
      </c>
      <c r="C1080" s="221">
        <v>30</v>
      </c>
      <c r="D1080" s="231">
        <f t="shared" si="108"/>
        <v>44711</v>
      </c>
      <c r="E1080" s="233">
        <f t="shared" ref="E1080:E1094" si="113">DATE(A1080,B1080,C1080)</f>
        <v>44711</v>
      </c>
      <c r="F1080" s="478" t="s">
        <v>802</v>
      </c>
      <c r="G1080" s="222" t="s">
        <v>1111</v>
      </c>
      <c r="H1080" s="223" t="str" cm="1">
        <f t="array" ref="H1080">IFERROR(INDEX(INVESTOR_LIST[INVESTOR NAME],MATCH(I1080,INVESTOR_LIST[INVESTOR CODE],0),)," ")</f>
        <v>NANDA DULAL SAHA</v>
      </c>
      <c r="I1080" s="223" t="s">
        <v>1220</v>
      </c>
      <c r="J1080" s="224" t="s">
        <v>55</v>
      </c>
      <c r="K1080" s="225">
        <v>160000</v>
      </c>
      <c r="L1080" s="225"/>
    </row>
    <row r="1081" spans="1:14" ht="11.25" customHeight="1" x14ac:dyDescent="0.2">
      <c r="A1081" s="164">
        <v>2022</v>
      </c>
      <c r="B1081" s="164">
        <v>5</v>
      </c>
      <c r="C1081" s="164">
        <v>30</v>
      </c>
      <c r="D1081" s="156">
        <f t="shared" si="108"/>
        <v>44711</v>
      </c>
      <c r="E1081" s="235">
        <f t="shared" si="113"/>
        <v>44711</v>
      </c>
      <c r="F1081" s="480"/>
      <c r="G1081" s="208" t="s">
        <v>1111</v>
      </c>
      <c r="H1081" s="206" t="str" cm="1">
        <f t="array" ref="H1081">IFERROR(INDEX(INVESTOR_LIST[INVESTOR NAME],MATCH(I1081,INVESTOR_LIST[INVESTOR CODE],0),)," ")</f>
        <v>NANDA DULAL SAHA</v>
      </c>
      <c r="I1081" s="206" t="s">
        <v>1220</v>
      </c>
      <c r="J1081" s="165" t="s">
        <v>1112</v>
      </c>
      <c r="K1081" s="205">
        <v>2770</v>
      </c>
      <c r="L1081" s="205"/>
    </row>
    <row r="1082" spans="1:14" ht="11.25" customHeight="1" x14ac:dyDescent="0.2">
      <c r="A1082" s="226">
        <v>2022</v>
      </c>
      <c r="B1082" s="226">
        <v>5</v>
      </c>
      <c r="C1082" s="226">
        <v>30</v>
      </c>
      <c r="D1082" s="232">
        <f t="shared" si="108"/>
        <v>44711</v>
      </c>
      <c r="E1082" s="234">
        <f t="shared" si="113"/>
        <v>44711</v>
      </c>
      <c r="F1082" s="479"/>
      <c r="G1082" s="227" t="s">
        <v>1111</v>
      </c>
      <c r="H1082" s="228" t="str" cm="1">
        <f t="array" ref="H1082">IFERROR(INDEX(INVESTOR_LIST[INVESTOR NAME],MATCH(I1082,INVESTOR_LIST[INVESTOR CODE],0),)," ")</f>
        <v>NANDA DULAL SAHA</v>
      </c>
      <c r="I1082" s="228" t="s">
        <v>1220</v>
      </c>
      <c r="J1082" s="229" t="s">
        <v>14</v>
      </c>
      <c r="K1082" s="230"/>
      <c r="L1082" s="230">
        <v>162770</v>
      </c>
      <c r="M1082" s="166"/>
    </row>
    <row r="1083" spans="1:14" ht="11.25" customHeight="1" x14ac:dyDescent="0.2">
      <c r="A1083" s="221">
        <v>2022</v>
      </c>
      <c r="B1083" s="221">
        <v>5</v>
      </c>
      <c r="C1083" s="221">
        <v>30</v>
      </c>
      <c r="D1083" s="231">
        <f t="shared" si="108"/>
        <v>44711</v>
      </c>
      <c r="E1083" s="233">
        <f t="shared" si="113"/>
        <v>44711</v>
      </c>
      <c r="F1083" s="478" t="s">
        <v>1114</v>
      </c>
      <c r="G1083" s="222" t="s">
        <v>1111</v>
      </c>
      <c r="H1083" s="223" t="str" cm="1">
        <f t="array" ref="H1083">IFERROR(INDEX(INVESTOR_LIST[INVESTOR NAME],MATCH(I1083,INVESTOR_LIST[INVESTOR CODE],0),)," ")</f>
        <v xml:space="preserve"> </v>
      </c>
      <c r="I1083" s="223"/>
      <c r="J1083" s="224" t="s">
        <v>63</v>
      </c>
      <c r="K1083" s="225">
        <v>10</v>
      </c>
      <c r="L1083" s="225"/>
    </row>
    <row r="1084" spans="1:14" ht="11.25" customHeight="1" x14ac:dyDescent="0.2">
      <c r="A1084" s="226">
        <v>2022</v>
      </c>
      <c r="B1084" s="226">
        <v>5</v>
      </c>
      <c r="C1084" s="226">
        <v>30</v>
      </c>
      <c r="D1084" s="232">
        <f t="shared" si="108"/>
        <v>44711</v>
      </c>
      <c r="E1084" s="234">
        <f t="shared" si="113"/>
        <v>44711</v>
      </c>
      <c r="F1084" s="479"/>
      <c r="G1084" s="227" t="s">
        <v>1111</v>
      </c>
      <c r="H1084" s="228" t="str" cm="1">
        <f t="array" ref="H1084">IFERROR(INDEX(INVESTOR_LIST[INVESTOR NAME],MATCH(I1084,INVESTOR_LIST[INVESTOR CODE],0),)," ")</f>
        <v xml:space="preserve"> </v>
      </c>
      <c r="I1084" s="228"/>
      <c r="J1084" s="229" t="s">
        <v>55</v>
      </c>
      <c r="K1084" s="230"/>
      <c r="L1084" s="230">
        <v>10</v>
      </c>
    </row>
    <row r="1085" spans="1:14" ht="11.25" customHeight="1" x14ac:dyDescent="0.2">
      <c r="A1085" s="221">
        <v>2022</v>
      </c>
      <c r="B1085" s="221">
        <v>5</v>
      </c>
      <c r="C1085" s="221">
        <v>31</v>
      </c>
      <c r="D1085" s="231">
        <f t="shared" si="108"/>
        <v>44712</v>
      </c>
      <c r="E1085" s="233">
        <f>DATE(A1085,B1085,C1085)</f>
        <v>44712</v>
      </c>
      <c r="F1085" s="478" t="s">
        <v>1164</v>
      </c>
      <c r="G1085" s="222" t="s">
        <v>1111</v>
      </c>
      <c r="H1085" s="223" t="str" cm="1">
        <f t="array" ref="H1085">IFERROR(INDEX(INVESTOR_LIST[INVESTOR NAME],MATCH(I1085,INVESTOR_LIST[INVESTOR CODE],0),)," ")</f>
        <v xml:space="preserve"> </v>
      </c>
      <c r="I1085" s="223"/>
      <c r="J1085" s="224" t="s">
        <v>55</v>
      </c>
      <c r="K1085" s="225">
        <v>1621556.14</v>
      </c>
      <c r="L1085" s="225"/>
    </row>
    <row r="1086" spans="1:14" ht="11.25" customHeight="1" x14ac:dyDescent="0.2">
      <c r="A1086" s="226">
        <v>2022</v>
      </c>
      <c r="B1086" s="226">
        <v>5</v>
      </c>
      <c r="C1086" s="226">
        <v>31</v>
      </c>
      <c r="D1086" s="232">
        <f t="shared" si="108"/>
        <v>44712</v>
      </c>
      <c r="E1086" s="234">
        <f>DATE(A1086,B1086,C1086)</f>
        <v>44712</v>
      </c>
      <c r="F1086" s="479"/>
      <c r="G1086" s="227" t="s">
        <v>1111</v>
      </c>
      <c r="H1086" s="228" t="str" cm="1">
        <f t="array" ref="H1086">IFERROR(INDEX(INVESTOR_LIST[INVESTOR NAME],MATCH(I1086,INVESTOR_LIST[INVESTOR CODE],0),)," ")</f>
        <v xml:space="preserve"> </v>
      </c>
      <c r="I1086" s="228"/>
      <c r="J1086" s="229" t="s">
        <v>199</v>
      </c>
      <c r="K1086" s="230"/>
      <c r="L1086" s="230">
        <v>1621556.14</v>
      </c>
    </row>
    <row r="1087" spans="1:14" ht="11.25" customHeight="1" x14ac:dyDescent="0.2">
      <c r="A1087" s="221">
        <v>2022</v>
      </c>
      <c r="B1087" s="221">
        <v>6</v>
      </c>
      <c r="C1087" s="221">
        <v>1</v>
      </c>
      <c r="D1087" s="231">
        <f t="shared" si="108"/>
        <v>44713</v>
      </c>
      <c r="E1087" s="233">
        <f>DATE(A1087,B1087,C1087)</f>
        <v>44713</v>
      </c>
      <c r="F1087" s="478" t="s">
        <v>1208</v>
      </c>
      <c r="G1087" s="222" t="s">
        <v>1111</v>
      </c>
      <c r="H1087" s="223" t="str" cm="1">
        <f t="array" ref="H1087">IFERROR(INDEX(INVESTOR_LIST[INVESTOR NAME],MATCH(I1087,INVESTOR_LIST[INVESTOR CODE],0),)," ")</f>
        <v xml:space="preserve"> </v>
      </c>
      <c r="I1087" s="223"/>
      <c r="J1087" s="224" t="s">
        <v>961</v>
      </c>
      <c r="K1087" s="225">
        <v>1772945.87</v>
      </c>
      <c r="L1087" s="225"/>
      <c r="M1087" s="166"/>
      <c r="N1087" s="166"/>
    </row>
    <row r="1088" spans="1:14" ht="11.25" customHeight="1" x14ac:dyDescent="0.2">
      <c r="A1088" s="226">
        <v>2022</v>
      </c>
      <c r="B1088" s="226">
        <v>6</v>
      </c>
      <c r="C1088" s="226">
        <v>1</v>
      </c>
      <c r="D1088" s="232">
        <f t="shared" si="108"/>
        <v>44713</v>
      </c>
      <c r="E1088" s="234">
        <f>DATE(A1088,B1088,C1088)</f>
        <v>44713</v>
      </c>
      <c r="F1088" s="479"/>
      <c r="G1088" s="227" t="s">
        <v>1111</v>
      </c>
      <c r="H1088" s="228" t="str" cm="1">
        <f t="array" ref="H1088">IFERROR(INDEX(INVESTOR_LIST[INVESTOR NAME],MATCH(I1088,INVESTOR_LIST[INVESTOR CODE],0),)," ")</f>
        <v xml:space="preserve"> </v>
      </c>
      <c r="I1088" s="228"/>
      <c r="J1088" s="229" t="s">
        <v>55</v>
      </c>
      <c r="K1088" s="230"/>
      <c r="L1088" s="230">
        <v>1772945.87</v>
      </c>
    </row>
    <row r="1089" spans="1:13" ht="11.25" customHeight="1" x14ac:dyDescent="0.2">
      <c r="A1089" s="221">
        <v>2022</v>
      </c>
      <c r="B1089" s="221">
        <v>6</v>
      </c>
      <c r="C1089" s="221">
        <v>1</v>
      </c>
      <c r="D1089" s="231">
        <f t="shared" si="108"/>
        <v>44713</v>
      </c>
      <c r="E1089" s="233">
        <f t="shared" si="113"/>
        <v>44713</v>
      </c>
      <c r="F1089" s="478" t="s">
        <v>1115</v>
      </c>
      <c r="G1089" s="222" t="s">
        <v>1111</v>
      </c>
      <c r="H1089" s="223" t="str" cm="1">
        <f t="array" ref="H1089">IFERROR(INDEX(INVESTOR_LIST[INVESTOR NAME],MATCH(I1089,INVESTOR_LIST[INVESTOR CODE],0),)," ")</f>
        <v>MD MIZANUR RAHMAN</v>
      </c>
      <c r="I1089" s="223" t="s">
        <v>431</v>
      </c>
      <c r="J1089" s="224" t="s">
        <v>14</v>
      </c>
      <c r="K1089" s="225">
        <v>127160</v>
      </c>
      <c r="L1089" s="225"/>
    </row>
    <row r="1090" spans="1:13" ht="11.25" customHeight="1" x14ac:dyDescent="0.2">
      <c r="A1090" s="164">
        <v>2022</v>
      </c>
      <c r="B1090" s="164">
        <v>6</v>
      </c>
      <c r="C1090" s="164">
        <v>1</v>
      </c>
      <c r="D1090" s="156">
        <f t="shared" si="108"/>
        <v>44713</v>
      </c>
      <c r="E1090" s="235">
        <f t="shared" si="113"/>
        <v>44713</v>
      </c>
      <c r="F1090" s="480"/>
      <c r="G1090" s="208" t="s">
        <v>1111</v>
      </c>
      <c r="H1090" s="206" t="str" cm="1">
        <f t="array" ref="H1090">IFERROR(INDEX(INVESTOR_LIST[INVESTOR NAME],MATCH(I1090,INVESTOR_LIST[INVESTOR CODE],0),)," ")</f>
        <v>MD MIZANUR RAHMAN</v>
      </c>
      <c r="I1090" s="206" t="s">
        <v>431</v>
      </c>
      <c r="J1090" s="165" t="s">
        <v>1112</v>
      </c>
      <c r="K1090" s="205"/>
      <c r="L1090" s="205">
        <v>2160</v>
      </c>
      <c r="M1090" s="166"/>
    </row>
    <row r="1091" spans="1:13" ht="11.25" customHeight="1" x14ac:dyDescent="0.2">
      <c r="A1091" s="226">
        <v>2022</v>
      </c>
      <c r="B1091" s="226">
        <v>6</v>
      </c>
      <c r="C1091" s="226">
        <v>1</v>
      </c>
      <c r="D1091" s="232">
        <f t="shared" si="108"/>
        <v>44713</v>
      </c>
      <c r="E1091" s="234">
        <f t="shared" si="113"/>
        <v>44713</v>
      </c>
      <c r="F1091" s="479"/>
      <c r="G1091" s="227" t="s">
        <v>1111</v>
      </c>
      <c r="H1091" s="228" t="str" cm="1">
        <f t="array" ref="H1091">IFERROR(INDEX(INVESTOR_LIST[INVESTOR NAME],MATCH(I1091,INVESTOR_LIST[INVESTOR CODE],0),)," ")</f>
        <v>MD MIZANUR RAHMAN</v>
      </c>
      <c r="I1091" s="228" t="s">
        <v>431</v>
      </c>
      <c r="J1091" s="229" t="s">
        <v>55</v>
      </c>
      <c r="K1091" s="230"/>
      <c r="L1091" s="230">
        <v>125000</v>
      </c>
    </row>
    <row r="1092" spans="1:13" ht="11.25" customHeight="1" x14ac:dyDescent="0.2">
      <c r="A1092" s="221">
        <v>2022</v>
      </c>
      <c r="B1092" s="221">
        <v>6</v>
      </c>
      <c r="C1092" s="221">
        <v>1</v>
      </c>
      <c r="D1092" s="231">
        <f t="shared" si="108"/>
        <v>44713</v>
      </c>
      <c r="E1092" s="233">
        <f t="shared" si="113"/>
        <v>44713</v>
      </c>
      <c r="F1092" s="478" t="s">
        <v>802</v>
      </c>
      <c r="G1092" s="222" t="s">
        <v>1111</v>
      </c>
      <c r="H1092" s="223" t="str" cm="1">
        <f t="array" ref="H1092">IFERROR(INDEX(INVESTOR_LIST[INVESTOR NAME],MATCH(I1092,INVESTOR_LIST[INVESTOR CODE],0),)," ")</f>
        <v>MAZED AHMED ABDULLAH</v>
      </c>
      <c r="I1092" s="223" t="s">
        <v>1224</v>
      </c>
      <c r="J1092" s="224" t="s">
        <v>55</v>
      </c>
      <c r="K1092" s="225">
        <v>100000</v>
      </c>
      <c r="L1092" s="225"/>
    </row>
    <row r="1093" spans="1:13" ht="11.25" customHeight="1" x14ac:dyDescent="0.2">
      <c r="A1093" s="164">
        <v>2022</v>
      </c>
      <c r="B1093" s="164">
        <v>6</v>
      </c>
      <c r="C1093" s="164">
        <v>1</v>
      </c>
      <c r="D1093" s="156">
        <f t="shared" si="108"/>
        <v>44713</v>
      </c>
      <c r="E1093" s="235">
        <f t="shared" si="113"/>
        <v>44713</v>
      </c>
      <c r="F1093" s="480"/>
      <c r="G1093" s="208" t="s">
        <v>1111</v>
      </c>
      <c r="H1093" s="206" t="str" cm="1">
        <f t="array" ref="H1093">IFERROR(INDEX(INVESTOR_LIST[INVESTOR NAME],MATCH(I1093,INVESTOR_LIST[INVESTOR CODE],0),)," ")</f>
        <v>MAZED AHMED ABDULLAH</v>
      </c>
      <c r="I1093" s="206" t="s">
        <v>1224</v>
      </c>
      <c r="J1093" s="165" t="s">
        <v>1112</v>
      </c>
      <c r="K1093" s="205">
        <v>1730</v>
      </c>
      <c r="L1093" s="205"/>
    </row>
    <row r="1094" spans="1:13" ht="11.25" customHeight="1" x14ac:dyDescent="0.2">
      <c r="A1094" s="226">
        <v>2022</v>
      </c>
      <c r="B1094" s="226">
        <v>6</v>
      </c>
      <c r="C1094" s="226">
        <v>1</v>
      </c>
      <c r="D1094" s="232">
        <f t="shared" si="108"/>
        <v>44713</v>
      </c>
      <c r="E1094" s="234">
        <f t="shared" si="113"/>
        <v>44713</v>
      </c>
      <c r="F1094" s="479"/>
      <c r="G1094" s="227" t="s">
        <v>1111</v>
      </c>
      <c r="H1094" s="228" t="str" cm="1">
        <f t="array" ref="H1094">IFERROR(INDEX(INVESTOR_LIST[INVESTOR NAME],MATCH(I1094,INVESTOR_LIST[INVESTOR CODE],0),)," ")</f>
        <v>MAZED AHMED ABDULLAH</v>
      </c>
      <c r="I1094" s="228" t="s">
        <v>1224</v>
      </c>
      <c r="J1094" s="229" t="s">
        <v>14</v>
      </c>
      <c r="K1094" s="230"/>
      <c r="L1094" s="230">
        <v>101730</v>
      </c>
    </row>
    <row r="1095" spans="1:13" ht="11.25" customHeight="1" x14ac:dyDescent="0.2">
      <c r="A1095" s="221">
        <v>2022</v>
      </c>
      <c r="B1095" s="221">
        <v>6</v>
      </c>
      <c r="C1095" s="221">
        <v>2</v>
      </c>
      <c r="D1095" s="231">
        <f t="shared" si="108"/>
        <v>44714</v>
      </c>
      <c r="E1095" s="233">
        <f t="shared" ref="E1095:E1099" si="114">DATE(A1095,B1095,C1095)</f>
        <v>44714</v>
      </c>
      <c r="F1095" s="478" t="s">
        <v>802</v>
      </c>
      <c r="G1095" s="222" t="s">
        <v>1111</v>
      </c>
      <c r="H1095" s="223" t="str" cm="1">
        <f t="array" ref="H1095">IFERROR(INDEX(INVESTOR_LIST[INVESTOR NAME],MATCH(I1095,INVESTOR_LIST[INVESTOR CODE],0),)," ")</f>
        <v>MD. SOHEL ANWAR</v>
      </c>
      <c r="I1095" s="223" t="s">
        <v>1222</v>
      </c>
      <c r="J1095" s="224" t="s">
        <v>55</v>
      </c>
      <c r="K1095" s="225">
        <v>500000</v>
      </c>
      <c r="L1095" s="225"/>
    </row>
    <row r="1096" spans="1:13" ht="11.25" customHeight="1" x14ac:dyDescent="0.2">
      <c r="A1096" s="164">
        <v>2022</v>
      </c>
      <c r="B1096" s="164">
        <v>6</v>
      </c>
      <c r="C1096" s="164">
        <v>2</v>
      </c>
      <c r="D1096" s="156">
        <f t="shared" si="108"/>
        <v>44714</v>
      </c>
      <c r="E1096" s="235">
        <f t="shared" si="114"/>
        <v>44714</v>
      </c>
      <c r="F1096" s="480"/>
      <c r="G1096" s="208" t="s">
        <v>1111</v>
      </c>
      <c r="H1096" s="206" t="str" cm="1">
        <f t="array" ref="H1096">IFERROR(INDEX(INVESTOR_LIST[INVESTOR NAME],MATCH(I1096,INVESTOR_LIST[INVESTOR CODE],0),)," ")</f>
        <v>MD. SOHEL ANWAR</v>
      </c>
      <c r="I1096" s="206" t="s">
        <v>1222</v>
      </c>
      <c r="J1096" s="165" t="s">
        <v>1112</v>
      </c>
      <c r="K1096" s="205">
        <v>8650</v>
      </c>
      <c r="L1096" s="205"/>
    </row>
    <row r="1097" spans="1:13" ht="11.25" customHeight="1" x14ac:dyDescent="0.2">
      <c r="A1097" s="226">
        <v>2022</v>
      </c>
      <c r="B1097" s="226">
        <v>6</v>
      </c>
      <c r="C1097" s="226">
        <v>2</v>
      </c>
      <c r="D1097" s="232">
        <f t="shared" ref="D1097:D1160" si="115">DATE(A1097,B1097,C1097)</f>
        <v>44714</v>
      </c>
      <c r="E1097" s="234">
        <f t="shared" si="114"/>
        <v>44714</v>
      </c>
      <c r="F1097" s="479"/>
      <c r="G1097" s="227" t="s">
        <v>1111</v>
      </c>
      <c r="H1097" s="228" t="str" cm="1">
        <f t="array" ref="H1097">IFERROR(INDEX(INVESTOR_LIST[INVESTOR NAME],MATCH(I1097,INVESTOR_LIST[INVESTOR CODE],0),)," ")</f>
        <v>MD. SOHEL ANWAR</v>
      </c>
      <c r="I1097" s="228" t="s">
        <v>1222</v>
      </c>
      <c r="J1097" s="229" t="s">
        <v>14</v>
      </c>
      <c r="K1097" s="230"/>
      <c r="L1097" s="230">
        <v>508650</v>
      </c>
    </row>
    <row r="1098" spans="1:13" ht="11.25" customHeight="1" x14ac:dyDescent="0.2">
      <c r="A1098" s="221">
        <v>2022</v>
      </c>
      <c r="B1098" s="221">
        <v>6</v>
      </c>
      <c r="C1098" s="221">
        <v>2</v>
      </c>
      <c r="D1098" s="231">
        <f t="shared" si="115"/>
        <v>44714</v>
      </c>
      <c r="E1098" s="233">
        <f t="shared" si="114"/>
        <v>44714</v>
      </c>
      <c r="F1098" s="478" t="s">
        <v>1114</v>
      </c>
      <c r="G1098" s="222" t="s">
        <v>1111</v>
      </c>
      <c r="H1098" s="223" t="str" cm="1">
        <f t="array" ref="H1098">IFERROR(INDEX(INVESTOR_LIST[INVESTOR NAME],MATCH(I1098,INVESTOR_LIST[INVESTOR CODE],0),)," ")</f>
        <v xml:space="preserve"> </v>
      </c>
      <c r="I1098" s="223"/>
      <c r="J1098" s="224" t="s">
        <v>63</v>
      </c>
      <c r="K1098" s="225">
        <v>60</v>
      </c>
      <c r="L1098" s="225"/>
    </row>
    <row r="1099" spans="1:13" ht="11.25" customHeight="1" x14ac:dyDescent="0.2">
      <c r="A1099" s="226">
        <v>2022</v>
      </c>
      <c r="B1099" s="226">
        <v>6</v>
      </c>
      <c r="C1099" s="226">
        <v>2</v>
      </c>
      <c r="D1099" s="232">
        <f t="shared" si="115"/>
        <v>44714</v>
      </c>
      <c r="E1099" s="234">
        <f t="shared" si="114"/>
        <v>44714</v>
      </c>
      <c r="F1099" s="479"/>
      <c r="G1099" s="227" t="s">
        <v>1111</v>
      </c>
      <c r="H1099" s="228" t="str" cm="1">
        <f t="array" ref="H1099">IFERROR(INDEX(INVESTOR_LIST[INVESTOR NAME],MATCH(I1099,INVESTOR_LIST[INVESTOR CODE],0),)," ")</f>
        <v xml:space="preserve"> </v>
      </c>
      <c r="I1099" s="228"/>
      <c r="J1099" s="229" t="s">
        <v>55</v>
      </c>
      <c r="K1099" s="230"/>
      <c r="L1099" s="230">
        <v>60</v>
      </c>
    </row>
    <row r="1100" spans="1:13" ht="11.25" customHeight="1" x14ac:dyDescent="0.2">
      <c r="A1100" s="221">
        <v>2022</v>
      </c>
      <c r="B1100" s="221">
        <v>6</v>
      </c>
      <c r="C1100" s="221">
        <v>2</v>
      </c>
      <c r="D1100" s="231">
        <f t="shared" si="115"/>
        <v>44714</v>
      </c>
      <c r="E1100" s="233">
        <f>DATE(A1100,B1100,C1100)</f>
        <v>44714</v>
      </c>
      <c r="F1100" s="478" t="s">
        <v>1177</v>
      </c>
      <c r="G1100" s="222" t="s">
        <v>86</v>
      </c>
      <c r="H1100" s="223" t="str" cm="1">
        <f t="array" ref="H1100">IFERROR(INDEX(INVESTOR_LIST[INVESTOR NAME],MATCH(I1100,INVESTOR_LIST[INVESTOR CODE],0),)," ")</f>
        <v xml:space="preserve"> </v>
      </c>
      <c r="I1100" s="223"/>
      <c r="J1100" s="224" t="s">
        <v>131</v>
      </c>
      <c r="K1100" s="225">
        <v>158374.99999999977</v>
      </c>
      <c r="L1100" s="225"/>
      <c r="M1100" s="263">
        <v>2036875</v>
      </c>
    </row>
    <row r="1101" spans="1:13" ht="11.25" customHeight="1" x14ac:dyDescent="0.2">
      <c r="A1101" s="226">
        <v>2022</v>
      </c>
      <c r="B1101" s="226">
        <v>6</v>
      </c>
      <c r="C1101" s="226">
        <v>2</v>
      </c>
      <c r="D1101" s="232">
        <f t="shared" si="115"/>
        <v>44714</v>
      </c>
      <c r="E1101" s="234">
        <f>DATE(A1101,B1101,C1101)</f>
        <v>44714</v>
      </c>
      <c r="F1101" s="479"/>
      <c r="G1101" s="227" t="s">
        <v>86</v>
      </c>
      <c r="H1101" s="228" t="str" cm="1">
        <f t="array" ref="H1101">IFERROR(INDEX(INVESTOR_LIST[INVESTOR NAME],MATCH(I1101,INVESTOR_LIST[INVESTOR CODE],0),)," ")</f>
        <v xml:space="preserve"> </v>
      </c>
      <c r="I1101" s="228"/>
      <c r="J1101" s="229" t="s">
        <v>174</v>
      </c>
      <c r="K1101" s="230"/>
      <c r="L1101" s="230">
        <v>158374.99999999977</v>
      </c>
    </row>
    <row r="1102" spans="1:13" ht="11.25" customHeight="1" x14ac:dyDescent="0.2">
      <c r="A1102" s="221">
        <v>2022</v>
      </c>
      <c r="B1102" s="221">
        <v>6</v>
      </c>
      <c r="C1102" s="221">
        <v>2</v>
      </c>
      <c r="D1102" s="231">
        <f t="shared" si="115"/>
        <v>44714</v>
      </c>
      <c r="E1102" s="233">
        <f>DATE(A1102,B1102,C1102)</f>
        <v>44714</v>
      </c>
      <c r="F1102" s="478" t="s">
        <v>1253</v>
      </c>
      <c r="G1102" s="222" t="s">
        <v>1111</v>
      </c>
      <c r="H1102" s="223" t="str" cm="1">
        <f t="array" ref="H1102">IFERROR(INDEX(INVESTOR_LIST[INVESTOR NAME],MATCH(I1102,INVESTOR_LIST[INVESTOR CODE],0),)," ")</f>
        <v xml:space="preserve"> </v>
      </c>
      <c r="I1102" s="223"/>
      <c r="J1102" s="224" t="s">
        <v>88</v>
      </c>
      <c r="K1102" s="225">
        <v>76157812.5</v>
      </c>
      <c r="L1102" s="225"/>
      <c r="M1102" s="166"/>
    </row>
    <row r="1103" spans="1:13" ht="11.25" customHeight="1" x14ac:dyDescent="0.2">
      <c r="A1103" s="164">
        <v>2022</v>
      </c>
      <c r="B1103" s="164">
        <v>6</v>
      </c>
      <c r="C1103" s="164">
        <v>2</v>
      </c>
      <c r="D1103" s="156">
        <f t="shared" si="115"/>
        <v>44714</v>
      </c>
      <c r="E1103" s="235">
        <f t="shared" ref="E1103:E1104" si="116">DATE(A1103,B1103,C1103)</f>
        <v>44714</v>
      </c>
      <c r="F1103" s="480"/>
      <c r="G1103" s="208" t="s">
        <v>1111</v>
      </c>
      <c r="J1103" s="165" t="s">
        <v>63</v>
      </c>
      <c r="K1103" s="205">
        <v>60937.5</v>
      </c>
      <c r="L1103" s="205"/>
    </row>
    <row r="1104" spans="1:13" ht="11.25" customHeight="1" x14ac:dyDescent="0.2">
      <c r="A1104" s="164">
        <v>2022</v>
      </c>
      <c r="B1104" s="164">
        <v>6</v>
      </c>
      <c r="C1104" s="164">
        <v>2</v>
      </c>
      <c r="D1104" s="156">
        <f t="shared" si="115"/>
        <v>44714</v>
      </c>
      <c r="E1104" s="235">
        <f t="shared" si="116"/>
        <v>44714</v>
      </c>
      <c r="F1104" s="480"/>
      <c r="G1104" s="208" t="s">
        <v>1111</v>
      </c>
      <c r="J1104" s="165" t="s">
        <v>131</v>
      </c>
      <c r="K1104" s="205"/>
      <c r="L1104" s="205">
        <v>1218750</v>
      </c>
      <c r="M1104" s="263">
        <f>M1060-M1100</f>
        <v>-625</v>
      </c>
    </row>
    <row r="1105" spans="1:13" ht="11.25" customHeight="1" x14ac:dyDescent="0.2">
      <c r="A1105" s="226">
        <v>2022</v>
      </c>
      <c r="B1105" s="226">
        <v>6</v>
      </c>
      <c r="C1105" s="226">
        <v>2</v>
      </c>
      <c r="D1105" s="232">
        <f t="shared" si="115"/>
        <v>44714</v>
      </c>
      <c r="E1105" s="234">
        <f>DATE(A1105,B1105,C1105)</f>
        <v>44714</v>
      </c>
      <c r="F1105" s="479"/>
      <c r="G1105" s="227" t="s">
        <v>1111</v>
      </c>
      <c r="H1105" s="228" t="str" cm="1">
        <f t="array" ref="H1105">IFERROR(INDEX(INVESTOR_LIST[INVESTOR NAME],MATCH(I1105,INVESTOR_LIST[INVESTOR CODE],0),)," ")</f>
        <v xml:space="preserve"> </v>
      </c>
      <c r="I1105" s="228"/>
      <c r="J1105" s="229" t="s">
        <v>88</v>
      </c>
      <c r="K1105" s="230"/>
      <c r="L1105" s="230">
        <v>75000000</v>
      </c>
    </row>
    <row r="1106" spans="1:13" ht="11.25" customHeight="1" x14ac:dyDescent="0.2">
      <c r="A1106" s="236">
        <v>2022</v>
      </c>
      <c r="B1106" s="236">
        <v>6</v>
      </c>
      <c r="C1106" s="236">
        <v>2</v>
      </c>
      <c r="D1106" s="237">
        <f t="shared" si="115"/>
        <v>44714</v>
      </c>
      <c r="E1106" s="238">
        <f t="shared" ref="E1106:E1126" si="117">DATE(A1106,B1106,C1106)</f>
        <v>44714</v>
      </c>
      <c r="F1106" s="476" t="s">
        <v>1118</v>
      </c>
      <c r="G1106" s="239" t="s">
        <v>86</v>
      </c>
      <c r="H1106" s="239" t="str" cm="1">
        <f t="array" ref="H1106">IFERROR(INDEX(INVESTOR_LIST[INVESTOR NAME],MATCH(I1106,INVESTOR_LIST[INVESTOR CODE],0),)," ")</f>
        <v xml:space="preserve"> </v>
      </c>
      <c r="I1106" s="240"/>
      <c r="J1106" s="241" t="s">
        <v>98</v>
      </c>
      <c r="K1106" s="242">
        <v>1335351.1100000152</v>
      </c>
      <c r="L1106" s="242"/>
    </row>
    <row r="1107" spans="1:13" ht="11.25" customHeight="1" x14ac:dyDescent="0.2">
      <c r="A1107" s="243">
        <v>2022</v>
      </c>
      <c r="B1107" s="243">
        <v>6</v>
      </c>
      <c r="C1107" s="243">
        <v>2</v>
      </c>
      <c r="D1107" s="248">
        <f t="shared" si="115"/>
        <v>44714</v>
      </c>
      <c r="E1107" s="249">
        <f t="shared" si="117"/>
        <v>44714</v>
      </c>
      <c r="F1107" s="477"/>
      <c r="G1107" s="244" t="s">
        <v>86</v>
      </c>
      <c r="H1107" s="244" t="str" cm="1">
        <f t="array" ref="H1107">IFERROR(INDEX(INVESTOR_LIST[INVESTOR NAME],MATCH(I1107,INVESTOR_LIST[INVESTOR CODE],0),)," ")</f>
        <v xml:space="preserve"> </v>
      </c>
      <c r="I1107" s="245"/>
      <c r="J1107" s="246" t="s">
        <v>82</v>
      </c>
      <c r="K1107" s="247"/>
      <c r="L1107" s="247">
        <v>1335351.1100000152</v>
      </c>
    </row>
    <row r="1108" spans="1:13" ht="11.25" customHeight="1" x14ac:dyDescent="0.2">
      <c r="A1108" s="236">
        <v>2022</v>
      </c>
      <c r="B1108" s="236">
        <v>6</v>
      </c>
      <c r="C1108" s="236">
        <v>2</v>
      </c>
      <c r="D1108" s="237">
        <f t="shared" si="115"/>
        <v>44714</v>
      </c>
      <c r="E1108" s="238">
        <f t="shared" si="117"/>
        <v>44714</v>
      </c>
      <c r="F1108" s="476" t="s">
        <v>1120</v>
      </c>
      <c r="G1108" s="239" t="s">
        <v>86</v>
      </c>
      <c r="H1108" s="239" t="str" cm="1">
        <f t="array" ref="H1108">IFERROR(INDEX(INVESTOR_LIST[INVESTOR NAME],MATCH(I1108,INVESTOR_LIST[INVESTOR CODE],0),)," ")</f>
        <v xml:space="preserve"> </v>
      </c>
      <c r="I1108" s="240"/>
      <c r="J1108" s="241" t="s">
        <v>87</v>
      </c>
      <c r="K1108" s="242">
        <v>2747.2527472527472</v>
      </c>
      <c r="L1108" s="242"/>
    </row>
    <row r="1109" spans="1:13" ht="11.25" customHeight="1" x14ac:dyDescent="0.2">
      <c r="A1109" s="243">
        <v>2022</v>
      </c>
      <c r="B1109" s="243">
        <v>6</v>
      </c>
      <c r="C1109" s="243">
        <v>2</v>
      </c>
      <c r="D1109" s="248">
        <f t="shared" si="115"/>
        <v>44714</v>
      </c>
      <c r="E1109" s="249">
        <f t="shared" si="117"/>
        <v>44714</v>
      </c>
      <c r="F1109" s="477"/>
      <c r="G1109" s="244" t="s">
        <v>86</v>
      </c>
      <c r="H1109" s="244" t="str" cm="1">
        <f t="array" ref="H1109">IFERROR(INDEX(INVESTOR_LIST[INVESTOR NAME],MATCH(I1109,INVESTOR_LIST[INVESTOR CODE],0),)," ")</f>
        <v xml:space="preserve"> </v>
      </c>
      <c r="I1109" s="245"/>
      <c r="J1109" s="246" t="s">
        <v>64</v>
      </c>
      <c r="K1109" s="247"/>
      <c r="L1109" s="247">
        <v>2747.2527472527472</v>
      </c>
    </row>
    <row r="1110" spans="1:13" ht="11.25" customHeight="1" x14ac:dyDescent="0.2">
      <c r="A1110" s="236">
        <v>2022</v>
      </c>
      <c r="B1110" s="236">
        <v>6</v>
      </c>
      <c r="C1110" s="236">
        <v>2</v>
      </c>
      <c r="D1110" s="237">
        <f t="shared" si="115"/>
        <v>44714</v>
      </c>
      <c r="E1110" s="238">
        <f t="shared" si="117"/>
        <v>44714</v>
      </c>
      <c r="F1110" s="476" t="s">
        <v>1121</v>
      </c>
      <c r="G1110" s="239" t="s">
        <v>86</v>
      </c>
      <c r="H1110" s="239" t="str" cm="1">
        <f t="array" ref="H1110">IFERROR(INDEX(INVESTOR_LIST[INVESTOR NAME],MATCH(I1110,INVESTOR_LIST[INVESTOR CODE],0),)," ")</f>
        <v xml:space="preserve"> </v>
      </c>
      <c r="I1110" s="240"/>
      <c r="J1110" s="241" t="s">
        <v>89</v>
      </c>
      <c r="K1110" s="242">
        <v>102274.85573372837</v>
      </c>
      <c r="L1110" s="242"/>
    </row>
    <row r="1111" spans="1:13" ht="11.25" customHeight="1" x14ac:dyDescent="0.2">
      <c r="A1111" s="243">
        <v>2022</v>
      </c>
      <c r="B1111" s="243">
        <v>6</v>
      </c>
      <c r="C1111" s="243">
        <v>2</v>
      </c>
      <c r="D1111" s="248">
        <f t="shared" si="115"/>
        <v>44714</v>
      </c>
      <c r="E1111" s="249">
        <f t="shared" si="117"/>
        <v>44714</v>
      </c>
      <c r="F1111" s="477"/>
      <c r="G1111" s="244" t="s">
        <v>86</v>
      </c>
      <c r="H1111" s="244" t="str" cm="1">
        <f t="array" ref="H1111">IFERROR(INDEX(INVESTOR_LIST[INVESTOR NAME],MATCH(I1111,INVESTOR_LIST[INVESTOR CODE],0),)," ")</f>
        <v xml:space="preserve"> </v>
      </c>
      <c r="I1111" s="245"/>
      <c r="J1111" s="246" t="s">
        <v>50</v>
      </c>
      <c r="K1111" s="247"/>
      <c r="L1111" s="247">
        <v>102274.85573372837</v>
      </c>
    </row>
    <row r="1112" spans="1:13" ht="11.25" customHeight="1" x14ac:dyDescent="0.2">
      <c r="A1112" s="236">
        <v>2022</v>
      </c>
      <c r="B1112" s="236">
        <v>6</v>
      </c>
      <c r="C1112" s="236">
        <v>2</v>
      </c>
      <c r="D1112" s="237">
        <f t="shared" si="115"/>
        <v>44714</v>
      </c>
      <c r="E1112" s="238">
        <f t="shared" si="117"/>
        <v>44714</v>
      </c>
      <c r="F1112" s="476" t="s">
        <v>1122</v>
      </c>
      <c r="G1112" s="239" t="s">
        <v>86</v>
      </c>
      <c r="H1112" s="239" t="str" cm="1">
        <f t="array" ref="H1112">IFERROR(INDEX(INVESTOR_LIST[INVESTOR NAME],MATCH(I1112,INVESTOR_LIST[INVESTOR CODE],0),)," ")</f>
        <v xml:space="preserve"> </v>
      </c>
      <c r="I1112" s="240"/>
      <c r="J1112" s="241" t="s">
        <v>91</v>
      </c>
      <c r="K1112" s="242">
        <v>4895.2467925049696</v>
      </c>
      <c r="L1112" s="242"/>
    </row>
    <row r="1113" spans="1:13" ht="11.25" customHeight="1" x14ac:dyDescent="0.2">
      <c r="A1113" s="243">
        <v>2022</v>
      </c>
      <c r="B1113" s="243">
        <v>6</v>
      </c>
      <c r="C1113" s="243">
        <v>2</v>
      </c>
      <c r="D1113" s="248">
        <f t="shared" si="115"/>
        <v>44714</v>
      </c>
      <c r="E1113" s="249">
        <f t="shared" si="117"/>
        <v>44714</v>
      </c>
      <c r="F1113" s="477"/>
      <c r="G1113" s="244" t="s">
        <v>86</v>
      </c>
      <c r="H1113" s="244" t="str" cm="1">
        <f t="array" ref="H1113">IFERROR(INDEX(INVESTOR_LIST[INVESTOR NAME],MATCH(I1113,INVESTOR_LIST[INVESTOR CODE],0),)," ")</f>
        <v xml:space="preserve"> </v>
      </c>
      <c r="I1113" s="245"/>
      <c r="J1113" s="246" t="s">
        <v>51</v>
      </c>
      <c r="K1113" s="247"/>
      <c r="L1113" s="247">
        <v>4895.2467925049696</v>
      </c>
    </row>
    <row r="1114" spans="1:13" ht="11.25" customHeight="1" x14ac:dyDescent="0.2">
      <c r="A1114" s="221">
        <v>2022</v>
      </c>
      <c r="B1114" s="221">
        <v>6</v>
      </c>
      <c r="C1114" s="221">
        <v>5</v>
      </c>
      <c r="D1114" s="221">
        <f t="shared" si="115"/>
        <v>44717</v>
      </c>
      <c r="E1114" s="233">
        <f t="shared" si="117"/>
        <v>44717</v>
      </c>
      <c r="F1114" s="478" t="s">
        <v>1225</v>
      </c>
      <c r="G1114" s="222" t="s">
        <v>1111</v>
      </c>
      <c r="H1114" s="222" t="str" cm="1">
        <f t="array" ref="H1114">IFERROR(INDEX(INVESTOR_LIST[INVESTOR NAME],MATCH(I1114,INVESTOR_LIST[INVESTOR CODE],0),)," ")</f>
        <v xml:space="preserve"> </v>
      </c>
      <c r="I1114" s="223"/>
      <c r="J1114" s="224" t="s">
        <v>80</v>
      </c>
      <c r="K1114" s="225">
        <v>255500</v>
      </c>
      <c r="L1114" s="225"/>
    </row>
    <row r="1115" spans="1:13" ht="11.25" customHeight="1" x14ac:dyDescent="0.2">
      <c r="A1115" s="164">
        <v>2022</v>
      </c>
      <c r="B1115" s="164">
        <v>6</v>
      </c>
      <c r="C1115" s="164">
        <v>5</v>
      </c>
      <c r="D1115" s="164">
        <f t="shared" si="115"/>
        <v>44717</v>
      </c>
      <c r="E1115" s="235">
        <f t="shared" si="117"/>
        <v>44717</v>
      </c>
      <c r="F1115" s="480"/>
      <c r="G1115" s="208" t="s">
        <v>1111</v>
      </c>
      <c r="H1115" s="208" t="str" cm="1">
        <f t="array" ref="H1115">IFERROR(INDEX(INVESTOR_LIST[INVESTOR NAME],MATCH(I1115,INVESTOR_LIST[INVESTOR CODE],0),)," ")</f>
        <v xml:space="preserve"> </v>
      </c>
      <c r="J1115" s="165" t="s">
        <v>55</v>
      </c>
      <c r="K1115" s="205">
        <v>11744500</v>
      </c>
      <c r="L1115" s="205"/>
      <c r="M1115" s="166"/>
    </row>
    <row r="1116" spans="1:13" ht="11.25" customHeight="1" x14ac:dyDescent="0.2">
      <c r="A1116" s="226">
        <v>2022</v>
      </c>
      <c r="B1116" s="226">
        <v>6</v>
      </c>
      <c r="C1116" s="226">
        <v>5</v>
      </c>
      <c r="D1116" s="226">
        <f t="shared" si="115"/>
        <v>44717</v>
      </c>
      <c r="E1116" s="234">
        <f t="shared" si="117"/>
        <v>44717</v>
      </c>
      <c r="F1116" s="479"/>
      <c r="G1116" s="227" t="s">
        <v>1111</v>
      </c>
      <c r="H1116" s="228" t="str" cm="1">
        <f t="array" ref="H1116">IFERROR(INDEX(INVESTOR_LIST[INVESTOR NAME],MATCH(I1116,INVESTOR_LIST[INVESTOR CODE],0),)," ")</f>
        <v xml:space="preserve"> </v>
      </c>
      <c r="I1116" s="228"/>
      <c r="J1116" s="229" t="s">
        <v>196</v>
      </c>
      <c r="K1116" s="230"/>
      <c r="L1116" s="230">
        <v>12000000</v>
      </c>
    </row>
    <row r="1117" spans="1:13" ht="11.25" customHeight="1" x14ac:dyDescent="0.2">
      <c r="A1117" s="221">
        <v>2022</v>
      </c>
      <c r="B1117" s="221">
        <v>6</v>
      </c>
      <c r="C1117" s="221">
        <v>5</v>
      </c>
      <c r="D1117" s="231">
        <f t="shared" si="115"/>
        <v>44717</v>
      </c>
      <c r="E1117" s="233">
        <f t="shared" si="117"/>
        <v>44717</v>
      </c>
      <c r="F1117" s="478" t="s">
        <v>1115</v>
      </c>
      <c r="G1117" s="222" t="s">
        <v>1111</v>
      </c>
      <c r="H1117" s="223" t="str" cm="1">
        <f t="array" ref="H1117">IFERROR(INDEX(INVESTOR_LIST[INVESTOR NAME],MATCH(I1117,INVESTOR_LIST[INVESTOR CODE],0),)," ")</f>
        <v>MD MIZANUR RAHMAN</v>
      </c>
      <c r="I1117" s="223" t="s">
        <v>431</v>
      </c>
      <c r="J1117" s="224" t="s">
        <v>14</v>
      </c>
      <c r="K1117" s="225">
        <v>97260</v>
      </c>
      <c r="L1117" s="225"/>
    </row>
    <row r="1118" spans="1:13" ht="11.25" customHeight="1" x14ac:dyDescent="0.2">
      <c r="A1118" s="164">
        <v>2022</v>
      </c>
      <c r="B1118" s="164">
        <v>6</v>
      </c>
      <c r="C1118" s="164">
        <v>5</v>
      </c>
      <c r="D1118" s="156">
        <f t="shared" si="115"/>
        <v>44717</v>
      </c>
      <c r="E1118" s="235">
        <f t="shared" si="117"/>
        <v>44717</v>
      </c>
      <c r="F1118" s="480"/>
      <c r="G1118" s="208" t="s">
        <v>1111</v>
      </c>
      <c r="H1118" s="206" t="str" cm="1">
        <f t="array" ref="H1118">IFERROR(INDEX(INVESTOR_LIST[INVESTOR NAME],MATCH(I1118,INVESTOR_LIST[INVESTOR CODE],0),)," ")</f>
        <v>MD MIZANUR RAHMAN</v>
      </c>
      <c r="I1118" s="206" t="s">
        <v>431</v>
      </c>
      <c r="J1118" s="165" t="s">
        <v>1112</v>
      </c>
      <c r="K1118" s="205"/>
      <c r="L1118" s="205">
        <v>1260</v>
      </c>
    </row>
    <row r="1119" spans="1:13" ht="11.25" customHeight="1" x14ac:dyDescent="0.2">
      <c r="A1119" s="226">
        <v>2022</v>
      </c>
      <c r="B1119" s="226">
        <v>6</v>
      </c>
      <c r="C1119" s="226">
        <v>5</v>
      </c>
      <c r="D1119" s="232">
        <f t="shared" si="115"/>
        <v>44717</v>
      </c>
      <c r="E1119" s="234">
        <f t="shared" si="117"/>
        <v>44717</v>
      </c>
      <c r="F1119" s="479"/>
      <c r="G1119" s="227" t="s">
        <v>1111</v>
      </c>
      <c r="H1119" s="228" t="str" cm="1">
        <f t="array" ref="H1119">IFERROR(INDEX(INVESTOR_LIST[INVESTOR NAME],MATCH(I1119,INVESTOR_LIST[INVESTOR CODE],0),)," ")</f>
        <v>MD MIZANUR RAHMAN</v>
      </c>
      <c r="I1119" s="228" t="s">
        <v>431</v>
      </c>
      <c r="J1119" s="229" t="s">
        <v>55</v>
      </c>
      <c r="K1119" s="230"/>
      <c r="L1119" s="230">
        <v>96000</v>
      </c>
    </row>
    <row r="1120" spans="1:13" ht="11.25" customHeight="1" x14ac:dyDescent="0.2">
      <c r="A1120" s="221">
        <v>2022</v>
      </c>
      <c r="B1120" s="221">
        <v>6</v>
      </c>
      <c r="C1120" s="221">
        <v>5</v>
      </c>
      <c r="D1120" s="231">
        <f t="shared" si="115"/>
        <v>44717</v>
      </c>
      <c r="E1120" s="233">
        <f t="shared" si="117"/>
        <v>44717</v>
      </c>
      <c r="F1120" s="478" t="s">
        <v>1115</v>
      </c>
      <c r="G1120" s="222" t="s">
        <v>1111</v>
      </c>
      <c r="H1120" s="223" t="str" cm="1">
        <f t="array" ref="H1120">IFERROR(INDEX(INVESTOR_LIST[INVESTOR NAME],MATCH(I1120,INVESTOR_LIST[INVESTOR CODE],0),)," ")</f>
        <v>CITY BROKERAGE LIMITED</v>
      </c>
      <c r="I1120" s="223" t="s">
        <v>948</v>
      </c>
      <c r="J1120" s="224" t="s">
        <v>14</v>
      </c>
      <c r="K1120" s="225">
        <v>2000000</v>
      </c>
      <c r="L1120" s="225"/>
    </row>
    <row r="1121" spans="1:15" ht="11.25" customHeight="1" x14ac:dyDescent="0.2">
      <c r="A1121" s="164">
        <v>2022</v>
      </c>
      <c r="B1121" s="164">
        <v>6</v>
      </c>
      <c r="C1121" s="164">
        <v>5</v>
      </c>
      <c r="D1121" s="156">
        <f t="shared" si="115"/>
        <v>44717</v>
      </c>
      <c r="E1121" s="235">
        <f t="shared" si="117"/>
        <v>44717</v>
      </c>
      <c r="F1121" s="480"/>
      <c r="G1121" s="208" t="s">
        <v>1111</v>
      </c>
      <c r="H1121" s="206" t="str" cm="1">
        <f t="array" ref="H1121">IFERROR(INDEX(INVESTOR_LIST[INVESTOR NAME],MATCH(I1121,INVESTOR_LIST[INVESTOR CODE],0),)," ")</f>
        <v>CITY BROKERAGE LIMITED</v>
      </c>
      <c r="I1121" s="206" t="s">
        <v>948</v>
      </c>
      <c r="J1121" s="165" t="s">
        <v>1112</v>
      </c>
      <c r="K1121" s="205"/>
      <c r="L1121" s="205">
        <v>34000</v>
      </c>
    </row>
    <row r="1122" spans="1:15" ht="11.25" customHeight="1" x14ac:dyDescent="0.2">
      <c r="A1122" s="226">
        <v>2022</v>
      </c>
      <c r="B1122" s="226">
        <v>6</v>
      </c>
      <c r="C1122" s="226">
        <v>5</v>
      </c>
      <c r="D1122" s="232">
        <f t="shared" si="115"/>
        <v>44717</v>
      </c>
      <c r="E1122" s="234">
        <f t="shared" si="117"/>
        <v>44717</v>
      </c>
      <c r="F1122" s="479"/>
      <c r="G1122" s="227" t="s">
        <v>1111</v>
      </c>
      <c r="H1122" s="228" t="str" cm="1">
        <f t="array" ref="H1122">IFERROR(INDEX(INVESTOR_LIST[INVESTOR NAME],MATCH(I1122,INVESTOR_LIST[INVESTOR CODE],0),)," ")</f>
        <v>CITY BROKERAGE LIMITED</v>
      </c>
      <c r="I1122" s="228" t="s">
        <v>948</v>
      </c>
      <c r="J1122" s="229" t="s">
        <v>55</v>
      </c>
      <c r="K1122" s="230"/>
      <c r="L1122" s="230">
        <v>1966000</v>
      </c>
    </row>
    <row r="1123" spans="1:15" ht="11.25" customHeight="1" x14ac:dyDescent="0.2">
      <c r="A1123" s="221">
        <v>2022</v>
      </c>
      <c r="B1123" s="221">
        <v>6</v>
      </c>
      <c r="C1123" s="221">
        <v>5</v>
      </c>
      <c r="D1123" s="231">
        <f t="shared" si="115"/>
        <v>44717</v>
      </c>
      <c r="E1123" s="233">
        <f t="shared" si="117"/>
        <v>44717</v>
      </c>
      <c r="F1123" s="478" t="s">
        <v>1114</v>
      </c>
      <c r="G1123" s="222" t="s">
        <v>1111</v>
      </c>
      <c r="H1123" s="223" t="str" cm="1">
        <f t="array" ref="H1123">IFERROR(INDEX(INVESTOR_LIST[INVESTOR NAME],MATCH(I1123,INVESTOR_LIST[INVESTOR CODE],0),)," ")</f>
        <v xml:space="preserve"> </v>
      </c>
      <c r="I1123" s="223"/>
      <c r="J1123" s="224" t="s">
        <v>63</v>
      </c>
      <c r="K1123" s="225">
        <v>100</v>
      </c>
      <c r="L1123" s="225"/>
    </row>
    <row r="1124" spans="1:15" ht="11.25" customHeight="1" x14ac:dyDescent="0.2">
      <c r="A1124" s="226">
        <v>2022</v>
      </c>
      <c r="B1124" s="226">
        <v>6</v>
      </c>
      <c r="C1124" s="226">
        <v>5</v>
      </c>
      <c r="D1124" s="232">
        <f t="shared" si="115"/>
        <v>44717</v>
      </c>
      <c r="E1124" s="234">
        <f t="shared" si="117"/>
        <v>44717</v>
      </c>
      <c r="F1124" s="479"/>
      <c r="G1124" s="227" t="s">
        <v>1111</v>
      </c>
      <c r="H1124" s="228" t="str" cm="1">
        <f t="array" ref="H1124">IFERROR(INDEX(INVESTOR_LIST[INVESTOR NAME],MATCH(I1124,INVESTOR_LIST[INVESTOR CODE],0),)," ")</f>
        <v xml:space="preserve"> </v>
      </c>
      <c r="I1124" s="228"/>
      <c r="J1124" s="229" t="s">
        <v>55</v>
      </c>
      <c r="K1124" s="230"/>
      <c r="L1124" s="230">
        <v>100</v>
      </c>
    </row>
    <row r="1125" spans="1:15" ht="11.25" customHeight="1" x14ac:dyDescent="0.2">
      <c r="A1125" s="221">
        <v>2022</v>
      </c>
      <c r="B1125" s="221">
        <v>6</v>
      </c>
      <c r="C1125" s="221">
        <v>9</v>
      </c>
      <c r="D1125" s="231">
        <f t="shared" si="115"/>
        <v>44721</v>
      </c>
      <c r="E1125" s="233">
        <f t="shared" si="117"/>
        <v>44721</v>
      </c>
      <c r="F1125" s="478" t="s">
        <v>1178</v>
      </c>
      <c r="G1125" s="222" t="s">
        <v>1111</v>
      </c>
      <c r="H1125" s="223" t="str" cm="1">
        <f t="array" ref="H1125">IFERROR(INDEX(INVESTOR_LIST[INVESTOR NAME],MATCH(I1125,INVESTOR_LIST[INVESTOR CODE],0),)," ")</f>
        <v xml:space="preserve"> </v>
      </c>
      <c r="I1125" s="223"/>
      <c r="J1125" s="224" t="s">
        <v>189</v>
      </c>
      <c r="K1125" s="225">
        <v>19000</v>
      </c>
      <c r="L1125" s="225"/>
      <c r="O1125" s="166"/>
    </row>
    <row r="1126" spans="1:15" ht="11.25" customHeight="1" x14ac:dyDescent="0.2">
      <c r="A1126" s="226">
        <v>2022</v>
      </c>
      <c r="B1126" s="226">
        <v>6</v>
      </c>
      <c r="C1126" s="226">
        <v>9</v>
      </c>
      <c r="D1126" s="232">
        <f t="shared" si="115"/>
        <v>44721</v>
      </c>
      <c r="E1126" s="234">
        <f t="shared" si="117"/>
        <v>44721</v>
      </c>
      <c r="F1126" s="479"/>
      <c r="G1126" s="227" t="s">
        <v>1111</v>
      </c>
      <c r="H1126" s="228" t="str" cm="1">
        <f t="array" ref="H1126">IFERROR(INDEX(INVESTOR_LIST[INVESTOR NAME],MATCH(I1126,INVESTOR_LIST[INVESTOR CODE],0),)," ")</f>
        <v xml:space="preserve"> </v>
      </c>
      <c r="I1126" s="228"/>
      <c r="J1126" s="229" t="s">
        <v>55</v>
      </c>
      <c r="K1126" s="230"/>
      <c r="L1126" s="230">
        <v>19000</v>
      </c>
    </row>
    <row r="1127" spans="1:15" ht="11.25" customHeight="1" x14ac:dyDescent="0.2">
      <c r="A1127" s="221">
        <v>2022</v>
      </c>
      <c r="B1127" s="221">
        <v>6</v>
      </c>
      <c r="C1127" s="221">
        <v>9</v>
      </c>
      <c r="D1127" s="231">
        <f t="shared" si="115"/>
        <v>44721</v>
      </c>
      <c r="E1127" s="233">
        <f>DATE(A1127,B1127,C1127)</f>
        <v>44721</v>
      </c>
      <c r="F1127" s="478" t="s">
        <v>1177</v>
      </c>
      <c r="G1127" s="222" t="s">
        <v>86</v>
      </c>
      <c r="H1127" s="223" t="str" cm="1">
        <f t="array" ref="H1127">IFERROR(INDEX(INVESTOR_LIST[INVESTOR NAME],MATCH(I1127,INVESTOR_LIST[INVESTOR CODE],0),)," ")</f>
        <v xml:space="preserve"> </v>
      </c>
      <c r="I1127" s="223"/>
      <c r="J1127" s="224" t="s">
        <v>131</v>
      </c>
      <c r="K1127" s="225">
        <v>12013.888888888949</v>
      </c>
      <c r="L1127" s="225"/>
      <c r="N1127" s="166"/>
    </row>
    <row r="1128" spans="1:15" ht="11.25" customHeight="1" x14ac:dyDescent="0.2">
      <c r="A1128" s="226">
        <v>2022</v>
      </c>
      <c r="B1128" s="226">
        <v>6</v>
      </c>
      <c r="C1128" s="226">
        <v>9</v>
      </c>
      <c r="D1128" s="232">
        <f t="shared" si="115"/>
        <v>44721</v>
      </c>
      <c r="E1128" s="234">
        <f>DATE(A1128,B1128,C1128)</f>
        <v>44721</v>
      </c>
      <c r="F1128" s="479"/>
      <c r="G1128" s="227" t="s">
        <v>86</v>
      </c>
      <c r="H1128" s="228" t="str" cm="1">
        <f t="array" ref="H1128">IFERROR(INDEX(INVESTOR_LIST[INVESTOR NAME],MATCH(I1128,INVESTOR_LIST[INVESTOR CODE],0),)," ")</f>
        <v xml:space="preserve"> </v>
      </c>
      <c r="I1128" s="228"/>
      <c r="J1128" s="229" t="s">
        <v>174</v>
      </c>
      <c r="K1128" s="230"/>
      <c r="L1128" s="230">
        <v>12013.888888888949</v>
      </c>
    </row>
    <row r="1129" spans="1:15" ht="11.25" customHeight="1" x14ac:dyDescent="0.2">
      <c r="A1129" s="236">
        <v>2022</v>
      </c>
      <c r="B1129" s="236">
        <v>6</v>
      </c>
      <c r="C1129" s="236">
        <v>9</v>
      </c>
      <c r="D1129" s="237">
        <f t="shared" si="115"/>
        <v>44721</v>
      </c>
      <c r="E1129" s="238">
        <f t="shared" ref="E1129:E1141" si="118">DATE(A1129,B1129,C1129)</f>
        <v>44721</v>
      </c>
      <c r="F1129" s="476" t="s">
        <v>1118</v>
      </c>
      <c r="G1129" s="239" t="s">
        <v>86</v>
      </c>
      <c r="H1129" s="239" t="str" cm="1">
        <f t="array" ref="H1129">IFERROR(INDEX(INVESTOR_LIST[INVESTOR NAME],MATCH(I1129,INVESTOR_LIST[INVESTOR CODE],0),)," ")</f>
        <v xml:space="preserve"> </v>
      </c>
      <c r="I1129" s="240"/>
      <c r="J1129" s="241" t="s">
        <v>98</v>
      </c>
      <c r="K1129" s="242">
        <v>1811883.099999994</v>
      </c>
      <c r="L1129" s="242"/>
    </row>
    <row r="1130" spans="1:15" ht="11.25" customHeight="1" x14ac:dyDescent="0.2">
      <c r="A1130" s="243">
        <v>2022</v>
      </c>
      <c r="B1130" s="243">
        <v>6</v>
      </c>
      <c r="C1130" s="243">
        <v>9</v>
      </c>
      <c r="D1130" s="248">
        <f t="shared" si="115"/>
        <v>44721</v>
      </c>
      <c r="E1130" s="249">
        <f t="shared" si="118"/>
        <v>44721</v>
      </c>
      <c r="F1130" s="477"/>
      <c r="G1130" s="244" t="s">
        <v>86</v>
      </c>
      <c r="H1130" s="244" t="str" cm="1">
        <f t="array" ref="H1130">IFERROR(INDEX(INVESTOR_LIST[INVESTOR NAME],MATCH(I1130,INVESTOR_LIST[INVESTOR CODE],0),)," ")</f>
        <v xml:space="preserve"> </v>
      </c>
      <c r="I1130" s="245"/>
      <c r="J1130" s="246" t="s">
        <v>82</v>
      </c>
      <c r="K1130" s="247"/>
      <c r="L1130" s="247">
        <v>1811883.099999994</v>
      </c>
    </row>
    <row r="1131" spans="1:15" ht="11.25" customHeight="1" x14ac:dyDescent="0.2">
      <c r="A1131" s="236">
        <v>2022</v>
      </c>
      <c r="B1131" s="236">
        <v>6</v>
      </c>
      <c r="C1131" s="236">
        <v>9</v>
      </c>
      <c r="D1131" s="237">
        <f t="shared" si="115"/>
        <v>44721</v>
      </c>
      <c r="E1131" s="238">
        <f t="shared" si="118"/>
        <v>44721</v>
      </c>
      <c r="F1131" s="476" t="s">
        <v>1120</v>
      </c>
      <c r="G1131" s="239" t="s">
        <v>86</v>
      </c>
      <c r="H1131" s="239" t="str" cm="1">
        <f t="array" ref="H1131">IFERROR(INDEX(INVESTOR_LIST[INVESTOR NAME],MATCH(I1131,INVESTOR_LIST[INVESTOR CODE],0),)," ")</f>
        <v xml:space="preserve"> </v>
      </c>
      <c r="I1131" s="240"/>
      <c r="J1131" s="241" t="s">
        <v>87</v>
      </c>
      <c r="K1131" s="242">
        <v>2747.2527472527472</v>
      </c>
      <c r="L1131" s="242"/>
    </row>
    <row r="1132" spans="1:15" ht="11.25" customHeight="1" x14ac:dyDescent="0.2">
      <c r="A1132" s="243">
        <v>2022</v>
      </c>
      <c r="B1132" s="243">
        <v>6</v>
      </c>
      <c r="C1132" s="243">
        <v>9</v>
      </c>
      <c r="D1132" s="248">
        <f t="shared" si="115"/>
        <v>44721</v>
      </c>
      <c r="E1132" s="249">
        <f t="shared" si="118"/>
        <v>44721</v>
      </c>
      <c r="F1132" s="477"/>
      <c r="G1132" s="244" t="s">
        <v>86</v>
      </c>
      <c r="H1132" s="244" t="str" cm="1">
        <f t="array" ref="H1132">IFERROR(INDEX(INVESTOR_LIST[INVESTOR NAME],MATCH(I1132,INVESTOR_LIST[INVESTOR CODE],0),)," ")</f>
        <v xml:space="preserve"> </v>
      </c>
      <c r="I1132" s="245"/>
      <c r="J1132" s="246" t="s">
        <v>64</v>
      </c>
      <c r="K1132" s="247"/>
      <c r="L1132" s="247">
        <v>2747.2527472527472</v>
      </c>
    </row>
    <row r="1133" spans="1:15" ht="11.25" customHeight="1" x14ac:dyDescent="0.2">
      <c r="A1133" s="236">
        <v>2022</v>
      </c>
      <c r="B1133" s="236">
        <v>6</v>
      </c>
      <c r="C1133" s="236">
        <v>9</v>
      </c>
      <c r="D1133" s="237">
        <f t="shared" si="115"/>
        <v>44721</v>
      </c>
      <c r="E1133" s="238">
        <f t="shared" si="118"/>
        <v>44721</v>
      </c>
      <c r="F1133" s="476" t="s">
        <v>1121</v>
      </c>
      <c r="G1133" s="239" t="s">
        <v>86</v>
      </c>
      <c r="H1133" s="239" t="str" cm="1">
        <f t="array" ref="H1133">IFERROR(INDEX(INVESTOR_LIST[INVESTOR NAME],MATCH(I1133,INVESTOR_LIST[INVESTOR CODE],0),)," ")</f>
        <v xml:space="preserve"> </v>
      </c>
      <c r="I1133" s="240"/>
      <c r="J1133" s="241" t="s">
        <v>89</v>
      </c>
      <c r="K1133" s="242">
        <v>102182.80098940991</v>
      </c>
      <c r="L1133" s="242"/>
    </row>
    <row r="1134" spans="1:15" ht="11.25" customHeight="1" x14ac:dyDescent="0.2">
      <c r="A1134" s="243">
        <v>2022</v>
      </c>
      <c r="B1134" s="243">
        <v>6</v>
      </c>
      <c r="C1134" s="243">
        <v>9</v>
      </c>
      <c r="D1134" s="248">
        <f t="shared" si="115"/>
        <v>44721</v>
      </c>
      <c r="E1134" s="249">
        <f t="shared" si="118"/>
        <v>44721</v>
      </c>
      <c r="F1134" s="477"/>
      <c r="G1134" s="244" t="s">
        <v>86</v>
      </c>
      <c r="H1134" s="244" t="str" cm="1">
        <f t="array" ref="H1134">IFERROR(INDEX(INVESTOR_LIST[INVESTOR NAME],MATCH(I1134,INVESTOR_LIST[INVESTOR CODE],0),)," ")</f>
        <v xml:space="preserve"> </v>
      </c>
      <c r="I1134" s="245"/>
      <c r="J1134" s="246" t="s">
        <v>50</v>
      </c>
      <c r="K1134" s="247"/>
      <c r="L1134" s="247">
        <v>102182.80098940991</v>
      </c>
    </row>
    <row r="1135" spans="1:15" ht="11.25" customHeight="1" x14ac:dyDescent="0.2">
      <c r="A1135" s="236">
        <v>2022</v>
      </c>
      <c r="B1135" s="236">
        <v>6</v>
      </c>
      <c r="C1135" s="236">
        <v>9</v>
      </c>
      <c r="D1135" s="237">
        <f t="shared" si="115"/>
        <v>44721</v>
      </c>
      <c r="E1135" s="238">
        <f t="shared" si="118"/>
        <v>44721</v>
      </c>
      <c r="F1135" s="476" t="s">
        <v>1122</v>
      </c>
      <c r="G1135" s="239" t="s">
        <v>86</v>
      </c>
      <c r="H1135" s="239" t="str" cm="1">
        <f t="array" ref="H1135">IFERROR(INDEX(INVESTOR_LIST[INVESTOR NAME],MATCH(I1135,INVESTOR_LIST[INVESTOR CODE],0),)," ")</f>
        <v xml:space="preserve"> </v>
      </c>
      <c r="I1135" s="240"/>
      <c r="J1135" s="241" t="s">
        <v>91</v>
      </c>
      <c r="K1135" s="242">
        <v>4889.1098095504049</v>
      </c>
      <c r="L1135" s="242"/>
    </row>
    <row r="1136" spans="1:15" ht="11.25" customHeight="1" x14ac:dyDescent="0.2">
      <c r="A1136" s="243">
        <v>2022</v>
      </c>
      <c r="B1136" s="243">
        <v>6</v>
      </c>
      <c r="C1136" s="243">
        <v>9</v>
      </c>
      <c r="D1136" s="248">
        <f t="shared" si="115"/>
        <v>44721</v>
      </c>
      <c r="E1136" s="249">
        <f t="shared" si="118"/>
        <v>44721</v>
      </c>
      <c r="F1136" s="477"/>
      <c r="G1136" s="244" t="s">
        <v>86</v>
      </c>
      <c r="H1136" s="244" t="str" cm="1">
        <f t="array" ref="H1136">IFERROR(INDEX(INVESTOR_LIST[INVESTOR NAME],MATCH(I1136,INVESTOR_LIST[INVESTOR CODE],0),)," ")</f>
        <v xml:space="preserve"> </v>
      </c>
      <c r="I1136" s="245"/>
      <c r="J1136" s="246" t="s">
        <v>51</v>
      </c>
      <c r="K1136" s="247"/>
      <c r="L1136" s="247">
        <v>4889.1098095504049</v>
      </c>
    </row>
    <row r="1137" spans="1:13" ht="11.25" customHeight="1" x14ac:dyDescent="0.2">
      <c r="A1137" s="221">
        <v>2022</v>
      </c>
      <c r="B1137" s="221">
        <v>6</v>
      </c>
      <c r="C1137" s="221">
        <v>12</v>
      </c>
      <c r="D1137" s="221">
        <f t="shared" si="115"/>
        <v>44724</v>
      </c>
      <c r="E1137" s="233">
        <f t="shared" si="118"/>
        <v>44724</v>
      </c>
      <c r="F1137" s="478" t="s">
        <v>1135</v>
      </c>
      <c r="G1137" s="222" t="s">
        <v>86</v>
      </c>
      <c r="H1137" s="222" t="str" cm="1">
        <f t="array" ref="H1137">IFERROR(INDEX(INVESTOR_LIST[INVESTOR NAME],MATCH(I1137,INVESTOR_LIST[INVESTOR CODE],0),)," ")</f>
        <v xml:space="preserve"> </v>
      </c>
      <c r="I1137" s="223"/>
      <c r="J1137" s="224" t="s">
        <v>80</v>
      </c>
      <c r="K1137" s="225">
        <v>2390530</v>
      </c>
      <c r="L1137" s="225"/>
    </row>
    <row r="1138" spans="1:13" ht="11.25" customHeight="1" x14ac:dyDescent="0.2">
      <c r="A1138" s="164">
        <v>2022</v>
      </c>
      <c r="B1138" s="164">
        <v>6</v>
      </c>
      <c r="C1138" s="164">
        <v>12</v>
      </c>
      <c r="D1138" s="164">
        <f t="shared" si="115"/>
        <v>44724</v>
      </c>
      <c r="E1138" s="235">
        <f t="shared" si="118"/>
        <v>44724</v>
      </c>
      <c r="F1138" s="480"/>
      <c r="G1138" s="208" t="s">
        <v>86</v>
      </c>
      <c r="H1138" s="208"/>
      <c r="J1138" s="165" t="s">
        <v>960</v>
      </c>
      <c r="K1138" s="205">
        <v>8301.7000000000007</v>
      </c>
      <c r="L1138" s="205"/>
    </row>
    <row r="1139" spans="1:13" ht="11.25" customHeight="1" x14ac:dyDescent="0.2">
      <c r="A1139" s="164">
        <v>2022</v>
      </c>
      <c r="B1139" s="164">
        <v>6</v>
      </c>
      <c r="C1139" s="164">
        <v>12</v>
      </c>
      <c r="D1139" s="164">
        <f t="shared" si="115"/>
        <v>44724</v>
      </c>
      <c r="E1139" s="235">
        <f t="shared" ref="E1139" si="119">DATE(A1139,B1139,C1139)</f>
        <v>44724</v>
      </c>
      <c r="F1139" s="480"/>
      <c r="G1139" s="208" t="s">
        <v>86</v>
      </c>
      <c r="H1139" s="208"/>
      <c r="J1139" s="165" t="s">
        <v>200</v>
      </c>
      <c r="K1139" s="205">
        <v>92579.66</v>
      </c>
      <c r="L1139" s="205"/>
    </row>
    <row r="1140" spans="1:13" ht="11.25" customHeight="1" x14ac:dyDescent="0.2">
      <c r="A1140" s="164">
        <v>2022</v>
      </c>
      <c r="B1140" s="164">
        <v>6</v>
      </c>
      <c r="C1140" s="164">
        <v>12</v>
      </c>
      <c r="D1140" s="164">
        <f t="shared" si="115"/>
        <v>44724</v>
      </c>
      <c r="E1140" s="235">
        <f t="shared" si="118"/>
        <v>44724</v>
      </c>
      <c r="F1140" s="480"/>
      <c r="G1140" s="208" t="s">
        <v>86</v>
      </c>
      <c r="H1140" s="208"/>
      <c r="J1140" s="165" t="s">
        <v>961</v>
      </c>
      <c r="K1140" s="156"/>
      <c r="L1140" s="205">
        <v>177294</v>
      </c>
    </row>
    <row r="1141" spans="1:13" ht="11.25" customHeight="1" x14ac:dyDescent="0.2">
      <c r="A1141" s="226">
        <v>2022</v>
      </c>
      <c r="B1141" s="226">
        <v>6</v>
      </c>
      <c r="C1141" s="226">
        <v>12</v>
      </c>
      <c r="D1141" s="226">
        <f t="shared" si="115"/>
        <v>44724</v>
      </c>
      <c r="E1141" s="234">
        <f t="shared" si="118"/>
        <v>44724</v>
      </c>
      <c r="F1141" s="479"/>
      <c r="G1141" s="227" t="s">
        <v>86</v>
      </c>
      <c r="H1141" s="228" t="str" cm="1">
        <f t="array" ref="H1141">IFERROR(INDEX(INVESTOR_LIST[INVESTOR NAME],MATCH(I1141,INVESTOR_LIST[INVESTOR CODE],0),)," ")</f>
        <v xml:space="preserve"> </v>
      </c>
      <c r="I1141" s="228"/>
      <c r="J1141" s="229" t="s">
        <v>80</v>
      </c>
      <c r="K1141" s="230"/>
      <c r="L1141" s="230">
        <v>2314117.36</v>
      </c>
    </row>
    <row r="1142" spans="1:13" ht="11.25" customHeight="1" x14ac:dyDescent="0.2">
      <c r="A1142" s="221">
        <v>2022</v>
      </c>
      <c r="B1142" s="221">
        <v>6</v>
      </c>
      <c r="C1142" s="221">
        <v>12</v>
      </c>
      <c r="D1142" s="231">
        <f t="shared" si="115"/>
        <v>44724</v>
      </c>
      <c r="E1142" s="233">
        <f>DATE(A1142,B1142,C1142)</f>
        <v>44724</v>
      </c>
      <c r="F1142" s="478" t="s">
        <v>1115</v>
      </c>
      <c r="G1142" s="222" t="s">
        <v>1111</v>
      </c>
      <c r="H1142" s="223" t="str" cm="1">
        <f t="array" ref="H1142">IFERROR(INDEX(INVESTOR_LIST[INVESTOR NAME],MATCH(I1142,INVESTOR_LIST[INVESTOR CODE],0),)," ")</f>
        <v>MD MIZANUR RAHMAN</v>
      </c>
      <c r="I1142" s="223" t="s">
        <v>431</v>
      </c>
      <c r="J1142" s="224" t="s">
        <v>14</v>
      </c>
      <c r="K1142" s="225">
        <v>401610</v>
      </c>
      <c r="L1142" s="225"/>
    </row>
    <row r="1143" spans="1:13" ht="11.25" customHeight="1" x14ac:dyDescent="0.2">
      <c r="A1143" s="164">
        <v>2022</v>
      </c>
      <c r="B1143" s="164">
        <v>6</v>
      </c>
      <c r="C1143" s="164">
        <v>12</v>
      </c>
      <c r="D1143" s="156">
        <f t="shared" si="115"/>
        <v>44724</v>
      </c>
      <c r="E1143" s="235">
        <f>DATE(A1143,B1143,C1143)</f>
        <v>44724</v>
      </c>
      <c r="F1143" s="480"/>
      <c r="G1143" s="208" t="s">
        <v>1111</v>
      </c>
      <c r="H1143" s="206" t="str" cm="1">
        <f t="array" ref="H1143">IFERROR(INDEX(INVESTOR_LIST[INVESTOR NAME],MATCH(I1143,INVESTOR_LIST[INVESTOR CODE],0),)," ")</f>
        <v>MD MIZANUR RAHMAN</v>
      </c>
      <c r="I1143" s="206" t="s">
        <v>431</v>
      </c>
      <c r="J1143" s="165" t="s">
        <v>1112</v>
      </c>
      <c r="K1143" s="205"/>
      <c r="L1143" s="205">
        <v>1610</v>
      </c>
    </row>
    <row r="1144" spans="1:13" ht="11.25" customHeight="1" x14ac:dyDescent="0.2">
      <c r="A1144" s="226">
        <v>2022</v>
      </c>
      <c r="B1144" s="226">
        <v>6</v>
      </c>
      <c r="C1144" s="226">
        <v>12</v>
      </c>
      <c r="D1144" s="232">
        <f t="shared" si="115"/>
        <v>44724</v>
      </c>
      <c r="E1144" s="234">
        <f>DATE(A1144,B1144,C1144)</f>
        <v>44724</v>
      </c>
      <c r="F1144" s="479"/>
      <c r="G1144" s="227" t="s">
        <v>1111</v>
      </c>
      <c r="H1144" s="228" t="str" cm="1">
        <f t="array" ref="H1144">IFERROR(INDEX(INVESTOR_LIST[INVESTOR NAME],MATCH(I1144,INVESTOR_LIST[INVESTOR CODE],0),)," ")</f>
        <v>MD MIZANUR RAHMAN</v>
      </c>
      <c r="I1144" s="228" t="s">
        <v>431</v>
      </c>
      <c r="J1144" s="229" t="s">
        <v>55</v>
      </c>
      <c r="K1144" s="230"/>
      <c r="L1144" s="230">
        <v>400000</v>
      </c>
    </row>
    <row r="1145" spans="1:13" ht="11.25" customHeight="1" x14ac:dyDescent="0.2">
      <c r="A1145" s="221">
        <v>2022</v>
      </c>
      <c r="B1145" s="221">
        <v>6</v>
      </c>
      <c r="C1145" s="221">
        <v>13</v>
      </c>
      <c r="D1145" s="231">
        <f t="shared" si="115"/>
        <v>44725</v>
      </c>
      <c r="E1145" s="233">
        <f>DATE(A1145,B1145,C1145)</f>
        <v>44725</v>
      </c>
      <c r="F1145" s="478" t="s">
        <v>1208</v>
      </c>
      <c r="G1145" s="222" t="s">
        <v>1111</v>
      </c>
      <c r="H1145" s="223" t="str" cm="1">
        <f t="array" ref="H1145">IFERROR(INDEX(INVESTOR_LIST[INVESTOR NAME],MATCH(I1145,INVESTOR_LIST[INVESTOR CODE],0),)," ")</f>
        <v xml:space="preserve"> </v>
      </c>
      <c r="I1145" s="223"/>
      <c r="J1145" s="224" t="s">
        <v>961</v>
      </c>
      <c r="K1145" s="225">
        <v>177294</v>
      </c>
      <c r="L1145" s="225"/>
    </row>
    <row r="1146" spans="1:13" ht="11.25" customHeight="1" x14ac:dyDescent="0.2">
      <c r="A1146" s="226">
        <v>2022</v>
      </c>
      <c r="B1146" s="226">
        <v>6</v>
      </c>
      <c r="C1146" s="226">
        <v>13</v>
      </c>
      <c r="D1146" s="232">
        <f t="shared" si="115"/>
        <v>44725</v>
      </c>
      <c r="E1146" s="234">
        <f>DATE(A1146,B1146,C1146)</f>
        <v>44725</v>
      </c>
      <c r="F1146" s="479"/>
      <c r="G1146" s="227" t="s">
        <v>1111</v>
      </c>
      <c r="H1146" s="228" t="str" cm="1">
        <f t="array" ref="H1146">IFERROR(INDEX(INVESTOR_LIST[INVESTOR NAME],MATCH(I1146,INVESTOR_LIST[INVESTOR CODE],0),)," ")</f>
        <v xml:space="preserve"> </v>
      </c>
      <c r="I1146" s="228"/>
      <c r="J1146" s="229" t="s">
        <v>55</v>
      </c>
      <c r="K1146" s="230"/>
      <c r="L1146" s="230">
        <v>177294</v>
      </c>
    </row>
    <row r="1147" spans="1:13" ht="11.25" customHeight="1" x14ac:dyDescent="0.2">
      <c r="A1147" s="221">
        <v>2022</v>
      </c>
      <c r="B1147" s="221">
        <v>6</v>
      </c>
      <c r="C1147" s="221">
        <v>13</v>
      </c>
      <c r="D1147" s="221">
        <f t="shared" si="115"/>
        <v>44725</v>
      </c>
      <c r="E1147" s="233">
        <f t="shared" ref="E1147:E1194" si="120">DATE(A1147,B1147,C1147)</f>
        <v>44725</v>
      </c>
      <c r="F1147" s="478" t="s">
        <v>1135</v>
      </c>
      <c r="G1147" s="222" t="s">
        <v>86</v>
      </c>
      <c r="H1147" s="222" t="str" cm="1">
        <f t="array" ref="H1147">IFERROR(INDEX(INVESTOR_LIST[INVESTOR NAME],MATCH(I1147,INVESTOR_LIST[INVESTOR CODE],0),)," ")</f>
        <v xml:space="preserve"> </v>
      </c>
      <c r="I1147" s="223"/>
      <c r="J1147" s="224" t="s">
        <v>80</v>
      </c>
      <c r="K1147" s="225">
        <v>4801.6000000000004</v>
      </c>
      <c r="L1147" s="225"/>
      <c r="M1147" s="166"/>
    </row>
    <row r="1148" spans="1:13" ht="11.25" customHeight="1" x14ac:dyDescent="0.2">
      <c r="A1148" s="164">
        <v>2022</v>
      </c>
      <c r="B1148" s="164">
        <v>6</v>
      </c>
      <c r="C1148" s="164">
        <v>13</v>
      </c>
      <c r="D1148" s="164">
        <f t="shared" si="115"/>
        <v>44725</v>
      </c>
      <c r="E1148" s="235">
        <f t="shared" si="120"/>
        <v>44725</v>
      </c>
      <c r="F1148" s="480"/>
      <c r="G1148" s="208" t="s">
        <v>86</v>
      </c>
      <c r="H1148" s="208"/>
      <c r="J1148" s="165" t="s">
        <v>960</v>
      </c>
      <c r="K1148" s="205">
        <v>8.64</v>
      </c>
      <c r="L1148" s="205"/>
    </row>
    <row r="1149" spans="1:13" ht="11.25" customHeight="1" x14ac:dyDescent="0.2">
      <c r="A1149" s="226">
        <v>2022</v>
      </c>
      <c r="B1149" s="226">
        <v>6</v>
      </c>
      <c r="C1149" s="226">
        <v>13</v>
      </c>
      <c r="D1149" s="226">
        <f t="shared" si="115"/>
        <v>44725</v>
      </c>
      <c r="E1149" s="234">
        <f t="shared" si="120"/>
        <v>44725</v>
      </c>
      <c r="F1149" s="479"/>
      <c r="G1149" s="227" t="s">
        <v>86</v>
      </c>
      <c r="H1149" s="228" t="str" cm="1">
        <f t="array" ref="H1149">IFERROR(INDEX(INVESTOR_LIST[INVESTOR NAME],MATCH(I1149,INVESTOR_LIST[INVESTOR CODE],0),)," ")</f>
        <v xml:space="preserve"> </v>
      </c>
      <c r="I1149" s="228"/>
      <c r="J1149" s="229" t="s">
        <v>961</v>
      </c>
      <c r="K1149" s="230"/>
      <c r="L1149" s="230">
        <v>4810.24</v>
      </c>
    </row>
    <row r="1150" spans="1:13" ht="11.25" customHeight="1" x14ac:dyDescent="0.2">
      <c r="A1150" s="221">
        <v>2022</v>
      </c>
      <c r="B1150" s="221">
        <v>6</v>
      </c>
      <c r="C1150" s="221">
        <v>13</v>
      </c>
      <c r="D1150" s="231">
        <f t="shared" si="115"/>
        <v>44725</v>
      </c>
      <c r="E1150" s="233">
        <f t="shared" ref="E1150:E1162" si="121">DATE(A1150,B1150,C1150)</f>
        <v>44725</v>
      </c>
      <c r="F1150" s="478" t="s">
        <v>1208</v>
      </c>
      <c r="G1150" s="222" t="s">
        <v>1111</v>
      </c>
      <c r="H1150" s="223" t="str" cm="1">
        <f t="array" ref="H1150">IFERROR(INDEX(INVESTOR_LIST[INVESTOR NAME],MATCH(I1150,INVESTOR_LIST[INVESTOR CODE],0),)," ")</f>
        <v xml:space="preserve"> </v>
      </c>
      <c r="I1150" s="223"/>
      <c r="J1150" s="224" t="s">
        <v>961</v>
      </c>
      <c r="K1150" s="225">
        <v>4810.24</v>
      </c>
      <c r="L1150" s="225"/>
    </row>
    <row r="1151" spans="1:13" ht="11.25" customHeight="1" x14ac:dyDescent="0.2">
      <c r="A1151" s="226">
        <v>2022</v>
      </c>
      <c r="B1151" s="226">
        <v>6</v>
      </c>
      <c r="C1151" s="226">
        <v>13</v>
      </c>
      <c r="D1151" s="232">
        <f t="shared" si="115"/>
        <v>44725</v>
      </c>
      <c r="E1151" s="234">
        <f t="shared" si="121"/>
        <v>44725</v>
      </c>
      <c r="F1151" s="479"/>
      <c r="G1151" s="227" t="s">
        <v>1111</v>
      </c>
      <c r="H1151" s="228" t="str" cm="1">
        <f t="array" ref="H1151">IFERROR(INDEX(INVESTOR_LIST[INVESTOR NAME],MATCH(I1151,INVESTOR_LIST[INVESTOR CODE],0),)," ")</f>
        <v xml:space="preserve"> </v>
      </c>
      <c r="I1151" s="228"/>
      <c r="J1151" s="229" t="s">
        <v>55</v>
      </c>
      <c r="K1151" s="230"/>
      <c r="L1151" s="230">
        <v>4810.24</v>
      </c>
    </row>
    <row r="1152" spans="1:13" ht="11.25" customHeight="1" x14ac:dyDescent="0.2">
      <c r="A1152" s="221">
        <v>2022</v>
      </c>
      <c r="B1152" s="221">
        <v>6</v>
      </c>
      <c r="C1152" s="221">
        <v>14</v>
      </c>
      <c r="D1152" s="231">
        <f t="shared" si="115"/>
        <v>44726</v>
      </c>
      <c r="E1152" s="233">
        <f t="shared" ref="E1152:E1155" si="122">DATE(A1152,B1152,C1152)</f>
        <v>44726</v>
      </c>
      <c r="F1152" s="478" t="s">
        <v>1255</v>
      </c>
      <c r="G1152" s="222" t="s">
        <v>1111</v>
      </c>
      <c r="H1152" s="223" t="str" cm="1">
        <f t="array" ref="H1152">IFERROR(INDEX(INVESTOR_LIST[INVESTOR NAME],MATCH(I1152,INVESTOR_LIST[INVESTOR CODE],0),)," ")</f>
        <v xml:space="preserve"> </v>
      </c>
      <c r="I1152" s="223"/>
      <c r="J1152" s="224" t="s">
        <v>55</v>
      </c>
      <c r="K1152" s="225">
        <v>5074187.5</v>
      </c>
      <c r="L1152" s="225"/>
    </row>
    <row r="1153" spans="1:12" ht="11.25" customHeight="1" x14ac:dyDescent="0.2">
      <c r="A1153" s="164">
        <v>2022</v>
      </c>
      <c r="B1153" s="164">
        <v>6</v>
      </c>
      <c r="C1153" s="164">
        <v>14</v>
      </c>
      <c r="D1153" s="156">
        <f t="shared" si="115"/>
        <v>44726</v>
      </c>
      <c r="E1153" s="235">
        <f t="shared" si="122"/>
        <v>44726</v>
      </c>
      <c r="F1153" s="480"/>
      <c r="G1153" s="208" t="s">
        <v>1111</v>
      </c>
      <c r="J1153" s="165" t="s">
        <v>63</v>
      </c>
      <c r="K1153" s="205">
        <v>7062.5</v>
      </c>
      <c r="L1153" s="205"/>
    </row>
    <row r="1154" spans="1:12" ht="11.25" customHeight="1" x14ac:dyDescent="0.2">
      <c r="A1154" s="164">
        <v>2022</v>
      </c>
      <c r="B1154" s="164">
        <v>6</v>
      </c>
      <c r="C1154" s="164">
        <v>14</v>
      </c>
      <c r="D1154" s="156">
        <f t="shared" si="115"/>
        <v>44726</v>
      </c>
      <c r="E1154" s="235">
        <f t="shared" si="122"/>
        <v>44726</v>
      </c>
      <c r="F1154" s="480"/>
      <c r="G1154" s="208" t="s">
        <v>1111</v>
      </c>
      <c r="J1154" s="165" t="s">
        <v>131</v>
      </c>
      <c r="K1154" s="205"/>
      <c r="L1154" s="205">
        <v>81250</v>
      </c>
    </row>
    <row r="1155" spans="1:12" ht="11.25" customHeight="1" x14ac:dyDescent="0.2">
      <c r="A1155" s="226">
        <v>2022</v>
      </c>
      <c r="B1155" s="226">
        <v>6</v>
      </c>
      <c r="C1155" s="226">
        <v>14</v>
      </c>
      <c r="D1155" s="232">
        <f t="shared" si="115"/>
        <v>44726</v>
      </c>
      <c r="E1155" s="234">
        <f t="shared" si="122"/>
        <v>44726</v>
      </c>
      <c r="F1155" s="479"/>
      <c r="G1155" s="227" t="s">
        <v>1111</v>
      </c>
      <c r="H1155" s="228" t="str" cm="1">
        <f t="array" ref="H1155">IFERROR(INDEX(INVESTOR_LIST[INVESTOR NAME],MATCH(I1155,INVESTOR_LIST[INVESTOR CODE],0),)," ")</f>
        <v xml:space="preserve"> </v>
      </c>
      <c r="I1155" s="228"/>
      <c r="J1155" s="229" t="s">
        <v>88</v>
      </c>
      <c r="K1155" s="230"/>
      <c r="L1155" s="230">
        <v>5000000</v>
      </c>
    </row>
    <row r="1156" spans="1:12" ht="11.25" customHeight="1" x14ac:dyDescent="0.2">
      <c r="A1156" s="221">
        <v>2022</v>
      </c>
      <c r="B1156" s="221">
        <v>6</v>
      </c>
      <c r="C1156" s="221">
        <v>14</v>
      </c>
      <c r="D1156" s="231">
        <f t="shared" si="115"/>
        <v>44726</v>
      </c>
      <c r="E1156" s="233">
        <f t="shared" si="121"/>
        <v>44726</v>
      </c>
      <c r="F1156" s="478" t="s">
        <v>1252</v>
      </c>
      <c r="G1156" s="222" t="s">
        <v>86</v>
      </c>
      <c r="H1156" s="223" t="str" cm="1">
        <f t="array" ref="H1156">IFERROR(INDEX(INVESTOR_LIST[INVESTOR NAME],MATCH(I1156,INVESTOR_LIST[INVESTOR CODE],0),)," ")</f>
        <v xml:space="preserve"> </v>
      </c>
      <c r="I1156" s="223"/>
      <c r="J1156" s="224" t="s">
        <v>55</v>
      </c>
      <c r="K1156" s="225">
        <v>573125</v>
      </c>
      <c r="L1156" s="225"/>
    </row>
    <row r="1157" spans="1:12" ht="11.25" customHeight="1" x14ac:dyDescent="0.2">
      <c r="A1157" s="226">
        <v>2022</v>
      </c>
      <c r="B1157" s="226">
        <v>6</v>
      </c>
      <c r="C1157" s="226">
        <v>14</v>
      </c>
      <c r="D1157" s="232">
        <f t="shared" si="115"/>
        <v>44726</v>
      </c>
      <c r="E1157" s="234">
        <f t="shared" si="121"/>
        <v>44726</v>
      </c>
      <c r="F1157" s="479"/>
      <c r="G1157" s="227" t="s">
        <v>86</v>
      </c>
      <c r="H1157" s="228" t="str" cm="1">
        <f t="array" ref="H1157">IFERROR(INDEX(INVESTOR_LIST[INVESTOR NAME],MATCH(I1157,INVESTOR_LIST[INVESTOR CODE],0),)," ")</f>
        <v xml:space="preserve"> </v>
      </c>
      <c r="I1157" s="228"/>
      <c r="J1157" s="229" t="s">
        <v>131</v>
      </c>
      <c r="K1157" s="230"/>
      <c r="L1157" s="230">
        <v>573125</v>
      </c>
    </row>
    <row r="1158" spans="1:12" ht="11.25" customHeight="1" x14ac:dyDescent="0.2">
      <c r="A1158" s="221">
        <v>2022</v>
      </c>
      <c r="B1158" s="221">
        <v>6</v>
      </c>
      <c r="C1158" s="221">
        <v>14</v>
      </c>
      <c r="D1158" s="231">
        <f t="shared" si="115"/>
        <v>44726</v>
      </c>
      <c r="E1158" s="233">
        <f t="shared" si="121"/>
        <v>44726</v>
      </c>
      <c r="F1158" s="478" t="s">
        <v>1254</v>
      </c>
      <c r="G1158" s="222" t="s">
        <v>1111</v>
      </c>
      <c r="H1158" s="223" t="str" cm="1">
        <f t="array" ref="H1158">IFERROR(INDEX(INVESTOR_LIST[INVESTOR NAME],MATCH(I1158,INVESTOR_LIST[INVESTOR CODE],0),)," ")</f>
        <v xml:space="preserve"> </v>
      </c>
      <c r="I1158" s="223"/>
      <c r="J1158" s="224" t="s">
        <v>55</v>
      </c>
      <c r="K1158" s="225">
        <v>5078875</v>
      </c>
      <c r="L1158" s="225"/>
    </row>
    <row r="1159" spans="1:12" ht="11.25" customHeight="1" x14ac:dyDescent="0.2">
      <c r="A1159" s="164">
        <v>2022</v>
      </c>
      <c r="B1159" s="164">
        <v>6</v>
      </c>
      <c r="C1159" s="164">
        <v>14</v>
      </c>
      <c r="D1159" s="156">
        <f t="shared" si="115"/>
        <v>44726</v>
      </c>
      <c r="E1159" s="235">
        <f t="shared" si="121"/>
        <v>44726</v>
      </c>
      <c r="F1159" s="480"/>
      <c r="G1159" s="208" t="s">
        <v>1111</v>
      </c>
      <c r="J1159" s="165" t="s">
        <v>63</v>
      </c>
      <c r="K1159" s="205">
        <v>3000</v>
      </c>
      <c r="L1159" s="205"/>
    </row>
    <row r="1160" spans="1:12" ht="11.25" customHeight="1" x14ac:dyDescent="0.2">
      <c r="A1160" s="164">
        <v>2022</v>
      </c>
      <c r="B1160" s="164">
        <v>6</v>
      </c>
      <c r="C1160" s="164">
        <v>14</v>
      </c>
      <c r="D1160" s="156">
        <f t="shared" si="115"/>
        <v>44726</v>
      </c>
      <c r="E1160" s="235">
        <f t="shared" si="121"/>
        <v>44726</v>
      </c>
      <c r="F1160" s="480"/>
      <c r="G1160" s="208" t="s">
        <v>1111</v>
      </c>
      <c r="J1160" s="165" t="s">
        <v>131</v>
      </c>
      <c r="K1160" s="205"/>
      <c r="L1160" s="205">
        <v>81875</v>
      </c>
    </row>
    <row r="1161" spans="1:12" ht="11.25" customHeight="1" x14ac:dyDescent="0.2">
      <c r="A1161" s="226">
        <v>2022</v>
      </c>
      <c r="B1161" s="226">
        <v>6</v>
      </c>
      <c r="C1161" s="226">
        <v>14</v>
      </c>
      <c r="D1161" s="232">
        <f t="shared" ref="D1161:D1224" si="123">DATE(A1161,B1161,C1161)</f>
        <v>44726</v>
      </c>
      <c r="E1161" s="234">
        <f t="shared" si="121"/>
        <v>44726</v>
      </c>
      <c r="F1161" s="479"/>
      <c r="G1161" s="227" t="s">
        <v>1111</v>
      </c>
      <c r="H1161" s="228" t="str" cm="1">
        <f t="array" ref="H1161">IFERROR(INDEX(INVESTOR_LIST[INVESTOR NAME],MATCH(I1161,INVESTOR_LIST[INVESTOR CODE],0),)," ")</f>
        <v xml:space="preserve"> </v>
      </c>
      <c r="I1161" s="228"/>
      <c r="J1161" s="229" t="s">
        <v>88</v>
      </c>
      <c r="K1161" s="230"/>
      <c r="L1161" s="230">
        <v>5000000</v>
      </c>
    </row>
    <row r="1162" spans="1:12" ht="11.25" customHeight="1" x14ac:dyDescent="0.2">
      <c r="A1162" s="221">
        <v>2022</v>
      </c>
      <c r="B1162" s="221">
        <v>6</v>
      </c>
      <c r="C1162" s="221">
        <v>14</v>
      </c>
      <c r="D1162" s="231">
        <f t="shared" si="123"/>
        <v>44726</v>
      </c>
      <c r="E1162" s="233">
        <f t="shared" si="121"/>
        <v>44726</v>
      </c>
      <c r="F1162" s="478" t="s">
        <v>1256</v>
      </c>
      <c r="G1162" s="222" t="s">
        <v>1111</v>
      </c>
      <c r="H1162" s="223" t="str" cm="1">
        <f t="array" ref="H1162">IFERROR(INDEX(INVESTOR_LIST[INVESTOR NAME],MATCH(I1162,INVESTOR_LIST[INVESTOR CODE],0),)," ")</f>
        <v xml:space="preserve"> </v>
      </c>
      <c r="I1162" s="223"/>
      <c r="J1162" s="224" t="s">
        <v>88</v>
      </c>
      <c r="K1162" s="225"/>
      <c r="L1162" s="225"/>
    </row>
    <row r="1163" spans="1:12" ht="11.25" customHeight="1" x14ac:dyDescent="0.2">
      <c r="A1163" s="164">
        <v>2022</v>
      </c>
      <c r="B1163" s="164">
        <v>6</v>
      </c>
      <c r="C1163" s="164">
        <v>14</v>
      </c>
      <c r="D1163" s="156">
        <f t="shared" si="123"/>
        <v>44726</v>
      </c>
      <c r="E1163" s="235">
        <f t="shared" ref="E1163" si="124">DATE(A1163,B1163,C1163)</f>
        <v>44726</v>
      </c>
      <c r="F1163" s="480"/>
      <c r="G1163" s="208" t="s">
        <v>1111</v>
      </c>
      <c r="J1163" s="165" t="s">
        <v>131</v>
      </c>
      <c r="K1163" s="205"/>
      <c r="L1163" s="205"/>
    </row>
    <row r="1164" spans="1:12" ht="11.25" customHeight="1" x14ac:dyDescent="0.2">
      <c r="A1164" s="226">
        <v>2022</v>
      </c>
      <c r="B1164" s="226">
        <v>6</v>
      </c>
      <c r="C1164" s="226">
        <v>14</v>
      </c>
      <c r="D1164" s="232">
        <f t="shared" si="123"/>
        <v>44726</v>
      </c>
      <c r="E1164" s="234">
        <f>DATE(A1164,B1164,C1164)</f>
        <v>44726</v>
      </c>
      <c r="F1164" s="479"/>
      <c r="G1164" s="227" t="s">
        <v>1111</v>
      </c>
      <c r="H1164" s="228" t="str" cm="1">
        <f t="array" ref="H1164">IFERROR(INDEX(INVESTOR_LIST[INVESTOR NAME],MATCH(I1164,INVESTOR_LIST[INVESTOR CODE],0),)," ")</f>
        <v xml:space="preserve"> </v>
      </c>
      <c r="I1164" s="228"/>
      <c r="J1164" s="229" t="s">
        <v>88</v>
      </c>
      <c r="K1164" s="230"/>
      <c r="L1164" s="230"/>
    </row>
    <row r="1165" spans="1:12" ht="11.25" customHeight="1" x14ac:dyDescent="0.2">
      <c r="A1165" s="221">
        <v>2022</v>
      </c>
      <c r="B1165" s="221">
        <v>6</v>
      </c>
      <c r="C1165" s="221">
        <v>15</v>
      </c>
      <c r="D1165" s="231">
        <f t="shared" si="123"/>
        <v>44727</v>
      </c>
      <c r="E1165" s="233">
        <f>DATE(A1165,B1165,C1165)</f>
        <v>44727</v>
      </c>
      <c r="F1165" s="478" t="s">
        <v>1115</v>
      </c>
      <c r="G1165" s="222" t="s">
        <v>1111</v>
      </c>
      <c r="H1165" s="223" t="str" cm="1">
        <f t="array" ref="H1165">IFERROR(INDEX(INVESTOR_LIST[INVESTOR NAME],MATCH(I1165,INVESTOR_LIST[INVESTOR CODE],0),)," ")</f>
        <v>EKUSH WEALTH MANAGEMENT LIMITED</v>
      </c>
      <c r="I1165" s="223" t="s">
        <v>320</v>
      </c>
      <c r="J1165" s="224" t="s">
        <v>14</v>
      </c>
      <c r="K1165" s="225">
        <v>10541950</v>
      </c>
      <c r="L1165" s="225"/>
    </row>
    <row r="1166" spans="1:12" ht="11.25" customHeight="1" x14ac:dyDescent="0.2">
      <c r="A1166" s="164">
        <v>2022</v>
      </c>
      <c r="B1166" s="164">
        <v>6</v>
      </c>
      <c r="C1166" s="164">
        <v>15</v>
      </c>
      <c r="D1166" s="156">
        <f t="shared" si="123"/>
        <v>44727</v>
      </c>
      <c r="E1166" s="235">
        <f>DATE(A1166,B1166,C1166)</f>
        <v>44727</v>
      </c>
      <c r="F1166" s="480"/>
      <c r="G1166" s="208" t="s">
        <v>1111</v>
      </c>
      <c r="H1166" s="206" t="str" cm="1">
        <f t="array" ref="H1166">IFERROR(INDEX(INVESTOR_LIST[INVESTOR NAME],MATCH(I1166,INVESTOR_LIST[INVESTOR CODE],0),)," ")</f>
        <v>EKUSH WEALTH MANAGEMENT LIMITED</v>
      </c>
      <c r="I1166" s="206" t="s">
        <v>320</v>
      </c>
      <c r="J1166" s="165" t="s">
        <v>1112</v>
      </c>
      <c r="K1166" s="205"/>
      <c r="L1166" s="205">
        <v>42168</v>
      </c>
    </row>
    <row r="1167" spans="1:12" ht="11.25" customHeight="1" x14ac:dyDescent="0.2">
      <c r="A1167" s="226">
        <v>2022</v>
      </c>
      <c r="B1167" s="226">
        <v>6</v>
      </c>
      <c r="C1167" s="226">
        <v>15</v>
      </c>
      <c r="D1167" s="232">
        <f t="shared" si="123"/>
        <v>44727</v>
      </c>
      <c r="E1167" s="234">
        <f>DATE(A1167,B1167,C1167)</f>
        <v>44727</v>
      </c>
      <c r="F1167" s="479"/>
      <c r="G1167" s="227" t="s">
        <v>1111</v>
      </c>
      <c r="H1167" s="228" t="str" cm="1">
        <f t="array" ref="H1167">IFERROR(INDEX(INVESTOR_LIST[INVESTOR NAME],MATCH(I1167,INVESTOR_LIST[INVESTOR CODE],0),)," ")</f>
        <v>EKUSH WEALTH MANAGEMENT LIMITED</v>
      </c>
      <c r="I1167" s="228" t="s">
        <v>320</v>
      </c>
      <c r="J1167" s="229" t="s">
        <v>55</v>
      </c>
      <c r="K1167" s="230"/>
      <c r="L1167" s="230">
        <v>10499782</v>
      </c>
    </row>
    <row r="1168" spans="1:12" ht="11.25" customHeight="1" x14ac:dyDescent="0.2">
      <c r="A1168" s="221">
        <v>2022</v>
      </c>
      <c r="B1168" s="221">
        <v>6</v>
      </c>
      <c r="C1168" s="221">
        <v>15</v>
      </c>
      <c r="D1168" s="231">
        <f t="shared" si="123"/>
        <v>44727</v>
      </c>
      <c r="E1168" s="233">
        <f t="shared" ref="E1168:E1173" si="125">DATE(A1168,B1168,C1168)</f>
        <v>44727</v>
      </c>
      <c r="F1168" s="478" t="s">
        <v>1114</v>
      </c>
      <c r="G1168" s="222" t="s">
        <v>1111</v>
      </c>
      <c r="H1168" s="223" t="str" cm="1">
        <f t="array" ref="H1168">IFERROR(INDEX(INVESTOR_LIST[INVESTOR NAME],MATCH(I1168,INVESTOR_LIST[INVESTOR CODE],0),)," ")</f>
        <v xml:space="preserve"> </v>
      </c>
      <c r="I1168" s="223"/>
      <c r="J1168" s="224" t="s">
        <v>63</v>
      </c>
      <c r="K1168" s="225">
        <v>100</v>
      </c>
      <c r="L1168" s="225"/>
    </row>
    <row r="1169" spans="1:21" ht="11.25" customHeight="1" x14ac:dyDescent="0.2">
      <c r="A1169" s="226">
        <v>2022</v>
      </c>
      <c r="B1169" s="226">
        <v>6</v>
      </c>
      <c r="C1169" s="226">
        <v>15</v>
      </c>
      <c r="D1169" s="232">
        <f t="shared" si="123"/>
        <v>44727</v>
      </c>
      <c r="E1169" s="234">
        <f t="shared" si="125"/>
        <v>44727</v>
      </c>
      <c r="F1169" s="479"/>
      <c r="G1169" s="227" t="s">
        <v>1111</v>
      </c>
      <c r="H1169" s="228" t="str" cm="1">
        <f t="array" ref="H1169">IFERROR(INDEX(INVESTOR_LIST[INVESTOR NAME],MATCH(I1169,INVESTOR_LIST[INVESTOR CODE],0),)," ")</f>
        <v xml:space="preserve"> </v>
      </c>
      <c r="I1169" s="228"/>
      <c r="J1169" s="229" t="s">
        <v>55</v>
      </c>
      <c r="K1169" s="230"/>
      <c r="L1169" s="230">
        <v>100</v>
      </c>
    </row>
    <row r="1170" spans="1:21" ht="11.25" customHeight="1" x14ac:dyDescent="0.2">
      <c r="A1170" s="221">
        <v>2022</v>
      </c>
      <c r="B1170" s="221">
        <v>6</v>
      </c>
      <c r="C1170" s="221">
        <v>15</v>
      </c>
      <c r="D1170" s="231">
        <f t="shared" si="123"/>
        <v>44727</v>
      </c>
      <c r="E1170" s="233">
        <f t="shared" si="125"/>
        <v>44727</v>
      </c>
      <c r="F1170" s="478" t="s">
        <v>1142</v>
      </c>
      <c r="G1170" s="222" t="s">
        <v>1111</v>
      </c>
      <c r="H1170" s="223" t="str" cm="1">
        <f t="array" ref="H1170">IFERROR(INDEX(INVESTOR_LIST[INVESTOR NAME],MATCH(I1170,INVESTOR_LIST[INVESTOR CODE],0),)," ")</f>
        <v xml:space="preserve"> </v>
      </c>
      <c r="I1170" s="223"/>
      <c r="J1170" s="224" t="s">
        <v>189</v>
      </c>
      <c r="K1170" s="225">
        <v>1575</v>
      </c>
      <c r="L1170" s="225"/>
    </row>
    <row r="1171" spans="1:21" ht="11.25" customHeight="1" x14ac:dyDescent="0.2">
      <c r="A1171" s="226">
        <v>2022</v>
      </c>
      <c r="B1171" s="226">
        <v>6</v>
      </c>
      <c r="C1171" s="226">
        <v>15</v>
      </c>
      <c r="D1171" s="232">
        <f t="shared" si="123"/>
        <v>44727</v>
      </c>
      <c r="E1171" s="234">
        <f t="shared" si="125"/>
        <v>44727</v>
      </c>
      <c r="F1171" s="479"/>
      <c r="G1171" s="227" t="s">
        <v>1111</v>
      </c>
      <c r="H1171" s="228" t="str" cm="1">
        <f t="array" ref="H1171">IFERROR(INDEX(INVESTOR_LIST[INVESTOR NAME],MATCH(I1171,INVESTOR_LIST[INVESTOR CODE],0),)," ")</f>
        <v xml:space="preserve"> </v>
      </c>
      <c r="I1171" s="228"/>
      <c r="J1171" s="229" t="s">
        <v>55</v>
      </c>
      <c r="K1171" s="230"/>
      <c r="L1171" s="230">
        <v>1575</v>
      </c>
    </row>
    <row r="1172" spans="1:21" ht="11.25" customHeight="1" x14ac:dyDescent="0.2">
      <c r="A1172" s="221">
        <v>2022</v>
      </c>
      <c r="B1172" s="221">
        <v>6</v>
      </c>
      <c r="C1172" s="221">
        <v>15</v>
      </c>
      <c r="D1172" s="231">
        <f t="shared" si="123"/>
        <v>44727</v>
      </c>
      <c r="E1172" s="233">
        <f t="shared" si="125"/>
        <v>44727</v>
      </c>
      <c r="F1172" s="478" t="s">
        <v>1289</v>
      </c>
      <c r="G1172" s="222" t="s">
        <v>1111</v>
      </c>
      <c r="H1172" s="223" t="s">
        <v>1119</v>
      </c>
      <c r="I1172" s="223"/>
      <c r="J1172" s="224" t="s">
        <v>55</v>
      </c>
      <c r="K1172" s="225">
        <v>34500</v>
      </c>
      <c r="L1172" s="225"/>
      <c r="U1172" s="166"/>
    </row>
    <row r="1173" spans="1:21" ht="11.25" customHeight="1" x14ac:dyDescent="0.2">
      <c r="A1173" s="226">
        <v>2022</v>
      </c>
      <c r="B1173" s="226">
        <v>6</v>
      </c>
      <c r="C1173" s="226">
        <v>15</v>
      </c>
      <c r="D1173" s="232">
        <f t="shared" si="123"/>
        <v>44727</v>
      </c>
      <c r="E1173" s="234">
        <f t="shared" si="125"/>
        <v>44727</v>
      </c>
      <c r="F1173" s="479"/>
      <c r="G1173" s="227" t="s">
        <v>1111</v>
      </c>
      <c r="H1173" s="228" t="s">
        <v>1119</v>
      </c>
      <c r="I1173" s="228"/>
      <c r="J1173" s="229" t="s">
        <v>174</v>
      </c>
      <c r="K1173" s="230"/>
      <c r="L1173" s="230">
        <v>34500</v>
      </c>
      <c r="U1173" s="166"/>
    </row>
    <row r="1174" spans="1:21" ht="11.25" customHeight="1" x14ac:dyDescent="0.2">
      <c r="A1174" s="221">
        <v>2022</v>
      </c>
      <c r="B1174" s="221">
        <v>6</v>
      </c>
      <c r="C1174" s="221">
        <v>15</v>
      </c>
      <c r="D1174" s="231">
        <f t="shared" si="123"/>
        <v>44727</v>
      </c>
      <c r="E1174" s="233">
        <f t="shared" ref="E1174:E1175" si="126">DATE(A1174,B1174,C1174)</f>
        <v>44727</v>
      </c>
      <c r="F1174" s="478" t="s">
        <v>1290</v>
      </c>
      <c r="G1174" s="222" t="s">
        <v>1111</v>
      </c>
      <c r="H1174" s="223" t="s">
        <v>1119</v>
      </c>
      <c r="I1174" s="223"/>
      <c r="J1174" s="224" t="s">
        <v>55</v>
      </c>
      <c r="K1174" s="225">
        <v>34500</v>
      </c>
      <c r="L1174" s="225"/>
      <c r="U1174" s="166"/>
    </row>
    <row r="1175" spans="1:21" ht="11.25" customHeight="1" x14ac:dyDescent="0.2">
      <c r="A1175" s="226">
        <v>2022</v>
      </c>
      <c r="B1175" s="226">
        <v>6</v>
      </c>
      <c r="C1175" s="226">
        <v>15</v>
      </c>
      <c r="D1175" s="232">
        <f t="shared" si="123"/>
        <v>44727</v>
      </c>
      <c r="E1175" s="234">
        <f t="shared" si="126"/>
        <v>44727</v>
      </c>
      <c r="F1175" s="479"/>
      <c r="G1175" s="227" t="s">
        <v>1111</v>
      </c>
      <c r="H1175" s="228" t="s">
        <v>1119</v>
      </c>
      <c r="I1175" s="228"/>
      <c r="J1175" s="229" t="s">
        <v>174</v>
      </c>
      <c r="K1175" s="230"/>
      <c r="L1175" s="230">
        <v>34500</v>
      </c>
      <c r="U1175" s="166"/>
    </row>
    <row r="1176" spans="1:21" ht="11.25" customHeight="1" x14ac:dyDescent="0.2">
      <c r="A1176" s="221">
        <v>2022</v>
      </c>
      <c r="B1176" s="221">
        <v>6</v>
      </c>
      <c r="C1176" s="221">
        <v>16</v>
      </c>
      <c r="D1176" s="231">
        <f t="shared" si="123"/>
        <v>44728</v>
      </c>
      <c r="E1176" s="233">
        <f>DATE(A1176,B1176,C1176)</f>
        <v>44728</v>
      </c>
      <c r="F1176" s="478" t="s">
        <v>1115</v>
      </c>
      <c r="G1176" s="222" t="s">
        <v>1111</v>
      </c>
      <c r="H1176" s="223" t="str" cm="1">
        <f t="array" ref="H1176">IFERROR(INDEX(INVESTOR_LIST[INVESTOR NAME],MATCH(I1176,INVESTOR_LIST[INVESTOR CODE],0),)," ")</f>
        <v>MD MIZANUR RAHMAN</v>
      </c>
      <c r="I1176" s="223" t="s">
        <v>431</v>
      </c>
      <c r="J1176" s="224" t="s">
        <v>14</v>
      </c>
      <c r="K1176" s="225">
        <v>274660</v>
      </c>
      <c r="L1176" s="225"/>
    </row>
    <row r="1177" spans="1:21" ht="11.25" customHeight="1" x14ac:dyDescent="0.2">
      <c r="A1177" s="164">
        <v>2022</v>
      </c>
      <c r="B1177" s="164">
        <v>6</v>
      </c>
      <c r="C1177" s="164">
        <v>16</v>
      </c>
      <c r="D1177" s="156">
        <f t="shared" si="123"/>
        <v>44728</v>
      </c>
      <c r="E1177" s="235">
        <f>DATE(A1177,B1177,C1177)</f>
        <v>44728</v>
      </c>
      <c r="F1177" s="480"/>
      <c r="G1177" s="208" t="s">
        <v>1111</v>
      </c>
      <c r="H1177" s="206" t="str" cm="1">
        <f t="array" ref="H1177">IFERROR(INDEX(INVESTOR_LIST[INVESTOR NAME],MATCH(I1177,INVESTOR_LIST[INVESTOR CODE],0),)," ")</f>
        <v>MD MIZANUR RAHMAN</v>
      </c>
      <c r="I1177" s="206" t="s">
        <v>431</v>
      </c>
      <c r="J1177" s="165" t="s">
        <v>1112</v>
      </c>
      <c r="K1177" s="205"/>
      <c r="L1177" s="205">
        <v>1095.08</v>
      </c>
    </row>
    <row r="1178" spans="1:21" ht="11.25" customHeight="1" x14ac:dyDescent="0.2">
      <c r="A1178" s="226">
        <v>2022</v>
      </c>
      <c r="B1178" s="226">
        <v>6</v>
      </c>
      <c r="C1178" s="226">
        <v>16</v>
      </c>
      <c r="D1178" s="232">
        <f t="shared" si="123"/>
        <v>44728</v>
      </c>
      <c r="E1178" s="234">
        <f>DATE(A1178,B1178,C1178)</f>
        <v>44728</v>
      </c>
      <c r="F1178" s="479"/>
      <c r="G1178" s="227" t="s">
        <v>1111</v>
      </c>
      <c r="H1178" s="228" t="str" cm="1">
        <f t="array" ref="H1178">IFERROR(INDEX(INVESTOR_LIST[INVESTOR NAME],MATCH(I1178,INVESTOR_LIST[INVESTOR CODE],0),)," ")</f>
        <v>MD MIZANUR RAHMAN</v>
      </c>
      <c r="I1178" s="228" t="s">
        <v>431</v>
      </c>
      <c r="J1178" s="229" t="s">
        <v>55</v>
      </c>
      <c r="K1178" s="230"/>
      <c r="L1178" s="230">
        <v>273564.92</v>
      </c>
      <c r="M1178" s="166"/>
    </row>
    <row r="1179" spans="1:21" ht="11.25" customHeight="1" x14ac:dyDescent="0.2">
      <c r="A1179" s="221">
        <v>2022</v>
      </c>
      <c r="B1179" s="221">
        <v>6</v>
      </c>
      <c r="C1179" s="221">
        <v>16</v>
      </c>
      <c r="D1179" s="231">
        <f t="shared" si="123"/>
        <v>44728</v>
      </c>
      <c r="E1179" s="233">
        <f t="shared" ref="E1179:E1181" si="127">DATE(A1179,B1179,C1179)</f>
        <v>44728</v>
      </c>
      <c r="F1179" s="478" t="s">
        <v>1132</v>
      </c>
      <c r="G1179" s="222" t="s">
        <v>1111</v>
      </c>
      <c r="H1179" s="223" t="str" cm="1">
        <f t="array" ref="H1179">IFERROR(INDEX(INVESTOR_LIST[INVESTOR NAME],MATCH(I1179,INVESTOR_LIST[INVESTOR CODE],0),)," ")</f>
        <v>ANIK KUMAR GUPTA</v>
      </c>
      <c r="I1179" s="223" t="s">
        <v>950</v>
      </c>
      <c r="J1179" s="224" t="s">
        <v>55</v>
      </c>
      <c r="K1179" s="225">
        <v>1000</v>
      </c>
      <c r="L1179" s="225"/>
      <c r="M1179" s="166"/>
    </row>
    <row r="1180" spans="1:21" ht="11.25" customHeight="1" x14ac:dyDescent="0.2">
      <c r="A1180" s="164">
        <v>2022</v>
      </c>
      <c r="B1180" s="164">
        <v>6</v>
      </c>
      <c r="C1180" s="164">
        <v>16</v>
      </c>
      <c r="D1180" s="156">
        <f t="shared" si="123"/>
        <v>44728</v>
      </c>
      <c r="E1180" s="235">
        <f t="shared" si="127"/>
        <v>44728</v>
      </c>
      <c r="F1180" s="480"/>
      <c r="G1180" s="208" t="s">
        <v>1111</v>
      </c>
      <c r="H1180" s="206" t="str" cm="1">
        <f t="array" ref="H1180">IFERROR(INDEX(INVESTOR_LIST[INVESTOR NAME],MATCH(I1180,INVESTOR_LIST[INVESTOR CODE],0),)," ")</f>
        <v>ANIK KUMAR GUPTA</v>
      </c>
      <c r="I1180" s="206" t="s">
        <v>950</v>
      </c>
      <c r="J1180" s="165" t="s">
        <v>1112</v>
      </c>
      <c r="K1180" s="205">
        <v>10</v>
      </c>
      <c r="L1180" s="205"/>
    </row>
    <row r="1181" spans="1:21" ht="11.25" customHeight="1" x14ac:dyDescent="0.2">
      <c r="A1181" s="226">
        <v>2022</v>
      </c>
      <c r="B1181" s="226">
        <v>6</v>
      </c>
      <c r="C1181" s="226">
        <v>16</v>
      </c>
      <c r="D1181" s="232">
        <f t="shared" si="123"/>
        <v>44728</v>
      </c>
      <c r="E1181" s="234">
        <f t="shared" si="127"/>
        <v>44728</v>
      </c>
      <c r="F1181" s="479"/>
      <c r="G1181" s="227" t="s">
        <v>1111</v>
      </c>
      <c r="H1181" s="228" t="str" cm="1">
        <f t="array" ref="H1181">IFERROR(INDEX(INVESTOR_LIST[INVESTOR NAME],MATCH(I1181,INVESTOR_LIST[INVESTOR CODE],0),)," ")</f>
        <v>ANIK KUMAR GUPTA</v>
      </c>
      <c r="I1181" s="228" t="s">
        <v>950</v>
      </c>
      <c r="J1181" s="229" t="s">
        <v>14</v>
      </c>
      <c r="K1181" s="230"/>
      <c r="L1181" s="230">
        <v>1010</v>
      </c>
    </row>
    <row r="1182" spans="1:21" ht="11.25" customHeight="1" x14ac:dyDescent="0.2">
      <c r="A1182" s="236">
        <v>2022</v>
      </c>
      <c r="B1182" s="236">
        <v>6</v>
      </c>
      <c r="C1182" s="236">
        <v>16</v>
      </c>
      <c r="D1182" s="237">
        <f t="shared" si="123"/>
        <v>44728</v>
      </c>
      <c r="E1182" s="238">
        <f t="shared" si="120"/>
        <v>44728</v>
      </c>
      <c r="F1182" s="476" t="s">
        <v>1118</v>
      </c>
      <c r="G1182" s="239" t="s">
        <v>86</v>
      </c>
      <c r="H1182" s="239" t="str" cm="1">
        <f t="array" ref="H1182">IFERROR(INDEX(INVESTOR_LIST[INVESTOR NAME],MATCH(I1182,INVESTOR_LIST[INVESTOR CODE],0),)," ")</f>
        <v xml:space="preserve"> </v>
      </c>
      <c r="I1182" s="240"/>
      <c r="J1182" s="241" t="s">
        <v>82</v>
      </c>
      <c r="K1182" s="242">
        <v>1579765.0400000066</v>
      </c>
      <c r="L1182" s="242"/>
    </row>
    <row r="1183" spans="1:21" ht="11.25" customHeight="1" x14ac:dyDescent="0.2">
      <c r="A1183" s="243">
        <v>2022</v>
      </c>
      <c r="B1183" s="243">
        <v>6</v>
      </c>
      <c r="C1183" s="243">
        <v>16</v>
      </c>
      <c r="D1183" s="248">
        <f t="shared" si="123"/>
        <v>44728</v>
      </c>
      <c r="E1183" s="249">
        <f t="shared" si="120"/>
        <v>44728</v>
      </c>
      <c r="F1183" s="477"/>
      <c r="G1183" s="244" t="s">
        <v>86</v>
      </c>
      <c r="H1183" s="244" t="str" cm="1">
        <f t="array" ref="H1183">IFERROR(INDEX(INVESTOR_LIST[INVESTOR NAME],MATCH(I1183,INVESTOR_LIST[INVESTOR CODE],0),)," ")</f>
        <v xml:space="preserve"> </v>
      </c>
      <c r="I1183" s="245"/>
      <c r="J1183" s="246" t="s">
        <v>98</v>
      </c>
      <c r="K1183" s="247"/>
      <c r="L1183" s="247">
        <v>1579765.0400000066</v>
      </c>
      <c r="M1183" s="166"/>
    </row>
    <row r="1184" spans="1:21" ht="11.25" customHeight="1" x14ac:dyDescent="0.2">
      <c r="A1184" s="236">
        <v>2022</v>
      </c>
      <c r="B1184" s="236">
        <v>6</v>
      </c>
      <c r="C1184" s="236">
        <v>16</v>
      </c>
      <c r="D1184" s="237">
        <f t="shared" si="123"/>
        <v>44728</v>
      </c>
      <c r="E1184" s="238">
        <f t="shared" si="120"/>
        <v>44728</v>
      </c>
      <c r="F1184" s="476" t="s">
        <v>1120</v>
      </c>
      <c r="G1184" s="239" t="s">
        <v>86</v>
      </c>
      <c r="H1184" s="239" t="str" cm="1">
        <f t="array" ref="H1184">IFERROR(INDEX(INVESTOR_LIST[INVESTOR NAME],MATCH(I1184,INVESTOR_LIST[INVESTOR CODE],0),)," ")</f>
        <v xml:space="preserve"> </v>
      </c>
      <c r="I1184" s="240"/>
      <c r="J1184" s="241" t="s">
        <v>87</v>
      </c>
      <c r="K1184" s="242">
        <v>2747.2527472527472</v>
      </c>
      <c r="L1184" s="242"/>
    </row>
    <row r="1185" spans="1:13" ht="11.25" customHeight="1" x14ac:dyDescent="0.2">
      <c r="A1185" s="243">
        <v>2022</v>
      </c>
      <c r="B1185" s="243">
        <v>6</v>
      </c>
      <c r="C1185" s="243">
        <v>16</v>
      </c>
      <c r="D1185" s="248">
        <f t="shared" si="123"/>
        <v>44728</v>
      </c>
      <c r="E1185" s="249">
        <f t="shared" si="120"/>
        <v>44728</v>
      </c>
      <c r="F1185" s="477"/>
      <c r="G1185" s="244" t="s">
        <v>86</v>
      </c>
      <c r="H1185" s="244" t="str" cm="1">
        <f t="array" ref="H1185">IFERROR(INDEX(INVESTOR_LIST[INVESTOR NAME],MATCH(I1185,INVESTOR_LIST[INVESTOR CODE],0),)," ")</f>
        <v xml:space="preserve"> </v>
      </c>
      <c r="I1185" s="245"/>
      <c r="J1185" s="246" t="s">
        <v>64</v>
      </c>
      <c r="K1185" s="247"/>
      <c r="L1185" s="247">
        <v>2747.2527472527472</v>
      </c>
    </row>
    <row r="1186" spans="1:13" ht="11.25" customHeight="1" x14ac:dyDescent="0.2">
      <c r="A1186" s="236">
        <v>2022</v>
      </c>
      <c r="B1186" s="236">
        <v>6</v>
      </c>
      <c r="C1186" s="236">
        <v>16</v>
      </c>
      <c r="D1186" s="237">
        <f t="shared" si="123"/>
        <v>44728</v>
      </c>
      <c r="E1186" s="238">
        <f t="shared" si="120"/>
        <v>44728</v>
      </c>
      <c r="F1186" s="476" t="s">
        <v>1121</v>
      </c>
      <c r="G1186" s="239" t="s">
        <v>86</v>
      </c>
      <c r="H1186" s="239" t="str" cm="1">
        <f t="array" ref="H1186">IFERROR(INDEX(INVESTOR_LIST[INVESTOR NAME],MATCH(I1186,INVESTOR_LIST[INVESTOR CODE],0),)," ")</f>
        <v xml:space="preserve"> </v>
      </c>
      <c r="I1186" s="240"/>
      <c r="J1186" s="241" t="s">
        <v>89</v>
      </c>
      <c r="K1186" s="242">
        <v>97626.24042104269</v>
      </c>
      <c r="L1186" s="242"/>
      <c r="M1186" s="166"/>
    </row>
    <row r="1187" spans="1:13" ht="11.25" customHeight="1" x14ac:dyDescent="0.2">
      <c r="A1187" s="243">
        <v>2022</v>
      </c>
      <c r="B1187" s="243">
        <v>6</v>
      </c>
      <c r="C1187" s="243">
        <v>16</v>
      </c>
      <c r="D1187" s="248">
        <f t="shared" si="123"/>
        <v>44728</v>
      </c>
      <c r="E1187" s="249">
        <f t="shared" si="120"/>
        <v>44728</v>
      </c>
      <c r="F1187" s="477"/>
      <c r="G1187" s="244" t="s">
        <v>86</v>
      </c>
      <c r="H1187" s="244" t="str" cm="1">
        <f t="array" ref="H1187">IFERROR(INDEX(INVESTOR_LIST[INVESTOR NAME],MATCH(I1187,INVESTOR_LIST[INVESTOR CODE],0),)," ")</f>
        <v xml:space="preserve"> </v>
      </c>
      <c r="I1187" s="245"/>
      <c r="J1187" s="246" t="s">
        <v>50</v>
      </c>
      <c r="K1187" s="247"/>
      <c r="L1187" s="247">
        <v>97626.24042104269</v>
      </c>
    </row>
    <row r="1188" spans="1:13" ht="11.25" customHeight="1" x14ac:dyDescent="0.2">
      <c r="A1188" s="236">
        <v>2022</v>
      </c>
      <c r="B1188" s="236">
        <v>6</v>
      </c>
      <c r="C1188" s="236">
        <v>16</v>
      </c>
      <c r="D1188" s="237">
        <f t="shared" si="123"/>
        <v>44728</v>
      </c>
      <c r="E1188" s="238">
        <f t="shared" si="120"/>
        <v>44728</v>
      </c>
      <c r="F1188" s="476" t="s">
        <v>1122</v>
      </c>
      <c r="G1188" s="239" t="s">
        <v>86</v>
      </c>
      <c r="H1188" s="239" t="str" cm="1">
        <f t="array" ref="H1188">IFERROR(INDEX(INVESTOR_LIST[INVESTOR NAME],MATCH(I1188,INVESTOR_LIST[INVESTOR CODE],0),)," ")</f>
        <v xml:space="preserve"> </v>
      </c>
      <c r="I1188" s="240"/>
      <c r="J1188" s="241" t="s">
        <v>91</v>
      </c>
      <c r="K1188" s="242">
        <v>4640.9274056675185</v>
      </c>
      <c r="L1188" s="242"/>
    </row>
    <row r="1189" spans="1:13" ht="11.25" customHeight="1" x14ac:dyDescent="0.2">
      <c r="A1189" s="243">
        <v>2022</v>
      </c>
      <c r="B1189" s="243">
        <v>6</v>
      </c>
      <c r="C1189" s="243">
        <v>16</v>
      </c>
      <c r="D1189" s="248">
        <f t="shared" si="123"/>
        <v>44728</v>
      </c>
      <c r="E1189" s="249">
        <f t="shared" si="120"/>
        <v>44728</v>
      </c>
      <c r="F1189" s="477"/>
      <c r="G1189" s="244" t="s">
        <v>86</v>
      </c>
      <c r="H1189" s="244" t="str" cm="1">
        <f t="array" ref="H1189">IFERROR(INDEX(INVESTOR_LIST[INVESTOR NAME],MATCH(I1189,INVESTOR_LIST[INVESTOR CODE],0),)," ")</f>
        <v xml:space="preserve"> </v>
      </c>
      <c r="I1189" s="245"/>
      <c r="J1189" s="246" t="s">
        <v>51</v>
      </c>
      <c r="K1189" s="247"/>
      <c r="L1189" s="247">
        <v>4640.9274056675185</v>
      </c>
      <c r="M1189" s="166"/>
    </row>
    <row r="1190" spans="1:13" ht="11.25" customHeight="1" x14ac:dyDescent="0.2">
      <c r="A1190" s="221">
        <v>2022</v>
      </c>
      <c r="B1190" s="221">
        <v>6</v>
      </c>
      <c r="C1190" s="221">
        <v>19</v>
      </c>
      <c r="D1190" s="231">
        <f t="shared" si="123"/>
        <v>44731</v>
      </c>
      <c r="E1190" s="233">
        <f>DATE(A1190,B1190,C1190)</f>
        <v>44731</v>
      </c>
      <c r="F1190" s="478" t="s">
        <v>1115</v>
      </c>
      <c r="G1190" s="222" t="s">
        <v>1111</v>
      </c>
      <c r="H1190" s="223" t="str" cm="1">
        <f t="array" ref="H1190">IFERROR(INDEX(INVESTOR_LIST[INVESTOR NAME],MATCH(I1190,INVESTOR_LIST[INVESTOR CODE],0),)," ")</f>
        <v>AZIZUL ISLAM</v>
      </c>
      <c r="I1190" s="223" t="s">
        <v>953</v>
      </c>
      <c r="J1190" s="224" t="s">
        <v>14</v>
      </c>
      <c r="K1190" s="225">
        <v>2500000</v>
      </c>
      <c r="L1190" s="225"/>
    </row>
    <row r="1191" spans="1:13" ht="11.25" customHeight="1" x14ac:dyDescent="0.2">
      <c r="A1191" s="164">
        <v>2022</v>
      </c>
      <c r="B1191" s="164">
        <v>6</v>
      </c>
      <c r="C1191" s="164">
        <v>19</v>
      </c>
      <c r="D1191" s="156">
        <f t="shared" si="123"/>
        <v>44731</v>
      </c>
      <c r="E1191" s="235">
        <f>DATE(A1191,B1191,C1191)</f>
        <v>44731</v>
      </c>
      <c r="F1191" s="480"/>
      <c r="G1191" s="208" t="s">
        <v>1111</v>
      </c>
      <c r="H1191" s="206" t="str" cm="1">
        <f t="array" ref="H1191">IFERROR(INDEX(INVESTOR_LIST[INVESTOR NAME],MATCH(I1191,INVESTOR_LIST[INVESTOR CODE],0),)," ")</f>
        <v>AZIZUL ISLAM</v>
      </c>
      <c r="I1191" s="206" t="s">
        <v>953</v>
      </c>
      <c r="J1191" s="165" t="s">
        <v>1112</v>
      </c>
      <c r="K1191" s="205"/>
      <c r="L1191" s="205">
        <v>25000</v>
      </c>
    </row>
    <row r="1192" spans="1:13" ht="11.25" customHeight="1" x14ac:dyDescent="0.2">
      <c r="A1192" s="226">
        <v>2022</v>
      </c>
      <c r="B1192" s="226">
        <v>6</v>
      </c>
      <c r="C1192" s="226">
        <v>19</v>
      </c>
      <c r="D1192" s="232">
        <f t="shared" si="123"/>
        <v>44731</v>
      </c>
      <c r="E1192" s="234">
        <f>DATE(A1192,B1192,C1192)</f>
        <v>44731</v>
      </c>
      <c r="F1192" s="479"/>
      <c r="G1192" s="227" t="s">
        <v>1111</v>
      </c>
      <c r="H1192" s="228" t="str" cm="1">
        <f t="array" ref="H1192">IFERROR(INDEX(INVESTOR_LIST[INVESTOR NAME],MATCH(I1192,INVESTOR_LIST[INVESTOR CODE],0),)," ")</f>
        <v>AZIZUL ISLAM</v>
      </c>
      <c r="I1192" s="228" t="s">
        <v>953</v>
      </c>
      <c r="J1192" s="229" t="s">
        <v>55</v>
      </c>
      <c r="K1192" s="230"/>
      <c r="L1192" s="230">
        <v>2475000</v>
      </c>
    </row>
    <row r="1193" spans="1:13" ht="11.25" customHeight="1" x14ac:dyDescent="0.2">
      <c r="A1193" s="221">
        <v>2022</v>
      </c>
      <c r="B1193" s="221">
        <v>6</v>
      </c>
      <c r="C1193" s="221">
        <v>21</v>
      </c>
      <c r="D1193" s="231">
        <f t="shared" si="123"/>
        <v>44733</v>
      </c>
      <c r="E1193" s="233">
        <f t="shared" si="120"/>
        <v>44733</v>
      </c>
      <c r="F1193" s="478" t="s">
        <v>1209</v>
      </c>
      <c r="G1193" s="222" t="s">
        <v>1111</v>
      </c>
      <c r="H1193" s="223" t="str" cm="1">
        <f t="array" ref="H1193">IFERROR(INDEX(INVESTOR_LIST[INVESTOR NAME],MATCH(I1193,INVESTOR_LIST[INVESTOR CODE],0),)," ")</f>
        <v xml:space="preserve"> </v>
      </c>
      <c r="I1193" s="223"/>
      <c r="J1193" s="224" t="s">
        <v>95</v>
      </c>
      <c r="K1193" s="225">
        <v>5289.76</v>
      </c>
      <c r="L1193" s="225"/>
    </row>
    <row r="1194" spans="1:13" ht="11.25" customHeight="1" x14ac:dyDescent="0.2">
      <c r="A1194" s="226">
        <v>2022</v>
      </c>
      <c r="B1194" s="226">
        <v>6</v>
      </c>
      <c r="C1194" s="226">
        <v>21</v>
      </c>
      <c r="D1194" s="232">
        <f t="shared" si="123"/>
        <v>44733</v>
      </c>
      <c r="E1194" s="234">
        <f t="shared" si="120"/>
        <v>44733</v>
      </c>
      <c r="F1194" s="479"/>
      <c r="G1194" s="227" t="s">
        <v>1111</v>
      </c>
      <c r="H1194" s="228" t="str" cm="1">
        <f t="array" ref="H1194">IFERROR(INDEX(INVESTOR_LIST[INVESTOR NAME],MATCH(I1194,INVESTOR_LIST[INVESTOR CODE],0),)," ")</f>
        <v xml:space="preserve"> </v>
      </c>
      <c r="I1194" s="228"/>
      <c r="J1194" s="229" t="s">
        <v>55</v>
      </c>
      <c r="K1194" s="230"/>
      <c r="L1194" s="230">
        <v>5289.76</v>
      </c>
    </row>
    <row r="1195" spans="1:13" ht="11.25" customHeight="1" x14ac:dyDescent="0.2">
      <c r="A1195" s="221">
        <v>2022</v>
      </c>
      <c r="B1195" s="221">
        <v>6</v>
      </c>
      <c r="C1195" s="221">
        <v>20</v>
      </c>
      <c r="D1195" s="231">
        <f t="shared" si="123"/>
        <v>44732</v>
      </c>
      <c r="E1195" s="233">
        <f t="shared" ref="E1195:E1209" si="128">DATE(A1195,B1195,C1195)</f>
        <v>44732</v>
      </c>
      <c r="F1195" s="478" t="s">
        <v>802</v>
      </c>
      <c r="G1195" s="222" t="s">
        <v>1111</v>
      </c>
      <c r="H1195" s="223" t="str" cm="1">
        <f t="array" ref="H1195">IFERROR(INDEX(INVESTOR_LIST[INVESTOR NAME],MATCH(I1195,INVESTOR_LIST[INVESTOR CODE],0),)," ")</f>
        <v>MOHAMMAD MOHIBUL ISLAM</v>
      </c>
      <c r="I1195" s="223" t="s">
        <v>430</v>
      </c>
      <c r="J1195" s="224" t="s">
        <v>55</v>
      </c>
      <c r="K1195" s="225">
        <v>60000</v>
      </c>
      <c r="L1195" s="225"/>
    </row>
    <row r="1196" spans="1:13" ht="11.25" customHeight="1" x14ac:dyDescent="0.2">
      <c r="A1196" s="164">
        <v>2022</v>
      </c>
      <c r="B1196" s="164">
        <v>6</v>
      </c>
      <c r="C1196" s="164">
        <v>20</v>
      </c>
      <c r="D1196" s="156">
        <f t="shared" si="123"/>
        <v>44732</v>
      </c>
      <c r="E1196" s="235">
        <f t="shared" si="128"/>
        <v>44732</v>
      </c>
      <c r="F1196" s="480"/>
      <c r="G1196" s="208" t="s">
        <v>1111</v>
      </c>
      <c r="H1196" s="206" t="str" cm="1">
        <f t="array" ref="H1196">IFERROR(INDEX(INVESTOR_LIST[INVESTOR NAME],MATCH(I1196,INVESTOR_LIST[INVESTOR CODE],0),)," ")</f>
        <v>MOHAMMAD MOHIBUL ISLAM</v>
      </c>
      <c r="I1196" s="206" t="s">
        <v>430</v>
      </c>
      <c r="J1196" s="165" t="s">
        <v>1112</v>
      </c>
      <c r="K1196" s="205">
        <v>1100</v>
      </c>
      <c r="L1196" s="205"/>
    </row>
    <row r="1197" spans="1:13" ht="11.25" customHeight="1" x14ac:dyDescent="0.2">
      <c r="A1197" s="226">
        <v>2022</v>
      </c>
      <c r="B1197" s="226">
        <v>6</v>
      </c>
      <c r="C1197" s="226">
        <v>20</v>
      </c>
      <c r="D1197" s="232">
        <f t="shared" si="123"/>
        <v>44732</v>
      </c>
      <c r="E1197" s="234">
        <f t="shared" si="128"/>
        <v>44732</v>
      </c>
      <c r="F1197" s="479"/>
      <c r="G1197" s="227" t="s">
        <v>1111</v>
      </c>
      <c r="H1197" s="228" t="str" cm="1">
        <f t="array" ref="H1197">IFERROR(INDEX(INVESTOR_LIST[INVESTOR NAME],MATCH(I1197,INVESTOR_LIST[INVESTOR CODE],0),)," ")</f>
        <v>MOHAMMAD MOHIBUL ISLAM</v>
      </c>
      <c r="I1197" s="228" t="s">
        <v>430</v>
      </c>
      <c r="J1197" s="229" t="s">
        <v>14</v>
      </c>
      <c r="K1197" s="230"/>
      <c r="L1197" s="230">
        <v>61100</v>
      </c>
    </row>
    <row r="1198" spans="1:13" ht="11.25" customHeight="1" x14ac:dyDescent="0.2">
      <c r="A1198" s="221">
        <v>2022</v>
      </c>
      <c r="B1198" s="221">
        <v>6</v>
      </c>
      <c r="C1198" s="221">
        <v>21</v>
      </c>
      <c r="D1198" s="231">
        <f t="shared" si="123"/>
        <v>44733</v>
      </c>
      <c r="E1198" s="233">
        <f t="shared" si="128"/>
        <v>44733</v>
      </c>
      <c r="F1198" s="478" t="s">
        <v>802</v>
      </c>
      <c r="G1198" s="222" t="s">
        <v>1111</v>
      </c>
      <c r="H1198" s="223" t="str" cm="1">
        <f t="array" ref="H1198">IFERROR(INDEX(INVESTOR_LIST[INVESTOR NAME],MATCH(I1198,INVESTOR_LIST[INVESTOR CODE],0),)," ")</f>
        <v>MD MOHSINUR RAHMAN</v>
      </c>
      <c r="I1198" s="223" t="s">
        <v>1230</v>
      </c>
      <c r="J1198" s="224" t="s">
        <v>55</v>
      </c>
      <c r="K1198" s="225">
        <v>250000</v>
      </c>
      <c r="L1198" s="225"/>
    </row>
    <row r="1199" spans="1:13" ht="11.25" customHeight="1" x14ac:dyDescent="0.2">
      <c r="A1199" s="164">
        <v>2022</v>
      </c>
      <c r="B1199" s="164">
        <v>6</v>
      </c>
      <c r="C1199" s="164">
        <v>21</v>
      </c>
      <c r="D1199" s="156">
        <f t="shared" si="123"/>
        <v>44733</v>
      </c>
      <c r="E1199" s="235">
        <f t="shared" si="128"/>
        <v>44733</v>
      </c>
      <c r="F1199" s="480"/>
      <c r="G1199" s="208" t="s">
        <v>1111</v>
      </c>
      <c r="H1199" s="206" t="str" cm="1">
        <f t="array" ref="H1199">IFERROR(INDEX(INVESTOR_LIST[INVESTOR NAME],MATCH(I1199,INVESTOR_LIST[INVESTOR CODE],0),)," ")</f>
        <v>MD MOHSINUR RAHMAN</v>
      </c>
      <c r="I1199" s="206" t="s">
        <v>1230</v>
      </c>
      <c r="J1199" s="165" t="s">
        <v>1112</v>
      </c>
      <c r="K1199" s="205">
        <v>4590</v>
      </c>
      <c r="L1199" s="205"/>
    </row>
    <row r="1200" spans="1:13" ht="11.25" customHeight="1" x14ac:dyDescent="0.2">
      <c r="A1200" s="226">
        <v>2022</v>
      </c>
      <c r="B1200" s="226">
        <v>6</v>
      </c>
      <c r="C1200" s="226">
        <v>21</v>
      </c>
      <c r="D1200" s="232">
        <f t="shared" si="123"/>
        <v>44733</v>
      </c>
      <c r="E1200" s="234">
        <f t="shared" si="128"/>
        <v>44733</v>
      </c>
      <c r="F1200" s="479"/>
      <c r="G1200" s="227" t="s">
        <v>1111</v>
      </c>
      <c r="H1200" s="228" t="str" cm="1">
        <f t="array" ref="H1200">IFERROR(INDEX(INVESTOR_LIST[INVESTOR NAME],MATCH(I1200,INVESTOR_LIST[INVESTOR CODE],0),)," ")</f>
        <v>MD MOHSINUR RAHMAN</v>
      </c>
      <c r="I1200" s="228" t="s">
        <v>1230</v>
      </c>
      <c r="J1200" s="229" t="s">
        <v>14</v>
      </c>
      <c r="K1200" s="230"/>
      <c r="L1200" s="230">
        <v>254590</v>
      </c>
    </row>
    <row r="1201" spans="1:13" ht="11.25" customHeight="1" x14ac:dyDescent="0.2">
      <c r="A1201" s="221">
        <v>2022</v>
      </c>
      <c r="B1201" s="221">
        <v>6</v>
      </c>
      <c r="C1201" s="221">
        <v>22</v>
      </c>
      <c r="D1201" s="231">
        <f t="shared" si="123"/>
        <v>44734</v>
      </c>
      <c r="E1201" s="233">
        <f t="shared" si="128"/>
        <v>44734</v>
      </c>
      <c r="F1201" s="478" t="s">
        <v>802</v>
      </c>
      <c r="G1201" s="222" t="s">
        <v>1111</v>
      </c>
      <c r="H1201" s="223" t="str" cm="1">
        <f t="array" ref="H1201">IFERROR(INDEX(INVESTOR_LIST[INVESTOR NAME],MATCH(I1201,INVESTOR_LIST[INVESTOR CODE],0),)," ")</f>
        <v>JNANDIP PAUL</v>
      </c>
      <c r="I1201" s="223" t="s">
        <v>408</v>
      </c>
      <c r="J1201" s="224" t="s">
        <v>55</v>
      </c>
      <c r="K1201" s="225">
        <v>300000</v>
      </c>
      <c r="L1201" s="225"/>
    </row>
    <row r="1202" spans="1:13" ht="11.25" customHeight="1" x14ac:dyDescent="0.2">
      <c r="A1202" s="164">
        <v>2022</v>
      </c>
      <c r="B1202" s="164">
        <v>6</v>
      </c>
      <c r="C1202" s="164">
        <v>22</v>
      </c>
      <c r="D1202" s="156">
        <f t="shared" si="123"/>
        <v>44734</v>
      </c>
      <c r="E1202" s="235">
        <f t="shared" si="128"/>
        <v>44734</v>
      </c>
      <c r="F1202" s="480"/>
      <c r="G1202" s="208" t="s">
        <v>1111</v>
      </c>
      <c r="H1202" s="206" t="str" cm="1">
        <f t="array" ref="H1202">IFERROR(INDEX(INVESTOR_LIST[INVESTOR NAME],MATCH(I1202,INVESTOR_LIST[INVESTOR CODE],0),)," ")</f>
        <v>JNANDIP PAUL</v>
      </c>
      <c r="I1202" s="206" t="s">
        <v>408</v>
      </c>
      <c r="J1202" s="165" t="s">
        <v>1112</v>
      </c>
      <c r="K1202" s="205">
        <v>5490</v>
      </c>
      <c r="L1202" s="205"/>
    </row>
    <row r="1203" spans="1:13" ht="11.25" customHeight="1" x14ac:dyDescent="0.2">
      <c r="A1203" s="226">
        <v>2022</v>
      </c>
      <c r="B1203" s="226">
        <v>6</v>
      </c>
      <c r="C1203" s="226">
        <v>22</v>
      </c>
      <c r="D1203" s="232">
        <f t="shared" si="123"/>
        <v>44734</v>
      </c>
      <c r="E1203" s="234">
        <f t="shared" si="128"/>
        <v>44734</v>
      </c>
      <c r="F1203" s="479"/>
      <c r="G1203" s="227" t="s">
        <v>1111</v>
      </c>
      <c r="H1203" s="228" t="str" cm="1">
        <f t="array" ref="H1203">IFERROR(INDEX(INVESTOR_LIST[INVESTOR NAME],MATCH(I1203,INVESTOR_LIST[INVESTOR CODE],0),)," ")</f>
        <v>JNANDIP PAUL</v>
      </c>
      <c r="I1203" s="228" t="s">
        <v>408</v>
      </c>
      <c r="J1203" s="229" t="s">
        <v>14</v>
      </c>
      <c r="K1203" s="230"/>
      <c r="L1203" s="230">
        <v>305490</v>
      </c>
    </row>
    <row r="1204" spans="1:13" ht="11.25" customHeight="1" x14ac:dyDescent="0.2">
      <c r="A1204" s="221">
        <v>2022</v>
      </c>
      <c r="B1204" s="221">
        <v>6</v>
      </c>
      <c r="C1204" s="221">
        <v>22</v>
      </c>
      <c r="D1204" s="231">
        <f t="shared" si="123"/>
        <v>44734</v>
      </c>
      <c r="E1204" s="233">
        <f t="shared" si="128"/>
        <v>44734</v>
      </c>
      <c r="F1204" s="478" t="s">
        <v>802</v>
      </c>
      <c r="G1204" s="222" t="s">
        <v>1111</v>
      </c>
      <c r="H1204" s="223" t="str" cm="1">
        <f t="array" ref="H1204">IFERROR(INDEX(INVESTOR_LIST[INVESTOR NAME],MATCH(I1204,INVESTOR_LIST[INVESTOR CODE],0),)," ")</f>
        <v>EKUSH WEALTH MANAGEMENT LIMITED</v>
      </c>
      <c r="I1204" s="223" t="s">
        <v>320</v>
      </c>
      <c r="J1204" s="224" t="s">
        <v>55</v>
      </c>
      <c r="K1204" s="225">
        <v>400000</v>
      </c>
      <c r="L1204" s="225"/>
    </row>
    <row r="1205" spans="1:13" ht="11.25" customHeight="1" x14ac:dyDescent="0.2">
      <c r="A1205" s="164">
        <v>2022</v>
      </c>
      <c r="B1205" s="164">
        <v>6</v>
      </c>
      <c r="C1205" s="164">
        <v>22</v>
      </c>
      <c r="D1205" s="156">
        <f t="shared" si="123"/>
        <v>44734</v>
      </c>
      <c r="E1205" s="235">
        <f t="shared" si="128"/>
        <v>44734</v>
      </c>
      <c r="F1205" s="480"/>
      <c r="G1205" s="208" t="s">
        <v>1111</v>
      </c>
      <c r="H1205" s="206" t="str" cm="1">
        <f t="array" ref="H1205">IFERROR(INDEX(INVESTOR_LIST[INVESTOR NAME],MATCH(I1205,INVESTOR_LIST[INVESTOR CODE],0),)," ")</f>
        <v>EKUSH WEALTH MANAGEMENT LIMITED</v>
      </c>
      <c r="I1205" s="206" t="s">
        <v>320</v>
      </c>
      <c r="J1205" s="165" t="s">
        <v>1112</v>
      </c>
      <c r="K1205" s="205">
        <v>7330</v>
      </c>
      <c r="L1205" s="205"/>
    </row>
    <row r="1206" spans="1:13" ht="11.25" customHeight="1" x14ac:dyDescent="0.2">
      <c r="A1206" s="226">
        <v>2022</v>
      </c>
      <c r="B1206" s="226">
        <v>6</v>
      </c>
      <c r="C1206" s="226">
        <v>22</v>
      </c>
      <c r="D1206" s="232">
        <f t="shared" si="123"/>
        <v>44734</v>
      </c>
      <c r="E1206" s="234">
        <f t="shared" si="128"/>
        <v>44734</v>
      </c>
      <c r="F1206" s="479"/>
      <c r="G1206" s="227" t="s">
        <v>1111</v>
      </c>
      <c r="H1206" s="228" t="str" cm="1">
        <f t="array" ref="H1206">IFERROR(INDEX(INVESTOR_LIST[INVESTOR NAME],MATCH(I1206,INVESTOR_LIST[INVESTOR CODE],0),)," ")</f>
        <v>EKUSH WEALTH MANAGEMENT LIMITED</v>
      </c>
      <c r="I1206" s="228" t="s">
        <v>320</v>
      </c>
      <c r="J1206" s="229" t="s">
        <v>14</v>
      </c>
      <c r="K1206" s="230"/>
      <c r="L1206" s="230">
        <v>407330</v>
      </c>
    </row>
    <row r="1207" spans="1:13" ht="11.25" customHeight="1" x14ac:dyDescent="0.2">
      <c r="A1207" s="221">
        <v>2022</v>
      </c>
      <c r="B1207" s="221">
        <v>6</v>
      </c>
      <c r="C1207" s="221">
        <v>22</v>
      </c>
      <c r="D1207" s="231">
        <f t="shared" si="123"/>
        <v>44734</v>
      </c>
      <c r="E1207" s="233">
        <f t="shared" si="128"/>
        <v>44734</v>
      </c>
      <c r="F1207" s="478" t="s">
        <v>802</v>
      </c>
      <c r="G1207" s="222" t="s">
        <v>1111</v>
      </c>
      <c r="H1207" s="223" t="str" cm="1">
        <f t="array" ref="H1207">IFERROR(INDEX(INVESTOR_LIST[INVESTOR NAME],MATCH(I1207,INVESTOR_LIST[INVESTOR CODE],0),)," ")</f>
        <v>SHUVA SAHA</v>
      </c>
      <c r="I1207" s="223" t="s">
        <v>370</v>
      </c>
      <c r="J1207" s="224" t="s">
        <v>55</v>
      </c>
      <c r="K1207" s="225">
        <v>300000</v>
      </c>
      <c r="L1207" s="225"/>
    </row>
    <row r="1208" spans="1:13" ht="11.25" customHeight="1" x14ac:dyDescent="0.2">
      <c r="A1208" s="164">
        <v>2022</v>
      </c>
      <c r="B1208" s="164">
        <v>6</v>
      </c>
      <c r="C1208" s="164">
        <v>22</v>
      </c>
      <c r="D1208" s="156">
        <f t="shared" si="123"/>
        <v>44734</v>
      </c>
      <c r="E1208" s="235">
        <f t="shared" si="128"/>
        <v>44734</v>
      </c>
      <c r="F1208" s="480"/>
      <c r="G1208" s="208" t="s">
        <v>1111</v>
      </c>
      <c r="H1208" s="206" t="str" cm="1">
        <f t="array" ref="H1208">IFERROR(INDEX(INVESTOR_LIST[INVESTOR NAME],MATCH(I1208,INVESTOR_LIST[INVESTOR CODE],0),)," ")</f>
        <v>SHUVA SAHA</v>
      </c>
      <c r="I1208" s="206" t="s">
        <v>370</v>
      </c>
      <c r="J1208" s="165" t="s">
        <v>1112</v>
      </c>
      <c r="K1208" s="205">
        <v>5490</v>
      </c>
      <c r="L1208" s="205"/>
    </row>
    <row r="1209" spans="1:13" ht="11.25" customHeight="1" x14ac:dyDescent="0.2">
      <c r="A1209" s="226">
        <v>2022</v>
      </c>
      <c r="B1209" s="226">
        <v>6</v>
      </c>
      <c r="C1209" s="226">
        <v>22</v>
      </c>
      <c r="D1209" s="232">
        <f t="shared" si="123"/>
        <v>44734</v>
      </c>
      <c r="E1209" s="234">
        <f t="shared" si="128"/>
        <v>44734</v>
      </c>
      <c r="F1209" s="479"/>
      <c r="G1209" s="227" t="s">
        <v>1111</v>
      </c>
      <c r="H1209" s="228" t="str" cm="1">
        <f t="array" ref="H1209">IFERROR(INDEX(INVESTOR_LIST[INVESTOR NAME],MATCH(I1209,INVESTOR_LIST[INVESTOR CODE],0),)," ")</f>
        <v>SHUVA SAHA</v>
      </c>
      <c r="I1209" s="228" t="s">
        <v>370</v>
      </c>
      <c r="J1209" s="229" t="s">
        <v>14</v>
      </c>
      <c r="K1209" s="230"/>
      <c r="L1209" s="230">
        <v>305490</v>
      </c>
      <c r="M1209" s="166"/>
    </row>
    <row r="1210" spans="1:13" ht="11.25" customHeight="1" x14ac:dyDescent="0.2">
      <c r="A1210" s="221">
        <v>2022</v>
      </c>
      <c r="B1210" s="221">
        <v>6</v>
      </c>
      <c r="C1210" s="221">
        <v>22</v>
      </c>
      <c r="D1210" s="221">
        <f t="shared" si="123"/>
        <v>44734</v>
      </c>
      <c r="E1210" s="233">
        <f>DATE(A1210,B1210,C1210)</f>
        <v>44734</v>
      </c>
      <c r="F1210" s="478" t="s">
        <v>1226</v>
      </c>
      <c r="G1210" s="222" t="s">
        <v>86</v>
      </c>
      <c r="H1210" s="222" t="str" cm="1">
        <f t="array" ref="H1210">IFERROR(INDEX(INVESTOR_LIST[INVESTOR NAME],MATCH(I1210,INVESTOR_LIST[INVESTOR CODE],0),)," ")</f>
        <v xml:space="preserve"> </v>
      </c>
      <c r="I1210" s="223"/>
      <c r="J1210" s="224" t="s">
        <v>196</v>
      </c>
      <c r="K1210" s="225">
        <v>9600000</v>
      </c>
      <c r="L1210" s="225"/>
    </row>
    <row r="1211" spans="1:13" ht="11.25" customHeight="1" x14ac:dyDescent="0.2">
      <c r="A1211" s="164">
        <v>2022</v>
      </c>
      <c r="B1211" s="164">
        <v>6</v>
      </c>
      <c r="C1211" s="164">
        <v>22</v>
      </c>
      <c r="D1211" s="164">
        <f t="shared" si="123"/>
        <v>44734</v>
      </c>
      <c r="E1211" s="235">
        <f>DATE(A1211,B1211,C1211)</f>
        <v>44734</v>
      </c>
      <c r="F1211" s="480"/>
      <c r="G1211" s="208" t="s">
        <v>86</v>
      </c>
      <c r="H1211" s="208" t="str" cm="1">
        <f t="array" ref="H1211">IFERROR(INDEX(INVESTOR_LIST[INVESTOR NAME],MATCH(I1211,INVESTOR_LIST[INVESTOR CODE],0),)," ")</f>
        <v xml:space="preserve"> </v>
      </c>
      <c r="J1211" s="165" t="s">
        <v>63</v>
      </c>
      <c r="K1211" s="205">
        <v>115</v>
      </c>
      <c r="L1211" s="205"/>
    </row>
    <row r="1212" spans="1:13" ht="11.25" customHeight="1" x14ac:dyDescent="0.2">
      <c r="A1212" s="226">
        <v>2022</v>
      </c>
      <c r="B1212" s="226">
        <v>6</v>
      </c>
      <c r="C1212" s="226">
        <v>22</v>
      </c>
      <c r="D1212" s="226">
        <f t="shared" si="123"/>
        <v>44734</v>
      </c>
      <c r="E1212" s="234">
        <f>DATE(A1212,B1212,C1212)</f>
        <v>44734</v>
      </c>
      <c r="F1212" s="479"/>
      <c r="G1212" s="227" t="s">
        <v>86</v>
      </c>
      <c r="H1212" s="228" t="str" cm="1">
        <f t="array" ref="H1212">IFERROR(INDEX(INVESTOR_LIST[INVESTOR NAME],MATCH(I1212,INVESTOR_LIST[INVESTOR CODE],0),)," ")</f>
        <v xml:space="preserve"> </v>
      </c>
      <c r="I1212" s="228"/>
      <c r="J1212" s="229" t="s">
        <v>55</v>
      </c>
      <c r="K1212" s="230"/>
      <c r="L1212" s="230">
        <v>9600115</v>
      </c>
    </row>
    <row r="1213" spans="1:13" ht="11.25" customHeight="1" x14ac:dyDescent="0.2">
      <c r="A1213" s="221">
        <v>2022</v>
      </c>
      <c r="B1213" s="221">
        <v>6</v>
      </c>
      <c r="C1213" s="221">
        <v>23</v>
      </c>
      <c r="D1213" s="231">
        <f t="shared" si="123"/>
        <v>44735</v>
      </c>
      <c r="E1213" s="233">
        <f t="shared" ref="E1213:E1214" si="129">DATE(A1213,B1213,C1213)</f>
        <v>44735</v>
      </c>
      <c r="F1213" s="478" t="s">
        <v>1250</v>
      </c>
      <c r="G1213" s="222" t="s">
        <v>1111</v>
      </c>
      <c r="H1213" s="223" t="str" cm="1">
        <f t="array" ref="H1213">IFERROR(INDEX(INVESTOR_LIST[INVESTOR NAME],MATCH(I1213,INVESTOR_LIST[INVESTOR CODE],0),)," ")</f>
        <v xml:space="preserve"> </v>
      </c>
      <c r="I1213" s="223"/>
      <c r="J1213" s="224" t="s">
        <v>192</v>
      </c>
      <c r="K1213" s="225">
        <v>270000</v>
      </c>
      <c r="L1213" s="225"/>
    </row>
    <row r="1214" spans="1:13" ht="11.25" customHeight="1" x14ac:dyDescent="0.2">
      <c r="A1214" s="226">
        <v>2022</v>
      </c>
      <c r="B1214" s="226">
        <v>6</v>
      </c>
      <c r="C1214" s="226">
        <v>23</v>
      </c>
      <c r="D1214" s="232">
        <f t="shared" si="123"/>
        <v>44735</v>
      </c>
      <c r="E1214" s="234">
        <f t="shared" si="129"/>
        <v>44735</v>
      </c>
      <c r="F1214" s="479"/>
      <c r="G1214" s="227" t="s">
        <v>1111</v>
      </c>
      <c r="H1214" s="228" t="str" cm="1">
        <f t="array" ref="H1214">IFERROR(INDEX(INVESTOR_LIST[INVESTOR NAME],MATCH(I1214,INVESTOR_LIST[INVESTOR CODE],0),)," ")</f>
        <v xml:space="preserve"> </v>
      </c>
      <c r="I1214" s="228"/>
      <c r="J1214" s="229" t="s">
        <v>191</v>
      </c>
      <c r="K1214" s="230"/>
      <c r="L1214" s="230">
        <v>270000</v>
      </c>
      <c r="M1214" s="166"/>
    </row>
    <row r="1215" spans="1:13" ht="11.25" customHeight="1" x14ac:dyDescent="0.2">
      <c r="A1215" s="236">
        <v>2022</v>
      </c>
      <c r="B1215" s="236">
        <v>6</v>
      </c>
      <c r="C1215" s="236">
        <v>23</v>
      </c>
      <c r="D1215" s="237">
        <f t="shared" si="123"/>
        <v>44735</v>
      </c>
      <c r="E1215" s="238">
        <f t="shared" ref="E1215:E1246" si="130">DATE(A1215,B1215,C1215)</f>
        <v>44735</v>
      </c>
      <c r="F1215" s="476" t="s">
        <v>1118</v>
      </c>
      <c r="G1215" s="239" t="s">
        <v>86</v>
      </c>
      <c r="H1215" s="239" t="str" cm="1">
        <f t="array" ref="H1215">IFERROR(INDEX(INVESTOR_LIST[INVESTOR NAME],MATCH(I1215,INVESTOR_LIST[INVESTOR CODE],0),)," ")</f>
        <v xml:space="preserve"> </v>
      </c>
      <c r="I1215" s="240"/>
      <c r="J1215" s="241" t="s">
        <v>82</v>
      </c>
      <c r="K1215" s="242">
        <v>1450502.3999999911</v>
      </c>
      <c r="L1215" s="242"/>
    </row>
    <row r="1216" spans="1:13" ht="11.25" customHeight="1" x14ac:dyDescent="0.2">
      <c r="A1216" s="243">
        <v>2022</v>
      </c>
      <c r="B1216" s="243">
        <v>6</v>
      </c>
      <c r="C1216" s="243">
        <v>23</v>
      </c>
      <c r="D1216" s="248">
        <f t="shared" si="123"/>
        <v>44735</v>
      </c>
      <c r="E1216" s="249">
        <f t="shared" si="130"/>
        <v>44735</v>
      </c>
      <c r="F1216" s="477"/>
      <c r="G1216" s="244" t="s">
        <v>86</v>
      </c>
      <c r="H1216" s="244" t="str" cm="1">
        <f t="array" ref="H1216">IFERROR(INDEX(INVESTOR_LIST[INVESTOR NAME],MATCH(I1216,INVESTOR_LIST[INVESTOR CODE],0),)," ")</f>
        <v xml:space="preserve"> </v>
      </c>
      <c r="I1216" s="245"/>
      <c r="J1216" s="246" t="s">
        <v>98</v>
      </c>
      <c r="K1216" s="247"/>
      <c r="L1216" s="247">
        <v>1450502.3999999911</v>
      </c>
    </row>
    <row r="1217" spans="1:13" ht="11.25" customHeight="1" x14ac:dyDescent="0.2">
      <c r="A1217" s="236">
        <v>2022</v>
      </c>
      <c r="B1217" s="236">
        <v>6</v>
      </c>
      <c r="C1217" s="236">
        <v>23</v>
      </c>
      <c r="D1217" s="237">
        <f t="shared" si="123"/>
        <v>44735</v>
      </c>
      <c r="E1217" s="238">
        <f t="shared" si="130"/>
        <v>44735</v>
      </c>
      <c r="F1217" s="476" t="s">
        <v>1120</v>
      </c>
      <c r="G1217" s="239" t="s">
        <v>86</v>
      </c>
      <c r="H1217" s="239" t="str" cm="1">
        <f t="array" ref="H1217">IFERROR(INDEX(INVESTOR_LIST[INVESTOR NAME],MATCH(I1217,INVESTOR_LIST[INVESTOR CODE],0),)," ")</f>
        <v xml:space="preserve"> </v>
      </c>
      <c r="I1217" s="240"/>
      <c r="J1217" s="241" t="s">
        <v>87</v>
      </c>
      <c r="K1217" s="242">
        <v>2747.2527472527472</v>
      </c>
      <c r="L1217" s="242"/>
      <c r="M1217" s="166"/>
    </row>
    <row r="1218" spans="1:13" ht="11.25" customHeight="1" x14ac:dyDescent="0.2">
      <c r="A1218" s="243">
        <v>2022</v>
      </c>
      <c r="B1218" s="243">
        <v>6</v>
      </c>
      <c r="C1218" s="243">
        <v>23</v>
      </c>
      <c r="D1218" s="248">
        <f t="shared" si="123"/>
        <v>44735</v>
      </c>
      <c r="E1218" s="249">
        <f t="shared" si="130"/>
        <v>44735</v>
      </c>
      <c r="F1218" s="477"/>
      <c r="G1218" s="244" t="s">
        <v>86</v>
      </c>
      <c r="H1218" s="244" t="str" cm="1">
        <f t="array" ref="H1218">IFERROR(INDEX(INVESTOR_LIST[INVESTOR NAME],MATCH(I1218,INVESTOR_LIST[INVESTOR CODE],0),)," ")</f>
        <v xml:space="preserve"> </v>
      </c>
      <c r="I1218" s="245"/>
      <c r="J1218" s="246" t="s">
        <v>64</v>
      </c>
      <c r="K1218" s="247"/>
      <c r="L1218" s="247">
        <v>2747.2527472527472</v>
      </c>
    </row>
    <row r="1219" spans="1:13" ht="11.25" customHeight="1" x14ac:dyDescent="0.2">
      <c r="A1219" s="236">
        <v>2022</v>
      </c>
      <c r="B1219" s="236">
        <v>6</v>
      </c>
      <c r="C1219" s="236">
        <v>23</v>
      </c>
      <c r="D1219" s="237">
        <f t="shared" si="123"/>
        <v>44735</v>
      </c>
      <c r="E1219" s="238">
        <f t="shared" si="130"/>
        <v>44735</v>
      </c>
      <c r="F1219" s="476" t="s">
        <v>1121</v>
      </c>
      <c r="G1219" s="239" t="s">
        <v>86</v>
      </c>
      <c r="H1219" s="239" t="str" cm="1">
        <f t="array" ref="H1219">IFERROR(INDEX(INVESTOR_LIST[INVESTOR NAME],MATCH(I1219,INVESTOR_LIST[INVESTOR CODE],0),)," ")</f>
        <v xml:space="preserve"> </v>
      </c>
      <c r="I1219" s="240"/>
      <c r="J1219" s="241" t="s">
        <v>89</v>
      </c>
      <c r="K1219" s="242">
        <v>96577.809043898858</v>
      </c>
      <c r="L1219" s="242"/>
    </row>
    <row r="1220" spans="1:13" ht="11.25" customHeight="1" x14ac:dyDescent="0.2">
      <c r="A1220" s="243">
        <v>2022</v>
      </c>
      <c r="B1220" s="243">
        <v>6</v>
      </c>
      <c r="C1220" s="243">
        <v>23</v>
      </c>
      <c r="D1220" s="248">
        <f t="shared" si="123"/>
        <v>44735</v>
      </c>
      <c r="E1220" s="249">
        <f t="shared" si="130"/>
        <v>44735</v>
      </c>
      <c r="F1220" s="477"/>
      <c r="G1220" s="244" t="s">
        <v>86</v>
      </c>
      <c r="H1220" s="244" t="str" cm="1">
        <f t="array" ref="H1220">IFERROR(INDEX(INVESTOR_LIST[INVESTOR NAME],MATCH(I1220,INVESTOR_LIST[INVESTOR CODE],0),)," ")</f>
        <v xml:space="preserve"> </v>
      </c>
      <c r="I1220" s="245"/>
      <c r="J1220" s="246" t="s">
        <v>50</v>
      </c>
      <c r="K1220" s="247"/>
      <c r="L1220" s="247">
        <v>96577.809043898858</v>
      </c>
    </row>
    <row r="1221" spans="1:13" ht="11.25" customHeight="1" x14ac:dyDescent="0.2">
      <c r="A1221" s="236">
        <v>2022</v>
      </c>
      <c r="B1221" s="236">
        <v>6</v>
      </c>
      <c r="C1221" s="236">
        <v>23</v>
      </c>
      <c r="D1221" s="237">
        <f t="shared" si="123"/>
        <v>44735</v>
      </c>
      <c r="E1221" s="238">
        <f t="shared" si="130"/>
        <v>44735</v>
      </c>
      <c r="F1221" s="476" t="s">
        <v>1122</v>
      </c>
      <c r="G1221" s="239" t="s">
        <v>86</v>
      </c>
      <c r="H1221" s="239" t="str" cm="1">
        <f t="array" ref="H1221">IFERROR(INDEX(INVESTOR_LIST[INVESTOR NAME],MATCH(I1221,INVESTOR_LIST[INVESTOR CODE],0),)," ")</f>
        <v xml:space="preserve"> </v>
      </c>
      <c r="I1221" s="240"/>
      <c r="J1221" s="241" t="s">
        <v>91</v>
      </c>
      <c r="K1221" s="242">
        <v>4588.5058368103264</v>
      </c>
      <c r="L1221" s="242"/>
    </row>
    <row r="1222" spans="1:13" ht="11.25" customHeight="1" x14ac:dyDescent="0.2">
      <c r="A1222" s="243">
        <v>2022</v>
      </c>
      <c r="B1222" s="243">
        <v>6</v>
      </c>
      <c r="C1222" s="243">
        <v>23</v>
      </c>
      <c r="D1222" s="248">
        <f t="shared" si="123"/>
        <v>44735</v>
      </c>
      <c r="E1222" s="249">
        <f t="shared" si="130"/>
        <v>44735</v>
      </c>
      <c r="F1222" s="477"/>
      <c r="G1222" s="244" t="s">
        <v>86</v>
      </c>
      <c r="H1222" s="244" t="str" cm="1">
        <f t="array" ref="H1222">IFERROR(INDEX(INVESTOR_LIST[INVESTOR NAME],MATCH(I1222,INVESTOR_LIST[INVESTOR CODE],0),)," ")</f>
        <v xml:space="preserve"> </v>
      </c>
      <c r="I1222" s="245"/>
      <c r="J1222" s="246" t="s">
        <v>51</v>
      </c>
      <c r="K1222" s="247"/>
      <c r="L1222" s="247">
        <v>4588.5058368103264</v>
      </c>
    </row>
    <row r="1223" spans="1:13" ht="11.25" customHeight="1" x14ac:dyDescent="0.2">
      <c r="A1223" s="221">
        <v>2022</v>
      </c>
      <c r="B1223" s="221">
        <v>6</v>
      </c>
      <c r="C1223" s="221">
        <v>26</v>
      </c>
      <c r="D1223" s="231">
        <f t="shared" si="123"/>
        <v>44738</v>
      </c>
      <c r="E1223" s="233">
        <f t="shared" si="130"/>
        <v>44738</v>
      </c>
      <c r="F1223" s="478" t="s">
        <v>1132</v>
      </c>
      <c r="G1223" s="222" t="s">
        <v>1111</v>
      </c>
      <c r="H1223" s="223" t="str" cm="1">
        <f t="array" ref="H1223">IFERROR(INDEX(INVESTOR_LIST[INVESTOR NAME],MATCH(I1223,INVESTOR_LIST[INVESTOR CODE],0),)," ")</f>
        <v xml:space="preserve"> </v>
      </c>
      <c r="I1223" s="223"/>
      <c r="J1223" s="224" t="s">
        <v>55</v>
      </c>
      <c r="K1223" s="225">
        <v>33000</v>
      </c>
      <c r="L1223" s="225"/>
    </row>
    <row r="1224" spans="1:13" ht="11.25" customHeight="1" x14ac:dyDescent="0.2">
      <c r="A1224" s="164">
        <v>2022</v>
      </c>
      <c r="B1224" s="164">
        <v>6</v>
      </c>
      <c r="C1224" s="164">
        <v>26</v>
      </c>
      <c r="D1224" s="156">
        <f t="shared" si="123"/>
        <v>44738</v>
      </c>
      <c r="E1224" s="235">
        <f t="shared" si="130"/>
        <v>44738</v>
      </c>
      <c r="F1224" s="480"/>
      <c r="G1224" s="208" t="s">
        <v>1111</v>
      </c>
      <c r="H1224" s="206" t="str" cm="1">
        <f t="array" ref="H1224">IFERROR(INDEX(INVESTOR_LIST[INVESTOR NAME],MATCH(I1224,INVESTOR_LIST[INVESTOR CODE],0),)," ")</f>
        <v xml:space="preserve"> </v>
      </c>
      <c r="J1224" s="165" t="s">
        <v>1112</v>
      </c>
      <c r="K1224" s="205">
        <v>600</v>
      </c>
      <c r="L1224" s="205"/>
      <c r="M1224" s="166"/>
    </row>
    <row r="1225" spans="1:13" ht="11.25" customHeight="1" x14ac:dyDescent="0.2">
      <c r="A1225" s="226">
        <v>2022</v>
      </c>
      <c r="B1225" s="226">
        <v>6</v>
      </c>
      <c r="C1225" s="226">
        <v>26</v>
      </c>
      <c r="D1225" s="232">
        <f t="shared" ref="D1225:D1288" si="131">DATE(A1225,B1225,C1225)</f>
        <v>44738</v>
      </c>
      <c r="E1225" s="234">
        <f t="shared" si="130"/>
        <v>44738</v>
      </c>
      <c r="F1225" s="479"/>
      <c r="G1225" s="227" t="s">
        <v>1111</v>
      </c>
      <c r="H1225" s="228" t="str" cm="1">
        <f t="array" ref="H1225">IFERROR(INDEX(INVESTOR_LIST[INVESTOR NAME],MATCH(I1225,INVESTOR_LIST[INVESTOR CODE],0),)," ")</f>
        <v xml:space="preserve"> </v>
      </c>
      <c r="I1225" s="228"/>
      <c r="J1225" s="229" t="s">
        <v>14</v>
      </c>
      <c r="K1225" s="230"/>
      <c r="L1225" s="230">
        <v>33600</v>
      </c>
    </row>
    <row r="1226" spans="1:13" ht="11.25" customHeight="1" x14ac:dyDescent="0.2">
      <c r="A1226" s="221">
        <v>2022</v>
      </c>
      <c r="B1226" s="221">
        <v>6</v>
      </c>
      <c r="C1226" s="221">
        <v>26</v>
      </c>
      <c r="D1226" s="231">
        <f t="shared" si="131"/>
        <v>44738</v>
      </c>
      <c r="E1226" s="233">
        <f t="shared" ref="E1226:E1231" si="132">DATE(A1226,B1226,C1226)</f>
        <v>44738</v>
      </c>
      <c r="F1226" s="478" t="s">
        <v>802</v>
      </c>
      <c r="G1226" s="222" t="s">
        <v>1111</v>
      </c>
      <c r="H1226" s="223" t="str" cm="1">
        <f t="array" ref="H1226">IFERROR(INDEX(INVESTOR_LIST[INVESTOR NAME],MATCH(I1226,INVESTOR_LIST[INVESTOR CODE],0),)," ")</f>
        <v>ASHUTOSH TALUKDER</v>
      </c>
      <c r="I1226" s="223" t="s">
        <v>432</v>
      </c>
      <c r="J1226" s="224" t="s">
        <v>55</v>
      </c>
      <c r="K1226" s="225">
        <v>250000</v>
      </c>
      <c r="L1226" s="225"/>
      <c r="M1226" s="166"/>
    </row>
    <row r="1227" spans="1:13" ht="11.25" customHeight="1" x14ac:dyDescent="0.2">
      <c r="A1227" s="164">
        <v>2022</v>
      </c>
      <c r="B1227" s="164">
        <v>6</v>
      </c>
      <c r="C1227" s="164">
        <v>26</v>
      </c>
      <c r="D1227" s="156">
        <f t="shared" si="131"/>
        <v>44738</v>
      </c>
      <c r="E1227" s="235">
        <f t="shared" si="132"/>
        <v>44738</v>
      </c>
      <c r="F1227" s="480"/>
      <c r="G1227" s="208" t="s">
        <v>1111</v>
      </c>
      <c r="H1227" s="206" t="str" cm="1">
        <f t="array" ref="H1227">IFERROR(INDEX(INVESTOR_LIST[INVESTOR NAME],MATCH(I1227,INVESTOR_LIST[INVESTOR CODE],0),)," ")</f>
        <v>ASHUTOSH TALUKDER</v>
      </c>
      <c r="I1227" s="206" t="s">
        <v>432</v>
      </c>
      <c r="J1227" s="165" t="s">
        <v>1112</v>
      </c>
      <c r="K1227" s="205">
        <v>4580</v>
      </c>
      <c r="L1227" s="205"/>
    </row>
    <row r="1228" spans="1:13" ht="11.25" customHeight="1" x14ac:dyDescent="0.2">
      <c r="A1228" s="226">
        <v>2022</v>
      </c>
      <c r="B1228" s="226">
        <v>6</v>
      </c>
      <c r="C1228" s="226">
        <v>26</v>
      </c>
      <c r="D1228" s="232">
        <f t="shared" si="131"/>
        <v>44738</v>
      </c>
      <c r="E1228" s="234">
        <f t="shared" si="132"/>
        <v>44738</v>
      </c>
      <c r="F1228" s="479"/>
      <c r="G1228" s="227" t="s">
        <v>1111</v>
      </c>
      <c r="H1228" s="228" t="str" cm="1">
        <f t="array" ref="H1228">IFERROR(INDEX(INVESTOR_LIST[INVESTOR NAME],MATCH(I1228,INVESTOR_LIST[INVESTOR CODE],0),)," ")</f>
        <v>ASHUTOSH TALUKDER</v>
      </c>
      <c r="I1228" s="228" t="s">
        <v>432</v>
      </c>
      <c r="J1228" s="229" t="s">
        <v>14</v>
      </c>
      <c r="K1228" s="230"/>
      <c r="L1228" s="230">
        <v>254580</v>
      </c>
    </row>
    <row r="1229" spans="1:13" ht="11.25" customHeight="1" x14ac:dyDescent="0.2">
      <c r="A1229" s="221">
        <v>2022</v>
      </c>
      <c r="B1229" s="221">
        <v>6</v>
      </c>
      <c r="C1229" s="221">
        <v>26</v>
      </c>
      <c r="D1229" s="231">
        <f t="shared" si="131"/>
        <v>44738</v>
      </c>
      <c r="E1229" s="233">
        <f t="shared" si="132"/>
        <v>44738</v>
      </c>
      <c r="F1229" s="478" t="s">
        <v>802</v>
      </c>
      <c r="G1229" s="222" t="s">
        <v>1111</v>
      </c>
      <c r="H1229" s="223" t="str" cm="1">
        <f t="array" ref="H1229">IFERROR(INDEX(INVESTOR_LIST[INVESTOR NAME],MATCH(I1229,INVESTOR_LIST[INVESTOR CODE],0),)," ")</f>
        <v>MINHAJ UDDIN</v>
      </c>
      <c r="I1229" s="223" t="s">
        <v>339</v>
      </c>
      <c r="J1229" s="224" t="s">
        <v>55</v>
      </c>
      <c r="K1229" s="225">
        <v>350000</v>
      </c>
      <c r="L1229" s="225"/>
      <c r="M1229" s="166"/>
    </row>
    <row r="1230" spans="1:13" ht="11.25" customHeight="1" x14ac:dyDescent="0.2">
      <c r="A1230" s="164">
        <v>2022</v>
      </c>
      <c r="B1230" s="164">
        <v>6</v>
      </c>
      <c r="C1230" s="164">
        <v>26</v>
      </c>
      <c r="D1230" s="156">
        <f t="shared" si="131"/>
        <v>44738</v>
      </c>
      <c r="E1230" s="235">
        <f t="shared" si="132"/>
        <v>44738</v>
      </c>
      <c r="F1230" s="480"/>
      <c r="G1230" s="208" t="s">
        <v>1111</v>
      </c>
      <c r="H1230" s="206" t="str" cm="1">
        <f t="array" ref="H1230">IFERROR(INDEX(INVESTOR_LIST[INVESTOR NAME],MATCH(I1230,INVESTOR_LIST[INVESTOR CODE],0),)," ")</f>
        <v>MINHAJ UDDIN</v>
      </c>
      <c r="I1230" s="206" t="s">
        <v>339</v>
      </c>
      <c r="J1230" s="165" t="s">
        <v>1112</v>
      </c>
      <c r="K1230" s="205">
        <v>6410</v>
      </c>
      <c r="L1230" s="205"/>
    </row>
    <row r="1231" spans="1:13" ht="11.25" customHeight="1" x14ac:dyDescent="0.2">
      <c r="A1231" s="226">
        <v>2022</v>
      </c>
      <c r="B1231" s="226">
        <v>6</v>
      </c>
      <c r="C1231" s="226">
        <v>26</v>
      </c>
      <c r="D1231" s="232">
        <f t="shared" si="131"/>
        <v>44738</v>
      </c>
      <c r="E1231" s="234">
        <f t="shared" si="132"/>
        <v>44738</v>
      </c>
      <c r="F1231" s="479"/>
      <c r="G1231" s="227" t="s">
        <v>1111</v>
      </c>
      <c r="H1231" s="228" t="str" cm="1">
        <f t="array" ref="H1231">IFERROR(INDEX(INVESTOR_LIST[INVESTOR NAME],MATCH(I1231,INVESTOR_LIST[INVESTOR CODE],0),)," ")</f>
        <v>MINHAJ UDDIN</v>
      </c>
      <c r="I1231" s="228" t="s">
        <v>339</v>
      </c>
      <c r="J1231" s="229" t="s">
        <v>14</v>
      </c>
      <c r="K1231" s="230"/>
      <c r="L1231" s="230">
        <v>356410</v>
      </c>
    </row>
    <row r="1232" spans="1:13" ht="11.25" customHeight="1" x14ac:dyDescent="0.2">
      <c r="A1232" s="221">
        <v>2022</v>
      </c>
      <c r="B1232" s="221">
        <v>6</v>
      </c>
      <c r="C1232" s="221">
        <v>26</v>
      </c>
      <c r="D1232" s="231">
        <f t="shared" si="131"/>
        <v>44738</v>
      </c>
      <c r="E1232" s="233">
        <f t="shared" ref="E1232:E1233" si="133">DATE(A1232,B1232,C1232)</f>
        <v>44738</v>
      </c>
      <c r="F1232" s="478" t="s">
        <v>1114</v>
      </c>
      <c r="G1232" s="222" t="s">
        <v>1111</v>
      </c>
      <c r="H1232" s="223" t="str" cm="1">
        <f t="array" ref="H1232">IFERROR(INDEX(INVESTOR_LIST[INVESTOR NAME],MATCH(I1232,INVESTOR_LIST[INVESTOR CODE],0),)," ")</f>
        <v xml:space="preserve"> </v>
      </c>
      <c r="I1232" s="223"/>
      <c r="J1232" s="224" t="s">
        <v>63</v>
      </c>
      <c r="K1232" s="225">
        <v>10</v>
      </c>
      <c r="L1232" s="225"/>
    </row>
    <row r="1233" spans="1:13" ht="11.25" customHeight="1" x14ac:dyDescent="0.2">
      <c r="A1233" s="226">
        <v>2022</v>
      </c>
      <c r="B1233" s="226">
        <v>6</v>
      </c>
      <c r="C1233" s="226">
        <v>26</v>
      </c>
      <c r="D1233" s="232">
        <f t="shared" si="131"/>
        <v>44738</v>
      </c>
      <c r="E1233" s="234">
        <f t="shared" si="133"/>
        <v>44738</v>
      </c>
      <c r="F1233" s="479"/>
      <c r="G1233" s="227" t="s">
        <v>1111</v>
      </c>
      <c r="H1233" s="228" t="str" cm="1">
        <f t="array" ref="H1233">IFERROR(INDEX(INVESTOR_LIST[INVESTOR NAME],MATCH(I1233,INVESTOR_LIST[INVESTOR CODE],0),)," ")</f>
        <v xml:space="preserve"> </v>
      </c>
      <c r="I1233" s="228"/>
      <c r="J1233" s="229" t="s">
        <v>55</v>
      </c>
      <c r="K1233" s="230"/>
      <c r="L1233" s="230">
        <v>10</v>
      </c>
    </row>
    <row r="1234" spans="1:13" ht="11.25" customHeight="1" x14ac:dyDescent="0.2">
      <c r="A1234" s="221">
        <v>2022</v>
      </c>
      <c r="B1234" s="221">
        <v>6</v>
      </c>
      <c r="C1234" s="231">
        <v>27</v>
      </c>
      <c r="D1234" s="231">
        <f t="shared" si="131"/>
        <v>44739</v>
      </c>
      <c r="E1234" s="233">
        <f>DATE(A1234,B1234,C1234)</f>
        <v>44739</v>
      </c>
      <c r="F1234" s="478" t="s">
        <v>802</v>
      </c>
      <c r="G1234" s="222" t="s">
        <v>1111</v>
      </c>
      <c r="H1234" s="223" t="str" cm="1">
        <f t="array" ref="H1234">IFERROR(INDEX(INVESTOR_LIST[INVESTOR NAME],MATCH(I1234,INVESTOR_LIST[INVESTOR CODE],0),)," ")</f>
        <v>JOY SHREE SAHA</v>
      </c>
      <c r="I1234" s="223" t="s">
        <v>681</v>
      </c>
      <c r="J1234" s="224" t="s">
        <v>55</v>
      </c>
      <c r="K1234" s="225">
        <v>1200000</v>
      </c>
      <c r="L1234" s="225"/>
    </row>
    <row r="1235" spans="1:13" ht="11.25" customHeight="1" x14ac:dyDescent="0.2">
      <c r="A1235" s="164">
        <v>2022</v>
      </c>
      <c r="B1235" s="164">
        <v>6</v>
      </c>
      <c r="C1235" s="231">
        <v>27</v>
      </c>
      <c r="D1235" s="156">
        <f t="shared" si="131"/>
        <v>44739</v>
      </c>
      <c r="E1235" s="235">
        <f>DATE(A1235,B1235,C1235)</f>
        <v>44739</v>
      </c>
      <c r="F1235" s="480"/>
      <c r="G1235" s="208" t="s">
        <v>1111</v>
      </c>
      <c r="H1235" s="206" t="str" cm="1">
        <f t="array" ref="H1235">IFERROR(INDEX(INVESTOR_LIST[INVESTOR NAME],MATCH(I1235,INVESTOR_LIST[INVESTOR CODE],0),)," ")</f>
        <v>JOY SHREE SAHA</v>
      </c>
      <c r="I1235" s="206" t="s">
        <v>681</v>
      </c>
      <c r="J1235" s="165" t="s">
        <v>1112</v>
      </c>
      <c r="K1235" s="205">
        <v>22000</v>
      </c>
      <c r="L1235" s="205"/>
    </row>
    <row r="1236" spans="1:13" ht="11.25" customHeight="1" x14ac:dyDescent="0.2">
      <c r="A1236" s="226">
        <v>2022</v>
      </c>
      <c r="B1236" s="226">
        <v>6</v>
      </c>
      <c r="C1236" s="232">
        <v>27</v>
      </c>
      <c r="D1236" s="232">
        <f t="shared" si="131"/>
        <v>44739</v>
      </c>
      <c r="E1236" s="234">
        <f>DATE(A1236,B1236,C1236)</f>
        <v>44739</v>
      </c>
      <c r="F1236" s="479"/>
      <c r="G1236" s="227" t="s">
        <v>1111</v>
      </c>
      <c r="H1236" s="228" t="str" cm="1">
        <f t="array" ref="H1236">IFERROR(INDEX(INVESTOR_LIST[INVESTOR NAME],MATCH(I1236,INVESTOR_LIST[INVESTOR CODE],0),)," ")</f>
        <v>JOY SHREE SAHA</v>
      </c>
      <c r="I1236" s="228" t="s">
        <v>681</v>
      </c>
      <c r="J1236" s="229" t="s">
        <v>14</v>
      </c>
      <c r="K1236" s="230"/>
      <c r="L1236" s="230">
        <v>1222000</v>
      </c>
    </row>
    <row r="1237" spans="1:13" ht="11.25" customHeight="1" x14ac:dyDescent="0.2">
      <c r="A1237" s="231">
        <v>2022</v>
      </c>
      <c r="B1237" s="231">
        <v>6</v>
      </c>
      <c r="C1237" s="231">
        <v>27</v>
      </c>
      <c r="D1237" s="221">
        <f t="shared" si="131"/>
        <v>44739</v>
      </c>
      <c r="E1237" s="271">
        <f t="shared" si="130"/>
        <v>44739</v>
      </c>
      <c r="F1237" s="478" t="s">
        <v>1231</v>
      </c>
      <c r="G1237" s="222" t="s">
        <v>1111</v>
      </c>
      <c r="H1237" s="222" t="str" cm="1">
        <f t="array" ref="H1237">IFERROR(INDEX([1]!INVESTOR_LIST[INVESTOR NAME],MATCH(I1237,[1]!INVESTOR_LIST[INVESTOR CODE],0),)," ")</f>
        <v xml:space="preserve"> </v>
      </c>
      <c r="I1237" s="223" t="s">
        <v>1119</v>
      </c>
      <c r="J1237" s="224" t="s">
        <v>92</v>
      </c>
      <c r="K1237" s="225">
        <v>238498.39</v>
      </c>
      <c r="L1237" s="225"/>
    </row>
    <row r="1238" spans="1:13" ht="11.25" customHeight="1" x14ac:dyDescent="0.2">
      <c r="A1238" s="231">
        <v>2022</v>
      </c>
      <c r="B1238" s="231">
        <v>6</v>
      </c>
      <c r="C1238" s="231">
        <v>27</v>
      </c>
      <c r="D1238" s="221">
        <f t="shared" si="131"/>
        <v>44739</v>
      </c>
      <c r="E1238" s="271">
        <f t="shared" si="130"/>
        <v>44739</v>
      </c>
      <c r="F1238" s="480"/>
      <c r="G1238" s="208" t="s">
        <v>1111</v>
      </c>
      <c r="H1238" s="208"/>
      <c r="J1238" s="165" t="s">
        <v>63</v>
      </c>
      <c r="K1238" s="205">
        <v>115</v>
      </c>
      <c r="L1238" s="205"/>
    </row>
    <row r="1239" spans="1:13" ht="11.25" customHeight="1" x14ac:dyDescent="0.2">
      <c r="A1239" s="232">
        <v>2022</v>
      </c>
      <c r="B1239" s="232">
        <v>6</v>
      </c>
      <c r="C1239" s="232">
        <v>27</v>
      </c>
      <c r="D1239" s="221">
        <f t="shared" si="131"/>
        <v>44739</v>
      </c>
      <c r="E1239" s="271">
        <f t="shared" si="130"/>
        <v>44739</v>
      </c>
      <c r="F1239" s="479"/>
      <c r="G1239" s="227" t="s">
        <v>1111</v>
      </c>
      <c r="H1239" s="227" t="str" cm="1">
        <f t="array" ref="H1239">IFERROR(INDEX([1]!INVESTOR_LIST[INVESTOR NAME],MATCH(I1239,[1]!INVESTOR_LIST[INVESTOR CODE],0),)," ")</f>
        <v xml:space="preserve"> </v>
      </c>
      <c r="I1239" s="228" t="s">
        <v>1119</v>
      </c>
      <c r="J1239" s="229" t="s">
        <v>55</v>
      </c>
      <c r="K1239" s="230"/>
      <c r="L1239" s="230">
        <v>238613.39</v>
      </c>
    </row>
    <row r="1240" spans="1:13" ht="11.25" customHeight="1" x14ac:dyDescent="0.2">
      <c r="A1240" s="221">
        <v>2022</v>
      </c>
      <c r="B1240" s="221">
        <v>6</v>
      </c>
      <c r="C1240" s="221">
        <v>27</v>
      </c>
      <c r="D1240" s="231">
        <f t="shared" si="131"/>
        <v>44739</v>
      </c>
      <c r="E1240" s="233">
        <f t="shared" si="130"/>
        <v>44739</v>
      </c>
      <c r="F1240" s="478" t="s">
        <v>1114</v>
      </c>
      <c r="G1240" s="222" t="s">
        <v>1111</v>
      </c>
      <c r="H1240" s="223" t="str" cm="1">
        <f t="array" ref="H1240">IFERROR(INDEX(INVESTOR_LIST[INVESTOR NAME],MATCH(I1240,INVESTOR_LIST[INVESTOR CODE],0),)," ")</f>
        <v xml:space="preserve"> </v>
      </c>
      <c r="I1240" s="223"/>
      <c r="J1240" s="224" t="s">
        <v>63</v>
      </c>
      <c r="K1240" s="225">
        <v>115</v>
      </c>
      <c r="L1240" s="225"/>
    </row>
    <row r="1241" spans="1:13" ht="11.25" customHeight="1" x14ac:dyDescent="0.2">
      <c r="A1241" s="226">
        <v>2022</v>
      </c>
      <c r="B1241" s="226">
        <v>6</v>
      </c>
      <c r="C1241" s="226">
        <v>27</v>
      </c>
      <c r="D1241" s="232">
        <f t="shared" si="131"/>
        <v>44739</v>
      </c>
      <c r="E1241" s="234">
        <f t="shared" si="130"/>
        <v>44739</v>
      </c>
      <c r="F1241" s="479"/>
      <c r="G1241" s="227" t="s">
        <v>1111</v>
      </c>
      <c r="H1241" s="228" t="str" cm="1">
        <f t="array" ref="H1241">IFERROR(INDEX(INVESTOR_LIST[INVESTOR NAME],MATCH(I1241,INVESTOR_LIST[INVESTOR CODE],0),)," ")</f>
        <v xml:space="preserve"> </v>
      </c>
      <c r="I1241" s="228"/>
      <c r="J1241" s="229" t="s">
        <v>55</v>
      </c>
      <c r="K1241" s="230"/>
      <c r="L1241" s="230">
        <v>115</v>
      </c>
    </row>
    <row r="1242" spans="1:13" ht="11.25" customHeight="1" x14ac:dyDescent="0.2">
      <c r="A1242" s="221">
        <v>2022</v>
      </c>
      <c r="B1242" s="221">
        <v>6</v>
      </c>
      <c r="C1242" s="221">
        <v>27</v>
      </c>
      <c r="D1242" s="231">
        <f t="shared" si="131"/>
        <v>44739</v>
      </c>
      <c r="E1242" s="233">
        <f t="shared" si="130"/>
        <v>44739</v>
      </c>
      <c r="F1242" s="478" t="s">
        <v>1114</v>
      </c>
      <c r="G1242" s="222" t="s">
        <v>1111</v>
      </c>
      <c r="H1242" s="223" t="str" cm="1">
        <f t="array" ref="H1242">IFERROR(INDEX(INVESTOR_LIST[INVESTOR NAME],MATCH(I1242,INVESTOR_LIST[INVESTOR CODE],0),)," ")</f>
        <v xml:space="preserve"> </v>
      </c>
      <c r="I1242" s="223"/>
      <c r="J1242" s="224" t="s">
        <v>63</v>
      </c>
      <c r="K1242" s="225">
        <v>60</v>
      </c>
      <c r="L1242" s="225"/>
    </row>
    <row r="1243" spans="1:13" ht="11.25" customHeight="1" x14ac:dyDescent="0.2">
      <c r="A1243" s="226">
        <v>2022</v>
      </c>
      <c r="B1243" s="226">
        <v>6</v>
      </c>
      <c r="C1243" s="226">
        <v>27</v>
      </c>
      <c r="D1243" s="232">
        <f t="shared" si="131"/>
        <v>44739</v>
      </c>
      <c r="E1243" s="234">
        <f t="shared" si="130"/>
        <v>44739</v>
      </c>
      <c r="F1243" s="479"/>
      <c r="G1243" s="227" t="s">
        <v>1111</v>
      </c>
      <c r="H1243" s="228" t="str" cm="1">
        <f t="array" ref="H1243">IFERROR(INDEX(INVESTOR_LIST[INVESTOR NAME],MATCH(I1243,INVESTOR_LIST[INVESTOR CODE],0),)," ")</f>
        <v xml:space="preserve"> </v>
      </c>
      <c r="I1243" s="228"/>
      <c r="J1243" s="229" t="s">
        <v>55</v>
      </c>
      <c r="K1243" s="230"/>
      <c r="L1243" s="230">
        <v>60</v>
      </c>
    </row>
    <row r="1244" spans="1:13" ht="11.25" customHeight="1" x14ac:dyDescent="0.2">
      <c r="A1244" s="221">
        <v>2022</v>
      </c>
      <c r="B1244" s="221">
        <v>6</v>
      </c>
      <c r="C1244" s="221">
        <v>28</v>
      </c>
      <c r="D1244" s="231">
        <f t="shared" si="131"/>
        <v>44740</v>
      </c>
      <c r="E1244" s="233">
        <f t="shared" si="130"/>
        <v>44740</v>
      </c>
      <c r="F1244" s="478" t="s">
        <v>802</v>
      </c>
      <c r="G1244" s="222" t="s">
        <v>1111</v>
      </c>
      <c r="H1244" s="223" t="str" cm="1">
        <f t="array" ref="H1244">IFERROR(INDEX(INVESTOR_LIST[INVESTOR NAME],MATCH(I1244,INVESTOR_LIST[INVESTOR CODE],0),)," ")</f>
        <v>MAZED AHMED ABDULLAH</v>
      </c>
      <c r="I1244" s="223" t="s">
        <v>1224</v>
      </c>
      <c r="J1244" s="224" t="s">
        <v>55</v>
      </c>
      <c r="K1244" s="225">
        <v>250000</v>
      </c>
      <c r="L1244" s="225"/>
    </row>
    <row r="1245" spans="1:13" ht="11.25" customHeight="1" x14ac:dyDescent="0.2">
      <c r="A1245" s="164">
        <v>2022</v>
      </c>
      <c r="B1245" s="164">
        <v>6</v>
      </c>
      <c r="C1245" s="164">
        <v>28</v>
      </c>
      <c r="D1245" s="156">
        <f t="shared" si="131"/>
        <v>44740</v>
      </c>
      <c r="E1245" s="235">
        <f t="shared" si="130"/>
        <v>44740</v>
      </c>
      <c r="F1245" s="480"/>
      <c r="G1245" s="208" t="s">
        <v>1111</v>
      </c>
      <c r="H1245" s="206" t="str" cm="1">
        <f t="array" ref="H1245">IFERROR(INDEX(INVESTOR_LIST[INVESTOR NAME],MATCH(I1245,INVESTOR_LIST[INVESTOR CODE],0),)," ")</f>
        <v>MAZED AHMED ABDULLAH</v>
      </c>
      <c r="I1245" s="206" t="s">
        <v>1224</v>
      </c>
      <c r="J1245" s="165" t="s">
        <v>1112</v>
      </c>
      <c r="K1245" s="205">
        <v>4580</v>
      </c>
      <c r="L1245" s="205"/>
    </row>
    <row r="1246" spans="1:13" ht="11.25" customHeight="1" x14ac:dyDescent="0.2">
      <c r="A1246" s="226">
        <v>2022</v>
      </c>
      <c r="B1246" s="226">
        <v>6</v>
      </c>
      <c r="C1246" s="226">
        <v>28</v>
      </c>
      <c r="D1246" s="232">
        <f t="shared" si="131"/>
        <v>44740</v>
      </c>
      <c r="E1246" s="234">
        <f t="shared" si="130"/>
        <v>44740</v>
      </c>
      <c r="F1246" s="479"/>
      <c r="G1246" s="227" t="s">
        <v>1111</v>
      </c>
      <c r="H1246" s="228" t="str" cm="1">
        <f t="array" ref="H1246">IFERROR(INDEX(INVESTOR_LIST[INVESTOR NAME],MATCH(I1246,INVESTOR_LIST[INVESTOR CODE],0),)," ")</f>
        <v>MAZED AHMED ABDULLAH</v>
      </c>
      <c r="I1246" s="228" t="s">
        <v>1224</v>
      </c>
      <c r="J1246" s="229" t="s">
        <v>14</v>
      </c>
      <c r="K1246" s="230"/>
      <c r="L1246" s="230">
        <v>254580</v>
      </c>
    </row>
    <row r="1247" spans="1:13" ht="11.25" customHeight="1" x14ac:dyDescent="0.2">
      <c r="A1247" s="221">
        <v>2022</v>
      </c>
      <c r="B1247" s="221">
        <v>6</v>
      </c>
      <c r="C1247" s="221">
        <v>28</v>
      </c>
      <c r="D1247" s="231">
        <f t="shared" si="131"/>
        <v>44740</v>
      </c>
      <c r="E1247" s="233">
        <f t="shared" ref="E1247:E1279" si="134">DATE(A1247,B1247,C1247)</f>
        <v>44740</v>
      </c>
      <c r="F1247" s="478" t="s">
        <v>802</v>
      </c>
      <c r="G1247" s="222" t="s">
        <v>1111</v>
      </c>
      <c r="H1247" s="223" t="str" cm="1">
        <f t="array" ref="H1247">IFERROR(INDEX(INVESTOR_LIST[INVESTOR NAME],MATCH(I1247,INVESTOR_LIST[INVESTOR CODE],0),)," ")</f>
        <v>ROKSABA KASEM</v>
      </c>
      <c r="I1247" s="223" t="s">
        <v>1243</v>
      </c>
      <c r="J1247" s="224" t="s">
        <v>55</v>
      </c>
      <c r="K1247" s="225">
        <v>500000</v>
      </c>
      <c r="L1247" s="225"/>
    </row>
    <row r="1248" spans="1:13" ht="11.25" customHeight="1" x14ac:dyDescent="0.2">
      <c r="A1248" s="164">
        <v>2022</v>
      </c>
      <c r="B1248" s="164">
        <v>6</v>
      </c>
      <c r="C1248" s="164">
        <v>28</v>
      </c>
      <c r="D1248" s="156">
        <f t="shared" si="131"/>
        <v>44740</v>
      </c>
      <c r="E1248" s="235">
        <f t="shared" si="134"/>
        <v>44740</v>
      </c>
      <c r="F1248" s="480"/>
      <c r="G1248" s="208" t="s">
        <v>1111</v>
      </c>
      <c r="H1248" s="206" t="str" cm="1">
        <f t="array" ref="H1248">IFERROR(INDEX(INVESTOR_LIST[INVESTOR NAME],MATCH(I1248,INVESTOR_LIST[INVESTOR CODE],0),)," ")</f>
        <v>ROKSABA KASEM</v>
      </c>
      <c r="I1248" s="206" t="s">
        <v>1243</v>
      </c>
      <c r="J1248" s="165" t="s">
        <v>1112</v>
      </c>
      <c r="K1248" s="205">
        <v>9160</v>
      </c>
      <c r="L1248" s="205"/>
      <c r="M1248" s="166"/>
    </row>
    <row r="1249" spans="1:14" ht="11.25" customHeight="1" x14ac:dyDescent="0.2">
      <c r="A1249" s="226">
        <v>2022</v>
      </c>
      <c r="B1249" s="226">
        <v>6</v>
      </c>
      <c r="C1249" s="226">
        <v>28</v>
      </c>
      <c r="D1249" s="232">
        <f t="shared" si="131"/>
        <v>44740</v>
      </c>
      <c r="E1249" s="234">
        <f t="shared" si="134"/>
        <v>44740</v>
      </c>
      <c r="F1249" s="479"/>
      <c r="G1249" s="227" t="s">
        <v>1111</v>
      </c>
      <c r="H1249" s="228" t="str" cm="1">
        <f t="array" ref="H1249">IFERROR(INDEX(INVESTOR_LIST[INVESTOR NAME],MATCH(I1249,INVESTOR_LIST[INVESTOR CODE],0),)," ")</f>
        <v>ROKSABA KASEM</v>
      </c>
      <c r="I1249" s="228" t="s">
        <v>1243</v>
      </c>
      <c r="J1249" s="229" t="s">
        <v>14</v>
      </c>
      <c r="K1249" s="230"/>
      <c r="L1249" s="230">
        <v>509160</v>
      </c>
    </row>
    <row r="1250" spans="1:14" ht="11.25" customHeight="1" x14ac:dyDescent="0.2">
      <c r="A1250" s="221">
        <v>2022</v>
      </c>
      <c r="B1250" s="221">
        <v>6</v>
      </c>
      <c r="C1250" s="221">
        <v>29</v>
      </c>
      <c r="D1250" s="231">
        <f t="shared" si="131"/>
        <v>44741</v>
      </c>
      <c r="E1250" s="233">
        <f t="shared" si="134"/>
        <v>44741</v>
      </c>
      <c r="F1250" s="478" t="s">
        <v>802</v>
      </c>
      <c r="G1250" s="222" t="s">
        <v>1111</v>
      </c>
      <c r="H1250" s="223" t="str" cm="1">
        <f t="array" ref="H1250">IFERROR(INDEX(INVESTOR_LIST[INVESTOR NAME],MATCH(I1250,INVESTOR_LIST[INVESTOR CODE],0),)," ")</f>
        <v>MYAT MOE KHAING</v>
      </c>
      <c r="I1250" s="223" t="s">
        <v>1235</v>
      </c>
      <c r="J1250" s="224" t="s">
        <v>55</v>
      </c>
      <c r="K1250" s="225">
        <v>500000</v>
      </c>
      <c r="L1250" s="225"/>
    </row>
    <row r="1251" spans="1:14" ht="11.25" customHeight="1" x14ac:dyDescent="0.2">
      <c r="A1251" s="164">
        <v>2022</v>
      </c>
      <c r="B1251" s="164">
        <v>6</v>
      </c>
      <c r="C1251" s="164">
        <v>29</v>
      </c>
      <c r="D1251" s="156">
        <f t="shared" si="131"/>
        <v>44741</v>
      </c>
      <c r="E1251" s="235">
        <f t="shared" si="134"/>
        <v>44741</v>
      </c>
      <c r="F1251" s="480"/>
      <c r="G1251" s="208" t="s">
        <v>1111</v>
      </c>
      <c r="H1251" s="206" t="str" cm="1">
        <f t="array" ref="H1251">IFERROR(INDEX(INVESTOR_LIST[INVESTOR NAME],MATCH(I1251,INVESTOR_LIST[INVESTOR CODE],0),)," ")</f>
        <v>MYAT MOE KHAING</v>
      </c>
      <c r="I1251" s="206" t="s">
        <v>1235</v>
      </c>
      <c r="J1251" s="165" t="s">
        <v>1112</v>
      </c>
      <c r="K1251" s="205">
        <v>9160</v>
      </c>
      <c r="L1251" s="205"/>
    </row>
    <row r="1252" spans="1:14" ht="11.25" customHeight="1" x14ac:dyDescent="0.2">
      <c r="A1252" s="226">
        <v>2022</v>
      </c>
      <c r="B1252" s="226">
        <v>6</v>
      </c>
      <c r="C1252" s="226">
        <v>29</v>
      </c>
      <c r="D1252" s="232">
        <f t="shared" si="131"/>
        <v>44741</v>
      </c>
      <c r="E1252" s="234">
        <f t="shared" si="134"/>
        <v>44741</v>
      </c>
      <c r="F1252" s="479"/>
      <c r="G1252" s="227" t="s">
        <v>1111</v>
      </c>
      <c r="H1252" s="228" t="str" cm="1">
        <f t="array" ref="H1252">IFERROR(INDEX(INVESTOR_LIST[INVESTOR NAME],MATCH(I1252,INVESTOR_LIST[INVESTOR CODE],0),)," ")</f>
        <v>MYAT MOE KHAING</v>
      </c>
      <c r="I1252" s="228" t="s">
        <v>1235</v>
      </c>
      <c r="J1252" s="229" t="s">
        <v>14</v>
      </c>
      <c r="K1252" s="230"/>
      <c r="L1252" s="230">
        <v>509160</v>
      </c>
    </row>
    <row r="1253" spans="1:14" ht="11.25" customHeight="1" x14ac:dyDescent="0.2">
      <c r="A1253" s="221">
        <v>2022</v>
      </c>
      <c r="B1253" s="221">
        <v>6</v>
      </c>
      <c r="C1253" s="221">
        <v>29</v>
      </c>
      <c r="D1253" s="231">
        <f t="shared" si="131"/>
        <v>44741</v>
      </c>
      <c r="E1253" s="233">
        <f t="shared" si="134"/>
        <v>44741</v>
      </c>
      <c r="F1253" s="478" t="s">
        <v>802</v>
      </c>
      <c r="G1253" s="222" t="s">
        <v>1111</v>
      </c>
      <c r="H1253" s="223" t="str" cm="1">
        <f t="array" ref="H1253">IFERROR(INDEX(INVESTOR_LIST[INVESTOR NAME],MATCH(I1253,INVESTOR_LIST[INVESTOR CODE],0),)," ")</f>
        <v>TAMRIN AL DEEN</v>
      </c>
      <c r="I1253" s="223" t="s">
        <v>1241</v>
      </c>
      <c r="J1253" s="224" t="s">
        <v>55</v>
      </c>
      <c r="K1253" s="225">
        <v>200000</v>
      </c>
      <c r="L1253" s="225"/>
      <c r="M1253" s="166"/>
    </row>
    <row r="1254" spans="1:14" ht="11.25" customHeight="1" x14ac:dyDescent="0.2">
      <c r="A1254" s="164">
        <v>2022</v>
      </c>
      <c r="B1254" s="164">
        <v>6</v>
      </c>
      <c r="C1254" s="164">
        <v>29</v>
      </c>
      <c r="D1254" s="156">
        <f t="shared" si="131"/>
        <v>44741</v>
      </c>
      <c r="E1254" s="235">
        <f t="shared" si="134"/>
        <v>44741</v>
      </c>
      <c r="F1254" s="480"/>
      <c r="G1254" s="208" t="s">
        <v>1111</v>
      </c>
      <c r="H1254" s="206" t="str" cm="1">
        <f t="array" ref="H1254">IFERROR(INDEX(INVESTOR_LIST[INVESTOR NAME],MATCH(I1254,INVESTOR_LIST[INVESTOR CODE],0),)," ")</f>
        <v>TAMRIN AL DEEN</v>
      </c>
      <c r="I1254" s="206" t="s">
        <v>1241</v>
      </c>
      <c r="J1254" s="165" t="s">
        <v>1112</v>
      </c>
      <c r="K1254" s="205">
        <v>3670</v>
      </c>
      <c r="L1254" s="205"/>
      <c r="N1254" s="167"/>
    </row>
    <row r="1255" spans="1:14" ht="11.25" customHeight="1" x14ac:dyDescent="0.2">
      <c r="A1255" s="226">
        <v>2022</v>
      </c>
      <c r="B1255" s="226">
        <v>6</v>
      </c>
      <c r="C1255" s="226">
        <v>29</v>
      </c>
      <c r="D1255" s="232">
        <f t="shared" si="131"/>
        <v>44741</v>
      </c>
      <c r="E1255" s="234">
        <f t="shared" si="134"/>
        <v>44741</v>
      </c>
      <c r="F1255" s="479"/>
      <c r="G1255" s="227" t="s">
        <v>1111</v>
      </c>
      <c r="H1255" s="228" t="str" cm="1">
        <f t="array" ref="H1255">IFERROR(INDEX(INVESTOR_LIST[INVESTOR NAME],MATCH(I1255,INVESTOR_LIST[INVESTOR CODE],0),)," ")</f>
        <v>TAMRIN AL DEEN</v>
      </c>
      <c r="I1255" s="228" t="s">
        <v>1241</v>
      </c>
      <c r="J1255" s="229" t="s">
        <v>14</v>
      </c>
      <c r="K1255" s="230"/>
      <c r="L1255" s="230">
        <v>203670</v>
      </c>
    </row>
    <row r="1256" spans="1:14" ht="11.25" customHeight="1" x14ac:dyDescent="0.2">
      <c r="A1256" s="221">
        <v>2022</v>
      </c>
      <c r="B1256" s="221">
        <v>6</v>
      </c>
      <c r="C1256" s="221">
        <v>28</v>
      </c>
      <c r="D1256" s="231">
        <f t="shared" si="131"/>
        <v>44740</v>
      </c>
      <c r="E1256" s="233">
        <f t="shared" ref="E1256:E1258" si="135">DATE(A1256,B1256,C1256)</f>
        <v>44740</v>
      </c>
      <c r="F1256" s="478" t="s">
        <v>802</v>
      </c>
      <c r="G1256" s="222" t="s">
        <v>1111</v>
      </c>
      <c r="H1256" s="223" t="str" cm="1">
        <f t="array" ref="H1256">IFERROR(INDEX(INVESTOR_LIST[INVESTOR NAME],MATCH(I1256,INVESTOR_LIST[INVESTOR CODE],0),)," ")</f>
        <v>SAJJAD CHOWDHURY</v>
      </c>
      <c r="I1256" s="223" t="s">
        <v>477</v>
      </c>
      <c r="J1256" s="224" t="s">
        <v>55</v>
      </c>
      <c r="K1256" s="225">
        <v>50000</v>
      </c>
      <c r="L1256" s="225"/>
    </row>
    <row r="1257" spans="1:14" ht="11.25" customHeight="1" x14ac:dyDescent="0.2">
      <c r="A1257" s="164">
        <v>2022</v>
      </c>
      <c r="B1257" s="164">
        <v>6</v>
      </c>
      <c r="C1257" s="164">
        <v>28</v>
      </c>
      <c r="D1257" s="156">
        <f t="shared" si="131"/>
        <v>44740</v>
      </c>
      <c r="E1257" s="235">
        <f t="shared" si="135"/>
        <v>44740</v>
      </c>
      <c r="F1257" s="480"/>
      <c r="G1257" s="208" t="s">
        <v>1111</v>
      </c>
      <c r="H1257" s="206" t="str" cm="1">
        <f t="array" ref="H1257">IFERROR(INDEX(INVESTOR_LIST[INVESTOR NAME],MATCH(I1257,INVESTOR_LIST[INVESTOR CODE],0),)," ")</f>
        <v>SAJJAD CHOWDHURY</v>
      </c>
      <c r="I1257" s="206" t="s">
        <v>477</v>
      </c>
      <c r="J1257" s="165" t="s">
        <v>1112</v>
      </c>
      <c r="K1257" s="205">
        <v>920</v>
      </c>
      <c r="L1257" s="205"/>
    </row>
    <row r="1258" spans="1:14" ht="11.25" customHeight="1" x14ac:dyDescent="0.2">
      <c r="A1258" s="226">
        <v>2022</v>
      </c>
      <c r="B1258" s="226">
        <v>6</v>
      </c>
      <c r="C1258" s="226">
        <v>28</v>
      </c>
      <c r="D1258" s="232">
        <f t="shared" si="131"/>
        <v>44740</v>
      </c>
      <c r="E1258" s="234">
        <f t="shared" si="135"/>
        <v>44740</v>
      </c>
      <c r="F1258" s="479"/>
      <c r="G1258" s="227" t="s">
        <v>1111</v>
      </c>
      <c r="H1258" s="228" t="str" cm="1">
        <f t="array" ref="H1258">IFERROR(INDEX(INVESTOR_LIST[INVESTOR NAME],MATCH(I1258,INVESTOR_LIST[INVESTOR CODE],0),)," ")</f>
        <v>SAJJAD CHOWDHURY</v>
      </c>
      <c r="I1258" s="228" t="s">
        <v>477</v>
      </c>
      <c r="J1258" s="229" t="s">
        <v>14</v>
      </c>
      <c r="K1258" s="230"/>
      <c r="L1258" s="230">
        <v>50920</v>
      </c>
    </row>
    <row r="1259" spans="1:14" ht="11.25" customHeight="1" x14ac:dyDescent="0.2">
      <c r="A1259" s="221">
        <v>2022</v>
      </c>
      <c r="B1259" s="221">
        <v>6</v>
      </c>
      <c r="C1259" s="221">
        <v>29</v>
      </c>
      <c r="D1259" s="231">
        <f t="shared" si="131"/>
        <v>44741</v>
      </c>
      <c r="E1259" s="233">
        <f t="shared" ref="E1259:E1261" si="136">DATE(A1259,B1259,C1259)</f>
        <v>44741</v>
      </c>
      <c r="F1259" s="478" t="s">
        <v>802</v>
      </c>
      <c r="G1259" s="222" t="s">
        <v>1111</v>
      </c>
      <c r="H1259" s="223" t="str" cm="1">
        <f t="array" ref="H1259">IFERROR(INDEX(INVESTOR_LIST[INVESTOR NAME],MATCH(I1259,INVESTOR_LIST[INVESTOR CODE],0),)," ")</f>
        <v>KALLANI ISLAM</v>
      </c>
      <c r="I1259" s="223" t="s">
        <v>1247</v>
      </c>
      <c r="J1259" s="224" t="s">
        <v>55</v>
      </c>
      <c r="K1259" s="225">
        <v>100000</v>
      </c>
      <c r="L1259" s="225"/>
    </row>
    <row r="1260" spans="1:14" ht="11.25" customHeight="1" x14ac:dyDescent="0.2">
      <c r="A1260" s="164">
        <v>2022</v>
      </c>
      <c r="B1260" s="164">
        <v>6</v>
      </c>
      <c r="C1260" s="164">
        <v>29</v>
      </c>
      <c r="D1260" s="156">
        <f t="shared" si="131"/>
        <v>44741</v>
      </c>
      <c r="E1260" s="235">
        <f t="shared" si="136"/>
        <v>44741</v>
      </c>
      <c r="F1260" s="480"/>
      <c r="G1260" s="208" t="s">
        <v>1111</v>
      </c>
      <c r="H1260" s="206" t="str" cm="1">
        <f t="array" ref="H1260">IFERROR(INDEX(INVESTOR_LIST[INVESTOR NAME],MATCH(I1260,INVESTOR_LIST[INVESTOR CODE],0),)," ")</f>
        <v>KALLANI ISLAM</v>
      </c>
      <c r="I1260" s="206" t="s">
        <v>1247</v>
      </c>
      <c r="J1260" s="165" t="s">
        <v>1112</v>
      </c>
      <c r="K1260" s="205">
        <v>1830</v>
      </c>
      <c r="L1260" s="205"/>
    </row>
    <row r="1261" spans="1:14" ht="11.25" customHeight="1" x14ac:dyDescent="0.2">
      <c r="A1261" s="226">
        <v>2022</v>
      </c>
      <c r="B1261" s="226">
        <v>6</v>
      </c>
      <c r="C1261" s="226">
        <v>29</v>
      </c>
      <c r="D1261" s="232">
        <f t="shared" si="131"/>
        <v>44741</v>
      </c>
      <c r="E1261" s="234">
        <f t="shared" si="136"/>
        <v>44741</v>
      </c>
      <c r="F1261" s="479"/>
      <c r="G1261" s="227" t="s">
        <v>1111</v>
      </c>
      <c r="H1261" s="228" t="str" cm="1">
        <f t="array" ref="H1261">IFERROR(INDEX(INVESTOR_LIST[INVESTOR NAME],MATCH(I1261,INVESTOR_LIST[INVESTOR CODE],0),)," ")</f>
        <v>KALLANI ISLAM</v>
      </c>
      <c r="I1261" s="228" t="s">
        <v>1247</v>
      </c>
      <c r="J1261" s="229" t="s">
        <v>14</v>
      </c>
      <c r="K1261" s="230"/>
      <c r="L1261" s="230">
        <v>101830</v>
      </c>
    </row>
    <row r="1262" spans="1:14" ht="11.25" customHeight="1" x14ac:dyDescent="0.2">
      <c r="A1262" s="221">
        <v>2022</v>
      </c>
      <c r="B1262" s="221">
        <v>6</v>
      </c>
      <c r="C1262" s="221">
        <v>29</v>
      </c>
      <c r="D1262" s="231">
        <f t="shared" si="131"/>
        <v>44741</v>
      </c>
      <c r="E1262" s="233">
        <f t="shared" si="134"/>
        <v>44741</v>
      </c>
      <c r="F1262" s="478" t="s">
        <v>802</v>
      </c>
      <c r="G1262" s="222" t="s">
        <v>1111</v>
      </c>
      <c r="H1262" s="223" t="str" cm="1">
        <f t="array" ref="H1262">IFERROR(INDEX(INVESTOR_LIST[INVESTOR NAME],MATCH(I1262,INVESTOR_LIST[INVESTOR CODE],0),)," ")</f>
        <v>NASRIN AHMED HELA</v>
      </c>
      <c r="I1262" s="223" t="s">
        <v>1245</v>
      </c>
      <c r="J1262" s="224" t="s">
        <v>55</v>
      </c>
      <c r="K1262" s="225">
        <v>200000</v>
      </c>
      <c r="L1262" s="225"/>
    </row>
    <row r="1263" spans="1:14" ht="11.25" customHeight="1" x14ac:dyDescent="0.2">
      <c r="A1263" s="164">
        <v>2022</v>
      </c>
      <c r="B1263" s="164">
        <v>6</v>
      </c>
      <c r="C1263" s="164">
        <v>29</v>
      </c>
      <c r="D1263" s="156">
        <f t="shared" si="131"/>
        <v>44741</v>
      </c>
      <c r="E1263" s="235">
        <f t="shared" si="134"/>
        <v>44741</v>
      </c>
      <c r="F1263" s="480"/>
      <c r="G1263" s="208" t="s">
        <v>1111</v>
      </c>
      <c r="H1263" s="206" t="str" cm="1">
        <f t="array" ref="H1263">IFERROR(INDEX(INVESTOR_LIST[INVESTOR NAME],MATCH(I1263,INVESTOR_LIST[INVESTOR CODE],0),)," ")</f>
        <v>NASRIN AHMED HELA</v>
      </c>
      <c r="I1263" s="206" t="s">
        <v>1245</v>
      </c>
      <c r="J1263" s="165" t="s">
        <v>1112</v>
      </c>
      <c r="K1263" s="205">
        <v>3670</v>
      </c>
      <c r="L1263" s="205"/>
    </row>
    <row r="1264" spans="1:14" ht="11.25" customHeight="1" x14ac:dyDescent="0.2">
      <c r="A1264" s="226">
        <v>2022</v>
      </c>
      <c r="B1264" s="226">
        <v>6</v>
      </c>
      <c r="C1264" s="226">
        <v>29</v>
      </c>
      <c r="D1264" s="232">
        <f t="shared" si="131"/>
        <v>44741</v>
      </c>
      <c r="E1264" s="234">
        <f t="shared" si="134"/>
        <v>44741</v>
      </c>
      <c r="F1264" s="479"/>
      <c r="G1264" s="227" t="s">
        <v>1111</v>
      </c>
      <c r="H1264" s="228" t="str" cm="1">
        <f t="array" ref="H1264">IFERROR(INDEX(INVESTOR_LIST[INVESTOR NAME],MATCH(I1264,INVESTOR_LIST[INVESTOR CODE],0),)," ")</f>
        <v>NASRIN AHMED HELA</v>
      </c>
      <c r="I1264" s="228" t="s">
        <v>1245</v>
      </c>
      <c r="J1264" s="229" t="s">
        <v>14</v>
      </c>
      <c r="K1264" s="230"/>
      <c r="L1264" s="230">
        <v>203670</v>
      </c>
    </row>
    <row r="1265" spans="1:13" ht="11.25" customHeight="1" x14ac:dyDescent="0.2">
      <c r="A1265" s="221">
        <v>2022</v>
      </c>
      <c r="B1265" s="221">
        <v>6</v>
      </c>
      <c r="C1265" s="221">
        <v>29</v>
      </c>
      <c r="D1265" s="231">
        <f t="shared" si="131"/>
        <v>44741</v>
      </c>
      <c r="E1265" s="233">
        <f t="shared" si="134"/>
        <v>44741</v>
      </c>
      <c r="F1265" s="478" t="s">
        <v>802</v>
      </c>
      <c r="G1265" s="222" t="s">
        <v>1111</v>
      </c>
      <c r="H1265" s="223" t="str" cm="1">
        <f t="array" ref="H1265">IFERROR(INDEX(INVESTOR_LIST[INVESTOR NAME],MATCH(I1265,INVESTOR_LIST[INVESTOR CODE],0),)," ")</f>
        <v>MD. NIAZ MURSHED</v>
      </c>
      <c r="I1265" s="223" t="s">
        <v>571</v>
      </c>
      <c r="J1265" s="224" t="s">
        <v>55</v>
      </c>
      <c r="K1265" s="225">
        <v>650000</v>
      </c>
      <c r="L1265" s="225"/>
    </row>
    <row r="1266" spans="1:13" ht="11.25" customHeight="1" x14ac:dyDescent="0.2">
      <c r="A1266" s="164">
        <v>2022</v>
      </c>
      <c r="B1266" s="164">
        <v>6</v>
      </c>
      <c r="C1266" s="164">
        <v>29</v>
      </c>
      <c r="D1266" s="156">
        <f t="shared" si="131"/>
        <v>44741</v>
      </c>
      <c r="E1266" s="235">
        <f t="shared" si="134"/>
        <v>44741</v>
      </c>
      <c r="F1266" s="480"/>
      <c r="G1266" s="208" t="s">
        <v>1111</v>
      </c>
      <c r="H1266" s="206" t="str" cm="1">
        <f t="array" ref="H1266">IFERROR(INDEX(INVESTOR_LIST[INVESTOR NAME],MATCH(I1266,INVESTOR_LIST[INVESTOR CODE],0),)," ")</f>
        <v>MD. NIAZ MURSHED</v>
      </c>
      <c r="I1266" s="206" t="s">
        <v>571</v>
      </c>
      <c r="J1266" s="165" t="s">
        <v>1112</v>
      </c>
      <c r="K1266" s="205">
        <v>11910</v>
      </c>
      <c r="L1266" s="205"/>
    </row>
    <row r="1267" spans="1:13" ht="11.25" customHeight="1" x14ac:dyDescent="0.2">
      <c r="A1267" s="226">
        <v>2022</v>
      </c>
      <c r="B1267" s="226">
        <v>6</v>
      </c>
      <c r="C1267" s="226">
        <v>29</v>
      </c>
      <c r="D1267" s="232">
        <f t="shared" si="131"/>
        <v>44741</v>
      </c>
      <c r="E1267" s="234">
        <f t="shared" si="134"/>
        <v>44741</v>
      </c>
      <c r="F1267" s="479"/>
      <c r="G1267" s="227" t="s">
        <v>1111</v>
      </c>
      <c r="H1267" s="228" t="str" cm="1">
        <f t="array" ref="H1267">IFERROR(INDEX(INVESTOR_LIST[INVESTOR NAME],MATCH(I1267,INVESTOR_LIST[INVESTOR CODE],0),)," ")</f>
        <v>MD. NIAZ MURSHED</v>
      </c>
      <c r="I1267" s="228" t="s">
        <v>571</v>
      </c>
      <c r="J1267" s="229" t="s">
        <v>14</v>
      </c>
      <c r="K1267" s="230"/>
      <c r="L1267" s="230">
        <v>661910</v>
      </c>
      <c r="M1267" s="166"/>
    </row>
    <row r="1268" spans="1:13" ht="11.25" customHeight="1" x14ac:dyDescent="0.2">
      <c r="A1268" s="221">
        <v>2022</v>
      </c>
      <c r="B1268" s="221">
        <v>6</v>
      </c>
      <c r="C1268" s="221">
        <v>29</v>
      </c>
      <c r="D1268" s="231">
        <f t="shared" si="131"/>
        <v>44741</v>
      </c>
      <c r="E1268" s="233">
        <f t="shared" si="134"/>
        <v>44741</v>
      </c>
      <c r="F1268" s="478" t="s">
        <v>802</v>
      </c>
      <c r="G1268" s="222" t="s">
        <v>1111</v>
      </c>
      <c r="H1268" s="223" t="str" cm="1">
        <f t="array" ref="H1268">IFERROR(INDEX(INVESTOR_LIST[INVESTOR NAME],MATCH(I1268,INVESTOR_LIST[INVESTOR CODE],0),)," ")</f>
        <v>NADIRA AKTER</v>
      </c>
      <c r="I1268" s="223" t="s">
        <v>694</v>
      </c>
      <c r="J1268" s="224" t="s">
        <v>55</v>
      </c>
      <c r="K1268" s="225">
        <v>400000</v>
      </c>
      <c r="L1268" s="225"/>
    </row>
    <row r="1269" spans="1:13" ht="11.25" customHeight="1" x14ac:dyDescent="0.2">
      <c r="A1269" s="164">
        <v>2022</v>
      </c>
      <c r="B1269" s="164">
        <v>6</v>
      </c>
      <c r="C1269" s="164">
        <v>29</v>
      </c>
      <c r="D1269" s="156">
        <f t="shared" si="131"/>
        <v>44741</v>
      </c>
      <c r="E1269" s="235">
        <f t="shared" si="134"/>
        <v>44741</v>
      </c>
      <c r="F1269" s="480"/>
      <c r="G1269" s="208" t="s">
        <v>1111</v>
      </c>
      <c r="H1269" s="206" t="str" cm="1">
        <f t="array" ref="H1269">IFERROR(INDEX(INVESTOR_LIST[INVESTOR NAME],MATCH(I1269,INVESTOR_LIST[INVESTOR CODE],0),)," ")</f>
        <v>NADIRA AKTER</v>
      </c>
      <c r="I1269" s="206" t="s">
        <v>694</v>
      </c>
      <c r="J1269" s="165" t="s">
        <v>1112</v>
      </c>
      <c r="K1269" s="205">
        <v>7330</v>
      </c>
      <c r="L1269" s="205"/>
    </row>
    <row r="1270" spans="1:13" ht="11.25" customHeight="1" x14ac:dyDescent="0.2">
      <c r="A1270" s="226">
        <v>2022</v>
      </c>
      <c r="B1270" s="226">
        <v>6</v>
      </c>
      <c r="C1270" s="226">
        <v>29</v>
      </c>
      <c r="D1270" s="232">
        <f t="shared" si="131"/>
        <v>44741</v>
      </c>
      <c r="E1270" s="234">
        <f t="shared" si="134"/>
        <v>44741</v>
      </c>
      <c r="F1270" s="479"/>
      <c r="G1270" s="227" t="s">
        <v>1111</v>
      </c>
      <c r="H1270" s="228" t="str" cm="1">
        <f t="array" ref="H1270">IFERROR(INDEX(INVESTOR_LIST[INVESTOR NAME],MATCH(I1270,INVESTOR_LIST[INVESTOR CODE],0),)," ")</f>
        <v>NADIRA AKTER</v>
      </c>
      <c r="I1270" s="228" t="s">
        <v>694</v>
      </c>
      <c r="J1270" s="229" t="s">
        <v>14</v>
      </c>
      <c r="K1270" s="230"/>
      <c r="L1270" s="230">
        <v>407330</v>
      </c>
    </row>
    <row r="1271" spans="1:13" ht="11.25" customHeight="1" x14ac:dyDescent="0.2">
      <c r="A1271" s="221">
        <v>2022</v>
      </c>
      <c r="B1271" s="221">
        <v>6</v>
      </c>
      <c r="C1271" s="221">
        <v>29</v>
      </c>
      <c r="D1271" s="231">
        <f t="shared" si="131"/>
        <v>44741</v>
      </c>
      <c r="E1271" s="233">
        <f t="shared" si="134"/>
        <v>44741</v>
      </c>
      <c r="F1271" s="478" t="s">
        <v>802</v>
      </c>
      <c r="G1271" s="222" t="s">
        <v>1111</v>
      </c>
      <c r="H1271" s="223" t="str" cm="1">
        <f t="array" ref="H1271">IFERROR(INDEX(INVESTOR_LIST[INVESTOR NAME],MATCH(I1271,INVESTOR_LIST[INVESTOR CODE],0),)," ")</f>
        <v>IMTIAJ ARA</v>
      </c>
      <c r="I1271" s="223" t="s">
        <v>693</v>
      </c>
      <c r="J1271" s="224" t="s">
        <v>55</v>
      </c>
      <c r="K1271" s="225">
        <v>400000</v>
      </c>
      <c r="L1271" s="225"/>
    </row>
    <row r="1272" spans="1:13" ht="11.25" customHeight="1" x14ac:dyDescent="0.2">
      <c r="A1272" s="164">
        <v>2022</v>
      </c>
      <c r="B1272" s="164">
        <v>6</v>
      </c>
      <c r="C1272" s="164">
        <v>29</v>
      </c>
      <c r="D1272" s="156">
        <f t="shared" si="131"/>
        <v>44741</v>
      </c>
      <c r="E1272" s="235">
        <f t="shared" si="134"/>
        <v>44741</v>
      </c>
      <c r="F1272" s="480"/>
      <c r="G1272" s="208" t="s">
        <v>1111</v>
      </c>
      <c r="H1272" s="206" t="str" cm="1">
        <f t="array" ref="H1272">IFERROR(INDEX(INVESTOR_LIST[INVESTOR NAME],MATCH(I1272,INVESTOR_LIST[INVESTOR CODE],0),)," ")</f>
        <v>IMTIAJ ARA</v>
      </c>
      <c r="I1272" s="206" t="s">
        <v>693</v>
      </c>
      <c r="J1272" s="165" t="s">
        <v>1112</v>
      </c>
      <c r="K1272" s="205">
        <v>7330</v>
      </c>
      <c r="L1272" s="205"/>
    </row>
    <row r="1273" spans="1:13" ht="11.25" customHeight="1" x14ac:dyDescent="0.2">
      <c r="A1273" s="226">
        <v>2022</v>
      </c>
      <c r="B1273" s="226">
        <v>6</v>
      </c>
      <c r="C1273" s="226">
        <v>29</v>
      </c>
      <c r="D1273" s="232">
        <f t="shared" si="131"/>
        <v>44741</v>
      </c>
      <c r="E1273" s="234">
        <f t="shared" si="134"/>
        <v>44741</v>
      </c>
      <c r="F1273" s="479"/>
      <c r="G1273" s="227" t="s">
        <v>1111</v>
      </c>
      <c r="H1273" s="228" t="str" cm="1">
        <f t="array" ref="H1273">IFERROR(INDEX(INVESTOR_LIST[INVESTOR NAME],MATCH(I1273,INVESTOR_LIST[INVESTOR CODE],0),)," ")</f>
        <v>IMTIAJ ARA</v>
      </c>
      <c r="I1273" s="228" t="s">
        <v>693</v>
      </c>
      <c r="J1273" s="229" t="s">
        <v>14</v>
      </c>
      <c r="K1273" s="230"/>
      <c r="L1273" s="230">
        <v>407330</v>
      </c>
    </row>
    <row r="1274" spans="1:13" ht="11.25" customHeight="1" x14ac:dyDescent="0.2">
      <c r="A1274" s="221">
        <v>2022</v>
      </c>
      <c r="B1274" s="221">
        <v>6</v>
      </c>
      <c r="C1274" s="221">
        <v>29</v>
      </c>
      <c r="D1274" s="231">
        <f t="shared" si="131"/>
        <v>44741</v>
      </c>
      <c r="E1274" s="233">
        <f t="shared" si="134"/>
        <v>44741</v>
      </c>
      <c r="F1274" s="478" t="s">
        <v>802</v>
      </c>
      <c r="G1274" s="222" t="s">
        <v>1111</v>
      </c>
      <c r="H1274" s="223" t="str" cm="1">
        <f t="array" ref="H1274">IFERROR(INDEX(INVESTOR_LIST[INVESTOR NAME],MATCH(I1274,INVESTOR_LIST[INVESTOR CODE],0),)," ")</f>
        <v>MD. A. RAZZAK</v>
      </c>
      <c r="I1274" s="223" t="s">
        <v>1239</v>
      </c>
      <c r="J1274" s="224" t="s">
        <v>55</v>
      </c>
      <c r="K1274" s="225">
        <v>300000</v>
      </c>
      <c r="L1274" s="225"/>
    </row>
    <row r="1275" spans="1:13" ht="11.25" customHeight="1" x14ac:dyDescent="0.2">
      <c r="A1275" s="164">
        <v>2022</v>
      </c>
      <c r="B1275" s="164">
        <v>6</v>
      </c>
      <c r="C1275" s="164">
        <v>29</v>
      </c>
      <c r="D1275" s="156">
        <f t="shared" si="131"/>
        <v>44741</v>
      </c>
      <c r="E1275" s="235">
        <f t="shared" si="134"/>
        <v>44741</v>
      </c>
      <c r="F1275" s="480"/>
      <c r="G1275" s="208" t="s">
        <v>1111</v>
      </c>
      <c r="H1275" s="206" t="str" cm="1">
        <f t="array" ref="H1275">IFERROR(INDEX(INVESTOR_LIST[INVESTOR NAME],MATCH(I1275,INVESTOR_LIST[INVESTOR CODE],0),)," ")</f>
        <v>MD. A. RAZZAK</v>
      </c>
      <c r="I1275" s="206" t="s">
        <v>1239</v>
      </c>
      <c r="J1275" s="165" t="s">
        <v>1112</v>
      </c>
      <c r="K1275" s="205">
        <v>5500</v>
      </c>
      <c r="L1275" s="205"/>
    </row>
    <row r="1276" spans="1:13" ht="11.25" customHeight="1" x14ac:dyDescent="0.2">
      <c r="A1276" s="226">
        <v>2022</v>
      </c>
      <c r="B1276" s="226">
        <v>6</v>
      </c>
      <c r="C1276" s="226">
        <v>29</v>
      </c>
      <c r="D1276" s="232">
        <f t="shared" si="131"/>
        <v>44741</v>
      </c>
      <c r="E1276" s="234">
        <f t="shared" si="134"/>
        <v>44741</v>
      </c>
      <c r="F1276" s="479"/>
      <c r="G1276" s="227" t="s">
        <v>1111</v>
      </c>
      <c r="H1276" s="228" t="str" cm="1">
        <f t="array" ref="H1276">IFERROR(INDEX(INVESTOR_LIST[INVESTOR NAME],MATCH(I1276,INVESTOR_LIST[INVESTOR CODE],0),)," ")</f>
        <v>MD. A. RAZZAK</v>
      </c>
      <c r="I1276" s="228" t="s">
        <v>1239</v>
      </c>
      <c r="J1276" s="229" t="s">
        <v>14</v>
      </c>
      <c r="K1276" s="230"/>
      <c r="L1276" s="230">
        <v>305500</v>
      </c>
    </row>
    <row r="1277" spans="1:13" ht="11.25" customHeight="1" x14ac:dyDescent="0.2">
      <c r="A1277" s="221">
        <v>2022</v>
      </c>
      <c r="B1277" s="221">
        <v>6</v>
      </c>
      <c r="C1277" s="221">
        <v>29</v>
      </c>
      <c r="D1277" s="231">
        <f t="shared" si="131"/>
        <v>44741</v>
      </c>
      <c r="E1277" s="233">
        <f t="shared" si="134"/>
        <v>44741</v>
      </c>
      <c r="F1277" s="478" t="s">
        <v>802</v>
      </c>
      <c r="G1277" s="222" t="s">
        <v>1111</v>
      </c>
      <c r="H1277" s="223" t="str" cm="1">
        <f t="array" ref="H1277">IFERROR(INDEX(INVESTOR_LIST[INVESTOR NAME],MATCH(I1277,INVESTOR_LIST[INVESTOR CODE],0),)," ")</f>
        <v>MAHFUZUL ISLAM</v>
      </c>
      <c r="I1277" s="223" t="s">
        <v>588</v>
      </c>
      <c r="J1277" s="224" t="s">
        <v>55</v>
      </c>
      <c r="K1277" s="225">
        <v>109500</v>
      </c>
      <c r="L1277" s="225"/>
    </row>
    <row r="1278" spans="1:13" ht="11.25" customHeight="1" x14ac:dyDescent="0.2">
      <c r="A1278" s="164">
        <v>2022</v>
      </c>
      <c r="B1278" s="164">
        <v>6</v>
      </c>
      <c r="C1278" s="164">
        <v>29</v>
      </c>
      <c r="D1278" s="156">
        <f t="shared" si="131"/>
        <v>44741</v>
      </c>
      <c r="E1278" s="235">
        <f t="shared" si="134"/>
        <v>44741</v>
      </c>
      <c r="F1278" s="480"/>
      <c r="G1278" s="208" t="s">
        <v>1111</v>
      </c>
      <c r="H1278" s="206" t="str" cm="1">
        <f t="array" ref="H1278">IFERROR(INDEX(INVESTOR_LIST[INVESTOR NAME],MATCH(I1278,INVESTOR_LIST[INVESTOR CODE],0),)," ")</f>
        <v>MAHFUZUL ISLAM</v>
      </c>
      <c r="I1278" s="206" t="s">
        <v>588</v>
      </c>
      <c r="J1278" s="165" t="s">
        <v>1112</v>
      </c>
      <c r="K1278" s="205">
        <v>2010</v>
      </c>
      <c r="L1278" s="205"/>
    </row>
    <row r="1279" spans="1:13" ht="11.25" customHeight="1" x14ac:dyDescent="0.2">
      <c r="A1279" s="226">
        <v>2022</v>
      </c>
      <c r="B1279" s="226">
        <v>6</v>
      </c>
      <c r="C1279" s="226">
        <v>29</v>
      </c>
      <c r="D1279" s="232">
        <f t="shared" si="131"/>
        <v>44741</v>
      </c>
      <c r="E1279" s="234">
        <f t="shared" si="134"/>
        <v>44741</v>
      </c>
      <c r="F1279" s="479"/>
      <c r="G1279" s="227" t="s">
        <v>1111</v>
      </c>
      <c r="H1279" s="228" t="str" cm="1">
        <f t="array" ref="H1279">IFERROR(INDEX(INVESTOR_LIST[INVESTOR NAME],MATCH(I1279,INVESTOR_LIST[INVESTOR CODE],0),)," ")</f>
        <v>MAHFUZUL ISLAM</v>
      </c>
      <c r="I1279" s="228" t="s">
        <v>588</v>
      </c>
      <c r="J1279" s="229" t="s">
        <v>14</v>
      </c>
      <c r="K1279" s="230"/>
      <c r="L1279" s="230">
        <v>111510</v>
      </c>
    </row>
    <row r="1280" spans="1:13" ht="11.25" customHeight="1" x14ac:dyDescent="0.2">
      <c r="A1280" s="221">
        <v>2022</v>
      </c>
      <c r="B1280" s="221">
        <v>6</v>
      </c>
      <c r="C1280" s="221">
        <v>29</v>
      </c>
      <c r="D1280" s="231">
        <f t="shared" si="131"/>
        <v>44741</v>
      </c>
      <c r="E1280" s="233">
        <f t="shared" ref="E1280:E1281" si="137">DATE(A1280,B1280,C1280)</f>
        <v>44741</v>
      </c>
      <c r="F1280" s="478" t="s">
        <v>1114</v>
      </c>
      <c r="G1280" s="222" t="s">
        <v>1111</v>
      </c>
      <c r="H1280" s="223" t="str" cm="1">
        <f t="array" ref="H1280">IFERROR(INDEX(INVESTOR_LIST[INVESTOR NAME],MATCH(I1280,INVESTOR_LIST[INVESTOR CODE],0),)," ")</f>
        <v xml:space="preserve"> </v>
      </c>
      <c r="I1280" s="223"/>
      <c r="J1280" s="224" t="s">
        <v>63</v>
      </c>
      <c r="K1280" s="225">
        <v>55</v>
      </c>
      <c r="L1280" s="225"/>
    </row>
    <row r="1281" spans="1:12" ht="11.25" customHeight="1" x14ac:dyDescent="0.2">
      <c r="A1281" s="226">
        <v>2022</v>
      </c>
      <c r="B1281" s="226">
        <v>6</v>
      </c>
      <c r="C1281" s="226">
        <v>29</v>
      </c>
      <c r="D1281" s="232">
        <f t="shared" si="131"/>
        <v>44741</v>
      </c>
      <c r="E1281" s="234">
        <f t="shared" si="137"/>
        <v>44741</v>
      </c>
      <c r="F1281" s="479"/>
      <c r="G1281" s="227" t="s">
        <v>1111</v>
      </c>
      <c r="H1281" s="228" t="str" cm="1">
        <f t="array" ref="H1281">IFERROR(INDEX(INVESTOR_LIST[INVESTOR NAME],MATCH(I1281,INVESTOR_LIST[INVESTOR CODE],0),)," ")</f>
        <v xml:space="preserve"> </v>
      </c>
      <c r="I1281" s="228"/>
      <c r="J1281" s="229" t="s">
        <v>55</v>
      </c>
      <c r="K1281" s="230"/>
      <c r="L1281" s="230">
        <v>55</v>
      </c>
    </row>
    <row r="1282" spans="1:12" ht="11.25" customHeight="1" x14ac:dyDescent="0.2">
      <c r="A1282" s="221">
        <v>2022</v>
      </c>
      <c r="B1282" s="221">
        <v>6</v>
      </c>
      <c r="C1282" s="221">
        <v>30</v>
      </c>
      <c r="D1282" s="231">
        <f t="shared" si="131"/>
        <v>44742</v>
      </c>
      <c r="E1282" s="233">
        <f t="shared" ref="E1282:E1284" si="138">DATE(A1282,B1282,C1282)</f>
        <v>44742</v>
      </c>
      <c r="F1282" s="478" t="s">
        <v>802</v>
      </c>
      <c r="G1282" s="222" t="s">
        <v>1111</v>
      </c>
      <c r="H1282" s="223" t="str" cm="1">
        <f t="array" ref="H1282">IFERROR(INDEX(INVESTOR_LIST[INVESTOR NAME],MATCH(I1282,INVESTOR_LIST[INVESTOR CODE],0),)," ")</f>
        <v>NASRIN AHMED HELA</v>
      </c>
      <c r="I1282" s="223" t="s">
        <v>1245</v>
      </c>
      <c r="J1282" s="224" t="s">
        <v>55</v>
      </c>
      <c r="K1282" s="225">
        <v>200000</v>
      </c>
      <c r="L1282" s="225"/>
    </row>
    <row r="1283" spans="1:12" ht="11.25" customHeight="1" x14ac:dyDescent="0.2">
      <c r="A1283" s="164">
        <v>2022</v>
      </c>
      <c r="B1283" s="164">
        <v>6</v>
      </c>
      <c r="C1283" s="164">
        <v>30</v>
      </c>
      <c r="D1283" s="156">
        <f t="shared" si="131"/>
        <v>44742</v>
      </c>
      <c r="E1283" s="235">
        <f t="shared" si="138"/>
        <v>44742</v>
      </c>
      <c r="F1283" s="480"/>
      <c r="G1283" s="208" t="s">
        <v>1111</v>
      </c>
      <c r="H1283" s="206" t="str" cm="1">
        <f t="array" ref="H1283">IFERROR(INDEX(INVESTOR_LIST[INVESTOR NAME],MATCH(I1283,INVESTOR_LIST[INVESTOR CODE],0),)," ")</f>
        <v>NASRIN AHMED HELA</v>
      </c>
      <c r="I1283" s="206" t="s">
        <v>1245</v>
      </c>
      <c r="J1283" s="165" t="s">
        <v>1112</v>
      </c>
      <c r="K1283" s="205">
        <v>3670</v>
      </c>
      <c r="L1283" s="205"/>
    </row>
    <row r="1284" spans="1:12" ht="11.25" customHeight="1" x14ac:dyDescent="0.2">
      <c r="A1284" s="226">
        <v>2022</v>
      </c>
      <c r="B1284" s="226">
        <v>6</v>
      </c>
      <c r="C1284" s="226">
        <v>30</v>
      </c>
      <c r="D1284" s="232">
        <f t="shared" si="131"/>
        <v>44742</v>
      </c>
      <c r="E1284" s="234">
        <f t="shared" si="138"/>
        <v>44742</v>
      </c>
      <c r="F1284" s="479"/>
      <c r="G1284" s="227" t="s">
        <v>1111</v>
      </c>
      <c r="H1284" s="228" t="str" cm="1">
        <f t="array" ref="H1284">IFERROR(INDEX(INVESTOR_LIST[INVESTOR NAME],MATCH(I1284,INVESTOR_LIST[INVESTOR CODE],0),)," ")</f>
        <v>NASRIN AHMED HELA</v>
      </c>
      <c r="I1284" s="228" t="s">
        <v>1245</v>
      </c>
      <c r="J1284" s="229" t="s">
        <v>14</v>
      </c>
      <c r="K1284" s="230"/>
      <c r="L1284" s="230">
        <v>203670</v>
      </c>
    </row>
    <row r="1285" spans="1:12" ht="11.25" customHeight="1" x14ac:dyDescent="0.2">
      <c r="A1285" s="221">
        <v>2022</v>
      </c>
      <c r="B1285" s="221">
        <v>6</v>
      </c>
      <c r="C1285" s="221">
        <v>30</v>
      </c>
      <c r="D1285" s="231">
        <f t="shared" si="131"/>
        <v>44742</v>
      </c>
      <c r="E1285" s="233">
        <f t="shared" ref="E1285:E1296" si="139">DATE(A1285,B1285,C1285)</f>
        <v>44742</v>
      </c>
      <c r="F1285" s="478" t="s">
        <v>802</v>
      </c>
      <c r="G1285" s="222" t="s">
        <v>1111</v>
      </c>
      <c r="H1285" s="223" t="str" cm="1">
        <f t="array" ref="H1285">IFERROR(INDEX(INVESTOR_LIST[INVESTOR NAME],MATCH(I1285,INVESTOR_LIST[INVESTOR CODE],0),)," ")</f>
        <v>NITYANANDA BISWAS</v>
      </c>
      <c r="I1285" s="223" t="s">
        <v>657</v>
      </c>
      <c r="J1285" s="224" t="s">
        <v>55</v>
      </c>
      <c r="K1285" s="225">
        <v>45000</v>
      </c>
      <c r="L1285" s="225"/>
    </row>
    <row r="1286" spans="1:12" ht="11.25" customHeight="1" x14ac:dyDescent="0.2">
      <c r="A1286" s="164">
        <v>2022</v>
      </c>
      <c r="B1286" s="164">
        <v>6</v>
      </c>
      <c r="C1286" s="164">
        <v>30</v>
      </c>
      <c r="D1286" s="156">
        <f t="shared" si="131"/>
        <v>44742</v>
      </c>
      <c r="E1286" s="235">
        <f t="shared" si="139"/>
        <v>44742</v>
      </c>
      <c r="F1286" s="480"/>
      <c r="G1286" s="208" t="s">
        <v>1111</v>
      </c>
      <c r="H1286" s="206" t="str" cm="1">
        <f t="array" ref="H1286">IFERROR(INDEX(INVESTOR_LIST[INVESTOR NAME],MATCH(I1286,INVESTOR_LIST[INVESTOR CODE],0),)," ")</f>
        <v>NITYANANDA BISWAS</v>
      </c>
      <c r="I1286" s="206" t="s">
        <v>657</v>
      </c>
      <c r="J1286" s="165" t="s">
        <v>1112</v>
      </c>
      <c r="K1286" s="205">
        <v>820</v>
      </c>
      <c r="L1286" s="205"/>
    </row>
    <row r="1287" spans="1:12" ht="11.25" customHeight="1" x14ac:dyDescent="0.2">
      <c r="A1287" s="226">
        <v>2022</v>
      </c>
      <c r="B1287" s="226">
        <v>6</v>
      </c>
      <c r="C1287" s="226">
        <v>30</v>
      </c>
      <c r="D1287" s="232">
        <f t="shared" si="131"/>
        <v>44742</v>
      </c>
      <c r="E1287" s="234">
        <f t="shared" si="139"/>
        <v>44742</v>
      </c>
      <c r="F1287" s="479"/>
      <c r="G1287" s="227" t="s">
        <v>1111</v>
      </c>
      <c r="H1287" s="228" t="str" cm="1">
        <f t="array" ref="H1287">IFERROR(INDEX(INVESTOR_LIST[INVESTOR NAME],MATCH(I1287,INVESTOR_LIST[INVESTOR CODE],0),)," ")</f>
        <v>NITYANANDA BISWAS</v>
      </c>
      <c r="I1287" s="228" t="s">
        <v>657</v>
      </c>
      <c r="J1287" s="229" t="s">
        <v>14</v>
      </c>
      <c r="K1287" s="230"/>
      <c r="L1287" s="230">
        <v>45820</v>
      </c>
    </row>
    <row r="1288" spans="1:12" ht="11.25" customHeight="1" x14ac:dyDescent="0.2">
      <c r="A1288" s="221">
        <v>2022</v>
      </c>
      <c r="B1288" s="221">
        <v>6</v>
      </c>
      <c r="C1288" s="221">
        <v>30</v>
      </c>
      <c r="D1288" s="231">
        <f t="shared" si="131"/>
        <v>44742</v>
      </c>
      <c r="E1288" s="233">
        <f t="shared" si="139"/>
        <v>44742</v>
      </c>
      <c r="F1288" s="478" t="s">
        <v>802</v>
      </c>
      <c r="G1288" s="222" t="s">
        <v>1111</v>
      </c>
      <c r="H1288" s="223" t="str" cm="1">
        <f t="array" ref="H1288">IFERROR(INDEX(INVESTOR_LIST[INVESTOR NAME],MATCH(I1288,INVESTOR_LIST[INVESTOR CODE],0),)," ")</f>
        <v>HABIB REDWAN RAFI</v>
      </c>
      <c r="I1288" s="223" t="s">
        <v>689</v>
      </c>
      <c r="J1288" s="224" t="s">
        <v>55</v>
      </c>
      <c r="K1288" s="225">
        <v>200000</v>
      </c>
      <c r="L1288" s="225"/>
    </row>
    <row r="1289" spans="1:12" ht="11.25" customHeight="1" x14ac:dyDescent="0.2">
      <c r="A1289" s="164">
        <v>2022</v>
      </c>
      <c r="B1289" s="164">
        <v>6</v>
      </c>
      <c r="C1289" s="164">
        <v>30</v>
      </c>
      <c r="D1289" s="156">
        <f t="shared" ref="D1289:D1352" si="140">DATE(A1289,B1289,C1289)</f>
        <v>44742</v>
      </c>
      <c r="E1289" s="235">
        <f t="shared" si="139"/>
        <v>44742</v>
      </c>
      <c r="F1289" s="480"/>
      <c r="G1289" s="208" t="s">
        <v>1111</v>
      </c>
      <c r="H1289" s="206" t="str" cm="1">
        <f t="array" ref="H1289">IFERROR(INDEX(INVESTOR_LIST[INVESTOR NAME],MATCH(I1289,INVESTOR_LIST[INVESTOR CODE],0),)," ")</f>
        <v>HABIB REDWAN RAFI</v>
      </c>
      <c r="I1289" s="206" t="s">
        <v>689</v>
      </c>
      <c r="J1289" s="165" t="s">
        <v>1112</v>
      </c>
      <c r="K1289" s="205">
        <v>3670</v>
      </c>
      <c r="L1289" s="205"/>
    </row>
    <row r="1290" spans="1:12" ht="11.25" customHeight="1" x14ac:dyDescent="0.2">
      <c r="A1290" s="226">
        <v>2022</v>
      </c>
      <c r="B1290" s="226">
        <v>6</v>
      </c>
      <c r="C1290" s="226">
        <v>30</v>
      </c>
      <c r="D1290" s="232">
        <f t="shared" si="140"/>
        <v>44742</v>
      </c>
      <c r="E1290" s="234">
        <f t="shared" si="139"/>
        <v>44742</v>
      </c>
      <c r="F1290" s="479"/>
      <c r="G1290" s="227" t="s">
        <v>1111</v>
      </c>
      <c r="H1290" s="228" t="str" cm="1">
        <f t="array" ref="H1290">IFERROR(INDEX(INVESTOR_LIST[INVESTOR NAME],MATCH(I1290,INVESTOR_LIST[INVESTOR CODE],0),)," ")</f>
        <v>HABIB REDWAN RAFI</v>
      </c>
      <c r="I1290" s="228" t="s">
        <v>689</v>
      </c>
      <c r="J1290" s="229" t="s">
        <v>14</v>
      </c>
      <c r="K1290" s="230"/>
      <c r="L1290" s="230">
        <v>203670</v>
      </c>
    </row>
    <row r="1291" spans="1:12" ht="11.25" customHeight="1" x14ac:dyDescent="0.2">
      <c r="A1291" s="221">
        <v>2022</v>
      </c>
      <c r="B1291" s="221">
        <v>6</v>
      </c>
      <c r="C1291" s="221">
        <v>30</v>
      </c>
      <c r="D1291" s="231">
        <f t="shared" si="140"/>
        <v>44742</v>
      </c>
      <c r="E1291" s="233">
        <f t="shared" si="139"/>
        <v>44742</v>
      </c>
      <c r="F1291" s="478" t="s">
        <v>802</v>
      </c>
      <c r="G1291" s="222" t="s">
        <v>1111</v>
      </c>
      <c r="H1291" s="223" t="str" cm="1">
        <f t="array" ref="H1291">IFERROR(INDEX(INVESTOR_LIST[INVESTOR NAME],MATCH(I1291,INVESTOR_LIST[INVESTOR CODE],0),)," ")</f>
        <v>MOHAMMAD MONJUR ALAM</v>
      </c>
      <c r="I1291" s="223" t="s">
        <v>380</v>
      </c>
      <c r="J1291" s="224" t="s">
        <v>55</v>
      </c>
      <c r="K1291" s="225">
        <v>500000</v>
      </c>
      <c r="L1291" s="225"/>
    </row>
    <row r="1292" spans="1:12" ht="11.25" customHeight="1" x14ac:dyDescent="0.2">
      <c r="A1292" s="164">
        <v>2022</v>
      </c>
      <c r="B1292" s="164">
        <v>6</v>
      </c>
      <c r="C1292" s="164">
        <v>30</v>
      </c>
      <c r="D1292" s="156">
        <f t="shared" si="140"/>
        <v>44742</v>
      </c>
      <c r="E1292" s="235">
        <f t="shared" si="139"/>
        <v>44742</v>
      </c>
      <c r="F1292" s="480"/>
      <c r="G1292" s="208" t="s">
        <v>1111</v>
      </c>
      <c r="H1292" s="206" t="str" cm="1">
        <f t="array" ref="H1292">IFERROR(INDEX(INVESTOR_LIST[INVESTOR NAME],MATCH(I1292,INVESTOR_LIST[INVESTOR CODE],0),)," ")</f>
        <v>MOHAMMAD MONJUR ALAM</v>
      </c>
      <c r="I1292" s="206" t="s">
        <v>380</v>
      </c>
      <c r="J1292" s="165" t="s">
        <v>1112</v>
      </c>
      <c r="K1292" s="205">
        <v>9160</v>
      </c>
      <c r="L1292" s="205"/>
    </row>
    <row r="1293" spans="1:12" ht="11.25" customHeight="1" x14ac:dyDescent="0.2">
      <c r="A1293" s="226">
        <v>2022</v>
      </c>
      <c r="B1293" s="226">
        <v>6</v>
      </c>
      <c r="C1293" s="226">
        <v>30</v>
      </c>
      <c r="D1293" s="232">
        <f t="shared" si="140"/>
        <v>44742</v>
      </c>
      <c r="E1293" s="234">
        <f t="shared" si="139"/>
        <v>44742</v>
      </c>
      <c r="F1293" s="479"/>
      <c r="G1293" s="227" t="s">
        <v>1111</v>
      </c>
      <c r="H1293" s="228" t="str" cm="1">
        <f t="array" ref="H1293">IFERROR(INDEX(INVESTOR_LIST[INVESTOR NAME],MATCH(I1293,INVESTOR_LIST[INVESTOR CODE],0),)," ")</f>
        <v>MOHAMMAD MONJUR ALAM</v>
      </c>
      <c r="I1293" s="228" t="s">
        <v>380</v>
      </c>
      <c r="J1293" s="229" t="s">
        <v>14</v>
      </c>
      <c r="K1293" s="230"/>
      <c r="L1293" s="230">
        <v>509160</v>
      </c>
    </row>
    <row r="1294" spans="1:12" ht="11.25" customHeight="1" x14ac:dyDescent="0.2">
      <c r="A1294" s="221">
        <v>2022</v>
      </c>
      <c r="B1294" s="221">
        <v>6</v>
      </c>
      <c r="C1294" s="221">
        <v>30</v>
      </c>
      <c r="D1294" s="231">
        <f t="shared" si="140"/>
        <v>44742</v>
      </c>
      <c r="E1294" s="233">
        <f t="shared" si="139"/>
        <v>44742</v>
      </c>
      <c r="F1294" s="478" t="s">
        <v>802</v>
      </c>
      <c r="G1294" s="222" t="s">
        <v>1111</v>
      </c>
      <c r="H1294" s="223" t="str" cm="1">
        <f t="array" ref="H1294">IFERROR(INDEX(INVESTOR_LIST[INVESTOR NAME],MATCH(I1294,INVESTOR_LIST[INVESTOR CODE],0),)," ")</f>
        <v>MD. NIZAM UDDIN</v>
      </c>
      <c r="I1294" s="223" t="s">
        <v>954</v>
      </c>
      <c r="J1294" s="224" t="s">
        <v>55</v>
      </c>
      <c r="K1294" s="225">
        <v>200000</v>
      </c>
      <c r="L1294" s="225"/>
    </row>
    <row r="1295" spans="1:12" ht="11.25" customHeight="1" x14ac:dyDescent="0.2">
      <c r="A1295" s="164">
        <v>2022</v>
      </c>
      <c r="B1295" s="164">
        <v>6</v>
      </c>
      <c r="C1295" s="164">
        <v>30</v>
      </c>
      <c r="D1295" s="156">
        <f t="shared" si="140"/>
        <v>44742</v>
      </c>
      <c r="E1295" s="235">
        <f t="shared" si="139"/>
        <v>44742</v>
      </c>
      <c r="F1295" s="480"/>
      <c r="G1295" s="208" t="s">
        <v>1111</v>
      </c>
      <c r="H1295" s="206" t="str" cm="1">
        <f t="array" ref="H1295">IFERROR(INDEX(INVESTOR_LIST[INVESTOR NAME],MATCH(I1295,INVESTOR_LIST[INVESTOR CODE],0),)," ")</f>
        <v>MD. NIZAM UDDIN</v>
      </c>
      <c r="I1295" s="206" t="s">
        <v>954</v>
      </c>
      <c r="J1295" s="165" t="s">
        <v>1112</v>
      </c>
      <c r="K1295" s="205">
        <v>3670</v>
      </c>
      <c r="L1295" s="205"/>
    </row>
    <row r="1296" spans="1:12" ht="11.25" customHeight="1" x14ac:dyDescent="0.2">
      <c r="A1296" s="226">
        <v>2022</v>
      </c>
      <c r="B1296" s="226">
        <v>6</v>
      </c>
      <c r="C1296" s="226">
        <v>30</v>
      </c>
      <c r="D1296" s="232">
        <f t="shared" si="140"/>
        <v>44742</v>
      </c>
      <c r="E1296" s="234">
        <f t="shared" si="139"/>
        <v>44742</v>
      </c>
      <c r="F1296" s="479"/>
      <c r="G1296" s="227" t="s">
        <v>1111</v>
      </c>
      <c r="H1296" s="228" t="str" cm="1">
        <f t="array" ref="H1296">IFERROR(INDEX(INVESTOR_LIST[INVESTOR NAME],MATCH(I1296,INVESTOR_LIST[INVESTOR CODE],0),)," ")</f>
        <v>MD. NIZAM UDDIN</v>
      </c>
      <c r="I1296" s="228" t="s">
        <v>954</v>
      </c>
      <c r="J1296" s="229" t="s">
        <v>14</v>
      </c>
      <c r="K1296" s="230"/>
      <c r="L1296" s="230">
        <v>203670</v>
      </c>
    </row>
    <row r="1297" spans="1:12" ht="11.25" customHeight="1" x14ac:dyDescent="0.2">
      <c r="A1297" s="221">
        <v>2022</v>
      </c>
      <c r="B1297" s="221">
        <v>6</v>
      </c>
      <c r="C1297" s="221">
        <v>30</v>
      </c>
      <c r="D1297" s="231">
        <f t="shared" si="140"/>
        <v>44742</v>
      </c>
      <c r="E1297" s="233">
        <f t="shared" ref="E1297:E1300" si="141">DATE(A1297,B1297,C1297)</f>
        <v>44742</v>
      </c>
      <c r="F1297" s="478" t="s">
        <v>1114</v>
      </c>
      <c r="G1297" s="222" t="s">
        <v>1111</v>
      </c>
      <c r="H1297" s="223" t="str" cm="1">
        <f t="array" ref="H1297">IFERROR(INDEX(INVESTOR_LIST[INVESTOR NAME],MATCH(I1297,INVESTOR_LIST[INVESTOR CODE],0),)," ")</f>
        <v xml:space="preserve"> </v>
      </c>
      <c r="I1297" s="223"/>
      <c r="J1297" s="224" t="s">
        <v>63</v>
      </c>
      <c r="K1297" s="225">
        <v>35</v>
      </c>
      <c r="L1297" s="225"/>
    </row>
    <row r="1298" spans="1:12" ht="11.25" customHeight="1" x14ac:dyDescent="0.2">
      <c r="A1298" s="226">
        <v>2022</v>
      </c>
      <c r="B1298" s="226">
        <v>6</v>
      </c>
      <c r="C1298" s="226">
        <v>30</v>
      </c>
      <c r="D1298" s="232">
        <f t="shared" si="140"/>
        <v>44742</v>
      </c>
      <c r="E1298" s="234">
        <f t="shared" si="141"/>
        <v>44742</v>
      </c>
      <c r="F1298" s="479"/>
      <c r="G1298" s="227" t="s">
        <v>1111</v>
      </c>
      <c r="H1298" s="228" t="str" cm="1">
        <f t="array" ref="H1298">IFERROR(INDEX(INVESTOR_LIST[INVESTOR NAME],MATCH(I1298,INVESTOR_LIST[INVESTOR CODE],0),)," ")</f>
        <v xml:space="preserve"> </v>
      </c>
      <c r="I1298" s="228"/>
      <c r="J1298" s="229" t="s">
        <v>55</v>
      </c>
      <c r="K1298" s="230"/>
      <c r="L1298" s="230">
        <v>35</v>
      </c>
    </row>
    <row r="1299" spans="1:12" ht="11.25" customHeight="1" x14ac:dyDescent="0.2">
      <c r="A1299" s="221">
        <v>2022</v>
      </c>
      <c r="B1299" s="221">
        <v>6</v>
      </c>
      <c r="C1299" s="221">
        <v>30</v>
      </c>
      <c r="D1299" s="231">
        <f t="shared" si="140"/>
        <v>44742</v>
      </c>
      <c r="E1299" s="233">
        <f t="shared" si="141"/>
        <v>44742</v>
      </c>
      <c r="F1299" s="478" t="s">
        <v>1248</v>
      </c>
      <c r="G1299" s="222" t="s">
        <v>1111</v>
      </c>
      <c r="H1299" s="223" t="str" cm="1">
        <f t="array" ref="H1299">IFERROR(INDEX(INVESTOR_LIST[INVESTOR NAME],MATCH(I1299,INVESTOR_LIST[INVESTOR CODE],0),)," ")</f>
        <v xml:space="preserve"> </v>
      </c>
      <c r="I1299" s="223"/>
      <c r="J1299" s="224" t="s">
        <v>55</v>
      </c>
      <c r="K1299" s="225">
        <v>110602</v>
      </c>
      <c r="L1299" s="225"/>
    </row>
    <row r="1300" spans="1:12" ht="11.25" customHeight="1" x14ac:dyDescent="0.2">
      <c r="A1300" s="226">
        <v>2022</v>
      </c>
      <c r="B1300" s="226">
        <v>6</v>
      </c>
      <c r="C1300" s="226">
        <v>30</v>
      </c>
      <c r="D1300" s="232">
        <f t="shared" si="140"/>
        <v>44742</v>
      </c>
      <c r="E1300" s="234">
        <f t="shared" si="141"/>
        <v>44742</v>
      </c>
      <c r="F1300" s="479"/>
      <c r="G1300" s="227" t="s">
        <v>1111</v>
      </c>
      <c r="H1300" s="228" t="str" cm="1">
        <f t="array" ref="H1300">IFERROR(INDEX(INVESTOR_LIST[INVESTOR NAME],MATCH(I1300,INVESTOR_LIST[INVESTOR CODE],0),)," ")</f>
        <v xml:space="preserve"> </v>
      </c>
      <c r="I1300" s="228"/>
      <c r="J1300" s="229" t="s">
        <v>174</v>
      </c>
      <c r="K1300" s="230"/>
      <c r="L1300" s="230">
        <v>110602</v>
      </c>
    </row>
    <row r="1301" spans="1:12" ht="11.25" customHeight="1" x14ac:dyDescent="0.2">
      <c r="A1301" s="221">
        <v>2022</v>
      </c>
      <c r="B1301" s="221">
        <v>6</v>
      </c>
      <c r="C1301" s="221">
        <v>30</v>
      </c>
      <c r="D1301" s="231">
        <f t="shared" si="140"/>
        <v>44742</v>
      </c>
      <c r="E1301" s="233">
        <f t="shared" ref="E1301:E1381" si="142">DATE(A1301,B1301,C1301)</f>
        <v>44742</v>
      </c>
      <c r="F1301" s="478" t="s">
        <v>1249</v>
      </c>
      <c r="G1301" s="222" t="s">
        <v>1111</v>
      </c>
      <c r="H1301" s="223" t="str" cm="1">
        <f t="array" ref="H1301">IFERROR(INDEX(INVESTOR_LIST[INVESTOR NAME],MATCH(I1301,INVESTOR_LIST[INVESTOR CODE],0),)," ")</f>
        <v xml:space="preserve"> </v>
      </c>
      <c r="I1301" s="223"/>
      <c r="J1301" s="224" t="s">
        <v>63</v>
      </c>
      <c r="K1301" s="225">
        <v>11060.2</v>
      </c>
      <c r="L1301" s="225"/>
    </row>
    <row r="1302" spans="1:12" ht="11.25" customHeight="1" x14ac:dyDescent="0.2">
      <c r="A1302" s="226">
        <v>2022</v>
      </c>
      <c r="B1302" s="226">
        <v>6</v>
      </c>
      <c r="C1302" s="226">
        <v>30</v>
      </c>
      <c r="D1302" s="232">
        <f t="shared" si="140"/>
        <v>44742</v>
      </c>
      <c r="E1302" s="234">
        <f t="shared" si="142"/>
        <v>44742</v>
      </c>
      <c r="F1302" s="479"/>
      <c r="G1302" s="227" t="s">
        <v>1111</v>
      </c>
      <c r="H1302" s="228" t="str" cm="1">
        <f t="array" ref="H1302">IFERROR(INDEX(INVESTOR_LIST[INVESTOR NAME],MATCH(I1302,INVESTOR_LIST[INVESTOR CODE],0),)," ")</f>
        <v xml:space="preserve"> </v>
      </c>
      <c r="I1302" s="228"/>
      <c r="J1302" s="229" t="s">
        <v>55</v>
      </c>
      <c r="K1302" s="230"/>
      <c r="L1302" s="230">
        <v>11060.2</v>
      </c>
    </row>
    <row r="1303" spans="1:12" ht="11.25" customHeight="1" x14ac:dyDescent="0.2">
      <c r="A1303" s="221">
        <v>2022</v>
      </c>
      <c r="B1303" s="221">
        <v>6</v>
      </c>
      <c r="C1303" s="221">
        <v>30</v>
      </c>
      <c r="D1303" s="231">
        <f t="shared" si="140"/>
        <v>44742</v>
      </c>
      <c r="E1303" s="233">
        <f t="shared" si="142"/>
        <v>44742</v>
      </c>
      <c r="F1303" s="478" t="s">
        <v>1248</v>
      </c>
      <c r="G1303" s="222" t="s">
        <v>1111</v>
      </c>
      <c r="H1303" s="223" t="str" cm="1">
        <f t="array" ref="H1303">IFERROR(INDEX(INVESTOR_LIST[INVESTOR NAME],MATCH(I1303,INVESTOR_LIST[INVESTOR CODE],0),)," ")</f>
        <v xml:space="preserve"> </v>
      </c>
      <c r="I1303" s="223"/>
      <c r="J1303" s="224" t="s">
        <v>55</v>
      </c>
      <c r="K1303" s="225">
        <v>1069694</v>
      </c>
      <c r="L1303" s="225" t="s">
        <v>1119</v>
      </c>
    </row>
    <row r="1304" spans="1:12" ht="11.25" customHeight="1" x14ac:dyDescent="0.2">
      <c r="A1304" s="226">
        <v>2022</v>
      </c>
      <c r="B1304" s="226">
        <v>6</v>
      </c>
      <c r="C1304" s="226">
        <v>30</v>
      </c>
      <c r="D1304" s="232">
        <f t="shared" si="140"/>
        <v>44742</v>
      </c>
      <c r="E1304" s="234">
        <f t="shared" si="142"/>
        <v>44742</v>
      </c>
      <c r="F1304" s="479"/>
      <c r="G1304" s="227" t="s">
        <v>1111</v>
      </c>
      <c r="H1304" s="228" t="str" cm="1">
        <f t="array" ref="H1304">IFERROR(INDEX(INVESTOR_LIST[INVESTOR NAME],MATCH(I1304,INVESTOR_LIST[INVESTOR CODE],0),)," ")</f>
        <v xml:space="preserve"> </v>
      </c>
      <c r="I1304" s="228"/>
      <c r="J1304" s="229" t="s">
        <v>174</v>
      </c>
      <c r="K1304" s="230" t="s">
        <v>1119</v>
      </c>
      <c r="L1304" s="230">
        <v>1069694</v>
      </c>
    </row>
    <row r="1305" spans="1:12" ht="11.25" customHeight="1" x14ac:dyDescent="0.2">
      <c r="A1305" s="236">
        <v>2022</v>
      </c>
      <c r="B1305" s="236">
        <v>6</v>
      </c>
      <c r="C1305" s="236">
        <v>30</v>
      </c>
      <c r="D1305" s="237">
        <f t="shared" si="140"/>
        <v>44742</v>
      </c>
      <c r="E1305" s="238">
        <f t="shared" si="142"/>
        <v>44742</v>
      </c>
      <c r="F1305" s="476" t="s">
        <v>1118</v>
      </c>
      <c r="G1305" s="239" t="s">
        <v>86</v>
      </c>
      <c r="H1305" s="239" t="str" cm="1">
        <f t="array" ref="H1305">IFERROR(INDEX(INVESTOR_LIST[INVESTOR NAME],MATCH(I1305,INVESTOR_LIST[INVESTOR CODE],0),)," ")</f>
        <v xml:space="preserve"> </v>
      </c>
      <c r="I1305" s="240"/>
      <c r="J1305" s="241" t="s">
        <v>98</v>
      </c>
      <c r="K1305" s="242">
        <v>2817327.3999999911</v>
      </c>
      <c r="L1305" s="242"/>
    </row>
    <row r="1306" spans="1:12" ht="11.25" customHeight="1" x14ac:dyDescent="0.2">
      <c r="A1306" s="243">
        <v>2022</v>
      </c>
      <c r="B1306" s="243">
        <v>6</v>
      </c>
      <c r="C1306" s="243">
        <v>30</v>
      </c>
      <c r="D1306" s="248">
        <f t="shared" si="140"/>
        <v>44742</v>
      </c>
      <c r="E1306" s="249">
        <f t="shared" si="142"/>
        <v>44742</v>
      </c>
      <c r="F1306" s="477"/>
      <c r="G1306" s="244" t="s">
        <v>86</v>
      </c>
      <c r="H1306" s="244" t="str" cm="1">
        <f t="array" ref="H1306">IFERROR(INDEX(INVESTOR_LIST[INVESTOR NAME],MATCH(I1306,INVESTOR_LIST[INVESTOR CODE],0),)," ")</f>
        <v xml:space="preserve"> </v>
      </c>
      <c r="I1306" s="245"/>
      <c r="J1306" s="246" t="s">
        <v>82</v>
      </c>
      <c r="K1306" s="247"/>
      <c r="L1306" s="247">
        <v>2817327.3999999911</v>
      </c>
    </row>
    <row r="1307" spans="1:12" ht="11.25" customHeight="1" x14ac:dyDescent="0.2">
      <c r="A1307" s="236">
        <v>2022</v>
      </c>
      <c r="B1307" s="236">
        <v>6</v>
      </c>
      <c r="C1307" s="236">
        <v>30</v>
      </c>
      <c r="D1307" s="237">
        <f t="shared" si="140"/>
        <v>44742</v>
      </c>
      <c r="E1307" s="238">
        <f t="shared" si="142"/>
        <v>44742</v>
      </c>
      <c r="F1307" s="476" t="s">
        <v>1120</v>
      </c>
      <c r="G1307" s="239" t="s">
        <v>86</v>
      </c>
      <c r="H1307" s="239" t="str" cm="1">
        <f t="array" ref="H1307">IFERROR(INDEX(INVESTOR_LIST[INVESTOR NAME],MATCH(I1307,INVESTOR_LIST[INVESTOR CODE],0),)," ")</f>
        <v xml:space="preserve"> </v>
      </c>
      <c r="I1307" s="240"/>
      <c r="J1307" s="241" t="s">
        <v>87</v>
      </c>
      <c r="K1307" s="242">
        <v>2747.2527472527472</v>
      </c>
      <c r="L1307" s="242"/>
    </row>
    <row r="1308" spans="1:12" ht="11.25" customHeight="1" x14ac:dyDescent="0.2">
      <c r="A1308" s="243">
        <v>2022</v>
      </c>
      <c r="B1308" s="243">
        <v>6</v>
      </c>
      <c r="C1308" s="243">
        <v>30</v>
      </c>
      <c r="D1308" s="248">
        <f t="shared" si="140"/>
        <v>44742</v>
      </c>
      <c r="E1308" s="249">
        <f t="shared" si="142"/>
        <v>44742</v>
      </c>
      <c r="F1308" s="477"/>
      <c r="G1308" s="244" t="s">
        <v>86</v>
      </c>
      <c r="H1308" s="244" t="str" cm="1">
        <f t="array" ref="H1308">IFERROR(INDEX(INVESTOR_LIST[INVESTOR NAME],MATCH(I1308,INVESTOR_LIST[INVESTOR CODE],0),)," ")</f>
        <v xml:space="preserve"> </v>
      </c>
      <c r="I1308" s="245"/>
      <c r="J1308" s="246" t="s">
        <v>64</v>
      </c>
      <c r="K1308" s="247"/>
      <c r="L1308" s="247">
        <v>2747.2527472527472</v>
      </c>
    </row>
    <row r="1309" spans="1:12" ht="11.25" customHeight="1" x14ac:dyDescent="0.2">
      <c r="A1309" s="236">
        <v>2022</v>
      </c>
      <c r="B1309" s="236">
        <v>6</v>
      </c>
      <c r="C1309" s="236">
        <v>30</v>
      </c>
      <c r="D1309" s="237">
        <f t="shared" si="140"/>
        <v>44742</v>
      </c>
      <c r="E1309" s="238">
        <f t="shared" si="142"/>
        <v>44742</v>
      </c>
      <c r="F1309" s="476" t="s">
        <v>1121</v>
      </c>
      <c r="G1309" s="239" t="s">
        <v>86</v>
      </c>
      <c r="H1309" s="239" t="str" cm="1">
        <f t="array" ref="H1309">IFERROR(INDEX(INVESTOR_LIST[INVESTOR NAME],MATCH(I1309,INVESTOR_LIST[INVESTOR CODE],0),)," ")</f>
        <v xml:space="preserve"> </v>
      </c>
      <c r="I1309" s="240"/>
      <c r="J1309" s="241" t="s">
        <v>89</v>
      </c>
      <c r="K1309" s="242">
        <v>100557.6806755804</v>
      </c>
      <c r="L1309" s="242"/>
    </row>
    <row r="1310" spans="1:12" ht="11.25" customHeight="1" x14ac:dyDescent="0.2">
      <c r="A1310" s="243">
        <v>2022</v>
      </c>
      <c r="B1310" s="243">
        <v>6</v>
      </c>
      <c r="C1310" s="243">
        <v>30</v>
      </c>
      <c r="D1310" s="248">
        <f t="shared" si="140"/>
        <v>44742</v>
      </c>
      <c r="E1310" s="249">
        <f t="shared" si="142"/>
        <v>44742</v>
      </c>
      <c r="F1310" s="477"/>
      <c r="G1310" s="244" t="s">
        <v>86</v>
      </c>
      <c r="H1310" s="244" t="str" cm="1">
        <f t="array" ref="H1310">IFERROR(INDEX(INVESTOR_LIST[INVESTOR NAME],MATCH(I1310,INVESTOR_LIST[INVESTOR CODE],0),)," ")</f>
        <v xml:space="preserve"> </v>
      </c>
      <c r="I1310" s="245"/>
      <c r="J1310" s="246" t="s">
        <v>50</v>
      </c>
      <c r="K1310" s="247"/>
      <c r="L1310" s="247">
        <v>100557.6806755804</v>
      </c>
    </row>
    <row r="1311" spans="1:12" ht="11.25" customHeight="1" x14ac:dyDescent="0.2">
      <c r="A1311" s="236">
        <v>2022</v>
      </c>
      <c r="B1311" s="236">
        <v>6</v>
      </c>
      <c r="C1311" s="236">
        <v>30</v>
      </c>
      <c r="D1311" s="237">
        <f t="shared" si="140"/>
        <v>44742</v>
      </c>
      <c r="E1311" s="238">
        <f t="shared" si="142"/>
        <v>44742</v>
      </c>
      <c r="F1311" s="476" t="s">
        <v>1122</v>
      </c>
      <c r="G1311" s="239" t="s">
        <v>86</v>
      </c>
      <c r="H1311" s="239" t="str" cm="1">
        <f t="array" ref="H1311">IFERROR(INDEX(INVESTOR_LIST[INVESTOR NAME],MATCH(I1311,INVESTOR_LIST[INVESTOR CODE],0),)," ")</f>
        <v xml:space="preserve"> </v>
      </c>
      <c r="I1311" s="240"/>
      <c r="J1311" s="241" t="s">
        <v>91</v>
      </c>
      <c r="K1311" s="242">
        <v>4787.4994183944045</v>
      </c>
      <c r="L1311" s="242"/>
    </row>
    <row r="1312" spans="1:12" ht="11.25" customHeight="1" x14ac:dyDescent="0.2">
      <c r="A1312" s="243">
        <v>2022</v>
      </c>
      <c r="B1312" s="243">
        <v>6</v>
      </c>
      <c r="C1312" s="243">
        <v>30</v>
      </c>
      <c r="D1312" s="248">
        <f t="shared" si="140"/>
        <v>44742</v>
      </c>
      <c r="E1312" s="249">
        <f t="shared" si="142"/>
        <v>44742</v>
      </c>
      <c r="F1312" s="477"/>
      <c r="G1312" s="244" t="s">
        <v>86</v>
      </c>
      <c r="H1312" s="244" t="str" cm="1">
        <f t="array" ref="H1312">IFERROR(INDEX(INVESTOR_LIST[INVESTOR NAME],MATCH(I1312,INVESTOR_LIST[INVESTOR CODE],0),)," ")</f>
        <v xml:space="preserve"> </v>
      </c>
      <c r="I1312" s="245"/>
      <c r="J1312" s="246" t="s">
        <v>51</v>
      </c>
      <c r="K1312" s="247"/>
      <c r="L1312" s="247">
        <v>4787.4994183944045</v>
      </c>
    </row>
    <row r="1313" spans="1:13" ht="11.25" customHeight="1" x14ac:dyDescent="0.2">
      <c r="A1313" s="221">
        <v>2022</v>
      </c>
      <c r="B1313" s="221">
        <v>7</v>
      </c>
      <c r="C1313" s="221">
        <v>1</v>
      </c>
      <c r="D1313" s="231">
        <f t="shared" si="140"/>
        <v>44743</v>
      </c>
      <c r="E1313" s="233">
        <f t="shared" si="142"/>
        <v>44743</v>
      </c>
      <c r="F1313" s="478" t="s">
        <v>1114</v>
      </c>
      <c r="G1313" s="222" t="s">
        <v>1111</v>
      </c>
      <c r="H1313" s="223" t="str" cm="1">
        <f t="array" ref="H1313">IFERROR(INDEX(INVESTOR_LIST[INVESTOR NAME],MATCH(I1313,INVESTOR_LIST[INVESTOR CODE],0),)," ")</f>
        <v xml:space="preserve"> </v>
      </c>
      <c r="I1313" s="223"/>
      <c r="J1313" s="224" t="s">
        <v>63</v>
      </c>
      <c r="K1313" s="225">
        <v>345</v>
      </c>
      <c r="L1313" s="225"/>
    </row>
    <row r="1314" spans="1:13" ht="11.25" customHeight="1" x14ac:dyDescent="0.2">
      <c r="A1314" s="226">
        <v>2022</v>
      </c>
      <c r="B1314" s="226">
        <v>7</v>
      </c>
      <c r="C1314" s="226">
        <v>1</v>
      </c>
      <c r="D1314" s="232">
        <f t="shared" si="140"/>
        <v>44743</v>
      </c>
      <c r="E1314" s="234">
        <f t="shared" si="142"/>
        <v>44743</v>
      </c>
      <c r="F1314" s="479"/>
      <c r="G1314" s="227" t="s">
        <v>1111</v>
      </c>
      <c r="H1314" s="228" t="str" cm="1">
        <f t="array" ref="H1314">IFERROR(INDEX(INVESTOR_LIST[INVESTOR NAME],MATCH(I1314,INVESTOR_LIST[INVESTOR CODE],0),)," ")</f>
        <v xml:space="preserve"> </v>
      </c>
      <c r="I1314" s="228"/>
      <c r="J1314" s="229" t="s">
        <v>55</v>
      </c>
      <c r="K1314" s="230"/>
      <c r="L1314" s="230">
        <v>345</v>
      </c>
    </row>
    <row r="1315" spans="1:13" ht="11.25" customHeight="1" x14ac:dyDescent="0.2">
      <c r="A1315" s="221">
        <v>2022</v>
      </c>
      <c r="B1315" s="221">
        <v>7</v>
      </c>
      <c r="C1315" s="221">
        <v>1</v>
      </c>
      <c r="D1315" s="231">
        <f t="shared" si="140"/>
        <v>44743</v>
      </c>
      <c r="E1315" s="233">
        <f t="shared" ref="E1315:E1320" si="143">DATE(A1315,B1315,C1315)</f>
        <v>44743</v>
      </c>
      <c r="F1315" s="478" t="s">
        <v>1114</v>
      </c>
      <c r="G1315" s="222" t="s">
        <v>1111</v>
      </c>
      <c r="H1315" s="223" t="str" cm="1">
        <f t="array" ref="H1315">IFERROR(INDEX(INVESTOR_LIST[INVESTOR NAME],MATCH(I1315,INVESTOR_LIST[INVESTOR CODE],0),)," ")</f>
        <v xml:space="preserve"> </v>
      </c>
      <c r="I1315" s="223"/>
      <c r="J1315" s="224" t="s">
        <v>63</v>
      </c>
      <c r="K1315" s="225">
        <v>575</v>
      </c>
      <c r="L1315" s="225"/>
    </row>
    <row r="1316" spans="1:13" ht="11.25" customHeight="1" x14ac:dyDescent="0.2">
      <c r="A1316" s="226">
        <v>2022</v>
      </c>
      <c r="B1316" s="226">
        <v>7</v>
      </c>
      <c r="C1316" s="226">
        <v>1</v>
      </c>
      <c r="D1316" s="232">
        <f t="shared" si="140"/>
        <v>44743</v>
      </c>
      <c r="E1316" s="234">
        <f t="shared" si="143"/>
        <v>44743</v>
      </c>
      <c r="F1316" s="479"/>
      <c r="G1316" s="227" t="s">
        <v>1111</v>
      </c>
      <c r="H1316" s="228" t="str" cm="1">
        <f t="array" ref="H1316">IFERROR(INDEX(INVESTOR_LIST[INVESTOR NAME],MATCH(I1316,INVESTOR_LIST[INVESTOR CODE],0),)," ")</f>
        <v xml:space="preserve"> </v>
      </c>
      <c r="I1316" s="228"/>
      <c r="J1316" s="229" t="s">
        <v>55</v>
      </c>
      <c r="K1316" s="230"/>
      <c r="L1316" s="230">
        <v>575</v>
      </c>
    </row>
    <row r="1317" spans="1:13" ht="11.25" customHeight="1" x14ac:dyDescent="0.2">
      <c r="A1317" s="221">
        <v>2022</v>
      </c>
      <c r="B1317" s="221">
        <v>7</v>
      </c>
      <c r="C1317" s="221">
        <v>1</v>
      </c>
      <c r="D1317" s="231">
        <f t="shared" si="140"/>
        <v>44743</v>
      </c>
      <c r="E1317" s="233">
        <f t="shared" ref="E1317:E1318" si="144">DATE(A1317,B1317,C1317)</f>
        <v>44743</v>
      </c>
      <c r="F1317" s="478" t="s">
        <v>1260</v>
      </c>
      <c r="G1317" s="222" t="s">
        <v>1111</v>
      </c>
      <c r="H1317" s="223" t="str" cm="1">
        <f t="array" ref="H1317">IFERROR(INDEX(INVESTOR_LIST[INVESTOR NAME],MATCH(I1317,INVESTOR_LIST[INVESTOR CODE],0),)," ")</f>
        <v xml:space="preserve"> </v>
      </c>
      <c r="I1317" s="223"/>
      <c r="J1317" s="224" t="s">
        <v>63</v>
      </c>
      <c r="K1317" s="225">
        <v>300</v>
      </c>
      <c r="L1317" s="225"/>
    </row>
    <row r="1318" spans="1:13" ht="11.25" customHeight="1" x14ac:dyDescent="0.2">
      <c r="A1318" s="226">
        <v>2022</v>
      </c>
      <c r="B1318" s="226">
        <v>7</v>
      </c>
      <c r="C1318" s="226">
        <v>1</v>
      </c>
      <c r="D1318" s="232">
        <f t="shared" si="140"/>
        <v>44743</v>
      </c>
      <c r="E1318" s="234">
        <f t="shared" si="144"/>
        <v>44743</v>
      </c>
      <c r="F1318" s="479"/>
      <c r="G1318" s="227" t="s">
        <v>1111</v>
      </c>
      <c r="H1318" s="228" t="str" cm="1">
        <f t="array" ref="H1318">IFERROR(INDEX(INVESTOR_LIST[INVESTOR NAME],MATCH(I1318,INVESTOR_LIST[INVESTOR CODE],0),)," ")</f>
        <v xml:space="preserve"> </v>
      </c>
      <c r="I1318" s="228"/>
      <c r="J1318" s="229" t="s">
        <v>55</v>
      </c>
      <c r="K1318" s="230"/>
      <c r="L1318" s="230">
        <v>300</v>
      </c>
    </row>
    <row r="1319" spans="1:13" ht="11.25" customHeight="1" x14ac:dyDescent="0.2">
      <c r="A1319" s="221">
        <v>2022</v>
      </c>
      <c r="B1319" s="221">
        <v>7</v>
      </c>
      <c r="C1319" s="221">
        <v>1</v>
      </c>
      <c r="D1319" s="231">
        <f t="shared" si="140"/>
        <v>44743</v>
      </c>
      <c r="E1319" s="233">
        <f t="shared" si="143"/>
        <v>44743</v>
      </c>
      <c r="F1319" s="478" t="s">
        <v>1261</v>
      </c>
      <c r="G1319" s="222" t="s">
        <v>1111</v>
      </c>
      <c r="H1319" s="223" t="str" cm="1">
        <f t="array" ref="H1319">IFERROR(INDEX(INVESTOR_LIST[INVESTOR NAME],MATCH(I1319,INVESTOR_LIST[INVESTOR CODE],0),)," ")</f>
        <v xml:space="preserve"> </v>
      </c>
      <c r="I1319" s="223"/>
      <c r="J1319" s="224" t="s">
        <v>63</v>
      </c>
      <c r="K1319" s="225">
        <v>45</v>
      </c>
      <c r="L1319" s="225"/>
    </row>
    <row r="1320" spans="1:13" ht="11.25" customHeight="1" x14ac:dyDescent="0.2">
      <c r="A1320" s="226">
        <v>2022</v>
      </c>
      <c r="B1320" s="226">
        <v>7</v>
      </c>
      <c r="C1320" s="226">
        <v>1</v>
      </c>
      <c r="D1320" s="232">
        <f t="shared" si="140"/>
        <v>44743</v>
      </c>
      <c r="E1320" s="234">
        <f t="shared" si="143"/>
        <v>44743</v>
      </c>
      <c r="F1320" s="479"/>
      <c r="G1320" s="227" t="s">
        <v>1111</v>
      </c>
      <c r="H1320" s="228" t="str" cm="1">
        <f t="array" ref="H1320">IFERROR(INDEX(INVESTOR_LIST[INVESTOR NAME],MATCH(I1320,INVESTOR_LIST[INVESTOR CODE],0),)," ")</f>
        <v xml:space="preserve"> </v>
      </c>
      <c r="I1320" s="228"/>
      <c r="J1320" s="229" t="s">
        <v>55</v>
      </c>
      <c r="K1320" s="230"/>
      <c r="L1320" s="230">
        <v>45</v>
      </c>
    </row>
    <row r="1321" spans="1:13" ht="11.25" customHeight="1" x14ac:dyDescent="0.2">
      <c r="A1321" s="221">
        <v>2022</v>
      </c>
      <c r="B1321" s="221">
        <v>7</v>
      </c>
      <c r="C1321" s="221">
        <v>3</v>
      </c>
      <c r="D1321" s="231">
        <f t="shared" si="140"/>
        <v>44745</v>
      </c>
      <c r="E1321" s="233">
        <f t="shared" si="142"/>
        <v>44745</v>
      </c>
      <c r="F1321" s="478" t="s">
        <v>802</v>
      </c>
      <c r="G1321" s="222" t="s">
        <v>1111</v>
      </c>
      <c r="H1321" s="223" t="str" cm="1">
        <f t="array" ref="H1321">IFERROR(INDEX(INVESTOR_LIST[INVESTOR NAME],MATCH(I1321,INVESTOR_LIST[INVESTOR CODE],0),)," ")</f>
        <v>KAZI AHSAN MARUF</v>
      </c>
      <c r="I1321" s="223" t="s">
        <v>372</v>
      </c>
      <c r="J1321" s="224" t="s">
        <v>55</v>
      </c>
      <c r="K1321" s="225">
        <v>500000</v>
      </c>
      <c r="L1321" s="225"/>
    </row>
    <row r="1322" spans="1:13" ht="11.25" customHeight="1" x14ac:dyDescent="0.2">
      <c r="A1322" s="164">
        <v>2022</v>
      </c>
      <c r="B1322" s="164">
        <v>7</v>
      </c>
      <c r="C1322" s="164">
        <v>3</v>
      </c>
      <c r="D1322" s="156">
        <f t="shared" si="140"/>
        <v>44745</v>
      </c>
      <c r="E1322" s="235">
        <f t="shared" si="142"/>
        <v>44745</v>
      </c>
      <c r="F1322" s="480"/>
      <c r="G1322" s="208" t="s">
        <v>1111</v>
      </c>
      <c r="H1322" s="206" t="str" cm="1">
        <f t="array" ref="H1322">IFERROR(INDEX(INVESTOR_LIST[INVESTOR NAME],MATCH(I1322,INVESTOR_LIST[INVESTOR CODE],0),)," ")</f>
        <v>KAZI AHSAN MARUF</v>
      </c>
      <c r="I1322" s="206" t="s">
        <v>372</v>
      </c>
      <c r="J1322" s="165" t="s">
        <v>1112</v>
      </c>
      <c r="K1322" s="205">
        <v>9160</v>
      </c>
      <c r="L1322" s="205"/>
    </row>
    <row r="1323" spans="1:13" ht="11.25" customHeight="1" x14ac:dyDescent="0.2">
      <c r="A1323" s="226">
        <v>2022</v>
      </c>
      <c r="B1323" s="226">
        <v>7</v>
      </c>
      <c r="C1323" s="226">
        <v>3</v>
      </c>
      <c r="D1323" s="232">
        <f t="shared" si="140"/>
        <v>44745</v>
      </c>
      <c r="E1323" s="234">
        <f t="shared" si="142"/>
        <v>44745</v>
      </c>
      <c r="F1323" s="479"/>
      <c r="G1323" s="227" t="s">
        <v>1111</v>
      </c>
      <c r="H1323" s="228" t="str" cm="1">
        <f t="array" ref="H1323">IFERROR(INDEX(INVESTOR_LIST[INVESTOR NAME],MATCH(I1323,INVESTOR_LIST[INVESTOR CODE],0),)," ")</f>
        <v>KAZI AHSAN MARUF</v>
      </c>
      <c r="I1323" s="228" t="s">
        <v>372</v>
      </c>
      <c r="J1323" s="229" t="s">
        <v>14</v>
      </c>
      <c r="K1323" s="230"/>
      <c r="L1323" s="230">
        <v>509160</v>
      </c>
    </row>
    <row r="1324" spans="1:13" ht="11.25" customHeight="1" x14ac:dyDescent="0.2">
      <c r="A1324" s="221">
        <v>2022</v>
      </c>
      <c r="B1324" s="221">
        <v>7</v>
      </c>
      <c r="C1324" s="221">
        <v>3</v>
      </c>
      <c r="D1324" s="231">
        <f t="shared" si="140"/>
        <v>44745</v>
      </c>
      <c r="E1324" s="233">
        <f t="shared" ref="E1324:E1335" si="145">DATE(A1324,B1324,C1324)</f>
        <v>44745</v>
      </c>
      <c r="F1324" s="478" t="s">
        <v>1115</v>
      </c>
      <c r="G1324" s="222" t="s">
        <v>1111</v>
      </c>
      <c r="H1324" s="223" t="str" cm="1">
        <f t="array" ref="H1324">IFERROR(INDEX(INVESTOR_LIST[INVESTOR NAME],MATCH(I1324,INVESTOR_LIST[INVESTOR CODE],0),)," ")</f>
        <v>MAHFUZUL ISLAM</v>
      </c>
      <c r="I1324" s="223" t="s">
        <v>588</v>
      </c>
      <c r="J1324" s="224" t="s">
        <v>14</v>
      </c>
      <c r="K1324" s="225">
        <v>111510</v>
      </c>
      <c r="L1324" s="225"/>
    </row>
    <row r="1325" spans="1:13" ht="11.25" customHeight="1" x14ac:dyDescent="0.2">
      <c r="A1325" s="164">
        <v>2022</v>
      </c>
      <c r="B1325" s="164">
        <v>7</v>
      </c>
      <c r="C1325" s="164">
        <v>3</v>
      </c>
      <c r="D1325" s="156">
        <f t="shared" si="140"/>
        <v>44745</v>
      </c>
      <c r="E1325" s="235">
        <f t="shared" si="145"/>
        <v>44745</v>
      </c>
      <c r="F1325" s="480"/>
      <c r="G1325" s="208" t="s">
        <v>1111</v>
      </c>
      <c r="H1325" s="206" t="str" cm="1">
        <f t="array" ref="H1325">IFERROR(INDEX(INVESTOR_LIST[INVESTOR NAME],MATCH(I1325,INVESTOR_LIST[INVESTOR CODE],0),)," ")</f>
        <v>MAHFUZUL ISLAM</v>
      </c>
      <c r="I1325" s="206" t="s">
        <v>588</v>
      </c>
      <c r="J1325" s="165" t="s">
        <v>1112</v>
      </c>
      <c r="L1325" s="205">
        <v>334.53</v>
      </c>
    </row>
    <row r="1326" spans="1:13" ht="11.25" customHeight="1" x14ac:dyDescent="0.2">
      <c r="A1326" s="226">
        <v>2022</v>
      </c>
      <c r="B1326" s="226">
        <v>7</v>
      </c>
      <c r="C1326" s="226">
        <v>3</v>
      </c>
      <c r="D1326" s="232">
        <f t="shared" si="140"/>
        <v>44745</v>
      </c>
      <c r="E1326" s="234">
        <f t="shared" si="145"/>
        <v>44745</v>
      </c>
      <c r="F1326" s="479"/>
      <c r="G1326" s="227" t="s">
        <v>1111</v>
      </c>
      <c r="H1326" s="228" t="str" cm="1">
        <f t="array" ref="H1326">IFERROR(INDEX(INVESTOR_LIST[INVESTOR NAME],MATCH(I1326,INVESTOR_LIST[INVESTOR CODE],0),)," ")</f>
        <v>MAHFUZUL ISLAM</v>
      </c>
      <c r="I1326" s="228" t="s">
        <v>588</v>
      </c>
      <c r="J1326" s="229" t="s">
        <v>55</v>
      </c>
      <c r="K1326" s="230"/>
      <c r="L1326" s="230">
        <v>111175.47</v>
      </c>
    </row>
    <row r="1327" spans="1:13" ht="11.25" customHeight="1" x14ac:dyDescent="0.2">
      <c r="A1327" s="221">
        <v>2022</v>
      </c>
      <c r="B1327" s="221">
        <v>7</v>
      </c>
      <c r="C1327" s="221">
        <v>3</v>
      </c>
      <c r="D1327" s="231">
        <f t="shared" si="140"/>
        <v>44745</v>
      </c>
      <c r="E1327" s="233">
        <f t="shared" si="145"/>
        <v>44745</v>
      </c>
      <c r="F1327" s="478" t="s">
        <v>1115</v>
      </c>
      <c r="G1327" s="222" t="s">
        <v>1111</v>
      </c>
      <c r="H1327" s="223" t="str" cm="1">
        <f t="array" ref="H1327">IFERROR(INDEX(INVESTOR_LIST[INVESTOR NAME],MATCH(I1327,INVESTOR_LIST[INVESTOR CODE],0),)," ")</f>
        <v>SAIDA HOMAIRA</v>
      </c>
      <c r="I1327" s="223" t="s">
        <v>846</v>
      </c>
      <c r="J1327" s="224" t="s">
        <v>14</v>
      </c>
      <c r="K1327" s="225">
        <v>800000</v>
      </c>
      <c r="L1327" s="225"/>
      <c r="M1327" s="166"/>
    </row>
    <row r="1328" spans="1:13" ht="11.25" customHeight="1" x14ac:dyDescent="0.2">
      <c r="A1328" s="164">
        <v>2022</v>
      </c>
      <c r="B1328" s="164">
        <v>7</v>
      </c>
      <c r="C1328" s="164">
        <v>3</v>
      </c>
      <c r="D1328" s="156">
        <f t="shared" si="140"/>
        <v>44745</v>
      </c>
      <c r="E1328" s="235">
        <f t="shared" si="145"/>
        <v>44745</v>
      </c>
      <c r="F1328" s="480"/>
      <c r="G1328" s="208" t="s">
        <v>1111</v>
      </c>
      <c r="H1328" s="206" t="str" cm="1">
        <f t="array" ref="H1328">IFERROR(INDEX(INVESTOR_LIST[INVESTOR NAME],MATCH(I1328,INVESTOR_LIST[INVESTOR CODE],0),)," ")</f>
        <v>SAIDA HOMAIRA</v>
      </c>
      <c r="I1328" s="206" t="s">
        <v>846</v>
      </c>
      <c r="J1328" s="165" t="s">
        <v>1112</v>
      </c>
      <c r="L1328" s="205">
        <v>2400</v>
      </c>
    </row>
    <row r="1329" spans="1:13" ht="11.25" customHeight="1" x14ac:dyDescent="0.2">
      <c r="A1329" s="226">
        <v>2022</v>
      </c>
      <c r="B1329" s="226">
        <v>7</v>
      </c>
      <c r="C1329" s="226">
        <v>3</v>
      </c>
      <c r="D1329" s="232">
        <f t="shared" si="140"/>
        <v>44745</v>
      </c>
      <c r="E1329" s="234">
        <f t="shared" si="145"/>
        <v>44745</v>
      </c>
      <c r="F1329" s="479"/>
      <c r="G1329" s="227" t="s">
        <v>1111</v>
      </c>
      <c r="H1329" s="228" t="str" cm="1">
        <f t="array" ref="H1329">IFERROR(INDEX(INVESTOR_LIST[INVESTOR NAME],MATCH(I1329,INVESTOR_LIST[INVESTOR CODE],0),)," ")</f>
        <v>SAIDA HOMAIRA</v>
      </c>
      <c r="I1329" s="228" t="s">
        <v>846</v>
      </c>
      <c r="J1329" s="229" t="s">
        <v>55</v>
      </c>
      <c r="K1329" s="230"/>
      <c r="L1329" s="230">
        <v>797600</v>
      </c>
    </row>
    <row r="1330" spans="1:13" ht="11.25" customHeight="1" x14ac:dyDescent="0.2">
      <c r="A1330" s="221">
        <v>2022</v>
      </c>
      <c r="B1330" s="221">
        <v>7</v>
      </c>
      <c r="C1330" s="221">
        <v>3</v>
      </c>
      <c r="D1330" s="231">
        <f t="shared" si="140"/>
        <v>44745</v>
      </c>
      <c r="E1330" s="233">
        <f t="shared" si="145"/>
        <v>44745</v>
      </c>
      <c r="F1330" s="478" t="s">
        <v>1115</v>
      </c>
      <c r="G1330" s="222" t="s">
        <v>1111</v>
      </c>
      <c r="H1330" s="223" t="str" cm="1">
        <f t="array" ref="H1330">IFERROR(INDEX(INVESTOR_LIST[INVESTOR NAME],MATCH(I1330,INVESTOR_LIST[INVESTOR CODE],0),)," ")</f>
        <v>TAMRIN AL DEEN</v>
      </c>
      <c r="I1330" s="223" t="s">
        <v>1241</v>
      </c>
      <c r="J1330" s="224" t="s">
        <v>14</v>
      </c>
      <c r="K1330" s="225">
        <v>203670</v>
      </c>
      <c r="L1330" s="225"/>
      <c r="M1330" s="166"/>
    </row>
    <row r="1331" spans="1:13" ht="11.25" customHeight="1" x14ac:dyDescent="0.2">
      <c r="A1331" s="164">
        <v>2022</v>
      </c>
      <c r="B1331" s="164">
        <v>7</v>
      </c>
      <c r="C1331" s="164">
        <v>3</v>
      </c>
      <c r="D1331" s="156">
        <f t="shared" si="140"/>
        <v>44745</v>
      </c>
      <c r="E1331" s="235">
        <f t="shared" si="145"/>
        <v>44745</v>
      </c>
      <c r="F1331" s="480"/>
      <c r="G1331" s="208" t="s">
        <v>1111</v>
      </c>
      <c r="H1331" s="206" t="str" cm="1">
        <f t="array" ref="H1331">IFERROR(INDEX(INVESTOR_LIST[INVESTOR NAME],MATCH(I1331,INVESTOR_LIST[INVESTOR CODE],0),)," ")</f>
        <v>TAMRIN AL DEEN</v>
      </c>
      <c r="I1331" s="206" t="s">
        <v>1241</v>
      </c>
      <c r="J1331" s="165" t="s">
        <v>1112</v>
      </c>
      <c r="L1331" s="205">
        <v>611.01</v>
      </c>
    </row>
    <row r="1332" spans="1:13" ht="11.25" customHeight="1" x14ac:dyDescent="0.2">
      <c r="A1332" s="226">
        <v>2022</v>
      </c>
      <c r="B1332" s="226">
        <v>7</v>
      </c>
      <c r="C1332" s="226">
        <v>3</v>
      </c>
      <c r="D1332" s="232">
        <f t="shared" si="140"/>
        <v>44745</v>
      </c>
      <c r="E1332" s="234">
        <f t="shared" si="145"/>
        <v>44745</v>
      </c>
      <c r="F1332" s="479"/>
      <c r="G1332" s="227" t="s">
        <v>1111</v>
      </c>
      <c r="H1332" s="228" t="str" cm="1">
        <f t="array" ref="H1332">IFERROR(INDEX(INVESTOR_LIST[INVESTOR NAME],MATCH(I1332,INVESTOR_LIST[INVESTOR CODE],0),)," ")</f>
        <v>TAMRIN AL DEEN</v>
      </c>
      <c r="I1332" s="228" t="s">
        <v>1241</v>
      </c>
      <c r="J1332" s="229" t="s">
        <v>55</v>
      </c>
      <c r="K1332" s="230"/>
      <c r="L1332" s="230">
        <v>203058.99</v>
      </c>
    </row>
    <row r="1333" spans="1:13" ht="11.25" customHeight="1" x14ac:dyDescent="0.2">
      <c r="A1333" s="221">
        <v>2022</v>
      </c>
      <c r="B1333" s="221">
        <v>7</v>
      </c>
      <c r="C1333" s="221">
        <v>3</v>
      </c>
      <c r="D1333" s="231">
        <f t="shared" si="140"/>
        <v>44745</v>
      </c>
      <c r="E1333" s="233">
        <f t="shared" si="145"/>
        <v>44745</v>
      </c>
      <c r="F1333" s="478" t="s">
        <v>1115</v>
      </c>
      <c r="G1333" s="222" t="s">
        <v>1111</v>
      </c>
      <c r="H1333" s="223" t="str" cm="1">
        <f t="array" ref="H1333">IFERROR(INDEX(INVESTOR_LIST[INVESTOR NAME],MATCH(I1333,INVESTOR_LIST[INVESTOR CODE],0),)," ")</f>
        <v>MD. NIZAM UDDIN</v>
      </c>
      <c r="I1333" s="223" t="s">
        <v>954</v>
      </c>
      <c r="J1333" s="224" t="s">
        <v>14</v>
      </c>
      <c r="K1333" s="225">
        <v>203670</v>
      </c>
      <c r="L1333" s="225"/>
    </row>
    <row r="1334" spans="1:13" ht="11.25" customHeight="1" x14ac:dyDescent="0.2">
      <c r="A1334" s="164">
        <v>2022</v>
      </c>
      <c r="B1334" s="164">
        <v>7</v>
      </c>
      <c r="C1334" s="164">
        <v>3</v>
      </c>
      <c r="D1334" s="156">
        <f t="shared" si="140"/>
        <v>44745</v>
      </c>
      <c r="E1334" s="235">
        <f t="shared" si="145"/>
        <v>44745</v>
      </c>
      <c r="F1334" s="480"/>
      <c r="G1334" s="208" t="s">
        <v>1111</v>
      </c>
      <c r="H1334" s="206" t="str" cm="1">
        <f t="array" ref="H1334">IFERROR(INDEX(INVESTOR_LIST[INVESTOR NAME],MATCH(I1334,INVESTOR_LIST[INVESTOR CODE],0),)," ")</f>
        <v>MD. NIZAM UDDIN</v>
      </c>
      <c r="I1334" s="206" t="s">
        <v>954</v>
      </c>
      <c r="J1334" s="165" t="s">
        <v>1112</v>
      </c>
      <c r="L1334" s="205">
        <v>611.01</v>
      </c>
    </row>
    <row r="1335" spans="1:13" ht="11.25" customHeight="1" x14ac:dyDescent="0.2">
      <c r="A1335" s="226">
        <v>2022</v>
      </c>
      <c r="B1335" s="226">
        <v>7</v>
      </c>
      <c r="C1335" s="226">
        <v>3</v>
      </c>
      <c r="D1335" s="232">
        <f t="shared" si="140"/>
        <v>44745</v>
      </c>
      <c r="E1335" s="234">
        <f t="shared" si="145"/>
        <v>44745</v>
      </c>
      <c r="F1335" s="479"/>
      <c r="G1335" s="227" t="s">
        <v>1111</v>
      </c>
      <c r="H1335" s="228" t="str" cm="1">
        <f t="array" ref="H1335">IFERROR(INDEX(INVESTOR_LIST[INVESTOR NAME],MATCH(I1335,INVESTOR_LIST[INVESTOR CODE],0),)," ")</f>
        <v>MD. NIZAM UDDIN</v>
      </c>
      <c r="I1335" s="228" t="s">
        <v>954</v>
      </c>
      <c r="J1335" s="229" t="s">
        <v>55</v>
      </c>
      <c r="K1335" s="230"/>
      <c r="L1335" s="230">
        <v>203058.99</v>
      </c>
    </row>
    <row r="1336" spans="1:13" ht="11.25" customHeight="1" x14ac:dyDescent="0.2">
      <c r="A1336" s="221">
        <v>2022</v>
      </c>
      <c r="B1336" s="221">
        <v>7</v>
      </c>
      <c r="C1336" s="221">
        <v>3</v>
      </c>
      <c r="D1336" s="231">
        <f t="shared" si="140"/>
        <v>44745</v>
      </c>
      <c r="E1336" s="233">
        <f t="shared" ref="E1336:E1337" si="146">DATE(A1336,B1336,C1336)</f>
        <v>44745</v>
      </c>
      <c r="F1336" s="478" t="s">
        <v>1114</v>
      </c>
      <c r="G1336" s="222" t="s">
        <v>1111</v>
      </c>
      <c r="H1336" s="223" t="str" cm="1">
        <f t="array" ref="H1336">IFERROR(INDEX(INVESTOR_LIST[INVESTOR NAME],MATCH(I1336,INVESTOR_LIST[INVESTOR CODE],0),)," ")</f>
        <v xml:space="preserve"> </v>
      </c>
      <c r="I1336" s="223"/>
      <c r="J1336" s="224" t="s">
        <v>63</v>
      </c>
      <c r="K1336" s="225">
        <v>58</v>
      </c>
      <c r="L1336" s="225"/>
    </row>
    <row r="1337" spans="1:13" ht="11.25" customHeight="1" x14ac:dyDescent="0.2">
      <c r="A1337" s="226">
        <v>2022</v>
      </c>
      <c r="B1337" s="226">
        <v>7</v>
      </c>
      <c r="C1337" s="226">
        <v>3</v>
      </c>
      <c r="D1337" s="232">
        <f t="shared" si="140"/>
        <v>44745</v>
      </c>
      <c r="E1337" s="234">
        <f t="shared" si="146"/>
        <v>44745</v>
      </c>
      <c r="F1337" s="479"/>
      <c r="G1337" s="227" t="s">
        <v>1111</v>
      </c>
      <c r="H1337" s="228" t="str" cm="1">
        <f t="array" ref="H1337">IFERROR(INDEX(INVESTOR_LIST[INVESTOR NAME],MATCH(I1337,INVESTOR_LIST[INVESTOR CODE],0),)," ")</f>
        <v xml:space="preserve"> </v>
      </c>
      <c r="I1337" s="228"/>
      <c r="J1337" s="229" t="s">
        <v>55</v>
      </c>
      <c r="K1337" s="230"/>
      <c r="L1337" s="230">
        <v>58</v>
      </c>
    </row>
    <row r="1338" spans="1:13" ht="11.25" customHeight="1" x14ac:dyDescent="0.2">
      <c r="A1338" s="221">
        <v>2022</v>
      </c>
      <c r="B1338" s="221">
        <v>7</v>
      </c>
      <c r="C1338" s="221">
        <v>3</v>
      </c>
      <c r="D1338" s="231">
        <f t="shared" si="140"/>
        <v>44745</v>
      </c>
      <c r="E1338" s="233">
        <f t="shared" ref="E1338:E1350" si="147">DATE(A1338,B1338,C1338)</f>
        <v>44745</v>
      </c>
      <c r="F1338" s="478" t="s">
        <v>1115</v>
      </c>
      <c r="G1338" s="222" t="s">
        <v>1111</v>
      </c>
      <c r="H1338" s="223" t="str" cm="1">
        <f t="array" ref="H1338">IFERROR(INDEX(INVESTOR_LIST[INVESTOR NAME],MATCH(I1338,INVESTOR_LIST[INVESTOR CODE],0),)," ")</f>
        <v>MD. ZAKIR HOSSEN</v>
      </c>
      <c r="I1338" s="223" t="s">
        <v>335</v>
      </c>
      <c r="J1338" s="224" t="s">
        <v>14</v>
      </c>
      <c r="K1338" s="225">
        <v>708660</v>
      </c>
      <c r="L1338" s="225"/>
      <c r="M1338" s="166"/>
    </row>
    <row r="1339" spans="1:13" ht="11.25" customHeight="1" x14ac:dyDescent="0.2">
      <c r="A1339" s="164">
        <v>2022</v>
      </c>
      <c r="B1339" s="164">
        <v>7</v>
      </c>
      <c r="C1339" s="164">
        <v>3</v>
      </c>
      <c r="D1339" s="156">
        <f t="shared" si="140"/>
        <v>44745</v>
      </c>
      <c r="E1339" s="235">
        <f t="shared" si="147"/>
        <v>44745</v>
      </c>
      <c r="F1339" s="480"/>
      <c r="G1339" s="208" t="s">
        <v>1111</v>
      </c>
      <c r="H1339" s="206" t="str" cm="1">
        <f t="array" ref="H1339">IFERROR(INDEX(INVESTOR_LIST[INVESTOR NAME],MATCH(I1339,INVESTOR_LIST[INVESTOR CODE],0),)," ")</f>
        <v>MD. ZAKIR HOSSEN</v>
      </c>
      <c r="I1339" s="206" t="s">
        <v>335</v>
      </c>
      <c r="J1339" s="165" t="s">
        <v>1112</v>
      </c>
      <c r="L1339" s="205">
        <v>2125.98</v>
      </c>
    </row>
    <row r="1340" spans="1:13" ht="11.25" customHeight="1" x14ac:dyDescent="0.2">
      <c r="A1340" s="226">
        <v>2022</v>
      </c>
      <c r="B1340" s="226">
        <v>7</v>
      </c>
      <c r="C1340" s="226">
        <v>3</v>
      </c>
      <c r="D1340" s="232">
        <f t="shared" si="140"/>
        <v>44745</v>
      </c>
      <c r="E1340" s="234">
        <f t="shared" si="147"/>
        <v>44745</v>
      </c>
      <c r="F1340" s="479"/>
      <c r="G1340" s="227" t="s">
        <v>1111</v>
      </c>
      <c r="H1340" s="228" t="str" cm="1">
        <f t="array" ref="H1340">IFERROR(INDEX(INVESTOR_LIST[INVESTOR NAME],MATCH(I1340,INVESTOR_LIST[INVESTOR CODE],0),)," ")</f>
        <v>MD. ZAKIR HOSSEN</v>
      </c>
      <c r="I1340" s="228" t="s">
        <v>335</v>
      </c>
      <c r="J1340" s="229" t="s">
        <v>55</v>
      </c>
      <c r="K1340" s="230"/>
      <c r="L1340" s="230">
        <v>706534.02</v>
      </c>
    </row>
    <row r="1341" spans="1:13" ht="11.25" customHeight="1" x14ac:dyDescent="0.2">
      <c r="A1341" s="221">
        <v>2022</v>
      </c>
      <c r="B1341" s="221">
        <v>7</v>
      </c>
      <c r="C1341" s="221">
        <v>3</v>
      </c>
      <c r="D1341" s="221">
        <f t="shared" si="140"/>
        <v>44745</v>
      </c>
      <c r="E1341" s="233">
        <f t="shared" si="147"/>
        <v>44745</v>
      </c>
      <c r="F1341" s="478" t="s">
        <v>1257</v>
      </c>
      <c r="G1341" s="222" t="s">
        <v>86</v>
      </c>
      <c r="H1341" s="222" t="str" cm="1">
        <f t="array" ref="H1341">IFERROR(INDEX(INVESTOR_LIST[INVESTOR NAME],MATCH(I1341,INVESTOR_LIST[INVESTOR CODE],0),)," ")</f>
        <v xml:space="preserve"> </v>
      </c>
      <c r="I1341" s="223"/>
      <c r="J1341" s="224" t="s">
        <v>80</v>
      </c>
      <c r="K1341" s="225">
        <v>174460</v>
      </c>
      <c r="L1341" s="225"/>
    </row>
    <row r="1342" spans="1:13" ht="11.25" customHeight="1" x14ac:dyDescent="0.2">
      <c r="A1342" s="164">
        <v>2022</v>
      </c>
      <c r="B1342" s="164">
        <v>7</v>
      </c>
      <c r="C1342" s="164">
        <v>3</v>
      </c>
      <c r="D1342" s="164">
        <f t="shared" si="140"/>
        <v>44745</v>
      </c>
      <c r="E1342" s="235">
        <f t="shared" si="147"/>
        <v>44745</v>
      </c>
      <c r="F1342" s="480"/>
      <c r="G1342" s="208" t="s">
        <v>86</v>
      </c>
      <c r="H1342" s="208" t="str" cm="1">
        <f t="array" ref="H1342">IFERROR(INDEX(INVESTOR_LIST[INVESTOR NAME],MATCH(I1342,INVESTOR_LIST[INVESTOR CODE],0),)," ")</f>
        <v xml:space="preserve"> </v>
      </c>
      <c r="J1342" s="165" t="s">
        <v>55</v>
      </c>
      <c r="K1342" s="205">
        <v>9425540</v>
      </c>
      <c r="L1342" s="205"/>
    </row>
    <row r="1343" spans="1:13" ht="11.25" customHeight="1" x14ac:dyDescent="0.2">
      <c r="A1343" s="226">
        <v>2022</v>
      </c>
      <c r="B1343" s="226">
        <v>7</v>
      </c>
      <c r="C1343" s="226">
        <v>3</v>
      </c>
      <c r="D1343" s="226">
        <f t="shared" si="140"/>
        <v>44745</v>
      </c>
      <c r="E1343" s="234">
        <f t="shared" si="147"/>
        <v>44745</v>
      </c>
      <c r="F1343" s="479"/>
      <c r="G1343" s="227" t="s">
        <v>86</v>
      </c>
      <c r="H1343" s="228" t="str" cm="1">
        <f t="array" ref="H1343">IFERROR(INDEX(INVESTOR_LIST[INVESTOR NAME],MATCH(I1343,INVESTOR_LIST[INVESTOR CODE],0),)," ")</f>
        <v xml:space="preserve"> </v>
      </c>
      <c r="I1343" s="228"/>
      <c r="J1343" s="229" t="s">
        <v>196</v>
      </c>
      <c r="K1343" s="230"/>
      <c r="L1343" s="230">
        <v>9600000</v>
      </c>
    </row>
    <row r="1344" spans="1:13" ht="11.25" customHeight="1" x14ac:dyDescent="0.2">
      <c r="A1344" s="221">
        <v>2022</v>
      </c>
      <c r="B1344" s="221">
        <v>7</v>
      </c>
      <c r="C1344" s="221">
        <v>3</v>
      </c>
      <c r="D1344" s="231">
        <f t="shared" si="140"/>
        <v>44745</v>
      </c>
      <c r="E1344" s="233">
        <f t="shared" si="147"/>
        <v>44745</v>
      </c>
      <c r="F1344" s="478" t="s">
        <v>1258</v>
      </c>
      <c r="G1344" s="222" t="s">
        <v>86</v>
      </c>
      <c r="H1344" s="222" t="str" cm="1">
        <f t="array" ref="H1344">IFERROR(INDEX(INVESTOR_LIST[INVESTOR NAME],MATCH(I1344,INVESTOR_LIST[INVESTOR CODE],0),)," ")</f>
        <v xml:space="preserve"> </v>
      </c>
      <c r="I1344" s="223"/>
      <c r="J1344" s="224" t="s">
        <v>196</v>
      </c>
      <c r="K1344" s="225">
        <v>3187500</v>
      </c>
      <c r="L1344" s="225"/>
    </row>
    <row r="1345" spans="1:13" ht="11.25" customHeight="1" x14ac:dyDescent="0.2">
      <c r="A1345" s="164">
        <v>2022</v>
      </c>
      <c r="B1345" s="164">
        <v>7</v>
      </c>
      <c r="C1345" s="164">
        <v>3</v>
      </c>
      <c r="D1345" s="156">
        <f t="shared" si="140"/>
        <v>44745</v>
      </c>
      <c r="E1345" s="235">
        <f t="shared" ref="E1345" si="148">DATE(A1345,B1345,C1345)</f>
        <v>44745</v>
      </c>
      <c r="F1345" s="480"/>
      <c r="G1345" s="208" t="s">
        <v>86</v>
      </c>
      <c r="H1345" s="208"/>
      <c r="J1345" s="165" t="s">
        <v>197</v>
      </c>
      <c r="K1345" s="205">
        <v>5000</v>
      </c>
      <c r="L1345" s="205"/>
    </row>
    <row r="1346" spans="1:13" ht="11.25" customHeight="1" x14ac:dyDescent="0.2">
      <c r="A1346" s="164">
        <v>2022</v>
      </c>
      <c r="B1346" s="164">
        <v>7</v>
      </c>
      <c r="C1346" s="164">
        <v>3</v>
      </c>
      <c r="D1346" s="164">
        <f t="shared" si="140"/>
        <v>44745</v>
      </c>
      <c r="E1346" s="235">
        <f t="shared" si="147"/>
        <v>44745</v>
      </c>
      <c r="F1346" s="480"/>
      <c r="G1346" s="208" t="s">
        <v>86</v>
      </c>
      <c r="H1346" s="208" t="str" cm="1">
        <f t="array" ref="H1346">IFERROR(INDEX(INVESTOR_LIST[INVESTOR NAME],MATCH(I1346,INVESTOR_LIST[INVESTOR CODE],0),)," ")</f>
        <v xml:space="preserve"> </v>
      </c>
      <c r="J1346" s="165" t="s">
        <v>63</v>
      </c>
      <c r="K1346" s="205">
        <v>115</v>
      </c>
      <c r="L1346" s="205"/>
      <c r="M1346" s="166"/>
    </row>
    <row r="1347" spans="1:13" ht="11.25" customHeight="1" x14ac:dyDescent="0.2">
      <c r="A1347" s="226">
        <v>2022</v>
      </c>
      <c r="B1347" s="226">
        <v>7</v>
      </c>
      <c r="C1347" s="226">
        <v>3</v>
      </c>
      <c r="D1347" s="226">
        <f t="shared" si="140"/>
        <v>44745</v>
      </c>
      <c r="E1347" s="234">
        <f t="shared" si="147"/>
        <v>44745</v>
      </c>
      <c r="F1347" s="479"/>
      <c r="G1347" s="227" t="s">
        <v>86</v>
      </c>
      <c r="H1347" s="228" t="str" cm="1">
        <f t="array" ref="H1347">IFERROR(INDEX(INVESTOR_LIST[INVESTOR NAME],MATCH(I1347,INVESTOR_LIST[INVESTOR CODE],0),)," ")</f>
        <v xml:space="preserve"> </v>
      </c>
      <c r="I1347" s="228"/>
      <c r="J1347" s="229" t="s">
        <v>55</v>
      </c>
      <c r="K1347" s="230"/>
      <c r="L1347" s="230">
        <v>3192615</v>
      </c>
      <c r="M1347" s="166"/>
    </row>
    <row r="1348" spans="1:13" ht="11.25" customHeight="1" x14ac:dyDescent="0.2">
      <c r="A1348" s="221">
        <v>2022</v>
      </c>
      <c r="B1348" s="221">
        <v>7</v>
      </c>
      <c r="C1348" s="221">
        <v>4</v>
      </c>
      <c r="D1348" s="231">
        <f t="shared" si="140"/>
        <v>44746</v>
      </c>
      <c r="E1348" s="233">
        <f t="shared" si="147"/>
        <v>44746</v>
      </c>
      <c r="F1348" s="478" t="s">
        <v>1115</v>
      </c>
      <c r="G1348" s="222" t="s">
        <v>1111</v>
      </c>
      <c r="H1348" s="223" t="str" cm="1">
        <f t="array" ref="H1348">IFERROR(INDEX(INVESTOR_LIST[INVESTOR NAME],MATCH(I1348,INVESTOR_LIST[INVESTOR CODE],0),)," ")</f>
        <v>MD. A. RAZZAK</v>
      </c>
      <c r="I1348" s="223" t="s">
        <v>1239</v>
      </c>
      <c r="J1348" s="224" t="s">
        <v>14</v>
      </c>
      <c r="K1348" s="225">
        <v>305499.99999999994</v>
      </c>
      <c r="L1348" s="225"/>
    </row>
    <row r="1349" spans="1:13" ht="11.25" customHeight="1" x14ac:dyDescent="0.2">
      <c r="A1349" s="164">
        <v>2022</v>
      </c>
      <c r="B1349" s="164">
        <v>7</v>
      </c>
      <c r="C1349" s="164">
        <v>4</v>
      </c>
      <c r="D1349" s="156">
        <f t="shared" si="140"/>
        <v>44746</v>
      </c>
      <c r="E1349" s="235">
        <f t="shared" si="147"/>
        <v>44746</v>
      </c>
      <c r="F1349" s="480"/>
      <c r="G1349" s="208" t="s">
        <v>1111</v>
      </c>
      <c r="H1349" s="206" t="str" cm="1">
        <f t="array" ref="H1349">IFERROR(INDEX(INVESTOR_LIST[INVESTOR NAME],MATCH(I1349,INVESTOR_LIST[INVESTOR CODE],0),)," ")</f>
        <v>MD. A. RAZZAK</v>
      </c>
      <c r="I1349" s="206" t="s">
        <v>1239</v>
      </c>
      <c r="J1349" s="165" t="s">
        <v>1112</v>
      </c>
      <c r="L1349" s="205">
        <v>916.5</v>
      </c>
    </row>
    <row r="1350" spans="1:13" ht="11.25" customHeight="1" x14ac:dyDescent="0.2">
      <c r="A1350" s="226">
        <v>2022</v>
      </c>
      <c r="B1350" s="226">
        <v>7</v>
      </c>
      <c r="C1350" s="226">
        <v>4</v>
      </c>
      <c r="D1350" s="232">
        <f t="shared" si="140"/>
        <v>44746</v>
      </c>
      <c r="E1350" s="234">
        <f t="shared" si="147"/>
        <v>44746</v>
      </c>
      <c r="F1350" s="479"/>
      <c r="G1350" s="227" t="s">
        <v>1111</v>
      </c>
      <c r="H1350" s="228" t="str" cm="1">
        <f t="array" ref="H1350">IFERROR(INDEX(INVESTOR_LIST[INVESTOR NAME],MATCH(I1350,INVESTOR_LIST[INVESTOR CODE],0),)," ")</f>
        <v>MD. A. RAZZAK</v>
      </c>
      <c r="I1350" s="228" t="s">
        <v>1239</v>
      </c>
      <c r="J1350" s="229" t="s">
        <v>55</v>
      </c>
      <c r="K1350" s="230"/>
      <c r="L1350" s="230">
        <v>304583.5</v>
      </c>
    </row>
    <row r="1351" spans="1:13" ht="11.25" customHeight="1" x14ac:dyDescent="0.2">
      <c r="A1351" s="221">
        <v>2022</v>
      </c>
      <c r="B1351" s="221">
        <v>7</v>
      </c>
      <c r="C1351" s="221">
        <v>4</v>
      </c>
      <c r="D1351" s="231">
        <f t="shared" si="140"/>
        <v>44746</v>
      </c>
      <c r="E1351" s="233">
        <f t="shared" ref="E1351:E1352" si="149">DATE(A1351,B1351,C1351)</f>
        <v>44746</v>
      </c>
      <c r="F1351" s="478" t="s">
        <v>1114</v>
      </c>
      <c r="G1351" s="222" t="s">
        <v>1111</v>
      </c>
      <c r="H1351" s="223" t="str" cm="1">
        <f t="array" ref="H1351">IFERROR(INDEX(INVESTOR_LIST[INVESTOR NAME],MATCH(I1351,INVESTOR_LIST[INVESTOR CODE],0),)," ")</f>
        <v xml:space="preserve"> </v>
      </c>
      <c r="I1351" s="223"/>
      <c r="J1351" s="224" t="s">
        <v>63</v>
      </c>
      <c r="K1351" s="225">
        <v>58</v>
      </c>
      <c r="L1351" s="225"/>
    </row>
    <row r="1352" spans="1:13" ht="11.25" customHeight="1" x14ac:dyDescent="0.2">
      <c r="A1352" s="226">
        <v>2022</v>
      </c>
      <c r="B1352" s="226">
        <v>7</v>
      </c>
      <c r="C1352" s="226">
        <v>4</v>
      </c>
      <c r="D1352" s="232">
        <f t="shared" si="140"/>
        <v>44746</v>
      </c>
      <c r="E1352" s="234">
        <f t="shared" si="149"/>
        <v>44746</v>
      </c>
      <c r="F1352" s="479"/>
      <c r="G1352" s="227" t="s">
        <v>1111</v>
      </c>
      <c r="H1352" s="228" t="str" cm="1">
        <f t="array" ref="H1352">IFERROR(INDEX(INVESTOR_LIST[INVESTOR NAME],MATCH(I1352,INVESTOR_LIST[INVESTOR CODE],0),)," ")</f>
        <v xml:space="preserve"> </v>
      </c>
      <c r="I1352" s="228"/>
      <c r="J1352" s="229" t="s">
        <v>55</v>
      </c>
      <c r="K1352" s="230"/>
      <c r="L1352" s="230">
        <v>58</v>
      </c>
    </row>
    <row r="1353" spans="1:13" ht="11.25" customHeight="1" x14ac:dyDescent="0.2">
      <c r="A1353" s="221">
        <v>2022</v>
      </c>
      <c r="B1353" s="221">
        <v>7</v>
      </c>
      <c r="C1353" s="221">
        <v>4</v>
      </c>
      <c r="D1353" s="231">
        <f t="shared" ref="D1353:D1416" si="150">DATE(A1353,B1353,C1353)</f>
        <v>44746</v>
      </c>
      <c r="E1353" s="233">
        <f>DATE(A1353,B1353,C1353)</f>
        <v>44746</v>
      </c>
      <c r="F1353" s="478" t="s">
        <v>1115</v>
      </c>
      <c r="G1353" s="222" t="s">
        <v>1111</v>
      </c>
      <c r="H1353" s="223" t="str" cm="1">
        <f t="array" ref="H1353">IFERROR(INDEX(INVESTOR_LIST[INVESTOR NAME],MATCH(I1353,INVESTOR_LIST[INVESTOR CODE],0),)," ")</f>
        <v>MOHAMMAD MONJUR ALAM</v>
      </c>
      <c r="I1353" s="223" t="s">
        <v>380</v>
      </c>
      <c r="J1353" s="224" t="s">
        <v>14</v>
      </c>
      <c r="K1353" s="225">
        <v>509160</v>
      </c>
      <c r="L1353" s="225"/>
      <c r="M1353" s="166"/>
    </row>
    <row r="1354" spans="1:13" ht="11.25" customHeight="1" x14ac:dyDescent="0.2">
      <c r="A1354" s="164">
        <v>2022</v>
      </c>
      <c r="B1354" s="164">
        <v>7</v>
      </c>
      <c r="C1354" s="164">
        <v>4</v>
      </c>
      <c r="D1354" s="156">
        <f t="shared" si="150"/>
        <v>44746</v>
      </c>
      <c r="E1354" s="235">
        <f>DATE(A1354,B1354,C1354)</f>
        <v>44746</v>
      </c>
      <c r="F1354" s="480"/>
      <c r="G1354" s="208" t="s">
        <v>1111</v>
      </c>
      <c r="H1354" s="206" t="str" cm="1">
        <f t="array" ref="H1354">IFERROR(INDEX(INVESTOR_LIST[INVESTOR NAME],MATCH(I1354,INVESTOR_LIST[INVESTOR CODE],0),)," ")</f>
        <v>MOHAMMAD MONJUR ALAM</v>
      </c>
      <c r="I1354" s="206" t="s">
        <v>380</v>
      </c>
      <c r="J1354" s="165" t="s">
        <v>1112</v>
      </c>
      <c r="L1354" s="205">
        <v>1527.48</v>
      </c>
    </row>
    <row r="1355" spans="1:13" ht="11.25" customHeight="1" x14ac:dyDescent="0.2">
      <c r="A1355" s="226">
        <v>2022</v>
      </c>
      <c r="B1355" s="226">
        <v>7</v>
      </c>
      <c r="C1355" s="226">
        <v>4</v>
      </c>
      <c r="D1355" s="232">
        <f t="shared" si="150"/>
        <v>44746</v>
      </c>
      <c r="E1355" s="234">
        <f>DATE(A1355,B1355,C1355)</f>
        <v>44746</v>
      </c>
      <c r="F1355" s="479"/>
      <c r="G1355" s="227" t="s">
        <v>1111</v>
      </c>
      <c r="H1355" s="228" t="str" cm="1">
        <f t="array" ref="H1355">IFERROR(INDEX(INVESTOR_LIST[INVESTOR NAME],MATCH(I1355,INVESTOR_LIST[INVESTOR CODE],0),)," ")</f>
        <v>MOHAMMAD MONJUR ALAM</v>
      </c>
      <c r="I1355" s="228" t="s">
        <v>380</v>
      </c>
      <c r="J1355" s="229" t="s">
        <v>55</v>
      </c>
      <c r="K1355" s="230"/>
      <c r="L1355" s="230">
        <v>507632.52</v>
      </c>
      <c r="M1355" s="166"/>
    </row>
    <row r="1356" spans="1:13" ht="11.25" customHeight="1" x14ac:dyDescent="0.2">
      <c r="A1356" s="221">
        <v>2022</v>
      </c>
      <c r="B1356" s="221">
        <v>7</v>
      </c>
      <c r="C1356" s="221">
        <v>4</v>
      </c>
      <c r="D1356" s="231">
        <f t="shared" si="150"/>
        <v>44746</v>
      </c>
      <c r="E1356" s="233">
        <f t="shared" ref="E1356:E1357" si="151">DATE(A1356,B1356,C1356)</f>
        <v>44746</v>
      </c>
      <c r="F1356" s="478" t="s">
        <v>1114</v>
      </c>
      <c r="G1356" s="222" t="s">
        <v>1111</v>
      </c>
      <c r="H1356" s="223" t="str" cm="1">
        <f t="array" ref="H1356">IFERROR(INDEX(INVESTOR_LIST[INVESTOR NAME],MATCH(I1356,INVESTOR_LIST[INVESTOR CODE],0),)," ")</f>
        <v xml:space="preserve"> </v>
      </c>
      <c r="I1356" s="223"/>
      <c r="J1356" s="224" t="s">
        <v>63</v>
      </c>
      <c r="K1356" s="225">
        <v>100</v>
      </c>
      <c r="L1356" s="225"/>
    </row>
    <row r="1357" spans="1:13" ht="11.25" customHeight="1" x14ac:dyDescent="0.2">
      <c r="A1357" s="226">
        <v>2022</v>
      </c>
      <c r="B1357" s="226">
        <v>7</v>
      </c>
      <c r="C1357" s="226">
        <v>4</v>
      </c>
      <c r="D1357" s="232">
        <f t="shared" si="150"/>
        <v>44746</v>
      </c>
      <c r="E1357" s="234">
        <f t="shared" si="151"/>
        <v>44746</v>
      </c>
      <c r="F1357" s="479"/>
      <c r="G1357" s="227" t="s">
        <v>1111</v>
      </c>
      <c r="H1357" s="228" t="str" cm="1">
        <f t="array" ref="H1357">IFERROR(INDEX(INVESTOR_LIST[INVESTOR NAME],MATCH(I1357,INVESTOR_LIST[INVESTOR CODE],0),)," ")</f>
        <v xml:space="preserve"> </v>
      </c>
      <c r="I1357" s="228"/>
      <c r="J1357" s="229" t="s">
        <v>55</v>
      </c>
      <c r="K1357" s="230"/>
      <c r="L1357" s="230">
        <v>100</v>
      </c>
    </row>
    <row r="1358" spans="1:13" ht="11.25" customHeight="1" x14ac:dyDescent="0.2">
      <c r="A1358" s="221">
        <v>2022</v>
      </c>
      <c r="B1358" s="221">
        <v>7</v>
      </c>
      <c r="C1358" s="221">
        <v>5</v>
      </c>
      <c r="D1358" s="231">
        <f t="shared" si="150"/>
        <v>44747</v>
      </c>
      <c r="E1358" s="233">
        <f t="shared" ref="E1358:E1363" si="152">DATE(A1358,B1358,C1358)</f>
        <v>44747</v>
      </c>
      <c r="F1358" s="478" t="s">
        <v>1115</v>
      </c>
      <c r="G1358" s="222" t="s">
        <v>1111</v>
      </c>
      <c r="H1358" s="223" t="str" cm="1">
        <f t="array" ref="H1358">IFERROR(INDEX(INVESTOR_LIST[INVESTOR NAME],MATCH(I1358,INVESTOR_LIST[INVESTOR CODE],0),)," ")</f>
        <v>PRATIMA DEV</v>
      </c>
      <c r="I1358" s="223" t="s">
        <v>345</v>
      </c>
      <c r="J1358" s="224" t="s">
        <v>14</v>
      </c>
      <c r="K1358" s="225">
        <v>1000000</v>
      </c>
      <c r="L1358" s="225"/>
    </row>
    <row r="1359" spans="1:13" ht="11.25" customHeight="1" x14ac:dyDescent="0.2">
      <c r="A1359" s="164">
        <v>2022</v>
      </c>
      <c r="B1359" s="164">
        <v>7</v>
      </c>
      <c r="C1359" s="164">
        <v>5</v>
      </c>
      <c r="D1359" s="156">
        <f t="shared" si="150"/>
        <v>44747</v>
      </c>
      <c r="E1359" s="235">
        <f t="shared" si="152"/>
        <v>44747</v>
      </c>
      <c r="F1359" s="480"/>
      <c r="G1359" s="208" t="s">
        <v>1111</v>
      </c>
      <c r="H1359" s="206" t="str" cm="1">
        <f t="array" ref="H1359">IFERROR(INDEX(INVESTOR_LIST[INVESTOR NAME],MATCH(I1359,INVESTOR_LIST[INVESTOR CODE],0),)," ")</f>
        <v>PRATIMA DEV</v>
      </c>
      <c r="I1359" s="206" t="s">
        <v>345</v>
      </c>
      <c r="J1359" s="165" t="s">
        <v>1112</v>
      </c>
      <c r="L1359" s="205">
        <v>3000</v>
      </c>
    </row>
    <row r="1360" spans="1:13" ht="11.25" customHeight="1" x14ac:dyDescent="0.2">
      <c r="A1360" s="226">
        <v>2022</v>
      </c>
      <c r="B1360" s="226">
        <v>7</v>
      </c>
      <c r="C1360" s="226">
        <v>5</v>
      </c>
      <c r="D1360" s="232">
        <f t="shared" si="150"/>
        <v>44747</v>
      </c>
      <c r="E1360" s="234">
        <f t="shared" si="152"/>
        <v>44747</v>
      </c>
      <c r="F1360" s="479"/>
      <c r="G1360" s="227" t="s">
        <v>1111</v>
      </c>
      <c r="H1360" s="228" t="str" cm="1">
        <f t="array" ref="H1360">IFERROR(INDEX(INVESTOR_LIST[INVESTOR NAME],MATCH(I1360,INVESTOR_LIST[INVESTOR CODE],0),)," ")</f>
        <v>PRATIMA DEV</v>
      </c>
      <c r="I1360" s="228" t="s">
        <v>345</v>
      </c>
      <c r="J1360" s="229" t="s">
        <v>55</v>
      </c>
      <c r="K1360" s="230"/>
      <c r="L1360" s="230">
        <v>997000</v>
      </c>
    </row>
    <row r="1361" spans="1:13" ht="11.25" customHeight="1" x14ac:dyDescent="0.2">
      <c r="A1361" s="221">
        <v>2022</v>
      </c>
      <c r="B1361" s="221">
        <v>7</v>
      </c>
      <c r="C1361" s="221">
        <v>5</v>
      </c>
      <c r="D1361" s="231">
        <f t="shared" si="150"/>
        <v>44747</v>
      </c>
      <c r="E1361" s="233">
        <f t="shared" si="152"/>
        <v>44747</v>
      </c>
      <c r="F1361" s="478" t="s">
        <v>802</v>
      </c>
      <c r="G1361" s="222" t="s">
        <v>1111</v>
      </c>
      <c r="H1361" s="223" t="str" cm="1">
        <f t="array" ref="H1361">IFERROR(INDEX(INVESTOR_LIST[INVESTOR NAME],MATCH(I1361,INVESTOR_LIST[INVESTOR CODE],0),)," ")</f>
        <v>ARIFUR RAHMAN</v>
      </c>
      <c r="I1361" s="223" t="s">
        <v>418</v>
      </c>
      <c r="J1361" s="224" t="s">
        <v>55</v>
      </c>
      <c r="K1361" s="225">
        <v>100000</v>
      </c>
      <c r="L1361" s="225"/>
    </row>
    <row r="1362" spans="1:13" ht="11.25" customHeight="1" x14ac:dyDescent="0.2">
      <c r="A1362" s="164">
        <v>2022</v>
      </c>
      <c r="B1362" s="164">
        <v>7</v>
      </c>
      <c r="C1362" s="164">
        <v>5</v>
      </c>
      <c r="D1362" s="156">
        <f t="shared" si="150"/>
        <v>44747</v>
      </c>
      <c r="E1362" s="235">
        <f t="shared" si="152"/>
        <v>44747</v>
      </c>
      <c r="F1362" s="480"/>
      <c r="G1362" s="208" t="s">
        <v>1111</v>
      </c>
      <c r="H1362" s="206" t="str" cm="1">
        <f t="array" ref="H1362">IFERROR(INDEX(INVESTOR_LIST[INVESTOR NAME],MATCH(I1362,INVESTOR_LIST[INVESTOR CODE],0),)," ")</f>
        <v>ARIFUR RAHMAN</v>
      </c>
      <c r="I1362" s="206" t="s">
        <v>418</v>
      </c>
      <c r="J1362" s="165" t="s">
        <v>1112</v>
      </c>
      <c r="K1362" s="205">
        <v>300</v>
      </c>
      <c r="L1362" s="205"/>
      <c r="M1362" s="166"/>
    </row>
    <row r="1363" spans="1:13" ht="11.25" customHeight="1" x14ac:dyDescent="0.2">
      <c r="A1363" s="226">
        <v>2022</v>
      </c>
      <c r="B1363" s="226">
        <v>7</v>
      </c>
      <c r="C1363" s="226">
        <v>5</v>
      </c>
      <c r="D1363" s="232">
        <f t="shared" si="150"/>
        <v>44747</v>
      </c>
      <c r="E1363" s="234">
        <f t="shared" si="152"/>
        <v>44747</v>
      </c>
      <c r="F1363" s="479"/>
      <c r="G1363" s="227" t="s">
        <v>1111</v>
      </c>
      <c r="H1363" s="228" t="str" cm="1">
        <f t="array" ref="H1363">IFERROR(INDEX(INVESTOR_LIST[INVESTOR NAME],MATCH(I1363,INVESTOR_LIST[INVESTOR CODE],0),)," ")</f>
        <v>ARIFUR RAHMAN</v>
      </c>
      <c r="I1363" s="228" t="s">
        <v>418</v>
      </c>
      <c r="J1363" s="229" t="s">
        <v>14</v>
      </c>
      <c r="K1363" s="230"/>
      <c r="L1363" s="230">
        <v>100300</v>
      </c>
    </row>
    <row r="1364" spans="1:13" ht="11.25" customHeight="1" x14ac:dyDescent="0.2">
      <c r="A1364" s="221">
        <v>2022</v>
      </c>
      <c r="B1364" s="221">
        <v>7</v>
      </c>
      <c r="C1364" s="221">
        <v>5</v>
      </c>
      <c r="D1364" s="221">
        <f t="shared" si="150"/>
        <v>44747</v>
      </c>
      <c r="E1364" s="233">
        <f t="shared" si="142"/>
        <v>44747</v>
      </c>
      <c r="F1364" s="478" t="s">
        <v>1135</v>
      </c>
      <c r="G1364" s="222" t="s">
        <v>86</v>
      </c>
      <c r="H1364" s="222" t="str" cm="1">
        <f t="array" ref="H1364">IFERROR(INDEX(INVESTOR_LIST[INVESTOR NAME],MATCH(I1364,INVESTOR_LIST[INVESTOR CODE],0),)," ")</f>
        <v xml:space="preserve"> </v>
      </c>
      <c r="I1364" s="223"/>
      <c r="J1364" s="224" t="s">
        <v>199</v>
      </c>
      <c r="K1364" s="225">
        <v>1068618.02</v>
      </c>
      <c r="L1364" s="225"/>
    </row>
    <row r="1365" spans="1:13" ht="11.25" customHeight="1" x14ac:dyDescent="0.2">
      <c r="A1365" s="164">
        <v>2022</v>
      </c>
      <c r="B1365" s="164">
        <v>7</v>
      </c>
      <c r="C1365" s="164">
        <v>5</v>
      </c>
      <c r="D1365" s="164">
        <f t="shared" si="150"/>
        <v>44747</v>
      </c>
      <c r="E1365" s="235">
        <f t="shared" si="142"/>
        <v>44747</v>
      </c>
      <c r="F1365" s="480"/>
      <c r="G1365" s="208" t="s">
        <v>86</v>
      </c>
      <c r="H1365" s="208"/>
      <c r="J1365" s="165" t="s">
        <v>960</v>
      </c>
      <c r="K1365" s="205">
        <v>1926.98</v>
      </c>
      <c r="L1365" s="205"/>
    </row>
    <row r="1366" spans="1:13" ht="11.25" customHeight="1" x14ac:dyDescent="0.2">
      <c r="A1366" s="164">
        <v>2022</v>
      </c>
      <c r="B1366" s="164">
        <v>7</v>
      </c>
      <c r="C1366" s="164">
        <v>5</v>
      </c>
      <c r="D1366" s="164">
        <f t="shared" si="150"/>
        <v>44747</v>
      </c>
      <c r="E1366" s="235">
        <f t="shared" si="142"/>
        <v>44747</v>
      </c>
      <c r="F1366" s="480"/>
      <c r="G1366" s="208" t="s">
        <v>86</v>
      </c>
      <c r="H1366" s="208"/>
      <c r="J1366" s="165" t="s">
        <v>200</v>
      </c>
      <c r="K1366" s="205"/>
      <c r="L1366" s="205">
        <v>815045</v>
      </c>
    </row>
    <row r="1367" spans="1:13" ht="11.25" customHeight="1" x14ac:dyDescent="0.2">
      <c r="A1367" s="226">
        <v>2022</v>
      </c>
      <c r="B1367" s="226">
        <v>7</v>
      </c>
      <c r="C1367" s="226">
        <v>5</v>
      </c>
      <c r="D1367" s="226">
        <f t="shared" si="150"/>
        <v>44747</v>
      </c>
      <c r="E1367" s="234">
        <f t="shared" si="142"/>
        <v>44747</v>
      </c>
      <c r="F1367" s="479"/>
      <c r="G1367" s="227" t="s">
        <v>86</v>
      </c>
      <c r="H1367" s="228" t="str" cm="1">
        <f t="array" ref="H1367">IFERROR(INDEX(INVESTOR_LIST[INVESTOR NAME],MATCH(I1367,INVESTOR_LIST[INVESTOR CODE],0),)," ")</f>
        <v xml:space="preserve"> </v>
      </c>
      <c r="I1367" s="228"/>
      <c r="J1367" s="229" t="s">
        <v>80</v>
      </c>
      <c r="K1367" s="230"/>
      <c r="L1367" s="230">
        <v>255500</v>
      </c>
    </row>
    <row r="1368" spans="1:13" ht="11.25" customHeight="1" x14ac:dyDescent="0.2">
      <c r="A1368" s="221">
        <v>2022</v>
      </c>
      <c r="B1368" s="221">
        <v>7</v>
      </c>
      <c r="C1368" s="221">
        <v>6</v>
      </c>
      <c r="D1368" s="231">
        <f t="shared" si="150"/>
        <v>44748</v>
      </c>
      <c r="E1368" s="233">
        <f t="shared" ref="E1368:E1376" si="153">DATE(A1368,B1368,C1368)</f>
        <v>44748</v>
      </c>
      <c r="F1368" s="478" t="s">
        <v>1115</v>
      </c>
      <c r="G1368" s="222" t="s">
        <v>1111</v>
      </c>
      <c r="H1368" s="223" t="str" cm="1">
        <f t="array" ref="H1368">IFERROR(INDEX(INVESTOR_LIST[INVESTOR NAME],MATCH(I1368,INVESTOR_LIST[INVESTOR CODE],0),)," ")</f>
        <v>SHUVA SAHA</v>
      </c>
      <c r="I1368" s="223" t="s">
        <v>370</v>
      </c>
      <c r="J1368" s="224" t="s">
        <v>14</v>
      </c>
      <c r="K1368" s="225">
        <v>305490</v>
      </c>
      <c r="L1368" s="225"/>
    </row>
    <row r="1369" spans="1:13" ht="11.25" customHeight="1" x14ac:dyDescent="0.2">
      <c r="A1369" s="164">
        <v>2022</v>
      </c>
      <c r="B1369" s="164">
        <v>7</v>
      </c>
      <c r="C1369" s="164">
        <v>6</v>
      </c>
      <c r="D1369" s="156">
        <f t="shared" si="150"/>
        <v>44748</v>
      </c>
      <c r="E1369" s="235">
        <f t="shared" si="153"/>
        <v>44748</v>
      </c>
      <c r="F1369" s="480"/>
      <c r="G1369" s="208" t="s">
        <v>1111</v>
      </c>
      <c r="H1369" s="206" t="str" cm="1">
        <f t="array" ref="H1369">IFERROR(INDEX(INVESTOR_LIST[INVESTOR NAME],MATCH(I1369,INVESTOR_LIST[INVESTOR CODE],0),)," ")</f>
        <v>SHUVA SAHA</v>
      </c>
      <c r="I1369" s="206" t="s">
        <v>370</v>
      </c>
      <c r="J1369" s="165" t="s">
        <v>1112</v>
      </c>
      <c r="L1369" s="205">
        <v>916</v>
      </c>
    </row>
    <row r="1370" spans="1:13" ht="11.25" customHeight="1" x14ac:dyDescent="0.2">
      <c r="A1370" s="226">
        <v>2022</v>
      </c>
      <c r="B1370" s="226">
        <v>7</v>
      </c>
      <c r="C1370" s="226">
        <v>6</v>
      </c>
      <c r="D1370" s="232">
        <f t="shared" si="150"/>
        <v>44748</v>
      </c>
      <c r="E1370" s="234">
        <f t="shared" si="153"/>
        <v>44748</v>
      </c>
      <c r="F1370" s="479"/>
      <c r="G1370" s="227" t="s">
        <v>1111</v>
      </c>
      <c r="H1370" s="228" t="str" cm="1">
        <f t="array" ref="H1370">IFERROR(INDEX(INVESTOR_LIST[INVESTOR NAME],MATCH(I1370,INVESTOR_LIST[INVESTOR CODE],0),)," ")</f>
        <v>SHUVA SAHA</v>
      </c>
      <c r="I1370" s="228" t="s">
        <v>370</v>
      </c>
      <c r="J1370" s="229" t="s">
        <v>55</v>
      </c>
      <c r="K1370" s="230"/>
      <c r="L1370" s="230">
        <v>304574</v>
      </c>
    </row>
    <row r="1371" spans="1:13" ht="11.25" customHeight="1" x14ac:dyDescent="0.2">
      <c r="A1371" s="221">
        <v>2022</v>
      </c>
      <c r="B1371" s="221">
        <v>7</v>
      </c>
      <c r="C1371" s="221">
        <v>6</v>
      </c>
      <c r="D1371" s="231">
        <f t="shared" si="150"/>
        <v>44748</v>
      </c>
      <c r="E1371" s="233">
        <f t="shared" si="153"/>
        <v>44748</v>
      </c>
      <c r="F1371" s="478" t="s">
        <v>1115</v>
      </c>
      <c r="G1371" s="222" t="s">
        <v>1111</v>
      </c>
      <c r="H1371" s="223" t="str" cm="1">
        <f t="array" ref="H1371">IFERROR(INDEX(INVESTOR_LIST[INVESTOR NAME],MATCH(I1371,INVESTOR_LIST[INVESTOR CODE],0),)," ")</f>
        <v>EKUSH WEALTH MANAGEMENT LIMITED</v>
      </c>
      <c r="I1371" s="223" t="s">
        <v>320</v>
      </c>
      <c r="J1371" s="224" t="s">
        <v>14</v>
      </c>
      <c r="K1371" s="225">
        <v>407330</v>
      </c>
      <c r="L1371" s="225"/>
    </row>
    <row r="1372" spans="1:13" ht="11.25" customHeight="1" x14ac:dyDescent="0.2">
      <c r="A1372" s="164">
        <v>2022</v>
      </c>
      <c r="B1372" s="164">
        <v>7</v>
      </c>
      <c r="C1372" s="164">
        <v>6</v>
      </c>
      <c r="D1372" s="156">
        <f t="shared" si="150"/>
        <v>44748</v>
      </c>
      <c r="E1372" s="235">
        <f t="shared" si="153"/>
        <v>44748</v>
      </c>
      <c r="F1372" s="480"/>
      <c r="G1372" s="208" t="s">
        <v>1111</v>
      </c>
      <c r="H1372" s="206" t="str" cm="1">
        <f t="array" ref="H1372">IFERROR(INDEX(INVESTOR_LIST[INVESTOR NAME],MATCH(I1372,INVESTOR_LIST[INVESTOR CODE],0),)," ")</f>
        <v>EKUSH WEALTH MANAGEMENT LIMITED</v>
      </c>
      <c r="I1372" s="206" t="s">
        <v>320</v>
      </c>
      <c r="J1372" s="165" t="s">
        <v>1112</v>
      </c>
      <c r="K1372" s="205"/>
      <c r="L1372" s="205">
        <v>1221.99</v>
      </c>
    </row>
    <row r="1373" spans="1:13" ht="11.25" customHeight="1" x14ac:dyDescent="0.2">
      <c r="A1373" s="226">
        <v>2022</v>
      </c>
      <c r="B1373" s="226">
        <v>7</v>
      </c>
      <c r="C1373" s="226">
        <v>6</v>
      </c>
      <c r="D1373" s="232">
        <f t="shared" si="150"/>
        <v>44748</v>
      </c>
      <c r="E1373" s="234">
        <f t="shared" si="153"/>
        <v>44748</v>
      </c>
      <c r="F1373" s="479"/>
      <c r="G1373" s="227" t="s">
        <v>1111</v>
      </c>
      <c r="H1373" s="228" t="str" cm="1">
        <f t="array" ref="H1373">IFERROR(INDEX(INVESTOR_LIST[INVESTOR NAME],MATCH(I1373,INVESTOR_LIST[INVESTOR CODE],0),)," ")</f>
        <v>EKUSH WEALTH MANAGEMENT LIMITED</v>
      </c>
      <c r="I1373" s="228" t="s">
        <v>320</v>
      </c>
      <c r="J1373" s="229" t="s">
        <v>55</v>
      </c>
      <c r="K1373" s="230"/>
      <c r="L1373" s="230">
        <v>406108.01</v>
      </c>
    </row>
    <row r="1374" spans="1:13" ht="11.25" customHeight="1" x14ac:dyDescent="0.2">
      <c r="A1374" s="221">
        <v>2022</v>
      </c>
      <c r="B1374" s="221">
        <v>7</v>
      </c>
      <c r="C1374" s="221">
        <v>6</v>
      </c>
      <c r="D1374" s="231">
        <f t="shared" si="150"/>
        <v>44748</v>
      </c>
      <c r="E1374" s="233">
        <f t="shared" si="153"/>
        <v>44748</v>
      </c>
      <c r="F1374" s="478" t="s">
        <v>1115</v>
      </c>
      <c r="G1374" s="222" t="s">
        <v>1111</v>
      </c>
      <c r="H1374" s="223" t="str" cm="1">
        <f t="array" ref="H1374">IFERROR(INDEX(INVESTOR_LIST[INVESTOR NAME],MATCH(I1374,INVESTOR_LIST[INVESTOR CODE],0),)," ")</f>
        <v>ANIK KUMAR GUPTA</v>
      </c>
      <c r="I1374" s="223" t="s">
        <v>950</v>
      </c>
      <c r="J1374" s="224" t="s">
        <v>14</v>
      </c>
      <c r="K1374" s="225">
        <v>10020</v>
      </c>
      <c r="L1374" s="225"/>
    </row>
    <row r="1375" spans="1:13" ht="11.25" customHeight="1" x14ac:dyDescent="0.2">
      <c r="A1375" s="164">
        <v>2022</v>
      </c>
      <c r="B1375" s="164">
        <v>7</v>
      </c>
      <c r="C1375" s="164">
        <v>6</v>
      </c>
      <c r="D1375" s="156">
        <f t="shared" si="150"/>
        <v>44748</v>
      </c>
      <c r="E1375" s="235">
        <f t="shared" si="153"/>
        <v>44748</v>
      </c>
      <c r="F1375" s="480"/>
      <c r="G1375" s="208" t="s">
        <v>1111</v>
      </c>
      <c r="H1375" s="206" t="str" cm="1">
        <f t="array" ref="H1375">IFERROR(INDEX(INVESTOR_LIST[INVESTOR NAME],MATCH(I1375,INVESTOR_LIST[INVESTOR CODE],0),)," ")</f>
        <v>ANIK KUMAR GUPTA</v>
      </c>
      <c r="I1375" s="206" t="s">
        <v>950</v>
      </c>
      <c r="J1375" s="165" t="s">
        <v>1112</v>
      </c>
      <c r="L1375" s="205">
        <v>30.06</v>
      </c>
    </row>
    <row r="1376" spans="1:13" ht="11.25" customHeight="1" x14ac:dyDescent="0.2">
      <c r="A1376" s="226">
        <v>2022</v>
      </c>
      <c r="B1376" s="226">
        <v>7</v>
      </c>
      <c r="C1376" s="226">
        <v>6</v>
      </c>
      <c r="D1376" s="232">
        <f t="shared" si="150"/>
        <v>44748</v>
      </c>
      <c r="E1376" s="234">
        <f t="shared" si="153"/>
        <v>44748</v>
      </c>
      <c r="F1376" s="479"/>
      <c r="G1376" s="227" t="s">
        <v>1111</v>
      </c>
      <c r="H1376" s="228" t="str" cm="1">
        <f t="array" ref="H1376">IFERROR(INDEX(INVESTOR_LIST[INVESTOR NAME],MATCH(I1376,INVESTOR_LIST[INVESTOR CODE],0),)," ")</f>
        <v>ANIK KUMAR GUPTA</v>
      </c>
      <c r="I1376" s="228" t="s">
        <v>950</v>
      </c>
      <c r="J1376" s="229" t="s">
        <v>55</v>
      </c>
      <c r="K1376" s="230"/>
      <c r="L1376" s="230">
        <v>9989.94</v>
      </c>
    </row>
    <row r="1377" spans="1:12" ht="11.25" customHeight="1" x14ac:dyDescent="0.2">
      <c r="A1377" s="221">
        <v>2022</v>
      </c>
      <c r="B1377" s="221">
        <v>7</v>
      </c>
      <c r="C1377" s="221">
        <v>7</v>
      </c>
      <c r="D1377" s="221">
        <f t="shared" si="150"/>
        <v>44749</v>
      </c>
      <c r="E1377" s="233">
        <f t="shared" si="142"/>
        <v>44749</v>
      </c>
      <c r="F1377" s="478" t="s">
        <v>1135</v>
      </c>
      <c r="G1377" s="222" t="s">
        <v>86</v>
      </c>
      <c r="H1377" s="222" t="str" cm="1">
        <f t="array" ref="H1377">IFERROR(INDEX(INVESTOR_LIST[INVESTOR NAME],MATCH(I1377,INVESTOR_LIST[INVESTOR CODE],0),)," ")</f>
        <v xml:space="preserve"> </v>
      </c>
      <c r="I1377" s="223"/>
      <c r="J1377" s="224" t="s">
        <v>80</v>
      </c>
      <c r="K1377" s="225">
        <v>1756656.6</v>
      </c>
      <c r="L1377" s="225"/>
    </row>
    <row r="1378" spans="1:12" ht="11.25" customHeight="1" x14ac:dyDescent="0.2">
      <c r="A1378" s="164">
        <v>2022</v>
      </c>
      <c r="B1378" s="164">
        <v>7</v>
      </c>
      <c r="C1378" s="164">
        <v>7</v>
      </c>
      <c r="D1378" s="164">
        <f t="shared" si="150"/>
        <v>44749</v>
      </c>
      <c r="E1378" s="235">
        <f t="shared" si="142"/>
        <v>44749</v>
      </c>
      <c r="F1378" s="480"/>
      <c r="G1378" s="208" t="s">
        <v>86</v>
      </c>
      <c r="H1378" s="208"/>
      <c r="J1378" s="165" t="s">
        <v>960</v>
      </c>
      <c r="K1378" s="205">
        <v>5536.1900000000005</v>
      </c>
      <c r="L1378" s="205"/>
    </row>
    <row r="1379" spans="1:12" ht="11.25" customHeight="1" x14ac:dyDescent="0.2">
      <c r="A1379" s="164">
        <v>2022</v>
      </c>
      <c r="B1379" s="164">
        <v>7</v>
      </c>
      <c r="C1379" s="164">
        <v>7</v>
      </c>
      <c r="D1379" s="164">
        <f t="shared" si="150"/>
        <v>44749</v>
      </c>
      <c r="E1379" s="235">
        <f t="shared" si="142"/>
        <v>44749</v>
      </c>
      <c r="F1379" s="480"/>
      <c r="G1379" s="208" t="s">
        <v>86</v>
      </c>
      <c r="H1379" s="208"/>
      <c r="J1379" s="165" t="s">
        <v>200</v>
      </c>
      <c r="K1379" s="205">
        <v>27449.38</v>
      </c>
      <c r="L1379" s="205"/>
    </row>
    <row r="1380" spans="1:12" ht="11.25" customHeight="1" x14ac:dyDescent="0.2">
      <c r="A1380" s="164">
        <v>2022</v>
      </c>
      <c r="B1380" s="164">
        <v>7</v>
      </c>
      <c r="C1380" s="164">
        <v>7</v>
      </c>
      <c r="D1380" s="164">
        <f t="shared" si="150"/>
        <v>44749</v>
      </c>
      <c r="E1380" s="235">
        <f t="shared" si="142"/>
        <v>44749</v>
      </c>
      <c r="F1380" s="480"/>
      <c r="G1380" s="208" t="s">
        <v>86</v>
      </c>
      <c r="H1380" s="208"/>
      <c r="J1380" s="165" t="s">
        <v>961</v>
      </c>
      <c r="K1380" s="156"/>
      <c r="L1380" s="205">
        <v>443189.89</v>
      </c>
    </row>
    <row r="1381" spans="1:12" ht="11.25" customHeight="1" x14ac:dyDescent="0.2">
      <c r="A1381" s="226">
        <v>2022</v>
      </c>
      <c r="B1381" s="226">
        <v>7</v>
      </c>
      <c r="C1381" s="226">
        <v>7</v>
      </c>
      <c r="D1381" s="226">
        <f t="shared" si="150"/>
        <v>44749</v>
      </c>
      <c r="E1381" s="234">
        <f t="shared" si="142"/>
        <v>44749</v>
      </c>
      <c r="F1381" s="479"/>
      <c r="G1381" s="227" t="s">
        <v>86</v>
      </c>
      <c r="H1381" s="228" t="str" cm="1">
        <f t="array" ref="H1381">IFERROR(INDEX(INVESTOR_LIST[INVESTOR NAME],MATCH(I1381,INVESTOR_LIST[INVESTOR CODE],0),)," ")</f>
        <v xml:space="preserve"> </v>
      </c>
      <c r="I1381" s="228"/>
      <c r="J1381" s="229" t="s">
        <v>80</v>
      </c>
      <c r="K1381" s="230"/>
      <c r="L1381" s="230">
        <v>1346452.28</v>
      </c>
    </row>
    <row r="1382" spans="1:12" ht="11.25" customHeight="1" x14ac:dyDescent="0.2">
      <c r="A1382" s="221">
        <v>2022</v>
      </c>
      <c r="B1382" s="221">
        <v>7</v>
      </c>
      <c r="C1382" s="221">
        <v>7</v>
      </c>
      <c r="D1382" s="231">
        <f t="shared" si="150"/>
        <v>44749</v>
      </c>
      <c r="E1382" s="233">
        <f t="shared" ref="E1382:E1389" si="154">DATE(A1382,B1382,C1382)</f>
        <v>44749</v>
      </c>
      <c r="F1382" s="478" t="s">
        <v>1115</v>
      </c>
      <c r="G1382" s="222" t="s">
        <v>1111</v>
      </c>
      <c r="H1382" s="223" t="str" cm="1">
        <f t="array" ref="H1382">IFERROR(INDEX(INVESTOR_LIST[INVESTOR NAME],MATCH(I1382,INVESTOR_LIST[INVESTOR CODE],0),)," ")</f>
        <v>HABIB REDWAN RAFI</v>
      </c>
      <c r="I1382" s="223" t="s">
        <v>689</v>
      </c>
      <c r="J1382" s="224" t="s">
        <v>14</v>
      </c>
      <c r="K1382" s="225">
        <v>203670</v>
      </c>
      <c r="L1382" s="225"/>
    </row>
    <row r="1383" spans="1:12" ht="11.25" customHeight="1" x14ac:dyDescent="0.2">
      <c r="A1383" s="164">
        <v>2022</v>
      </c>
      <c r="B1383" s="164">
        <v>7</v>
      </c>
      <c r="C1383" s="164">
        <v>7</v>
      </c>
      <c r="D1383" s="156">
        <f t="shared" si="150"/>
        <v>44749</v>
      </c>
      <c r="E1383" s="235">
        <f t="shared" si="154"/>
        <v>44749</v>
      </c>
      <c r="F1383" s="480"/>
      <c r="G1383" s="208" t="s">
        <v>1111</v>
      </c>
      <c r="H1383" s="206" t="str" cm="1">
        <f t="array" ref="H1383">IFERROR(INDEX(INVESTOR_LIST[INVESTOR NAME],MATCH(I1383,INVESTOR_LIST[INVESTOR CODE],0),)," ")</f>
        <v>HABIB REDWAN RAFI</v>
      </c>
      <c r="I1383" s="206" t="s">
        <v>689</v>
      </c>
      <c r="J1383" s="165" t="s">
        <v>1112</v>
      </c>
      <c r="L1383" s="205">
        <v>611.01</v>
      </c>
    </row>
    <row r="1384" spans="1:12" ht="11.25" customHeight="1" x14ac:dyDescent="0.2">
      <c r="A1384" s="226">
        <v>2022</v>
      </c>
      <c r="B1384" s="226">
        <v>7</v>
      </c>
      <c r="C1384" s="226">
        <v>7</v>
      </c>
      <c r="D1384" s="232">
        <f t="shared" si="150"/>
        <v>44749</v>
      </c>
      <c r="E1384" s="234">
        <f t="shared" si="154"/>
        <v>44749</v>
      </c>
      <c r="F1384" s="479"/>
      <c r="G1384" s="227" t="s">
        <v>1111</v>
      </c>
      <c r="H1384" s="228" t="str" cm="1">
        <f t="array" ref="H1384">IFERROR(INDEX(INVESTOR_LIST[INVESTOR NAME],MATCH(I1384,INVESTOR_LIST[INVESTOR CODE],0),)," ")</f>
        <v>HABIB REDWAN RAFI</v>
      </c>
      <c r="I1384" s="228" t="s">
        <v>689</v>
      </c>
      <c r="J1384" s="229" t="s">
        <v>55</v>
      </c>
      <c r="K1384" s="230"/>
      <c r="L1384" s="230">
        <v>203058.99</v>
      </c>
    </row>
    <row r="1385" spans="1:12" ht="11.25" customHeight="1" x14ac:dyDescent="0.2">
      <c r="A1385" s="221">
        <v>2022</v>
      </c>
      <c r="B1385" s="221">
        <v>7</v>
      </c>
      <c r="C1385" s="221">
        <v>7</v>
      </c>
      <c r="D1385" s="231">
        <f t="shared" si="150"/>
        <v>44749</v>
      </c>
      <c r="E1385" s="233">
        <f t="shared" si="154"/>
        <v>44749</v>
      </c>
      <c r="F1385" s="478" t="s">
        <v>1115</v>
      </c>
      <c r="G1385" s="222" t="s">
        <v>1111</v>
      </c>
      <c r="H1385" s="223" t="str" cm="1">
        <f t="array" ref="H1385">IFERROR(INDEX(INVESTOR_LIST[INVESTOR NAME],MATCH(I1385,INVESTOR_LIST[INVESTOR CODE],0),)," ")</f>
        <v>MUHAMMAD TANVIR ARAFAT</v>
      </c>
      <c r="I1385" s="223" t="s">
        <v>567</v>
      </c>
      <c r="J1385" s="224" t="s">
        <v>14</v>
      </c>
      <c r="K1385" s="225">
        <v>60000</v>
      </c>
      <c r="L1385" s="225"/>
    </row>
    <row r="1386" spans="1:12" ht="11.25" customHeight="1" x14ac:dyDescent="0.2">
      <c r="A1386" s="164">
        <v>2022</v>
      </c>
      <c r="B1386" s="164">
        <v>7</v>
      </c>
      <c r="C1386" s="164">
        <v>7</v>
      </c>
      <c r="D1386" s="156">
        <f t="shared" si="150"/>
        <v>44749</v>
      </c>
      <c r="E1386" s="235">
        <f t="shared" si="154"/>
        <v>44749</v>
      </c>
      <c r="F1386" s="480"/>
      <c r="G1386" s="208" t="s">
        <v>1111</v>
      </c>
      <c r="H1386" s="206" t="str" cm="1">
        <f t="array" ref="H1386">IFERROR(INDEX(INVESTOR_LIST[INVESTOR NAME],MATCH(I1386,INVESTOR_LIST[INVESTOR CODE],0),)," ")</f>
        <v>MUHAMMAD TANVIR ARAFAT</v>
      </c>
      <c r="I1386" s="206" t="s">
        <v>567</v>
      </c>
      <c r="J1386" s="165" t="s">
        <v>1112</v>
      </c>
      <c r="L1386" s="205">
        <v>180</v>
      </c>
    </row>
    <row r="1387" spans="1:12" ht="11.25" customHeight="1" x14ac:dyDescent="0.2">
      <c r="A1387" s="226">
        <v>2022</v>
      </c>
      <c r="B1387" s="226">
        <v>7</v>
      </c>
      <c r="C1387" s="226">
        <v>7</v>
      </c>
      <c r="D1387" s="232">
        <f t="shared" si="150"/>
        <v>44749</v>
      </c>
      <c r="E1387" s="234">
        <f t="shared" si="154"/>
        <v>44749</v>
      </c>
      <c r="F1387" s="479"/>
      <c r="G1387" s="227" t="s">
        <v>1111</v>
      </c>
      <c r="H1387" s="228" t="str" cm="1">
        <f t="array" ref="H1387">IFERROR(INDEX(INVESTOR_LIST[INVESTOR NAME],MATCH(I1387,INVESTOR_LIST[INVESTOR CODE],0),)," ")</f>
        <v>MUHAMMAD TANVIR ARAFAT</v>
      </c>
      <c r="I1387" s="228" t="s">
        <v>567</v>
      </c>
      <c r="J1387" s="229" t="s">
        <v>55</v>
      </c>
      <c r="K1387" s="230"/>
      <c r="L1387" s="230">
        <v>59820</v>
      </c>
    </row>
    <row r="1388" spans="1:12" ht="11.25" customHeight="1" x14ac:dyDescent="0.2">
      <c r="A1388" s="221">
        <v>2022</v>
      </c>
      <c r="B1388" s="221">
        <v>7</v>
      </c>
      <c r="C1388" s="221">
        <v>7</v>
      </c>
      <c r="D1388" s="231">
        <f t="shared" si="150"/>
        <v>44749</v>
      </c>
      <c r="E1388" s="233">
        <f t="shared" si="154"/>
        <v>44749</v>
      </c>
      <c r="F1388" s="478" t="s">
        <v>1164</v>
      </c>
      <c r="G1388" s="222" t="s">
        <v>1111</v>
      </c>
      <c r="H1388" s="223" t="str" cm="1">
        <f t="array" ref="H1388">IFERROR(INDEX(INVESTOR_LIST[INVESTOR NAME],MATCH(I1388,INVESTOR_LIST[INVESTOR CODE],0),)," ")</f>
        <v xml:space="preserve"> </v>
      </c>
      <c r="I1388" s="223"/>
      <c r="J1388" s="224" t="s">
        <v>55</v>
      </c>
      <c r="K1388" s="225">
        <v>1068618.02</v>
      </c>
      <c r="L1388" s="225"/>
    </row>
    <row r="1389" spans="1:12" ht="11.25" customHeight="1" x14ac:dyDescent="0.2">
      <c r="A1389" s="226">
        <v>2022</v>
      </c>
      <c r="B1389" s="226">
        <v>7</v>
      </c>
      <c r="C1389" s="226">
        <v>7</v>
      </c>
      <c r="D1389" s="232">
        <f t="shared" si="150"/>
        <v>44749</v>
      </c>
      <c r="E1389" s="234">
        <f t="shared" si="154"/>
        <v>44749</v>
      </c>
      <c r="F1389" s="479"/>
      <c r="G1389" s="227" t="s">
        <v>1111</v>
      </c>
      <c r="H1389" s="228" t="str" cm="1">
        <f t="array" ref="H1389">IFERROR(INDEX(INVESTOR_LIST[INVESTOR NAME],MATCH(I1389,INVESTOR_LIST[INVESTOR CODE],0),)," ")</f>
        <v xml:space="preserve"> </v>
      </c>
      <c r="I1389" s="228"/>
      <c r="J1389" s="229" t="s">
        <v>199</v>
      </c>
      <c r="K1389" s="230"/>
      <c r="L1389" s="230">
        <v>1068618.02</v>
      </c>
    </row>
    <row r="1390" spans="1:12" ht="11.25" customHeight="1" x14ac:dyDescent="0.2">
      <c r="A1390" s="236">
        <v>2022</v>
      </c>
      <c r="B1390" s="236">
        <v>7</v>
      </c>
      <c r="C1390" s="236">
        <v>7</v>
      </c>
      <c r="D1390" s="237">
        <f t="shared" si="150"/>
        <v>44749</v>
      </c>
      <c r="E1390" s="238">
        <f t="shared" ref="E1390:E1402" si="155">DATE(A1390,B1390,C1390)</f>
        <v>44749</v>
      </c>
      <c r="F1390" s="476" t="s">
        <v>1118</v>
      </c>
      <c r="G1390" s="239" t="s">
        <v>86</v>
      </c>
      <c r="H1390" s="239" t="str" cm="1">
        <f t="array" ref="H1390">IFERROR(INDEX(INVESTOR_LIST[INVESTOR NAME],MATCH(I1390,INVESTOR_LIST[INVESTOR CODE],0),)," ")</f>
        <v xml:space="preserve"> </v>
      </c>
      <c r="I1390" s="240"/>
      <c r="J1390" s="241" t="s">
        <v>82</v>
      </c>
      <c r="K1390" s="242">
        <v>2481777.6199999899</v>
      </c>
      <c r="L1390" s="242"/>
    </row>
    <row r="1391" spans="1:12" ht="11.25" customHeight="1" x14ac:dyDescent="0.2">
      <c r="A1391" s="243">
        <v>2022</v>
      </c>
      <c r="B1391" s="243">
        <v>7</v>
      </c>
      <c r="C1391" s="243">
        <v>7</v>
      </c>
      <c r="D1391" s="248">
        <f t="shared" si="150"/>
        <v>44749</v>
      </c>
      <c r="E1391" s="249">
        <f t="shared" si="155"/>
        <v>44749</v>
      </c>
      <c r="F1391" s="477"/>
      <c r="G1391" s="244" t="s">
        <v>86</v>
      </c>
      <c r="H1391" s="244" t="str" cm="1">
        <f t="array" ref="H1391">IFERROR(INDEX(INVESTOR_LIST[INVESTOR NAME],MATCH(I1391,INVESTOR_LIST[INVESTOR CODE],0),)," ")</f>
        <v xml:space="preserve"> </v>
      </c>
      <c r="I1391" s="245"/>
      <c r="J1391" s="246" t="s">
        <v>98</v>
      </c>
      <c r="K1391" s="247"/>
      <c r="L1391" s="247">
        <v>2481777.6199999899</v>
      </c>
    </row>
    <row r="1392" spans="1:12" ht="11.25" customHeight="1" x14ac:dyDescent="0.2">
      <c r="A1392" s="236">
        <v>2022</v>
      </c>
      <c r="B1392" s="236">
        <v>7</v>
      </c>
      <c r="C1392" s="236">
        <v>7</v>
      </c>
      <c r="D1392" s="237">
        <f t="shared" si="150"/>
        <v>44749</v>
      </c>
      <c r="E1392" s="238">
        <f t="shared" si="155"/>
        <v>44749</v>
      </c>
      <c r="F1392" s="476" t="s">
        <v>1120</v>
      </c>
      <c r="G1392" s="239" t="s">
        <v>86</v>
      </c>
      <c r="H1392" s="239" t="str" cm="1">
        <f t="array" ref="H1392">IFERROR(INDEX(INVESTOR_LIST[INVESTOR NAME],MATCH(I1392,INVESTOR_LIST[INVESTOR CODE],0),)," ")</f>
        <v xml:space="preserve"> </v>
      </c>
      <c r="I1392" s="240"/>
      <c r="J1392" s="241" t="s">
        <v>87</v>
      </c>
      <c r="K1392" s="242">
        <v>2747.2527472527472</v>
      </c>
      <c r="L1392" s="242"/>
    </row>
    <row r="1393" spans="1:12" ht="11.25" customHeight="1" x14ac:dyDescent="0.2">
      <c r="A1393" s="243">
        <v>2022</v>
      </c>
      <c r="B1393" s="243">
        <v>7</v>
      </c>
      <c r="C1393" s="243">
        <v>7</v>
      </c>
      <c r="D1393" s="248">
        <f t="shared" si="150"/>
        <v>44749</v>
      </c>
      <c r="E1393" s="249">
        <f t="shared" si="155"/>
        <v>44749</v>
      </c>
      <c r="F1393" s="477"/>
      <c r="G1393" s="244" t="s">
        <v>86</v>
      </c>
      <c r="H1393" s="244" t="str" cm="1">
        <f t="array" ref="H1393">IFERROR(INDEX(INVESTOR_LIST[INVESTOR NAME],MATCH(I1393,INVESTOR_LIST[INVESTOR CODE],0),)," ")</f>
        <v xml:space="preserve"> </v>
      </c>
      <c r="I1393" s="245"/>
      <c r="J1393" s="246" t="s">
        <v>64</v>
      </c>
      <c r="K1393" s="247"/>
      <c r="L1393" s="247">
        <v>2747.2527472527472</v>
      </c>
    </row>
    <row r="1394" spans="1:12" ht="11.25" customHeight="1" x14ac:dyDescent="0.2">
      <c r="A1394" s="236">
        <v>2022</v>
      </c>
      <c r="B1394" s="236">
        <v>7</v>
      </c>
      <c r="C1394" s="236">
        <v>7</v>
      </c>
      <c r="D1394" s="237">
        <f t="shared" si="150"/>
        <v>44749</v>
      </c>
      <c r="E1394" s="238">
        <f t="shared" si="155"/>
        <v>44749</v>
      </c>
      <c r="F1394" s="476" t="s">
        <v>1121</v>
      </c>
      <c r="G1394" s="239" t="s">
        <v>86</v>
      </c>
      <c r="H1394" s="239" t="str" cm="1">
        <f t="array" ref="H1394">IFERROR(INDEX(INVESTOR_LIST[INVESTOR NAME],MATCH(I1394,INVESTOR_LIST[INVESTOR CODE],0),)," ")</f>
        <v xml:space="preserve"> </v>
      </c>
      <c r="I1394" s="240"/>
      <c r="J1394" s="241" t="s">
        <v>89</v>
      </c>
      <c r="K1394" s="242">
        <v>98273.127586026108</v>
      </c>
      <c r="L1394" s="242"/>
    </row>
    <row r="1395" spans="1:12" ht="11.25" customHeight="1" x14ac:dyDescent="0.2">
      <c r="A1395" s="243">
        <v>2022</v>
      </c>
      <c r="B1395" s="243">
        <v>7</v>
      </c>
      <c r="C1395" s="243">
        <v>7</v>
      </c>
      <c r="D1395" s="248">
        <f t="shared" si="150"/>
        <v>44749</v>
      </c>
      <c r="E1395" s="249">
        <f t="shared" si="155"/>
        <v>44749</v>
      </c>
      <c r="F1395" s="477"/>
      <c r="G1395" s="244" t="s">
        <v>86</v>
      </c>
      <c r="H1395" s="244" t="str" cm="1">
        <f t="array" ref="H1395">IFERROR(INDEX(INVESTOR_LIST[INVESTOR NAME],MATCH(I1395,INVESTOR_LIST[INVESTOR CODE],0),)," ")</f>
        <v xml:space="preserve"> </v>
      </c>
      <c r="I1395" s="245"/>
      <c r="J1395" s="246" t="s">
        <v>50</v>
      </c>
      <c r="K1395" s="247"/>
      <c r="L1395" s="247">
        <v>98273.127586026108</v>
      </c>
    </row>
    <row r="1396" spans="1:12" ht="11.25" customHeight="1" x14ac:dyDescent="0.2">
      <c r="A1396" s="236">
        <v>2022</v>
      </c>
      <c r="B1396" s="236">
        <v>7</v>
      </c>
      <c r="C1396" s="236">
        <v>7</v>
      </c>
      <c r="D1396" s="237">
        <f t="shared" si="150"/>
        <v>44749</v>
      </c>
      <c r="E1396" s="238">
        <f t="shared" si="155"/>
        <v>44749</v>
      </c>
      <c r="F1396" s="476" t="s">
        <v>1122</v>
      </c>
      <c r="G1396" s="239" t="s">
        <v>86</v>
      </c>
      <c r="H1396" s="239" t="str" cm="1">
        <f t="array" ref="H1396">IFERROR(INDEX(INVESTOR_LIST[INVESTOR NAME],MATCH(I1396,INVESTOR_LIST[INVESTOR CODE],0),)," ")</f>
        <v xml:space="preserve"> </v>
      </c>
      <c r="I1396" s="240"/>
      <c r="J1396" s="241" t="s">
        <v>91</v>
      </c>
      <c r="K1396" s="242">
        <v>4673.2717639166895</v>
      </c>
      <c r="L1396" s="242"/>
    </row>
    <row r="1397" spans="1:12" ht="11.25" customHeight="1" x14ac:dyDescent="0.2">
      <c r="A1397" s="243">
        <v>2022</v>
      </c>
      <c r="B1397" s="243">
        <v>7</v>
      </c>
      <c r="C1397" s="243">
        <v>7</v>
      </c>
      <c r="D1397" s="248">
        <f t="shared" si="150"/>
        <v>44749</v>
      </c>
      <c r="E1397" s="249">
        <f t="shared" si="155"/>
        <v>44749</v>
      </c>
      <c r="F1397" s="477"/>
      <c r="G1397" s="244" t="s">
        <v>86</v>
      </c>
      <c r="H1397" s="244" t="str" cm="1">
        <f t="array" ref="H1397">IFERROR(INDEX(INVESTOR_LIST[INVESTOR NAME],MATCH(I1397,INVESTOR_LIST[INVESTOR CODE],0),)," ")</f>
        <v xml:space="preserve"> </v>
      </c>
      <c r="I1397" s="245"/>
      <c r="J1397" s="246" t="s">
        <v>51</v>
      </c>
      <c r="K1397" s="247"/>
      <c r="L1397" s="247">
        <v>4673.2717639166895</v>
      </c>
    </row>
    <row r="1398" spans="1:12" ht="11.25" customHeight="1" x14ac:dyDescent="0.2">
      <c r="A1398" s="221">
        <v>2022</v>
      </c>
      <c r="B1398" s="221">
        <v>7</v>
      </c>
      <c r="C1398" s="221">
        <v>13</v>
      </c>
      <c r="D1398" s="231">
        <f t="shared" si="150"/>
        <v>44755</v>
      </c>
      <c r="E1398" s="233">
        <f t="shared" si="155"/>
        <v>44755</v>
      </c>
      <c r="F1398" s="478" t="s">
        <v>1208</v>
      </c>
      <c r="G1398" s="222" t="s">
        <v>1111</v>
      </c>
      <c r="H1398" s="223" t="str" cm="1">
        <f t="array" ref="H1398">IFERROR(INDEX(INVESTOR_LIST[INVESTOR NAME],MATCH(I1398,INVESTOR_LIST[INVESTOR CODE],0),)," ")</f>
        <v xml:space="preserve"> </v>
      </c>
      <c r="I1398" s="223"/>
      <c r="J1398" s="224" t="s">
        <v>961</v>
      </c>
      <c r="K1398" s="225">
        <v>443189.89</v>
      </c>
      <c r="L1398" s="225"/>
    </row>
    <row r="1399" spans="1:12" ht="11.25" customHeight="1" x14ac:dyDescent="0.2">
      <c r="A1399" s="226">
        <v>2022</v>
      </c>
      <c r="B1399" s="226">
        <v>7</v>
      </c>
      <c r="C1399" s="226">
        <v>13</v>
      </c>
      <c r="D1399" s="232">
        <f t="shared" si="150"/>
        <v>44755</v>
      </c>
      <c r="E1399" s="234">
        <f t="shared" si="155"/>
        <v>44755</v>
      </c>
      <c r="F1399" s="479"/>
      <c r="G1399" s="227" t="s">
        <v>1111</v>
      </c>
      <c r="H1399" s="228" t="str" cm="1">
        <f t="array" ref="H1399">IFERROR(INDEX(INVESTOR_LIST[INVESTOR NAME],MATCH(I1399,INVESTOR_LIST[INVESTOR CODE],0),)," ")</f>
        <v xml:space="preserve"> </v>
      </c>
      <c r="I1399" s="228"/>
      <c r="J1399" s="229" t="s">
        <v>55</v>
      </c>
      <c r="K1399" s="230"/>
      <c r="L1399" s="230">
        <v>443189.89</v>
      </c>
    </row>
    <row r="1400" spans="1:12" ht="11.25" customHeight="1" x14ac:dyDescent="0.2">
      <c r="A1400" s="221">
        <v>2022</v>
      </c>
      <c r="B1400" s="221">
        <v>7</v>
      </c>
      <c r="C1400" s="221">
        <v>13</v>
      </c>
      <c r="D1400" s="231">
        <f t="shared" si="150"/>
        <v>44755</v>
      </c>
      <c r="E1400" s="233">
        <f t="shared" si="155"/>
        <v>44755</v>
      </c>
      <c r="F1400" s="478" t="s">
        <v>1115</v>
      </c>
      <c r="G1400" s="222" t="s">
        <v>1111</v>
      </c>
      <c r="H1400" s="223" t="str" cm="1">
        <f t="array" ref="H1400">IFERROR(INDEX(INVESTOR_LIST[INVESTOR NAME],MATCH(I1400,INVESTOR_LIST[INVESTOR CODE],0),)," ")</f>
        <v>MAZED AHMED ABDULLAH</v>
      </c>
      <c r="I1400" s="223" t="s">
        <v>1224</v>
      </c>
      <c r="J1400" s="224" t="s">
        <v>14</v>
      </c>
      <c r="K1400" s="225">
        <v>252530</v>
      </c>
      <c r="L1400" s="225"/>
    </row>
    <row r="1401" spans="1:12" ht="11.25" customHeight="1" x14ac:dyDescent="0.2">
      <c r="A1401" s="164">
        <v>2022</v>
      </c>
      <c r="B1401" s="164">
        <v>7</v>
      </c>
      <c r="C1401" s="164">
        <v>13</v>
      </c>
      <c r="D1401" s="156">
        <f t="shared" si="150"/>
        <v>44755</v>
      </c>
      <c r="E1401" s="235">
        <f t="shared" si="155"/>
        <v>44755</v>
      </c>
      <c r="F1401" s="480"/>
      <c r="G1401" s="208" t="s">
        <v>1111</v>
      </c>
      <c r="H1401" s="206" t="str" cm="1">
        <f t="array" ref="H1401">IFERROR(INDEX(INVESTOR_LIST[INVESTOR NAME],MATCH(I1401,INVESTOR_LIST[INVESTOR CODE],0),)," ")</f>
        <v>MAZED AHMED ABDULLAH</v>
      </c>
      <c r="I1401" s="206" t="s">
        <v>1224</v>
      </c>
      <c r="J1401" s="165" t="s">
        <v>1112</v>
      </c>
      <c r="L1401" s="205">
        <v>2530</v>
      </c>
    </row>
    <row r="1402" spans="1:12" ht="11.25" customHeight="1" x14ac:dyDescent="0.2">
      <c r="A1402" s="226">
        <v>2022</v>
      </c>
      <c r="B1402" s="226">
        <v>7</v>
      </c>
      <c r="C1402" s="226">
        <v>13</v>
      </c>
      <c r="D1402" s="232">
        <f t="shared" si="150"/>
        <v>44755</v>
      </c>
      <c r="E1402" s="234">
        <f t="shared" si="155"/>
        <v>44755</v>
      </c>
      <c r="F1402" s="479"/>
      <c r="G1402" s="227" t="s">
        <v>1111</v>
      </c>
      <c r="H1402" s="228" t="str" cm="1">
        <f t="array" ref="H1402">IFERROR(INDEX(INVESTOR_LIST[INVESTOR NAME],MATCH(I1402,INVESTOR_LIST[INVESTOR CODE],0),)," ")</f>
        <v>MAZED AHMED ABDULLAH</v>
      </c>
      <c r="I1402" s="228" t="s">
        <v>1224</v>
      </c>
      <c r="J1402" s="229" t="s">
        <v>55</v>
      </c>
      <c r="K1402" s="230"/>
      <c r="L1402" s="230">
        <v>250000</v>
      </c>
    </row>
    <row r="1403" spans="1:12" ht="11.25" customHeight="1" x14ac:dyDescent="0.2">
      <c r="A1403" s="221">
        <v>2022</v>
      </c>
      <c r="B1403" s="221">
        <v>7</v>
      </c>
      <c r="C1403" s="221">
        <v>14</v>
      </c>
      <c r="D1403" s="231">
        <f t="shared" si="150"/>
        <v>44756</v>
      </c>
      <c r="E1403" s="233">
        <f t="shared" ref="E1403:E1420" si="156">DATE(A1403,B1403,C1403)</f>
        <v>44756</v>
      </c>
      <c r="F1403" s="478" t="s">
        <v>1115</v>
      </c>
      <c r="G1403" s="222" t="s">
        <v>1111</v>
      </c>
      <c r="H1403" s="223" t="str" cm="1">
        <f t="array" ref="H1403">IFERROR(INDEX(INVESTOR_LIST[INVESTOR NAME],MATCH(I1403,INVESTOR_LIST[INVESTOR CODE],0),)," ")</f>
        <v>NASRIN AHMED HELA</v>
      </c>
      <c r="I1403" s="223" t="s">
        <v>1245</v>
      </c>
      <c r="J1403" s="224" t="s">
        <v>14</v>
      </c>
      <c r="K1403" s="225">
        <v>303030</v>
      </c>
      <c r="L1403" s="225"/>
    </row>
    <row r="1404" spans="1:12" ht="11.25" customHeight="1" x14ac:dyDescent="0.2">
      <c r="A1404" s="164">
        <v>2022</v>
      </c>
      <c r="B1404" s="164">
        <v>7</v>
      </c>
      <c r="C1404" s="164">
        <v>14</v>
      </c>
      <c r="D1404" s="156">
        <f t="shared" si="150"/>
        <v>44756</v>
      </c>
      <c r="E1404" s="235">
        <f t="shared" si="156"/>
        <v>44756</v>
      </c>
      <c r="F1404" s="480"/>
      <c r="G1404" s="208" t="s">
        <v>1111</v>
      </c>
      <c r="H1404" s="206" t="str" cm="1">
        <f t="array" ref="H1404">IFERROR(INDEX(INVESTOR_LIST[INVESTOR NAME],MATCH(I1404,INVESTOR_LIST[INVESTOR CODE],0),)," ")</f>
        <v>NASRIN AHMED HELA</v>
      </c>
      <c r="I1404" s="206" t="s">
        <v>1245</v>
      </c>
      <c r="J1404" s="165" t="s">
        <v>1112</v>
      </c>
      <c r="L1404" s="205">
        <v>3030</v>
      </c>
    </row>
    <row r="1405" spans="1:12" ht="11.25" customHeight="1" x14ac:dyDescent="0.2">
      <c r="A1405" s="226">
        <v>2022</v>
      </c>
      <c r="B1405" s="226">
        <v>7</v>
      </c>
      <c r="C1405" s="226">
        <v>14</v>
      </c>
      <c r="D1405" s="232">
        <f t="shared" si="150"/>
        <v>44756</v>
      </c>
      <c r="E1405" s="234">
        <f t="shared" si="156"/>
        <v>44756</v>
      </c>
      <c r="F1405" s="479"/>
      <c r="G1405" s="227" t="s">
        <v>1111</v>
      </c>
      <c r="H1405" s="228" t="str" cm="1">
        <f t="array" ref="H1405">IFERROR(INDEX(INVESTOR_LIST[INVESTOR NAME],MATCH(I1405,INVESTOR_LIST[INVESTOR CODE],0),)," ")</f>
        <v>NASRIN AHMED HELA</v>
      </c>
      <c r="I1405" s="228" t="s">
        <v>1245</v>
      </c>
      <c r="J1405" s="229" t="s">
        <v>55</v>
      </c>
      <c r="K1405" s="230"/>
      <c r="L1405" s="230">
        <v>300000</v>
      </c>
    </row>
    <row r="1406" spans="1:12" ht="11.25" customHeight="1" x14ac:dyDescent="0.2">
      <c r="A1406" s="236">
        <v>2022</v>
      </c>
      <c r="B1406" s="236">
        <v>7</v>
      </c>
      <c r="C1406" s="236">
        <v>14</v>
      </c>
      <c r="D1406" s="237">
        <f t="shared" si="150"/>
        <v>44756</v>
      </c>
      <c r="E1406" s="238">
        <f t="shared" si="156"/>
        <v>44756</v>
      </c>
      <c r="F1406" s="476" t="s">
        <v>1118</v>
      </c>
      <c r="G1406" s="239" t="s">
        <v>86</v>
      </c>
      <c r="H1406" s="239" t="str" cm="1">
        <f t="array" ref="H1406">IFERROR(INDEX(INVESTOR_LIST[INVESTOR NAME],MATCH(I1406,INVESTOR_LIST[INVESTOR CODE],0),)," ")</f>
        <v xml:space="preserve"> </v>
      </c>
      <c r="I1406" s="240"/>
      <c r="J1406" s="241" t="s">
        <v>82</v>
      </c>
      <c r="K1406" s="242">
        <v>541933</v>
      </c>
      <c r="L1406" s="242"/>
    </row>
    <row r="1407" spans="1:12" ht="11.25" customHeight="1" x14ac:dyDescent="0.2">
      <c r="A1407" s="243">
        <v>2022</v>
      </c>
      <c r="B1407" s="243">
        <v>7</v>
      </c>
      <c r="C1407" s="243">
        <v>14</v>
      </c>
      <c r="D1407" s="248">
        <f t="shared" si="150"/>
        <v>44756</v>
      </c>
      <c r="E1407" s="249">
        <f t="shared" si="156"/>
        <v>44756</v>
      </c>
      <c r="F1407" s="477"/>
      <c r="G1407" s="244" t="s">
        <v>86</v>
      </c>
      <c r="H1407" s="244" t="str" cm="1">
        <f t="array" ref="H1407">IFERROR(INDEX(INVESTOR_LIST[INVESTOR NAME],MATCH(I1407,INVESTOR_LIST[INVESTOR CODE],0),)," ")</f>
        <v xml:space="preserve"> </v>
      </c>
      <c r="I1407" s="245"/>
      <c r="J1407" s="246" t="s">
        <v>98</v>
      </c>
      <c r="K1407" s="247"/>
      <c r="L1407" s="247">
        <v>541933</v>
      </c>
    </row>
    <row r="1408" spans="1:12" ht="11.25" customHeight="1" x14ac:dyDescent="0.2">
      <c r="A1408" s="236">
        <v>2022</v>
      </c>
      <c r="B1408" s="236">
        <v>7</v>
      </c>
      <c r="C1408" s="236">
        <v>14</v>
      </c>
      <c r="D1408" s="237">
        <f t="shared" si="150"/>
        <v>44756</v>
      </c>
      <c r="E1408" s="238">
        <f t="shared" si="156"/>
        <v>44756</v>
      </c>
      <c r="F1408" s="476" t="s">
        <v>1120</v>
      </c>
      <c r="G1408" s="239" t="s">
        <v>86</v>
      </c>
      <c r="H1408" s="239" t="str" cm="1">
        <f t="array" ref="H1408">IFERROR(INDEX(INVESTOR_LIST[INVESTOR NAME],MATCH(I1408,INVESTOR_LIST[INVESTOR CODE],0),)," ")</f>
        <v xml:space="preserve"> </v>
      </c>
      <c r="I1408" s="240"/>
      <c r="J1408" s="241" t="s">
        <v>87</v>
      </c>
      <c r="K1408" s="242">
        <v>2747.2527472527472</v>
      </c>
      <c r="L1408" s="242"/>
    </row>
    <row r="1409" spans="1:13" ht="11.25" customHeight="1" x14ac:dyDescent="0.2">
      <c r="A1409" s="243">
        <v>2022</v>
      </c>
      <c r="B1409" s="243">
        <v>7</v>
      </c>
      <c r="C1409" s="243">
        <v>14</v>
      </c>
      <c r="D1409" s="248">
        <f t="shared" si="150"/>
        <v>44756</v>
      </c>
      <c r="E1409" s="249">
        <f t="shared" si="156"/>
        <v>44756</v>
      </c>
      <c r="F1409" s="477"/>
      <c r="G1409" s="244" t="s">
        <v>86</v>
      </c>
      <c r="H1409" s="244" t="str" cm="1">
        <f t="array" ref="H1409">IFERROR(INDEX(INVESTOR_LIST[INVESTOR NAME],MATCH(I1409,INVESTOR_LIST[INVESTOR CODE],0),)," ")</f>
        <v xml:space="preserve"> </v>
      </c>
      <c r="I1409" s="245"/>
      <c r="J1409" s="246" t="s">
        <v>64</v>
      </c>
      <c r="K1409" s="247"/>
      <c r="L1409" s="247">
        <v>2747.2527472527472</v>
      </c>
    </row>
    <row r="1410" spans="1:13" ht="11.25" customHeight="1" x14ac:dyDescent="0.2">
      <c r="A1410" s="236">
        <v>2022</v>
      </c>
      <c r="B1410" s="236">
        <v>7</v>
      </c>
      <c r="C1410" s="236">
        <v>14</v>
      </c>
      <c r="D1410" s="237">
        <f t="shared" si="150"/>
        <v>44756</v>
      </c>
      <c r="E1410" s="238">
        <f t="shared" si="156"/>
        <v>44756</v>
      </c>
      <c r="F1410" s="476" t="s">
        <v>1121</v>
      </c>
      <c r="G1410" s="239" t="s">
        <v>86</v>
      </c>
      <c r="H1410" s="239" t="str" cm="1">
        <f t="array" ref="H1410">IFERROR(INDEX(INVESTOR_LIST[INVESTOR NAME],MATCH(I1410,INVESTOR_LIST[INVESTOR CODE],0),)," ")</f>
        <v xml:space="preserve"> </v>
      </c>
      <c r="I1410" s="240"/>
      <c r="J1410" s="241" t="s">
        <v>89</v>
      </c>
      <c r="K1410" s="242">
        <v>97812.501950604084</v>
      </c>
      <c r="L1410" s="242"/>
    </row>
    <row r="1411" spans="1:13" ht="11.25" customHeight="1" x14ac:dyDescent="0.2">
      <c r="A1411" s="243">
        <v>2022</v>
      </c>
      <c r="B1411" s="243">
        <v>7</v>
      </c>
      <c r="C1411" s="243">
        <v>14</v>
      </c>
      <c r="D1411" s="248">
        <f t="shared" si="150"/>
        <v>44756</v>
      </c>
      <c r="E1411" s="249">
        <f t="shared" si="156"/>
        <v>44756</v>
      </c>
      <c r="F1411" s="477"/>
      <c r="G1411" s="244" t="s">
        <v>86</v>
      </c>
      <c r="H1411" s="244" t="str" cm="1">
        <f t="array" ref="H1411">IFERROR(INDEX(INVESTOR_LIST[INVESTOR NAME],MATCH(I1411,INVESTOR_LIST[INVESTOR CODE],0),)," ")</f>
        <v xml:space="preserve"> </v>
      </c>
      <c r="I1411" s="245"/>
      <c r="J1411" s="246" t="s">
        <v>50</v>
      </c>
      <c r="K1411" s="247"/>
      <c r="L1411" s="247">
        <v>97812.501950604084</v>
      </c>
    </row>
    <row r="1412" spans="1:13" ht="11.25" customHeight="1" x14ac:dyDescent="0.2">
      <c r="A1412" s="236">
        <v>2022</v>
      </c>
      <c r="B1412" s="236">
        <v>7</v>
      </c>
      <c r="C1412" s="236">
        <v>14</v>
      </c>
      <c r="D1412" s="237">
        <f t="shared" si="150"/>
        <v>44756</v>
      </c>
      <c r="E1412" s="238">
        <f t="shared" si="156"/>
        <v>44756</v>
      </c>
      <c r="F1412" s="476" t="s">
        <v>1122</v>
      </c>
      <c r="G1412" s="239" t="s">
        <v>86</v>
      </c>
      <c r="H1412" s="239" t="str" cm="1">
        <f t="array" ref="H1412">IFERROR(INDEX(INVESTOR_LIST[INVESTOR NAME],MATCH(I1412,INVESTOR_LIST[INVESTOR CODE],0),)," ")</f>
        <v xml:space="preserve"> </v>
      </c>
      <c r="I1412" s="240"/>
      <c r="J1412" s="241" t="s">
        <v>91</v>
      </c>
      <c r="K1412" s="242">
        <v>4650.2404821455893</v>
      </c>
      <c r="L1412" s="242"/>
    </row>
    <row r="1413" spans="1:13" ht="11.25" customHeight="1" x14ac:dyDescent="0.2">
      <c r="A1413" s="243">
        <v>2022</v>
      </c>
      <c r="B1413" s="243">
        <v>7</v>
      </c>
      <c r="C1413" s="243">
        <v>14</v>
      </c>
      <c r="D1413" s="248">
        <f t="shared" si="150"/>
        <v>44756</v>
      </c>
      <c r="E1413" s="249">
        <f t="shared" si="156"/>
        <v>44756</v>
      </c>
      <c r="F1413" s="477"/>
      <c r="G1413" s="244" t="s">
        <v>86</v>
      </c>
      <c r="H1413" s="244" t="str" cm="1">
        <f t="array" ref="H1413">IFERROR(INDEX(INVESTOR_LIST[INVESTOR NAME],MATCH(I1413,INVESTOR_LIST[INVESTOR CODE],0),)," ")</f>
        <v xml:space="preserve"> </v>
      </c>
      <c r="I1413" s="245"/>
      <c r="J1413" s="246" t="s">
        <v>51</v>
      </c>
      <c r="K1413" s="247"/>
      <c r="L1413" s="247">
        <v>4650.2404821455893</v>
      </c>
    </row>
    <row r="1414" spans="1:13" ht="11.25" customHeight="1" x14ac:dyDescent="0.2">
      <c r="A1414" s="221">
        <v>2022</v>
      </c>
      <c r="B1414" s="221">
        <v>7</v>
      </c>
      <c r="C1414" s="221">
        <v>15</v>
      </c>
      <c r="D1414" s="231">
        <f t="shared" si="150"/>
        <v>44757</v>
      </c>
      <c r="E1414" s="233">
        <f t="shared" si="156"/>
        <v>44757</v>
      </c>
      <c r="F1414" s="478" t="s">
        <v>1132</v>
      </c>
      <c r="G1414" s="222" t="s">
        <v>1111</v>
      </c>
      <c r="H1414" s="223" t="str" cm="1">
        <f t="array" ref="H1414">IFERROR(INDEX(INVESTOR_LIST[INVESTOR NAME],MATCH(I1414,INVESTOR_LIST[INVESTOR CODE],0),)," ")</f>
        <v xml:space="preserve"> </v>
      </c>
      <c r="I1414" s="223"/>
      <c r="J1414" s="224" t="s">
        <v>55</v>
      </c>
      <c r="K1414" s="225">
        <v>1000</v>
      </c>
      <c r="L1414" s="225"/>
    </row>
    <row r="1415" spans="1:13" ht="11.25" customHeight="1" x14ac:dyDescent="0.2">
      <c r="A1415" s="164">
        <v>2022</v>
      </c>
      <c r="B1415" s="164">
        <v>7</v>
      </c>
      <c r="C1415" s="164">
        <v>15</v>
      </c>
      <c r="D1415" s="156">
        <f t="shared" si="150"/>
        <v>44757</v>
      </c>
      <c r="E1415" s="235">
        <f t="shared" si="156"/>
        <v>44757</v>
      </c>
      <c r="F1415" s="480"/>
      <c r="G1415" s="208" t="s">
        <v>1111</v>
      </c>
      <c r="H1415" s="206" t="str" cm="1">
        <f t="array" ref="H1415">IFERROR(INDEX(INVESTOR_LIST[INVESTOR NAME],MATCH(I1415,INVESTOR_LIST[INVESTOR CODE],0),)," ")</f>
        <v xml:space="preserve"> </v>
      </c>
      <c r="J1415" s="165" t="s">
        <v>1112</v>
      </c>
      <c r="K1415" s="205">
        <v>10</v>
      </c>
      <c r="L1415" s="205"/>
      <c r="M1415" s="166"/>
    </row>
    <row r="1416" spans="1:13" ht="11.25" customHeight="1" x14ac:dyDescent="0.2">
      <c r="A1416" s="226">
        <v>2022</v>
      </c>
      <c r="B1416" s="226">
        <v>7</v>
      </c>
      <c r="C1416" s="226">
        <v>15</v>
      </c>
      <c r="D1416" s="232">
        <f t="shared" si="150"/>
        <v>44757</v>
      </c>
      <c r="E1416" s="234">
        <f t="shared" si="156"/>
        <v>44757</v>
      </c>
      <c r="F1416" s="479"/>
      <c r="G1416" s="227" t="s">
        <v>1111</v>
      </c>
      <c r="H1416" s="228" t="str" cm="1">
        <f t="array" ref="H1416">IFERROR(INDEX(INVESTOR_LIST[INVESTOR NAME],MATCH(I1416,INVESTOR_LIST[INVESTOR CODE],0),)," ")</f>
        <v xml:space="preserve"> </v>
      </c>
      <c r="I1416" s="228"/>
      <c r="J1416" s="229" t="s">
        <v>14</v>
      </c>
      <c r="K1416" s="230"/>
      <c r="L1416" s="230">
        <v>1010</v>
      </c>
    </row>
    <row r="1417" spans="1:13" ht="11.25" customHeight="1" x14ac:dyDescent="0.2">
      <c r="A1417" s="221">
        <v>2022</v>
      </c>
      <c r="B1417" s="221">
        <v>7</v>
      </c>
      <c r="C1417" s="221">
        <v>18</v>
      </c>
      <c r="D1417" s="231">
        <f t="shared" ref="D1417:D1480" si="157">DATE(A1417,B1417,C1417)</f>
        <v>44760</v>
      </c>
      <c r="E1417" s="233">
        <f t="shared" si="156"/>
        <v>44760</v>
      </c>
      <c r="F1417" s="478" t="s">
        <v>1196</v>
      </c>
      <c r="G1417" s="222" t="s">
        <v>1111</v>
      </c>
      <c r="H1417" s="223" t="str" cm="1">
        <f t="array" ref="H1417">IFERROR(INDEX(INVESTOR_LIST[INVESTOR NAME],MATCH(I1417,INVESTOR_LIST[INVESTOR CODE],0),)," ")</f>
        <v xml:space="preserve"> </v>
      </c>
      <c r="I1417" s="223"/>
      <c r="J1417" s="224" t="s">
        <v>95</v>
      </c>
      <c r="K1417" s="225">
        <v>577.39</v>
      </c>
      <c r="L1417" s="225"/>
    </row>
    <row r="1418" spans="1:13" ht="11.25" customHeight="1" x14ac:dyDescent="0.2">
      <c r="A1418" s="226">
        <v>2022</v>
      </c>
      <c r="B1418" s="226">
        <v>7</v>
      </c>
      <c r="C1418" s="226">
        <v>18</v>
      </c>
      <c r="D1418" s="232">
        <f t="shared" si="157"/>
        <v>44760</v>
      </c>
      <c r="E1418" s="234">
        <f t="shared" si="156"/>
        <v>44760</v>
      </c>
      <c r="F1418" s="479"/>
      <c r="G1418" s="227" t="s">
        <v>1111</v>
      </c>
      <c r="H1418" s="228" t="str" cm="1">
        <f t="array" ref="H1418">IFERROR(INDEX(INVESTOR_LIST[INVESTOR NAME],MATCH(I1418,INVESTOR_LIST[INVESTOR CODE],0),)," ")</f>
        <v xml:space="preserve"> </v>
      </c>
      <c r="I1418" s="228"/>
      <c r="J1418" s="229" t="s">
        <v>55</v>
      </c>
      <c r="K1418" s="230"/>
      <c r="L1418" s="230">
        <v>577.39</v>
      </c>
    </row>
    <row r="1419" spans="1:13" ht="11.25" customHeight="1" x14ac:dyDescent="0.2">
      <c r="A1419" s="221">
        <v>2022</v>
      </c>
      <c r="B1419" s="221">
        <v>7</v>
      </c>
      <c r="C1419" s="221">
        <v>18</v>
      </c>
      <c r="D1419" s="231">
        <f t="shared" si="157"/>
        <v>44760</v>
      </c>
      <c r="E1419" s="233">
        <f t="shared" si="156"/>
        <v>44760</v>
      </c>
      <c r="F1419" s="478" t="s">
        <v>1142</v>
      </c>
      <c r="G1419" s="222" t="s">
        <v>1111</v>
      </c>
      <c r="H1419" s="223" t="str" cm="1">
        <f t="array" ref="H1419">IFERROR(INDEX(INVESTOR_LIST[INVESTOR NAME],MATCH(I1419,INVESTOR_LIST[INVESTOR CODE],0),)," ")</f>
        <v xml:space="preserve"> </v>
      </c>
      <c r="I1419" s="223"/>
      <c r="J1419" s="224" t="s">
        <v>189</v>
      </c>
      <c r="K1419" s="225">
        <v>1575</v>
      </c>
      <c r="L1419" s="225"/>
    </row>
    <row r="1420" spans="1:13" ht="11.25" customHeight="1" x14ac:dyDescent="0.2">
      <c r="A1420" s="226">
        <v>2022</v>
      </c>
      <c r="B1420" s="226">
        <v>7</v>
      </c>
      <c r="C1420" s="226">
        <v>18</v>
      </c>
      <c r="D1420" s="232">
        <f t="shared" si="157"/>
        <v>44760</v>
      </c>
      <c r="E1420" s="234">
        <f t="shared" si="156"/>
        <v>44760</v>
      </c>
      <c r="F1420" s="479"/>
      <c r="G1420" s="227" t="s">
        <v>1111</v>
      </c>
      <c r="H1420" s="228" t="str" cm="1">
        <f t="array" ref="H1420">IFERROR(INDEX(INVESTOR_LIST[INVESTOR NAME],MATCH(I1420,INVESTOR_LIST[INVESTOR CODE],0),)," ")</f>
        <v xml:space="preserve"> </v>
      </c>
      <c r="I1420" s="228"/>
      <c r="J1420" s="229" t="s">
        <v>55</v>
      </c>
      <c r="K1420" s="230"/>
      <c r="L1420" s="230">
        <v>1575</v>
      </c>
    </row>
    <row r="1421" spans="1:13" ht="11.25" customHeight="1" x14ac:dyDescent="0.2">
      <c r="A1421" s="221">
        <v>2022</v>
      </c>
      <c r="B1421" s="221">
        <v>7</v>
      </c>
      <c r="C1421" s="221">
        <v>18</v>
      </c>
      <c r="D1421" s="231">
        <f t="shared" si="157"/>
        <v>44760</v>
      </c>
      <c r="E1421" s="233">
        <f t="shared" ref="E1421:E1428" si="158">DATE(A1421,B1421,C1421)</f>
        <v>44760</v>
      </c>
      <c r="F1421" s="478" t="s">
        <v>1259</v>
      </c>
      <c r="G1421" s="222" t="s">
        <v>1111</v>
      </c>
      <c r="H1421" s="223" t="str" cm="1">
        <f t="array" ref="H1421">IFERROR(INDEX(INVESTOR_LIST[INVESTOR NAME],MATCH(I1421,INVESTOR_LIST[INVESTOR CODE],0),)," ")</f>
        <v xml:space="preserve"> </v>
      </c>
      <c r="I1421" s="223"/>
      <c r="J1421" s="224" t="s">
        <v>194</v>
      </c>
      <c r="K1421" s="225">
        <v>1800</v>
      </c>
      <c r="L1421" s="225"/>
    </row>
    <row r="1422" spans="1:13" ht="11.25" customHeight="1" x14ac:dyDescent="0.2">
      <c r="A1422" s="226">
        <v>2022</v>
      </c>
      <c r="B1422" s="226">
        <v>7</v>
      </c>
      <c r="C1422" s="226">
        <v>18</v>
      </c>
      <c r="D1422" s="232">
        <f t="shared" si="157"/>
        <v>44760</v>
      </c>
      <c r="E1422" s="234">
        <f t="shared" si="158"/>
        <v>44760</v>
      </c>
      <c r="F1422" s="479"/>
      <c r="G1422" s="227" t="s">
        <v>1111</v>
      </c>
      <c r="H1422" s="228" t="str" cm="1">
        <f t="array" ref="H1422">IFERROR(INDEX(INVESTOR_LIST[INVESTOR NAME],MATCH(I1422,INVESTOR_LIST[INVESTOR CODE],0),)," ")</f>
        <v xml:space="preserve"> </v>
      </c>
      <c r="I1422" s="228"/>
      <c r="J1422" s="229" t="s">
        <v>55</v>
      </c>
      <c r="K1422" s="230"/>
      <c r="L1422" s="230">
        <v>1800</v>
      </c>
    </row>
    <row r="1423" spans="1:13" ht="11.25" customHeight="1" x14ac:dyDescent="0.2">
      <c r="A1423" s="221">
        <v>2022</v>
      </c>
      <c r="B1423" s="221">
        <v>7</v>
      </c>
      <c r="C1423" s="221">
        <v>19</v>
      </c>
      <c r="D1423" s="231">
        <f t="shared" si="157"/>
        <v>44761</v>
      </c>
      <c r="E1423" s="233">
        <f t="shared" si="158"/>
        <v>44761</v>
      </c>
      <c r="F1423" s="478" t="s">
        <v>1115</v>
      </c>
      <c r="G1423" s="222" t="s">
        <v>1111</v>
      </c>
      <c r="H1423" s="223" t="str" cm="1">
        <f t="array" ref="H1423">IFERROR(INDEX(INVESTOR_LIST[INVESTOR NAME],MATCH(I1423,INVESTOR_LIST[INVESTOR CODE],0),)," ")</f>
        <v>IMTIAJ ARA</v>
      </c>
      <c r="I1423" s="223" t="s">
        <v>693</v>
      </c>
      <c r="J1423" s="224" t="s">
        <v>14</v>
      </c>
      <c r="K1423" s="225">
        <v>407330</v>
      </c>
      <c r="L1423" s="225"/>
    </row>
    <row r="1424" spans="1:13" ht="11.25" customHeight="1" x14ac:dyDescent="0.2">
      <c r="A1424" s="164">
        <v>2022</v>
      </c>
      <c r="B1424" s="164">
        <v>7</v>
      </c>
      <c r="C1424" s="164">
        <v>19</v>
      </c>
      <c r="D1424" s="156">
        <f t="shared" si="157"/>
        <v>44761</v>
      </c>
      <c r="E1424" s="235">
        <f t="shared" si="158"/>
        <v>44761</v>
      </c>
      <c r="F1424" s="480"/>
      <c r="G1424" s="208" t="s">
        <v>1111</v>
      </c>
      <c r="H1424" s="206" t="str" cm="1">
        <f t="array" ref="H1424">IFERROR(INDEX(INVESTOR_LIST[INVESTOR NAME],MATCH(I1424,INVESTOR_LIST[INVESTOR CODE],0),)," ")</f>
        <v>IMTIAJ ARA</v>
      </c>
      <c r="I1424" s="206" t="s">
        <v>693</v>
      </c>
      <c r="J1424" s="165" t="s">
        <v>1112</v>
      </c>
      <c r="L1424" s="205">
        <v>4073.3</v>
      </c>
    </row>
    <row r="1425" spans="1:12" ht="11.25" customHeight="1" x14ac:dyDescent="0.2">
      <c r="A1425" s="226">
        <v>2022</v>
      </c>
      <c r="B1425" s="226">
        <v>7</v>
      </c>
      <c r="C1425" s="226">
        <v>19</v>
      </c>
      <c r="D1425" s="232">
        <f t="shared" si="157"/>
        <v>44761</v>
      </c>
      <c r="E1425" s="234">
        <f t="shared" si="158"/>
        <v>44761</v>
      </c>
      <c r="F1425" s="479"/>
      <c r="G1425" s="227" t="s">
        <v>1111</v>
      </c>
      <c r="H1425" s="228" t="str" cm="1">
        <f t="array" ref="H1425">IFERROR(INDEX(INVESTOR_LIST[INVESTOR NAME],MATCH(I1425,INVESTOR_LIST[INVESTOR CODE],0),)," ")</f>
        <v>IMTIAJ ARA</v>
      </c>
      <c r="I1425" s="228" t="s">
        <v>693</v>
      </c>
      <c r="J1425" s="229" t="s">
        <v>55</v>
      </c>
      <c r="K1425" s="230"/>
      <c r="L1425" s="230">
        <v>403256.7</v>
      </c>
    </row>
    <row r="1426" spans="1:12" ht="11.25" customHeight="1" x14ac:dyDescent="0.2">
      <c r="A1426" s="221">
        <v>2022</v>
      </c>
      <c r="B1426" s="221">
        <v>7</v>
      </c>
      <c r="C1426" s="221">
        <v>19</v>
      </c>
      <c r="D1426" s="231">
        <f t="shared" si="157"/>
        <v>44761</v>
      </c>
      <c r="E1426" s="233">
        <f t="shared" si="158"/>
        <v>44761</v>
      </c>
      <c r="F1426" s="478" t="s">
        <v>1115</v>
      </c>
      <c r="G1426" s="222" t="s">
        <v>1111</v>
      </c>
      <c r="H1426" s="223" t="str" cm="1">
        <f t="array" ref="H1426">IFERROR(INDEX(INVESTOR_LIST[INVESTOR NAME],MATCH(I1426,INVESTOR_LIST[INVESTOR CODE],0),)," ")</f>
        <v>NADIRA AKTER</v>
      </c>
      <c r="I1426" s="223" t="s">
        <v>694</v>
      </c>
      <c r="J1426" s="224" t="s">
        <v>14</v>
      </c>
      <c r="K1426" s="225">
        <v>407330</v>
      </c>
      <c r="L1426" s="225"/>
    </row>
    <row r="1427" spans="1:12" ht="11.25" customHeight="1" x14ac:dyDescent="0.2">
      <c r="A1427" s="164">
        <v>2022</v>
      </c>
      <c r="B1427" s="164">
        <v>7</v>
      </c>
      <c r="C1427" s="164">
        <v>19</v>
      </c>
      <c r="D1427" s="156">
        <f t="shared" si="157"/>
        <v>44761</v>
      </c>
      <c r="E1427" s="235">
        <f t="shared" si="158"/>
        <v>44761</v>
      </c>
      <c r="F1427" s="480"/>
      <c r="G1427" s="208" t="s">
        <v>1111</v>
      </c>
      <c r="H1427" s="206" t="str" cm="1">
        <f t="array" ref="H1427">IFERROR(INDEX(INVESTOR_LIST[INVESTOR NAME],MATCH(I1427,INVESTOR_LIST[INVESTOR CODE],0),)," ")</f>
        <v>NADIRA AKTER</v>
      </c>
      <c r="I1427" s="206" t="s">
        <v>694</v>
      </c>
      <c r="J1427" s="165" t="s">
        <v>1112</v>
      </c>
      <c r="L1427" s="205">
        <v>4073.3</v>
      </c>
    </row>
    <row r="1428" spans="1:12" ht="11.25" customHeight="1" x14ac:dyDescent="0.2">
      <c r="A1428" s="226">
        <v>2022</v>
      </c>
      <c r="B1428" s="226">
        <v>7</v>
      </c>
      <c r="C1428" s="226">
        <v>19</v>
      </c>
      <c r="D1428" s="232">
        <f t="shared" si="157"/>
        <v>44761</v>
      </c>
      <c r="E1428" s="234">
        <f t="shared" si="158"/>
        <v>44761</v>
      </c>
      <c r="F1428" s="479"/>
      <c r="G1428" s="227" t="s">
        <v>1111</v>
      </c>
      <c r="H1428" s="228" t="str" cm="1">
        <f t="array" ref="H1428">IFERROR(INDEX(INVESTOR_LIST[INVESTOR NAME],MATCH(I1428,INVESTOR_LIST[INVESTOR CODE],0),)," ")</f>
        <v>NADIRA AKTER</v>
      </c>
      <c r="I1428" s="228" t="s">
        <v>694</v>
      </c>
      <c r="J1428" s="229" t="s">
        <v>55</v>
      </c>
      <c r="K1428" s="230"/>
      <c r="L1428" s="230">
        <v>403256.7</v>
      </c>
    </row>
    <row r="1429" spans="1:12" ht="11.25" customHeight="1" x14ac:dyDescent="0.2">
      <c r="A1429" s="221">
        <v>2022</v>
      </c>
      <c r="B1429" s="221">
        <v>7</v>
      </c>
      <c r="C1429" s="221">
        <v>19</v>
      </c>
      <c r="D1429" s="231">
        <f t="shared" si="157"/>
        <v>44761</v>
      </c>
      <c r="E1429" s="233">
        <f t="shared" ref="E1429:E1452" si="159">DATE(A1429,B1429,C1429)</f>
        <v>44761</v>
      </c>
      <c r="F1429" s="478" t="s">
        <v>1115</v>
      </c>
      <c r="G1429" s="222" t="s">
        <v>1111</v>
      </c>
      <c r="H1429" s="223" t="str" cm="1">
        <f t="array" ref="H1429">IFERROR(INDEX(INVESTOR_LIST[INVESTOR NAME],MATCH(I1429,INVESTOR_LIST[INVESTOR CODE],0),)," ")</f>
        <v>ROKSABA KASEM</v>
      </c>
      <c r="I1429" s="223" t="s">
        <v>1243</v>
      </c>
      <c r="J1429" s="224" t="s">
        <v>14</v>
      </c>
      <c r="K1429" s="225">
        <v>509160</v>
      </c>
      <c r="L1429" s="225"/>
    </row>
    <row r="1430" spans="1:12" ht="11.25" customHeight="1" x14ac:dyDescent="0.2">
      <c r="A1430" s="164">
        <v>2022</v>
      </c>
      <c r="B1430" s="164">
        <v>7</v>
      </c>
      <c r="C1430" s="164">
        <v>19</v>
      </c>
      <c r="D1430" s="156">
        <f t="shared" si="157"/>
        <v>44761</v>
      </c>
      <c r="E1430" s="235">
        <f t="shared" si="159"/>
        <v>44761</v>
      </c>
      <c r="F1430" s="480"/>
      <c r="G1430" s="208" t="s">
        <v>1111</v>
      </c>
      <c r="H1430" s="206" t="str" cm="1">
        <f t="array" ref="H1430">IFERROR(INDEX(INVESTOR_LIST[INVESTOR NAME],MATCH(I1430,INVESTOR_LIST[INVESTOR CODE],0),)," ")</f>
        <v>ROKSABA KASEM</v>
      </c>
      <c r="I1430" s="206" t="s">
        <v>1243</v>
      </c>
      <c r="J1430" s="165" t="s">
        <v>1112</v>
      </c>
      <c r="L1430" s="205">
        <v>6619.08</v>
      </c>
    </row>
    <row r="1431" spans="1:12" ht="11.25" customHeight="1" x14ac:dyDescent="0.2">
      <c r="A1431" s="226">
        <v>2022</v>
      </c>
      <c r="B1431" s="226">
        <v>7</v>
      </c>
      <c r="C1431" s="226">
        <v>19</v>
      </c>
      <c r="D1431" s="232">
        <f t="shared" si="157"/>
        <v>44761</v>
      </c>
      <c r="E1431" s="234">
        <f t="shared" si="159"/>
        <v>44761</v>
      </c>
      <c r="F1431" s="479"/>
      <c r="G1431" s="227" t="s">
        <v>1111</v>
      </c>
      <c r="H1431" s="228" t="str" cm="1">
        <f t="array" ref="H1431">IFERROR(INDEX(INVESTOR_LIST[INVESTOR NAME],MATCH(I1431,INVESTOR_LIST[INVESTOR CODE],0),)," ")</f>
        <v>ROKSABA KASEM</v>
      </c>
      <c r="I1431" s="228" t="s">
        <v>1243</v>
      </c>
      <c r="J1431" s="229" t="s">
        <v>55</v>
      </c>
      <c r="K1431" s="230"/>
      <c r="L1431" s="230">
        <v>502540.92</v>
      </c>
    </row>
    <row r="1432" spans="1:12" ht="11.25" customHeight="1" x14ac:dyDescent="0.2">
      <c r="A1432" s="221">
        <v>2022</v>
      </c>
      <c r="B1432" s="221">
        <v>7</v>
      </c>
      <c r="C1432" s="221">
        <v>20</v>
      </c>
      <c r="D1432" s="221">
        <f t="shared" si="157"/>
        <v>44762</v>
      </c>
      <c r="E1432" s="233">
        <f t="shared" si="159"/>
        <v>44762</v>
      </c>
      <c r="F1432" s="478" t="s">
        <v>1135</v>
      </c>
      <c r="G1432" s="222" t="s">
        <v>86</v>
      </c>
      <c r="H1432" s="222" t="str" cm="1">
        <f t="array" ref="H1432">IFERROR(INDEX(INVESTOR_LIST[INVESTOR NAME],MATCH(I1432,INVESTOR_LIST[INVESTOR CODE],0),)," ")</f>
        <v xml:space="preserve"> </v>
      </c>
      <c r="I1432" s="223"/>
      <c r="J1432" s="224" t="s">
        <v>80</v>
      </c>
      <c r="K1432" s="225">
        <v>2097203.1</v>
      </c>
      <c r="L1432" s="225"/>
    </row>
    <row r="1433" spans="1:12" ht="11.25" customHeight="1" x14ac:dyDescent="0.2">
      <c r="A1433" s="164">
        <v>2022</v>
      </c>
      <c r="B1433" s="164">
        <v>7</v>
      </c>
      <c r="C1433" s="164">
        <v>20</v>
      </c>
      <c r="D1433" s="164">
        <f t="shared" si="157"/>
        <v>44762</v>
      </c>
      <c r="E1433" s="235">
        <f t="shared" si="159"/>
        <v>44762</v>
      </c>
      <c r="F1433" s="480"/>
      <c r="G1433" s="208" t="s">
        <v>86</v>
      </c>
      <c r="H1433" s="208"/>
      <c r="J1433" s="165" t="s">
        <v>960</v>
      </c>
      <c r="K1433" s="205">
        <v>7608.9699999999993</v>
      </c>
      <c r="L1433" s="205"/>
    </row>
    <row r="1434" spans="1:12" ht="11.25" customHeight="1" x14ac:dyDescent="0.2">
      <c r="A1434" s="164">
        <v>2022</v>
      </c>
      <c r="B1434" s="164">
        <v>7</v>
      </c>
      <c r="C1434" s="164">
        <v>20</v>
      </c>
      <c r="D1434" s="164">
        <f t="shared" si="157"/>
        <v>44762</v>
      </c>
      <c r="E1434" s="235">
        <f t="shared" ref="E1434" si="160">DATE(A1434,B1434,C1434)</f>
        <v>44762</v>
      </c>
      <c r="F1434" s="480"/>
      <c r="G1434" s="208" t="s">
        <v>86</v>
      </c>
      <c r="H1434" s="208"/>
      <c r="J1434" s="165" t="s">
        <v>199</v>
      </c>
      <c r="K1434" s="263">
        <v>25187.93</v>
      </c>
      <c r="L1434" s="205"/>
    </row>
    <row r="1435" spans="1:12" ht="11.25" customHeight="1" x14ac:dyDescent="0.2">
      <c r="A1435" s="164">
        <v>2022</v>
      </c>
      <c r="B1435" s="164">
        <v>7</v>
      </c>
      <c r="C1435" s="164">
        <v>20</v>
      </c>
      <c r="D1435" s="164">
        <f t="shared" si="157"/>
        <v>44762</v>
      </c>
      <c r="E1435" s="235">
        <f t="shared" si="159"/>
        <v>44762</v>
      </c>
      <c r="F1435" s="480"/>
      <c r="G1435" s="208" t="s">
        <v>86</v>
      </c>
      <c r="H1435" s="208"/>
      <c r="J1435" s="165" t="s">
        <v>200</v>
      </c>
      <c r="K1435" s="205"/>
      <c r="L1435" s="205">
        <v>34528.58</v>
      </c>
    </row>
    <row r="1436" spans="1:12" ht="11.25" customHeight="1" x14ac:dyDescent="0.2">
      <c r="A1436" s="226">
        <v>2022</v>
      </c>
      <c r="B1436" s="226">
        <v>7</v>
      </c>
      <c r="C1436" s="226">
        <v>20</v>
      </c>
      <c r="D1436" s="226">
        <f t="shared" si="157"/>
        <v>44762</v>
      </c>
      <c r="E1436" s="234">
        <f t="shared" si="159"/>
        <v>44762</v>
      </c>
      <c r="F1436" s="479"/>
      <c r="G1436" s="227" t="s">
        <v>86</v>
      </c>
      <c r="H1436" s="228" t="str" cm="1">
        <f t="array" ref="H1436">IFERROR(INDEX(INVESTOR_LIST[INVESTOR NAME],MATCH(I1436,INVESTOR_LIST[INVESTOR CODE],0),)," ")</f>
        <v xml:space="preserve"> </v>
      </c>
      <c r="I1436" s="228"/>
      <c r="J1436" s="229" t="s">
        <v>80</v>
      </c>
      <c r="K1436" s="230"/>
      <c r="L1436" s="230">
        <v>2095471.42</v>
      </c>
    </row>
    <row r="1437" spans="1:12" ht="11.25" customHeight="1" x14ac:dyDescent="0.2">
      <c r="A1437" s="164">
        <v>2022</v>
      </c>
      <c r="B1437" s="164">
        <v>7</v>
      </c>
      <c r="C1437" s="164">
        <v>21</v>
      </c>
      <c r="D1437" s="164">
        <f t="shared" si="157"/>
        <v>44763</v>
      </c>
      <c r="E1437" s="235">
        <f t="shared" si="159"/>
        <v>44763</v>
      </c>
      <c r="F1437" s="480" t="s">
        <v>1262</v>
      </c>
      <c r="G1437" s="208" t="s">
        <v>86</v>
      </c>
      <c r="H1437" s="208" t="str" cm="1">
        <f t="array" ref="H1437">IFERROR(INDEX(INVESTOR_LIST[INVESTOR NAME],MATCH(I1437,INVESTOR_LIST[INVESTOR CODE],0),)," ")</f>
        <v xml:space="preserve"> </v>
      </c>
      <c r="J1437" s="165" t="s">
        <v>55</v>
      </c>
      <c r="K1437" s="205">
        <v>3187500</v>
      </c>
      <c r="L1437" s="205"/>
    </row>
    <row r="1438" spans="1:12" ht="11.25" customHeight="1" x14ac:dyDescent="0.2">
      <c r="A1438" s="226">
        <v>2022</v>
      </c>
      <c r="B1438" s="226">
        <v>7</v>
      </c>
      <c r="C1438" s="226">
        <v>21</v>
      </c>
      <c r="D1438" s="226">
        <f t="shared" si="157"/>
        <v>44763</v>
      </c>
      <c r="E1438" s="234">
        <f t="shared" si="159"/>
        <v>44763</v>
      </c>
      <c r="F1438" s="479"/>
      <c r="G1438" s="227" t="s">
        <v>86</v>
      </c>
      <c r="H1438" s="228" t="str" cm="1">
        <f t="array" ref="H1438">IFERROR(INDEX(INVESTOR_LIST[INVESTOR NAME],MATCH(I1438,INVESTOR_LIST[INVESTOR CODE],0),)," ")</f>
        <v xml:space="preserve"> </v>
      </c>
      <c r="I1438" s="228"/>
      <c r="J1438" s="229" t="s">
        <v>196</v>
      </c>
      <c r="K1438" s="230"/>
      <c r="L1438" s="230">
        <v>3187500</v>
      </c>
    </row>
    <row r="1439" spans="1:12" ht="11.25" customHeight="1" x14ac:dyDescent="0.2">
      <c r="A1439" s="236">
        <v>2022</v>
      </c>
      <c r="B1439" s="236">
        <v>7</v>
      </c>
      <c r="C1439" s="236">
        <v>21</v>
      </c>
      <c r="D1439" s="237">
        <f t="shared" si="157"/>
        <v>44763</v>
      </c>
      <c r="E1439" s="238">
        <f t="shared" si="159"/>
        <v>44763</v>
      </c>
      <c r="F1439" s="476" t="s">
        <v>1118</v>
      </c>
      <c r="G1439" s="239" t="s">
        <v>86</v>
      </c>
      <c r="H1439" s="239" t="str" cm="1">
        <f t="array" ref="H1439">IFERROR(INDEX(INVESTOR_LIST[INVESTOR NAME],MATCH(I1439,INVESTOR_LIST[INVESTOR CODE],0),)," ")</f>
        <v xml:space="preserve"> </v>
      </c>
      <c r="I1439" s="240"/>
      <c r="J1439" s="241" t="s">
        <v>82</v>
      </c>
      <c r="K1439" s="242">
        <v>2003061.8799999801</v>
      </c>
      <c r="L1439" s="242"/>
    </row>
    <row r="1440" spans="1:12" ht="11.25" customHeight="1" x14ac:dyDescent="0.2">
      <c r="A1440" s="243">
        <v>2022</v>
      </c>
      <c r="B1440" s="243">
        <v>7</v>
      </c>
      <c r="C1440" s="243">
        <v>21</v>
      </c>
      <c r="D1440" s="248">
        <f t="shared" si="157"/>
        <v>44763</v>
      </c>
      <c r="E1440" s="249">
        <f t="shared" si="159"/>
        <v>44763</v>
      </c>
      <c r="F1440" s="477"/>
      <c r="G1440" s="244" t="s">
        <v>86</v>
      </c>
      <c r="H1440" s="244" t="str" cm="1">
        <f t="array" ref="H1440">IFERROR(INDEX(INVESTOR_LIST[INVESTOR NAME],MATCH(I1440,INVESTOR_LIST[INVESTOR CODE],0),)," ")</f>
        <v xml:space="preserve"> </v>
      </c>
      <c r="I1440" s="245"/>
      <c r="J1440" s="246" t="s">
        <v>98</v>
      </c>
      <c r="K1440" s="247"/>
      <c r="L1440" s="247">
        <v>2003061.8799999801</v>
      </c>
    </row>
    <row r="1441" spans="1:15" ht="11.25" customHeight="1" x14ac:dyDescent="0.2">
      <c r="A1441" s="236">
        <v>2022</v>
      </c>
      <c r="B1441" s="236">
        <v>7</v>
      </c>
      <c r="C1441" s="236">
        <v>21</v>
      </c>
      <c r="D1441" s="237">
        <f t="shared" si="157"/>
        <v>44763</v>
      </c>
      <c r="E1441" s="238">
        <f t="shared" si="159"/>
        <v>44763</v>
      </c>
      <c r="F1441" s="476" t="s">
        <v>1120</v>
      </c>
      <c r="G1441" s="239" t="s">
        <v>86</v>
      </c>
      <c r="H1441" s="239" t="str" cm="1">
        <f t="array" ref="H1441">IFERROR(INDEX(INVESTOR_LIST[INVESTOR NAME],MATCH(I1441,INVESTOR_LIST[INVESTOR CODE],0),)," ")</f>
        <v xml:space="preserve"> </v>
      </c>
      <c r="I1441" s="240"/>
      <c r="J1441" s="241" t="s">
        <v>87</v>
      </c>
      <c r="K1441" s="242">
        <v>2747.2527472527472</v>
      </c>
      <c r="L1441" s="242"/>
    </row>
    <row r="1442" spans="1:15" ht="11.25" customHeight="1" x14ac:dyDescent="0.2">
      <c r="A1442" s="243">
        <v>2022</v>
      </c>
      <c r="B1442" s="243">
        <v>7</v>
      </c>
      <c r="C1442" s="243">
        <v>21</v>
      </c>
      <c r="D1442" s="248">
        <f t="shared" si="157"/>
        <v>44763</v>
      </c>
      <c r="E1442" s="249">
        <f t="shared" si="159"/>
        <v>44763</v>
      </c>
      <c r="F1442" s="477"/>
      <c r="G1442" s="244" t="s">
        <v>86</v>
      </c>
      <c r="H1442" s="244" t="str" cm="1">
        <f t="array" ref="H1442">IFERROR(INDEX(INVESTOR_LIST[INVESTOR NAME],MATCH(I1442,INVESTOR_LIST[INVESTOR CODE],0),)," ")</f>
        <v xml:space="preserve"> </v>
      </c>
      <c r="I1442" s="245"/>
      <c r="J1442" s="246" t="s">
        <v>64</v>
      </c>
      <c r="K1442" s="247"/>
      <c r="L1442" s="247">
        <v>2747.2527472527472</v>
      </c>
    </row>
    <row r="1443" spans="1:15" ht="11.25" customHeight="1" x14ac:dyDescent="0.2">
      <c r="A1443" s="236">
        <v>2022</v>
      </c>
      <c r="B1443" s="236">
        <v>7</v>
      </c>
      <c r="C1443" s="236">
        <v>21</v>
      </c>
      <c r="D1443" s="237">
        <f t="shared" si="157"/>
        <v>44763</v>
      </c>
      <c r="E1443" s="238">
        <f t="shared" si="159"/>
        <v>44763</v>
      </c>
      <c r="F1443" s="476" t="s">
        <v>1121</v>
      </c>
      <c r="G1443" s="239" t="s">
        <v>86</v>
      </c>
      <c r="H1443" s="239" t="str" cm="1">
        <f t="array" ref="H1443">IFERROR(INDEX(INVESTOR_LIST[INVESTOR NAME],MATCH(I1443,INVESTOR_LIST[INVESTOR CODE],0),)," ")</f>
        <v xml:space="preserve"> </v>
      </c>
      <c r="I1443" s="240"/>
      <c r="J1443" s="241" t="s">
        <v>89</v>
      </c>
      <c r="K1443" s="242">
        <v>96505.308113996405</v>
      </c>
      <c r="L1443" s="242"/>
    </row>
    <row r="1444" spans="1:15" ht="11.25" customHeight="1" x14ac:dyDescent="0.2">
      <c r="A1444" s="243">
        <v>2022</v>
      </c>
      <c r="B1444" s="243">
        <v>7</v>
      </c>
      <c r="C1444" s="243">
        <v>21</v>
      </c>
      <c r="D1444" s="248">
        <f t="shared" si="157"/>
        <v>44763</v>
      </c>
      <c r="E1444" s="249">
        <f t="shared" si="159"/>
        <v>44763</v>
      </c>
      <c r="F1444" s="477"/>
      <c r="G1444" s="244" t="s">
        <v>86</v>
      </c>
      <c r="H1444" s="244" t="str" cm="1">
        <f t="array" ref="H1444">IFERROR(INDEX(INVESTOR_LIST[INVESTOR NAME],MATCH(I1444,INVESTOR_LIST[INVESTOR CODE],0),)," ")</f>
        <v xml:space="preserve"> </v>
      </c>
      <c r="I1444" s="245"/>
      <c r="J1444" s="246" t="s">
        <v>50</v>
      </c>
      <c r="K1444" s="247"/>
      <c r="L1444" s="247">
        <v>96505.308113996405</v>
      </c>
    </row>
    <row r="1445" spans="1:15" ht="11.25" customHeight="1" x14ac:dyDescent="0.2">
      <c r="A1445" s="236">
        <v>2022</v>
      </c>
      <c r="B1445" s="236">
        <v>7</v>
      </c>
      <c r="C1445" s="236">
        <v>21</v>
      </c>
      <c r="D1445" s="237">
        <f t="shared" si="157"/>
        <v>44763</v>
      </c>
      <c r="E1445" s="238">
        <f t="shared" si="159"/>
        <v>44763</v>
      </c>
      <c r="F1445" s="476" t="s">
        <v>1122</v>
      </c>
      <c r="G1445" s="239" t="s">
        <v>86</v>
      </c>
      <c r="H1445" s="239" t="str" cm="1">
        <f t="array" ref="H1445">IFERROR(INDEX(INVESTOR_LIST[INVESTOR NAME],MATCH(I1445,INVESTOR_LIST[INVESTOR CODE],0),)," ")</f>
        <v xml:space="preserve"> </v>
      </c>
      <c r="I1445" s="240"/>
      <c r="J1445" s="241" t="s">
        <v>91</v>
      </c>
      <c r="K1445" s="242">
        <v>4584.8807903152046</v>
      </c>
      <c r="L1445" s="242"/>
    </row>
    <row r="1446" spans="1:15" ht="11.25" customHeight="1" x14ac:dyDescent="0.2">
      <c r="A1446" s="243">
        <v>2022</v>
      </c>
      <c r="B1446" s="243">
        <v>7</v>
      </c>
      <c r="C1446" s="243">
        <v>21</v>
      </c>
      <c r="D1446" s="248">
        <f t="shared" si="157"/>
        <v>44763</v>
      </c>
      <c r="E1446" s="249">
        <f t="shared" si="159"/>
        <v>44763</v>
      </c>
      <c r="F1446" s="477"/>
      <c r="G1446" s="244" t="s">
        <v>86</v>
      </c>
      <c r="H1446" s="244" t="str" cm="1">
        <f t="array" ref="H1446">IFERROR(INDEX(INVESTOR_LIST[INVESTOR NAME],MATCH(I1446,INVESTOR_LIST[INVESTOR CODE],0),)," ")</f>
        <v xml:space="preserve"> </v>
      </c>
      <c r="I1446" s="245"/>
      <c r="J1446" s="246" t="s">
        <v>51</v>
      </c>
      <c r="K1446" s="247"/>
      <c r="L1446" s="247">
        <v>4584.8807903152046</v>
      </c>
    </row>
    <row r="1447" spans="1:15" ht="11.25" customHeight="1" x14ac:dyDescent="0.2">
      <c r="A1447" s="221">
        <v>2022</v>
      </c>
      <c r="B1447" s="221">
        <v>7</v>
      </c>
      <c r="C1447" s="221">
        <v>24</v>
      </c>
      <c r="D1447" s="231">
        <f t="shared" si="157"/>
        <v>44766</v>
      </c>
      <c r="E1447" s="233">
        <f t="shared" si="159"/>
        <v>44766</v>
      </c>
      <c r="F1447" s="478" t="s">
        <v>1178</v>
      </c>
      <c r="G1447" s="222" t="s">
        <v>1111</v>
      </c>
      <c r="H1447" s="223" t="str" cm="1">
        <f t="array" ref="H1447">IFERROR(INDEX(INVESTOR_LIST[INVESTOR NAME],MATCH(I1447,INVESTOR_LIST[INVESTOR CODE],0),)," ")</f>
        <v xml:space="preserve"> </v>
      </c>
      <c r="I1447" s="223"/>
      <c r="J1447" s="224" t="s">
        <v>189</v>
      </c>
      <c r="K1447" s="225">
        <v>9000</v>
      </c>
      <c r="L1447" s="225"/>
      <c r="O1447" s="166"/>
    </row>
    <row r="1448" spans="1:15" ht="11.25" customHeight="1" x14ac:dyDescent="0.2">
      <c r="A1448" s="226">
        <v>2022</v>
      </c>
      <c r="B1448" s="226">
        <v>7</v>
      </c>
      <c r="C1448" s="226">
        <v>24</v>
      </c>
      <c r="D1448" s="232">
        <f t="shared" si="157"/>
        <v>44766</v>
      </c>
      <c r="E1448" s="234">
        <f t="shared" si="159"/>
        <v>44766</v>
      </c>
      <c r="F1448" s="479"/>
      <c r="G1448" s="227" t="s">
        <v>1111</v>
      </c>
      <c r="H1448" s="228" t="str" cm="1">
        <f t="array" ref="H1448">IFERROR(INDEX(INVESTOR_LIST[INVESTOR NAME],MATCH(I1448,INVESTOR_LIST[INVESTOR CODE],0),)," ")</f>
        <v xml:space="preserve"> </v>
      </c>
      <c r="I1448" s="228"/>
      <c r="J1448" s="229" t="s">
        <v>55</v>
      </c>
      <c r="K1448" s="230"/>
      <c r="L1448" s="230">
        <v>9000</v>
      </c>
    </row>
    <row r="1449" spans="1:15" ht="11.25" customHeight="1" x14ac:dyDescent="0.2">
      <c r="A1449" s="221">
        <v>2022</v>
      </c>
      <c r="B1449" s="221">
        <v>7</v>
      </c>
      <c r="C1449" s="221">
        <v>24</v>
      </c>
      <c r="D1449" s="231">
        <f t="shared" si="157"/>
        <v>44766</v>
      </c>
      <c r="E1449" s="233">
        <f t="shared" si="159"/>
        <v>44766</v>
      </c>
      <c r="F1449" s="478" t="s">
        <v>1265</v>
      </c>
      <c r="G1449" s="222" t="s">
        <v>1111</v>
      </c>
      <c r="H1449" s="223" t="str" cm="1">
        <f t="array" ref="H1449">IFERROR(INDEX(INVESTOR_LIST[INVESTOR NAME],MATCH(I1449,INVESTOR_LIST[INVESTOR CODE],0),)," ")</f>
        <v xml:space="preserve"> </v>
      </c>
      <c r="I1449" s="223"/>
      <c r="J1449" s="224" t="s">
        <v>55</v>
      </c>
      <c r="K1449" s="225">
        <v>270000</v>
      </c>
      <c r="L1449" s="225"/>
    </row>
    <row r="1450" spans="1:15" ht="11.25" customHeight="1" x14ac:dyDescent="0.2">
      <c r="A1450" s="226">
        <v>2022</v>
      </c>
      <c r="B1450" s="226">
        <v>7</v>
      </c>
      <c r="C1450" s="226">
        <v>24</v>
      </c>
      <c r="D1450" s="232">
        <f t="shared" si="157"/>
        <v>44766</v>
      </c>
      <c r="E1450" s="234">
        <f t="shared" si="159"/>
        <v>44766</v>
      </c>
      <c r="F1450" s="479"/>
      <c r="G1450" s="227" t="s">
        <v>1111</v>
      </c>
      <c r="H1450" s="228" t="str" cm="1">
        <f t="array" ref="H1450">IFERROR(INDEX(INVESTOR_LIST[INVESTOR NAME],MATCH(I1450,INVESTOR_LIST[INVESTOR CODE],0),)," ")</f>
        <v xml:space="preserve"> </v>
      </c>
      <c r="I1450" s="228"/>
      <c r="J1450" s="229" t="s">
        <v>192</v>
      </c>
      <c r="K1450" s="230"/>
      <c r="L1450" s="230">
        <v>270000</v>
      </c>
    </row>
    <row r="1451" spans="1:15" ht="11.25" customHeight="1" x14ac:dyDescent="0.2">
      <c r="A1451" s="221">
        <v>2022</v>
      </c>
      <c r="B1451" s="221">
        <v>7</v>
      </c>
      <c r="C1451" s="221">
        <v>25</v>
      </c>
      <c r="D1451" s="231">
        <f t="shared" si="157"/>
        <v>44767</v>
      </c>
      <c r="E1451" s="233">
        <f t="shared" si="159"/>
        <v>44767</v>
      </c>
      <c r="F1451" s="478" t="s">
        <v>1164</v>
      </c>
      <c r="G1451" s="222" t="s">
        <v>1111</v>
      </c>
      <c r="H1451" s="223" t="str" cm="1">
        <f t="array" ref="H1451">IFERROR(INDEX(INVESTOR_LIST[INVESTOR NAME],MATCH(I1451,INVESTOR_LIST[INVESTOR CODE],0),)," ")</f>
        <v xml:space="preserve"> </v>
      </c>
      <c r="I1451" s="223"/>
      <c r="J1451" s="224" t="s">
        <v>55</v>
      </c>
      <c r="K1451" s="225">
        <v>25187.93</v>
      </c>
      <c r="L1451" s="225"/>
    </row>
    <row r="1452" spans="1:15" ht="11.25" customHeight="1" x14ac:dyDescent="0.2">
      <c r="A1452" s="226">
        <v>2022</v>
      </c>
      <c r="B1452" s="226">
        <v>7</v>
      </c>
      <c r="C1452" s="226">
        <v>25</v>
      </c>
      <c r="D1452" s="232">
        <f t="shared" si="157"/>
        <v>44767</v>
      </c>
      <c r="E1452" s="234">
        <f t="shared" si="159"/>
        <v>44767</v>
      </c>
      <c r="F1452" s="479"/>
      <c r="G1452" s="227" t="s">
        <v>1111</v>
      </c>
      <c r="H1452" s="228" t="str" cm="1">
        <f t="array" ref="H1452">IFERROR(INDEX(INVESTOR_LIST[INVESTOR NAME],MATCH(I1452,INVESTOR_LIST[INVESTOR CODE],0),)," ")</f>
        <v xml:space="preserve"> </v>
      </c>
      <c r="I1452" s="228"/>
      <c r="J1452" s="229" t="s">
        <v>199</v>
      </c>
      <c r="K1452" s="230"/>
      <c r="L1452" s="230">
        <v>25187.93</v>
      </c>
    </row>
    <row r="1453" spans="1:15" ht="11.25" customHeight="1" x14ac:dyDescent="0.2">
      <c r="A1453" s="221">
        <v>2022</v>
      </c>
      <c r="B1453" s="221">
        <v>7</v>
      </c>
      <c r="C1453" s="221">
        <v>26</v>
      </c>
      <c r="D1453" s="231">
        <f t="shared" si="157"/>
        <v>44768</v>
      </c>
      <c r="E1453" s="233">
        <f t="shared" ref="E1453:E1455" si="161">DATE(A1453,B1453,C1453)</f>
        <v>44768</v>
      </c>
      <c r="F1453" s="478" t="s">
        <v>1115</v>
      </c>
      <c r="G1453" s="222" t="s">
        <v>1111</v>
      </c>
      <c r="H1453" s="223" t="str" cm="1">
        <f t="array" ref="H1453">IFERROR(INDEX(INVESTOR_LIST[INVESTOR NAME],MATCH(I1453,INVESTOR_LIST[INVESTOR CODE],0),)," ")</f>
        <v>MOHAMMAD MOHIBUL ISLAM</v>
      </c>
      <c r="I1453" s="223" t="s">
        <v>430</v>
      </c>
      <c r="J1453" s="224" t="s">
        <v>14</v>
      </c>
      <c r="K1453" s="225">
        <v>61100</v>
      </c>
      <c r="L1453" s="225"/>
    </row>
    <row r="1454" spans="1:15" ht="11.25" customHeight="1" x14ac:dyDescent="0.2">
      <c r="A1454" s="164">
        <v>2022</v>
      </c>
      <c r="B1454" s="164">
        <v>7</v>
      </c>
      <c r="C1454" s="164">
        <v>26</v>
      </c>
      <c r="D1454" s="156">
        <f t="shared" si="157"/>
        <v>44768</v>
      </c>
      <c r="E1454" s="235">
        <f t="shared" si="161"/>
        <v>44768</v>
      </c>
      <c r="F1454" s="480"/>
      <c r="G1454" s="208" t="s">
        <v>1111</v>
      </c>
      <c r="H1454" s="206" t="str" cm="1">
        <f t="array" ref="H1454">IFERROR(INDEX(INVESTOR_LIST[INVESTOR NAME],MATCH(I1454,INVESTOR_LIST[INVESTOR CODE],0),)," ")</f>
        <v>MOHAMMAD MOHIBUL ISLAM</v>
      </c>
      <c r="I1454" s="206" t="s">
        <v>430</v>
      </c>
      <c r="J1454" s="165" t="s">
        <v>1112</v>
      </c>
      <c r="L1454" s="205">
        <v>1283.0999999999985</v>
      </c>
    </row>
    <row r="1455" spans="1:15" ht="11.25" customHeight="1" x14ac:dyDescent="0.2">
      <c r="A1455" s="226">
        <v>2022</v>
      </c>
      <c r="B1455" s="226">
        <v>7</v>
      </c>
      <c r="C1455" s="226">
        <v>26</v>
      </c>
      <c r="D1455" s="232">
        <f t="shared" si="157"/>
        <v>44768</v>
      </c>
      <c r="E1455" s="234">
        <f t="shared" si="161"/>
        <v>44768</v>
      </c>
      <c r="F1455" s="479"/>
      <c r="G1455" s="227" t="s">
        <v>1111</v>
      </c>
      <c r="H1455" s="228" t="str" cm="1">
        <f t="array" ref="H1455">IFERROR(INDEX(INVESTOR_LIST[INVESTOR NAME],MATCH(I1455,INVESTOR_LIST[INVESTOR CODE],0),)," ")</f>
        <v>MOHAMMAD MOHIBUL ISLAM</v>
      </c>
      <c r="I1455" s="228" t="s">
        <v>430</v>
      </c>
      <c r="J1455" s="229" t="s">
        <v>55</v>
      </c>
      <c r="K1455" s="230"/>
      <c r="L1455" s="230">
        <v>59816.9</v>
      </c>
    </row>
    <row r="1456" spans="1:15" ht="11.25" customHeight="1" x14ac:dyDescent="0.2">
      <c r="A1456" s="221">
        <v>2022</v>
      </c>
      <c r="B1456" s="221">
        <v>7</v>
      </c>
      <c r="C1456" s="221">
        <v>26</v>
      </c>
      <c r="D1456" s="231">
        <f t="shared" si="157"/>
        <v>44768</v>
      </c>
      <c r="E1456" s="233">
        <f t="shared" ref="E1456:E1460" si="162">DATE(A1456,B1456,C1456)</f>
        <v>44768</v>
      </c>
      <c r="F1456" s="478" t="s">
        <v>1115</v>
      </c>
      <c r="G1456" s="222" t="s">
        <v>1111</v>
      </c>
      <c r="H1456" s="223" t="str" cm="1">
        <f t="array" ref="H1456">IFERROR(INDEX(INVESTOR_LIST[INVESTOR NAME],MATCH(I1456,INVESTOR_LIST[INVESTOR CODE],0),)," ")</f>
        <v>NITYANANDA BISWAS</v>
      </c>
      <c r="I1456" s="223" t="s">
        <v>657</v>
      </c>
      <c r="J1456" s="224" t="s">
        <v>14</v>
      </c>
      <c r="K1456" s="225">
        <v>45820</v>
      </c>
      <c r="L1456" s="225"/>
    </row>
    <row r="1457" spans="1:13" ht="11.25" customHeight="1" x14ac:dyDescent="0.2">
      <c r="A1457" s="164">
        <v>2022</v>
      </c>
      <c r="B1457" s="164">
        <v>7</v>
      </c>
      <c r="C1457" s="164">
        <v>26</v>
      </c>
      <c r="D1457" s="156">
        <f t="shared" si="157"/>
        <v>44768</v>
      </c>
      <c r="E1457" s="235">
        <f t="shared" si="162"/>
        <v>44768</v>
      </c>
      <c r="F1457" s="480"/>
      <c r="G1457" s="208" t="s">
        <v>1111</v>
      </c>
      <c r="H1457" s="206" t="str" cm="1">
        <f t="array" ref="H1457">IFERROR(INDEX(INVESTOR_LIST[INVESTOR NAME],MATCH(I1457,INVESTOR_LIST[INVESTOR CODE],0),)," ")</f>
        <v>NITYANANDA BISWAS</v>
      </c>
      <c r="I1457" s="206" t="s">
        <v>657</v>
      </c>
      <c r="J1457" s="165" t="s">
        <v>1112</v>
      </c>
      <c r="L1457" s="205">
        <v>962.22</v>
      </c>
    </row>
    <row r="1458" spans="1:13" ht="11.25" customHeight="1" x14ac:dyDescent="0.2">
      <c r="A1458" s="226">
        <v>2022</v>
      </c>
      <c r="B1458" s="226">
        <v>7</v>
      </c>
      <c r="C1458" s="226">
        <v>26</v>
      </c>
      <c r="D1458" s="232">
        <f t="shared" si="157"/>
        <v>44768</v>
      </c>
      <c r="E1458" s="234">
        <f t="shared" si="162"/>
        <v>44768</v>
      </c>
      <c r="F1458" s="479"/>
      <c r="G1458" s="227" t="s">
        <v>1111</v>
      </c>
      <c r="H1458" s="228" t="str" cm="1">
        <f t="array" ref="H1458">IFERROR(INDEX(INVESTOR_LIST[INVESTOR NAME],MATCH(I1458,INVESTOR_LIST[INVESTOR CODE],0),)," ")</f>
        <v>NITYANANDA BISWAS</v>
      </c>
      <c r="I1458" s="228" t="s">
        <v>657</v>
      </c>
      <c r="J1458" s="229" t="s">
        <v>55</v>
      </c>
      <c r="K1458" s="230"/>
      <c r="L1458" s="230">
        <v>44857.78</v>
      </c>
    </row>
    <row r="1459" spans="1:13" ht="11.25" customHeight="1" x14ac:dyDescent="0.2">
      <c r="A1459" s="221">
        <v>2022</v>
      </c>
      <c r="B1459" s="221">
        <v>7</v>
      </c>
      <c r="C1459" s="221">
        <v>26</v>
      </c>
      <c r="D1459" s="231">
        <f t="shared" si="157"/>
        <v>44768</v>
      </c>
      <c r="E1459" s="233">
        <f t="shared" si="162"/>
        <v>44768</v>
      </c>
      <c r="F1459" s="478" t="s">
        <v>1264</v>
      </c>
      <c r="G1459" s="222" t="s">
        <v>1111</v>
      </c>
      <c r="H1459" s="223" t="str" cm="1">
        <f t="array" ref="H1459">IFERROR(INDEX(INVESTOR_LIST[INVESTOR NAME],MATCH(I1459,INVESTOR_LIST[INVESTOR CODE],0),)," ")</f>
        <v xml:space="preserve"> </v>
      </c>
      <c r="I1459" s="223"/>
      <c r="J1459" s="224" t="s">
        <v>63</v>
      </c>
      <c r="K1459" s="225">
        <v>920</v>
      </c>
      <c r="L1459" s="225"/>
    </row>
    <row r="1460" spans="1:13" ht="11.25" customHeight="1" x14ac:dyDescent="0.2">
      <c r="A1460" s="226">
        <v>2022</v>
      </c>
      <c r="B1460" s="226">
        <v>7</v>
      </c>
      <c r="C1460" s="226">
        <v>26</v>
      </c>
      <c r="D1460" s="232">
        <f t="shared" si="157"/>
        <v>44768</v>
      </c>
      <c r="E1460" s="234">
        <f t="shared" si="162"/>
        <v>44768</v>
      </c>
      <c r="F1460" s="479"/>
      <c r="G1460" s="227" t="s">
        <v>1111</v>
      </c>
      <c r="H1460" s="228" t="str" cm="1">
        <f t="array" ref="H1460">IFERROR(INDEX(INVESTOR_LIST[INVESTOR NAME],MATCH(I1460,INVESTOR_LIST[INVESTOR CODE],0),)," ")</f>
        <v xml:space="preserve"> </v>
      </c>
      <c r="I1460" s="228"/>
      <c r="J1460" s="229" t="s">
        <v>55</v>
      </c>
      <c r="K1460" s="230"/>
      <c r="L1460" s="230">
        <v>920</v>
      </c>
    </row>
    <row r="1461" spans="1:13" ht="11.25" customHeight="1" x14ac:dyDescent="0.2">
      <c r="A1461" s="221">
        <v>2022</v>
      </c>
      <c r="B1461" s="221">
        <v>7</v>
      </c>
      <c r="C1461" s="221">
        <v>26</v>
      </c>
      <c r="D1461" s="231">
        <f t="shared" si="157"/>
        <v>44768</v>
      </c>
      <c r="E1461" s="233">
        <f t="shared" ref="E1461:E1465" si="163">DATE(A1461,B1461,C1461)</f>
        <v>44768</v>
      </c>
      <c r="F1461" s="478" t="s">
        <v>1264</v>
      </c>
      <c r="G1461" s="222" t="s">
        <v>1111</v>
      </c>
      <c r="H1461" s="223" t="str" cm="1">
        <f t="array" ref="H1461">IFERROR(INDEX(INVESTOR_LIST[INVESTOR NAME],MATCH(I1461,INVESTOR_LIST[INVESTOR CODE],0),)," ")</f>
        <v xml:space="preserve"> </v>
      </c>
      <c r="I1461" s="223"/>
      <c r="J1461" s="224" t="s">
        <v>63</v>
      </c>
      <c r="K1461" s="225">
        <v>920</v>
      </c>
      <c r="L1461" s="225"/>
    </row>
    <row r="1462" spans="1:13" ht="11.25" customHeight="1" x14ac:dyDescent="0.2">
      <c r="A1462" s="226">
        <v>2022</v>
      </c>
      <c r="B1462" s="226">
        <v>7</v>
      </c>
      <c r="C1462" s="226">
        <v>26</v>
      </c>
      <c r="D1462" s="232">
        <f t="shared" si="157"/>
        <v>44768</v>
      </c>
      <c r="E1462" s="234">
        <f t="shared" si="163"/>
        <v>44768</v>
      </c>
      <c r="F1462" s="479"/>
      <c r="G1462" s="227" t="s">
        <v>1111</v>
      </c>
      <c r="H1462" s="228" t="str" cm="1">
        <f t="array" ref="H1462">IFERROR(INDEX(INVESTOR_LIST[INVESTOR NAME],MATCH(I1462,INVESTOR_LIST[INVESTOR CODE],0),)," ")</f>
        <v xml:space="preserve"> </v>
      </c>
      <c r="I1462" s="228"/>
      <c r="J1462" s="229" t="s">
        <v>55</v>
      </c>
      <c r="K1462" s="230"/>
      <c r="L1462" s="230">
        <v>920</v>
      </c>
    </row>
    <row r="1463" spans="1:13" ht="11.25" customHeight="1" x14ac:dyDescent="0.2">
      <c r="A1463" s="221">
        <v>2022</v>
      </c>
      <c r="B1463" s="221">
        <v>7</v>
      </c>
      <c r="C1463" s="221">
        <v>26</v>
      </c>
      <c r="D1463" s="231">
        <f t="shared" si="157"/>
        <v>44768</v>
      </c>
      <c r="E1463" s="233">
        <f t="shared" si="163"/>
        <v>44768</v>
      </c>
      <c r="F1463" s="478" t="s">
        <v>1132</v>
      </c>
      <c r="G1463" s="222" t="s">
        <v>1111</v>
      </c>
      <c r="H1463" s="223" t="str" cm="1">
        <f t="array" ref="H1463">IFERROR(INDEX(INVESTOR_LIST[INVESTOR NAME],MATCH(I1463,INVESTOR_LIST[INVESTOR CODE],0),)," ")</f>
        <v xml:space="preserve"> </v>
      </c>
      <c r="I1463" s="223"/>
      <c r="J1463" s="224" t="s">
        <v>55</v>
      </c>
      <c r="K1463" s="225">
        <v>33000</v>
      </c>
      <c r="L1463" s="225"/>
    </row>
    <row r="1464" spans="1:13" ht="11.25" customHeight="1" x14ac:dyDescent="0.2">
      <c r="A1464" s="164">
        <v>2022</v>
      </c>
      <c r="B1464" s="164">
        <v>7</v>
      </c>
      <c r="C1464" s="164">
        <v>26</v>
      </c>
      <c r="D1464" s="156">
        <f t="shared" si="157"/>
        <v>44768</v>
      </c>
      <c r="E1464" s="235">
        <f t="shared" si="163"/>
        <v>44768</v>
      </c>
      <c r="F1464" s="480"/>
      <c r="G1464" s="208" t="s">
        <v>1111</v>
      </c>
      <c r="H1464" s="206" t="str" cm="1">
        <f t="array" ref="H1464">IFERROR(INDEX(INVESTOR_LIST[INVESTOR NAME],MATCH(I1464,INVESTOR_LIST[INVESTOR CODE],0),)," ")</f>
        <v xml:space="preserve"> </v>
      </c>
      <c r="J1464" s="165" t="s">
        <v>1112</v>
      </c>
      <c r="K1464" s="205">
        <v>720</v>
      </c>
      <c r="L1464" s="205"/>
      <c r="M1464" s="166"/>
    </row>
    <row r="1465" spans="1:13" ht="11.25" customHeight="1" x14ac:dyDescent="0.2">
      <c r="A1465" s="226">
        <v>2022</v>
      </c>
      <c r="B1465" s="226">
        <v>7</v>
      </c>
      <c r="C1465" s="226">
        <v>26</v>
      </c>
      <c r="D1465" s="232">
        <f t="shared" si="157"/>
        <v>44768</v>
      </c>
      <c r="E1465" s="234">
        <f t="shared" si="163"/>
        <v>44768</v>
      </c>
      <c r="F1465" s="479"/>
      <c r="G1465" s="227" t="s">
        <v>1111</v>
      </c>
      <c r="H1465" s="228" t="str" cm="1">
        <f t="array" ref="H1465">IFERROR(INDEX(INVESTOR_LIST[INVESTOR NAME],MATCH(I1465,INVESTOR_LIST[INVESTOR CODE],0),)," ")</f>
        <v xml:space="preserve"> </v>
      </c>
      <c r="I1465" s="228"/>
      <c r="J1465" s="229" t="s">
        <v>14</v>
      </c>
      <c r="K1465" s="230"/>
      <c r="L1465" s="230">
        <v>33720</v>
      </c>
    </row>
    <row r="1466" spans="1:13" ht="11.25" customHeight="1" x14ac:dyDescent="0.2">
      <c r="A1466" s="221">
        <v>2022</v>
      </c>
      <c r="B1466" s="221">
        <v>7</v>
      </c>
      <c r="C1466" s="221">
        <v>27</v>
      </c>
      <c r="D1466" s="221">
        <f t="shared" si="157"/>
        <v>44769</v>
      </c>
      <c r="E1466" s="233">
        <f>DATE(A1466,B1466,C1466)</f>
        <v>44769</v>
      </c>
      <c r="F1466" s="478" t="s">
        <v>1263</v>
      </c>
      <c r="G1466" s="222" t="s">
        <v>86</v>
      </c>
      <c r="H1466" s="222" t="str" cm="1">
        <f t="array" ref="H1466">IFERROR(INDEX(INVESTOR_LIST[INVESTOR NAME],MATCH(I1466,INVESTOR_LIST[INVESTOR CODE],0),)," ")</f>
        <v xml:space="preserve"> </v>
      </c>
      <c r="I1466" s="223"/>
      <c r="J1466" s="224" t="s">
        <v>199</v>
      </c>
      <c r="K1466" s="225">
        <v>332266.74</v>
      </c>
      <c r="L1466" s="225"/>
    </row>
    <row r="1467" spans="1:13" ht="11.25" customHeight="1" x14ac:dyDescent="0.2">
      <c r="A1467" s="164">
        <v>2022</v>
      </c>
      <c r="B1467" s="164">
        <v>7</v>
      </c>
      <c r="C1467" s="164">
        <v>27</v>
      </c>
      <c r="D1467" s="164">
        <f t="shared" si="157"/>
        <v>44769</v>
      </c>
      <c r="E1467" s="235">
        <f>DATE(A1467,B1467,C1467)</f>
        <v>44769</v>
      </c>
      <c r="F1467" s="480"/>
      <c r="G1467" s="208" t="s">
        <v>86</v>
      </c>
      <c r="H1467" s="208"/>
      <c r="J1467" s="165" t="s">
        <v>960</v>
      </c>
      <c r="K1467" s="205">
        <v>599.16</v>
      </c>
      <c r="L1467" s="205"/>
    </row>
    <row r="1468" spans="1:13" ht="11.25" customHeight="1" x14ac:dyDescent="0.2">
      <c r="A1468" s="164">
        <v>2022</v>
      </c>
      <c r="B1468" s="164">
        <v>7</v>
      </c>
      <c r="C1468" s="164">
        <v>27</v>
      </c>
      <c r="D1468" s="164">
        <f t="shared" si="157"/>
        <v>44769</v>
      </c>
      <c r="E1468" s="235">
        <f>DATE(A1468,B1468,C1468)</f>
        <v>44769</v>
      </c>
      <c r="F1468" s="480"/>
      <c r="G1468" s="208" t="s">
        <v>86</v>
      </c>
      <c r="H1468" s="208"/>
      <c r="J1468" s="165" t="s">
        <v>200</v>
      </c>
      <c r="K1468" s="205"/>
      <c r="L1468" s="205">
        <v>259755.9</v>
      </c>
    </row>
    <row r="1469" spans="1:13" ht="11.25" customHeight="1" x14ac:dyDescent="0.2">
      <c r="A1469" s="226">
        <v>2022</v>
      </c>
      <c r="B1469" s="226">
        <v>7</v>
      </c>
      <c r="C1469" s="226">
        <v>27</v>
      </c>
      <c r="D1469" s="226">
        <f t="shared" si="157"/>
        <v>44769</v>
      </c>
      <c r="E1469" s="234">
        <f>DATE(A1469,B1469,C1469)</f>
        <v>44769</v>
      </c>
      <c r="F1469" s="479"/>
      <c r="G1469" s="227" t="s">
        <v>86</v>
      </c>
      <c r="H1469" s="228" t="str" cm="1">
        <f t="array" ref="H1469">IFERROR(INDEX(INVESTOR_LIST[INVESTOR NAME],MATCH(I1469,INVESTOR_LIST[INVESTOR CODE],0),)," ")</f>
        <v xml:space="preserve"> </v>
      </c>
      <c r="I1469" s="228"/>
      <c r="J1469" s="229" t="s">
        <v>80</v>
      </c>
      <c r="K1469" s="230"/>
      <c r="L1469" s="230">
        <v>73110</v>
      </c>
    </row>
    <row r="1470" spans="1:13" ht="11.25" customHeight="1" x14ac:dyDescent="0.2">
      <c r="A1470" s="221">
        <v>2022</v>
      </c>
      <c r="B1470" s="221">
        <v>7</v>
      </c>
      <c r="C1470" s="221">
        <v>28</v>
      </c>
      <c r="D1470" s="221">
        <f t="shared" si="157"/>
        <v>44770</v>
      </c>
      <c r="E1470" s="233">
        <f t="shared" ref="E1470:E1487" si="164">DATE(A1470,B1470,C1470)</f>
        <v>44770</v>
      </c>
      <c r="F1470" s="478" t="s">
        <v>1263</v>
      </c>
      <c r="G1470" s="222" t="s">
        <v>86</v>
      </c>
      <c r="H1470" s="222" t="str" cm="1">
        <f t="array" ref="H1470">IFERROR(INDEX(INVESTOR_LIST[INVESTOR NAME],MATCH(I1470,INVESTOR_LIST[INVESTOR CODE],0),)," ")</f>
        <v xml:space="preserve"> </v>
      </c>
      <c r="I1470" s="223"/>
      <c r="J1470" s="224" t="s">
        <v>80</v>
      </c>
      <c r="K1470" s="225">
        <v>3070084.7</v>
      </c>
      <c r="L1470" s="225"/>
    </row>
    <row r="1471" spans="1:13" ht="11.25" customHeight="1" x14ac:dyDescent="0.2">
      <c r="A1471" s="164">
        <v>2022</v>
      </c>
      <c r="B1471" s="164">
        <v>7</v>
      </c>
      <c r="C1471" s="164">
        <v>28</v>
      </c>
      <c r="D1471" s="164">
        <f t="shared" si="157"/>
        <v>44770</v>
      </c>
      <c r="E1471" s="235">
        <f t="shared" si="164"/>
        <v>44770</v>
      </c>
      <c r="F1471" s="480"/>
      <c r="G1471" s="208" t="s">
        <v>86</v>
      </c>
      <c r="H1471" s="208"/>
      <c r="J1471" s="165" t="s">
        <v>960</v>
      </c>
      <c r="K1471" s="205">
        <v>11187.029999999999</v>
      </c>
      <c r="L1471" s="205"/>
    </row>
    <row r="1472" spans="1:13" ht="11.25" customHeight="1" x14ac:dyDescent="0.2">
      <c r="A1472" s="164">
        <v>2022</v>
      </c>
      <c r="B1472" s="164">
        <v>7</v>
      </c>
      <c r="C1472" s="164">
        <v>28</v>
      </c>
      <c r="D1472" s="164">
        <f t="shared" si="157"/>
        <v>44770</v>
      </c>
      <c r="E1472" s="235">
        <f t="shared" si="164"/>
        <v>44770</v>
      </c>
      <c r="F1472" s="480"/>
      <c r="G1472" s="208" t="s">
        <v>86</v>
      </c>
      <c r="H1472" s="208"/>
      <c r="J1472" s="165" t="s">
        <v>199</v>
      </c>
      <c r="K1472" s="263">
        <v>63662.57</v>
      </c>
      <c r="L1472" s="205"/>
    </row>
    <row r="1473" spans="1:12" ht="11.25" customHeight="1" x14ac:dyDescent="0.2">
      <c r="A1473" s="164">
        <v>2022</v>
      </c>
      <c r="B1473" s="164">
        <v>7</v>
      </c>
      <c r="C1473" s="164">
        <v>28</v>
      </c>
      <c r="D1473" s="164">
        <f t="shared" si="157"/>
        <v>44770</v>
      </c>
      <c r="E1473" s="235">
        <f t="shared" si="164"/>
        <v>44770</v>
      </c>
      <c r="F1473" s="480"/>
      <c r="G1473" s="208" t="s">
        <v>86</v>
      </c>
      <c r="H1473" s="208"/>
      <c r="J1473" s="165" t="s">
        <v>200</v>
      </c>
      <c r="K1473" s="205">
        <v>237477.55</v>
      </c>
    </row>
    <row r="1474" spans="1:12" ht="11.25" customHeight="1" x14ac:dyDescent="0.2">
      <c r="A1474" s="226">
        <v>2022</v>
      </c>
      <c r="B1474" s="226">
        <v>7</v>
      </c>
      <c r="C1474" s="226">
        <v>28</v>
      </c>
      <c r="D1474" s="226">
        <f t="shared" si="157"/>
        <v>44770</v>
      </c>
      <c r="E1474" s="234">
        <f t="shared" si="164"/>
        <v>44770</v>
      </c>
      <c r="F1474" s="479"/>
      <c r="G1474" s="227" t="s">
        <v>86</v>
      </c>
      <c r="H1474" s="228" t="str" cm="1">
        <f t="array" ref="H1474">IFERROR(INDEX(INVESTOR_LIST[INVESTOR NAME],MATCH(I1474,INVESTOR_LIST[INVESTOR CODE],0),)," ")</f>
        <v xml:space="preserve"> </v>
      </c>
      <c r="I1474" s="228"/>
      <c r="J1474" s="229" t="s">
        <v>80</v>
      </c>
      <c r="K1474" s="230"/>
      <c r="L1474" s="230">
        <v>3382411.85</v>
      </c>
    </row>
    <row r="1475" spans="1:12" ht="11.25" customHeight="1" x14ac:dyDescent="0.2">
      <c r="A1475" s="236">
        <v>2022</v>
      </c>
      <c r="B1475" s="236">
        <v>7</v>
      </c>
      <c r="C1475" s="236">
        <v>28</v>
      </c>
      <c r="D1475" s="237">
        <f t="shared" si="157"/>
        <v>44770</v>
      </c>
      <c r="E1475" s="238">
        <f t="shared" si="164"/>
        <v>44770</v>
      </c>
      <c r="F1475" s="476" t="s">
        <v>1118</v>
      </c>
      <c r="G1475" s="239" t="s">
        <v>86</v>
      </c>
      <c r="H1475" s="239" t="str" cm="1">
        <f t="array" ref="H1475">IFERROR(INDEX(INVESTOR_LIST[INVESTOR NAME],MATCH(I1475,INVESTOR_LIST[INVESTOR CODE],0),)," ")</f>
        <v xml:space="preserve"> </v>
      </c>
      <c r="I1475" s="240"/>
      <c r="J1475" s="241" t="s">
        <v>82</v>
      </c>
      <c r="K1475" s="242">
        <v>601388</v>
      </c>
      <c r="L1475" s="242"/>
    </row>
    <row r="1476" spans="1:12" ht="11.25" customHeight="1" x14ac:dyDescent="0.2">
      <c r="A1476" s="243">
        <v>2022</v>
      </c>
      <c r="B1476" s="243">
        <v>7</v>
      </c>
      <c r="C1476" s="243">
        <v>28</v>
      </c>
      <c r="D1476" s="248">
        <f t="shared" si="157"/>
        <v>44770</v>
      </c>
      <c r="E1476" s="249">
        <f t="shared" si="164"/>
        <v>44770</v>
      </c>
      <c r="F1476" s="477"/>
      <c r="G1476" s="244" t="s">
        <v>86</v>
      </c>
      <c r="H1476" s="244" t="str" cm="1">
        <f t="array" ref="H1476">IFERROR(INDEX(INVESTOR_LIST[INVESTOR NAME],MATCH(I1476,INVESTOR_LIST[INVESTOR CODE],0),)," ")</f>
        <v xml:space="preserve"> </v>
      </c>
      <c r="I1476" s="245"/>
      <c r="J1476" s="246" t="s">
        <v>98</v>
      </c>
      <c r="K1476" s="247"/>
      <c r="L1476" s="247">
        <v>601388</v>
      </c>
    </row>
    <row r="1477" spans="1:12" ht="11.25" customHeight="1" x14ac:dyDescent="0.2">
      <c r="A1477" s="236">
        <v>2022</v>
      </c>
      <c r="B1477" s="236">
        <v>7</v>
      </c>
      <c r="C1477" s="236">
        <v>28</v>
      </c>
      <c r="D1477" s="237">
        <f t="shared" si="157"/>
        <v>44770</v>
      </c>
      <c r="E1477" s="238">
        <f t="shared" si="164"/>
        <v>44770</v>
      </c>
      <c r="F1477" s="476" t="s">
        <v>1120</v>
      </c>
      <c r="G1477" s="239" t="s">
        <v>86</v>
      </c>
      <c r="H1477" s="239" t="str" cm="1">
        <f t="array" ref="H1477">IFERROR(INDEX(INVESTOR_LIST[INVESTOR NAME],MATCH(I1477,INVESTOR_LIST[INVESTOR CODE],0),)," ")</f>
        <v xml:space="preserve"> </v>
      </c>
      <c r="I1477" s="240"/>
      <c r="J1477" s="241" t="s">
        <v>87</v>
      </c>
      <c r="K1477" s="242">
        <v>2747.2527472527472</v>
      </c>
      <c r="L1477" s="242"/>
    </row>
    <row r="1478" spans="1:12" ht="11.25" customHeight="1" x14ac:dyDescent="0.2">
      <c r="A1478" s="243">
        <v>2022</v>
      </c>
      <c r="B1478" s="243">
        <v>7</v>
      </c>
      <c r="C1478" s="243">
        <v>28</v>
      </c>
      <c r="D1478" s="248">
        <f t="shared" si="157"/>
        <v>44770</v>
      </c>
      <c r="E1478" s="249">
        <f t="shared" si="164"/>
        <v>44770</v>
      </c>
      <c r="F1478" s="477"/>
      <c r="G1478" s="244" t="s">
        <v>86</v>
      </c>
      <c r="H1478" s="244" t="str" cm="1">
        <f t="array" ref="H1478">IFERROR(INDEX(INVESTOR_LIST[INVESTOR NAME],MATCH(I1478,INVESTOR_LIST[INVESTOR CODE],0),)," ")</f>
        <v xml:space="preserve"> </v>
      </c>
      <c r="I1478" s="245"/>
      <c r="J1478" s="246" t="s">
        <v>64</v>
      </c>
      <c r="K1478" s="247"/>
      <c r="L1478" s="247">
        <v>2747.2527472527472</v>
      </c>
    </row>
    <row r="1479" spans="1:12" ht="11.25" customHeight="1" x14ac:dyDescent="0.2">
      <c r="A1479" s="236">
        <v>2022</v>
      </c>
      <c r="B1479" s="236">
        <v>7</v>
      </c>
      <c r="C1479" s="236">
        <v>28</v>
      </c>
      <c r="D1479" s="237">
        <f t="shared" si="157"/>
        <v>44770</v>
      </c>
      <c r="E1479" s="238">
        <f t="shared" si="164"/>
        <v>44770</v>
      </c>
      <c r="F1479" s="476" t="s">
        <v>1121</v>
      </c>
      <c r="G1479" s="239" t="s">
        <v>86</v>
      </c>
      <c r="H1479" s="239" t="str" cm="1">
        <f t="array" ref="H1479">IFERROR(INDEX(INVESTOR_LIST[INVESTOR NAME],MATCH(I1479,INVESTOR_LIST[INVESTOR CODE],0),)," ")</f>
        <v xml:space="preserve"> </v>
      </c>
      <c r="I1479" s="240"/>
      <c r="J1479" s="241" t="s">
        <v>89</v>
      </c>
      <c r="K1479" s="242">
        <v>96208.492032591952</v>
      </c>
      <c r="L1479" s="242"/>
    </row>
    <row r="1480" spans="1:12" ht="11.25" customHeight="1" x14ac:dyDescent="0.2">
      <c r="A1480" s="243">
        <v>2022</v>
      </c>
      <c r="B1480" s="243">
        <v>7</v>
      </c>
      <c r="C1480" s="243">
        <v>28</v>
      </c>
      <c r="D1480" s="248">
        <f t="shared" si="157"/>
        <v>44770</v>
      </c>
      <c r="E1480" s="249">
        <f t="shared" si="164"/>
        <v>44770</v>
      </c>
      <c r="F1480" s="477"/>
      <c r="G1480" s="244" t="s">
        <v>86</v>
      </c>
      <c r="H1480" s="244" t="str" cm="1">
        <f t="array" ref="H1480">IFERROR(INDEX(INVESTOR_LIST[INVESTOR NAME],MATCH(I1480,INVESTOR_LIST[INVESTOR CODE],0),)," ")</f>
        <v xml:space="preserve"> </v>
      </c>
      <c r="I1480" s="245"/>
      <c r="J1480" s="246" t="s">
        <v>50</v>
      </c>
      <c r="K1480" s="247"/>
      <c r="L1480" s="247">
        <v>96208.492032591952</v>
      </c>
    </row>
    <row r="1481" spans="1:12" ht="11.25" customHeight="1" x14ac:dyDescent="0.2">
      <c r="A1481" s="236">
        <v>2022</v>
      </c>
      <c r="B1481" s="236">
        <v>7</v>
      </c>
      <c r="C1481" s="236">
        <v>28</v>
      </c>
      <c r="D1481" s="237">
        <f t="shared" ref="D1481:D1544" si="165">DATE(A1481,B1481,C1481)</f>
        <v>44770</v>
      </c>
      <c r="E1481" s="238">
        <f t="shared" si="164"/>
        <v>44770</v>
      </c>
      <c r="F1481" s="476" t="s">
        <v>1122</v>
      </c>
      <c r="G1481" s="239" t="s">
        <v>86</v>
      </c>
      <c r="H1481" s="239" t="str" cm="1">
        <f t="array" ref="H1481">IFERROR(INDEX(INVESTOR_LIST[INVESTOR NAME],MATCH(I1481,INVESTOR_LIST[INVESTOR CODE],0),)," ")</f>
        <v xml:space="preserve"> </v>
      </c>
      <c r="I1481" s="240"/>
      <c r="J1481" s="241" t="s">
        <v>91</v>
      </c>
      <c r="K1481" s="242">
        <v>4570.0399862449822</v>
      </c>
      <c r="L1481" s="242"/>
    </row>
    <row r="1482" spans="1:12" ht="11.25" customHeight="1" x14ac:dyDescent="0.2">
      <c r="A1482" s="243">
        <v>2022</v>
      </c>
      <c r="B1482" s="243">
        <v>7</v>
      </c>
      <c r="C1482" s="243">
        <v>28</v>
      </c>
      <c r="D1482" s="248">
        <f t="shared" si="165"/>
        <v>44770</v>
      </c>
      <c r="E1482" s="249">
        <f t="shared" si="164"/>
        <v>44770</v>
      </c>
      <c r="F1482" s="477"/>
      <c r="G1482" s="244" t="s">
        <v>86</v>
      </c>
      <c r="H1482" s="244" t="str" cm="1">
        <f t="array" ref="H1482">IFERROR(INDEX(INVESTOR_LIST[INVESTOR NAME],MATCH(I1482,INVESTOR_LIST[INVESTOR CODE],0),)," ")</f>
        <v xml:space="preserve"> </v>
      </c>
      <c r="I1482" s="245"/>
      <c r="J1482" s="246" t="s">
        <v>51</v>
      </c>
      <c r="K1482" s="247"/>
      <c r="L1482" s="247">
        <v>4570.0399862449822</v>
      </c>
    </row>
    <row r="1483" spans="1:12" ht="11.25" customHeight="1" x14ac:dyDescent="0.2">
      <c r="A1483" s="221">
        <v>2022</v>
      </c>
      <c r="B1483" s="221">
        <v>7</v>
      </c>
      <c r="C1483" s="221">
        <v>31</v>
      </c>
      <c r="D1483" s="221">
        <f t="shared" si="165"/>
        <v>44773</v>
      </c>
      <c r="E1483" s="233">
        <f t="shared" si="164"/>
        <v>44773</v>
      </c>
      <c r="F1483" s="478" t="s">
        <v>1266</v>
      </c>
      <c r="G1483" s="222" t="s">
        <v>86</v>
      </c>
      <c r="H1483" s="222" t="str" cm="1">
        <f t="array" ref="H1483">IFERROR(INDEX(INVESTOR_LIST[INVESTOR NAME],MATCH(I1483,INVESTOR_LIST[INVESTOR CODE],0),)," ")</f>
        <v xml:space="preserve"> </v>
      </c>
      <c r="I1483" s="223"/>
      <c r="J1483" s="224" t="s">
        <v>80</v>
      </c>
      <c r="K1483" s="225">
        <v>2277859.7999999998</v>
      </c>
      <c r="L1483" s="225"/>
    </row>
    <row r="1484" spans="1:12" ht="11.25" customHeight="1" x14ac:dyDescent="0.2">
      <c r="A1484" s="164">
        <v>2022</v>
      </c>
      <c r="B1484" s="164">
        <v>7</v>
      </c>
      <c r="C1484" s="164">
        <v>31</v>
      </c>
      <c r="D1484" s="164">
        <f t="shared" si="165"/>
        <v>44773</v>
      </c>
      <c r="E1484" s="235">
        <f t="shared" si="164"/>
        <v>44773</v>
      </c>
      <c r="F1484" s="480"/>
      <c r="G1484" s="208" t="s">
        <v>86</v>
      </c>
      <c r="H1484" s="208"/>
      <c r="J1484" s="165" t="s">
        <v>960</v>
      </c>
      <c r="K1484" s="205">
        <v>4100.1499999999996</v>
      </c>
      <c r="L1484" s="205"/>
    </row>
    <row r="1485" spans="1:12" ht="11.25" customHeight="1" x14ac:dyDescent="0.2">
      <c r="A1485" s="226">
        <v>2022</v>
      </c>
      <c r="B1485" s="226">
        <v>7</v>
      </c>
      <c r="C1485" s="226">
        <v>31</v>
      </c>
      <c r="D1485" s="226">
        <f t="shared" si="165"/>
        <v>44773</v>
      </c>
      <c r="E1485" s="234">
        <f t="shared" si="164"/>
        <v>44773</v>
      </c>
      <c r="F1485" s="479"/>
      <c r="G1485" s="227" t="s">
        <v>86</v>
      </c>
      <c r="H1485" s="228" t="str" cm="1">
        <f t="array" ref="H1485">IFERROR(INDEX(INVESTOR_LIST[INVESTOR NAME],MATCH(I1485,INVESTOR_LIST[INVESTOR CODE],0),)," ")</f>
        <v xml:space="preserve"> </v>
      </c>
      <c r="I1485" s="228"/>
      <c r="J1485" s="229" t="s">
        <v>961</v>
      </c>
      <c r="K1485" s="230"/>
      <c r="L1485" s="230">
        <v>2281959.9500000002</v>
      </c>
    </row>
    <row r="1486" spans="1:12" ht="11.25" customHeight="1" x14ac:dyDescent="0.2">
      <c r="A1486" s="221">
        <v>2022</v>
      </c>
      <c r="B1486" s="221">
        <v>7</v>
      </c>
      <c r="C1486" s="221">
        <v>31</v>
      </c>
      <c r="D1486" s="231">
        <f t="shared" si="165"/>
        <v>44773</v>
      </c>
      <c r="E1486" s="233">
        <f t="shared" si="164"/>
        <v>44773</v>
      </c>
      <c r="F1486" s="478" t="s">
        <v>1267</v>
      </c>
      <c r="G1486" s="222" t="s">
        <v>1111</v>
      </c>
      <c r="H1486" s="223" t="str" cm="1">
        <f t="array" ref="H1486">IFERROR(INDEX(INVESTOR_LIST[INVESTOR NAME],MATCH(I1486,INVESTOR_LIST[INVESTOR CODE],0),)," ")</f>
        <v xml:space="preserve"> </v>
      </c>
      <c r="I1486" s="223"/>
      <c r="J1486" s="224" t="s">
        <v>55</v>
      </c>
      <c r="K1486" s="225">
        <v>332266.74</v>
      </c>
      <c r="L1486" s="225"/>
    </row>
    <row r="1487" spans="1:12" ht="11.25" customHeight="1" x14ac:dyDescent="0.2">
      <c r="A1487" s="226">
        <v>2022</v>
      </c>
      <c r="B1487" s="226">
        <v>7</v>
      </c>
      <c r="C1487" s="226">
        <v>31</v>
      </c>
      <c r="D1487" s="232">
        <f t="shared" si="165"/>
        <v>44773</v>
      </c>
      <c r="E1487" s="234">
        <f t="shared" si="164"/>
        <v>44773</v>
      </c>
      <c r="F1487" s="479"/>
      <c r="G1487" s="227" t="s">
        <v>1111</v>
      </c>
      <c r="H1487" s="228" t="str" cm="1">
        <f t="array" ref="H1487">IFERROR(INDEX(INVESTOR_LIST[INVESTOR NAME],MATCH(I1487,INVESTOR_LIST[INVESTOR CODE],0),)," ")</f>
        <v xml:space="preserve"> </v>
      </c>
      <c r="I1487" s="228"/>
      <c r="J1487" s="229" t="s">
        <v>199</v>
      </c>
      <c r="K1487" s="230"/>
      <c r="L1487" s="230">
        <v>332266.74</v>
      </c>
    </row>
    <row r="1488" spans="1:12" ht="11.25" customHeight="1" x14ac:dyDescent="0.2">
      <c r="A1488" s="221">
        <v>2022</v>
      </c>
      <c r="B1488" s="221">
        <v>7</v>
      </c>
      <c r="C1488" s="221">
        <v>31</v>
      </c>
      <c r="D1488" s="231">
        <f t="shared" si="165"/>
        <v>44773</v>
      </c>
      <c r="E1488" s="233">
        <f t="shared" ref="E1488:E1499" si="166">DATE(A1488,B1488,C1488)</f>
        <v>44773</v>
      </c>
      <c r="F1488" s="478" t="s">
        <v>1268</v>
      </c>
      <c r="G1488" s="222" t="s">
        <v>1111</v>
      </c>
      <c r="H1488" s="223" t="str" cm="1">
        <f t="array" ref="H1488">IFERROR(INDEX(INVESTOR_LIST[INVESTOR NAME],MATCH(I1488,INVESTOR_LIST[INVESTOR CODE],0),)," ")</f>
        <v xml:space="preserve"> </v>
      </c>
      <c r="I1488" s="223"/>
      <c r="J1488" s="224" t="s">
        <v>961</v>
      </c>
      <c r="K1488" s="225">
        <v>2281959.9500000002</v>
      </c>
      <c r="L1488" s="225"/>
    </row>
    <row r="1489" spans="1:13" ht="11.25" customHeight="1" x14ac:dyDescent="0.2">
      <c r="A1489" s="226">
        <v>2022</v>
      </c>
      <c r="B1489" s="226">
        <v>7</v>
      </c>
      <c r="C1489" s="226">
        <v>31</v>
      </c>
      <c r="D1489" s="232">
        <f t="shared" si="165"/>
        <v>44773</v>
      </c>
      <c r="E1489" s="234">
        <f t="shared" si="166"/>
        <v>44773</v>
      </c>
      <c r="F1489" s="479"/>
      <c r="G1489" s="227" t="s">
        <v>1111</v>
      </c>
      <c r="H1489" s="228" t="str" cm="1">
        <f t="array" ref="H1489">IFERROR(INDEX(INVESTOR_LIST[INVESTOR NAME],MATCH(I1489,INVESTOR_LIST[INVESTOR CODE],0),)," ")</f>
        <v xml:space="preserve"> </v>
      </c>
      <c r="I1489" s="228"/>
      <c r="J1489" s="229" t="s">
        <v>55</v>
      </c>
      <c r="K1489" s="230"/>
      <c r="L1489" s="230">
        <v>2281959.9500000002</v>
      </c>
    </row>
    <row r="1490" spans="1:13" ht="11.25" customHeight="1" x14ac:dyDescent="0.2">
      <c r="A1490" s="221">
        <v>2022</v>
      </c>
      <c r="B1490" s="221">
        <v>8</v>
      </c>
      <c r="C1490" s="221">
        <v>1</v>
      </c>
      <c r="D1490" s="221">
        <f t="shared" si="165"/>
        <v>44774</v>
      </c>
      <c r="E1490" s="233">
        <f t="shared" si="166"/>
        <v>44774</v>
      </c>
      <c r="F1490" s="478" t="s">
        <v>1269</v>
      </c>
      <c r="G1490" s="222" t="s">
        <v>86</v>
      </c>
      <c r="H1490" s="222" t="str" cm="1">
        <f t="array" ref="H1490">IFERROR(INDEX(INVESTOR_LIST[INVESTOR NAME],MATCH(I1490,INVESTOR_LIST[INVESTOR CODE],0),)," ")</f>
        <v xml:space="preserve"> </v>
      </c>
      <c r="I1490" s="223"/>
      <c r="J1490" s="224" t="s">
        <v>80</v>
      </c>
      <c r="K1490" s="225">
        <v>1119000</v>
      </c>
      <c r="L1490" s="225"/>
    </row>
    <row r="1491" spans="1:13" ht="11.25" customHeight="1" x14ac:dyDescent="0.2">
      <c r="A1491" s="164">
        <v>2022</v>
      </c>
      <c r="B1491" s="164">
        <v>8</v>
      </c>
      <c r="C1491" s="164">
        <v>1</v>
      </c>
      <c r="D1491" s="164">
        <f t="shared" si="165"/>
        <v>44774</v>
      </c>
      <c r="E1491" s="235">
        <f t="shared" si="166"/>
        <v>44774</v>
      </c>
      <c r="F1491" s="480"/>
      <c r="G1491" s="208" t="s">
        <v>86</v>
      </c>
      <c r="H1491" s="208"/>
      <c r="J1491" s="165" t="s">
        <v>960</v>
      </c>
      <c r="K1491" s="205">
        <v>6840.59</v>
      </c>
      <c r="L1491" s="205"/>
    </row>
    <row r="1492" spans="1:13" ht="11.25" customHeight="1" x14ac:dyDescent="0.2">
      <c r="A1492" s="164">
        <v>2022</v>
      </c>
      <c r="B1492" s="164">
        <v>8</v>
      </c>
      <c r="C1492" s="164">
        <v>1</v>
      </c>
      <c r="D1492" s="164">
        <f t="shared" si="165"/>
        <v>44774</v>
      </c>
      <c r="E1492" s="235">
        <f t="shared" si="166"/>
        <v>44774</v>
      </c>
      <c r="F1492" s="480"/>
      <c r="G1492" s="208" t="s">
        <v>86</v>
      </c>
      <c r="H1492" s="208"/>
      <c r="J1492" s="165" t="s">
        <v>199</v>
      </c>
      <c r="K1492" s="263">
        <v>1555488.01</v>
      </c>
      <c r="L1492" s="205"/>
    </row>
    <row r="1493" spans="1:13" ht="11.25" customHeight="1" x14ac:dyDescent="0.2">
      <c r="A1493" s="164">
        <v>2022</v>
      </c>
      <c r="B1493" s="164">
        <v>8</v>
      </c>
      <c r="C1493" s="164">
        <v>1</v>
      </c>
      <c r="D1493" s="164">
        <f t="shared" si="165"/>
        <v>44774</v>
      </c>
      <c r="E1493" s="235">
        <f t="shared" si="166"/>
        <v>44774</v>
      </c>
      <c r="F1493" s="480"/>
      <c r="G1493" s="208" t="s">
        <v>86</v>
      </c>
      <c r="H1493" s="208"/>
      <c r="J1493" s="165" t="s">
        <v>200</v>
      </c>
      <c r="K1493" s="167">
        <v>112633.29</v>
      </c>
      <c r="L1493" s="156"/>
    </row>
    <row r="1494" spans="1:13" ht="11.25" customHeight="1" x14ac:dyDescent="0.2">
      <c r="A1494" s="226">
        <v>2022</v>
      </c>
      <c r="B1494" s="226">
        <v>8</v>
      </c>
      <c r="C1494" s="226">
        <v>1</v>
      </c>
      <c r="D1494" s="226">
        <f t="shared" si="165"/>
        <v>44774</v>
      </c>
      <c r="E1494" s="234">
        <f t="shared" si="166"/>
        <v>44774</v>
      </c>
      <c r="F1494" s="479"/>
      <c r="G1494" s="227" t="s">
        <v>86</v>
      </c>
      <c r="H1494" s="228" t="str" cm="1">
        <f t="array" ref="H1494">IFERROR(INDEX(INVESTOR_LIST[INVESTOR NAME],MATCH(I1494,INVESTOR_LIST[INVESTOR CODE],0),)," ")</f>
        <v xml:space="preserve"> </v>
      </c>
      <c r="I1494" s="228"/>
      <c r="J1494" s="229" t="s">
        <v>80</v>
      </c>
      <c r="K1494" s="230"/>
      <c r="L1494" s="230">
        <v>2793961.89</v>
      </c>
    </row>
    <row r="1495" spans="1:13" ht="11.25" customHeight="1" x14ac:dyDescent="0.2">
      <c r="A1495" s="221">
        <v>2022</v>
      </c>
      <c r="B1495" s="221">
        <v>8</v>
      </c>
      <c r="C1495" s="221">
        <v>1</v>
      </c>
      <c r="D1495" s="231">
        <f t="shared" si="165"/>
        <v>44774</v>
      </c>
      <c r="E1495" s="233">
        <f t="shared" si="166"/>
        <v>44774</v>
      </c>
      <c r="F1495" s="478" t="s">
        <v>1267</v>
      </c>
      <c r="G1495" s="222" t="s">
        <v>1111</v>
      </c>
      <c r="H1495" s="223" t="str" cm="1">
        <f t="array" ref="H1495">IFERROR(INDEX(INVESTOR_LIST[INVESTOR NAME],MATCH(I1495,INVESTOR_LIST[INVESTOR CODE],0),)," ")</f>
        <v xml:space="preserve"> </v>
      </c>
      <c r="I1495" s="223"/>
      <c r="J1495" s="224" t="s">
        <v>55</v>
      </c>
      <c r="K1495" s="225">
        <v>63662.57</v>
      </c>
      <c r="L1495" s="225"/>
    </row>
    <row r="1496" spans="1:13" ht="11.25" customHeight="1" x14ac:dyDescent="0.2">
      <c r="A1496" s="226">
        <v>2022</v>
      </c>
      <c r="B1496" s="226">
        <v>8</v>
      </c>
      <c r="C1496" s="226">
        <v>1</v>
      </c>
      <c r="D1496" s="232">
        <f t="shared" si="165"/>
        <v>44774</v>
      </c>
      <c r="E1496" s="234">
        <f t="shared" si="166"/>
        <v>44774</v>
      </c>
      <c r="F1496" s="479"/>
      <c r="G1496" s="227" t="s">
        <v>1111</v>
      </c>
      <c r="H1496" s="228" t="str" cm="1">
        <f t="array" ref="H1496">IFERROR(INDEX(INVESTOR_LIST[INVESTOR NAME],MATCH(I1496,INVESTOR_LIST[INVESTOR CODE],0),)," ")</f>
        <v xml:space="preserve"> </v>
      </c>
      <c r="I1496" s="228"/>
      <c r="J1496" s="229" t="s">
        <v>199</v>
      </c>
      <c r="K1496" s="230"/>
      <c r="L1496" s="230">
        <v>63662.57</v>
      </c>
    </row>
    <row r="1497" spans="1:13" ht="11.25" customHeight="1" x14ac:dyDescent="0.2">
      <c r="A1497" s="221">
        <v>2022</v>
      </c>
      <c r="B1497" s="221">
        <v>8</v>
      </c>
      <c r="C1497" s="221">
        <v>1</v>
      </c>
      <c r="D1497" s="231">
        <f t="shared" si="165"/>
        <v>44774</v>
      </c>
      <c r="E1497" s="233">
        <f t="shared" si="166"/>
        <v>44774</v>
      </c>
      <c r="F1497" s="478" t="s">
        <v>1132</v>
      </c>
      <c r="G1497" s="222" t="s">
        <v>1111</v>
      </c>
      <c r="H1497" s="223" t="str" cm="1">
        <f t="array" ref="H1497">IFERROR(INDEX(INVESTOR_LIST[INVESTOR NAME],MATCH(I1497,INVESTOR_LIST[INVESTOR CODE],0),)," ")</f>
        <v>AHMED ASIF</v>
      </c>
      <c r="I1497" s="223" t="s">
        <v>1273</v>
      </c>
      <c r="J1497" s="224" t="s">
        <v>55</v>
      </c>
      <c r="K1497" s="225">
        <v>5000</v>
      </c>
      <c r="L1497" s="225"/>
    </row>
    <row r="1498" spans="1:13" ht="11.25" customHeight="1" x14ac:dyDescent="0.2">
      <c r="A1498" s="164">
        <v>2022</v>
      </c>
      <c r="B1498" s="164">
        <v>8</v>
      </c>
      <c r="C1498" s="164">
        <v>1</v>
      </c>
      <c r="D1498" s="156">
        <f t="shared" si="165"/>
        <v>44774</v>
      </c>
      <c r="E1498" s="235">
        <f t="shared" si="166"/>
        <v>44774</v>
      </c>
      <c r="F1498" s="480"/>
      <c r="G1498" s="208" t="s">
        <v>1111</v>
      </c>
      <c r="H1498" s="206" t="str" cm="1">
        <f t="array" ref="H1498">IFERROR(INDEX(INVESTOR_LIST[INVESTOR NAME],MATCH(I1498,INVESTOR_LIST[INVESTOR CODE],0),)," ")</f>
        <v>AHMED ASIF</v>
      </c>
      <c r="I1498" s="206" t="s">
        <v>1273</v>
      </c>
      <c r="J1498" s="165" t="s">
        <v>1112</v>
      </c>
      <c r="K1498" s="205">
        <v>120</v>
      </c>
      <c r="L1498" s="205"/>
      <c r="M1498" s="166"/>
    </row>
    <row r="1499" spans="1:13" ht="11.25" customHeight="1" x14ac:dyDescent="0.2">
      <c r="A1499" s="226">
        <v>2022</v>
      </c>
      <c r="B1499" s="226">
        <v>8</v>
      </c>
      <c r="C1499" s="226">
        <v>1</v>
      </c>
      <c r="D1499" s="232">
        <f t="shared" si="165"/>
        <v>44774</v>
      </c>
      <c r="E1499" s="234">
        <f t="shared" si="166"/>
        <v>44774</v>
      </c>
      <c r="F1499" s="479"/>
      <c r="G1499" s="227" t="s">
        <v>1111</v>
      </c>
      <c r="H1499" s="228" t="str" cm="1">
        <f t="array" ref="H1499">IFERROR(INDEX(INVESTOR_LIST[INVESTOR NAME],MATCH(I1499,INVESTOR_LIST[INVESTOR CODE],0),)," ")</f>
        <v>AHMED ASIF</v>
      </c>
      <c r="I1499" s="228" t="s">
        <v>1273</v>
      </c>
      <c r="J1499" s="229" t="s">
        <v>14</v>
      </c>
      <c r="K1499" s="230"/>
      <c r="L1499" s="230">
        <v>5120</v>
      </c>
    </row>
    <row r="1500" spans="1:13" ht="11.25" customHeight="1" x14ac:dyDescent="0.2">
      <c r="A1500" s="221">
        <v>2022</v>
      </c>
      <c r="B1500" s="221">
        <v>8</v>
      </c>
      <c r="C1500" s="221">
        <v>3</v>
      </c>
      <c r="D1500" s="231">
        <f t="shared" si="165"/>
        <v>44776</v>
      </c>
      <c r="E1500" s="233">
        <f t="shared" ref="E1500:E1527" si="167">DATE(A1500,B1500,C1500)</f>
        <v>44776</v>
      </c>
      <c r="F1500" s="478" t="s">
        <v>1267</v>
      </c>
      <c r="G1500" s="222" t="s">
        <v>1111</v>
      </c>
      <c r="H1500" s="223" t="str" cm="1">
        <f t="array" ref="H1500">IFERROR(INDEX(INVESTOR_LIST[INVESTOR NAME],MATCH(I1500,INVESTOR_LIST[INVESTOR CODE],0),)," ")</f>
        <v xml:space="preserve"> </v>
      </c>
      <c r="I1500" s="223"/>
      <c r="J1500" s="224" t="s">
        <v>55</v>
      </c>
      <c r="K1500" s="225">
        <v>1555488.01</v>
      </c>
      <c r="L1500" s="225"/>
    </row>
    <row r="1501" spans="1:13" ht="11.25" customHeight="1" x14ac:dyDescent="0.2">
      <c r="A1501" s="226">
        <v>2022</v>
      </c>
      <c r="B1501" s="226">
        <v>8</v>
      </c>
      <c r="C1501" s="226">
        <v>3</v>
      </c>
      <c r="D1501" s="232">
        <f t="shared" si="165"/>
        <v>44776</v>
      </c>
      <c r="E1501" s="234">
        <f t="shared" si="167"/>
        <v>44776</v>
      </c>
      <c r="F1501" s="479"/>
      <c r="G1501" s="227" t="s">
        <v>1111</v>
      </c>
      <c r="H1501" s="228" t="str" cm="1">
        <f t="array" ref="H1501">IFERROR(INDEX(INVESTOR_LIST[INVESTOR NAME],MATCH(I1501,INVESTOR_LIST[INVESTOR CODE],0),)," ")</f>
        <v xml:space="preserve"> </v>
      </c>
      <c r="I1501" s="228"/>
      <c r="J1501" s="229" t="s">
        <v>199</v>
      </c>
      <c r="K1501" s="230"/>
      <c r="L1501" s="230">
        <v>1555488.01</v>
      </c>
    </row>
    <row r="1502" spans="1:13" ht="11.25" customHeight="1" x14ac:dyDescent="0.2">
      <c r="A1502" s="221">
        <v>2022</v>
      </c>
      <c r="B1502" s="221">
        <v>8</v>
      </c>
      <c r="C1502" s="221">
        <v>3</v>
      </c>
      <c r="D1502" s="221">
        <f t="shared" si="165"/>
        <v>44776</v>
      </c>
      <c r="E1502" s="233">
        <f t="shared" si="167"/>
        <v>44776</v>
      </c>
      <c r="F1502" s="478" t="s">
        <v>1266</v>
      </c>
      <c r="G1502" s="222" t="s">
        <v>86</v>
      </c>
      <c r="H1502" s="222" t="str" cm="1">
        <f t="array" ref="H1502">IFERROR(INDEX(INVESTOR_LIST[INVESTOR NAME],MATCH(I1502,INVESTOR_LIST[INVESTOR CODE],0),)," ")</f>
        <v xml:space="preserve"> </v>
      </c>
      <c r="I1502" s="223"/>
      <c r="J1502" s="224" t="s">
        <v>80</v>
      </c>
      <c r="K1502" s="225">
        <v>1234500</v>
      </c>
      <c r="L1502" s="225"/>
    </row>
    <row r="1503" spans="1:13" ht="11.25" customHeight="1" x14ac:dyDescent="0.2">
      <c r="A1503" s="164">
        <v>2022</v>
      </c>
      <c r="B1503" s="164">
        <v>8</v>
      </c>
      <c r="C1503" s="164">
        <v>3</v>
      </c>
      <c r="D1503" s="164">
        <f t="shared" si="165"/>
        <v>44776</v>
      </c>
      <c r="E1503" s="235">
        <f t="shared" si="167"/>
        <v>44776</v>
      </c>
      <c r="F1503" s="480"/>
      <c r="G1503" s="208" t="s">
        <v>86</v>
      </c>
      <c r="H1503" s="208"/>
      <c r="J1503" s="165" t="s">
        <v>960</v>
      </c>
      <c r="K1503" s="205">
        <v>2222.1</v>
      </c>
      <c r="L1503" s="205"/>
    </row>
    <row r="1504" spans="1:13" ht="11.25" customHeight="1" x14ac:dyDescent="0.2">
      <c r="A1504" s="226">
        <v>2022</v>
      </c>
      <c r="B1504" s="226">
        <v>8</v>
      </c>
      <c r="C1504" s="226">
        <v>3</v>
      </c>
      <c r="D1504" s="226">
        <f t="shared" si="165"/>
        <v>44776</v>
      </c>
      <c r="E1504" s="234">
        <f t="shared" si="167"/>
        <v>44776</v>
      </c>
      <c r="F1504" s="479"/>
      <c r="G1504" s="227" t="s">
        <v>86</v>
      </c>
      <c r="H1504" s="228" t="str" cm="1">
        <f t="array" ref="H1504">IFERROR(INDEX(INVESTOR_LIST[INVESTOR NAME],MATCH(I1504,INVESTOR_LIST[INVESTOR CODE],0),)," ")</f>
        <v xml:space="preserve"> </v>
      </c>
      <c r="I1504" s="228"/>
      <c r="J1504" s="229" t="s">
        <v>961</v>
      </c>
      <c r="K1504" s="230"/>
      <c r="L1504" s="230">
        <v>1236722.1000000001</v>
      </c>
    </row>
    <row r="1505" spans="1:15" ht="11.25" customHeight="1" x14ac:dyDescent="0.2">
      <c r="A1505" s="221">
        <v>2022</v>
      </c>
      <c r="B1505" s="221">
        <v>8</v>
      </c>
      <c r="C1505" s="221">
        <v>4</v>
      </c>
      <c r="D1505" s="231">
        <f t="shared" si="165"/>
        <v>44777</v>
      </c>
      <c r="E1505" s="233">
        <f t="shared" si="167"/>
        <v>44777</v>
      </c>
      <c r="F1505" s="478" t="s">
        <v>1268</v>
      </c>
      <c r="G1505" s="222" t="s">
        <v>1111</v>
      </c>
      <c r="H1505" s="223" t="str" cm="1">
        <f t="array" ref="H1505">IFERROR(INDEX(INVESTOR_LIST[INVESTOR NAME],MATCH(I1505,INVESTOR_LIST[INVESTOR CODE],0),)," ")</f>
        <v xml:space="preserve"> </v>
      </c>
      <c r="I1505" s="223"/>
      <c r="J1505" s="224" t="s">
        <v>961</v>
      </c>
      <c r="K1505" s="225">
        <v>1236722.1000000001</v>
      </c>
      <c r="L1505" s="225"/>
    </row>
    <row r="1506" spans="1:15" ht="11.25" customHeight="1" x14ac:dyDescent="0.2">
      <c r="A1506" s="226">
        <v>2022</v>
      </c>
      <c r="B1506" s="226">
        <v>8</v>
      </c>
      <c r="C1506" s="226">
        <v>4</v>
      </c>
      <c r="D1506" s="232">
        <f t="shared" si="165"/>
        <v>44777</v>
      </c>
      <c r="E1506" s="234">
        <f t="shared" si="167"/>
        <v>44777</v>
      </c>
      <c r="F1506" s="479"/>
      <c r="G1506" s="227" t="s">
        <v>1111</v>
      </c>
      <c r="H1506" s="228" t="str" cm="1">
        <f t="array" ref="H1506">IFERROR(INDEX(INVESTOR_LIST[INVESTOR NAME],MATCH(I1506,INVESTOR_LIST[INVESTOR CODE],0),)," ")</f>
        <v xml:space="preserve"> </v>
      </c>
      <c r="I1506" s="228"/>
      <c r="J1506" s="229" t="s">
        <v>55</v>
      </c>
      <c r="K1506" s="230"/>
      <c r="L1506" s="230">
        <v>1236722.1000000001</v>
      </c>
    </row>
    <row r="1507" spans="1:15" ht="11.25" customHeight="1" x14ac:dyDescent="0.2">
      <c r="A1507" s="236">
        <v>2022</v>
      </c>
      <c r="B1507" s="236">
        <v>8</v>
      </c>
      <c r="C1507" s="236">
        <v>4</v>
      </c>
      <c r="D1507" s="237">
        <f t="shared" si="165"/>
        <v>44777</v>
      </c>
      <c r="E1507" s="238">
        <f t="shared" si="167"/>
        <v>44777</v>
      </c>
      <c r="F1507" s="476" t="s">
        <v>1118</v>
      </c>
      <c r="G1507" s="239" t="s">
        <v>86</v>
      </c>
      <c r="H1507" s="239" t="str" cm="1">
        <f t="array" ref="H1507">IFERROR(INDEX(INVESTOR_LIST[INVESTOR NAME],MATCH(I1507,INVESTOR_LIST[INVESTOR CODE],0),)," ")</f>
        <v xml:space="preserve"> </v>
      </c>
      <c r="I1507" s="240"/>
      <c r="J1507" s="241" t="s">
        <v>98</v>
      </c>
      <c r="K1507" s="242">
        <v>2766527.6400000006</v>
      </c>
      <c r="L1507" s="242"/>
    </row>
    <row r="1508" spans="1:15" ht="11.25" customHeight="1" x14ac:dyDescent="0.2">
      <c r="A1508" s="243">
        <v>2022</v>
      </c>
      <c r="B1508" s="243">
        <v>8</v>
      </c>
      <c r="C1508" s="243">
        <v>4</v>
      </c>
      <c r="D1508" s="248">
        <f t="shared" si="165"/>
        <v>44777</v>
      </c>
      <c r="E1508" s="249">
        <f t="shared" si="167"/>
        <v>44777</v>
      </c>
      <c r="F1508" s="477"/>
      <c r="G1508" s="244" t="s">
        <v>86</v>
      </c>
      <c r="H1508" s="244" t="str" cm="1">
        <f t="array" ref="H1508">IFERROR(INDEX(INVESTOR_LIST[INVESTOR NAME],MATCH(I1508,INVESTOR_LIST[INVESTOR CODE],0),)," ")</f>
        <v xml:space="preserve"> </v>
      </c>
      <c r="I1508" s="245"/>
      <c r="J1508" s="246" t="s">
        <v>82</v>
      </c>
      <c r="K1508" s="247"/>
      <c r="L1508" s="247">
        <v>2766527.6400000006</v>
      </c>
    </row>
    <row r="1509" spans="1:15" ht="11.25" customHeight="1" x14ac:dyDescent="0.2">
      <c r="A1509" s="236">
        <v>2022</v>
      </c>
      <c r="B1509" s="236">
        <v>8</v>
      </c>
      <c r="C1509" s="236">
        <v>4</v>
      </c>
      <c r="D1509" s="237">
        <f t="shared" si="165"/>
        <v>44777</v>
      </c>
      <c r="E1509" s="238">
        <f t="shared" si="167"/>
        <v>44777</v>
      </c>
      <c r="F1509" s="476" t="s">
        <v>1120</v>
      </c>
      <c r="G1509" s="239" t="s">
        <v>86</v>
      </c>
      <c r="H1509" s="239" t="str" cm="1">
        <f t="array" ref="H1509">IFERROR(INDEX(INVESTOR_LIST[INVESTOR NAME],MATCH(I1509,INVESTOR_LIST[INVESTOR CODE],0),)," ")</f>
        <v xml:space="preserve"> </v>
      </c>
      <c r="I1509" s="240"/>
      <c r="J1509" s="241" t="s">
        <v>87</v>
      </c>
      <c r="K1509" s="242">
        <v>2747.2527472527472</v>
      </c>
      <c r="L1509" s="242"/>
    </row>
    <row r="1510" spans="1:15" ht="11.25" customHeight="1" x14ac:dyDescent="0.2">
      <c r="A1510" s="243">
        <v>2022</v>
      </c>
      <c r="B1510" s="243">
        <v>8</v>
      </c>
      <c r="C1510" s="243">
        <v>4</v>
      </c>
      <c r="D1510" s="248">
        <f t="shared" si="165"/>
        <v>44777</v>
      </c>
      <c r="E1510" s="249">
        <f t="shared" si="167"/>
        <v>44777</v>
      </c>
      <c r="F1510" s="477"/>
      <c r="G1510" s="244" t="s">
        <v>86</v>
      </c>
      <c r="H1510" s="244" t="str" cm="1">
        <f t="array" ref="H1510">IFERROR(INDEX(INVESTOR_LIST[INVESTOR NAME],MATCH(I1510,INVESTOR_LIST[INVESTOR CODE],0),)," ")</f>
        <v xml:space="preserve"> </v>
      </c>
      <c r="I1510" s="245"/>
      <c r="J1510" s="246" t="s">
        <v>64</v>
      </c>
      <c r="K1510" s="247"/>
      <c r="L1510" s="247">
        <v>2747.2527472527472</v>
      </c>
    </row>
    <row r="1511" spans="1:15" ht="11.25" customHeight="1" x14ac:dyDescent="0.2">
      <c r="A1511" s="236">
        <v>2022</v>
      </c>
      <c r="B1511" s="236">
        <v>8</v>
      </c>
      <c r="C1511" s="236">
        <v>4</v>
      </c>
      <c r="D1511" s="237">
        <f t="shared" si="165"/>
        <v>44777</v>
      </c>
      <c r="E1511" s="238">
        <f t="shared" si="167"/>
        <v>44777</v>
      </c>
      <c r="F1511" s="476" t="s">
        <v>1121</v>
      </c>
      <c r="G1511" s="239" t="s">
        <v>86</v>
      </c>
      <c r="H1511" s="239" t="str" cm="1">
        <f t="array" ref="H1511">IFERROR(INDEX(INVESTOR_LIST[INVESTOR NAME],MATCH(I1511,INVESTOR_LIST[INVESTOR CODE],0),)," ")</f>
        <v xml:space="preserve"> </v>
      </c>
      <c r="I1511" s="240"/>
      <c r="J1511" s="241" t="s">
        <v>89</v>
      </c>
      <c r="K1511" s="242">
        <v>97184.138023066538</v>
      </c>
      <c r="L1511" s="242"/>
    </row>
    <row r="1512" spans="1:15" ht="11.25" customHeight="1" x14ac:dyDescent="0.2">
      <c r="A1512" s="243">
        <v>2022</v>
      </c>
      <c r="B1512" s="243">
        <v>8</v>
      </c>
      <c r="C1512" s="243">
        <v>4</v>
      </c>
      <c r="D1512" s="248">
        <f t="shared" si="165"/>
        <v>44777</v>
      </c>
      <c r="E1512" s="249">
        <f t="shared" si="167"/>
        <v>44777</v>
      </c>
      <c r="F1512" s="477"/>
      <c r="G1512" s="244" t="s">
        <v>86</v>
      </c>
      <c r="H1512" s="244" t="str" cm="1">
        <f t="array" ref="H1512">IFERROR(INDEX(INVESTOR_LIST[INVESTOR NAME],MATCH(I1512,INVESTOR_LIST[INVESTOR CODE],0),)," ")</f>
        <v xml:space="preserve"> </v>
      </c>
      <c r="I1512" s="245"/>
      <c r="J1512" s="246" t="s">
        <v>50</v>
      </c>
      <c r="K1512" s="247"/>
      <c r="L1512" s="247">
        <v>97184.138023066538</v>
      </c>
    </row>
    <row r="1513" spans="1:15" ht="11.25" customHeight="1" x14ac:dyDescent="0.2">
      <c r="A1513" s="236">
        <v>2022</v>
      </c>
      <c r="B1513" s="236">
        <v>8</v>
      </c>
      <c r="C1513" s="236">
        <v>4</v>
      </c>
      <c r="D1513" s="237">
        <f t="shared" si="165"/>
        <v>44777</v>
      </c>
      <c r="E1513" s="238">
        <f t="shared" si="167"/>
        <v>44777</v>
      </c>
      <c r="F1513" s="476" t="s">
        <v>1122</v>
      </c>
      <c r="G1513" s="239" t="s">
        <v>86</v>
      </c>
      <c r="H1513" s="239" t="str" cm="1">
        <f t="array" ref="H1513">IFERROR(INDEX(INVESTOR_LIST[INVESTOR NAME],MATCH(I1513,INVESTOR_LIST[INVESTOR CODE],0),)," ")</f>
        <v xml:space="preserve"> </v>
      </c>
      <c r="I1513" s="240"/>
      <c r="J1513" s="241" t="s">
        <v>91</v>
      </c>
      <c r="K1513" s="242">
        <v>4618.8222857687115</v>
      </c>
      <c r="L1513" s="242"/>
    </row>
    <row r="1514" spans="1:15" ht="11.25" customHeight="1" x14ac:dyDescent="0.2">
      <c r="A1514" s="243">
        <v>2022</v>
      </c>
      <c r="B1514" s="243">
        <v>8</v>
      </c>
      <c r="C1514" s="243">
        <v>4</v>
      </c>
      <c r="D1514" s="248">
        <f t="shared" si="165"/>
        <v>44777</v>
      </c>
      <c r="E1514" s="249">
        <f t="shared" si="167"/>
        <v>44777</v>
      </c>
      <c r="F1514" s="477"/>
      <c r="G1514" s="244" t="s">
        <v>86</v>
      </c>
      <c r="H1514" s="244" t="str" cm="1">
        <f t="array" ref="H1514">IFERROR(INDEX(INVESTOR_LIST[INVESTOR NAME],MATCH(I1514,INVESTOR_LIST[INVESTOR CODE],0),)," ")</f>
        <v xml:space="preserve"> </v>
      </c>
      <c r="I1514" s="245"/>
      <c r="J1514" s="246" t="s">
        <v>51</v>
      </c>
      <c r="K1514" s="247"/>
      <c r="L1514" s="247">
        <v>4618.8222857687115</v>
      </c>
    </row>
    <row r="1515" spans="1:15" ht="11.25" customHeight="1" x14ac:dyDescent="0.2">
      <c r="A1515" s="221">
        <v>2022</v>
      </c>
      <c r="B1515" s="221">
        <v>8</v>
      </c>
      <c r="C1515" s="221">
        <v>7</v>
      </c>
      <c r="D1515" s="231">
        <f t="shared" si="165"/>
        <v>44780</v>
      </c>
      <c r="E1515" s="233">
        <f t="shared" si="167"/>
        <v>44780</v>
      </c>
      <c r="F1515" s="478" t="s">
        <v>1132</v>
      </c>
      <c r="G1515" s="222" t="s">
        <v>1111</v>
      </c>
      <c r="H1515" s="223" t="str" cm="1">
        <f t="array" ref="H1515">IFERROR(INDEX(INVESTOR_LIST[INVESTOR NAME],MATCH(I1515,INVESTOR_LIST[INVESTOR CODE],0),)," ")</f>
        <v>AHMED ASIF</v>
      </c>
      <c r="I1515" s="223" t="s">
        <v>1273</v>
      </c>
      <c r="J1515" s="224" t="s">
        <v>55</v>
      </c>
      <c r="K1515" s="225">
        <v>5000</v>
      </c>
      <c r="L1515" s="225"/>
    </row>
    <row r="1516" spans="1:15" ht="11.25" customHeight="1" x14ac:dyDescent="0.2">
      <c r="A1516" s="164">
        <v>2022</v>
      </c>
      <c r="B1516" s="164">
        <v>8</v>
      </c>
      <c r="C1516" s="164">
        <v>7</v>
      </c>
      <c r="D1516" s="156">
        <f t="shared" si="165"/>
        <v>44780</v>
      </c>
      <c r="E1516" s="235">
        <f t="shared" si="167"/>
        <v>44780</v>
      </c>
      <c r="F1516" s="480"/>
      <c r="G1516" s="208" t="s">
        <v>1111</v>
      </c>
      <c r="H1516" s="206" t="str" cm="1">
        <f t="array" ref="H1516">IFERROR(INDEX(INVESTOR_LIST[INVESTOR NAME],MATCH(I1516,INVESTOR_LIST[INVESTOR CODE],0),)," ")</f>
        <v>AHMED ASIF</v>
      </c>
      <c r="I1516" s="206" t="s">
        <v>1273</v>
      </c>
      <c r="J1516" s="165" t="s">
        <v>1112</v>
      </c>
      <c r="K1516" s="205">
        <v>70</v>
      </c>
      <c r="L1516" s="205"/>
      <c r="M1516" s="166"/>
    </row>
    <row r="1517" spans="1:15" ht="11.25" customHeight="1" x14ac:dyDescent="0.2">
      <c r="A1517" s="226">
        <v>2022</v>
      </c>
      <c r="B1517" s="226">
        <v>8</v>
      </c>
      <c r="C1517" s="226">
        <v>7</v>
      </c>
      <c r="D1517" s="232">
        <f t="shared" si="165"/>
        <v>44780</v>
      </c>
      <c r="E1517" s="234">
        <f t="shared" si="167"/>
        <v>44780</v>
      </c>
      <c r="F1517" s="479"/>
      <c r="G1517" s="227" t="s">
        <v>1111</v>
      </c>
      <c r="H1517" s="228" t="str" cm="1">
        <f t="array" ref="H1517">IFERROR(INDEX(INVESTOR_LIST[INVESTOR NAME],MATCH(I1517,INVESTOR_LIST[INVESTOR CODE],0),)," ")</f>
        <v>AHMED ASIF</v>
      </c>
      <c r="I1517" s="228" t="s">
        <v>1273</v>
      </c>
      <c r="J1517" s="229" t="s">
        <v>14</v>
      </c>
      <c r="K1517" s="230"/>
      <c r="L1517" s="230">
        <v>5070</v>
      </c>
    </row>
    <row r="1518" spans="1:15" ht="11.25" customHeight="1" x14ac:dyDescent="0.2">
      <c r="A1518" s="221">
        <v>2022</v>
      </c>
      <c r="B1518" s="221">
        <v>8</v>
      </c>
      <c r="C1518" s="221">
        <v>10</v>
      </c>
      <c r="D1518" s="231">
        <f t="shared" si="165"/>
        <v>44783</v>
      </c>
      <c r="E1518" s="233">
        <f>DATE(A1518,B1518,C1518)</f>
        <v>44783</v>
      </c>
      <c r="F1518" s="478" t="s">
        <v>1178</v>
      </c>
      <c r="G1518" s="222" t="s">
        <v>1111</v>
      </c>
      <c r="H1518" s="223" t="str" cm="1">
        <f t="array" ref="H1518">IFERROR(INDEX(INVESTOR_LIST[INVESTOR NAME],MATCH(I1518,INVESTOR_LIST[INVESTOR CODE],0),)," ")</f>
        <v xml:space="preserve"> </v>
      </c>
      <c r="I1518" s="223"/>
      <c r="J1518" s="224" t="s">
        <v>189</v>
      </c>
      <c r="K1518" s="225">
        <v>9000</v>
      </c>
      <c r="L1518" s="225"/>
      <c r="O1518" s="166"/>
    </row>
    <row r="1519" spans="1:15" ht="11.25" customHeight="1" x14ac:dyDescent="0.2">
      <c r="A1519" s="226">
        <v>2022</v>
      </c>
      <c r="B1519" s="226">
        <v>8</v>
      </c>
      <c r="C1519" s="226">
        <v>10</v>
      </c>
      <c r="D1519" s="232">
        <f t="shared" si="165"/>
        <v>44783</v>
      </c>
      <c r="E1519" s="234">
        <f>DATE(A1519,B1519,C1519)</f>
        <v>44783</v>
      </c>
      <c r="F1519" s="479"/>
      <c r="G1519" s="227" t="s">
        <v>1111</v>
      </c>
      <c r="H1519" s="228" t="str" cm="1">
        <f t="array" ref="H1519">IFERROR(INDEX(INVESTOR_LIST[INVESTOR NAME],MATCH(I1519,INVESTOR_LIST[INVESTOR CODE],0),)," ")</f>
        <v xml:space="preserve"> </v>
      </c>
      <c r="I1519" s="228"/>
      <c r="J1519" s="229" t="s">
        <v>55</v>
      </c>
      <c r="K1519" s="230"/>
      <c r="L1519" s="230">
        <v>9000</v>
      </c>
    </row>
    <row r="1520" spans="1:15" ht="11.25" customHeight="1" x14ac:dyDescent="0.2">
      <c r="A1520" s="221">
        <v>2022</v>
      </c>
      <c r="B1520" s="221">
        <v>8</v>
      </c>
      <c r="C1520" s="221">
        <v>10</v>
      </c>
      <c r="D1520" s="221">
        <f t="shared" si="165"/>
        <v>44783</v>
      </c>
      <c r="E1520" s="233">
        <f t="shared" ref="E1520:E1524" si="168">DATE(A1520,B1520,C1520)</f>
        <v>44783</v>
      </c>
      <c r="F1520" s="478" t="s">
        <v>1269</v>
      </c>
      <c r="G1520" s="222" t="s">
        <v>86</v>
      </c>
      <c r="H1520" s="222" t="str" cm="1">
        <f t="array" ref="H1520">IFERROR(INDEX(INVESTOR_LIST[INVESTOR NAME],MATCH(I1520,INVESTOR_LIST[INVESTOR CODE],0),)," ")</f>
        <v xml:space="preserve"> </v>
      </c>
      <c r="I1520" s="223"/>
      <c r="J1520" s="224" t="s">
        <v>80</v>
      </c>
      <c r="K1520" s="225">
        <v>1519552</v>
      </c>
      <c r="L1520" s="225"/>
    </row>
    <row r="1521" spans="1:12" ht="11.25" customHeight="1" x14ac:dyDescent="0.2">
      <c r="A1521" s="164">
        <v>2022</v>
      </c>
      <c r="B1521" s="164">
        <v>8</v>
      </c>
      <c r="C1521" s="164">
        <v>10</v>
      </c>
      <c r="D1521" s="164">
        <f t="shared" si="165"/>
        <v>44783</v>
      </c>
      <c r="E1521" s="235">
        <f t="shared" si="168"/>
        <v>44783</v>
      </c>
      <c r="F1521" s="480"/>
      <c r="G1521" s="208" t="s">
        <v>86</v>
      </c>
      <c r="H1521" s="208"/>
      <c r="J1521" s="165" t="s">
        <v>960</v>
      </c>
      <c r="K1521" s="205">
        <v>11420.67</v>
      </c>
      <c r="L1521" s="205"/>
    </row>
    <row r="1522" spans="1:12" ht="11.25" customHeight="1" x14ac:dyDescent="0.2">
      <c r="A1522" s="164">
        <v>2022</v>
      </c>
      <c r="B1522" s="164">
        <v>8</v>
      </c>
      <c r="C1522" s="164">
        <v>10</v>
      </c>
      <c r="D1522" s="164">
        <f t="shared" si="165"/>
        <v>44783</v>
      </c>
      <c r="E1522" s="235">
        <f t="shared" si="168"/>
        <v>44783</v>
      </c>
      <c r="F1522" s="480"/>
      <c r="G1522" s="208" t="s">
        <v>86</v>
      </c>
      <c r="H1522" s="208"/>
      <c r="J1522" s="165" t="s">
        <v>199</v>
      </c>
      <c r="K1522" s="263">
        <v>3294283.54</v>
      </c>
      <c r="L1522" s="205"/>
    </row>
    <row r="1523" spans="1:12" ht="11.25" customHeight="1" x14ac:dyDescent="0.2">
      <c r="A1523" s="164">
        <v>2022</v>
      </c>
      <c r="B1523" s="164">
        <v>8</v>
      </c>
      <c r="C1523" s="164">
        <v>10</v>
      </c>
      <c r="D1523" s="164">
        <f t="shared" si="165"/>
        <v>44783</v>
      </c>
      <c r="E1523" s="235">
        <f t="shared" si="168"/>
        <v>44783</v>
      </c>
      <c r="F1523" s="480"/>
      <c r="G1523" s="208" t="s">
        <v>86</v>
      </c>
      <c r="H1523" s="208"/>
      <c r="J1523" s="165" t="s">
        <v>200</v>
      </c>
      <c r="L1523" s="263">
        <v>516894.51</v>
      </c>
    </row>
    <row r="1524" spans="1:12" ht="11.25" customHeight="1" x14ac:dyDescent="0.2">
      <c r="A1524" s="226">
        <v>2022</v>
      </c>
      <c r="B1524" s="226">
        <v>8</v>
      </c>
      <c r="C1524" s="226">
        <v>10</v>
      </c>
      <c r="D1524" s="226">
        <f t="shared" si="165"/>
        <v>44783</v>
      </c>
      <c r="E1524" s="234">
        <f t="shared" si="168"/>
        <v>44783</v>
      </c>
      <c r="F1524" s="479"/>
      <c r="G1524" s="227" t="s">
        <v>86</v>
      </c>
      <c r="H1524" s="228" t="str" cm="1">
        <f t="array" ref="H1524">IFERROR(INDEX(INVESTOR_LIST[INVESTOR NAME],MATCH(I1524,INVESTOR_LIST[INVESTOR CODE],0),)," ")</f>
        <v xml:space="preserve"> </v>
      </c>
      <c r="I1524" s="228"/>
      <c r="J1524" s="229" t="s">
        <v>80</v>
      </c>
      <c r="K1524" s="230"/>
      <c r="L1524" s="230">
        <v>4308361.7</v>
      </c>
    </row>
    <row r="1525" spans="1:12" ht="11.25" customHeight="1" x14ac:dyDescent="0.2">
      <c r="A1525" s="221">
        <v>2022</v>
      </c>
      <c r="B1525" s="221">
        <v>8</v>
      </c>
      <c r="C1525" s="221">
        <v>11</v>
      </c>
      <c r="D1525" s="231">
        <f t="shared" si="165"/>
        <v>44784</v>
      </c>
      <c r="E1525" s="233">
        <f t="shared" si="167"/>
        <v>44784</v>
      </c>
      <c r="F1525" s="478" t="s">
        <v>1115</v>
      </c>
      <c r="G1525" s="222" t="s">
        <v>1111</v>
      </c>
      <c r="H1525" s="223" t="str" cm="1">
        <f t="array" ref="H1525">IFERROR(INDEX(INVESTOR_LIST[INVESTOR NAME],MATCH(I1525,INVESTOR_LIST[INVESTOR CODE],0),)," ")</f>
        <v>RAHNUMA SULTANA</v>
      </c>
      <c r="I1525" s="223" t="s">
        <v>395</v>
      </c>
      <c r="J1525" s="224" t="s">
        <v>14</v>
      </c>
      <c r="K1525" s="225">
        <v>300100</v>
      </c>
      <c r="L1525" s="225"/>
    </row>
    <row r="1526" spans="1:12" ht="11.25" customHeight="1" x14ac:dyDescent="0.2">
      <c r="A1526" s="164">
        <v>2022</v>
      </c>
      <c r="B1526" s="164">
        <v>8</v>
      </c>
      <c r="C1526" s="164">
        <v>11</v>
      </c>
      <c r="D1526" s="156">
        <f t="shared" si="165"/>
        <v>44784</v>
      </c>
      <c r="E1526" s="235">
        <f t="shared" si="167"/>
        <v>44784</v>
      </c>
      <c r="F1526" s="480"/>
      <c r="G1526" s="208" t="s">
        <v>1111</v>
      </c>
      <c r="H1526" s="206" t="str" cm="1">
        <f t="array" ref="H1526">IFERROR(INDEX(INVESTOR_LIST[INVESTOR NAME],MATCH(I1526,INVESTOR_LIST[INVESTOR CODE],0),)," ")</f>
        <v>RAHNUMA SULTANA</v>
      </c>
      <c r="I1526" s="206" t="s">
        <v>395</v>
      </c>
      <c r="J1526" s="165" t="s">
        <v>1112</v>
      </c>
      <c r="L1526" s="205">
        <v>4201.3999999999996</v>
      </c>
    </row>
    <row r="1527" spans="1:12" ht="11.25" customHeight="1" x14ac:dyDescent="0.2">
      <c r="A1527" s="226">
        <v>2022</v>
      </c>
      <c r="B1527" s="226">
        <v>8</v>
      </c>
      <c r="C1527" s="226">
        <v>11</v>
      </c>
      <c r="D1527" s="232">
        <f t="shared" si="165"/>
        <v>44784</v>
      </c>
      <c r="E1527" s="234">
        <f t="shared" si="167"/>
        <v>44784</v>
      </c>
      <c r="F1527" s="479"/>
      <c r="G1527" s="227" t="s">
        <v>1111</v>
      </c>
      <c r="H1527" s="228" t="str" cm="1">
        <f t="array" ref="H1527">IFERROR(INDEX(INVESTOR_LIST[INVESTOR NAME],MATCH(I1527,INVESTOR_LIST[INVESTOR CODE],0),)," ")</f>
        <v>RAHNUMA SULTANA</v>
      </c>
      <c r="I1527" s="228" t="s">
        <v>395</v>
      </c>
      <c r="J1527" s="229" t="s">
        <v>55</v>
      </c>
      <c r="K1527" s="230"/>
      <c r="L1527" s="230">
        <v>295898.59999999998</v>
      </c>
    </row>
    <row r="1528" spans="1:12" ht="11.25" customHeight="1" x14ac:dyDescent="0.2">
      <c r="A1528" s="236">
        <v>2022</v>
      </c>
      <c r="B1528" s="236">
        <v>8</v>
      </c>
      <c r="C1528" s="236">
        <v>11</v>
      </c>
      <c r="D1528" s="237">
        <f t="shared" si="165"/>
        <v>44784</v>
      </c>
      <c r="E1528" s="238">
        <f t="shared" ref="E1528:E1555" si="169">DATE(A1528,B1528,C1528)</f>
        <v>44784</v>
      </c>
      <c r="F1528" s="476" t="s">
        <v>1118</v>
      </c>
      <c r="G1528" s="239" t="s">
        <v>86</v>
      </c>
      <c r="H1528" s="239" t="str" cm="1">
        <f t="array" ref="H1528">IFERROR(INDEX(INVESTOR_LIST[INVESTOR NAME],MATCH(I1528,INVESTOR_LIST[INVESTOR CODE],0),)," ")</f>
        <v xml:space="preserve"> </v>
      </c>
      <c r="I1528" s="240"/>
      <c r="J1528" s="241" t="s">
        <v>82</v>
      </c>
      <c r="K1528" s="242">
        <v>1618781.5</v>
      </c>
      <c r="L1528" s="242"/>
    </row>
    <row r="1529" spans="1:12" ht="11.25" customHeight="1" x14ac:dyDescent="0.2">
      <c r="A1529" s="243">
        <v>2022</v>
      </c>
      <c r="B1529" s="243">
        <v>8</v>
      </c>
      <c r="C1529" s="243">
        <v>11</v>
      </c>
      <c r="D1529" s="248">
        <f t="shared" si="165"/>
        <v>44784</v>
      </c>
      <c r="E1529" s="249">
        <f t="shared" si="169"/>
        <v>44784</v>
      </c>
      <c r="F1529" s="477"/>
      <c r="G1529" s="244" t="s">
        <v>86</v>
      </c>
      <c r="H1529" s="244" t="str" cm="1">
        <f t="array" ref="H1529">IFERROR(INDEX(INVESTOR_LIST[INVESTOR NAME],MATCH(I1529,INVESTOR_LIST[INVESTOR CODE],0),)," ")</f>
        <v xml:space="preserve"> </v>
      </c>
      <c r="I1529" s="245"/>
      <c r="J1529" s="246" t="s">
        <v>98</v>
      </c>
      <c r="K1529" s="247"/>
      <c r="L1529" s="247">
        <v>1618781.5</v>
      </c>
    </row>
    <row r="1530" spans="1:12" ht="11.25" customHeight="1" x14ac:dyDescent="0.2">
      <c r="A1530" s="236">
        <v>2022</v>
      </c>
      <c r="B1530" s="236">
        <v>8</v>
      </c>
      <c r="C1530" s="236">
        <v>11</v>
      </c>
      <c r="D1530" s="237">
        <f t="shared" si="165"/>
        <v>44784</v>
      </c>
      <c r="E1530" s="238">
        <f t="shared" si="169"/>
        <v>44784</v>
      </c>
      <c r="F1530" s="476" t="s">
        <v>1120</v>
      </c>
      <c r="G1530" s="239" t="s">
        <v>86</v>
      </c>
      <c r="H1530" s="239" t="str" cm="1">
        <f t="array" ref="H1530">IFERROR(INDEX(INVESTOR_LIST[INVESTOR NAME],MATCH(I1530,INVESTOR_LIST[INVESTOR CODE],0),)," ")</f>
        <v xml:space="preserve"> </v>
      </c>
      <c r="I1530" s="240"/>
      <c r="J1530" s="241" t="s">
        <v>87</v>
      </c>
      <c r="K1530" s="242">
        <v>2747.2527472527472</v>
      </c>
      <c r="L1530" s="242"/>
    </row>
    <row r="1531" spans="1:12" ht="11.25" customHeight="1" x14ac:dyDescent="0.2">
      <c r="A1531" s="243">
        <v>2022</v>
      </c>
      <c r="B1531" s="243">
        <v>8</v>
      </c>
      <c r="C1531" s="243">
        <v>11</v>
      </c>
      <c r="D1531" s="248">
        <f t="shared" si="165"/>
        <v>44784</v>
      </c>
      <c r="E1531" s="249">
        <f t="shared" si="169"/>
        <v>44784</v>
      </c>
      <c r="F1531" s="477"/>
      <c r="G1531" s="244" t="s">
        <v>86</v>
      </c>
      <c r="H1531" s="244" t="str" cm="1">
        <f t="array" ref="H1531">IFERROR(INDEX(INVESTOR_LIST[INVESTOR NAME],MATCH(I1531,INVESTOR_LIST[INVESTOR CODE],0),)," ")</f>
        <v xml:space="preserve"> </v>
      </c>
      <c r="I1531" s="245"/>
      <c r="J1531" s="246" t="s">
        <v>64</v>
      </c>
      <c r="K1531" s="247"/>
      <c r="L1531" s="247">
        <v>2747.2527472527472</v>
      </c>
    </row>
    <row r="1532" spans="1:12" ht="11.25" customHeight="1" x14ac:dyDescent="0.2">
      <c r="A1532" s="236">
        <v>2022</v>
      </c>
      <c r="B1532" s="236">
        <v>8</v>
      </c>
      <c r="C1532" s="236">
        <v>11</v>
      </c>
      <c r="D1532" s="237">
        <f t="shared" si="165"/>
        <v>44784</v>
      </c>
      <c r="E1532" s="238">
        <f t="shared" si="169"/>
        <v>44784</v>
      </c>
      <c r="F1532" s="476" t="s">
        <v>1121</v>
      </c>
      <c r="G1532" s="239" t="s">
        <v>86</v>
      </c>
      <c r="H1532" s="239" t="str" cm="1">
        <f t="array" ref="H1532">IFERROR(INDEX(INVESTOR_LIST[INVESTOR NAME],MATCH(I1532,INVESTOR_LIST[INVESTOR CODE],0),)," ")</f>
        <v xml:space="preserve"> </v>
      </c>
      <c r="I1532" s="240"/>
      <c r="J1532" s="241" t="s">
        <v>89</v>
      </c>
      <c r="K1532" s="242">
        <v>96600.385537275724</v>
      </c>
      <c r="L1532" s="242"/>
    </row>
    <row r="1533" spans="1:12" ht="11.25" customHeight="1" x14ac:dyDescent="0.2">
      <c r="A1533" s="243">
        <v>2022</v>
      </c>
      <c r="B1533" s="243">
        <v>8</v>
      </c>
      <c r="C1533" s="243">
        <v>11</v>
      </c>
      <c r="D1533" s="248">
        <f t="shared" si="165"/>
        <v>44784</v>
      </c>
      <c r="E1533" s="249">
        <f t="shared" si="169"/>
        <v>44784</v>
      </c>
      <c r="F1533" s="477"/>
      <c r="G1533" s="244" t="s">
        <v>86</v>
      </c>
      <c r="H1533" s="244" t="str" cm="1">
        <f t="array" ref="H1533">IFERROR(INDEX(INVESTOR_LIST[INVESTOR NAME],MATCH(I1533,INVESTOR_LIST[INVESTOR CODE],0),)," ")</f>
        <v xml:space="preserve"> </v>
      </c>
      <c r="I1533" s="245"/>
      <c r="J1533" s="246" t="s">
        <v>50</v>
      </c>
      <c r="K1533" s="247"/>
      <c r="L1533" s="247">
        <v>96600.385537275724</v>
      </c>
    </row>
    <row r="1534" spans="1:12" ht="11.25" customHeight="1" x14ac:dyDescent="0.2">
      <c r="A1534" s="236">
        <v>2022</v>
      </c>
      <c r="B1534" s="236">
        <v>8</v>
      </c>
      <c r="C1534" s="236">
        <v>11</v>
      </c>
      <c r="D1534" s="237">
        <f t="shared" si="165"/>
        <v>44784</v>
      </c>
      <c r="E1534" s="238">
        <f t="shared" si="169"/>
        <v>44784</v>
      </c>
      <c r="F1534" s="476" t="s">
        <v>1122</v>
      </c>
      <c r="G1534" s="239" t="s">
        <v>86</v>
      </c>
      <c r="H1534" s="239" t="str" cm="1">
        <f t="array" ref="H1534">IFERROR(INDEX(INVESTOR_LIST[INVESTOR NAME],MATCH(I1534,INVESTOR_LIST[INVESTOR CODE],0),)," ")</f>
        <v xml:space="preserve"> </v>
      </c>
      <c r="I1534" s="240"/>
      <c r="J1534" s="241" t="s">
        <v>91</v>
      </c>
      <c r="K1534" s="242">
        <v>4589.634661479171</v>
      </c>
      <c r="L1534" s="242"/>
    </row>
    <row r="1535" spans="1:12" ht="11.25" customHeight="1" x14ac:dyDescent="0.2">
      <c r="A1535" s="243">
        <v>2022</v>
      </c>
      <c r="B1535" s="243">
        <v>8</v>
      </c>
      <c r="C1535" s="243">
        <v>11</v>
      </c>
      <c r="D1535" s="248">
        <f t="shared" si="165"/>
        <v>44784</v>
      </c>
      <c r="E1535" s="249">
        <f t="shared" si="169"/>
        <v>44784</v>
      </c>
      <c r="F1535" s="477"/>
      <c r="G1535" s="244" t="s">
        <v>86</v>
      </c>
      <c r="H1535" s="244" t="str" cm="1">
        <f t="array" ref="H1535">IFERROR(INDEX(INVESTOR_LIST[INVESTOR NAME],MATCH(I1535,INVESTOR_LIST[INVESTOR CODE],0),)," ")</f>
        <v xml:space="preserve"> </v>
      </c>
      <c r="I1535" s="245"/>
      <c r="J1535" s="246" t="s">
        <v>51</v>
      </c>
      <c r="K1535" s="247"/>
      <c r="L1535" s="247">
        <v>4589.634661479171</v>
      </c>
    </row>
    <row r="1536" spans="1:12" ht="11.25" customHeight="1" x14ac:dyDescent="0.2">
      <c r="A1536" s="221">
        <v>2022</v>
      </c>
      <c r="B1536" s="221">
        <v>8</v>
      </c>
      <c r="C1536" s="221">
        <v>14</v>
      </c>
      <c r="D1536" s="231">
        <f t="shared" si="165"/>
        <v>44787</v>
      </c>
      <c r="E1536" s="233">
        <f>DATE(A1536,B1536,C1536)</f>
        <v>44787</v>
      </c>
      <c r="F1536" s="478" t="s">
        <v>1267</v>
      </c>
      <c r="G1536" s="222" t="s">
        <v>1111</v>
      </c>
      <c r="H1536" s="223" t="str" cm="1">
        <f t="array" ref="H1536">IFERROR(INDEX(INVESTOR_LIST[INVESTOR NAME],MATCH(I1536,INVESTOR_LIST[INVESTOR CODE],0),)," ")</f>
        <v xml:space="preserve"> </v>
      </c>
      <c r="I1536" s="223"/>
      <c r="J1536" s="224" t="s">
        <v>55</v>
      </c>
      <c r="K1536" s="225">
        <v>3294283.54</v>
      </c>
      <c r="L1536" s="225"/>
    </row>
    <row r="1537" spans="1:12" ht="11.25" customHeight="1" x14ac:dyDescent="0.2">
      <c r="A1537" s="226">
        <v>2022</v>
      </c>
      <c r="B1537" s="226">
        <v>8</v>
      </c>
      <c r="C1537" s="226">
        <v>14</v>
      </c>
      <c r="D1537" s="232">
        <f t="shared" si="165"/>
        <v>44787</v>
      </c>
      <c r="E1537" s="234">
        <f>DATE(A1537,B1537,C1537)</f>
        <v>44787</v>
      </c>
      <c r="F1537" s="479"/>
      <c r="G1537" s="227" t="s">
        <v>1111</v>
      </c>
      <c r="H1537" s="228" t="str" cm="1">
        <f t="array" ref="H1537">IFERROR(INDEX(INVESTOR_LIST[INVESTOR NAME],MATCH(I1537,INVESTOR_LIST[INVESTOR CODE],0),)," ")</f>
        <v xml:space="preserve"> </v>
      </c>
      <c r="I1537" s="228"/>
      <c r="J1537" s="229" t="s">
        <v>199</v>
      </c>
      <c r="K1537" s="230"/>
      <c r="L1537" s="230">
        <v>3294283.54</v>
      </c>
    </row>
    <row r="1538" spans="1:12" ht="11.25" customHeight="1" x14ac:dyDescent="0.2">
      <c r="A1538" s="221">
        <v>2022</v>
      </c>
      <c r="B1538" s="221">
        <v>8</v>
      </c>
      <c r="C1538" s="221">
        <v>16</v>
      </c>
      <c r="D1538" s="231">
        <f t="shared" si="165"/>
        <v>44789</v>
      </c>
      <c r="E1538" s="233">
        <f t="shared" ref="E1538:E1540" si="170">DATE(A1538,B1538,C1538)</f>
        <v>44789</v>
      </c>
      <c r="F1538" s="478" t="s">
        <v>1115</v>
      </c>
      <c r="G1538" s="222" t="s">
        <v>1111</v>
      </c>
      <c r="H1538" s="223" t="str" cm="1">
        <f t="array" ref="H1538">IFERROR(INDEX(INVESTOR_LIST[INVESTOR NAME],MATCH(I1538,INVESTOR_LIST[INVESTOR CODE],0),)," ")</f>
        <v>MOHAMMED ZAHID HOSSAIN</v>
      </c>
      <c r="I1538" s="223" t="s">
        <v>845</v>
      </c>
      <c r="J1538" s="224" t="s">
        <v>14</v>
      </c>
      <c r="K1538" s="225">
        <v>100000</v>
      </c>
      <c r="L1538" s="225"/>
    </row>
    <row r="1539" spans="1:12" ht="11.25" customHeight="1" x14ac:dyDescent="0.2">
      <c r="A1539" s="164">
        <v>2022</v>
      </c>
      <c r="B1539" s="164">
        <v>8</v>
      </c>
      <c r="C1539" s="164">
        <v>16</v>
      </c>
      <c r="D1539" s="156">
        <f t="shared" si="165"/>
        <v>44789</v>
      </c>
      <c r="E1539" s="235">
        <f t="shared" si="170"/>
        <v>44789</v>
      </c>
      <c r="F1539" s="480"/>
      <c r="G1539" s="208" t="s">
        <v>1111</v>
      </c>
      <c r="H1539" s="206" t="str" cm="1">
        <f t="array" ref="H1539">IFERROR(INDEX(INVESTOR_LIST[INVESTOR NAME],MATCH(I1539,INVESTOR_LIST[INVESTOR CODE],0),)," ")</f>
        <v>MOHAMMED ZAHID HOSSAIN</v>
      </c>
      <c r="I1539" s="206" t="s">
        <v>845</v>
      </c>
      <c r="J1539" s="165" t="s">
        <v>1112</v>
      </c>
      <c r="L1539" s="205">
        <v>1900</v>
      </c>
    </row>
    <row r="1540" spans="1:12" ht="11.25" customHeight="1" x14ac:dyDescent="0.2">
      <c r="A1540" s="226">
        <v>2022</v>
      </c>
      <c r="B1540" s="226">
        <v>8</v>
      </c>
      <c r="C1540" s="226">
        <v>16</v>
      </c>
      <c r="D1540" s="232">
        <f t="shared" si="165"/>
        <v>44789</v>
      </c>
      <c r="E1540" s="234">
        <f t="shared" si="170"/>
        <v>44789</v>
      </c>
      <c r="F1540" s="479"/>
      <c r="G1540" s="227" t="s">
        <v>1111</v>
      </c>
      <c r="H1540" s="228" t="str" cm="1">
        <f t="array" ref="H1540">IFERROR(INDEX(INVESTOR_LIST[INVESTOR NAME],MATCH(I1540,INVESTOR_LIST[INVESTOR CODE],0),)," ")</f>
        <v>MOHAMMED ZAHID HOSSAIN</v>
      </c>
      <c r="I1540" s="228" t="s">
        <v>845</v>
      </c>
      <c r="J1540" s="229" t="s">
        <v>55</v>
      </c>
      <c r="K1540" s="230"/>
      <c r="L1540" s="230">
        <v>98100</v>
      </c>
    </row>
    <row r="1541" spans="1:12" ht="11.25" customHeight="1" x14ac:dyDescent="0.2">
      <c r="A1541" s="221">
        <v>2022</v>
      </c>
      <c r="B1541" s="221">
        <v>8</v>
      </c>
      <c r="C1541" s="221">
        <v>16</v>
      </c>
      <c r="D1541" s="231">
        <f t="shared" si="165"/>
        <v>44789</v>
      </c>
      <c r="E1541" s="233">
        <f t="shared" ref="E1541:E1545" si="171">DATE(A1541,B1541,C1541)</f>
        <v>44789</v>
      </c>
      <c r="F1541" s="478" t="s">
        <v>1115</v>
      </c>
      <c r="G1541" s="222" t="s">
        <v>1111</v>
      </c>
      <c r="H1541" s="223" t="str" cm="1">
        <f t="array" ref="H1541">IFERROR(INDEX(INVESTOR_LIST[INVESTOR NAME],MATCH(I1541,INVESTOR_LIST[INVESTOR CODE],0),)," ")</f>
        <v>MD. ALAMGIR HOSSAIN</v>
      </c>
      <c r="I1541" s="223" t="s">
        <v>467</v>
      </c>
      <c r="J1541" s="224" t="s">
        <v>14</v>
      </c>
      <c r="K1541" s="225">
        <v>1000000</v>
      </c>
      <c r="L1541" s="225"/>
    </row>
    <row r="1542" spans="1:12" ht="11.25" customHeight="1" x14ac:dyDescent="0.2">
      <c r="A1542" s="164">
        <v>2022</v>
      </c>
      <c r="B1542" s="164">
        <v>8</v>
      </c>
      <c r="C1542" s="164">
        <v>16</v>
      </c>
      <c r="D1542" s="156">
        <f t="shared" si="165"/>
        <v>44789</v>
      </c>
      <c r="E1542" s="235">
        <f t="shared" si="171"/>
        <v>44789</v>
      </c>
      <c r="F1542" s="480"/>
      <c r="G1542" s="208" t="s">
        <v>1111</v>
      </c>
      <c r="H1542" s="206" t="str" cm="1">
        <f t="array" ref="H1542">IFERROR(INDEX(INVESTOR_LIST[INVESTOR NAME],MATCH(I1542,INVESTOR_LIST[INVESTOR CODE],0),)," ")</f>
        <v>MD. ALAMGIR HOSSAIN</v>
      </c>
      <c r="I1542" s="206" t="s">
        <v>467</v>
      </c>
      <c r="J1542" s="165" t="s">
        <v>1112</v>
      </c>
      <c r="L1542" s="205">
        <v>19000</v>
      </c>
    </row>
    <row r="1543" spans="1:12" ht="11.25" customHeight="1" x14ac:dyDescent="0.2">
      <c r="A1543" s="226">
        <v>2022</v>
      </c>
      <c r="B1543" s="226">
        <v>8</v>
      </c>
      <c r="C1543" s="226">
        <v>16</v>
      </c>
      <c r="D1543" s="232">
        <f t="shared" si="165"/>
        <v>44789</v>
      </c>
      <c r="E1543" s="234">
        <f t="shared" si="171"/>
        <v>44789</v>
      </c>
      <c r="F1543" s="479"/>
      <c r="G1543" s="227" t="s">
        <v>1111</v>
      </c>
      <c r="H1543" s="228" t="str" cm="1">
        <f t="array" ref="H1543">IFERROR(INDEX(INVESTOR_LIST[INVESTOR NAME],MATCH(I1543,INVESTOR_LIST[INVESTOR CODE],0),)," ")</f>
        <v>MD. ALAMGIR HOSSAIN</v>
      </c>
      <c r="I1543" s="228" t="s">
        <v>467</v>
      </c>
      <c r="J1543" s="229" t="s">
        <v>55</v>
      </c>
      <c r="K1543" s="230"/>
      <c r="L1543" s="230">
        <v>981000</v>
      </c>
    </row>
    <row r="1544" spans="1:12" ht="11.25" customHeight="1" x14ac:dyDescent="0.2">
      <c r="A1544" s="221">
        <v>2022</v>
      </c>
      <c r="B1544" s="221">
        <v>8</v>
      </c>
      <c r="C1544" s="221">
        <v>16</v>
      </c>
      <c r="D1544" s="231">
        <f t="shared" si="165"/>
        <v>44789</v>
      </c>
      <c r="E1544" s="233">
        <f t="shared" si="171"/>
        <v>44789</v>
      </c>
      <c r="F1544" s="478" t="s">
        <v>1288</v>
      </c>
      <c r="G1544" s="222" t="s">
        <v>1111</v>
      </c>
      <c r="H1544" s="223" t="str" cm="1">
        <f t="array" ref="H1544">IFERROR(INDEX(INVESTOR_LIST[INVESTOR NAME],MATCH(I1544,INVESTOR_LIST[INVESTOR CODE],0),)," ")</f>
        <v xml:space="preserve"> </v>
      </c>
      <c r="I1544" s="223"/>
      <c r="J1544" s="224" t="s">
        <v>63</v>
      </c>
      <c r="K1544" s="225">
        <v>100</v>
      </c>
      <c r="L1544" s="225"/>
    </row>
    <row r="1545" spans="1:12" ht="11.25" customHeight="1" x14ac:dyDescent="0.2">
      <c r="A1545" s="226">
        <v>2022</v>
      </c>
      <c r="B1545" s="226">
        <v>8</v>
      </c>
      <c r="C1545" s="226">
        <v>16</v>
      </c>
      <c r="D1545" s="232">
        <f t="shared" ref="D1545:D1608" si="172">DATE(A1545,B1545,C1545)</f>
        <v>44789</v>
      </c>
      <c r="E1545" s="234">
        <f t="shared" si="171"/>
        <v>44789</v>
      </c>
      <c r="F1545" s="479"/>
      <c r="G1545" s="227" t="s">
        <v>1111</v>
      </c>
      <c r="H1545" s="228" t="str" cm="1">
        <f t="array" ref="H1545">IFERROR(INDEX(INVESTOR_LIST[INVESTOR NAME],MATCH(I1545,INVESTOR_LIST[INVESTOR CODE],0),)," ")</f>
        <v xml:space="preserve"> </v>
      </c>
      <c r="I1545" s="228"/>
      <c r="J1545" s="229" t="s">
        <v>55</v>
      </c>
      <c r="K1545" s="230"/>
      <c r="L1545" s="230">
        <v>100</v>
      </c>
    </row>
    <row r="1546" spans="1:12" ht="11.25" customHeight="1" x14ac:dyDescent="0.2">
      <c r="A1546" s="221">
        <v>2022</v>
      </c>
      <c r="B1546" s="221">
        <v>8</v>
      </c>
      <c r="C1546" s="221">
        <v>16</v>
      </c>
      <c r="D1546" s="231">
        <f t="shared" si="172"/>
        <v>44789</v>
      </c>
      <c r="E1546" s="233">
        <f t="shared" si="169"/>
        <v>44789</v>
      </c>
      <c r="F1546" s="478" t="s">
        <v>1115</v>
      </c>
      <c r="G1546" s="222" t="s">
        <v>1111</v>
      </c>
      <c r="H1546" s="223" t="str" cm="1">
        <f t="array" ref="H1546">IFERROR(INDEX(INVESTOR_LIST[INVESTOR NAME],MATCH(I1546,INVESTOR_LIST[INVESTOR CODE],0),)," ")</f>
        <v>MD. ALAMGIR HOSSAIN</v>
      </c>
      <c r="I1546" s="223" t="s">
        <v>467</v>
      </c>
      <c r="J1546" s="224" t="s">
        <v>14</v>
      </c>
      <c r="K1546" s="225">
        <v>1000000</v>
      </c>
      <c r="L1546" s="225"/>
    </row>
    <row r="1547" spans="1:12" ht="11.25" customHeight="1" x14ac:dyDescent="0.2">
      <c r="A1547" s="164">
        <v>2022</v>
      </c>
      <c r="B1547" s="164">
        <v>8</v>
      </c>
      <c r="C1547" s="164">
        <v>16</v>
      </c>
      <c r="D1547" s="156">
        <f t="shared" si="172"/>
        <v>44789</v>
      </c>
      <c r="E1547" s="235">
        <f t="shared" si="169"/>
        <v>44789</v>
      </c>
      <c r="F1547" s="480"/>
      <c r="G1547" s="208" t="s">
        <v>1111</v>
      </c>
      <c r="H1547" s="206" t="str" cm="1">
        <f t="array" ref="H1547">IFERROR(INDEX(INVESTOR_LIST[INVESTOR NAME],MATCH(I1547,INVESTOR_LIST[INVESTOR CODE],0),)," ")</f>
        <v>MD. ALAMGIR HOSSAIN</v>
      </c>
      <c r="I1547" s="206" t="s">
        <v>467</v>
      </c>
      <c r="J1547" s="165" t="s">
        <v>1112</v>
      </c>
      <c r="L1547" s="205">
        <v>19000</v>
      </c>
    </row>
    <row r="1548" spans="1:12" ht="11.25" customHeight="1" x14ac:dyDescent="0.2">
      <c r="A1548" s="226">
        <v>2022</v>
      </c>
      <c r="B1548" s="226">
        <v>8</v>
      </c>
      <c r="C1548" s="226">
        <v>16</v>
      </c>
      <c r="D1548" s="232">
        <f t="shared" si="172"/>
        <v>44789</v>
      </c>
      <c r="E1548" s="234">
        <f t="shared" si="169"/>
        <v>44789</v>
      </c>
      <c r="F1548" s="479"/>
      <c r="G1548" s="227" t="s">
        <v>1111</v>
      </c>
      <c r="H1548" s="228" t="str" cm="1">
        <f t="array" ref="H1548">IFERROR(INDEX(INVESTOR_LIST[INVESTOR NAME],MATCH(I1548,INVESTOR_LIST[INVESTOR CODE],0),)," ")</f>
        <v>MD. ALAMGIR HOSSAIN</v>
      </c>
      <c r="I1548" s="228" t="s">
        <v>467</v>
      </c>
      <c r="J1548" s="229" t="s">
        <v>55</v>
      </c>
      <c r="K1548" s="230"/>
      <c r="L1548" s="230">
        <v>981000</v>
      </c>
    </row>
    <row r="1549" spans="1:12" ht="11.25" customHeight="1" x14ac:dyDescent="0.2">
      <c r="A1549" s="221">
        <v>2022</v>
      </c>
      <c r="B1549" s="221">
        <v>8</v>
      </c>
      <c r="C1549" s="221">
        <v>16</v>
      </c>
      <c r="D1549" s="231">
        <f t="shared" si="172"/>
        <v>44789</v>
      </c>
      <c r="E1549" s="233">
        <f t="shared" si="169"/>
        <v>44789</v>
      </c>
      <c r="F1549" s="478" t="s">
        <v>1288</v>
      </c>
      <c r="G1549" s="222" t="s">
        <v>1111</v>
      </c>
      <c r="H1549" s="223" t="str" cm="1">
        <f t="array" ref="H1549">IFERROR(INDEX(INVESTOR_LIST[INVESTOR NAME],MATCH(I1549,INVESTOR_LIST[INVESTOR CODE],0),)," ")</f>
        <v xml:space="preserve"> </v>
      </c>
      <c r="I1549" s="223"/>
      <c r="J1549" s="224" t="s">
        <v>63</v>
      </c>
      <c r="K1549" s="225">
        <v>100</v>
      </c>
      <c r="L1549" s="225"/>
    </row>
    <row r="1550" spans="1:12" ht="11.25" customHeight="1" x14ac:dyDescent="0.2">
      <c r="A1550" s="226">
        <v>2022</v>
      </c>
      <c r="B1550" s="226">
        <v>8</v>
      </c>
      <c r="C1550" s="226">
        <v>16</v>
      </c>
      <c r="D1550" s="232">
        <f t="shared" si="172"/>
        <v>44789</v>
      </c>
      <c r="E1550" s="234">
        <f t="shared" si="169"/>
        <v>44789</v>
      </c>
      <c r="F1550" s="479"/>
      <c r="G1550" s="227" t="s">
        <v>1111</v>
      </c>
      <c r="H1550" s="228" t="str" cm="1">
        <f t="array" ref="H1550">IFERROR(INDEX(INVESTOR_LIST[INVESTOR NAME],MATCH(I1550,INVESTOR_LIST[INVESTOR CODE],0),)," ")</f>
        <v xml:space="preserve"> </v>
      </c>
      <c r="I1550" s="228"/>
      <c r="J1550" s="229" t="s">
        <v>55</v>
      </c>
      <c r="K1550" s="230"/>
      <c r="L1550" s="230">
        <v>100</v>
      </c>
    </row>
    <row r="1551" spans="1:12" ht="11.25" customHeight="1" x14ac:dyDescent="0.2">
      <c r="A1551" s="221">
        <v>2022</v>
      </c>
      <c r="B1551" s="221">
        <v>8</v>
      </c>
      <c r="C1551" s="221">
        <v>16</v>
      </c>
      <c r="D1551" s="221">
        <f t="shared" si="172"/>
        <v>44789</v>
      </c>
      <c r="E1551" s="233">
        <f t="shared" si="169"/>
        <v>44789</v>
      </c>
      <c r="F1551" s="478" t="s">
        <v>1269</v>
      </c>
      <c r="G1551" s="222" t="s">
        <v>86</v>
      </c>
      <c r="H1551" s="222" t="str" cm="1">
        <f t="array" ref="H1551">IFERROR(INDEX(INVESTOR_LIST[INVESTOR NAME],MATCH(I1551,INVESTOR_LIST[INVESTOR CODE],0),)," ")</f>
        <v xml:space="preserve"> </v>
      </c>
      <c r="I1551" s="223"/>
      <c r="J1551" s="224" t="s">
        <v>80</v>
      </c>
      <c r="K1551" s="225">
        <v>1523640.6</v>
      </c>
      <c r="L1551" s="225"/>
    </row>
    <row r="1552" spans="1:12" ht="11.25" customHeight="1" x14ac:dyDescent="0.2">
      <c r="A1552" s="164">
        <v>2022</v>
      </c>
      <c r="B1552" s="164">
        <v>8</v>
      </c>
      <c r="C1552" s="164">
        <v>16</v>
      </c>
      <c r="D1552" s="164">
        <f t="shared" si="172"/>
        <v>44789</v>
      </c>
      <c r="E1552" s="235">
        <f t="shared" si="169"/>
        <v>44789</v>
      </c>
      <c r="F1552" s="480"/>
      <c r="G1552" s="208" t="s">
        <v>86</v>
      </c>
      <c r="H1552" s="208"/>
      <c r="J1552" s="165" t="s">
        <v>960</v>
      </c>
      <c r="K1552" s="205">
        <v>5088.3100000000004</v>
      </c>
      <c r="L1552" s="205"/>
    </row>
    <row r="1553" spans="1:12" ht="11.25" customHeight="1" x14ac:dyDescent="0.2">
      <c r="A1553" s="164">
        <v>2022</v>
      </c>
      <c r="B1553" s="164">
        <v>8</v>
      </c>
      <c r="C1553" s="164">
        <v>16</v>
      </c>
      <c r="D1553" s="164">
        <f t="shared" si="172"/>
        <v>44789</v>
      </c>
      <c r="E1553" s="235">
        <f t="shared" si="169"/>
        <v>44789</v>
      </c>
      <c r="F1553" s="480"/>
      <c r="G1553" s="208" t="s">
        <v>86</v>
      </c>
      <c r="H1553" s="208"/>
      <c r="J1553" s="165" t="s">
        <v>961</v>
      </c>
      <c r="K1553" s="263"/>
      <c r="L1553" s="205">
        <v>225528.91</v>
      </c>
    </row>
    <row r="1554" spans="1:12" ht="11.25" customHeight="1" x14ac:dyDescent="0.2">
      <c r="A1554" s="164">
        <v>2022</v>
      </c>
      <c r="B1554" s="164">
        <v>8</v>
      </c>
      <c r="C1554" s="164">
        <v>16</v>
      </c>
      <c r="D1554" s="164">
        <f t="shared" si="172"/>
        <v>44789</v>
      </c>
      <c r="E1554" s="235">
        <f t="shared" si="169"/>
        <v>44789</v>
      </c>
      <c r="F1554" s="480"/>
      <c r="G1554" s="208" t="s">
        <v>86</v>
      </c>
      <c r="H1554" s="208"/>
      <c r="J1554" s="165" t="s">
        <v>200</v>
      </c>
      <c r="K1554" s="263">
        <v>36739.81</v>
      </c>
      <c r="L1554" s="156"/>
    </row>
    <row r="1555" spans="1:12" ht="11.25" customHeight="1" x14ac:dyDescent="0.2">
      <c r="A1555" s="226">
        <v>2022</v>
      </c>
      <c r="B1555" s="226">
        <v>8</v>
      </c>
      <c r="C1555" s="226">
        <v>16</v>
      </c>
      <c r="D1555" s="226">
        <f t="shared" si="172"/>
        <v>44789</v>
      </c>
      <c r="E1555" s="234">
        <f t="shared" si="169"/>
        <v>44789</v>
      </c>
      <c r="F1555" s="479"/>
      <c r="G1555" s="227" t="s">
        <v>86</v>
      </c>
      <c r="H1555" s="228" t="str" cm="1">
        <f t="array" ref="H1555">IFERROR(INDEX(INVESTOR_LIST[INVESTOR NAME],MATCH(I1555,INVESTOR_LIST[INVESTOR CODE],0),)," ")</f>
        <v xml:space="preserve"> </v>
      </c>
      <c r="I1555" s="228"/>
      <c r="J1555" s="229" t="s">
        <v>80</v>
      </c>
      <c r="K1555" s="230"/>
      <c r="L1555" s="230">
        <v>1339939.81</v>
      </c>
    </row>
    <row r="1556" spans="1:12" ht="11.25" customHeight="1" x14ac:dyDescent="0.2">
      <c r="A1556" s="221">
        <v>2022</v>
      </c>
      <c r="B1556" s="221">
        <v>8</v>
      </c>
      <c r="C1556" s="221">
        <v>17</v>
      </c>
      <c r="D1556" s="231">
        <f t="shared" si="172"/>
        <v>44790</v>
      </c>
      <c r="E1556" s="233">
        <f t="shared" ref="E1556:E1557" si="173">DATE(A1556,B1556,C1556)</f>
        <v>44790</v>
      </c>
      <c r="F1556" s="478" t="s">
        <v>1142</v>
      </c>
      <c r="G1556" s="222" t="s">
        <v>1111</v>
      </c>
      <c r="H1556" s="223" t="str" cm="1">
        <f t="array" ref="H1556">IFERROR(INDEX(INVESTOR_LIST[INVESTOR NAME],MATCH(I1556,INVESTOR_LIST[INVESTOR CODE],0),)," ")</f>
        <v xml:space="preserve"> </v>
      </c>
      <c r="I1556" s="223"/>
      <c r="J1556" s="224" t="s">
        <v>189</v>
      </c>
      <c r="K1556" s="225">
        <v>1575</v>
      </c>
      <c r="L1556" s="225"/>
    </row>
    <row r="1557" spans="1:12" ht="11.25" customHeight="1" x14ac:dyDescent="0.2">
      <c r="A1557" s="226">
        <v>2022</v>
      </c>
      <c r="B1557" s="226">
        <v>8</v>
      </c>
      <c r="C1557" s="226">
        <v>17</v>
      </c>
      <c r="D1557" s="232">
        <f t="shared" si="172"/>
        <v>44790</v>
      </c>
      <c r="E1557" s="234">
        <f t="shared" si="173"/>
        <v>44790</v>
      </c>
      <c r="F1557" s="479"/>
      <c r="G1557" s="227" t="s">
        <v>1111</v>
      </c>
      <c r="H1557" s="228" t="str" cm="1">
        <f t="array" ref="H1557">IFERROR(INDEX(INVESTOR_LIST[INVESTOR NAME],MATCH(I1557,INVESTOR_LIST[INVESTOR CODE],0),)," ")</f>
        <v xml:space="preserve"> </v>
      </c>
      <c r="I1557" s="228"/>
      <c r="J1557" s="229" t="s">
        <v>55</v>
      </c>
      <c r="K1557" s="230"/>
      <c r="L1557" s="230">
        <v>1575</v>
      </c>
    </row>
    <row r="1558" spans="1:12" ht="11.25" customHeight="1" x14ac:dyDescent="0.2">
      <c r="A1558" s="221">
        <v>2022</v>
      </c>
      <c r="B1558" s="221">
        <v>8</v>
      </c>
      <c r="C1558" s="221">
        <v>17</v>
      </c>
      <c r="D1558" s="221">
        <f t="shared" si="172"/>
        <v>44790</v>
      </c>
      <c r="E1558" s="233">
        <f t="shared" ref="E1558:E1574" si="174">DATE(A1558,B1558,C1558)</f>
        <v>44790</v>
      </c>
      <c r="F1558" s="478" t="s">
        <v>1269</v>
      </c>
      <c r="G1558" s="222" t="s">
        <v>86</v>
      </c>
      <c r="H1558" s="222" t="str" cm="1">
        <f t="array" ref="H1558">IFERROR(INDEX(INVESTOR_LIST[INVESTOR NAME],MATCH(I1558,INVESTOR_LIST[INVESTOR CODE],0),)," ")</f>
        <v xml:space="preserve"> </v>
      </c>
      <c r="I1558" s="223"/>
      <c r="J1558" s="224" t="s">
        <v>80</v>
      </c>
      <c r="K1558" s="225">
        <v>1240592.8</v>
      </c>
      <c r="L1558" s="225"/>
    </row>
    <row r="1559" spans="1:12" ht="11.25" customHeight="1" x14ac:dyDescent="0.2">
      <c r="A1559" s="164">
        <v>2022</v>
      </c>
      <c r="B1559" s="164">
        <v>8</v>
      </c>
      <c r="C1559" s="164">
        <v>17</v>
      </c>
      <c r="D1559" s="164">
        <f t="shared" si="172"/>
        <v>44790</v>
      </c>
      <c r="E1559" s="235">
        <f t="shared" si="174"/>
        <v>44790</v>
      </c>
      <c r="F1559" s="480"/>
      <c r="G1559" s="208" t="s">
        <v>86</v>
      </c>
      <c r="H1559" s="208"/>
      <c r="J1559" s="165" t="s">
        <v>960</v>
      </c>
      <c r="K1559" s="205">
        <v>4579.3700000000008</v>
      </c>
      <c r="L1559" s="205"/>
    </row>
    <row r="1560" spans="1:12" ht="11.25" customHeight="1" x14ac:dyDescent="0.2">
      <c r="A1560" s="164">
        <v>2022</v>
      </c>
      <c r="B1560" s="164">
        <v>8</v>
      </c>
      <c r="C1560" s="164">
        <v>17</v>
      </c>
      <c r="D1560" s="164">
        <f t="shared" si="172"/>
        <v>44790</v>
      </c>
      <c r="E1560" s="235">
        <f t="shared" si="174"/>
        <v>44790</v>
      </c>
      <c r="F1560" s="480"/>
      <c r="G1560" s="208" t="s">
        <v>86</v>
      </c>
      <c r="H1560" s="208"/>
      <c r="J1560" s="165" t="s">
        <v>199</v>
      </c>
      <c r="K1560" s="263">
        <v>58328.33</v>
      </c>
      <c r="L1560" s="205"/>
    </row>
    <row r="1561" spans="1:12" ht="11.25" customHeight="1" x14ac:dyDescent="0.2">
      <c r="A1561" s="164">
        <v>2022</v>
      </c>
      <c r="B1561" s="164">
        <v>8</v>
      </c>
      <c r="C1561" s="164">
        <v>17</v>
      </c>
      <c r="D1561" s="164">
        <f t="shared" si="172"/>
        <v>44790</v>
      </c>
      <c r="E1561" s="235">
        <f t="shared" si="174"/>
        <v>44790</v>
      </c>
      <c r="F1561" s="480"/>
      <c r="G1561" s="208" t="s">
        <v>86</v>
      </c>
      <c r="H1561" s="208"/>
      <c r="J1561" s="165" t="s">
        <v>200</v>
      </c>
      <c r="K1561" s="263">
        <v>36439.31</v>
      </c>
      <c r="L1561" s="156"/>
    </row>
    <row r="1562" spans="1:12" ht="11.25" customHeight="1" x14ac:dyDescent="0.2">
      <c r="A1562" s="226">
        <v>2022</v>
      </c>
      <c r="B1562" s="226">
        <v>8</v>
      </c>
      <c r="C1562" s="226">
        <v>17</v>
      </c>
      <c r="D1562" s="226">
        <f t="shared" si="172"/>
        <v>44790</v>
      </c>
      <c r="E1562" s="234">
        <f t="shared" si="174"/>
        <v>44790</v>
      </c>
      <c r="F1562" s="479"/>
      <c r="G1562" s="227" t="s">
        <v>86</v>
      </c>
      <c r="H1562" s="228" t="str" cm="1">
        <f t="array" ref="H1562">IFERROR(INDEX(INVESTOR_LIST[INVESTOR NAME],MATCH(I1562,INVESTOR_LIST[INVESTOR CODE],0),)," ")</f>
        <v xml:space="preserve"> </v>
      </c>
      <c r="I1562" s="228"/>
      <c r="J1562" s="229" t="s">
        <v>80</v>
      </c>
      <c r="K1562" s="230"/>
      <c r="L1562" s="230">
        <v>1339939.81</v>
      </c>
    </row>
    <row r="1563" spans="1:12" ht="11.25" customHeight="1" x14ac:dyDescent="0.2">
      <c r="A1563" s="236">
        <v>2022</v>
      </c>
      <c r="B1563" s="236">
        <v>8</v>
      </c>
      <c r="C1563" s="236">
        <v>17</v>
      </c>
      <c r="D1563" s="237">
        <f t="shared" si="172"/>
        <v>44790</v>
      </c>
      <c r="E1563" s="238">
        <f t="shared" si="174"/>
        <v>44790</v>
      </c>
      <c r="F1563" s="476" t="s">
        <v>1118</v>
      </c>
      <c r="G1563" s="239" t="s">
        <v>86</v>
      </c>
      <c r="H1563" s="239" t="str" cm="1">
        <f t="array" ref="H1563">IFERROR(INDEX(INVESTOR_LIST[INVESTOR NAME],MATCH(I1563,INVESTOR_LIST[INVESTOR CODE],0),)," ")</f>
        <v xml:space="preserve"> </v>
      </c>
      <c r="I1563" s="240"/>
      <c r="J1563" s="241" t="s">
        <v>98</v>
      </c>
      <c r="K1563" s="242">
        <v>840646.21999999881</v>
      </c>
      <c r="L1563" s="242"/>
    </row>
    <row r="1564" spans="1:12" ht="11.25" customHeight="1" x14ac:dyDescent="0.2">
      <c r="A1564" s="243">
        <v>2022</v>
      </c>
      <c r="B1564" s="243">
        <v>8</v>
      </c>
      <c r="C1564" s="243">
        <v>17</v>
      </c>
      <c r="D1564" s="248">
        <f t="shared" si="172"/>
        <v>44790</v>
      </c>
      <c r="E1564" s="249">
        <f t="shared" si="174"/>
        <v>44790</v>
      </c>
      <c r="F1564" s="477"/>
      <c r="G1564" s="244" t="s">
        <v>86</v>
      </c>
      <c r="H1564" s="244" t="str" cm="1">
        <f t="array" ref="H1564">IFERROR(INDEX(INVESTOR_LIST[INVESTOR NAME],MATCH(I1564,INVESTOR_LIST[INVESTOR CODE],0),)," ")</f>
        <v xml:space="preserve"> </v>
      </c>
      <c r="I1564" s="245"/>
      <c r="J1564" s="246" t="s">
        <v>82</v>
      </c>
      <c r="K1564" s="247"/>
      <c r="L1564" s="247">
        <v>840646.21999999881</v>
      </c>
    </row>
    <row r="1565" spans="1:12" ht="11.25" customHeight="1" x14ac:dyDescent="0.2">
      <c r="A1565" s="236">
        <v>2022</v>
      </c>
      <c r="B1565" s="236">
        <v>8</v>
      </c>
      <c r="C1565" s="236">
        <v>17</v>
      </c>
      <c r="D1565" s="237">
        <f t="shared" si="172"/>
        <v>44790</v>
      </c>
      <c r="E1565" s="238">
        <f t="shared" si="174"/>
        <v>44790</v>
      </c>
      <c r="F1565" s="476" t="s">
        <v>1120</v>
      </c>
      <c r="G1565" s="239" t="s">
        <v>86</v>
      </c>
      <c r="H1565" s="239" t="str" cm="1">
        <f t="array" ref="H1565">IFERROR(INDEX(INVESTOR_LIST[INVESTOR NAME],MATCH(I1565,INVESTOR_LIST[INVESTOR CODE],0),)," ")</f>
        <v xml:space="preserve"> </v>
      </c>
      <c r="I1565" s="240"/>
      <c r="J1565" s="241" t="s">
        <v>87</v>
      </c>
      <c r="K1565" s="242">
        <v>2747.2527472527472</v>
      </c>
      <c r="L1565" s="242"/>
    </row>
    <row r="1566" spans="1:12" ht="11.25" customHeight="1" x14ac:dyDescent="0.2">
      <c r="A1566" s="243">
        <v>2022</v>
      </c>
      <c r="B1566" s="243">
        <v>8</v>
      </c>
      <c r="C1566" s="243">
        <v>17</v>
      </c>
      <c r="D1566" s="248">
        <f t="shared" si="172"/>
        <v>44790</v>
      </c>
      <c r="E1566" s="249">
        <f t="shared" si="174"/>
        <v>44790</v>
      </c>
      <c r="F1566" s="477"/>
      <c r="G1566" s="244" t="s">
        <v>86</v>
      </c>
      <c r="H1566" s="244" t="str" cm="1">
        <f t="array" ref="H1566">IFERROR(INDEX(INVESTOR_LIST[INVESTOR NAME],MATCH(I1566,INVESTOR_LIST[INVESTOR CODE],0),)," ")</f>
        <v xml:space="preserve"> </v>
      </c>
      <c r="I1566" s="245"/>
      <c r="J1566" s="246" t="s">
        <v>64</v>
      </c>
      <c r="K1566" s="247"/>
      <c r="L1566" s="247">
        <v>2747.2527472527472</v>
      </c>
    </row>
    <row r="1567" spans="1:12" ht="11.25" customHeight="1" x14ac:dyDescent="0.2">
      <c r="A1567" s="236">
        <v>2022</v>
      </c>
      <c r="B1567" s="236">
        <v>8</v>
      </c>
      <c r="C1567" s="236">
        <v>17</v>
      </c>
      <c r="D1567" s="237">
        <f t="shared" si="172"/>
        <v>44790</v>
      </c>
      <c r="E1567" s="238">
        <f t="shared" si="174"/>
        <v>44790</v>
      </c>
      <c r="F1567" s="476" t="s">
        <v>1121</v>
      </c>
      <c r="G1567" s="239" t="s">
        <v>86</v>
      </c>
      <c r="H1567" s="239" t="str" cm="1">
        <f t="array" ref="H1567">IFERROR(INDEX(INVESTOR_LIST[INVESTOR NAME],MATCH(I1567,INVESTOR_LIST[INVESTOR CODE],0),)," ")</f>
        <v xml:space="preserve"> </v>
      </c>
      <c r="I1567" s="240"/>
      <c r="J1567" s="241" t="s">
        <v>89</v>
      </c>
      <c r="K1567" s="242">
        <v>96058.842132296486</v>
      </c>
      <c r="L1567" s="242"/>
    </row>
    <row r="1568" spans="1:12" ht="11.25" customHeight="1" x14ac:dyDescent="0.2">
      <c r="A1568" s="243">
        <v>2022</v>
      </c>
      <c r="B1568" s="243">
        <v>8</v>
      </c>
      <c r="C1568" s="243">
        <v>17</v>
      </c>
      <c r="D1568" s="248">
        <f t="shared" si="172"/>
        <v>44790</v>
      </c>
      <c r="E1568" s="249">
        <f t="shared" si="174"/>
        <v>44790</v>
      </c>
      <c r="F1568" s="477"/>
      <c r="G1568" s="244" t="s">
        <v>86</v>
      </c>
      <c r="H1568" s="244" t="str" cm="1">
        <f t="array" ref="H1568">IFERROR(INDEX(INVESTOR_LIST[INVESTOR NAME],MATCH(I1568,INVESTOR_LIST[INVESTOR CODE],0),)," ")</f>
        <v xml:space="preserve"> </v>
      </c>
      <c r="I1568" s="245"/>
      <c r="J1568" s="246" t="s">
        <v>50</v>
      </c>
      <c r="K1568" s="247"/>
      <c r="L1568" s="247">
        <v>96058.842132296486</v>
      </c>
    </row>
    <row r="1569" spans="1:13" ht="11.25" customHeight="1" x14ac:dyDescent="0.2">
      <c r="A1569" s="236">
        <v>2022</v>
      </c>
      <c r="B1569" s="236">
        <v>8</v>
      </c>
      <c r="C1569" s="236">
        <v>17</v>
      </c>
      <c r="D1569" s="237">
        <f t="shared" si="172"/>
        <v>44790</v>
      </c>
      <c r="E1569" s="238">
        <f t="shared" si="174"/>
        <v>44790</v>
      </c>
      <c r="F1569" s="476" t="s">
        <v>1122</v>
      </c>
      <c r="G1569" s="239" t="s">
        <v>86</v>
      </c>
      <c r="H1569" s="239" t="str" cm="1">
        <f t="array" ref="H1569">IFERROR(INDEX(INVESTOR_LIST[INVESTOR NAME],MATCH(I1569,INVESTOR_LIST[INVESTOR CODE],0),)," ")</f>
        <v xml:space="preserve"> </v>
      </c>
      <c r="I1569" s="240"/>
      <c r="J1569" s="241" t="s">
        <v>91</v>
      </c>
      <c r="K1569" s="242">
        <v>4562.5574912302091</v>
      </c>
      <c r="L1569" s="242"/>
    </row>
    <row r="1570" spans="1:13" ht="11.25" customHeight="1" x14ac:dyDescent="0.2">
      <c r="A1570" s="243">
        <v>2022</v>
      </c>
      <c r="B1570" s="243">
        <v>8</v>
      </c>
      <c r="C1570" s="243">
        <v>17</v>
      </c>
      <c r="D1570" s="248">
        <f t="shared" si="172"/>
        <v>44790</v>
      </c>
      <c r="E1570" s="249">
        <f t="shared" si="174"/>
        <v>44790</v>
      </c>
      <c r="F1570" s="477"/>
      <c r="G1570" s="244" t="s">
        <v>86</v>
      </c>
      <c r="H1570" s="244" t="str" cm="1">
        <f t="array" ref="H1570">IFERROR(INDEX(INVESTOR_LIST[INVESTOR NAME],MATCH(I1570,INVESTOR_LIST[INVESTOR CODE],0),)," ")</f>
        <v xml:space="preserve"> </v>
      </c>
      <c r="I1570" s="245"/>
      <c r="J1570" s="246" t="s">
        <v>51</v>
      </c>
      <c r="K1570" s="247"/>
      <c r="L1570" s="247">
        <v>4562.5574912302091</v>
      </c>
    </row>
    <row r="1571" spans="1:13" ht="11.25" customHeight="1" x14ac:dyDescent="0.2">
      <c r="A1571" s="221">
        <v>2022</v>
      </c>
      <c r="B1571" s="221">
        <v>8</v>
      </c>
      <c r="C1571" s="221">
        <v>21</v>
      </c>
      <c r="D1571" s="231">
        <f t="shared" si="172"/>
        <v>44794</v>
      </c>
      <c r="E1571" s="233">
        <f t="shared" si="174"/>
        <v>44794</v>
      </c>
      <c r="F1571" s="478" t="s">
        <v>1268</v>
      </c>
      <c r="G1571" s="222" t="s">
        <v>1111</v>
      </c>
      <c r="H1571" s="223" t="str" cm="1">
        <f t="array" ref="H1571">IFERROR(INDEX(INVESTOR_LIST[INVESTOR NAME],MATCH(I1571,INVESTOR_LIST[INVESTOR CODE],0),)," ")</f>
        <v xml:space="preserve"> </v>
      </c>
      <c r="I1571" s="223"/>
      <c r="J1571" s="224" t="s">
        <v>961</v>
      </c>
      <c r="K1571" s="225">
        <v>225528.91</v>
      </c>
      <c r="L1571" s="225"/>
    </row>
    <row r="1572" spans="1:13" ht="11.25" customHeight="1" x14ac:dyDescent="0.2">
      <c r="A1572" s="226">
        <v>2022</v>
      </c>
      <c r="B1572" s="226">
        <v>8</v>
      </c>
      <c r="C1572" s="226">
        <v>21</v>
      </c>
      <c r="D1572" s="232">
        <f t="shared" si="172"/>
        <v>44794</v>
      </c>
      <c r="E1572" s="234">
        <f t="shared" si="174"/>
        <v>44794</v>
      </c>
      <c r="F1572" s="479"/>
      <c r="G1572" s="227" t="s">
        <v>1111</v>
      </c>
      <c r="H1572" s="228" t="str" cm="1">
        <f t="array" ref="H1572">IFERROR(INDEX(INVESTOR_LIST[INVESTOR NAME],MATCH(I1572,INVESTOR_LIST[INVESTOR CODE],0),)," ")</f>
        <v xml:space="preserve"> </v>
      </c>
      <c r="I1572" s="228"/>
      <c r="J1572" s="229" t="s">
        <v>55</v>
      </c>
      <c r="K1572" s="230"/>
      <c r="L1572" s="230">
        <v>225528.91</v>
      </c>
    </row>
    <row r="1573" spans="1:13" ht="11.25" customHeight="1" x14ac:dyDescent="0.2">
      <c r="A1573" s="221">
        <v>2022</v>
      </c>
      <c r="B1573" s="221">
        <v>8</v>
      </c>
      <c r="C1573" s="221">
        <v>21</v>
      </c>
      <c r="D1573" s="231">
        <f t="shared" si="172"/>
        <v>44794</v>
      </c>
      <c r="E1573" s="233">
        <f t="shared" si="174"/>
        <v>44794</v>
      </c>
      <c r="F1573" s="478" t="s">
        <v>1297</v>
      </c>
      <c r="G1573" s="222" t="s">
        <v>1111</v>
      </c>
      <c r="H1573" s="223" t="str" cm="1">
        <f t="array" ref="H1573">IFERROR(INDEX(INVESTOR_LIST[INVESTOR NAME],MATCH(I1573,INVESTOR_LIST[INVESTOR CODE],0),)," ")</f>
        <v xml:space="preserve"> </v>
      </c>
      <c r="I1573" s="223"/>
      <c r="J1573" s="224" t="s">
        <v>192</v>
      </c>
      <c r="K1573" s="225">
        <v>225000</v>
      </c>
      <c r="L1573" s="225"/>
    </row>
    <row r="1574" spans="1:13" ht="11.25" customHeight="1" x14ac:dyDescent="0.2">
      <c r="A1574" s="226">
        <v>2022</v>
      </c>
      <c r="B1574" s="226">
        <v>8</v>
      </c>
      <c r="C1574" s="226">
        <v>21</v>
      </c>
      <c r="D1574" s="232">
        <f t="shared" si="172"/>
        <v>44794</v>
      </c>
      <c r="E1574" s="234">
        <f t="shared" si="174"/>
        <v>44794</v>
      </c>
      <c r="F1574" s="479"/>
      <c r="G1574" s="227" t="s">
        <v>1111</v>
      </c>
      <c r="H1574" s="228" t="str" cm="1">
        <f t="array" ref="H1574">IFERROR(INDEX(INVESTOR_LIST[INVESTOR NAME],MATCH(I1574,INVESTOR_LIST[INVESTOR CODE],0),)," ")</f>
        <v xml:space="preserve"> </v>
      </c>
      <c r="I1574" s="228"/>
      <c r="J1574" s="229" t="s">
        <v>191</v>
      </c>
      <c r="K1574" s="230"/>
      <c r="L1574" s="230">
        <v>225000</v>
      </c>
      <c r="M1574" s="166"/>
    </row>
    <row r="1575" spans="1:13" ht="11.25" customHeight="1" x14ac:dyDescent="0.2">
      <c r="A1575" s="221">
        <v>2022</v>
      </c>
      <c r="B1575" s="221">
        <v>8</v>
      </c>
      <c r="C1575" s="221">
        <v>22</v>
      </c>
      <c r="D1575" s="231">
        <f t="shared" si="172"/>
        <v>44795</v>
      </c>
      <c r="E1575" s="233">
        <f>DATE(A1575,B1575,C1575)</f>
        <v>44795</v>
      </c>
      <c r="F1575" s="478" t="s">
        <v>1267</v>
      </c>
      <c r="G1575" s="222" t="s">
        <v>1111</v>
      </c>
      <c r="H1575" s="223" t="str" cm="1">
        <f t="array" ref="H1575">IFERROR(INDEX(INVESTOR_LIST[INVESTOR NAME],MATCH(I1575,INVESTOR_LIST[INVESTOR CODE],0),)," ")</f>
        <v xml:space="preserve"> </v>
      </c>
      <c r="I1575" s="223"/>
      <c r="J1575" s="224" t="s">
        <v>55</v>
      </c>
      <c r="K1575" s="225">
        <v>58328.33</v>
      </c>
      <c r="L1575" s="225"/>
    </row>
    <row r="1576" spans="1:13" ht="11.25" customHeight="1" x14ac:dyDescent="0.2">
      <c r="A1576" s="226">
        <v>2022</v>
      </c>
      <c r="B1576" s="226">
        <v>8</v>
      </c>
      <c r="C1576" s="226">
        <v>22</v>
      </c>
      <c r="D1576" s="232">
        <f t="shared" si="172"/>
        <v>44795</v>
      </c>
      <c r="E1576" s="234">
        <f>DATE(A1576,B1576,C1576)</f>
        <v>44795</v>
      </c>
      <c r="F1576" s="479"/>
      <c r="G1576" s="227" t="s">
        <v>1111</v>
      </c>
      <c r="H1576" s="228" t="str" cm="1">
        <f t="array" ref="H1576">IFERROR(INDEX(INVESTOR_LIST[INVESTOR NAME],MATCH(I1576,INVESTOR_LIST[INVESTOR CODE],0),)," ")</f>
        <v xml:space="preserve"> </v>
      </c>
      <c r="I1576" s="228"/>
      <c r="J1576" s="229" t="s">
        <v>199</v>
      </c>
      <c r="K1576" s="230"/>
      <c r="L1576" s="230">
        <v>58328.33</v>
      </c>
    </row>
    <row r="1577" spans="1:13" ht="11.25" customHeight="1" x14ac:dyDescent="0.2">
      <c r="A1577" s="221">
        <v>2022</v>
      </c>
      <c r="B1577" s="221">
        <v>8</v>
      </c>
      <c r="C1577" s="221">
        <v>23</v>
      </c>
      <c r="D1577" s="231">
        <f t="shared" si="172"/>
        <v>44796</v>
      </c>
      <c r="E1577" s="233">
        <f t="shared" ref="E1577:E1595" si="175">DATE(A1577,B1577,C1577)</f>
        <v>44796</v>
      </c>
      <c r="F1577" s="478" t="s">
        <v>1291</v>
      </c>
      <c r="G1577" s="222" t="s">
        <v>86</v>
      </c>
      <c r="H1577" s="222" t="str" cm="1">
        <f t="array" ref="H1577">IFERROR(INDEX(INVESTOR_LIST[INVESTOR NAME],MATCH(I1577,INVESTOR_LIST[INVESTOR CODE],0),)," ")</f>
        <v xml:space="preserve"> </v>
      </c>
      <c r="I1577" s="223"/>
      <c r="J1577" s="224" t="s">
        <v>196</v>
      </c>
      <c r="K1577" s="225">
        <v>750000</v>
      </c>
      <c r="L1577" s="225"/>
    </row>
    <row r="1578" spans="1:13" ht="11.25" customHeight="1" x14ac:dyDescent="0.2">
      <c r="A1578" s="164">
        <v>2022</v>
      </c>
      <c r="B1578" s="164">
        <v>8</v>
      </c>
      <c r="C1578" s="164">
        <v>23</v>
      </c>
      <c r="D1578" s="156">
        <f t="shared" si="172"/>
        <v>44796</v>
      </c>
      <c r="E1578" s="235">
        <f t="shared" si="175"/>
        <v>44796</v>
      </c>
      <c r="F1578" s="480"/>
      <c r="G1578" s="208" t="s">
        <v>86</v>
      </c>
      <c r="H1578" s="208"/>
      <c r="J1578" s="165" t="s">
        <v>197</v>
      </c>
      <c r="K1578" s="205">
        <v>3000</v>
      </c>
      <c r="L1578" s="205"/>
    </row>
    <row r="1579" spans="1:13" ht="11.25" customHeight="1" x14ac:dyDescent="0.2">
      <c r="A1579" s="164">
        <v>2022</v>
      </c>
      <c r="B1579" s="164">
        <v>8</v>
      </c>
      <c r="C1579" s="164">
        <v>23</v>
      </c>
      <c r="D1579" s="164">
        <f t="shared" si="172"/>
        <v>44796</v>
      </c>
      <c r="E1579" s="235">
        <f t="shared" si="175"/>
        <v>44796</v>
      </c>
      <c r="F1579" s="480"/>
      <c r="G1579" s="208" t="s">
        <v>86</v>
      </c>
      <c r="H1579" s="208" t="str" cm="1">
        <f t="array" ref="H1579">IFERROR(INDEX(INVESTOR_LIST[INVESTOR NAME],MATCH(I1579,INVESTOR_LIST[INVESTOR CODE],0),)," ")</f>
        <v xml:space="preserve"> </v>
      </c>
      <c r="J1579" s="165" t="s">
        <v>63</v>
      </c>
      <c r="K1579" s="205">
        <v>115</v>
      </c>
      <c r="L1579" s="205"/>
      <c r="M1579" s="166"/>
    </row>
    <row r="1580" spans="1:13" ht="11.25" customHeight="1" x14ac:dyDescent="0.2">
      <c r="A1580" s="226">
        <v>2022</v>
      </c>
      <c r="B1580" s="226">
        <v>8</v>
      </c>
      <c r="C1580" s="226">
        <v>23</v>
      </c>
      <c r="D1580" s="226">
        <f t="shared" si="172"/>
        <v>44796</v>
      </c>
      <c r="E1580" s="234">
        <f t="shared" si="175"/>
        <v>44796</v>
      </c>
      <c r="F1580" s="479"/>
      <c r="G1580" s="227" t="s">
        <v>86</v>
      </c>
      <c r="H1580" s="228" t="str" cm="1">
        <f t="array" ref="H1580">IFERROR(INDEX(INVESTOR_LIST[INVESTOR NAME],MATCH(I1580,INVESTOR_LIST[INVESTOR CODE],0),)," ")</f>
        <v xml:space="preserve"> </v>
      </c>
      <c r="I1580" s="228"/>
      <c r="J1580" s="229" t="s">
        <v>55</v>
      </c>
      <c r="K1580" s="230"/>
      <c r="L1580" s="230">
        <v>753115</v>
      </c>
      <c r="M1580" s="166"/>
    </row>
    <row r="1581" spans="1:13" ht="11.25" customHeight="1" x14ac:dyDescent="0.2">
      <c r="A1581" s="221">
        <v>2022</v>
      </c>
      <c r="B1581" s="221">
        <v>8</v>
      </c>
      <c r="C1581" s="221">
        <v>23</v>
      </c>
      <c r="D1581" s="231">
        <f t="shared" si="172"/>
        <v>44796</v>
      </c>
      <c r="E1581" s="233">
        <f t="shared" si="175"/>
        <v>44796</v>
      </c>
      <c r="F1581" s="478" t="s">
        <v>1292</v>
      </c>
      <c r="G1581" s="222" t="s">
        <v>1111</v>
      </c>
      <c r="H1581" s="223" t="str" cm="1">
        <f t="array" ref="H1581">IFERROR(INDEX(INVESTOR_LIST[INVESTOR NAME],MATCH(I1581,INVESTOR_LIST[INVESTOR CODE],0),)," ")</f>
        <v xml:space="preserve"> </v>
      </c>
      <c r="I1581" s="223"/>
      <c r="J1581" s="224" t="s">
        <v>95</v>
      </c>
      <c r="K1581" s="225">
        <v>1488.27</v>
      </c>
      <c r="L1581" s="225"/>
    </row>
    <row r="1582" spans="1:13" ht="11.25" customHeight="1" x14ac:dyDescent="0.2">
      <c r="A1582" s="226">
        <v>2022</v>
      </c>
      <c r="B1582" s="226">
        <v>8</v>
      </c>
      <c r="C1582" s="226">
        <v>23</v>
      </c>
      <c r="D1582" s="232">
        <f t="shared" si="172"/>
        <v>44796</v>
      </c>
      <c r="E1582" s="234">
        <f t="shared" si="175"/>
        <v>44796</v>
      </c>
      <c r="F1582" s="479"/>
      <c r="G1582" s="227" t="s">
        <v>1111</v>
      </c>
      <c r="H1582" s="228" t="str" cm="1">
        <f t="array" ref="H1582">IFERROR(INDEX(INVESTOR_LIST[INVESTOR NAME],MATCH(I1582,INVESTOR_LIST[INVESTOR CODE],0),)," ")</f>
        <v xml:space="preserve"> </v>
      </c>
      <c r="I1582" s="228"/>
      <c r="J1582" s="229" t="s">
        <v>55</v>
      </c>
      <c r="K1582" s="230"/>
      <c r="L1582" s="230">
        <v>1488.27</v>
      </c>
    </row>
    <row r="1583" spans="1:13" ht="11.25" customHeight="1" x14ac:dyDescent="0.2">
      <c r="A1583" s="221">
        <v>2022</v>
      </c>
      <c r="B1583" s="221">
        <v>8</v>
      </c>
      <c r="C1583" s="221">
        <v>25</v>
      </c>
      <c r="D1583" s="231">
        <f t="shared" si="172"/>
        <v>44798</v>
      </c>
      <c r="E1583" s="233">
        <f>DATE(A1583,B1583,C1583)</f>
        <v>44798</v>
      </c>
      <c r="F1583" s="478" t="s">
        <v>1298</v>
      </c>
      <c r="G1583" s="222" t="s">
        <v>1111</v>
      </c>
      <c r="H1583" s="223" t="str" cm="1">
        <f t="array" ref="H1583">IFERROR(INDEX(INVESTOR_LIST[INVESTOR NAME],MATCH(I1583,INVESTOR_LIST[INVESTOR CODE],0),)," ")</f>
        <v xml:space="preserve"> </v>
      </c>
      <c r="I1583" s="223"/>
      <c r="J1583" s="224" t="s">
        <v>55</v>
      </c>
      <c r="K1583" s="225">
        <v>100000</v>
      </c>
      <c r="L1583" s="225"/>
    </row>
    <row r="1584" spans="1:13" ht="11.25" customHeight="1" x14ac:dyDescent="0.2">
      <c r="A1584" s="226">
        <v>2022</v>
      </c>
      <c r="B1584" s="226">
        <v>8</v>
      </c>
      <c r="C1584" s="226">
        <v>25</v>
      </c>
      <c r="D1584" s="232">
        <f t="shared" si="172"/>
        <v>44798</v>
      </c>
      <c r="E1584" s="234">
        <f>DATE(A1584,B1584,C1584)</f>
        <v>44798</v>
      </c>
      <c r="F1584" s="479"/>
      <c r="G1584" s="227" t="s">
        <v>1111</v>
      </c>
      <c r="H1584" s="228" t="str" cm="1">
        <f t="array" ref="H1584">IFERROR(INDEX(INVESTOR_LIST[INVESTOR NAME],MATCH(I1584,INVESTOR_LIST[INVESTOR CODE],0),)," ")</f>
        <v xml:space="preserve"> </v>
      </c>
      <c r="I1584" s="228"/>
      <c r="J1584" s="229" t="s">
        <v>191</v>
      </c>
      <c r="K1584" s="230"/>
      <c r="L1584" s="230">
        <v>100000</v>
      </c>
    </row>
    <row r="1585" spans="1:13" ht="11.25" customHeight="1" x14ac:dyDescent="0.2">
      <c r="A1585" s="236">
        <v>2022</v>
      </c>
      <c r="B1585" s="236">
        <v>8</v>
      </c>
      <c r="C1585" s="236">
        <v>25</v>
      </c>
      <c r="D1585" s="237">
        <f t="shared" si="172"/>
        <v>44798</v>
      </c>
      <c r="E1585" s="238">
        <f t="shared" si="175"/>
        <v>44798</v>
      </c>
      <c r="F1585" s="476" t="s">
        <v>1118</v>
      </c>
      <c r="G1585" s="239" t="s">
        <v>86</v>
      </c>
      <c r="H1585" s="239" t="str" cm="1">
        <f t="array" ref="H1585">IFERROR(INDEX(INVESTOR_LIST[INVESTOR NAME],MATCH(I1585,INVESTOR_LIST[INVESTOR CODE],0),)," ")</f>
        <v xml:space="preserve"> </v>
      </c>
      <c r="I1585" s="240"/>
      <c r="J1585" s="241" t="s">
        <v>82</v>
      </c>
      <c r="K1585" s="242">
        <v>292200</v>
      </c>
      <c r="L1585" s="242"/>
    </row>
    <row r="1586" spans="1:13" ht="11.25" customHeight="1" x14ac:dyDescent="0.2">
      <c r="A1586" s="243">
        <v>2022</v>
      </c>
      <c r="B1586" s="243">
        <v>8</v>
      </c>
      <c r="C1586" s="243">
        <v>25</v>
      </c>
      <c r="D1586" s="248">
        <f t="shared" si="172"/>
        <v>44798</v>
      </c>
      <c r="E1586" s="249">
        <f t="shared" si="175"/>
        <v>44798</v>
      </c>
      <c r="F1586" s="477"/>
      <c r="G1586" s="244" t="s">
        <v>86</v>
      </c>
      <c r="H1586" s="244" t="str" cm="1">
        <f t="array" ref="H1586">IFERROR(INDEX(INVESTOR_LIST[INVESTOR NAME],MATCH(I1586,INVESTOR_LIST[INVESTOR CODE],0),)," ")</f>
        <v xml:space="preserve"> </v>
      </c>
      <c r="I1586" s="245"/>
      <c r="J1586" s="246" t="s">
        <v>98</v>
      </c>
      <c r="K1586" s="247"/>
      <c r="L1586" s="247">
        <v>292200</v>
      </c>
    </row>
    <row r="1587" spans="1:13" ht="11.25" customHeight="1" x14ac:dyDescent="0.2">
      <c r="A1587" s="236">
        <v>2022</v>
      </c>
      <c r="B1587" s="236">
        <v>8</v>
      </c>
      <c r="C1587" s="236">
        <v>25</v>
      </c>
      <c r="D1587" s="237">
        <f t="shared" si="172"/>
        <v>44798</v>
      </c>
      <c r="E1587" s="238">
        <f t="shared" si="175"/>
        <v>44798</v>
      </c>
      <c r="F1587" s="476" t="s">
        <v>1120</v>
      </c>
      <c r="G1587" s="239" t="s">
        <v>86</v>
      </c>
      <c r="H1587" s="239" t="str" cm="1">
        <f t="array" ref="H1587">IFERROR(INDEX(INVESTOR_LIST[INVESTOR NAME],MATCH(I1587,INVESTOR_LIST[INVESTOR CODE],0),)," ")</f>
        <v xml:space="preserve"> </v>
      </c>
      <c r="I1587" s="240"/>
      <c r="J1587" s="241" t="s">
        <v>87</v>
      </c>
      <c r="K1587" s="242">
        <v>2747.2527472527472</v>
      </c>
      <c r="L1587" s="242"/>
    </row>
    <row r="1588" spans="1:13" ht="11.25" customHeight="1" x14ac:dyDescent="0.2">
      <c r="A1588" s="243">
        <v>2022</v>
      </c>
      <c r="B1588" s="243">
        <v>8</v>
      </c>
      <c r="C1588" s="243">
        <v>25</v>
      </c>
      <c r="D1588" s="248">
        <f t="shared" si="172"/>
        <v>44798</v>
      </c>
      <c r="E1588" s="249">
        <f t="shared" si="175"/>
        <v>44798</v>
      </c>
      <c r="F1588" s="477"/>
      <c r="G1588" s="244" t="s">
        <v>86</v>
      </c>
      <c r="H1588" s="244" t="str" cm="1">
        <f t="array" ref="H1588">IFERROR(INDEX(INVESTOR_LIST[INVESTOR NAME],MATCH(I1588,INVESTOR_LIST[INVESTOR CODE],0),)," ")</f>
        <v xml:space="preserve"> </v>
      </c>
      <c r="I1588" s="245"/>
      <c r="J1588" s="246" t="s">
        <v>64</v>
      </c>
      <c r="K1588" s="247"/>
      <c r="L1588" s="247">
        <v>2747.2527472527472</v>
      </c>
    </row>
    <row r="1589" spans="1:13" ht="11.25" customHeight="1" x14ac:dyDescent="0.2">
      <c r="A1589" s="236">
        <v>2022</v>
      </c>
      <c r="B1589" s="236">
        <v>8</v>
      </c>
      <c r="C1589" s="236">
        <v>25</v>
      </c>
      <c r="D1589" s="237">
        <f t="shared" si="172"/>
        <v>44798</v>
      </c>
      <c r="E1589" s="238">
        <f t="shared" si="175"/>
        <v>44798</v>
      </c>
      <c r="F1589" s="476" t="s">
        <v>1121</v>
      </c>
      <c r="G1589" s="239" t="s">
        <v>86</v>
      </c>
      <c r="H1589" s="239" t="str" cm="1">
        <f t="array" ref="H1589">IFERROR(INDEX(INVESTOR_LIST[INVESTOR NAME],MATCH(I1589,INVESTOR_LIST[INVESTOR CODE],0),)," ")</f>
        <v xml:space="preserve"> </v>
      </c>
      <c r="I1589" s="240"/>
      <c r="J1589" s="241" t="s">
        <v>89</v>
      </c>
      <c r="K1589" s="242">
        <v>95931.468316000042</v>
      </c>
      <c r="L1589" s="242"/>
    </row>
    <row r="1590" spans="1:13" ht="11.25" customHeight="1" x14ac:dyDescent="0.2">
      <c r="A1590" s="243">
        <v>2022</v>
      </c>
      <c r="B1590" s="243">
        <v>8</v>
      </c>
      <c r="C1590" s="243">
        <v>25</v>
      </c>
      <c r="D1590" s="248">
        <f t="shared" si="172"/>
        <v>44798</v>
      </c>
      <c r="E1590" s="249">
        <f t="shared" si="175"/>
        <v>44798</v>
      </c>
      <c r="F1590" s="477"/>
      <c r="G1590" s="244" t="s">
        <v>86</v>
      </c>
      <c r="H1590" s="244" t="str" cm="1">
        <f t="array" ref="H1590">IFERROR(INDEX(INVESTOR_LIST[INVESTOR NAME],MATCH(I1590,INVESTOR_LIST[INVESTOR CODE],0),)," ")</f>
        <v xml:space="preserve"> </v>
      </c>
      <c r="I1590" s="245"/>
      <c r="J1590" s="246" t="s">
        <v>50</v>
      </c>
      <c r="K1590" s="247"/>
      <c r="L1590" s="247">
        <v>95931.468316000042</v>
      </c>
    </row>
    <row r="1591" spans="1:13" ht="11.25" customHeight="1" x14ac:dyDescent="0.2">
      <c r="A1591" s="236">
        <v>2022</v>
      </c>
      <c r="B1591" s="236">
        <v>8</v>
      </c>
      <c r="C1591" s="236">
        <v>25</v>
      </c>
      <c r="D1591" s="237">
        <f t="shared" si="172"/>
        <v>44798</v>
      </c>
      <c r="E1591" s="238">
        <f t="shared" si="175"/>
        <v>44798</v>
      </c>
      <c r="F1591" s="476" t="s">
        <v>1122</v>
      </c>
      <c r="G1591" s="239" t="s">
        <v>86</v>
      </c>
      <c r="H1591" s="239" t="str" cm="1">
        <f t="array" ref="H1591">IFERROR(INDEX(INVESTOR_LIST[INVESTOR NAME],MATCH(I1591,INVESTOR_LIST[INVESTOR CODE],0),)," ")</f>
        <v xml:space="preserve"> </v>
      </c>
      <c r="I1591" s="240"/>
      <c r="J1591" s="241" t="s">
        <v>91</v>
      </c>
      <c r="K1591" s="242">
        <v>4556.188800415387</v>
      </c>
      <c r="L1591" s="242"/>
    </row>
    <row r="1592" spans="1:13" ht="11.25" customHeight="1" x14ac:dyDescent="0.2">
      <c r="A1592" s="243">
        <v>2022</v>
      </c>
      <c r="B1592" s="243">
        <v>8</v>
      </c>
      <c r="C1592" s="243">
        <v>25</v>
      </c>
      <c r="D1592" s="248">
        <f t="shared" si="172"/>
        <v>44798</v>
      </c>
      <c r="E1592" s="249">
        <f t="shared" si="175"/>
        <v>44798</v>
      </c>
      <c r="F1592" s="477"/>
      <c r="G1592" s="244" t="s">
        <v>86</v>
      </c>
      <c r="H1592" s="244" t="str" cm="1">
        <f t="array" ref="H1592">IFERROR(INDEX(INVESTOR_LIST[INVESTOR NAME],MATCH(I1592,INVESTOR_LIST[INVESTOR CODE],0),)," ")</f>
        <v xml:space="preserve"> </v>
      </c>
      <c r="I1592" s="245"/>
      <c r="J1592" s="246" t="s">
        <v>51</v>
      </c>
      <c r="K1592" s="247"/>
      <c r="L1592" s="247">
        <v>4556.188800415387</v>
      </c>
    </row>
    <row r="1593" spans="1:13" ht="11.25" customHeight="1" x14ac:dyDescent="0.2">
      <c r="A1593" s="221">
        <v>2022</v>
      </c>
      <c r="B1593" s="221">
        <v>8</v>
      </c>
      <c r="C1593" s="221">
        <v>26</v>
      </c>
      <c r="D1593" s="231">
        <f t="shared" si="172"/>
        <v>44799</v>
      </c>
      <c r="E1593" s="233">
        <f t="shared" si="175"/>
        <v>44799</v>
      </c>
      <c r="F1593" s="478" t="s">
        <v>1132</v>
      </c>
      <c r="G1593" s="222" t="s">
        <v>1111</v>
      </c>
      <c r="H1593" s="223" t="str" cm="1">
        <f t="array" ref="H1593">IFERROR(INDEX(INVESTOR_LIST[INVESTOR NAME],MATCH(I1593,INVESTOR_LIST[INVESTOR CODE],0),)," ")</f>
        <v xml:space="preserve"> </v>
      </c>
      <c r="I1593" s="223"/>
      <c r="J1593" s="224" t="s">
        <v>55</v>
      </c>
      <c r="K1593" s="225">
        <v>33000</v>
      </c>
      <c r="L1593" s="225"/>
    </row>
    <row r="1594" spans="1:13" ht="11.25" customHeight="1" x14ac:dyDescent="0.2">
      <c r="A1594" s="164">
        <v>2022</v>
      </c>
      <c r="B1594" s="164">
        <v>8</v>
      </c>
      <c r="C1594" s="164">
        <v>26</v>
      </c>
      <c r="D1594" s="156">
        <f t="shared" si="172"/>
        <v>44799</v>
      </c>
      <c r="E1594" s="235">
        <f t="shared" si="175"/>
        <v>44799</v>
      </c>
      <c r="F1594" s="480"/>
      <c r="G1594" s="208" t="s">
        <v>1111</v>
      </c>
      <c r="H1594" s="206" t="str" cm="1">
        <f t="array" ref="H1594">IFERROR(INDEX(INVESTOR_LIST[INVESTOR NAME],MATCH(I1594,INVESTOR_LIST[INVESTOR CODE],0),)," ")</f>
        <v xml:space="preserve"> </v>
      </c>
      <c r="J1594" s="165" t="s">
        <v>1112</v>
      </c>
      <c r="K1594" s="205">
        <v>600</v>
      </c>
      <c r="L1594" s="205"/>
      <c r="M1594" s="166"/>
    </row>
    <row r="1595" spans="1:13" ht="11.25" customHeight="1" x14ac:dyDescent="0.2">
      <c r="A1595" s="226">
        <v>2022</v>
      </c>
      <c r="B1595" s="226">
        <v>8</v>
      </c>
      <c r="C1595" s="226">
        <v>26</v>
      </c>
      <c r="D1595" s="232">
        <f t="shared" si="172"/>
        <v>44799</v>
      </c>
      <c r="E1595" s="234">
        <f t="shared" si="175"/>
        <v>44799</v>
      </c>
      <c r="F1595" s="479"/>
      <c r="G1595" s="227" t="s">
        <v>1111</v>
      </c>
      <c r="H1595" s="228" t="str" cm="1">
        <f t="array" ref="H1595">IFERROR(INDEX(INVESTOR_LIST[INVESTOR NAME],MATCH(I1595,INVESTOR_LIST[INVESTOR CODE],0),)," ")</f>
        <v xml:space="preserve"> </v>
      </c>
      <c r="I1595" s="228"/>
      <c r="J1595" s="229" t="s">
        <v>14</v>
      </c>
      <c r="K1595" s="230"/>
      <c r="L1595" s="230">
        <v>33600</v>
      </c>
    </row>
    <row r="1596" spans="1:13" ht="11.25" customHeight="1" x14ac:dyDescent="0.2">
      <c r="A1596" s="221">
        <v>2022</v>
      </c>
      <c r="B1596" s="221">
        <v>8</v>
      </c>
      <c r="C1596" s="221">
        <v>29</v>
      </c>
      <c r="D1596" s="221">
        <f t="shared" si="172"/>
        <v>44802</v>
      </c>
      <c r="E1596" s="233">
        <f t="shared" ref="E1596:E1600" si="176">DATE(A1596,B1596,C1596)</f>
        <v>44802</v>
      </c>
      <c r="F1596" s="478" t="s">
        <v>1293</v>
      </c>
      <c r="G1596" s="222" t="s">
        <v>86</v>
      </c>
      <c r="H1596" s="222" t="str" cm="1">
        <f t="array" ref="H1596">IFERROR(INDEX(INVESTOR_LIST[INVESTOR NAME],MATCH(I1596,INVESTOR_LIST[INVESTOR CODE],0),)," ")</f>
        <v xml:space="preserve"> </v>
      </c>
      <c r="I1596" s="223"/>
      <c r="J1596" s="224" t="s">
        <v>80</v>
      </c>
      <c r="K1596" s="225">
        <v>2500000</v>
      </c>
      <c r="L1596" s="205"/>
    </row>
    <row r="1597" spans="1:13" ht="11.25" customHeight="1" x14ac:dyDescent="0.2">
      <c r="A1597" s="226">
        <v>2022</v>
      </c>
      <c r="B1597" s="226">
        <v>8</v>
      </c>
      <c r="C1597" s="226">
        <v>29</v>
      </c>
      <c r="D1597" s="226">
        <f t="shared" si="172"/>
        <v>44802</v>
      </c>
      <c r="E1597" s="234">
        <f t="shared" si="176"/>
        <v>44802</v>
      </c>
      <c r="F1597" s="479"/>
      <c r="G1597" s="227" t="s">
        <v>86</v>
      </c>
      <c r="H1597" s="228" t="str" cm="1">
        <f t="array" ref="H1597">IFERROR(INDEX(INVESTOR_LIST[INVESTOR NAME],MATCH(I1597,INVESTOR_LIST[INVESTOR CODE],0),)," ")</f>
        <v xml:space="preserve"> </v>
      </c>
      <c r="I1597" s="228"/>
      <c r="J1597" s="229" t="s">
        <v>55</v>
      </c>
      <c r="K1597" s="230"/>
      <c r="L1597" s="230">
        <v>2500000</v>
      </c>
    </row>
    <row r="1598" spans="1:13" ht="11.25" customHeight="1" x14ac:dyDescent="0.2">
      <c r="A1598" s="221">
        <v>2022</v>
      </c>
      <c r="B1598" s="221">
        <v>8</v>
      </c>
      <c r="C1598" s="221">
        <v>30</v>
      </c>
      <c r="D1598" s="231">
        <f t="shared" si="172"/>
        <v>44803</v>
      </c>
      <c r="E1598" s="233">
        <f t="shared" si="176"/>
        <v>44803</v>
      </c>
      <c r="F1598" s="478" t="s">
        <v>1115</v>
      </c>
      <c r="G1598" s="222" t="s">
        <v>1111</v>
      </c>
      <c r="H1598" s="223" t="str" cm="1">
        <f t="array" ref="H1598">IFERROR(INDEX(INVESTOR_LIST[INVESTOR NAME],MATCH(I1598,INVESTOR_LIST[INVESTOR CODE],0),)," ")</f>
        <v>MOHAMMED FUAD ZIBRAN</v>
      </c>
      <c r="I1598" s="223" t="s">
        <v>834</v>
      </c>
      <c r="J1598" s="224" t="s">
        <v>14</v>
      </c>
      <c r="K1598" s="225">
        <v>50000</v>
      </c>
      <c r="L1598" s="225"/>
    </row>
    <row r="1599" spans="1:13" ht="11.25" customHeight="1" x14ac:dyDescent="0.2">
      <c r="A1599" s="164">
        <v>2022</v>
      </c>
      <c r="B1599" s="164">
        <v>8</v>
      </c>
      <c r="C1599" s="164">
        <v>30</v>
      </c>
      <c r="D1599" s="156">
        <f t="shared" si="172"/>
        <v>44803</v>
      </c>
      <c r="E1599" s="235">
        <f t="shared" si="176"/>
        <v>44803</v>
      </c>
      <c r="F1599" s="480"/>
      <c r="G1599" s="208" t="s">
        <v>1111</v>
      </c>
      <c r="H1599" s="206" t="str" cm="1">
        <f t="array" ref="H1599">IFERROR(INDEX(INVESTOR_LIST[INVESTOR NAME],MATCH(I1599,INVESTOR_LIST[INVESTOR CODE],0),)," ")</f>
        <v>MOHAMMED FUAD ZIBRAN</v>
      </c>
      <c r="I1599" s="206" t="s">
        <v>834</v>
      </c>
      <c r="J1599" s="165" t="s">
        <v>1112</v>
      </c>
      <c r="L1599" s="205">
        <v>800</v>
      </c>
    </row>
    <row r="1600" spans="1:13" ht="11.25" customHeight="1" x14ac:dyDescent="0.2">
      <c r="A1600" s="226">
        <v>2022</v>
      </c>
      <c r="B1600" s="226">
        <v>8</v>
      </c>
      <c r="C1600" s="226">
        <v>30</v>
      </c>
      <c r="D1600" s="232">
        <f t="shared" si="172"/>
        <v>44803</v>
      </c>
      <c r="E1600" s="234">
        <f t="shared" si="176"/>
        <v>44803</v>
      </c>
      <c r="F1600" s="479"/>
      <c r="G1600" s="227" t="s">
        <v>1111</v>
      </c>
      <c r="H1600" s="228" t="str" cm="1">
        <f t="array" ref="H1600">IFERROR(INDEX(INVESTOR_LIST[INVESTOR NAME],MATCH(I1600,INVESTOR_LIST[INVESTOR CODE],0),)," ")</f>
        <v>MOHAMMED FUAD ZIBRAN</v>
      </c>
      <c r="I1600" s="228" t="s">
        <v>834</v>
      </c>
      <c r="J1600" s="229" t="s">
        <v>55</v>
      </c>
      <c r="K1600" s="230"/>
      <c r="L1600" s="230">
        <v>49200</v>
      </c>
    </row>
    <row r="1601" spans="1:13" ht="11.25" customHeight="1" x14ac:dyDescent="0.2">
      <c r="A1601" s="221">
        <v>2022</v>
      </c>
      <c r="B1601" s="221">
        <v>8</v>
      </c>
      <c r="C1601" s="221">
        <v>30</v>
      </c>
      <c r="D1601" s="231">
        <f t="shared" si="172"/>
        <v>44803</v>
      </c>
      <c r="E1601" s="233">
        <f t="shared" ref="E1601:E1606" si="177">DATE(A1601,B1601,C1601)</f>
        <v>44803</v>
      </c>
      <c r="F1601" s="478" t="s">
        <v>1115</v>
      </c>
      <c r="G1601" s="222" t="s">
        <v>1111</v>
      </c>
      <c r="H1601" s="223" t="str" cm="1">
        <f t="array" ref="H1601">IFERROR(INDEX(INVESTOR_LIST[INVESTOR NAME],MATCH(I1601,INVESTOR_LIST[INVESTOR CODE],0),)," ")</f>
        <v>MD. WABAIDULLAH RAHAMAN</v>
      </c>
      <c r="I1601" s="223" t="s">
        <v>1108</v>
      </c>
      <c r="J1601" s="224" t="s">
        <v>14</v>
      </c>
      <c r="K1601" s="225">
        <v>50050</v>
      </c>
      <c r="L1601" s="225"/>
    </row>
    <row r="1602" spans="1:13" ht="11.25" customHeight="1" x14ac:dyDescent="0.2">
      <c r="A1602" s="164">
        <v>2022</v>
      </c>
      <c r="B1602" s="164">
        <v>8</v>
      </c>
      <c r="C1602" s="164">
        <v>30</v>
      </c>
      <c r="D1602" s="156">
        <f t="shared" si="172"/>
        <v>44803</v>
      </c>
      <c r="E1602" s="235">
        <f t="shared" si="177"/>
        <v>44803</v>
      </c>
      <c r="F1602" s="480"/>
      <c r="G1602" s="208" t="s">
        <v>1111</v>
      </c>
      <c r="H1602" s="206" t="str" cm="1">
        <f t="array" ref="H1602">IFERROR(INDEX(INVESTOR_LIST[INVESTOR NAME],MATCH(I1602,INVESTOR_LIST[INVESTOR CODE],0),)," ")</f>
        <v>MD. WABAIDULLAH RAHAMAN</v>
      </c>
      <c r="I1602" s="206" t="s">
        <v>1108</v>
      </c>
      <c r="J1602" s="165" t="s">
        <v>1112</v>
      </c>
      <c r="L1602" s="205">
        <v>900.90000000000146</v>
      </c>
    </row>
    <row r="1603" spans="1:13" ht="11.25" customHeight="1" x14ac:dyDescent="0.2">
      <c r="A1603" s="226">
        <v>2022</v>
      </c>
      <c r="B1603" s="226">
        <v>8</v>
      </c>
      <c r="C1603" s="226">
        <v>30</v>
      </c>
      <c r="D1603" s="232">
        <f t="shared" si="172"/>
        <v>44803</v>
      </c>
      <c r="E1603" s="234">
        <f t="shared" si="177"/>
        <v>44803</v>
      </c>
      <c r="F1603" s="479"/>
      <c r="G1603" s="227" t="s">
        <v>1111</v>
      </c>
      <c r="H1603" s="228" t="str" cm="1">
        <f t="array" ref="H1603">IFERROR(INDEX(INVESTOR_LIST[INVESTOR NAME],MATCH(I1603,INVESTOR_LIST[INVESTOR CODE],0),)," ")</f>
        <v>MD. WABAIDULLAH RAHAMAN</v>
      </c>
      <c r="I1603" s="228" t="s">
        <v>1108</v>
      </c>
      <c r="J1603" s="229" t="s">
        <v>55</v>
      </c>
      <c r="K1603" s="230"/>
      <c r="L1603" s="230">
        <v>49149.1</v>
      </c>
    </row>
    <row r="1604" spans="1:13" ht="11.25" customHeight="1" x14ac:dyDescent="0.2">
      <c r="A1604" s="221">
        <v>2022</v>
      </c>
      <c r="B1604" s="221">
        <v>9</v>
      </c>
      <c r="C1604" s="221">
        <v>1</v>
      </c>
      <c r="D1604" s="231">
        <f t="shared" si="172"/>
        <v>44805</v>
      </c>
      <c r="E1604" s="233">
        <f t="shared" si="177"/>
        <v>44805</v>
      </c>
      <c r="F1604" s="478" t="s">
        <v>802</v>
      </c>
      <c r="G1604" s="222" t="s">
        <v>1111</v>
      </c>
      <c r="H1604" s="223" t="str" cm="1">
        <f t="array" ref="H1604">IFERROR(INDEX(INVESTOR_LIST[INVESTOR NAME],MATCH(I1604,INVESTOR_LIST[INVESTOR CODE],0),)," ")</f>
        <v>SHUVA SAHA</v>
      </c>
      <c r="I1604" s="223" t="s">
        <v>370</v>
      </c>
      <c r="J1604" s="224" t="s">
        <v>55</v>
      </c>
      <c r="K1604" s="225">
        <v>150000</v>
      </c>
      <c r="L1604" s="225"/>
    </row>
    <row r="1605" spans="1:13" ht="11.25" customHeight="1" x14ac:dyDescent="0.2">
      <c r="A1605" s="164">
        <v>2022</v>
      </c>
      <c r="B1605" s="164">
        <v>9</v>
      </c>
      <c r="C1605" s="164">
        <v>1</v>
      </c>
      <c r="D1605" s="156">
        <f t="shared" si="172"/>
        <v>44805</v>
      </c>
      <c r="E1605" s="235">
        <f t="shared" si="177"/>
        <v>44805</v>
      </c>
      <c r="F1605" s="480"/>
      <c r="G1605" s="208" t="s">
        <v>1111</v>
      </c>
      <c r="H1605" s="206" t="str" cm="1">
        <f t="array" ref="H1605">IFERROR(INDEX(INVESTOR_LIST[INVESTOR NAME],MATCH(I1605,INVESTOR_LIST[INVESTOR CODE],0),)," ")</f>
        <v>SHUVA SAHA</v>
      </c>
      <c r="I1605" s="206" t="s">
        <v>370</v>
      </c>
      <c r="J1605" s="165" t="s">
        <v>1112</v>
      </c>
      <c r="K1605" s="205">
        <v>2750</v>
      </c>
      <c r="L1605" s="205"/>
      <c r="M1605" s="166"/>
    </row>
    <row r="1606" spans="1:13" ht="11.25" customHeight="1" x14ac:dyDescent="0.2">
      <c r="A1606" s="226">
        <v>2022</v>
      </c>
      <c r="B1606" s="226">
        <v>9</v>
      </c>
      <c r="C1606" s="226">
        <v>1</v>
      </c>
      <c r="D1606" s="232">
        <f t="shared" si="172"/>
        <v>44805</v>
      </c>
      <c r="E1606" s="234">
        <f t="shared" si="177"/>
        <v>44805</v>
      </c>
      <c r="F1606" s="479"/>
      <c r="G1606" s="227" t="s">
        <v>1111</v>
      </c>
      <c r="H1606" s="228" t="str" cm="1">
        <f t="array" ref="H1606">IFERROR(INDEX(INVESTOR_LIST[INVESTOR NAME],MATCH(I1606,INVESTOR_LIST[INVESTOR CODE],0),)," ")</f>
        <v>SHUVA SAHA</v>
      </c>
      <c r="I1606" s="228" t="s">
        <v>370</v>
      </c>
      <c r="J1606" s="229" t="s">
        <v>14</v>
      </c>
      <c r="K1606" s="230"/>
      <c r="L1606" s="230">
        <v>152750</v>
      </c>
    </row>
    <row r="1607" spans="1:13" ht="11.25" customHeight="1" x14ac:dyDescent="0.2">
      <c r="A1607" s="221">
        <v>2022</v>
      </c>
      <c r="B1607" s="221">
        <v>9</v>
      </c>
      <c r="C1607" s="221">
        <v>1</v>
      </c>
      <c r="D1607" s="231">
        <f t="shared" si="172"/>
        <v>44805</v>
      </c>
      <c r="E1607" s="233">
        <f t="shared" ref="E1607:E1612" si="178">DATE(A1607,B1607,C1607)</f>
        <v>44805</v>
      </c>
      <c r="F1607" s="478" t="s">
        <v>802</v>
      </c>
      <c r="G1607" s="222" t="s">
        <v>1111</v>
      </c>
      <c r="H1607" s="223" t="str" cm="1">
        <f t="array" ref="H1607">IFERROR(INDEX(INVESTOR_LIST[INVESTOR NAME],MATCH(I1607,INVESTOR_LIST[INVESTOR CODE],0),)," ")</f>
        <v>SHUVA SAHA</v>
      </c>
      <c r="I1607" s="223" t="s">
        <v>370</v>
      </c>
      <c r="J1607" s="224" t="s">
        <v>55</v>
      </c>
      <c r="K1607" s="225">
        <v>300000</v>
      </c>
      <c r="L1607" s="225"/>
    </row>
    <row r="1608" spans="1:13" ht="11.25" customHeight="1" x14ac:dyDescent="0.2">
      <c r="A1608" s="164">
        <v>2022</v>
      </c>
      <c r="B1608" s="164">
        <v>9</v>
      </c>
      <c r="C1608" s="164">
        <v>1</v>
      </c>
      <c r="D1608" s="156">
        <f t="shared" si="172"/>
        <v>44805</v>
      </c>
      <c r="E1608" s="235">
        <f t="shared" si="178"/>
        <v>44805</v>
      </c>
      <c r="F1608" s="480"/>
      <c r="G1608" s="208" t="s">
        <v>1111</v>
      </c>
      <c r="H1608" s="206" t="str" cm="1">
        <f t="array" ref="H1608">IFERROR(INDEX(INVESTOR_LIST[INVESTOR NAME],MATCH(I1608,INVESTOR_LIST[INVESTOR CODE],0),)," ")</f>
        <v>SHUVA SAHA</v>
      </c>
      <c r="I1608" s="206" t="s">
        <v>370</v>
      </c>
      <c r="J1608" s="165" t="s">
        <v>1112</v>
      </c>
      <c r="K1608" s="205">
        <v>5500</v>
      </c>
      <c r="L1608" s="205"/>
      <c r="M1608" s="166"/>
    </row>
    <row r="1609" spans="1:13" ht="11.25" customHeight="1" x14ac:dyDescent="0.2">
      <c r="A1609" s="226">
        <v>2022</v>
      </c>
      <c r="B1609" s="226">
        <v>9</v>
      </c>
      <c r="C1609" s="226">
        <v>1</v>
      </c>
      <c r="D1609" s="232">
        <f t="shared" ref="D1609:D1672" si="179">DATE(A1609,B1609,C1609)</f>
        <v>44805</v>
      </c>
      <c r="E1609" s="234">
        <f t="shared" si="178"/>
        <v>44805</v>
      </c>
      <c r="F1609" s="479"/>
      <c r="G1609" s="227" t="s">
        <v>1111</v>
      </c>
      <c r="H1609" s="228" t="str" cm="1">
        <f t="array" ref="H1609">IFERROR(INDEX(INVESTOR_LIST[INVESTOR NAME],MATCH(I1609,INVESTOR_LIST[INVESTOR CODE],0),)," ")</f>
        <v>SHUVA SAHA</v>
      </c>
      <c r="I1609" s="228" t="s">
        <v>370</v>
      </c>
      <c r="J1609" s="229" t="s">
        <v>14</v>
      </c>
      <c r="K1609" s="230"/>
      <c r="L1609" s="230">
        <v>305500</v>
      </c>
    </row>
    <row r="1610" spans="1:13" ht="11.25" customHeight="1" x14ac:dyDescent="0.2">
      <c r="A1610" s="221">
        <v>2022</v>
      </c>
      <c r="B1610" s="221">
        <v>9</v>
      </c>
      <c r="C1610" s="221">
        <v>2</v>
      </c>
      <c r="D1610" s="231">
        <f t="shared" si="179"/>
        <v>44806</v>
      </c>
      <c r="E1610" s="233">
        <f t="shared" si="178"/>
        <v>44806</v>
      </c>
      <c r="F1610" s="478" t="s">
        <v>802</v>
      </c>
      <c r="G1610" s="222" t="s">
        <v>1111</v>
      </c>
      <c r="H1610" s="223" t="str" cm="1">
        <f t="array" ref="H1610">IFERROR(INDEX(INVESTOR_LIST[INVESTOR NAME],MATCH(I1610,INVESTOR_LIST[INVESTOR CODE],0),)," ")</f>
        <v>SRIJON GHOSH</v>
      </c>
      <c r="I1610" s="223" t="s">
        <v>1237</v>
      </c>
      <c r="J1610" s="224" t="s">
        <v>55</v>
      </c>
      <c r="K1610" s="225">
        <v>12000</v>
      </c>
      <c r="L1610" s="225"/>
    </row>
    <row r="1611" spans="1:13" ht="11.25" customHeight="1" x14ac:dyDescent="0.2">
      <c r="A1611" s="164">
        <v>2022</v>
      </c>
      <c r="B1611" s="164">
        <v>9</v>
      </c>
      <c r="C1611" s="164">
        <v>2</v>
      </c>
      <c r="D1611" s="156">
        <f t="shared" si="179"/>
        <v>44806</v>
      </c>
      <c r="E1611" s="235">
        <f t="shared" si="178"/>
        <v>44806</v>
      </c>
      <c r="F1611" s="480"/>
      <c r="G1611" s="208" t="s">
        <v>1111</v>
      </c>
      <c r="H1611" s="206" t="str" cm="1">
        <f t="array" ref="H1611">IFERROR(INDEX(INVESTOR_LIST[INVESTOR NAME],MATCH(I1611,INVESTOR_LIST[INVESTOR CODE],0),)," ")</f>
        <v>SRIJON GHOSH</v>
      </c>
      <c r="I1611" s="206" t="s">
        <v>1237</v>
      </c>
      <c r="J1611" s="165" t="s">
        <v>1112</v>
      </c>
      <c r="K1611" s="205">
        <v>220</v>
      </c>
      <c r="L1611" s="205"/>
    </row>
    <row r="1612" spans="1:13" ht="11.25" customHeight="1" x14ac:dyDescent="0.2">
      <c r="A1612" s="226">
        <v>2022</v>
      </c>
      <c r="B1612" s="226">
        <v>9</v>
      </c>
      <c r="C1612" s="226">
        <v>2</v>
      </c>
      <c r="D1612" s="232">
        <f t="shared" si="179"/>
        <v>44806</v>
      </c>
      <c r="E1612" s="234">
        <f t="shared" si="178"/>
        <v>44806</v>
      </c>
      <c r="F1612" s="479"/>
      <c r="G1612" s="227" t="s">
        <v>1111</v>
      </c>
      <c r="H1612" s="228" t="str" cm="1">
        <f t="array" ref="H1612">IFERROR(INDEX(INVESTOR_LIST[INVESTOR NAME],MATCH(I1612,INVESTOR_LIST[INVESTOR CODE],0),)," ")</f>
        <v>SRIJON GHOSH</v>
      </c>
      <c r="I1612" s="228" t="s">
        <v>1237</v>
      </c>
      <c r="J1612" s="229" t="s">
        <v>14</v>
      </c>
      <c r="K1612" s="230"/>
      <c r="L1612" s="230">
        <v>12220</v>
      </c>
    </row>
    <row r="1613" spans="1:13" ht="11.25" customHeight="1" x14ac:dyDescent="0.2">
      <c r="A1613" s="221">
        <v>2022</v>
      </c>
      <c r="B1613" s="221">
        <v>9</v>
      </c>
      <c r="C1613" s="221">
        <v>1</v>
      </c>
      <c r="D1613" s="231">
        <f t="shared" si="179"/>
        <v>44805</v>
      </c>
      <c r="E1613" s="233">
        <f t="shared" ref="E1613:E1618" si="180">DATE(A1613,B1613,C1613)</f>
        <v>44805</v>
      </c>
      <c r="F1613" s="478" t="s">
        <v>1294</v>
      </c>
      <c r="G1613" s="222" t="s">
        <v>86</v>
      </c>
      <c r="H1613" s="223" t="str" cm="1">
        <f t="array" ref="H1613">IFERROR(INDEX(INVESTOR_LIST[INVESTOR NAME],MATCH(I1613,INVESTOR_LIST[INVESTOR CODE],0),)," ")</f>
        <v xml:space="preserve"> </v>
      </c>
      <c r="I1613" s="223"/>
      <c r="J1613" s="224" t="s">
        <v>131</v>
      </c>
      <c r="K1613" s="225">
        <v>84375</v>
      </c>
      <c r="L1613" s="225"/>
    </row>
    <row r="1614" spans="1:13" ht="11.25" customHeight="1" x14ac:dyDescent="0.2">
      <c r="A1614" s="226">
        <v>2022</v>
      </c>
      <c r="B1614" s="226">
        <v>9</v>
      </c>
      <c r="C1614" s="226">
        <v>1</v>
      </c>
      <c r="D1614" s="232">
        <f t="shared" si="179"/>
        <v>44805</v>
      </c>
      <c r="E1614" s="234">
        <f t="shared" si="180"/>
        <v>44805</v>
      </c>
      <c r="F1614" s="479"/>
      <c r="G1614" s="227" t="s">
        <v>86</v>
      </c>
      <c r="H1614" s="228" t="str" cm="1">
        <f t="array" ref="H1614">IFERROR(INDEX(INVESTOR_LIST[INVESTOR NAME],MATCH(I1614,INVESTOR_LIST[INVESTOR CODE],0),)," ")</f>
        <v xml:space="preserve"> </v>
      </c>
      <c r="I1614" s="228"/>
      <c r="J1614" s="229" t="s">
        <v>174</v>
      </c>
      <c r="K1614" s="230"/>
      <c r="L1614" s="230">
        <v>84375</v>
      </c>
    </row>
    <row r="1615" spans="1:13" ht="11.25" customHeight="1" x14ac:dyDescent="0.2">
      <c r="A1615" s="221">
        <v>2022</v>
      </c>
      <c r="B1615" s="221">
        <v>9</v>
      </c>
      <c r="C1615" s="221">
        <v>1</v>
      </c>
      <c r="D1615" s="231">
        <f t="shared" si="179"/>
        <v>44805</v>
      </c>
      <c r="E1615" s="233">
        <f t="shared" si="180"/>
        <v>44805</v>
      </c>
      <c r="F1615" s="478" t="s">
        <v>1295</v>
      </c>
      <c r="G1615" s="222" t="s">
        <v>86</v>
      </c>
      <c r="H1615" s="223" t="str" cm="1">
        <f t="array" ref="H1615">IFERROR(INDEX(INVESTOR_LIST[INVESTOR NAME],MATCH(I1615,INVESTOR_LIST[INVESTOR CODE],0),)," ")</f>
        <v xml:space="preserve"> </v>
      </c>
      <c r="I1615" s="223"/>
      <c r="J1615" s="224" t="s">
        <v>131</v>
      </c>
      <c r="K1615" s="225">
        <v>599375</v>
      </c>
      <c r="L1615" s="225"/>
    </row>
    <row r="1616" spans="1:13" ht="11.25" customHeight="1" x14ac:dyDescent="0.2">
      <c r="A1616" s="226">
        <v>2022</v>
      </c>
      <c r="B1616" s="226">
        <v>9</v>
      </c>
      <c r="C1616" s="226">
        <v>1</v>
      </c>
      <c r="D1616" s="232">
        <f t="shared" si="179"/>
        <v>44805</v>
      </c>
      <c r="E1616" s="234">
        <f t="shared" si="180"/>
        <v>44805</v>
      </c>
      <c r="F1616" s="479"/>
      <c r="G1616" s="227" t="s">
        <v>86</v>
      </c>
      <c r="H1616" s="228" t="str" cm="1">
        <f t="array" ref="H1616">IFERROR(INDEX(INVESTOR_LIST[INVESTOR NAME],MATCH(I1616,INVESTOR_LIST[INVESTOR CODE],0),)," ")</f>
        <v xml:space="preserve"> </v>
      </c>
      <c r="I1616" s="228"/>
      <c r="J1616" s="229" t="s">
        <v>174</v>
      </c>
      <c r="K1616" s="230"/>
      <c r="L1616" s="230">
        <v>599375</v>
      </c>
    </row>
    <row r="1617" spans="1:13" ht="11.25" customHeight="1" x14ac:dyDescent="0.2">
      <c r="A1617" s="221">
        <v>2022</v>
      </c>
      <c r="B1617" s="221">
        <v>9</v>
      </c>
      <c r="C1617" s="221">
        <v>1</v>
      </c>
      <c r="D1617" s="231">
        <f t="shared" si="179"/>
        <v>44805</v>
      </c>
      <c r="E1617" s="233">
        <f t="shared" si="180"/>
        <v>44805</v>
      </c>
      <c r="F1617" s="478" t="s">
        <v>1296</v>
      </c>
      <c r="G1617" s="222" t="s">
        <v>86</v>
      </c>
      <c r="H1617" s="223" t="str" cm="1">
        <f t="array" ref="H1617">IFERROR(INDEX(INVESTOR_LIST[INVESTOR NAME],MATCH(I1617,INVESTOR_LIST[INVESTOR CODE],0),)," ")</f>
        <v xml:space="preserve"> </v>
      </c>
      <c r="I1617" s="223"/>
      <c r="J1617" s="224" t="s">
        <v>131</v>
      </c>
      <c r="K1617" s="225">
        <v>1304202.54</v>
      </c>
      <c r="L1617" s="225"/>
    </row>
    <row r="1618" spans="1:13" ht="11.25" customHeight="1" x14ac:dyDescent="0.2">
      <c r="A1618" s="226">
        <v>2022</v>
      </c>
      <c r="B1618" s="226">
        <v>9</v>
      </c>
      <c r="C1618" s="226">
        <v>1</v>
      </c>
      <c r="D1618" s="232">
        <f t="shared" si="179"/>
        <v>44805</v>
      </c>
      <c r="E1618" s="234">
        <f t="shared" si="180"/>
        <v>44805</v>
      </c>
      <c r="F1618" s="479"/>
      <c r="G1618" s="227" t="s">
        <v>86</v>
      </c>
      <c r="H1618" s="228" t="str" cm="1">
        <f t="array" ref="H1618">IFERROR(INDEX(INVESTOR_LIST[INVESTOR NAME],MATCH(I1618,INVESTOR_LIST[INVESTOR CODE],0),)," ")</f>
        <v xml:space="preserve"> </v>
      </c>
      <c r="I1618" s="228"/>
      <c r="J1618" s="229" t="s">
        <v>174</v>
      </c>
      <c r="K1618" s="230"/>
      <c r="L1618" s="230">
        <v>1304202.54</v>
      </c>
    </row>
    <row r="1619" spans="1:13" ht="11.25" customHeight="1" x14ac:dyDescent="0.2">
      <c r="A1619" s="236">
        <v>2022</v>
      </c>
      <c r="B1619" s="236">
        <v>9</v>
      </c>
      <c r="C1619" s="236">
        <v>1</v>
      </c>
      <c r="D1619" s="237">
        <f t="shared" si="179"/>
        <v>44805</v>
      </c>
      <c r="E1619" s="238">
        <f t="shared" ref="E1619:E1641" si="181">DATE(A1619,B1619,C1619)</f>
        <v>44805</v>
      </c>
      <c r="F1619" s="476" t="s">
        <v>1118</v>
      </c>
      <c r="G1619" s="239" t="s">
        <v>86</v>
      </c>
      <c r="H1619" s="239" t="str" cm="1">
        <f t="array" ref="H1619">IFERROR(INDEX(INVESTOR_LIST[INVESTOR NAME],MATCH(I1619,INVESTOR_LIST[INVESTOR CODE],0),)," ")</f>
        <v xml:space="preserve"> </v>
      </c>
      <c r="I1619" s="240"/>
      <c r="J1619" s="241" t="s">
        <v>98</v>
      </c>
      <c r="K1619" s="242">
        <v>299750</v>
      </c>
      <c r="L1619" s="242"/>
    </row>
    <row r="1620" spans="1:13" ht="11.25" customHeight="1" x14ac:dyDescent="0.2">
      <c r="A1620" s="243">
        <v>2022</v>
      </c>
      <c r="B1620" s="243">
        <v>9</v>
      </c>
      <c r="C1620" s="243">
        <v>1</v>
      </c>
      <c r="D1620" s="248">
        <f t="shared" si="179"/>
        <v>44805</v>
      </c>
      <c r="E1620" s="249">
        <f t="shared" si="181"/>
        <v>44805</v>
      </c>
      <c r="F1620" s="477"/>
      <c r="G1620" s="244" t="s">
        <v>86</v>
      </c>
      <c r="H1620" s="244" t="str" cm="1">
        <f t="array" ref="H1620">IFERROR(INDEX(INVESTOR_LIST[INVESTOR NAME],MATCH(I1620,INVESTOR_LIST[INVESTOR CODE],0),)," ")</f>
        <v xml:space="preserve"> </v>
      </c>
      <c r="I1620" s="245"/>
      <c r="J1620" s="246" t="s">
        <v>82</v>
      </c>
      <c r="K1620" s="247"/>
      <c r="L1620" s="247">
        <v>299750</v>
      </c>
    </row>
    <row r="1621" spans="1:13" ht="11.25" customHeight="1" x14ac:dyDescent="0.2">
      <c r="A1621" s="236">
        <v>2022</v>
      </c>
      <c r="B1621" s="236">
        <v>9</v>
      </c>
      <c r="C1621" s="236">
        <v>1</v>
      </c>
      <c r="D1621" s="237">
        <f t="shared" si="179"/>
        <v>44805</v>
      </c>
      <c r="E1621" s="238">
        <f t="shared" si="181"/>
        <v>44805</v>
      </c>
      <c r="F1621" s="476" t="s">
        <v>1120</v>
      </c>
      <c r="G1621" s="239" t="s">
        <v>86</v>
      </c>
      <c r="H1621" s="239" t="str" cm="1">
        <f t="array" ref="H1621">IFERROR(INDEX(INVESTOR_LIST[INVESTOR NAME],MATCH(I1621,INVESTOR_LIST[INVESTOR CODE],0),)," ")</f>
        <v xml:space="preserve"> </v>
      </c>
      <c r="I1621" s="240"/>
      <c r="J1621" s="241" t="s">
        <v>87</v>
      </c>
      <c r="K1621" s="242">
        <v>2747.2527472527472</v>
      </c>
      <c r="L1621" s="242"/>
    </row>
    <row r="1622" spans="1:13" ht="11.25" customHeight="1" x14ac:dyDescent="0.2">
      <c r="A1622" s="243">
        <v>2022</v>
      </c>
      <c r="B1622" s="243">
        <v>9</v>
      </c>
      <c r="C1622" s="243">
        <v>1</v>
      </c>
      <c r="D1622" s="248">
        <f t="shared" si="179"/>
        <v>44805</v>
      </c>
      <c r="E1622" s="249">
        <f t="shared" si="181"/>
        <v>44805</v>
      </c>
      <c r="F1622" s="477"/>
      <c r="G1622" s="244" t="s">
        <v>86</v>
      </c>
      <c r="H1622" s="244" t="str" cm="1">
        <f t="array" ref="H1622">IFERROR(INDEX(INVESTOR_LIST[INVESTOR NAME],MATCH(I1622,INVESTOR_LIST[INVESTOR CODE],0),)," ")</f>
        <v xml:space="preserve"> </v>
      </c>
      <c r="I1622" s="245"/>
      <c r="J1622" s="246" t="s">
        <v>64</v>
      </c>
      <c r="K1622" s="247"/>
      <c r="L1622" s="247">
        <v>2747.2527472527472</v>
      </c>
    </row>
    <row r="1623" spans="1:13" ht="11.25" customHeight="1" x14ac:dyDescent="0.2">
      <c r="A1623" s="236">
        <v>2022</v>
      </c>
      <c r="B1623" s="236">
        <v>9</v>
      </c>
      <c r="C1623" s="236">
        <v>1</v>
      </c>
      <c r="D1623" s="237">
        <f t="shared" si="179"/>
        <v>44805</v>
      </c>
      <c r="E1623" s="238">
        <f t="shared" si="181"/>
        <v>44805</v>
      </c>
      <c r="F1623" s="476" t="s">
        <v>1121</v>
      </c>
      <c r="G1623" s="239" t="s">
        <v>86</v>
      </c>
      <c r="H1623" s="239" t="str" cm="1">
        <f t="array" ref="H1623">IFERROR(INDEX(INVESTOR_LIST[INVESTOR NAME],MATCH(I1623,INVESTOR_LIST[INVESTOR CODE],0),)," ")</f>
        <v xml:space="preserve"> </v>
      </c>
      <c r="I1623" s="240"/>
      <c r="J1623" s="241" t="s">
        <v>89</v>
      </c>
      <c r="K1623" s="242">
        <v>96940.883562273099</v>
      </c>
      <c r="L1623" s="242"/>
    </row>
    <row r="1624" spans="1:13" ht="11.25" customHeight="1" x14ac:dyDescent="0.2">
      <c r="A1624" s="243">
        <v>2022</v>
      </c>
      <c r="B1624" s="243">
        <v>9</v>
      </c>
      <c r="C1624" s="243">
        <v>1</v>
      </c>
      <c r="D1624" s="248">
        <f t="shared" si="179"/>
        <v>44805</v>
      </c>
      <c r="E1624" s="249">
        <f t="shared" si="181"/>
        <v>44805</v>
      </c>
      <c r="F1624" s="477"/>
      <c r="G1624" s="244" t="s">
        <v>86</v>
      </c>
      <c r="H1624" s="244" t="str" cm="1">
        <f t="array" ref="H1624">IFERROR(INDEX(INVESTOR_LIST[INVESTOR NAME],MATCH(I1624,INVESTOR_LIST[INVESTOR CODE],0),)," ")</f>
        <v xml:space="preserve"> </v>
      </c>
      <c r="I1624" s="245"/>
      <c r="J1624" s="246" t="s">
        <v>50</v>
      </c>
      <c r="K1624" s="247"/>
      <c r="L1624" s="247">
        <v>96940.883562273099</v>
      </c>
    </row>
    <row r="1625" spans="1:13" ht="11.25" customHeight="1" x14ac:dyDescent="0.2">
      <c r="A1625" s="236">
        <v>2022</v>
      </c>
      <c r="B1625" s="236">
        <v>9</v>
      </c>
      <c r="C1625" s="236">
        <v>1</v>
      </c>
      <c r="D1625" s="237">
        <f t="shared" si="179"/>
        <v>44805</v>
      </c>
      <c r="E1625" s="238">
        <f t="shared" si="181"/>
        <v>44805</v>
      </c>
      <c r="F1625" s="476" t="s">
        <v>1122</v>
      </c>
      <c r="G1625" s="239" t="s">
        <v>86</v>
      </c>
      <c r="H1625" s="239" t="str" cm="1">
        <f t="array" ref="H1625">IFERROR(INDEX(INVESTOR_LIST[INVESTOR NAME],MATCH(I1625,INVESTOR_LIST[INVESTOR CODE],0),)," ")</f>
        <v xml:space="preserve"> </v>
      </c>
      <c r="I1625" s="240"/>
      <c r="J1625" s="241" t="s">
        <v>91</v>
      </c>
      <c r="K1625" s="242">
        <v>4606.659562729039</v>
      </c>
      <c r="L1625" s="242"/>
    </row>
    <row r="1626" spans="1:13" ht="11.25" customHeight="1" x14ac:dyDescent="0.2">
      <c r="A1626" s="243">
        <v>2022</v>
      </c>
      <c r="B1626" s="243">
        <v>9</v>
      </c>
      <c r="C1626" s="243">
        <v>1</v>
      </c>
      <c r="D1626" s="248">
        <f t="shared" si="179"/>
        <v>44805</v>
      </c>
      <c r="E1626" s="249">
        <f t="shared" si="181"/>
        <v>44805</v>
      </c>
      <c r="F1626" s="477"/>
      <c r="G1626" s="244" t="s">
        <v>86</v>
      </c>
      <c r="H1626" s="244" t="str" cm="1">
        <f t="array" ref="H1626">IFERROR(INDEX(INVESTOR_LIST[INVESTOR NAME],MATCH(I1626,INVESTOR_LIST[INVESTOR CODE],0),)," ")</f>
        <v xml:space="preserve"> </v>
      </c>
      <c r="I1626" s="245"/>
      <c r="J1626" s="246" t="s">
        <v>51</v>
      </c>
      <c r="K1626" s="247"/>
      <c r="L1626" s="247">
        <v>4606.659562729039</v>
      </c>
    </row>
    <row r="1627" spans="1:13" ht="11.25" customHeight="1" x14ac:dyDescent="0.2">
      <c r="A1627" s="221">
        <v>2022</v>
      </c>
      <c r="B1627" s="221">
        <v>9</v>
      </c>
      <c r="C1627" s="221">
        <v>4</v>
      </c>
      <c r="D1627" s="231">
        <f t="shared" si="179"/>
        <v>44808</v>
      </c>
      <c r="E1627" s="233">
        <f t="shared" si="181"/>
        <v>44808</v>
      </c>
      <c r="F1627" s="478" t="s">
        <v>1340</v>
      </c>
      <c r="G1627" s="222" t="s">
        <v>86</v>
      </c>
      <c r="H1627" s="223" t="str" cm="1">
        <f t="array" ref="H1627">IFERROR(INDEX(INVESTOR_LIST[INVESTOR NAME],MATCH(I1627,INVESTOR_LIST[INVESTOR CODE],0),)," ")</f>
        <v xml:space="preserve"> </v>
      </c>
      <c r="I1627" s="223"/>
      <c r="J1627" s="224" t="s">
        <v>88</v>
      </c>
      <c r="K1627" s="225">
        <v>77462015.040000007</v>
      </c>
      <c r="L1627" s="225"/>
    </row>
    <row r="1628" spans="1:13" ht="11.25" customHeight="1" x14ac:dyDescent="0.2">
      <c r="A1628" s="164">
        <v>2022</v>
      </c>
      <c r="B1628" s="164">
        <v>9</v>
      </c>
      <c r="C1628" s="164">
        <v>4</v>
      </c>
      <c r="D1628" s="156">
        <f t="shared" si="179"/>
        <v>44808</v>
      </c>
      <c r="E1628" s="235">
        <f t="shared" ref="E1628" si="182">DATE(A1628,B1628,C1628)</f>
        <v>44808</v>
      </c>
      <c r="F1628" s="480"/>
      <c r="G1628" s="208" t="s">
        <v>86</v>
      </c>
      <c r="J1628" s="165" t="s">
        <v>131</v>
      </c>
      <c r="K1628" s="205"/>
      <c r="L1628" s="205">
        <v>1304202.54</v>
      </c>
    </row>
    <row r="1629" spans="1:13" ht="11.25" customHeight="1" x14ac:dyDescent="0.2">
      <c r="A1629" s="226">
        <v>2022</v>
      </c>
      <c r="B1629" s="226">
        <v>9</v>
      </c>
      <c r="C1629" s="226">
        <v>4</v>
      </c>
      <c r="D1629" s="232">
        <f t="shared" si="179"/>
        <v>44808</v>
      </c>
      <c r="E1629" s="234">
        <f t="shared" si="181"/>
        <v>44808</v>
      </c>
      <c r="F1629" s="479"/>
      <c r="G1629" s="227" t="s">
        <v>86</v>
      </c>
      <c r="H1629" s="228" t="str" cm="1">
        <f t="array" ref="H1629">IFERROR(INDEX(INVESTOR_LIST[INVESTOR NAME],MATCH(I1629,INVESTOR_LIST[INVESTOR CODE],0),)," ")</f>
        <v xml:space="preserve"> </v>
      </c>
      <c r="I1629" s="228"/>
      <c r="J1629" s="229" t="s">
        <v>88</v>
      </c>
      <c r="K1629" s="230"/>
      <c r="L1629" s="230">
        <v>76157812.5</v>
      </c>
    </row>
    <row r="1630" spans="1:13" ht="11.25" customHeight="1" x14ac:dyDescent="0.2">
      <c r="A1630" s="221">
        <v>2022</v>
      </c>
      <c r="B1630" s="221">
        <v>9</v>
      </c>
      <c r="C1630" s="221">
        <v>5</v>
      </c>
      <c r="D1630" s="231">
        <f t="shared" si="179"/>
        <v>44809</v>
      </c>
      <c r="E1630" s="233">
        <f t="shared" si="181"/>
        <v>44809</v>
      </c>
      <c r="F1630" s="478" t="s">
        <v>1132</v>
      </c>
      <c r="G1630" s="222" t="s">
        <v>1111</v>
      </c>
      <c r="H1630" s="223" t="str" cm="1">
        <f t="array" ref="H1630">IFERROR(INDEX(INVESTOR_LIST[INVESTOR NAME],MATCH(I1630,INVESTOR_LIST[INVESTOR CODE],0),)," ")</f>
        <v>AHMED ASIF</v>
      </c>
      <c r="I1630" s="223" t="s">
        <v>1273</v>
      </c>
      <c r="J1630" s="224" t="s">
        <v>55</v>
      </c>
      <c r="K1630" s="225">
        <v>5000</v>
      </c>
      <c r="L1630" s="225"/>
    </row>
    <row r="1631" spans="1:13" ht="11.25" customHeight="1" x14ac:dyDescent="0.2">
      <c r="A1631" s="164">
        <v>2022</v>
      </c>
      <c r="B1631" s="164">
        <v>9</v>
      </c>
      <c r="C1631" s="164">
        <v>5</v>
      </c>
      <c r="D1631" s="156">
        <f t="shared" si="179"/>
        <v>44809</v>
      </c>
      <c r="E1631" s="235">
        <f t="shared" si="181"/>
        <v>44809</v>
      </c>
      <c r="F1631" s="480"/>
      <c r="G1631" s="208" t="s">
        <v>1111</v>
      </c>
      <c r="H1631" s="206" t="str" cm="1">
        <f t="array" ref="H1631">IFERROR(INDEX(INVESTOR_LIST[INVESTOR NAME],MATCH(I1631,INVESTOR_LIST[INVESTOR CODE],0),)," ")</f>
        <v>AHMED ASIF</v>
      </c>
      <c r="I1631" s="206" t="s">
        <v>1273</v>
      </c>
      <c r="J1631" s="165" t="s">
        <v>1112</v>
      </c>
      <c r="K1631" s="205">
        <v>40</v>
      </c>
      <c r="L1631" s="205"/>
      <c r="M1631" s="166"/>
    </row>
    <row r="1632" spans="1:13" ht="11.25" customHeight="1" x14ac:dyDescent="0.2">
      <c r="A1632" s="226">
        <v>2022</v>
      </c>
      <c r="B1632" s="226">
        <v>9</v>
      </c>
      <c r="C1632" s="226">
        <v>5</v>
      </c>
      <c r="D1632" s="232">
        <f t="shared" si="179"/>
        <v>44809</v>
      </c>
      <c r="E1632" s="234">
        <f t="shared" si="181"/>
        <v>44809</v>
      </c>
      <c r="F1632" s="479"/>
      <c r="G1632" s="227" t="s">
        <v>1111</v>
      </c>
      <c r="H1632" s="228" t="str" cm="1">
        <f t="array" ref="H1632">IFERROR(INDEX(INVESTOR_LIST[INVESTOR NAME],MATCH(I1632,INVESTOR_LIST[INVESTOR CODE],0),)," ")</f>
        <v>AHMED ASIF</v>
      </c>
      <c r="I1632" s="228" t="s">
        <v>1273</v>
      </c>
      <c r="J1632" s="229" t="s">
        <v>14</v>
      </c>
      <c r="K1632" s="230"/>
      <c r="L1632" s="230">
        <v>5040</v>
      </c>
    </row>
    <row r="1633" spans="1:12" ht="11.25" customHeight="1" x14ac:dyDescent="0.2">
      <c r="A1633" s="221">
        <v>2022</v>
      </c>
      <c r="B1633" s="221">
        <v>9</v>
      </c>
      <c r="C1633" s="221">
        <v>7</v>
      </c>
      <c r="D1633" s="231">
        <f t="shared" si="179"/>
        <v>44811</v>
      </c>
      <c r="E1633" s="233">
        <f t="shared" si="181"/>
        <v>44811</v>
      </c>
      <c r="F1633" s="478" t="s">
        <v>1115</v>
      </c>
      <c r="G1633" s="222" t="s">
        <v>1111</v>
      </c>
      <c r="H1633" s="223" t="str" cm="1">
        <f t="array" ref="H1633">IFERROR(INDEX(INVESTOR_LIST[INVESTOR NAME],MATCH(I1633,INVESTOR_LIST[INVESTOR CODE],0),)," ")</f>
        <v>FAKARUDDIN ALI AHMED</v>
      </c>
      <c r="I1633" s="223" t="s">
        <v>407</v>
      </c>
      <c r="J1633" s="224" t="s">
        <v>14</v>
      </c>
      <c r="K1633" s="225">
        <v>1000000</v>
      </c>
      <c r="L1633" s="225"/>
    </row>
    <row r="1634" spans="1:12" ht="11.25" customHeight="1" x14ac:dyDescent="0.2">
      <c r="A1634" s="164">
        <v>2022</v>
      </c>
      <c r="B1634" s="164">
        <v>9</v>
      </c>
      <c r="C1634" s="164">
        <v>7</v>
      </c>
      <c r="D1634" s="156">
        <f t="shared" si="179"/>
        <v>44811</v>
      </c>
      <c r="E1634" s="235">
        <f t="shared" si="181"/>
        <v>44811</v>
      </c>
      <c r="F1634" s="480"/>
      <c r="G1634" s="208" t="s">
        <v>1111</v>
      </c>
      <c r="H1634" s="206" t="str" cm="1">
        <f t="array" ref="H1634">IFERROR(INDEX(INVESTOR_LIST[INVESTOR NAME],MATCH(I1634,INVESTOR_LIST[INVESTOR CODE],0),)," ")</f>
        <v>FAKARUDDIN ALI AHMED</v>
      </c>
      <c r="I1634" s="206" t="s">
        <v>407</v>
      </c>
      <c r="J1634" s="165" t="s">
        <v>1112</v>
      </c>
      <c r="L1634" s="205">
        <v>8000</v>
      </c>
    </row>
    <row r="1635" spans="1:12" ht="11.25" customHeight="1" x14ac:dyDescent="0.2">
      <c r="A1635" s="226">
        <v>2022</v>
      </c>
      <c r="B1635" s="226">
        <v>9</v>
      </c>
      <c r="C1635" s="226">
        <v>7</v>
      </c>
      <c r="D1635" s="232">
        <f t="shared" si="179"/>
        <v>44811</v>
      </c>
      <c r="E1635" s="234">
        <f t="shared" si="181"/>
        <v>44811</v>
      </c>
      <c r="F1635" s="479"/>
      <c r="G1635" s="227" t="s">
        <v>1111</v>
      </c>
      <c r="H1635" s="228" t="str" cm="1">
        <f t="array" ref="H1635">IFERROR(INDEX(INVESTOR_LIST[INVESTOR NAME],MATCH(I1635,INVESTOR_LIST[INVESTOR CODE],0),)," ")</f>
        <v>FAKARUDDIN ALI AHMED</v>
      </c>
      <c r="I1635" s="228" t="s">
        <v>407</v>
      </c>
      <c r="J1635" s="229" t="s">
        <v>55</v>
      </c>
      <c r="K1635" s="230"/>
      <c r="L1635" s="230">
        <v>992000</v>
      </c>
    </row>
    <row r="1636" spans="1:12" ht="11.25" customHeight="1" x14ac:dyDescent="0.2">
      <c r="A1636" s="221">
        <v>2022</v>
      </c>
      <c r="B1636" s="221">
        <v>9</v>
      </c>
      <c r="C1636" s="221">
        <v>8</v>
      </c>
      <c r="D1636" s="231">
        <f t="shared" si="179"/>
        <v>44812</v>
      </c>
      <c r="E1636" s="233">
        <f t="shared" si="181"/>
        <v>44812</v>
      </c>
      <c r="F1636" s="478" t="s">
        <v>1299</v>
      </c>
      <c r="G1636" s="222" t="s">
        <v>1111</v>
      </c>
      <c r="H1636" s="223" t="str" cm="1">
        <f t="array" ref="H1636">IFERROR(INDEX(INVESTOR_LIST[INVESTOR NAME],MATCH(I1636,INVESTOR_LIST[INVESTOR CODE],0),)," ")</f>
        <v xml:space="preserve"> </v>
      </c>
      <c r="I1636" s="223"/>
      <c r="J1636" s="224" t="s">
        <v>55</v>
      </c>
      <c r="K1636" s="225">
        <v>599375</v>
      </c>
      <c r="L1636" s="225"/>
    </row>
    <row r="1637" spans="1:12" ht="11.25" customHeight="1" x14ac:dyDescent="0.2">
      <c r="A1637" s="226">
        <v>2022</v>
      </c>
      <c r="B1637" s="226">
        <v>9</v>
      </c>
      <c r="C1637" s="226">
        <v>8</v>
      </c>
      <c r="D1637" s="232">
        <f t="shared" si="179"/>
        <v>44812</v>
      </c>
      <c r="E1637" s="234">
        <f t="shared" si="181"/>
        <v>44812</v>
      </c>
      <c r="F1637" s="479"/>
      <c r="G1637" s="227" t="s">
        <v>1111</v>
      </c>
      <c r="H1637" s="228" t="str" cm="1">
        <f t="array" ref="H1637">IFERROR(INDEX(INVESTOR_LIST[INVESTOR NAME],MATCH(I1637,INVESTOR_LIST[INVESTOR CODE],0),)," ")</f>
        <v xml:space="preserve"> </v>
      </c>
      <c r="I1637" s="228"/>
      <c r="J1637" s="229" t="s">
        <v>131</v>
      </c>
      <c r="K1637" s="230"/>
      <c r="L1637" s="230">
        <v>599375</v>
      </c>
    </row>
    <row r="1638" spans="1:12" ht="11.25" customHeight="1" x14ac:dyDescent="0.2">
      <c r="A1638" s="280">
        <v>2022</v>
      </c>
      <c r="B1638" s="280">
        <v>9</v>
      </c>
      <c r="C1638" s="280">
        <v>8</v>
      </c>
      <c r="D1638" s="281">
        <f t="shared" si="179"/>
        <v>44812</v>
      </c>
      <c r="E1638" s="282">
        <f t="shared" si="181"/>
        <v>44812</v>
      </c>
      <c r="F1638" s="472" t="s">
        <v>1294</v>
      </c>
      <c r="G1638" s="283" t="s">
        <v>86</v>
      </c>
      <c r="H1638" s="284" t="str" cm="1">
        <f t="array" ref="H1638">IFERROR(INDEX(INVESTOR_LIST[INVESTOR NAME],MATCH(I1638,INVESTOR_LIST[INVESTOR CODE],0),)," ")</f>
        <v xml:space="preserve"> </v>
      </c>
      <c r="I1638" s="284"/>
      <c r="J1638" s="285" t="s">
        <v>131</v>
      </c>
      <c r="K1638" s="286">
        <v>7031.25</v>
      </c>
      <c r="L1638" s="286"/>
    </row>
    <row r="1639" spans="1:12" ht="11.25" customHeight="1" x14ac:dyDescent="0.2">
      <c r="A1639" s="287">
        <v>2022</v>
      </c>
      <c r="B1639" s="287">
        <v>9</v>
      </c>
      <c r="C1639" s="287">
        <v>8</v>
      </c>
      <c r="D1639" s="288">
        <f t="shared" si="179"/>
        <v>44812</v>
      </c>
      <c r="E1639" s="289">
        <f t="shared" si="181"/>
        <v>44812</v>
      </c>
      <c r="F1639" s="473"/>
      <c r="G1639" s="290" t="s">
        <v>86</v>
      </c>
      <c r="H1639" s="291" t="str" cm="1">
        <f t="array" ref="H1639">IFERROR(INDEX(INVESTOR_LIST[INVESTOR NAME],MATCH(I1639,INVESTOR_LIST[INVESTOR CODE],0),)," ")</f>
        <v xml:space="preserve"> </v>
      </c>
      <c r="I1639" s="291"/>
      <c r="J1639" s="292" t="s">
        <v>174</v>
      </c>
      <c r="K1639" s="293"/>
      <c r="L1639" s="293">
        <v>7031.25</v>
      </c>
    </row>
    <row r="1640" spans="1:12" ht="11.25" customHeight="1" x14ac:dyDescent="0.2">
      <c r="A1640" s="280">
        <v>2022</v>
      </c>
      <c r="B1640" s="280">
        <v>9</v>
      </c>
      <c r="C1640" s="280">
        <v>8</v>
      </c>
      <c r="D1640" s="281">
        <f t="shared" si="179"/>
        <v>44812</v>
      </c>
      <c r="E1640" s="282">
        <f t="shared" si="181"/>
        <v>44812</v>
      </c>
      <c r="F1640" s="472" t="s">
        <v>1296</v>
      </c>
      <c r="G1640" s="283" t="s">
        <v>86</v>
      </c>
      <c r="H1640" s="284" t="str" cm="1">
        <f t="array" ref="H1640">IFERROR(INDEX(INVESTOR_LIST[INVESTOR NAME],MATCH(I1640,INVESTOR_LIST[INVESTOR CODE],0),)," ")</f>
        <v xml:space="preserve"> </v>
      </c>
      <c r="I1640" s="284"/>
      <c r="J1640" s="285" t="s">
        <v>131</v>
      </c>
      <c r="K1640" s="286">
        <v>112965.44</v>
      </c>
      <c r="L1640" s="286"/>
    </row>
    <row r="1641" spans="1:12" ht="11.25" customHeight="1" x14ac:dyDescent="0.2">
      <c r="A1641" s="287">
        <v>2022</v>
      </c>
      <c r="B1641" s="287">
        <v>9</v>
      </c>
      <c r="C1641" s="287">
        <v>8</v>
      </c>
      <c r="D1641" s="288">
        <f t="shared" si="179"/>
        <v>44812</v>
      </c>
      <c r="E1641" s="289">
        <f t="shared" si="181"/>
        <v>44812</v>
      </c>
      <c r="F1641" s="473"/>
      <c r="G1641" s="290" t="s">
        <v>86</v>
      </c>
      <c r="H1641" s="291" t="str" cm="1">
        <f t="array" ref="H1641">IFERROR(INDEX(INVESTOR_LIST[INVESTOR NAME],MATCH(I1641,INVESTOR_LIST[INVESTOR CODE],0),)," ")</f>
        <v xml:space="preserve"> </v>
      </c>
      <c r="I1641" s="291"/>
      <c r="J1641" s="292" t="s">
        <v>174</v>
      </c>
      <c r="K1641" s="293"/>
      <c r="L1641" s="293">
        <v>112965.44</v>
      </c>
    </row>
    <row r="1642" spans="1:12" ht="11.25" customHeight="1" x14ac:dyDescent="0.2">
      <c r="A1642" s="236">
        <v>2022</v>
      </c>
      <c r="B1642" s="236">
        <v>9</v>
      </c>
      <c r="C1642" s="236">
        <v>8</v>
      </c>
      <c r="D1642" s="237">
        <f t="shared" si="179"/>
        <v>44812</v>
      </c>
      <c r="E1642" s="238">
        <f t="shared" ref="E1642:E1652" si="183">DATE(A1642,B1642,C1642)</f>
        <v>44812</v>
      </c>
      <c r="F1642" s="476" t="s">
        <v>1118</v>
      </c>
      <c r="G1642" s="239" t="s">
        <v>86</v>
      </c>
      <c r="H1642" s="239" t="str" cm="1">
        <f t="array" ref="H1642">IFERROR(INDEX(INVESTOR_LIST[INVESTOR NAME],MATCH(I1642,INVESTOR_LIST[INVESTOR CODE],0),)," ")</f>
        <v xml:space="preserve"> </v>
      </c>
      <c r="I1642" s="240"/>
      <c r="J1642" s="241" t="s">
        <v>98</v>
      </c>
      <c r="K1642" s="242">
        <v>1383450</v>
      </c>
      <c r="L1642" s="242"/>
    </row>
    <row r="1643" spans="1:12" ht="11.25" customHeight="1" x14ac:dyDescent="0.2">
      <c r="A1643" s="243">
        <v>2022</v>
      </c>
      <c r="B1643" s="243">
        <v>9</v>
      </c>
      <c r="C1643" s="243">
        <v>8</v>
      </c>
      <c r="D1643" s="248">
        <f t="shared" si="179"/>
        <v>44812</v>
      </c>
      <c r="E1643" s="249">
        <f t="shared" si="183"/>
        <v>44812</v>
      </c>
      <c r="F1643" s="477"/>
      <c r="G1643" s="244" t="s">
        <v>86</v>
      </c>
      <c r="H1643" s="244" t="str" cm="1">
        <f t="array" ref="H1643">IFERROR(INDEX(INVESTOR_LIST[INVESTOR NAME],MATCH(I1643,INVESTOR_LIST[INVESTOR CODE],0),)," ")</f>
        <v xml:space="preserve"> </v>
      </c>
      <c r="I1643" s="245"/>
      <c r="J1643" s="246" t="s">
        <v>82</v>
      </c>
      <c r="K1643" s="247"/>
      <c r="L1643" s="247">
        <v>1383450</v>
      </c>
    </row>
    <row r="1644" spans="1:12" ht="11.25" customHeight="1" x14ac:dyDescent="0.2">
      <c r="A1644" s="236">
        <v>2022</v>
      </c>
      <c r="B1644" s="236">
        <v>9</v>
      </c>
      <c r="C1644" s="236">
        <v>8</v>
      </c>
      <c r="D1644" s="237">
        <f t="shared" si="179"/>
        <v>44812</v>
      </c>
      <c r="E1644" s="238">
        <f t="shared" si="183"/>
        <v>44812</v>
      </c>
      <c r="F1644" s="476" t="s">
        <v>1120</v>
      </c>
      <c r="G1644" s="239" t="s">
        <v>86</v>
      </c>
      <c r="H1644" s="239" t="str" cm="1">
        <f t="array" ref="H1644">IFERROR(INDEX(INVESTOR_LIST[INVESTOR NAME],MATCH(I1644,INVESTOR_LIST[INVESTOR CODE],0),)," ")</f>
        <v xml:space="preserve"> </v>
      </c>
      <c r="I1644" s="240"/>
      <c r="J1644" s="241" t="s">
        <v>87</v>
      </c>
      <c r="K1644" s="242">
        <v>2747.2527472527472</v>
      </c>
      <c r="L1644" s="242"/>
    </row>
    <row r="1645" spans="1:12" ht="11.25" customHeight="1" x14ac:dyDescent="0.2">
      <c r="A1645" s="243">
        <v>2022</v>
      </c>
      <c r="B1645" s="243">
        <v>9</v>
      </c>
      <c r="C1645" s="243">
        <v>8</v>
      </c>
      <c r="D1645" s="248">
        <f t="shared" si="179"/>
        <v>44812</v>
      </c>
      <c r="E1645" s="249">
        <f t="shared" si="183"/>
        <v>44812</v>
      </c>
      <c r="F1645" s="477"/>
      <c r="G1645" s="244" t="s">
        <v>86</v>
      </c>
      <c r="H1645" s="244" t="str" cm="1">
        <f t="array" ref="H1645">IFERROR(INDEX(INVESTOR_LIST[INVESTOR NAME],MATCH(I1645,INVESTOR_LIST[INVESTOR CODE],0),)," ")</f>
        <v xml:space="preserve"> </v>
      </c>
      <c r="I1645" s="245"/>
      <c r="J1645" s="246" t="s">
        <v>64</v>
      </c>
      <c r="K1645" s="247"/>
      <c r="L1645" s="247">
        <v>2747.2527472527472</v>
      </c>
    </row>
    <row r="1646" spans="1:12" ht="11.25" customHeight="1" x14ac:dyDescent="0.2">
      <c r="A1646" s="236">
        <v>2022</v>
      </c>
      <c r="B1646" s="236">
        <v>9</v>
      </c>
      <c r="C1646" s="236">
        <v>8</v>
      </c>
      <c r="D1646" s="237">
        <f t="shared" si="179"/>
        <v>44812</v>
      </c>
      <c r="E1646" s="238">
        <f t="shared" si="183"/>
        <v>44812</v>
      </c>
      <c r="F1646" s="476" t="s">
        <v>1121</v>
      </c>
      <c r="G1646" s="239" t="s">
        <v>86</v>
      </c>
      <c r="H1646" s="239" t="str" cm="1">
        <f t="array" ref="H1646">IFERROR(INDEX(INVESTOR_LIST[INVESTOR NAME],MATCH(I1646,INVESTOR_LIST[INVESTOR CODE],0),)," ")</f>
        <v xml:space="preserve"> </v>
      </c>
      <c r="I1646" s="240"/>
      <c r="J1646" s="241" t="s">
        <v>89</v>
      </c>
      <c r="K1646" s="242">
        <v>97205.573394990497</v>
      </c>
      <c r="L1646" s="242"/>
    </row>
    <row r="1647" spans="1:12" ht="11.25" customHeight="1" x14ac:dyDescent="0.2">
      <c r="A1647" s="243">
        <v>2022</v>
      </c>
      <c r="B1647" s="243">
        <v>9</v>
      </c>
      <c r="C1647" s="243">
        <v>8</v>
      </c>
      <c r="D1647" s="248">
        <f t="shared" si="179"/>
        <v>44812</v>
      </c>
      <c r="E1647" s="249">
        <f t="shared" si="183"/>
        <v>44812</v>
      </c>
      <c r="F1647" s="477"/>
      <c r="G1647" s="244" t="s">
        <v>86</v>
      </c>
      <c r="H1647" s="244" t="str" cm="1">
        <f t="array" ref="H1647">IFERROR(INDEX(INVESTOR_LIST[INVESTOR NAME],MATCH(I1647,INVESTOR_LIST[INVESTOR CODE],0),)," ")</f>
        <v xml:space="preserve"> </v>
      </c>
      <c r="I1647" s="245"/>
      <c r="J1647" s="246" t="s">
        <v>50</v>
      </c>
      <c r="K1647" s="247"/>
      <c r="L1647" s="247">
        <v>97205.573394990497</v>
      </c>
    </row>
    <row r="1648" spans="1:12" ht="11.25" customHeight="1" x14ac:dyDescent="0.2">
      <c r="A1648" s="236">
        <v>2022</v>
      </c>
      <c r="B1648" s="236">
        <v>9</v>
      </c>
      <c r="C1648" s="236">
        <v>8</v>
      </c>
      <c r="D1648" s="237">
        <f t="shared" si="179"/>
        <v>44812</v>
      </c>
      <c r="E1648" s="238">
        <f t="shared" si="183"/>
        <v>44812</v>
      </c>
      <c r="F1648" s="476" t="s">
        <v>1122</v>
      </c>
      <c r="G1648" s="239" t="s">
        <v>86</v>
      </c>
      <c r="H1648" s="239" t="str" cm="1">
        <f t="array" ref="H1648">IFERROR(INDEX(INVESTOR_LIST[INVESTOR NAME],MATCH(I1648,INVESTOR_LIST[INVESTOR CODE],0),)," ")</f>
        <v xml:space="preserve"> </v>
      </c>
      <c r="I1648" s="240"/>
      <c r="J1648" s="241" t="s">
        <v>91</v>
      </c>
      <c r="K1648" s="242">
        <v>4619.8940543649096</v>
      </c>
      <c r="L1648" s="242"/>
    </row>
    <row r="1649" spans="1:15" ht="11.25" customHeight="1" x14ac:dyDescent="0.2">
      <c r="A1649" s="243">
        <v>2022</v>
      </c>
      <c r="B1649" s="243">
        <v>9</v>
      </c>
      <c r="C1649" s="243">
        <v>8</v>
      </c>
      <c r="D1649" s="248">
        <f t="shared" si="179"/>
        <v>44812</v>
      </c>
      <c r="E1649" s="249">
        <f t="shared" si="183"/>
        <v>44812</v>
      </c>
      <c r="F1649" s="477"/>
      <c r="G1649" s="244" t="s">
        <v>86</v>
      </c>
      <c r="H1649" s="244" t="str" cm="1">
        <f t="array" ref="H1649">IFERROR(INDEX(INVESTOR_LIST[INVESTOR NAME],MATCH(I1649,INVESTOR_LIST[INVESTOR CODE],0),)," ")</f>
        <v xml:space="preserve"> </v>
      </c>
      <c r="I1649" s="245"/>
      <c r="J1649" s="246" t="s">
        <v>51</v>
      </c>
      <c r="K1649" s="247"/>
      <c r="L1649" s="247">
        <v>4619.8940543649096</v>
      </c>
    </row>
    <row r="1650" spans="1:15" ht="11.25" customHeight="1" x14ac:dyDescent="0.2">
      <c r="A1650" s="221">
        <v>2022</v>
      </c>
      <c r="B1650" s="221">
        <v>9</v>
      </c>
      <c r="C1650" s="221">
        <v>11</v>
      </c>
      <c r="D1650" s="231">
        <f t="shared" si="179"/>
        <v>44815</v>
      </c>
      <c r="E1650" s="233">
        <f t="shared" si="183"/>
        <v>44815</v>
      </c>
      <c r="F1650" s="478" t="s">
        <v>1115</v>
      </c>
      <c r="G1650" s="222" t="s">
        <v>1111</v>
      </c>
      <c r="H1650" s="223" t="str" cm="1">
        <f t="array" ref="H1650">IFERROR(INDEX(INVESTOR_LIST[INVESTOR NAME],MATCH(I1650,INVESTOR_LIST[INVESTOR CODE],0),)," ")</f>
        <v>ASHUTOSH TALUKDER</v>
      </c>
      <c r="I1650" s="223" t="s">
        <v>432</v>
      </c>
      <c r="J1650" s="224" t="s">
        <v>14</v>
      </c>
      <c r="K1650" s="225">
        <v>150150</v>
      </c>
      <c r="L1650" s="225"/>
    </row>
    <row r="1651" spans="1:15" ht="11.25" customHeight="1" x14ac:dyDescent="0.2">
      <c r="A1651" s="164">
        <v>2022</v>
      </c>
      <c r="B1651" s="164">
        <v>9</v>
      </c>
      <c r="C1651" s="164">
        <v>11</v>
      </c>
      <c r="D1651" s="156">
        <f t="shared" si="179"/>
        <v>44815</v>
      </c>
      <c r="E1651" s="235">
        <f t="shared" si="183"/>
        <v>44815</v>
      </c>
      <c r="F1651" s="480"/>
      <c r="G1651" s="208" t="s">
        <v>1111</v>
      </c>
      <c r="H1651" s="206" t="str" cm="1">
        <f t="array" ref="H1651">IFERROR(INDEX(INVESTOR_LIST[INVESTOR NAME],MATCH(I1651,INVESTOR_LIST[INVESTOR CODE],0),)," ")</f>
        <v>ASHUTOSH TALUKDER</v>
      </c>
      <c r="I1651" s="206" t="s">
        <v>432</v>
      </c>
      <c r="J1651" s="165" t="s">
        <v>1112</v>
      </c>
      <c r="L1651" s="205">
        <v>150</v>
      </c>
    </row>
    <row r="1652" spans="1:15" ht="11.25" customHeight="1" x14ac:dyDescent="0.2">
      <c r="A1652" s="226">
        <v>2022</v>
      </c>
      <c r="B1652" s="226">
        <v>9</v>
      </c>
      <c r="C1652" s="226">
        <v>11</v>
      </c>
      <c r="D1652" s="232">
        <f t="shared" si="179"/>
        <v>44815</v>
      </c>
      <c r="E1652" s="234">
        <f t="shared" si="183"/>
        <v>44815</v>
      </c>
      <c r="F1652" s="479"/>
      <c r="G1652" s="227" t="s">
        <v>1111</v>
      </c>
      <c r="H1652" s="228" t="str" cm="1">
        <f t="array" ref="H1652">IFERROR(INDEX(INVESTOR_LIST[INVESTOR NAME],MATCH(I1652,INVESTOR_LIST[INVESTOR CODE],0),)," ")</f>
        <v>ASHUTOSH TALUKDER</v>
      </c>
      <c r="I1652" s="228" t="s">
        <v>432</v>
      </c>
      <c r="J1652" s="229" t="s">
        <v>55</v>
      </c>
      <c r="K1652" s="230"/>
      <c r="L1652" s="230">
        <v>150000</v>
      </c>
    </row>
    <row r="1653" spans="1:15" ht="11.25" customHeight="1" x14ac:dyDescent="0.2">
      <c r="A1653" s="221">
        <v>2022</v>
      </c>
      <c r="B1653" s="221">
        <v>9</v>
      </c>
      <c r="C1653" s="221">
        <v>13</v>
      </c>
      <c r="D1653" s="231">
        <f t="shared" si="179"/>
        <v>44817</v>
      </c>
      <c r="E1653" s="233">
        <f t="shared" ref="E1653:E1655" si="184">DATE(A1653,B1653,C1653)</f>
        <v>44817</v>
      </c>
      <c r="F1653" s="478" t="s">
        <v>1115</v>
      </c>
      <c r="G1653" s="222" t="s">
        <v>1111</v>
      </c>
      <c r="H1653" s="223" t="str" cm="1">
        <f t="array" ref="H1653">IFERROR(INDEX(INVESTOR_LIST[INVESTOR NAME],MATCH(I1653,INVESTOR_LIST[INVESTOR CODE],0),)," ")</f>
        <v>SUHAIEB CHOWDHURY</v>
      </c>
      <c r="I1653" s="223" t="s">
        <v>421</v>
      </c>
      <c r="J1653" s="224" t="s">
        <v>14</v>
      </c>
      <c r="K1653" s="225">
        <v>120000</v>
      </c>
      <c r="L1653" s="225"/>
    </row>
    <row r="1654" spans="1:15" ht="11.25" customHeight="1" x14ac:dyDescent="0.2">
      <c r="A1654" s="164">
        <v>2022</v>
      </c>
      <c r="B1654" s="164">
        <v>9</v>
      </c>
      <c r="C1654" s="164">
        <v>13</v>
      </c>
      <c r="D1654" s="156">
        <f t="shared" si="179"/>
        <v>44817</v>
      </c>
      <c r="E1654" s="235">
        <f t="shared" si="184"/>
        <v>44817</v>
      </c>
      <c r="F1654" s="480"/>
      <c r="G1654" s="208" t="s">
        <v>1111</v>
      </c>
      <c r="H1654" s="206" t="str" cm="1">
        <f t="array" ref="H1654">IFERROR(INDEX(INVESTOR_LIST[INVESTOR NAME],MATCH(I1654,INVESTOR_LIST[INVESTOR CODE],0),)," ")</f>
        <v>SUHAIEB CHOWDHURY</v>
      </c>
      <c r="I1654" s="206" t="s">
        <v>421</v>
      </c>
      <c r="J1654" s="165" t="s">
        <v>1112</v>
      </c>
      <c r="L1654" s="205">
        <v>120</v>
      </c>
    </row>
    <row r="1655" spans="1:15" ht="11.25" customHeight="1" x14ac:dyDescent="0.2">
      <c r="A1655" s="226">
        <v>2022</v>
      </c>
      <c r="B1655" s="226">
        <v>9</v>
      </c>
      <c r="C1655" s="226">
        <v>13</v>
      </c>
      <c r="D1655" s="232">
        <f t="shared" si="179"/>
        <v>44817</v>
      </c>
      <c r="E1655" s="234">
        <f t="shared" si="184"/>
        <v>44817</v>
      </c>
      <c r="F1655" s="479"/>
      <c r="G1655" s="227" t="s">
        <v>1111</v>
      </c>
      <c r="H1655" s="228" t="str" cm="1">
        <f t="array" ref="H1655">IFERROR(INDEX(INVESTOR_LIST[INVESTOR NAME],MATCH(I1655,INVESTOR_LIST[INVESTOR CODE],0),)," ")</f>
        <v>SUHAIEB CHOWDHURY</v>
      </c>
      <c r="I1655" s="228" t="s">
        <v>421</v>
      </c>
      <c r="J1655" s="229" t="s">
        <v>55</v>
      </c>
      <c r="K1655" s="230"/>
      <c r="L1655" s="230">
        <v>119880</v>
      </c>
    </row>
    <row r="1656" spans="1:15" ht="11.25" customHeight="1" x14ac:dyDescent="0.2">
      <c r="A1656" s="221">
        <v>2022</v>
      </c>
      <c r="B1656" s="221">
        <v>9</v>
      </c>
      <c r="C1656" s="221">
        <v>13</v>
      </c>
      <c r="D1656" s="231">
        <f t="shared" si="179"/>
        <v>44817</v>
      </c>
      <c r="E1656" s="233">
        <f t="shared" ref="E1656:E1658" si="185">DATE(A1656,B1656,C1656)</f>
        <v>44817</v>
      </c>
      <c r="F1656" s="478" t="s">
        <v>1115</v>
      </c>
      <c r="G1656" s="222" t="s">
        <v>1111</v>
      </c>
      <c r="H1656" s="223" t="str" cm="1">
        <f t="array" ref="H1656">IFERROR(INDEX(INVESTOR_LIST[INVESTOR NAME],MATCH(I1656,INVESTOR_LIST[INVESTOR CODE],0),)," ")</f>
        <v>MD. ZAHID HOSSAIN</v>
      </c>
      <c r="I1656" s="223" t="s">
        <v>427</v>
      </c>
      <c r="J1656" s="224" t="s">
        <v>14</v>
      </c>
      <c r="K1656" s="225">
        <v>500000</v>
      </c>
      <c r="L1656" s="225"/>
    </row>
    <row r="1657" spans="1:15" ht="11.25" customHeight="1" x14ac:dyDescent="0.2">
      <c r="A1657" s="164">
        <v>2022</v>
      </c>
      <c r="B1657" s="164">
        <v>9</v>
      </c>
      <c r="C1657" s="164">
        <v>13</v>
      </c>
      <c r="D1657" s="156">
        <f t="shared" si="179"/>
        <v>44817</v>
      </c>
      <c r="E1657" s="235">
        <f t="shared" si="185"/>
        <v>44817</v>
      </c>
      <c r="F1657" s="480"/>
      <c r="G1657" s="208" t="s">
        <v>1111</v>
      </c>
      <c r="H1657" s="206" t="str" cm="1">
        <f t="array" ref="H1657">IFERROR(INDEX(INVESTOR_LIST[INVESTOR NAME],MATCH(I1657,INVESTOR_LIST[INVESTOR CODE],0),)," ")</f>
        <v>MD. ZAHID HOSSAIN</v>
      </c>
      <c r="I1657" s="206" t="s">
        <v>427</v>
      </c>
      <c r="J1657" s="165" t="s">
        <v>1112</v>
      </c>
      <c r="L1657" s="205">
        <v>500</v>
      </c>
    </row>
    <row r="1658" spans="1:15" ht="11.25" customHeight="1" x14ac:dyDescent="0.2">
      <c r="A1658" s="226">
        <v>2022</v>
      </c>
      <c r="B1658" s="226">
        <v>9</v>
      </c>
      <c r="C1658" s="226">
        <v>13</v>
      </c>
      <c r="D1658" s="232">
        <f t="shared" si="179"/>
        <v>44817</v>
      </c>
      <c r="E1658" s="234">
        <f t="shared" si="185"/>
        <v>44817</v>
      </c>
      <c r="F1658" s="479"/>
      <c r="G1658" s="227" t="s">
        <v>1111</v>
      </c>
      <c r="H1658" s="228" t="str" cm="1">
        <f t="array" ref="H1658">IFERROR(INDEX(INVESTOR_LIST[INVESTOR NAME],MATCH(I1658,INVESTOR_LIST[INVESTOR CODE],0),)," ")</f>
        <v>MD. ZAHID HOSSAIN</v>
      </c>
      <c r="I1658" s="228" t="s">
        <v>427</v>
      </c>
      <c r="J1658" s="229" t="s">
        <v>55</v>
      </c>
      <c r="K1658" s="230"/>
      <c r="L1658" s="230">
        <v>499500</v>
      </c>
    </row>
    <row r="1659" spans="1:15" ht="11.25" customHeight="1" x14ac:dyDescent="0.2">
      <c r="A1659" s="221">
        <v>2022</v>
      </c>
      <c r="B1659" s="221">
        <v>9</v>
      </c>
      <c r="C1659" s="221">
        <v>15</v>
      </c>
      <c r="D1659" s="231">
        <f t="shared" si="179"/>
        <v>44819</v>
      </c>
      <c r="E1659" s="233">
        <f>DATE(A1659,B1659,C1659)</f>
        <v>44819</v>
      </c>
      <c r="F1659" s="478" t="s">
        <v>1178</v>
      </c>
      <c r="G1659" s="222" t="s">
        <v>1111</v>
      </c>
      <c r="H1659" s="223" t="str" cm="1">
        <f t="array" ref="H1659">IFERROR(INDEX(INVESTOR_LIST[INVESTOR NAME],MATCH(I1659,INVESTOR_LIST[INVESTOR CODE],0),)," ")</f>
        <v xml:space="preserve"> </v>
      </c>
      <c r="I1659" s="223"/>
      <c r="J1659" s="224" t="s">
        <v>189</v>
      </c>
      <c r="K1659" s="225">
        <v>9000</v>
      </c>
      <c r="L1659" s="225"/>
      <c r="O1659" s="166"/>
    </row>
    <row r="1660" spans="1:15" ht="11.25" customHeight="1" x14ac:dyDescent="0.2">
      <c r="A1660" s="226">
        <v>2022</v>
      </c>
      <c r="B1660" s="226">
        <v>9</v>
      </c>
      <c r="C1660" s="226">
        <v>15</v>
      </c>
      <c r="D1660" s="232">
        <f t="shared" si="179"/>
        <v>44819</v>
      </c>
      <c r="E1660" s="234">
        <f>DATE(A1660,B1660,C1660)</f>
        <v>44819</v>
      </c>
      <c r="F1660" s="479"/>
      <c r="G1660" s="227" t="s">
        <v>1111</v>
      </c>
      <c r="H1660" s="228" t="str" cm="1">
        <f t="array" ref="H1660">IFERROR(INDEX(INVESTOR_LIST[INVESTOR NAME],MATCH(I1660,INVESTOR_LIST[INVESTOR CODE],0),)," ")</f>
        <v xml:space="preserve"> </v>
      </c>
      <c r="I1660" s="228"/>
      <c r="J1660" s="229" t="s">
        <v>55</v>
      </c>
      <c r="K1660" s="230"/>
      <c r="L1660" s="230">
        <v>9000</v>
      </c>
    </row>
    <row r="1661" spans="1:15" ht="11.25" customHeight="1" x14ac:dyDescent="0.2">
      <c r="A1661" s="221">
        <v>2022</v>
      </c>
      <c r="B1661" s="221">
        <v>9</v>
      </c>
      <c r="C1661" s="221">
        <v>15</v>
      </c>
      <c r="D1661" s="221">
        <f t="shared" si="179"/>
        <v>44819</v>
      </c>
      <c r="E1661" s="233">
        <f t="shared" ref="E1661:E1683" si="186">DATE(A1661,B1661,C1661)</f>
        <v>44819</v>
      </c>
      <c r="F1661" s="478" t="s">
        <v>1300</v>
      </c>
      <c r="G1661" s="222" t="s">
        <v>1111</v>
      </c>
      <c r="H1661" s="222" t="str" cm="1">
        <f t="array" ref="H1661">IFERROR(INDEX(INVESTOR_LIST[INVESTOR NAME],MATCH(I1661,INVESTOR_LIST[INVESTOR CODE],0),)," ")</f>
        <v xml:space="preserve"> </v>
      </c>
      <c r="I1661" s="223"/>
      <c r="J1661" s="224" t="s">
        <v>80</v>
      </c>
      <c r="K1661" s="225">
        <v>467550</v>
      </c>
      <c r="L1661" s="225"/>
    </row>
    <row r="1662" spans="1:15" ht="11.25" customHeight="1" x14ac:dyDescent="0.2">
      <c r="A1662" s="164">
        <v>2022</v>
      </c>
      <c r="B1662" s="164">
        <v>9</v>
      </c>
      <c r="C1662" s="164">
        <v>15</v>
      </c>
      <c r="D1662" s="164">
        <f t="shared" si="179"/>
        <v>44819</v>
      </c>
      <c r="E1662" s="235">
        <f t="shared" si="186"/>
        <v>44819</v>
      </c>
      <c r="F1662" s="480"/>
      <c r="G1662" s="208" t="s">
        <v>1111</v>
      </c>
      <c r="H1662" s="208" t="str" cm="1">
        <f t="array" ref="H1662">IFERROR(INDEX(INVESTOR_LIST[INVESTOR NAME],MATCH(I1662,INVESTOR_LIST[INVESTOR CODE],0),)," ")</f>
        <v xml:space="preserve"> </v>
      </c>
      <c r="J1662" s="165" t="s">
        <v>55</v>
      </c>
      <c r="K1662" s="205">
        <v>282450</v>
      </c>
      <c r="L1662" s="205"/>
      <c r="M1662" s="166"/>
    </row>
    <row r="1663" spans="1:15" ht="11.25" customHeight="1" x14ac:dyDescent="0.2">
      <c r="A1663" s="226">
        <v>2022</v>
      </c>
      <c r="B1663" s="226">
        <v>9</v>
      </c>
      <c r="C1663" s="226">
        <v>15</v>
      </c>
      <c r="D1663" s="226">
        <f t="shared" si="179"/>
        <v>44819</v>
      </c>
      <c r="E1663" s="234">
        <f t="shared" si="186"/>
        <v>44819</v>
      </c>
      <c r="F1663" s="479"/>
      <c r="G1663" s="227" t="s">
        <v>1111</v>
      </c>
      <c r="H1663" s="228" t="str" cm="1">
        <f t="array" ref="H1663">IFERROR(INDEX(INVESTOR_LIST[INVESTOR NAME],MATCH(I1663,INVESTOR_LIST[INVESTOR CODE],0),)," ")</f>
        <v xml:space="preserve"> </v>
      </c>
      <c r="I1663" s="228"/>
      <c r="J1663" s="229" t="s">
        <v>196</v>
      </c>
      <c r="K1663" s="230"/>
      <c r="L1663" s="230">
        <v>750000</v>
      </c>
    </row>
    <row r="1664" spans="1:15" ht="11.25" customHeight="1" x14ac:dyDescent="0.2">
      <c r="A1664" s="221">
        <v>2022</v>
      </c>
      <c r="B1664" s="221">
        <v>9</v>
      </c>
      <c r="C1664" s="221">
        <v>15</v>
      </c>
      <c r="D1664" s="221">
        <f t="shared" si="179"/>
        <v>44819</v>
      </c>
      <c r="E1664" s="233">
        <f t="shared" si="186"/>
        <v>44819</v>
      </c>
      <c r="F1664" s="478" t="s">
        <v>1301</v>
      </c>
      <c r="G1664" s="222" t="s">
        <v>86</v>
      </c>
      <c r="H1664" s="222" t="str" cm="1">
        <f t="array" ref="H1664">IFERROR(INDEX(INVESTOR_LIST[INVESTOR NAME],MATCH(I1664,INVESTOR_LIST[INVESTOR CODE],0),)," ")</f>
        <v xml:space="preserve"> </v>
      </c>
      <c r="I1664" s="223"/>
      <c r="J1664" s="165" t="s">
        <v>199</v>
      </c>
      <c r="K1664" s="225">
        <v>5283372.88</v>
      </c>
      <c r="L1664" s="225"/>
    </row>
    <row r="1665" spans="1:12" ht="11.25" customHeight="1" x14ac:dyDescent="0.2">
      <c r="A1665" s="164">
        <v>2022</v>
      </c>
      <c r="B1665" s="164">
        <v>9</v>
      </c>
      <c r="C1665" s="164">
        <v>15</v>
      </c>
      <c r="D1665" s="164">
        <f t="shared" si="179"/>
        <v>44819</v>
      </c>
      <c r="E1665" s="235">
        <f t="shared" si="186"/>
        <v>44819</v>
      </c>
      <c r="F1665" s="480"/>
      <c r="G1665" s="208" t="s">
        <v>86</v>
      </c>
      <c r="H1665" s="208"/>
      <c r="J1665" s="165" t="s">
        <v>960</v>
      </c>
      <c r="K1665" s="205">
        <v>9527.2199999999993</v>
      </c>
      <c r="L1665" s="205"/>
    </row>
    <row r="1666" spans="1:12" ht="11.25" customHeight="1" x14ac:dyDescent="0.2">
      <c r="A1666" s="164">
        <v>2022</v>
      </c>
      <c r="B1666" s="164">
        <v>9</v>
      </c>
      <c r="C1666" s="164">
        <v>15</v>
      </c>
      <c r="D1666" s="164">
        <f t="shared" si="179"/>
        <v>44819</v>
      </c>
      <c r="E1666" s="235">
        <f t="shared" si="186"/>
        <v>44819</v>
      </c>
      <c r="F1666" s="480"/>
      <c r="G1666" s="208" t="s">
        <v>86</v>
      </c>
      <c r="H1666" s="208"/>
      <c r="J1666" s="165" t="s">
        <v>200</v>
      </c>
      <c r="K1666" s="263"/>
      <c r="L1666" s="205">
        <v>430743.4</v>
      </c>
    </row>
    <row r="1667" spans="1:12" ht="11.25" customHeight="1" x14ac:dyDescent="0.2">
      <c r="A1667" s="226">
        <v>2022</v>
      </c>
      <c r="B1667" s="226">
        <v>9</v>
      </c>
      <c r="C1667" s="226">
        <v>15</v>
      </c>
      <c r="D1667" s="226">
        <f t="shared" si="179"/>
        <v>44819</v>
      </c>
      <c r="E1667" s="234">
        <f t="shared" si="186"/>
        <v>44819</v>
      </c>
      <c r="F1667" s="479"/>
      <c r="G1667" s="227" t="s">
        <v>86</v>
      </c>
      <c r="H1667" s="228" t="str" cm="1">
        <f t="array" ref="H1667">IFERROR(INDEX(INVESTOR_LIST[INVESTOR NAME],MATCH(I1667,INVESTOR_LIST[INVESTOR CODE],0),)," ")</f>
        <v xml:space="preserve"> </v>
      </c>
      <c r="I1667" s="228"/>
      <c r="J1667" s="229" t="s">
        <v>80</v>
      </c>
      <c r="K1667" s="230"/>
      <c r="L1667" s="230">
        <v>4862156.7</v>
      </c>
    </row>
    <row r="1668" spans="1:12" ht="11.25" customHeight="1" x14ac:dyDescent="0.2">
      <c r="A1668" s="280">
        <v>2022</v>
      </c>
      <c r="B1668" s="280">
        <v>9</v>
      </c>
      <c r="C1668" s="280">
        <v>15</v>
      </c>
      <c r="D1668" s="281">
        <f t="shared" si="179"/>
        <v>44819</v>
      </c>
      <c r="E1668" s="282">
        <f t="shared" si="186"/>
        <v>44819</v>
      </c>
      <c r="F1668" s="472" t="s">
        <v>1294</v>
      </c>
      <c r="G1668" s="283" t="s">
        <v>86</v>
      </c>
      <c r="H1668" s="284" t="str" cm="1">
        <f t="array" ref="H1668">IFERROR(INDEX(INVESTOR_LIST[INVESTOR NAME],MATCH(I1668,INVESTOR_LIST[INVESTOR CODE],0),)," ")</f>
        <v xml:space="preserve"> </v>
      </c>
      <c r="I1668" s="284"/>
      <c r="J1668" s="285" t="s">
        <v>131</v>
      </c>
      <c r="K1668" s="286">
        <v>7031.25</v>
      </c>
      <c r="L1668" s="286"/>
    </row>
    <row r="1669" spans="1:12" ht="11.25" customHeight="1" x14ac:dyDescent="0.2">
      <c r="A1669" s="287">
        <v>2022</v>
      </c>
      <c r="B1669" s="287">
        <v>9</v>
      </c>
      <c r="C1669" s="287">
        <v>15</v>
      </c>
      <c r="D1669" s="288">
        <f t="shared" si="179"/>
        <v>44819</v>
      </c>
      <c r="E1669" s="289">
        <f t="shared" si="186"/>
        <v>44819</v>
      </c>
      <c r="F1669" s="473"/>
      <c r="G1669" s="290" t="s">
        <v>86</v>
      </c>
      <c r="H1669" s="291" t="str" cm="1">
        <f t="array" ref="H1669">IFERROR(INDEX(INVESTOR_LIST[INVESTOR NAME],MATCH(I1669,INVESTOR_LIST[INVESTOR CODE],0),)," ")</f>
        <v xml:space="preserve"> </v>
      </c>
      <c r="I1669" s="291"/>
      <c r="J1669" s="292" t="s">
        <v>174</v>
      </c>
      <c r="K1669" s="293"/>
      <c r="L1669" s="293">
        <v>7031.25</v>
      </c>
    </row>
    <row r="1670" spans="1:12" ht="11.25" customHeight="1" x14ac:dyDescent="0.2">
      <c r="A1670" s="280">
        <v>2022</v>
      </c>
      <c r="B1670" s="280">
        <v>9</v>
      </c>
      <c r="C1670" s="280">
        <v>15</v>
      </c>
      <c r="D1670" s="281">
        <f t="shared" si="179"/>
        <v>44819</v>
      </c>
      <c r="E1670" s="282">
        <f t="shared" si="186"/>
        <v>44819</v>
      </c>
      <c r="F1670" s="472" t="s">
        <v>1295</v>
      </c>
      <c r="G1670" s="283" t="s">
        <v>86</v>
      </c>
      <c r="H1670" s="284" t="str" cm="1">
        <f t="array" ref="H1670">IFERROR(INDEX(INVESTOR_LIST[INVESTOR NAME],MATCH(I1670,INVESTOR_LIST[INVESTOR CODE],0),)," ")</f>
        <v xml:space="preserve"> </v>
      </c>
      <c r="I1670" s="284"/>
      <c r="J1670" s="285" t="s">
        <v>131</v>
      </c>
      <c r="K1670" s="286">
        <v>51041.67</v>
      </c>
      <c r="L1670" s="286"/>
    </row>
    <row r="1671" spans="1:12" ht="11.25" customHeight="1" x14ac:dyDescent="0.2">
      <c r="A1671" s="287">
        <v>2022</v>
      </c>
      <c r="B1671" s="287">
        <v>9</v>
      </c>
      <c r="C1671" s="287">
        <v>15</v>
      </c>
      <c r="D1671" s="288">
        <f t="shared" si="179"/>
        <v>44819</v>
      </c>
      <c r="E1671" s="289">
        <f t="shared" si="186"/>
        <v>44819</v>
      </c>
      <c r="F1671" s="473"/>
      <c r="G1671" s="290" t="s">
        <v>86</v>
      </c>
      <c r="H1671" s="291" t="str" cm="1">
        <f t="array" ref="H1671">IFERROR(INDEX(INVESTOR_LIST[INVESTOR NAME],MATCH(I1671,INVESTOR_LIST[INVESTOR CODE],0),)," ")</f>
        <v xml:space="preserve"> </v>
      </c>
      <c r="I1671" s="291"/>
      <c r="J1671" s="292" t="s">
        <v>174</v>
      </c>
      <c r="K1671" s="293"/>
      <c r="L1671" s="293">
        <v>51041.67</v>
      </c>
    </row>
    <row r="1672" spans="1:12" ht="11.25" customHeight="1" x14ac:dyDescent="0.2">
      <c r="A1672" s="280">
        <v>2022</v>
      </c>
      <c r="B1672" s="280">
        <v>9</v>
      </c>
      <c r="C1672" s="280">
        <v>15</v>
      </c>
      <c r="D1672" s="281">
        <f t="shared" si="179"/>
        <v>44819</v>
      </c>
      <c r="E1672" s="282">
        <f t="shared" si="186"/>
        <v>44819</v>
      </c>
      <c r="F1672" s="472" t="s">
        <v>1296</v>
      </c>
      <c r="G1672" s="283" t="s">
        <v>86</v>
      </c>
      <c r="H1672" s="284" t="str" cm="1">
        <f t="array" ref="H1672">IFERROR(INDEX(INVESTOR_LIST[INVESTOR NAME],MATCH(I1672,INVESTOR_LIST[INVESTOR CODE],0),)," ")</f>
        <v xml:space="preserve"> </v>
      </c>
      <c r="I1672" s="284"/>
      <c r="J1672" s="285" t="s">
        <v>131</v>
      </c>
      <c r="K1672" s="286">
        <v>112965.44</v>
      </c>
      <c r="L1672" s="286"/>
    </row>
    <row r="1673" spans="1:12" ht="11.25" customHeight="1" x14ac:dyDescent="0.2">
      <c r="A1673" s="287">
        <v>2022</v>
      </c>
      <c r="B1673" s="287">
        <v>9</v>
      </c>
      <c r="C1673" s="287">
        <v>15</v>
      </c>
      <c r="D1673" s="288">
        <f t="shared" ref="D1673:D1736" si="187">DATE(A1673,B1673,C1673)</f>
        <v>44819</v>
      </c>
      <c r="E1673" s="289">
        <f t="shared" si="186"/>
        <v>44819</v>
      </c>
      <c r="F1673" s="473"/>
      <c r="G1673" s="290" t="s">
        <v>86</v>
      </c>
      <c r="H1673" s="291" t="str" cm="1">
        <f t="array" ref="H1673">IFERROR(INDEX(INVESTOR_LIST[INVESTOR NAME],MATCH(I1673,INVESTOR_LIST[INVESTOR CODE],0),)," ")</f>
        <v xml:space="preserve"> </v>
      </c>
      <c r="I1673" s="291"/>
      <c r="J1673" s="292" t="s">
        <v>174</v>
      </c>
      <c r="K1673" s="293"/>
      <c r="L1673" s="293">
        <v>112965.44</v>
      </c>
    </row>
    <row r="1674" spans="1:12" ht="11.25" customHeight="1" x14ac:dyDescent="0.2">
      <c r="A1674" s="236">
        <v>2022</v>
      </c>
      <c r="B1674" s="236">
        <v>9</v>
      </c>
      <c r="C1674" s="236">
        <v>15</v>
      </c>
      <c r="D1674" s="237">
        <f t="shared" si="187"/>
        <v>44819</v>
      </c>
      <c r="E1674" s="238">
        <f t="shared" si="186"/>
        <v>44819</v>
      </c>
      <c r="F1674" s="476" t="s">
        <v>1118</v>
      </c>
      <c r="G1674" s="239" t="s">
        <v>86</v>
      </c>
      <c r="H1674" s="239" t="str" cm="1">
        <f t="array" ref="H1674">IFERROR(INDEX(INVESTOR_LIST[INVESTOR NAME],MATCH(I1674,INVESTOR_LIST[INVESTOR CODE],0),)," ")</f>
        <v xml:space="preserve"> </v>
      </c>
      <c r="I1674" s="240"/>
      <c r="J1674" s="241" t="s">
        <v>82</v>
      </c>
      <c r="K1674" s="242">
        <v>1322793.299999997</v>
      </c>
      <c r="L1674" s="242"/>
    </row>
    <row r="1675" spans="1:12" ht="11.25" customHeight="1" x14ac:dyDescent="0.2">
      <c r="A1675" s="243">
        <v>2022</v>
      </c>
      <c r="B1675" s="243">
        <v>9</v>
      </c>
      <c r="C1675" s="243">
        <v>15</v>
      </c>
      <c r="D1675" s="248">
        <f t="shared" si="187"/>
        <v>44819</v>
      </c>
      <c r="E1675" s="249">
        <f t="shared" si="186"/>
        <v>44819</v>
      </c>
      <c r="F1675" s="477"/>
      <c r="G1675" s="244" t="s">
        <v>86</v>
      </c>
      <c r="H1675" s="244" t="str" cm="1">
        <f t="array" ref="H1675">IFERROR(INDEX(INVESTOR_LIST[INVESTOR NAME],MATCH(I1675,INVESTOR_LIST[INVESTOR CODE],0),)," ")</f>
        <v xml:space="preserve"> </v>
      </c>
      <c r="I1675" s="245"/>
      <c r="J1675" s="246" t="s">
        <v>98</v>
      </c>
      <c r="K1675" s="247"/>
      <c r="L1675" s="247">
        <v>1322793.299999997</v>
      </c>
    </row>
    <row r="1676" spans="1:12" ht="11.25" customHeight="1" x14ac:dyDescent="0.2">
      <c r="A1676" s="236">
        <v>2022</v>
      </c>
      <c r="B1676" s="236">
        <v>9</v>
      </c>
      <c r="C1676" s="236">
        <v>15</v>
      </c>
      <c r="D1676" s="237">
        <f t="shared" si="187"/>
        <v>44819</v>
      </c>
      <c r="E1676" s="238">
        <f t="shared" si="186"/>
        <v>44819</v>
      </c>
      <c r="F1676" s="476" t="s">
        <v>1120</v>
      </c>
      <c r="G1676" s="239" t="s">
        <v>86</v>
      </c>
      <c r="H1676" s="239" t="str" cm="1">
        <f t="array" ref="H1676">IFERROR(INDEX(INVESTOR_LIST[INVESTOR NAME],MATCH(I1676,INVESTOR_LIST[INVESTOR CODE],0),)," ")</f>
        <v xml:space="preserve"> </v>
      </c>
      <c r="I1676" s="240"/>
      <c r="J1676" s="241" t="s">
        <v>87</v>
      </c>
      <c r="K1676" s="242">
        <v>2747.2527472527472</v>
      </c>
      <c r="L1676" s="242"/>
    </row>
    <row r="1677" spans="1:12" ht="11.25" customHeight="1" x14ac:dyDescent="0.2">
      <c r="A1677" s="243">
        <v>2022</v>
      </c>
      <c r="B1677" s="243">
        <v>9</v>
      </c>
      <c r="C1677" s="243">
        <v>15</v>
      </c>
      <c r="D1677" s="248">
        <f t="shared" si="187"/>
        <v>44819</v>
      </c>
      <c r="E1677" s="249">
        <f t="shared" si="186"/>
        <v>44819</v>
      </c>
      <c r="F1677" s="477"/>
      <c r="G1677" s="244" t="s">
        <v>86</v>
      </c>
      <c r="H1677" s="244" t="str" cm="1">
        <f t="array" ref="H1677">IFERROR(INDEX(INVESTOR_LIST[INVESTOR NAME],MATCH(I1677,INVESTOR_LIST[INVESTOR CODE],0),)," ")</f>
        <v xml:space="preserve"> </v>
      </c>
      <c r="I1677" s="245"/>
      <c r="J1677" s="246" t="s">
        <v>64</v>
      </c>
      <c r="K1677" s="247"/>
      <c r="L1677" s="247">
        <v>2747.2527472527472</v>
      </c>
    </row>
    <row r="1678" spans="1:12" ht="11.25" customHeight="1" x14ac:dyDescent="0.2">
      <c r="A1678" s="236">
        <v>2022</v>
      </c>
      <c r="B1678" s="236">
        <v>9</v>
      </c>
      <c r="C1678" s="236">
        <v>15</v>
      </c>
      <c r="D1678" s="237">
        <f t="shared" si="187"/>
        <v>44819</v>
      </c>
      <c r="E1678" s="238">
        <f t="shared" si="186"/>
        <v>44819</v>
      </c>
      <c r="F1678" s="476" t="s">
        <v>1121</v>
      </c>
      <c r="G1678" s="239" t="s">
        <v>86</v>
      </c>
      <c r="H1678" s="239" t="str" cm="1">
        <f t="array" ref="H1678">IFERROR(INDEX(INVESTOR_LIST[INVESTOR NAME],MATCH(I1678,INVESTOR_LIST[INVESTOR CODE],0),)," ")</f>
        <v xml:space="preserve"> </v>
      </c>
      <c r="I1678" s="240"/>
      <c r="J1678" s="241" t="s">
        <v>89</v>
      </c>
      <c r="K1678" s="242">
        <v>96584.999748761009</v>
      </c>
      <c r="L1678" s="242"/>
    </row>
    <row r="1679" spans="1:12" ht="11.25" customHeight="1" x14ac:dyDescent="0.2">
      <c r="A1679" s="243">
        <v>2022</v>
      </c>
      <c r="B1679" s="243">
        <v>9</v>
      </c>
      <c r="C1679" s="243">
        <v>15</v>
      </c>
      <c r="D1679" s="248">
        <f t="shared" si="187"/>
        <v>44819</v>
      </c>
      <c r="E1679" s="249">
        <f t="shared" si="186"/>
        <v>44819</v>
      </c>
      <c r="F1679" s="477"/>
      <c r="G1679" s="244" t="s">
        <v>86</v>
      </c>
      <c r="H1679" s="244" t="str" cm="1">
        <f t="array" ref="H1679">IFERROR(INDEX(INVESTOR_LIST[INVESTOR NAME],MATCH(I1679,INVESTOR_LIST[INVESTOR CODE],0),)," ")</f>
        <v xml:space="preserve"> </v>
      </c>
      <c r="I1679" s="245"/>
      <c r="J1679" s="246" t="s">
        <v>50</v>
      </c>
      <c r="K1679" s="247"/>
      <c r="L1679" s="247">
        <v>96584.999748761009</v>
      </c>
    </row>
    <row r="1680" spans="1:12" ht="11.25" customHeight="1" x14ac:dyDescent="0.2">
      <c r="A1680" s="236">
        <v>2022</v>
      </c>
      <c r="B1680" s="236">
        <v>9</v>
      </c>
      <c r="C1680" s="236">
        <v>15</v>
      </c>
      <c r="D1680" s="237">
        <f t="shared" si="187"/>
        <v>44819</v>
      </c>
      <c r="E1680" s="238">
        <f t="shared" si="186"/>
        <v>44819</v>
      </c>
      <c r="F1680" s="476" t="s">
        <v>1122</v>
      </c>
      <c r="G1680" s="239" t="s">
        <v>86</v>
      </c>
      <c r="H1680" s="239" t="str" cm="1">
        <f t="array" ref="H1680">IFERROR(INDEX(INVESTOR_LIST[INVESTOR NAME],MATCH(I1680,INVESTOR_LIST[INVESTOR CODE],0),)," ")</f>
        <v xml:space="preserve"> </v>
      </c>
      <c r="I1680" s="240"/>
      <c r="J1680" s="241" t="s">
        <v>91</v>
      </c>
      <c r="K1680" s="242">
        <v>4588.8653720534357</v>
      </c>
      <c r="L1680" s="242"/>
    </row>
    <row r="1681" spans="1:13" ht="11.25" customHeight="1" x14ac:dyDescent="0.2">
      <c r="A1681" s="243">
        <v>2022</v>
      </c>
      <c r="B1681" s="243">
        <v>9</v>
      </c>
      <c r="C1681" s="243">
        <v>15</v>
      </c>
      <c r="D1681" s="248">
        <f t="shared" si="187"/>
        <v>44819</v>
      </c>
      <c r="E1681" s="249">
        <f t="shared" si="186"/>
        <v>44819</v>
      </c>
      <c r="F1681" s="477"/>
      <c r="G1681" s="244" t="s">
        <v>86</v>
      </c>
      <c r="H1681" s="244" t="str" cm="1">
        <f t="array" ref="H1681">IFERROR(INDEX(INVESTOR_LIST[INVESTOR NAME],MATCH(I1681,INVESTOR_LIST[INVESTOR CODE],0),)," ")</f>
        <v xml:space="preserve"> </v>
      </c>
      <c r="I1681" s="245"/>
      <c r="J1681" s="246" t="s">
        <v>51</v>
      </c>
      <c r="K1681" s="247"/>
      <c r="L1681" s="247">
        <v>4588.8653720534357</v>
      </c>
    </row>
    <row r="1682" spans="1:13" ht="11.25" customHeight="1" x14ac:dyDescent="0.2">
      <c r="A1682" s="221">
        <v>2022</v>
      </c>
      <c r="B1682" s="221">
        <v>9</v>
      </c>
      <c r="C1682" s="221">
        <v>19</v>
      </c>
      <c r="D1682" s="231">
        <f t="shared" si="187"/>
        <v>44823</v>
      </c>
      <c r="E1682" s="233">
        <f t="shared" si="186"/>
        <v>44823</v>
      </c>
      <c r="F1682" s="478" t="s">
        <v>1302</v>
      </c>
      <c r="G1682" s="222" t="s">
        <v>1111</v>
      </c>
      <c r="H1682" s="223" t="str" cm="1">
        <f t="array" ref="H1682">IFERROR(INDEX(INVESTOR_LIST[INVESTOR NAME],MATCH(I1682,INVESTOR_LIST[INVESTOR CODE],0),)," ")</f>
        <v xml:space="preserve"> </v>
      </c>
      <c r="I1682" s="223"/>
      <c r="J1682" s="224" t="s">
        <v>189</v>
      </c>
      <c r="K1682" s="225">
        <v>1575</v>
      </c>
      <c r="L1682" s="225"/>
    </row>
    <row r="1683" spans="1:13" ht="11.25" customHeight="1" x14ac:dyDescent="0.2">
      <c r="A1683" s="226">
        <v>2022</v>
      </c>
      <c r="B1683" s="226">
        <v>9</v>
      </c>
      <c r="C1683" s="226">
        <v>19</v>
      </c>
      <c r="D1683" s="232">
        <f t="shared" si="187"/>
        <v>44823</v>
      </c>
      <c r="E1683" s="234">
        <f t="shared" si="186"/>
        <v>44823</v>
      </c>
      <c r="F1683" s="479"/>
      <c r="G1683" s="227" t="s">
        <v>1111</v>
      </c>
      <c r="H1683" s="228" t="str" cm="1">
        <f t="array" ref="H1683">IFERROR(INDEX(INVESTOR_LIST[INVESTOR NAME],MATCH(I1683,INVESTOR_LIST[INVESTOR CODE],0),)," ")</f>
        <v xml:space="preserve"> </v>
      </c>
      <c r="I1683" s="228"/>
      <c r="J1683" s="229" t="s">
        <v>55</v>
      </c>
      <c r="K1683" s="230"/>
      <c r="L1683" s="230">
        <v>1575</v>
      </c>
    </row>
    <row r="1684" spans="1:13" ht="11.25" customHeight="1" x14ac:dyDescent="0.2">
      <c r="A1684" s="221">
        <v>2022</v>
      </c>
      <c r="B1684" s="221">
        <v>9</v>
      </c>
      <c r="C1684" s="221">
        <v>20</v>
      </c>
      <c r="D1684" s="231">
        <f t="shared" si="187"/>
        <v>44824</v>
      </c>
      <c r="E1684" s="233">
        <f>DATE(A1684,B1684,C1684)</f>
        <v>44824</v>
      </c>
      <c r="F1684" s="478" t="s">
        <v>1303</v>
      </c>
      <c r="G1684" s="222" t="s">
        <v>1111</v>
      </c>
      <c r="H1684" s="223" t="str" cm="1">
        <f t="array" ref="H1684">IFERROR(INDEX(INVESTOR_LIST[INVESTOR NAME],MATCH(I1684,INVESTOR_LIST[INVESTOR CODE],0),)," ")</f>
        <v xml:space="preserve"> </v>
      </c>
      <c r="I1684" s="223"/>
      <c r="J1684" s="224" t="s">
        <v>55</v>
      </c>
      <c r="K1684" s="225">
        <v>5283372.88</v>
      </c>
      <c r="L1684" s="225"/>
    </row>
    <row r="1685" spans="1:13" ht="11.25" customHeight="1" x14ac:dyDescent="0.2">
      <c r="A1685" s="226">
        <v>2022</v>
      </c>
      <c r="B1685" s="226">
        <v>9</v>
      </c>
      <c r="C1685" s="226">
        <v>20</v>
      </c>
      <c r="D1685" s="232">
        <f t="shared" si="187"/>
        <v>44824</v>
      </c>
      <c r="E1685" s="234">
        <f>DATE(A1685,B1685,C1685)</f>
        <v>44824</v>
      </c>
      <c r="F1685" s="479"/>
      <c r="G1685" s="227" t="s">
        <v>1111</v>
      </c>
      <c r="H1685" s="228" t="str" cm="1">
        <f t="array" ref="H1685">IFERROR(INDEX(INVESTOR_LIST[INVESTOR NAME],MATCH(I1685,INVESTOR_LIST[INVESTOR CODE],0),)," ")</f>
        <v xml:space="preserve"> </v>
      </c>
      <c r="I1685" s="228"/>
      <c r="J1685" s="229" t="s">
        <v>199</v>
      </c>
      <c r="K1685" s="230"/>
      <c r="L1685" s="230">
        <v>5283372.88</v>
      </c>
    </row>
    <row r="1686" spans="1:13" ht="11.25" customHeight="1" x14ac:dyDescent="0.2">
      <c r="A1686" s="221">
        <v>2022</v>
      </c>
      <c r="B1686" s="221">
        <v>9</v>
      </c>
      <c r="C1686" s="221">
        <v>20</v>
      </c>
      <c r="D1686" s="231">
        <f t="shared" si="187"/>
        <v>44824</v>
      </c>
      <c r="E1686" s="233">
        <f t="shared" ref="E1686:E1689" si="188">DATE(A1686,B1686,C1686)</f>
        <v>44824</v>
      </c>
      <c r="F1686" s="478" t="s">
        <v>1304</v>
      </c>
      <c r="G1686" s="222" t="s">
        <v>1111</v>
      </c>
      <c r="H1686" s="223" t="str" cm="1">
        <f t="array" ref="H1686">IFERROR(INDEX(INVESTOR_LIST[INVESTOR NAME],MATCH(I1686,INVESTOR_LIST[INVESTOR CODE],0),)," ")</f>
        <v xml:space="preserve"> </v>
      </c>
      <c r="I1686" s="223"/>
      <c r="J1686" s="224" t="s">
        <v>194</v>
      </c>
      <c r="K1686" s="225">
        <v>30936</v>
      </c>
      <c r="L1686" s="225"/>
    </row>
    <row r="1687" spans="1:13" ht="11.25" customHeight="1" x14ac:dyDescent="0.2">
      <c r="A1687" s="226">
        <v>2022</v>
      </c>
      <c r="B1687" s="226">
        <v>9</v>
      </c>
      <c r="C1687" s="226">
        <v>20</v>
      </c>
      <c r="D1687" s="232">
        <f t="shared" si="187"/>
        <v>44824</v>
      </c>
      <c r="E1687" s="234">
        <f t="shared" si="188"/>
        <v>44824</v>
      </c>
      <c r="F1687" s="479"/>
      <c r="G1687" s="227" t="s">
        <v>1111</v>
      </c>
      <c r="H1687" s="228" t="str" cm="1">
        <f t="array" ref="H1687">IFERROR(INDEX(INVESTOR_LIST[INVESTOR NAME],MATCH(I1687,INVESTOR_LIST[INVESTOR CODE],0),)," ")</f>
        <v xml:space="preserve"> </v>
      </c>
      <c r="I1687" s="228"/>
      <c r="J1687" s="229" t="s">
        <v>55</v>
      </c>
      <c r="K1687" s="230"/>
      <c r="L1687" s="230">
        <v>30936</v>
      </c>
    </row>
    <row r="1688" spans="1:13" ht="11.25" customHeight="1" x14ac:dyDescent="0.2">
      <c r="A1688" s="221">
        <v>2022</v>
      </c>
      <c r="B1688" s="221">
        <v>9</v>
      </c>
      <c r="C1688" s="221">
        <v>20</v>
      </c>
      <c r="D1688" s="231">
        <f t="shared" si="187"/>
        <v>44824</v>
      </c>
      <c r="E1688" s="233">
        <f t="shared" si="188"/>
        <v>44824</v>
      </c>
      <c r="F1688" s="478" t="s">
        <v>1304</v>
      </c>
      <c r="G1688" s="222" t="s">
        <v>1111</v>
      </c>
      <c r="H1688" s="223" t="str" cm="1">
        <f t="array" ref="H1688">IFERROR(INDEX(INVESTOR_LIST[INVESTOR NAME],MATCH(I1688,INVESTOR_LIST[INVESTOR CODE],0),)," ")</f>
        <v xml:space="preserve"> </v>
      </c>
      <c r="I1688" s="223"/>
      <c r="J1688" s="224" t="s">
        <v>194</v>
      </c>
      <c r="K1688" s="225">
        <v>39183.82</v>
      </c>
      <c r="L1688" s="225"/>
    </row>
    <row r="1689" spans="1:13" ht="11.25" customHeight="1" x14ac:dyDescent="0.2">
      <c r="A1689" s="226">
        <v>2022</v>
      </c>
      <c r="B1689" s="226">
        <v>9</v>
      </c>
      <c r="C1689" s="226">
        <v>20</v>
      </c>
      <c r="D1689" s="232">
        <f t="shared" si="187"/>
        <v>44824</v>
      </c>
      <c r="E1689" s="234">
        <f t="shared" si="188"/>
        <v>44824</v>
      </c>
      <c r="F1689" s="479"/>
      <c r="G1689" s="227" t="s">
        <v>1111</v>
      </c>
      <c r="H1689" s="228" t="str" cm="1">
        <f t="array" ref="H1689">IFERROR(INDEX(INVESTOR_LIST[INVESTOR NAME],MATCH(I1689,INVESTOR_LIST[INVESTOR CODE],0),)," ")</f>
        <v xml:space="preserve"> </v>
      </c>
      <c r="I1689" s="228"/>
      <c r="J1689" s="229" t="s">
        <v>55</v>
      </c>
      <c r="K1689" s="230"/>
      <c r="L1689" s="230">
        <v>39183.82</v>
      </c>
    </row>
    <row r="1690" spans="1:13" ht="11.25" customHeight="1" x14ac:dyDescent="0.2">
      <c r="A1690" s="221">
        <v>2022</v>
      </c>
      <c r="B1690" s="221">
        <v>9</v>
      </c>
      <c r="C1690" s="221">
        <v>20</v>
      </c>
      <c r="D1690" s="231">
        <f t="shared" si="187"/>
        <v>44824</v>
      </c>
      <c r="E1690" s="233">
        <f t="shared" ref="E1690:E1722" si="189">DATE(A1690,B1690,C1690)</f>
        <v>44824</v>
      </c>
      <c r="F1690" s="478" t="s">
        <v>1305</v>
      </c>
      <c r="G1690" s="222" t="s">
        <v>1111</v>
      </c>
      <c r="H1690" s="223" t="str" cm="1">
        <f t="array" ref="H1690">IFERROR(INDEX(INVESTOR_LIST[INVESTOR NAME],MATCH(I1690,INVESTOR_LIST[INVESTOR CODE],0),)," ")</f>
        <v xml:space="preserve"> </v>
      </c>
      <c r="I1690" s="223"/>
      <c r="J1690" s="224" t="s">
        <v>95</v>
      </c>
      <c r="K1690" s="225">
        <v>2683.4</v>
      </c>
      <c r="L1690" s="225"/>
    </row>
    <row r="1691" spans="1:13" ht="11.25" customHeight="1" x14ac:dyDescent="0.2">
      <c r="A1691" s="226">
        <v>2022</v>
      </c>
      <c r="B1691" s="226">
        <v>9</v>
      </c>
      <c r="C1691" s="226">
        <v>20</v>
      </c>
      <c r="D1691" s="232">
        <f t="shared" si="187"/>
        <v>44824</v>
      </c>
      <c r="E1691" s="234">
        <f t="shared" si="189"/>
        <v>44824</v>
      </c>
      <c r="F1691" s="479"/>
      <c r="G1691" s="227" t="s">
        <v>1111</v>
      </c>
      <c r="H1691" s="228" t="str" cm="1">
        <f t="array" ref="H1691">IFERROR(INDEX(INVESTOR_LIST[INVESTOR NAME],MATCH(I1691,INVESTOR_LIST[INVESTOR CODE],0),)," ")</f>
        <v xml:space="preserve"> </v>
      </c>
      <c r="I1691" s="228"/>
      <c r="J1691" s="229" t="s">
        <v>55</v>
      </c>
      <c r="K1691" s="230"/>
      <c r="L1691" s="230">
        <v>2683.4</v>
      </c>
    </row>
    <row r="1692" spans="1:13" ht="11.25" customHeight="1" x14ac:dyDescent="0.2">
      <c r="A1692" s="221">
        <v>2022</v>
      </c>
      <c r="B1692" s="221">
        <v>9</v>
      </c>
      <c r="C1692" s="221">
        <v>20</v>
      </c>
      <c r="D1692" s="231">
        <f t="shared" si="187"/>
        <v>44824</v>
      </c>
      <c r="E1692" s="233">
        <f t="shared" si="189"/>
        <v>44824</v>
      </c>
      <c r="F1692" s="478" t="s">
        <v>1306</v>
      </c>
      <c r="G1692" s="222" t="s">
        <v>1111</v>
      </c>
      <c r="H1692" s="223" t="str" cm="1">
        <f t="array" ref="H1692">IFERROR(INDEX(INVESTOR_LIST[INVESTOR NAME],MATCH(I1692,INVESTOR_LIST[INVESTOR CODE],0),)," ")</f>
        <v xml:space="preserve"> </v>
      </c>
      <c r="I1692" s="223"/>
      <c r="J1692" s="224" t="s">
        <v>55</v>
      </c>
      <c r="K1692" s="225">
        <v>176250</v>
      </c>
      <c r="L1692" s="225"/>
    </row>
    <row r="1693" spans="1:13" ht="11.25" customHeight="1" x14ac:dyDescent="0.2">
      <c r="A1693" s="226">
        <v>2022</v>
      </c>
      <c r="B1693" s="226">
        <v>9</v>
      </c>
      <c r="C1693" s="226">
        <v>20</v>
      </c>
      <c r="D1693" s="232">
        <f t="shared" si="187"/>
        <v>44824</v>
      </c>
      <c r="E1693" s="234">
        <f t="shared" si="189"/>
        <v>44824</v>
      </c>
      <c r="F1693" s="479"/>
      <c r="G1693" s="227" t="s">
        <v>1111</v>
      </c>
      <c r="H1693" s="228" t="str" cm="1">
        <f t="array" ref="H1693">IFERROR(INDEX(INVESTOR_LIST[INVESTOR NAME],MATCH(I1693,INVESTOR_LIST[INVESTOR CODE],0),)," ")</f>
        <v xml:space="preserve"> </v>
      </c>
      <c r="I1693" s="228"/>
      <c r="J1693" s="229" t="s">
        <v>192</v>
      </c>
      <c r="K1693" s="230"/>
      <c r="L1693" s="230">
        <v>176250</v>
      </c>
      <c r="M1693" s="166"/>
    </row>
    <row r="1694" spans="1:13" ht="11.25" customHeight="1" x14ac:dyDescent="0.2">
      <c r="A1694" s="221">
        <v>2022</v>
      </c>
      <c r="B1694" s="221">
        <v>8</v>
      </c>
      <c r="C1694" s="221">
        <v>20</v>
      </c>
      <c r="D1694" s="232">
        <f t="shared" si="187"/>
        <v>44793</v>
      </c>
      <c r="E1694" s="233">
        <f t="shared" si="189"/>
        <v>44793</v>
      </c>
      <c r="F1694" s="478" t="s">
        <v>1308</v>
      </c>
      <c r="G1694" s="222" t="s">
        <v>86</v>
      </c>
      <c r="H1694" s="222" t="str" cm="1">
        <f t="array" ref="H1694">IFERROR(INDEX(INVESTOR_LIST[INVESTOR NAME],MATCH(I1694,INVESTOR_LIST[INVESTOR CODE],0),)," ")</f>
        <v xml:space="preserve"> </v>
      </c>
      <c r="I1694" s="223"/>
      <c r="J1694" s="224" t="s">
        <v>80</v>
      </c>
      <c r="K1694" s="225">
        <v>1167500</v>
      </c>
      <c r="L1694" s="225"/>
    </row>
    <row r="1695" spans="1:13" ht="11.25" customHeight="1" x14ac:dyDescent="0.2">
      <c r="A1695" s="164">
        <v>2022</v>
      </c>
      <c r="B1695" s="164">
        <v>8</v>
      </c>
      <c r="C1695" s="164">
        <v>20</v>
      </c>
      <c r="D1695" s="164">
        <f t="shared" si="187"/>
        <v>44793</v>
      </c>
      <c r="E1695" s="235">
        <f t="shared" si="189"/>
        <v>44793</v>
      </c>
      <c r="F1695" s="480"/>
      <c r="G1695" s="208" t="s">
        <v>86</v>
      </c>
      <c r="H1695" s="208"/>
      <c r="J1695" s="165" t="s">
        <v>960</v>
      </c>
      <c r="K1695" s="205">
        <v>2101.5</v>
      </c>
      <c r="L1695" s="205"/>
    </row>
    <row r="1696" spans="1:13" ht="11.25" customHeight="1" x14ac:dyDescent="0.2">
      <c r="A1696" s="164">
        <v>2022</v>
      </c>
      <c r="B1696" s="164">
        <v>8</v>
      </c>
      <c r="C1696" s="164">
        <v>20</v>
      </c>
      <c r="D1696" s="164">
        <f t="shared" si="187"/>
        <v>44793</v>
      </c>
      <c r="E1696" s="235">
        <f t="shared" si="189"/>
        <v>44793</v>
      </c>
      <c r="F1696" s="480"/>
      <c r="G1696" s="208" t="s">
        <v>86</v>
      </c>
      <c r="H1696" s="208"/>
      <c r="J1696" s="165" t="s">
        <v>961</v>
      </c>
      <c r="K1696" s="263"/>
      <c r="L1696" s="205">
        <v>1169601.5</v>
      </c>
    </row>
    <row r="1697" spans="1:12" ht="11.25" customHeight="1" x14ac:dyDescent="0.2">
      <c r="A1697" s="221">
        <v>2022</v>
      </c>
      <c r="B1697" s="221">
        <v>9</v>
      </c>
      <c r="C1697" s="221">
        <v>21</v>
      </c>
      <c r="D1697" s="231">
        <f t="shared" si="187"/>
        <v>44825</v>
      </c>
      <c r="E1697" s="233">
        <f t="shared" si="189"/>
        <v>44825</v>
      </c>
      <c r="F1697" s="478" t="s">
        <v>1307</v>
      </c>
      <c r="G1697" s="222" t="s">
        <v>1111</v>
      </c>
      <c r="H1697" s="223" t="str" cm="1">
        <f t="array" ref="H1697">IFERROR(INDEX(INVESTOR_LIST[INVESTOR NAME],MATCH(I1697,INVESTOR_LIST[INVESTOR CODE],0),)," ")</f>
        <v xml:space="preserve"> </v>
      </c>
      <c r="I1697" s="223"/>
      <c r="J1697" s="224" t="s">
        <v>961</v>
      </c>
      <c r="K1697" s="225">
        <v>1169601.5</v>
      </c>
      <c r="L1697" s="225"/>
    </row>
    <row r="1698" spans="1:12" ht="11.25" customHeight="1" x14ac:dyDescent="0.2">
      <c r="A1698" s="226">
        <v>2022</v>
      </c>
      <c r="B1698" s="226">
        <v>9</v>
      </c>
      <c r="C1698" s="226">
        <v>21</v>
      </c>
      <c r="D1698" s="232">
        <f t="shared" si="187"/>
        <v>44825</v>
      </c>
      <c r="E1698" s="234">
        <f t="shared" si="189"/>
        <v>44825</v>
      </c>
      <c r="F1698" s="479"/>
      <c r="G1698" s="227" t="s">
        <v>1111</v>
      </c>
      <c r="H1698" s="228" t="str" cm="1">
        <f t="array" ref="H1698">IFERROR(INDEX(INVESTOR_LIST[INVESTOR NAME],MATCH(I1698,INVESTOR_LIST[INVESTOR CODE],0),)," ")</f>
        <v xml:space="preserve"> </v>
      </c>
      <c r="I1698" s="228"/>
      <c r="J1698" s="229" t="s">
        <v>55</v>
      </c>
      <c r="K1698" s="230"/>
      <c r="L1698" s="230">
        <v>1169601.5</v>
      </c>
    </row>
    <row r="1699" spans="1:12" ht="11.25" customHeight="1" x14ac:dyDescent="0.2">
      <c r="A1699" s="280">
        <v>2022</v>
      </c>
      <c r="B1699" s="280">
        <v>9</v>
      </c>
      <c r="C1699" s="280">
        <v>22</v>
      </c>
      <c r="D1699" s="281">
        <f t="shared" si="187"/>
        <v>44826</v>
      </c>
      <c r="E1699" s="282">
        <f t="shared" si="189"/>
        <v>44826</v>
      </c>
      <c r="F1699" s="472" t="s">
        <v>1294</v>
      </c>
      <c r="G1699" s="283" t="s">
        <v>86</v>
      </c>
      <c r="H1699" s="284" t="str" cm="1">
        <f t="array" ref="H1699">IFERROR(INDEX(INVESTOR_LIST[INVESTOR NAME],MATCH(I1699,INVESTOR_LIST[INVESTOR CODE],0),)," ")</f>
        <v xml:space="preserve"> </v>
      </c>
      <c r="I1699" s="284"/>
      <c r="J1699" s="285" t="s">
        <v>131</v>
      </c>
      <c r="K1699" s="286">
        <v>7031.25</v>
      </c>
      <c r="L1699" s="286"/>
    </row>
    <row r="1700" spans="1:12" ht="11.25" customHeight="1" x14ac:dyDescent="0.2">
      <c r="A1700" s="287">
        <v>2022</v>
      </c>
      <c r="B1700" s="287">
        <v>9</v>
      </c>
      <c r="C1700" s="287">
        <v>22</v>
      </c>
      <c r="D1700" s="288">
        <f t="shared" si="187"/>
        <v>44826</v>
      </c>
      <c r="E1700" s="289">
        <f t="shared" si="189"/>
        <v>44826</v>
      </c>
      <c r="F1700" s="473"/>
      <c r="G1700" s="290" t="s">
        <v>86</v>
      </c>
      <c r="H1700" s="291" t="str" cm="1">
        <f t="array" ref="H1700">IFERROR(INDEX(INVESTOR_LIST[INVESTOR NAME],MATCH(I1700,INVESTOR_LIST[INVESTOR CODE],0),)," ")</f>
        <v xml:space="preserve"> </v>
      </c>
      <c r="I1700" s="291"/>
      <c r="J1700" s="292" t="s">
        <v>174</v>
      </c>
      <c r="K1700" s="293"/>
      <c r="L1700" s="293">
        <v>7031.25</v>
      </c>
    </row>
    <row r="1701" spans="1:12" ht="11.25" customHeight="1" x14ac:dyDescent="0.2">
      <c r="A1701" s="280">
        <v>2022</v>
      </c>
      <c r="B1701" s="280">
        <v>9</v>
      </c>
      <c r="C1701" s="280">
        <v>22</v>
      </c>
      <c r="D1701" s="281">
        <f t="shared" si="187"/>
        <v>44826</v>
      </c>
      <c r="E1701" s="282">
        <f t="shared" si="189"/>
        <v>44826</v>
      </c>
      <c r="F1701" s="472" t="s">
        <v>1295</v>
      </c>
      <c r="G1701" s="283" t="s">
        <v>86</v>
      </c>
      <c r="H1701" s="284" t="str" cm="1">
        <f t="array" ref="H1701">IFERROR(INDEX(INVESTOR_LIST[INVESTOR NAME],MATCH(I1701,INVESTOR_LIST[INVESTOR CODE],0),)," ")</f>
        <v xml:space="preserve"> </v>
      </c>
      <c r="I1701" s="284"/>
      <c r="J1701" s="285" t="s">
        <v>131</v>
      </c>
      <c r="K1701" s="286">
        <v>51041.67</v>
      </c>
      <c r="L1701" s="286"/>
    </row>
    <row r="1702" spans="1:12" ht="11.25" customHeight="1" x14ac:dyDescent="0.2">
      <c r="A1702" s="287">
        <v>2022</v>
      </c>
      <c r="B1702" s="287">
        <v>9</v>
      </c>
      <c r="C1702" s="287">
        <v>22</v>
      </c>
      <c r="D1702" s="288">
        <f t="shared" si="187"/>
        <v>44826</v>
      </c>
      <c r="E1702" s="289">
        <f t="shared" si="189"/>
        <v>44826</v>
      </c>
      <c r="F1702" s="473"/>
      <c r="G1702" s="290" t="s">
        <v>86</v>
      </c>
      <c r="H1702" s="291" t="str" cm="1">
        <f t="array" ref="H1702">IFERROR(INDEX(INVESTOR_LIST[INVESTOR NAME],MATCH(I1702,INVESTOR_LIST[INVESTOR CODE],0),)," ")</f>
        <v xml:space="preserve"> </v>
      </c>
      <c r="I1702" s="291"/>
      <c r="J1702" s="292" t="s">
        <v>174</v>
      </c>
      <c r="K1702" s="293"/>
      <c r="L1702" s="293">
        <v>51041.67</v>
      </c>
    </row>
    <row r="1703" spans="1:12" ht="11.25" customHeight="1" x14ac:dyDescent="0.2">
      <c r="A1703" s="280">
        <v>2022</v>
      </c>
      <c r="B1703" s="280">
        <v>9</v>
      </c>
      <c r="C1703" s="280">
        <v>22</v>
      </c>
      <c r="D1703" s="281">
        <f t="shared" si="187"/>
        <v>44826</v>
      </c>
      <c r="E1703" s="282">
        <f t="shared" si="189"/>
        <v>44826</v>
      </c>
      <c r="F1703" s="472" t="s">
        <v>1296</v>
      </c>
      <c r="G1703" s="283" t="s">
        <v>86</v>
      </c>
      <c r="H1703" s="284" t="str" cm="1">
        <f t="array" ref="H1703">IFERROR(INDEX(INVESTOR_LIST[INVESTOR NAME],MATCH(I1703,INVESTOR_LIST[INVESTOR CODE],0),)," ")</f>
        <v xml:space="preserve"> </v>
      </c>
      <c r="I1703" s="284"/>
      <c r="J1703" s="285" t="s">
        <v>131</v>
      </c>
      <c r="K1703" s="286">
        <v>112965.44</v>
      </c>
      <c r="L1703" s="286"/>
    </row>
    <row r="1704" spans="1:12" ht="11.25" customHeight="1" x14ac:dyDescent="0.2">
      <c r="A1704" s="287">
        <v>2022</v>
      </c>
      <c r="B1704" s="287">
        <v>9</v>
      </c>
      <c r="C1704" s="287">
        <v>22</v>
      </c>
      <c r="D1704" s="288">
        <f t="shared" si="187"/>
        <v>44826</v>
      </c>
      <c r="E1704" s="289">
        <f t="shared" si="189"/>
        <v>44826</v>
      </c>
      <c r="F1704" s="473"/>
      <c r="G1704" s="290" t="s">
        <v>86</v>
      </c>
      <c r="H1704" s="291" t="str" cm="1">
        <f t="array" ref="H1704">IFERROR(INDEX(INVESTOR_LIST[INVESTOR NAME],MATCH(I1704,INVESTOR_LIST[INVESTOR CODE],0),)," ")</f>
        <v xml:space="preserve"> </v>
      </c>
      <c r="I1704" s="291"/>
      <c r="J1704" s="292" t="s">
        <v>174</v>
      </c>
      <c r="K1704" s="293"/>
      <c r="L1704" s="293">
        <v>112965.44</v>
      </c>
    </row>
    <row r="1705" spans="1:12" ht="11.25" customHeight="1" x14ac:dyDescent="0.2">
      <c r="A1705" s="236">
        <v>2022</v>
      </c>
      <c r="B1705" s="236">
        <v>9</v>
      </c>
      <c r="C1705" s="236">
        <v>22</v>
      </c>
      <c r="D1705" s="237">
        <f t="shared" si="187"/>
        <v>44826</v>
      </c>
      <c r="E1705" s="238">
        <f t="shared" si="189"/>
        <v>44826</v>
      </c>
      <c r="F1705" s="476" t="s">
        <v>1118</v>
      </c>
      <c r="G1705" s="239" t="s">
        <v>86</v>
      </c>
      <c r="H1705" s="239" t="str" cm="1">
        <f t="array" ref="H1705">IFERROR(INDEX(INVESTOR_LIST[INVESTOR NAME],MATCH(I1705,INVESTOR_LIST[INVESTOR CODE],0),)," ")</f>
        <v xml:space="preserve"> </v>
      </c>
      <c r="I1705" s="240"/>
      <c r="J1705" s="241" t="s">
        <v>82</v>
      </c>
      <c r="K1705" s="242">
        <v>390550</v>
      </c>
      <c r="L1705" s="242"/>
    </row>
    <row r="1706" spans="1:12" ht="11.25" customHeight="1" x14ac:dyDescent="0.2">
      <c r="A1706" s="243">
        <v>2022</v>
      </c>
      <c r="B1706" s="243">
        <v>9</v>
      </c>
      <c r="C1706" s="243">
        <v>22</v>
      </c>
      <c r="D1706" s="248">
        <f t="shared" si="187"/>
        <v>44826</v>
      </c>
      <c r="E1706" s="249">
        <f t="shared" si="189"/>
        <v>44826</v>
      </c>
      <c r="F1706" s="477"/>
      <c r="G1706" s="244" t="s">
        <v>86</v>
      </c>
      <c r="H1706" s="244" t="str" cm="1">
        <f t="array" ref="H1706">IFERROR(INDEX(INVESTOR_LIST[INVESTOR NAME],MATCH(I1706,INVESTOR_LIST[INVESTOR CODE],0),)," ")</f>
        <v xml:space="preserve"> </v>
      </c>
      <c r="I1706" s="245"/>
      <c r="J1706" s="246" t="s">
        <v>98</v>
      </c>
      <c r="K1706" s="247"/>
      <c r="L1706" s="247">
        <v>390550</v>
      </c>
    </row>
    <row r="1707" spans="1:12" ht="11.25" customHeight="1" x14ac:dyDescent="0.2">
      <c r="A1707" s="236">
        <v>2022</v>
      </c>
      <c r="B1707" s="236">
        <v>9</v>
      </c>
      <c r="C1707" s="236">
        <v>22</v>
      </c>
      <c r="D1707" s="237">
        <f t="shared" si="187"/>
        <v>44826</v>
      </c>
      <c r="E1707" s="238">
        <f t="shared" si="189"/>
        <v>44826</v>
      </c>
      <c r="F1707" s="476" t="s">
        <v>1120</v>
      </c>
      <c r="G1707" s="239" t="s">
        <v>86</v>
      </c>
      <c r="H1707" s="239" t="str" cm="1">
        <f t="array" ref="H1707">IFERROR(INDEX(INVESTOR_LIST[INVESTOR NAME],MATCH(I1707,INVESTOR_LIST[INVESTOR CODE],0),)," ")</f>
        <v xml:space="preserve"> </v>
      </c>
      <c r="I1707" s="240"/>
      <c r="J1707" s="241" t="s">
        <v>87</v>
      </c>
      <c r="K1707" s="242">
        <v>2747.25</v>
      </c>
      <c r="L1707" s="242"/>
    </row>
    <row r="1708" spans="1:12" ht="11.25" customHeight="1" x14ac:dyDescent="0.2">
      <c r="A1708" s="243">
        <v>2022</v>
      </c>
      <c r="B1708" s="243">
        <v>9</v>
      </c>
      <c r="C1708" s="243">
        <v>22</v>
      </c>
      <c r="D1708" s="248">
        <f t="shared" si="187"/>
        <v>44826</v>
      </c>
      <c r="E1708" s="249">
        <f t="shared" si="189"/>
        <v>44826</v>
      </c>
      <c r="F1708" s="477"/>
      <c r="G1708" s="244" t="s">
        <v>86</v>
      </c>
      <c r="H1708" s="244" t="str" cm="1">
        <f t="array" ref="H1708">IFERROR(INDEX(INVESTOR_LIST[INVESTOR NAME],MATCH(I1708,INVESTOR_LIST[INVESTOR CODE],0),)," ")</f>
        <v xml:space="preserve"> </v>
      </c>
      <c r="I1708" s="245"/>
      <c r="J1708" s="246" t="s">
        <v>64</v>
      </c>
      <c r="K1708" s="247"/>
      <c r="L1708" s="247">
        <v>2747.25</v>
      </c>
    </row>
    <row r="1709" spans="1:12" ht="11.25" customHeight="1" x14ac:dyDescent="0.2">
      <c r="A1709" s="236">
        <v>2022</v>
      </c>
      <c r="B1709" s="236">
        <v>9</v>
      </c>
      <c r="C1709" s="236">
        <v>22</v>
      </c>
      <c r="D1709" s="237">
        <f t="shared" si="187"/>
        <v>44826</v>
      </c>
      <c r="E1709" s="238">
        <f t="shared" si="189"/>
        <v>44826</v>
      </c>
      <c r="F1709" s="476" t="s">
        <v>1121</v>
      </c>
      <c r="G1709" s="239" t="s">
        <v>86</v>
      </c>
      <c r="H1709" s="239" t="str" cm="1">
        <f t="array" ref="H1709">IFERROR(INDEX(INVESTOR_LIST[INVESTOR NAME],MATCH(I1709,INVESTOR_LIST[INVESTOR CODE],0),)," ")</f>
        <v xml:space="preserve"> </v>
      </c>
      <c r="I1709" s="240"/>
      <c r="J1709" s="241" t="s">
        <v>89</v>
      </c>
      <c r="K1709" s="242">
        <v>96431.19</v>
      </c>
      <c r="L1709" s="242"/>
    </row>
    <row r="1710" spans="1:12" ht="11.25" customHeight="1" x14ac:dyDescent="0.2">
      <c r="A1710" s="243">
        <v>2022</v>
      </c>
      <c r="B1710" s="243">
        <v>9</v>
      </c>
      <c r="C1710" s="243">
        <v>22</v>
      </c>
      <c r="D1710" s="248">
        <f t="shared" si="187"/>
        <v>44826</v>
      </c>
      <c r="E1710" s="249">
        <f t="shared" si="189"/>
        <v>44826</v>
      </c>
      <c r="F1710" s="477"/>
      <c r="G1710" s="244" t="s">
        <v>86</v>
      </c>
      <c r="H1710" s="244" t="str" cm="1">
        <f t="array" ref="H1710">IFERROR(INDEX(INVESTOR_LIST[INVESTOR NAME],MATCH(I1710,INVESTOR_LIST[INVESTOR CODE],0),)," ")</f>
        <v xml:space="preserve"> </v>
      </c>
      <c r="I1710" s="245"/>
      <c r="J1710" s="246" t="s">
        <v>50</v>
      </c>
      <c r="K1710" s="247"/>
      <c r="L1710" s="247">
        <v>96431.19</v>
      </c>
    </row>
    <row r="1711" spans="1:12" ht="11.25" customHeight="1" x14ac:dyDescent="0.2">
      <c r="A1711" s="236">
        <v>2022</v>
      </c>
      <c r="B1711" s="236">
        <v>9</v>
      </c>
      <c r="C1711" s="236">
        <v>22</v>
      </c>
      <c r="D1711" s="237">
        <f t="shared" si="187"/>
        <v>44826</v>
      </c>
      <c r="E1711" s="238">
        <f t="shared" si="189"/>
        <v>44826</v>
      </c>
      <c r="F1711" s="476" t="s">
        <v>1122</v>
      </c>
      <c r="G1711" s="239" t="s">
        <v>86</v>
      </c>
      <c r="H1711" s="239" t="str" cm="1">
        <f t="array" ref="H1711">IFERROR(INDEX(INVESTOR_LIST[INVESTOR NAME],MATCH(I1711,INVESTOR_LIST[INVESTOR CODE],0),)," ")</f>
        <v xml:space="preserve"> </v>
      </c>
      <c r="I1711" s="240"/>
      <c r="J1711" s="241" t="s">
        <v>91</v>
      </c>
      <c r="K1711" s="242">
        <v>4581.17</v>
      </c>
      <c r="L1711" s="242"/>
    </row>
    <row r="1712" spans="1:12" ht="11.25" customHeight="1" x14ac:dyDescent="0.2">
      <c r="A1712" s="243">
        <v>2022</v>
      </c>
      <c r="B1712" s="243">
        <v>9</v>
      </c>
      <c r="C1712" s="243">
        <v>22</v>
      </c>
      <c r="D1712" s="248">
        <f t="shared" si="187"/>
        <v>44826</v>
      </c>
      <c r="E1712" s="249">
        <f t="shared" si="189"/>
        <v>44826</v>
      </c>
      <c r="F1712" s="477"/>
      <c r="G1712" s="244" t="s">
        <v>86</v>
      </c>
      <c r="H1712" s="244" t="str" cm="1">
        <f t="array" ref="H1712">IFERROR(INDEX(INVESTOR_LIST[INVESTOR NAME],MATCH(I1712,INVESTOR_LIST[INVESTOR CODE],0),)," ")</f>
        <v xml:space="preserve"> </v>
      </c>
      <c r="I1712" s="245"/>
      <c r="J1712" s="246" t="s">
        <v>51</v>
      </c>
      <c r="K1712" s="247"/>
      <c r="L1712" s="247">
        <v>4581.17</v>
      </c>
    </row>
    <row r="1713" spans="1:13" ht="11.25" customHeight="1" x14ac:dyDescent="0.2">
      <c r="A1713" s="221">
        <v>2022</v>
      </c>
      <c r="B1713" s="221">
        <v>9</v>
      </c>
      <c r="C1713" s="221">
        <v>25</v>
      </c>
      <c r="D1713" s="231">
        <f t="shared" si="187"/>
        <v>44829</v>
      </c>
      <c r="E1713" s="233">
        <f>DATE(A1713,B1713,C1713)</f>
        <v>44829</v>
      </c>
      <c r="F1713" s="478" t="s">
        <v>1310</v>
      </c>
      <c r="G1713" s="222" t="s">
        <v>1111</v>
      </c>
      <c r="H1713" s="222" t="str" cm="1">
        <f t="array" ref="H1713">IFERROR(INDEX(INVESTOR_LIST[INVESTOR NAME],MATCH(I1713,INVESTOR_LIST[INVESTOR CODE],0),)," ")</f>
        <v xml:space="preserve"> </v>
      </c>
      <c r="I1713" s="223"/>
      <c r="J1713" s="224" t="s">
        <v>196</v>
      </c>
      <c r="K1713" s="225">
        <v>637500</v>
      </c>
      <c r="L1713" s="225"/>
    </row>
    <row r="1714" spans="1:13" ht="11.25" customHeight="1" x14ac:dyDescent="0.2">
      <c r="A1714" s="164">
        <v>2022</v>
      </c>
      <c r="B1714" s="164">
        <v>9</v>
      </c>
      <c r="C1714" s="164">
        <v>25</v>
      </c>
      <c r="D1714" s="156">
        <f t="shared" si="187"/>
        <v>44829</v>
      </c>
      <c r="E1714" s="235">
        <f>DATE(A1714,B1714,C1714)</f>
        <v>44829</v>
      </c>
      <c r="F1714" s="480"/>
      <c r="G1714" s="208" t="s">
        <v>1111</v>
      </c>
      <c r="H1714" s="208"/>
      <c r="J1714" s="165" t="s">
        <v>197</v>
      </c>
      <c r="K1714" s="205">
        <v>3000</v>
      </c>
      <c r="L1714" s="205"/>
    </row>
    <row r="1715" spans="1:13" ht="11.25" customHeight="1" x14ac:dyDescent="0.2">
      <c r="A1715" s="164">
        <v>2022</v>
      </c>
      <c r="B1715" s="164">
        <v>9</v>
      </c>
      <c r="C1715" s="164">
        <v>25</v>
      </c>
      <c r="D1715" s="164">
        <f t="shared" si="187"/>
        <v>44829</v>
      </c>
      <c r="E1715" s="235">
        <f>DATE(A1715,B1715,C1715)</f>
        <v>44829</v>
      </c>
      <c r="F1715" s="480"/>
      <c r="G1715" s="208" t="s">
        <v>1111</v>
      </c>
      <c r="H1715" s="208" t="str" cm="1">
        <f t="array" ref="H1715">IFERROR(INDEX(INVESTOR_LIST[INVESTOR NAME],MATCH(I1715,INVESTOR_LIST[INVESTOR CODE],0),)," ")</f>
        <v xml:space="preserve"> </v>
      </c>
      <c r="J1715" s="165" t="s">
        <v>63</v>
      </c>
      <c r="K1715" s="205">
        <v>115</v>
      </c>
      <c r="L1715" s="205"/>
      <c r="M1715" s="166"/>
    </row>
    <row r="1716" spans="1:13" ht="11.25" customHeight="1" x14ac:dyDescent="0.2">
      <c r="A1716" s="226">
        <v>2022</v>
      </c>
      <c r="B1716" s="226">
        <v>9</v>
      </c>
      <c r="C1716" s="226">
        <v>25</v>
      </c>
      <c r="D1716" s="226">
        <f t="shared" si="187"/>
        <v>44829</v>
      </c>
      <c r="E1716" s="234">
        <f>DATE(A1716,B1716,C1716)</f>
        <v>44829</v>
      </c>
      <c r="F1716" s="479"/>
      <c r="G1716" s="227" t="s">
        <v>1111</v>
      </c>
      <c r="H1716" s="228" t="str" cm="1">
        <f t="array" ref="H1716">IFERROR(INDEX(INVESTOR_LIST[INVESTOR NAME],MATCH(I1716,INVESTOR_LIST[INVESTOR CODE],0),)," ")</f>
        <v xml:space="preserve"> </v>
      </c>
      <c r="I1716" s="228"/>
      <c r="J1716" s="229" t="s">
        <v>55</v>
      </c>
      <c r="K1716" s="230"/>
      <c r="L1716" s="230">
        <v>640615</v>
      </c>
      <c r="M1716" s="166"/>
    </row>
    <row r="1717" spans="1:13" ht="11.25" customHeight="1" x14ac:dyDescent="0.2">
      <c r="A1717" s="221">
        <v>2022</v>
      </c>
      <c r="B1717" s="221">
        <v>9</v>
      </c>
      <c r="C1717" s="221">
        <v>26</v>
      </c>
      <c r="D1717" s="231">
        <f t="shared" si="187"/>
        <v>44830</v>
      </c>
      <c r="E1717" s="233">
        <f t="shared" ref="E1717:E1719" si="190">DATE(A1717,B1717,C1717)</f>
        <v>44830</v>
      </c>
      <c r="F1717" s="478" t="s">
        <v>1132</v>
      </c>
      <c r="G1717" s="222" t="s">
        <v>1111</v>
      </c>
      <c r="H1717" s="223" t="str" cm="1">
        <f t="array" ref="H1717">IFERROR(INDEX(INVESTOR_LIST[INVESTOR NAME],MATCH(I1717,INVESTOR_LIST[INVESTOR CODE],0),)," ")</f>
        <v xml:space="preserve"> </v>
      </c>
      <c r="I1717" s="223"/>
      <c r="J1717" s="224" t="s">
        <v>55</v>
      </c>
      <c r="K1717" s="225">
        <v>33000</v>
      </c>
      <c r="L1717" s="225"/>
    </row>
    <row r="1718" spans="1:13" ht="11.25" customHeight="1" x14ac:dyDescent="0.2">
      <c r="A1718" s="164">
        <v>2022</v>
      </c>
      <c r="B1718" s="164">
        <v>9</v>
      </c>
      <c r="C1718" s="164">
        <v>26</v>
      </c>
      <c r="D1718" s="156">
        <f t="shared" si="187"/>
        <v>44830</v>
      </c>
      <c r="E1718" s="235">
        <f t="shared" si="190"/>
        <v>44830</v>
      </c>
      <c r="F1718" s="480"/>
      <c r="G1718" s="208" t="s">
        <v>1111</v>
      </c>
      <c r="H1718" s="206" t="str" cm="1">
        <f t="array" ref="H1718">IFERROR(INDEX(INVESTOR_LIST[INVESTOR NAME],MATCH(I1718,INVESTOR_LIST[INVESTOR CODE],0),)," ")</f>
        <v xml:space="preserve"> </v>
      </c>
      <c r="J1718" s="165" t="s">
        <v>1112</v>
      </c>
      <c r="K1718" s="205">
        <v>270</v>
      </c>
      <c r="L1718" s="205"/>
      <c r="M1718" s="166"/>
    </row>
    <row r="1719" spans="1:13" ht="11.25" customHeight="1" x14ac:dyDescent="0.2">
      <c r="A1719" s="226">
        <v>2022</v>
      </c>
      <c r="B1719" s="226">
        <v>9</v>
      </c>
      <c r="C1719" s="226">
        <v>26</v>
      </c>
      <c r="D1719" s="232">
        <f t="shared" si="187"/>
        <v>44830</v>
      </c>
      <c r="E1719" s="234">
        <f t="shared" si="190"/>
        <v>44830</v>
      </c>
      <c r="F1719" s="479"/>
      <c r="G1719" s="227" t="s">
        <v>1111</v>
      </c>
      <c r="H1719" s="228" t="str" cm="1">
        <f t="array" ref="H1719">IFERROR(INDEX(INVESTOR_LIST[INVESTOR NAME],MATCH(I1719,INVESTOR_LIST[INVESTOR CODE],0),)," ")</f>
        <v xml:space="preserve"> </v>
      </c>
      <c r="I1719" s="228"/>
      <c r="J1719" s="229" t="s">
        <v>14</v>
      </c>
      <c r="K1719" s="230"/>
      <c r="L1719" s="230">
        <v>33270</v>
      </c>
    </row>
    <row r="1720" spans="1:13" ht="11.25" customHeight="1" x14ac:dyDescent="0.2">
      <c r="A1720" s="221">
        <v>2022</v>
      </c>
      <c r="B1720" s="221">
        <v>9</v>
      </c>
      <c r="C1720" s="221">
        <v>26</v>
      </c>
      <c r="D1720" s="231">
        <f t="shared" si="187"/>
        <v>44830</v>
      </c>
      <c r="E1720" s="233">
        <f t="shared" si="189"/>
        <v>44830</v>
      </c>
      <c r="F1720" s="478" t="s">
        <v>1115</v>
      </c>
      <c r="G1720" s="222" t="s">
        <v>1111</v>
      </c>
      <c r="H1720" s="223" t="str" cm="1">
        <f t="array" ref="H1720">IFERROR(INDEX(INVESTOR_LIST[INVESTOR NAME],MATCH(I1720,INVESTOR_LIST[INVESTOR CODE],0),)," ")</f>
        <v>ABACI INVESTMENTS LTD. EC PROVIDENT FUND</v>
      </c>
      <c r="I1720" s="223" t="s">
        <v>641</v>
      </c>
      <c r="J1720" s="224" t="s">
        <v>14</v>
      </c>
      <c r="K1720" s="225">
        <v>2000000</v>
      </c>
      <c r="L1720" s="225"/>
    </row>
    <row r="1721" spans="1:13" ht="11.25" customHeight="1" x14ac:dyDescent="0.2">
      <c r="A1721" s="164">
        <v>2022</v>
      </c>
      <c r="B1721" s="164">
        <v>9</v>
      </c>
      <c r="C1721" s="164">
        <v>26</v>
      </c>
      <c r="D1721" s="156">
        <f t="shared" si="187"/>
        <v>44830</v>
      </c>
      <c r="E1721" s="235">
        <f t="shared" si="189"/>
        <v>44830</v>
      </c>
      <c r="F1721" s="480"/>
      <c r="G1721" s="208" t="s">
        <v>1111</v>
      </c>
      <c r="H1721" s="206" t="str" cm="1">
        <f t="array" ref="H1721">IFERROR(INDEX(INVESTOR_LIST[INVESTOR NAME],MATCH(I1721,INVESTOR_LIST[INVESTOR CODE],0),)," ")</f>
        <v>ABACI INVESTMENTS LTD. EC PROVIDENT FUND</v>
      </c>
      <c r="I1721" s="206" t="s">
        <v>641</v>
      </c>
      <c r="J1721" s="165" t="s">
        <v>1112</v>
      </c>
      <c r="L1721" s="205">
        <v>12000</v>
      </c>
    </row>
    <row r="1722" spans="1:13" ht="11.25" customHeight="1" x14ac:dyDescent="0.2">
      <c r="A1722" s="226">
        <v>2022</v>
      </c>
      <c r="B1722" s="226">
        <v>9</v>
      </c>
      <c r="C1722" s="226">
        <v>26</v>
      </c>
      <c r="D1722" s="232">
        <f t="shared" si="187"/>
        <v>44830</v>
      </c>
      <c r="E1722" s="234">
        <f t="shared" si="189"/>
        <v>44830</v>
      </c>
      <c r="F1722" s="479"/>
      <c r="G1722" s="227" t="s">
        <v>1111</v>
      </c>
      <c r="H1722" s="228" t="str" cm="1">
        <f t="array" ref="H1722">IFERROR(INDEX(INVESTOR_LIST[INVESTOR NAME],MATCH(I1722,INVESTOR_LIST[INVESTOR CODE],0),)," ")</f>
        <v>ABACI INVESTMENTS LTD. EC PROVIDENT FUND</v>
      </c>
      <c r="I1722" s="228" t="s">
        <v>641</v>
      </c>
      <c r="J1722" s="229" t="s">
        <v>55</v>
      </c>
      <c r="K1722" s="230"/>
      <c r="L1722" s="230">
        <v>1988000</v>
      </c>
    </row>
    <row r="1723" spans="1:13" ht="11.25" customHeight="1" x14ac:dyDescent="0.2">
      <c r="A1723" s="221">
        <v>2022</v>
      </c>
      <c r="B1723" s="221">
        <v>9</v>
      </c>
      <c r="C1723" s="221">
        <v>27</v>
      </c>
      <c r="D1723" s="231">
        <f t="shared" si="187"/>
        <v>44831</v>
      </c>
      <c r="E1723" s="233">
        <f t="shared" ref="E1723:E1741" si="191">DATE(A1723,B1723,C1723)</f>
        <v>44831</v>
      </c>
      <c r="F1723" s="478" t="s">
        <v>1309</v>
      </c>
      <c r="G1723" s="222" t="s">
        <v>1111</v>
      </c>
      <c r="H1723" s="223" t="str" cm="1">
        <f t="array" ref="H1723">IFERROR(INDEX(INVESTOR_LIST[INVESTOR NAME],MATCH(I1723,INVESTOR_LIST[INVESTOR CODE],0),)," ")</f>
        <v>MAISHA MUSSARRAT</v>
      </c>
      <c r="I1723" s="223" t="s">
        <v>1228</v>
      </c>
      <c r="J1723" s="224" t="s">
        <v>14</v>
      </c>
      <c r="K1723" s="225">
        <v>20120</v>
      </c>
      <c r="L1723" s="225"/>
    </row>
    <row r="1724" spans="1:13" ht="11.25" customHeight="1" x14ac:dyDescent="0.2">
      <c r="A1724" s="164">
        <v>2022</v>
      </c>
      <c r="B1724" s="164">
        <v>9</v>
      </c>
      <c r="C1724" s="164">
        <v>27</v>
      </c>
      <c r="D1724" s="156">
        <f t="shared" si="187"/>
        <v>44831</v>
      </c>
      <c r="E1724" s="235">
        <f t="shared" si="191"/>
        <v>44831</v>
      </c>
      <c r="F1724" s="480"/>
      <c r="G1724" s="208" t="s">
        <v>1111</v>
      </c>
      <c r="H1724" s="206" t="str" cm="1">
        <f t="array" ref="H1724">IFERROR(INDEX(INVESTOR_LIST[INVESTOR NAME],MATCH(I1724,INVESTOR_LIST[INVESTOR CODE],0),)," ")</f>
        <v>MAISHA MUSSARRAT</v>
      </c>
      <c r="I1724" s="206" t="s">
        <v>1228</v>
      </c>
      <c r="J1724" s="165" t="s">
        <v>1112</v>
      </c>
      <c r="L1724" s="205">
        <v>120.72</v>
      </c>
    </row>
    <row r="1725" spans="1:13" ht="11.25" customHeight="1" x14ac:dyDescent="0.2">
      <c r="A1725" s="226">
        <v>2022</v>
      </c>
      <c r="B1725" s="226">
        <v>9</v>
      </c>
      <c r="C1725" s="226">
        <v>27</v>
      </c>
      <c r="D1725" s="232">
        <f t="shared" si="187"/>
        <v>44831</v>
      </c>
      <c r="E1725" s="234">
        <f t="shared" si="191"/>
        <v>44831</v>
      </c>
      <c r="F1725" s="479"/>
      <c r="G1725" s="227" t="s">
        <v>1111</v>
      </c>
      <c r="H1725" s="228" t="str" cm="1">
        <f t="array" ref="H1725">IFERROR(INDEX(INVESTOR_LIST[INVESTOR NAME],MATCH(I1725,INVESTOR_LIST[INVESTOR CODE],0),)," ")</f>
        <v>MAISHA MUSSARRAT</v>
      </c>
      <c r="I1725" s="228" t="s">
        <v>1228</v>
      </c>
      <c r="J1725" s="229" t="s">
        <v>55</v>
      </c>
      <c r="K1725" s="230"/>
      <c r="L1725" s="230">
        <v>19999.28</v>
      </c>
    </row>
    <row r="1726" spans="1:13" ht="11.25" customHeight="1" x14ac:dyDescent="0.2">
      <c r="A1726" s="221">
        <v>2022</v>
      </c>
      <c r="B1726" s="221">
        <v>9</v>
      </c>
      <c r="C1726" s="221">
        <v>29</v>
      </c>
      <c r="D1726" s="231">
        <f t="shared" si="187"/>
        <v>44833</v>
      </c>
      <c r="E1726" s="233">
        <f t="shared" si="191"/>
        <v>44833</v>
      </c>
      <c r="F1726" s="478" t="s">
        <v>1311</v>
      </c>
      <c r="G1726" s="222" t="s">
        <v>1111</v>
      </c>
      <c r="H1726" s="223" t="str" cm="1">
        <f t="array" ref="H1726">IFERROR(INDEX(INVESTOR_LIST[INVESTOR NAME],MATCH(I1726,INVESTOR_LIST[INVESTOR CODE],0),)," ")</f>
        <v xml:space="preserve"> </v>
      </c>
      <c r="I1726" s="223"/>
      <c r="J1726" s="224" t="s">
        <v>192</v>
      </c>
      <c r="K1726" s="225">
        <v>115200</v>
      </c>
      <c r="L1726" s="225"/>
    </row>
    <row r="1727" spans="1:13" ht="11.25" customHeight="1" x14ac:dyDescent="0.2">
      <c r="A1727" s="226">
        <v>2022</v>
      </c>
      <c r="B1727" s="226">
        <v>9</v>
      </c>
      <c r="C1727" s="226">
        <v>29</v>
      </c>
      <c r="D1727" s="232">
        <f t="shared" si="187"/>
        <v>44833</v>
      </c>
      <c r="E1727" s="234">
        <f t="shared" si="191"/>
        <v>44833</v>
      </c>
      <c r="F1727" s="479"/>
      <c r="G1727" s="227" t="s">
        <v>1111</v>
      </c>
      <c r="H1727" s="228" t="str" cm="1">
        <f t="array" ref="H1727">IFERROR(INDEX(INVESTOR_LIST[INVESTOR NAME],MATCH(I1727,INVESTOR_LIST[INVESTOR CODE],0),)," ")</f>
        <v xml:space="preserve"> </v>
      </c>
      <c r="I1727" s="228"/>
      <c r="J1727" s="229" t="s">
        <v>191</v>
      </c>
      <c r="K1727" s="230"/>
      <c r="L1727" s="230">
        <v>115200</v>
      </c>
      <c r="M1727" s="166"/>
    </row>
    <row r="1728" spans="1:13" ht="11.25" customHeight="1" x14ac:dyDescent="0.2">
      <c r="A1728" s="280">
        <v>2022</v>
      </c>
      <c r="B1728" s="280">
        <v>9</v>
      </c>
      <c r="C1728" s="280">
        <v>29</v>
      </c>
      <c r="D1728" s="281">
        <f t="shared" si="187"/>
        <v>44833</v>
      </c>
      <c r="E1728" s="282">
        <f t="shared" si="191"/>
        <v>44833</v>
      </c>
      <c r="F1728" s="472" t="s">
        <v>1294</v>
      </c>
      <c r="G1728" s="283" t="s">
        <v>86</v>
      </c>
      <c r="H1728" s="284" t="str" cm="1">
        <f t="array" ref="H1728">IFERROR(INDEX(INVESTOR_LIST[INVESTOR NAME],MATCH(I1728,INVESTOR_LIST[INVESTOR CODE],0),)," ")</f>
        <v xml:space="preserve"> </v>
      </c>
      <c r="I1728" s="284"/>
      <c r="J1728" s="285" t="s">
        <v>131</v>
      </c>
      <c r="K1728" s="286">
        <v>7031.25</v>
      </c>
      <c r="L1728" s="286"/>
    </row>
    <row r="1729" spans="1:12" ht="11.25" customHeight="1" x14ac:dyDescent="0.2">
      <c r="A1729" s="287">
        <v>2022</v>
      </c>
      <c r="B1729" s="287">
        <v>9</v>
      </c>
      <c r="C1729" s="287">
        <v>29</v>
      </c>
      <c r="D1729" s="288">
        <f t="shared" si="187"/>
        <v>44833</v>
      </c>
      <c r="E1729" s="289">
        <f t="shared" si="191"/>
        <v>44833</v>
      </c>
      <c r="F1729" s="473"/>
      <c r="G1729" s="290" t="s">
        <v>86</v>
      </c>
      <c r="H1729" s="291" t="str" cm="1">
        <f t="array" ref="H1729">IFERROR(INDEX(INVESTOR_LIST[INVESTOR NAME],MATCH(I1729,INVESTOR_LIST[INVESTOR CODE],0),)," ")</f>
        <v xml:space="preserve"> </v>
      </c>
      <c r="I1729" s="291"/>
      <c r="J1729" s="292" t="s">
        <v>174</v>
      </c>
      <c r="K1729" s="293"/>
      <c r="L1729" s="293">
        <v>7031.25</v>
      </c>
    </row>
    <row r="1730" spans="1:12" ht="11.25" customHeight="1" x14ac:dyDescent="0.2">
      <c r="A1730" s="280">
        <v>2022</v>
      </c>
      <c r="B1730" s="280">
        <v>9</v>
      </c>
      <c r="C1730" s="280">
        <v>29</v>
      </c>
      <c r="D1730" s="281">
        <f t="shared" si="187"/>
        <v>44833</v>
      </c>
      <c r="E1730" s="282">
        <f t="shared" si="191"/>
        <v>44833</v>
      </c>
      <c r="F1730" s="472" t="s">
        <v>1295</v>
      </c>
      <c r="G1730" s="283" t="s">
        <v>86</v>
      </c>
      <c r="H1730" s="284" t="str" cm="1">
        <f t="array" ref="H1730">IFERROR(INDEX(INVESTOR_LIST[INVESTOR NAME],MATCH(I1730,INVESTOR_LIST[INVESTOR CODE],0),)," ")</f>
        <v xml:space="preserve"> </v>
      </c>
      <c r="I1730" s="284"/>
      <c r="J1730" s="285" t="s">
        <v>131</v>
      </c>
      <c r="K1730" s="286">
        <v>51041.67</v>
      </c>
      <c r="L1730" s="286"/>
    </row>
    <row r="1731" spans="1:12" ht="11.25" customHeight="1" x14ac:dyDescent="0.2">
      <c r="A1731" s="287">
        <v>2022</v>
      </c>
      <c r="B1731" s="287">
        <v>9</v>
      </c>
      <c r="C1731" s="287">
        <v>29</v>
      </c>
      <c r="D1731" s="288">
        <f t="shared" si="187"/>
        <v>44833</v>
      </c>
      <c r="E1731" s="289">
        <f t="shared" si="191"/>
        <v>44833</v>
      </c>
      <c r="F1731" s="473"/>
      <c r="G1731" s="290" t="s">
        <v>86</v>
      </c>
      <c r="H1731" s="291" t="str" cm="1">
        <f t="array" ref="H1731">IFERROR(INDEX(INVESTOR_LIST[INVESTOR NAME],MATCH(I1731,INVESTOR_LIST[INVESTOR CODE],0),)," ")</f>
        <v xml:space="preserve"> </v>
      </c>
      <c r="I1731" s="291"/>
      <c r="J1731" s="292" t="s">
        <v>174</v>
      </c>
      <c r="K1731" s="293"/>
      <c r="L1731" s="293">
        <v>51041.67</v>
      </c>
    </row>
    <row r="1732" spans="1:12" ht="11.25" customHeight="1" x14ac:dyDescent="0.2">
      <c r="A1732" s="280">
        <v>2022</v>
      </c>
      <c r="B1732" s="280">
        <v>9</v>
      </c>
      <c r="C1732" s="280">
        <v>29</v>
      </c>
      <c r="D1732" s="281">
        <f t="shared" si="187"/>
        <v>44833</v>
      </c>
      <c r="E1732" s="282">
        <f t="shared" si="191"/>
        <v>44833</v>
      </c>
      <c r="F1732" s="472" t="s">
        <v>1296</v>
      </c>
      <c r="G1732" s="283" t="s">
        <v>86</v>
      </c>
      <c r="H1732" s="284" t="str" cm="1">
        <f t="array" ref="H1732">IFERROR(INDEX(INVESTOR_LIST[INVESTOR NAME],MATCH(I1732,INVESTOR_LIST[INVESTOR CODE],0),)," ")</f>
        <v xml:space="preserve"> </v>
      </c>
      <c r="I1732" s="284"/>
      <c r="J1732" s="285" t="s">
        <v>131</v>
      </c>
      <c r="K1732" s="286">
        <v>112965.44</v>
      </c>
      <c r="L1732" s="286"/>
    </row>
    <row r="1733" spans="1:12" ht="11.25" customHeight="1" x14ac:dyDescent="0.2">
      <c r="A1733" s="287">
        <v>2022</v>
      </c>
      <c r="B1733" s="287">
        <v>9</v>
      </c>
      <c r="C1733" s="287">
        <v>29</v>
      </c>
      <c r="D1733" s="288">
        <f t="shared" si="187"/>
        <v>44833</v>
      </c>
      <c r="E1733" s="289">
        <f t="shared" si="191"/>
        <v>44833</v>
      </c>
      <c r="F1733" s="473"/>
      <c r="G1733" s="290" t="s">
        <v>86</v>
      </c>
      <c r="H1733" s="291" t="str" cm="1">
        <f t="array" ref="H1733">IFERROR(INDEX(INVESTOR_LIST[INVESTOR NAME],MATCH(I1733,INVESTOR_LIST[INVESTOR CODE],0),)," ")</f>
        <v xml:space="preserve"> </v>
      </c>
      <c r="I1733" s="291"/>
      <c r="J1733" s="292" t="s">
        <v>174</v>
      </c>
      <c r="K1733" s="293"/>
      <c r="L1733" s="293">
        <v>112965.44</v>
      </c>
    </row>
    <row r="1734" spans="1:12" ht="11.25" customHeight="1" x14ac:dyDescent="0.2">
      <c r="A1734" s="236">
        <v>2022</v>
      </c>
      <c r="B1734" s="236">
        <v>9</v>
      </c>
      <c r="C1734" s="236">
        <v>29</v>
      </c>
      <c r="D1734" s="237">
        <f t="shared" si="187"/>
        <v>44833</v>
      </c>
      <c r="E1734" s="238">
        <f t="shared" si="191"/>
        <v>44833</v>
      </c>
      <c r="F1734" s="476" t="s">
        <v>1118</v>
      </c>
      <c r="G1734" s="239" t="s">
        <v>86</v>
      </c>
      <c r="H1734" s="239" t="str" cm="1">
        <f t="array" ref="H1734">IFERROR(INDEX(INVESTOR_LIST[INVESTOR NAME],MATCH(I1734,INVESTOR_LIST[INVESTOR CODE],0),)," ")</f>
        <v xml:space="preserve"> </v>
      </c>
      <c r="I1734" s="240"/>
      <c r="J1734" s="241" t="s">
        <v>82</v>
      </c>
      <c r="K1734" s="242">
        <v>469474.5</v>
      </c>
      <c r="L1734" s="242"/>
    </row>
    <row r="1735" spans="1:12" ht="11.25" customHeight="1" x14ac:dyDescent="0.2">
      <c r="A1735" s="243">
        <v>2022</v>
      </c>
      <c r="B1735" s="243">
        <v>9</v>
      </c>
      <c r="C1735" s="243">
        <v>29</v>
      </c>
      <c r="D1735" s="248">
        <f t="shared" si="187"/>
        <v>44833</v>
      </c>
      <c r="E1735" s="249">
        <f t="shared" si="191"/>
        <v>44833</v>
      </c>
      <c r="F1735" s="477"/>
      <c r="G1735" s="244" t="s">
        <v>86</v>
      </c>
      <c r="H1735" s="244" t="str" cm="1">
        <f t="array" ref="H1735">IFERROR(INDEX(INVESTOR_LIST[INVESTOR NAME],MATCH(I1735,INVESTOR_LIST[INVESTOR CODE],0),)," ")</f>
        <v xml:space="preserve"> </v>
      </c>
      <c r="I1735" s="245"/>
      <c r="J1735" s="246" t="s">
        <v>98</v>
      </c>
      <c r="K1735" s="247"/>
      <c r="L1735" s="247">
        <v>469474.5</v>
      </c>
    </row>
    <row r="1736" spans="1:12" ht="11.25" customHeight="1" x14ac:dyDescent="0.2">
      <c r="A1736" s="236">
        <v>2022</v>
      </c>
      <c r="B1736" s="236">
        <v>9</v>
      </c>
      <c r="C1736" s="236">
        <v>29</v>
      </c>
      <c r="D1736" s="237">
        <f t="shared" si="187"/>
        <v>44833</v>
      </c>
      <c r="E1736" s="238">
        <f t="shared" si="191"/>
        <v>44833</v>
      </c>
      <c r="F1736" s="476" t="s">
        <v>1120</v>
      </c>
      <c r="G1736" s="239" t="s">
        <v>86</v>
      </c>
      <c r="H1736" s="239" t="str" cm="1">
        <f t="array" ref="H1736">IFERROR(INDEX(INVESTOR_LIST[INVESTOR NAME],MATCH(I1736,INVESTOR_LIST[INVESTOR CODE],0),)," ")</f>
        <v xml:space="preserve"> </v>
      </c>
      <c r="I1736" s="240"/>
      <c r="J1736" s="241" t="s">
        <v>87</v>
      </c>
      <c r="K1736" s="242">
        <v>2747.2527472527472</v>
      </c>
      <c r="L1736" s="242"/>
    </row>
    <row r="1737" spans="1:12" ht="11.25" customHeight="1" x14ac:dyDescent="0.2">
      <c r="A1737" s="243">
        <v>2022</v>
      </c>
      <c r="B1737" s="243">
        <v>9</v>
      </c>
      <c r="C1737" s="243">
        <v>29</v>
      </c>
      <c r="D1737" s="248">
        <f t="shared" ref="D1737:D1800" si="192">DATE(A1737,B1737,C1737)</f>
        <v>44833</v>
      </c>
      <c r="E1737" s="249">
        <f t="shared" si="191"/>
        <v>44833</v>
      </c>
      <c r="F1737" s="477"/>
      <c r="G1737" s="244" t="s">
        <v>86</v>
      </c>
      <c r="H1737" s="244" t="str" cm="1">
        <f t="array" ref="H1737">IFERROR(INDEX(INVESTOR_LIST[INVESTOR NAME],MATCH(I1737,INVESTOR_LIST[INVESTOR CODE],0),)," ")</f>
        <v xml:space="preserve"> </v>
      </c>
      <c r="I1737" s="245"/>
      <c r="J1737" s="246" t="s">
        <v>64</v>
      </c>
      <c r="K1737" s="247"/>
      <c r="L1737" s="247">
        <v>2747.2527472527472</v>
      </c>
    </row>
    <row r="1738" spans="1:12" ht="11.25" customHeight="1" x14ac:dyDescent="0.2">
      <c r="A1738" s="236">
        <v>2022</v>
      </c>
      <c r="B1738" s="236">
        <v>9</v>
      </c>
      <c r="C1738" s="236">
        <v>29</v>
      </c>
      <c r="D1738" s="237">
        <f t="shared" si="192"/>
        <v>44833</v>
      </c>
      <c r="E1738" s="238">
        <f t="shared" si="191"/>
        <v>44833</v>
      </c>
      <c r="F1738" s="476" t="s">
        <v>1121</v>
      </c>
      <c r="G1738" s="239" t="s">
        <v>86</v>
      </c>
      <c r="H1738" s="239" t="str" cm="1">
        <f t="array" ref="H1738">IFERROR(INDEX(INVESTOR_LIST[INVESTOR NAME],MATCH(I1738,INVESTOR_LIST[INVESTOR CODE],0),)," ")</f>
        <v xml:space="preserve"> </v>
      </c>
      <c r="I1738" s="240"/>
      <c r="J1738" s="241" t="s">
        <v>89</v>
      </c>
      <c r="K1738" s="242">
        <v>95558.375707273299</v>
      </c>
      <c r="L1738" s="242"/>
    </row>
    <row r="1739" spans="1:12" ht="11.25" customHeight="1" x14ac:dyDescent="0.2">
      <c r="A1739" s="243">
        <v>2022</v>
      </c>
      <c r="B1739" s="243">
        <v>9</v>
      </c>
      <c r="C1739" s="243">
        <v>29</v>
      </c>
      <c r="D1739" s="248">
        <f t="shared" si="192"/>
        <v>44833</v>
      </c>
      <c r="E1739" s="249">
        <f t="shared" si="191"/>
        <v>44833</v>
      </c>
      <c r="F1739" s="477"/>
      <c r="G1739" s="244" t="s">
        <v>86</v>
      </c>
      <c r="H1739" s="244" t="str" cm="1">
        <f t="array" ref="H1739">IFERROR(INDEX(INVESTOR_LIST[INVESTOR NAME],MATCH(I1739,INVESTOR_LIST[INVESTOR CODE],0),)," ")</f>
        <v xml:space="preserve"> </v>
      </c>
      <c r="I1739" s="245"/>
      <c r="J1739" s="246" t="s">
        <v>50</v>
      </c>
      <c r="K1739" s="247"/>
      <c r="L1739" s="247">
        <v>95558.375707273299</v>
      </c>
    </row>
    <row r="1740" spans="1:12" ht="11.25" customHeight="1" x14ac:dyDescent="0.2">
      <c r="A1740" s="236">
        <v>2022</v>
      </c>
      <c r="B1740" s="236">
        <v>9</v>
      </c>
      <c r="C1740" s="236">
        <v>29</v>
      </c>
      <c r="D1740" s="237">
        <f t="shared" si="192"/>
        <v>44833</v>
      </c>
      <c r="E1740" s="238">
        <f t="shared" si="191"/>
        <v>44833</v>
      </c>
      <c r="F1740" s="476" t="s">
        <v>1122</v>
      </c>
      <c r="G1740" s="239" t="s">
        <v>86</v>
      </c>
      <c r="H1740" s="239" t="str" cm="1">
        <f t="array" ref="H1740">IFERROR(INDEX(INVESTOR_LIST[INVESTOR NAME],MATCH(I1740,INVESTOR_LIST[INVESTOR CODE],0),)," ")</f>
        <v xml:space="preserve"> </v>
      </c>
      <c r="I1740" s="240"/>
      <c r="J1740" s="241" t="s">
        <v>91</v>
      </c>
      <c r="K1740" s="242">
        <v>4537.5341699790506</v>
      </c>
      <c r="L1740" s="242"/>
    </row>
    <row r="1741" spans="1:12" ht="11.25" customHeight="1" x14ac:dyDescent="0.2">
      <c r="A1741" s="243">
        <v>2022</v>
      </c>
      <c r="B1741" s="243">
        <v>9</v>
      </c>
      <c r="C1741" s="243">
        <v>29</v>
      </c>
      <c r="D1741" s="248">
        <f t="shared" si="192"/>
        <v>44833</v>
      </c>
      <c r="E1741" s="249">
        <f t="shared" si="191"/>
        <v>44833</v>
      </c>
      <c r="F1741" s="477"/>
      <c r="G1741" s="244" t="s">
        <v>86</v>
      </c>
      <c r="H1741" s="244" t="str" cm="1">
        <f t="array" ref="H1741">IFERROR(INDEX(INVESTOR_LIST[INVESTOR NAME],MATCH(I1741,INVESTOR_LIST[INVESTOR CODE],0),)," ")</f>
        <v xml:space="preserve"> </v>
      </c>
      <c r="I1741" s="245"/>
      <c r="J1741" s="246" t="s">
        <v>51</v>
      </c>
      <c r="K1741" s="247"/>
      <c r="L1741" s="247">
        <v>4537.5341699790506</v>
      </c>
    </row>
    <row r="1742" spans="1:12" ht="11.25" customHeight="1" x14ac:dyDescent="0.2">
      <c r="A1742" s="231">
        <v>2022</v>
      </c>
      <c r="B1742" s="231">
        <v>10</v>
      </c>
      <c r="C1742" s="231">
        <v>4</v>
      </c>
      <c r="D1742" s="221">
        <f t="shared" si="192"/>
        <v>44838</v>
      </c>
      <c r="E1742" s="271">
        <f t="shared" ref="E1742:E1746" si="193">DATE(A1742,B1742,C1742)</f>
        <v>44838</v>
      </c>
      <c r="F1742" s="478" t="s">
        <v>1312</v>
      </c>
      <c r="G1742" s="222" t="s">
        <v>1111</v>
      </c>
      <c r="H1742" s="222" t="str" cm="1">
        <f t="array" ref="H1742">IFERROR(INDEX(INVESTOR_LIST[INVESTOR NAME],MATCH(I1742,INVESTOR_LIST[INVESTOR CODE],0),)," ")</f>
        <v xml:space="preserve"> </v>
      </c>
      <c r="I1742" s="223"/>
      <c r="J1742" s="224" t="s">
        <v>50</v>
      </c>
      <c r="K1742" s="225">
        <v>2195868</v>
      </c>
      <c r="L1742" s="225"/>
    </row>
    <row r="1743" spans="1:12" ht="11.25" customHeight="1" x14ac:dyDescent="0.2">
      <c r="A1743" s="232">
        <v>2022</v>
      </c>
      <c r="B1743" s="232">
        <v>10</v>
      </c>
      <c r="C1743" s="232">
        <v>4</v>
      </c>
      <c r="D1743" s="226">
        <f t="shared" si="192"/>
        <v>44838</v>
      </c>
      <c r="E1743" s="272">
        <f t="shared" si="193"/>
        <v>44838</v>
      </c>
      <c r="F1743" s="479"/>
      <c r="G1743" s="227" t="s">
        <v>1111</v>
      </c>
      <c r="H1743" s="227" t="str" cm="1">
        <f t="array" ref="H1743">IFERROR(INDEX(INVESTOR_LIST[INVESTOR NAME],MATCH(I1743,INVESTOR_LIST[INVESTOR CODE],0),)," ")</f>
        <v xml:space="preserve"> </v>
      </c>
      <c r="I1743" s="228"/>
      <c r="J1743" s="229" t="s">
        <v>55</v>
      </c>
      <c r="K1743" s="230"/>
      <c r="L1743" s="230">
        <v>2195868</v>
      </c>
    </row>
    <row r="1744" spans="1:12" ht="11.25" customHeight="1" x14ac:dyDescent="0.2">
      <c r="A1744" s="221">
        <v>2022</v>
      </c>
      <c r="B1744" s="221">
        <v>10</v>
      </c>
      <c r="C1744" s="221">
        <v>6</v>
      </c>
      <c r="D1744" s="231">
        <f t="shared" si="192"/>
        <v>44840</v>
      </c>
      <c r="E1744" s="233">
        <f t="shared" si="193"/>
        <v>44840</v>
      </c>
      <c r="F1744" s="478" t="s">
        <v>1115</v>
      </c>
      <c r="G1744" s="222" t="s">
        <v>1111</v>
      </c>
      <c r="H1744" s="223" t="str" cm="1">
        <f t="array" ref="H1744">IFERROR(INDEX(INVESTOR_LIST[INVESTOR NAME],MATCH(I1744,INVESTOR_LIST[INVESTOR CODE],0),)," ")</f>
        <v>MD. NIZAM UDDIN</v>
      </c>
      <c r="I1744" s="223" t="s">
        <v>954</v>
      </c>
      <c r="J1744" s="224" t="s">
        <v>14</v>
      </c>
      <c r="K1744" s="225">
        <v>40000</v>
      </c>
      <c r="L1744" s="225"/>
    </row>
    <row r="1745" spans="1:13" ht="11.25" customHeight="1" x14ac:dyDescent="0.2">
      <c r="A1745" s="164">
        <v>2022</v>
      </c>
      <c r="B1745" s="164">
        <v>10</v>
      </c>
      <c r="C1745" s="164">
        <v>6</v>
      </c>
      <c r="D1745" s="156">
        <f t="shared" si="192"/>
        <v>44840</v>
      </c>
      <c r="E1745" s="235">
        <f t="shared" si="193"/>
        <v>44840</v>
      </c>
      <c r="F1745" s="480"/>
      <c r="G1745" s="208" t="s">
        <v>1111</v>
      </c>
      <c r="H1745" s="206" t="str" cm="1">
        <f t="array" ref="H1745">IFERROR(INDEX(INVESTOR_LIST[INVESTOR NAME],MATCH(I1745,INVESTOR_LIST[INVESTOR CODE],0),)," ")</f>
        <v>MD. NIZAM UDDIN</v>
      </c>
      <c r="I1745" s="206" t="s">
        <v>954</v>
      </c>
      <c r="J1745" s="165" t="s">
        <v>1112</v>
      </c>
      <c r="L1745" s="205">
        <v>320</v>
      </c>
    </row>
    <row r="1746" spans="1:13" ht="11.25" customHeight="1" x14ac:dyDescent="0.2">
      <c r="A1746" s="226">
        <v>2022</v>
      </c>
      <c r="B1746" s="226">
        <v>10</v>
      </c>
      <c r="C1746" s="226">
        <v>6</v>
      </c>
      <c r="D1746" s="232">
        <f t="shared" si="192"/>
        <v>44840</v>
      </c>
      <c r="E1746" s="234">
        <f t="shared" si="193"/>
        <v>44840</v>
      </c>
      <c r="F1746" s="479"/>
      <c r="G1746" s="227" t="s">
        <v>1111</v>
      </c>
      <c r="H1746" s="228" t="str" cm="1">
        <f t="array" ref="H1746">IFERROR(INDEX(INVESTOR_LIST[INVESTOR NAME],MATCH(I1746,INVESTOR_LIST[INVESTOR CODE],0),)," ")</f>
        <v>MD. NIZAM UDDIN</v>
      </c>
      <c r="I1746" s="228" t="s">
        <v>954</v>
      </c>
      <c r="J1746" s="229" t="s">
        <v>55</v>
      </c>
      <c r="K1746" s="230"/>
      <c r="L1746" s="230">
        <v>39680</v>
      </c>
    </row>
    <row r="1747" spans="1:13" ht="11.25" customHeight="1" x14ac:dyDescent="0.2">
      <c r="A1747" s="221">
        <v>2022</v>
      </c>
      <c r="B1747" s="221">
        <v>10</v>
      </c>
      <c r="C1747" s="221">
        <v>6</v>
      </c>
      <c r="D1747" s="231">
        <f t="shared" si="192"/>
        <v>44840</v>
      </c>
      <c r="E1747" s="233">
        <f>DATE(A1747,B1747,C1747)</f>
        <v>44840</v>
      </c>
      <c r="F1747" s="478" t="s">
        <v>1313</v>
      </c>
      <c r="G1747" s="222" t="s">
        <v>1111</v>
      </c>
      <c r="H1747" s="222" t="str" cm="1">
        <f t="array" ref="H1747">IFERROR(INDEX(INVESTOR_LIST[INVESTOR NAME],MATCH(I1747,INVESTOR_LIST[INVESTOR CODE],0),)," ")</f>
        <v xml:space="preserve"> </v>
      </c>
      <c r="I1747" s="223"/>
      <c r="J1747" s="224" t="s">
        <v>196</v>
      </c>
      <c r="K1747" s="225">
        <v>4750000</v>
      </c>
      <c r="L1747" s="225"/>
    </row>
    <row r="1748" spans="1:13" ht="11.25" customHeight="1" x14ac:dyDescent="0.2">
      <c r="A1748" s="164">
        <v>2022</v>
      </c>
      <c r="B1748" s="164">
        <v>10</v>
      </c>
      <c r="C1748" s="164">
        <v>6</v>
      </c>
      <c r="D1748" s="156">
        <f t="shared" si="192"/>
        <v>44840</v>
      </c>
      <c r="E1748" s="235">
        <f>DATE(A1748,B1748,C1748)</f>
        <v>44840</v>
      </c>
      <c r="F1748" s="480"/>
      <c r="G1748" s="208" t="s">
        <v>1111</v>
      </c>
      <c r="H1748" s="208"/>
      <c r="J1748" s="165" t="s">
        <v>197</v>
      </c>
      <c r="K1748" s="205">
        <v>5000</v>
      </c>
      <c r="L1748" s="205"/>
    </row>
    <row r="1749" spans="1:13" ht="11.25" customHeight="1" x14ac:dyDescent="0.2">
      <c r="A1749" s="164">
        <v>2022</v>
      </c>
      <c r="B1749" s="164">
        <v>10</v>
      </c>
      <c r="C1749" s="164">
        <v>6</v>
      </c>
      <c r="D1749" s="164">
        <f t="shared" si="192"/>
        <v>44840</v>
      </c>
      <c r="E1749" s="235">
        <f>DATE(A1749,B1749,C1749)</f>
        <v>44840</v>
      </c>
      <c r="F1749" s="480"/>
      <c r="G1749" s="208" t="s">
        <v>1111</v>
      </c>
      <c r="H1749" s="208" t="str" cm="1">
        <f t="array" ref="H1749">IFERROR(INDEX(INVESTOR_LIST[INVESTOR NAME],MATCH(I1749,INVESTOR_LIST[INVESTOR CODE],0),)," ")</f>
        <v xml:space="preserve"> </v>
      </c>
      <c r="J1749" s="165" t="s">
        <v>63</v>
      </c>
      <c r="K1749" s="205">
        <v>115</v>
      </c>
      <c r="L1749" s="205"/>
      <c r="M1749" s="166"/>
    </row>
    <row r="1750" spans="1:13" ht="11.25" customHeight="1" x14ac:dyDescent="0.2">
      <c r="A1750" s="226">
        <v>2022</v>
      </c>
      <c r="B1750" s="226">
        <v>10</v>
      </c>
      <c r="C1750" s="226">
        <v>6</v>
      </c>
      <c r="D1750" s="226">
        <f t="shared" si="192"/>
        <v>44840</v>
      </c>
      <c r="E1750" s="234">
        <f>DATE(A1750,B1750,C1750)</f>
        <v>44840</v>
      </c>
      <c r="F1750" s="479"/>
      <c r="G1750" s="227" t="s">
        <v>1111</v>
      </c>
      <c r="H1750" s="228" t="str" cm="1">
        <f t="array" ref="H1750">IFERROR(INDEX(INVESTOR_LIST[INVESTOR NAME],MATCH(I1750,INVESTOR_LIST[INVESTOR CODE],0),)," ")</f>
        <v xml:space="preserve"> </v>
      </c>
      <c r="I1750" s="228"/>
      <c r="J1750" s="229" t="s">
        <v>55</v>
      </c>
      <c r="K1750" s="230"/>
      <c r="L1750" s="230">
        <v>4755115</v>
      </c>
      <c r="M1750" s="166"/>
    </row>
    <row r="1751" spans="1:13" ht="11.25" customHeight="1" x14ac:dyDescent="0.2">
      <c r="A1751" s="280">
        <v>2022</v>
      </c>
      <c r="B1751" s="280">
        <v>10</v>
      </c>
      <c r="C1751" s="280">
        <v>6</v>
      </c>
      <c r="D1751" s="281">
        <f t="shared" si="192"/>
        <v>44840</v>
      </c>
      <c r="E1751" s="282">
        <f t="shared" ref="E1751:E1770" si="194">DATE(A1751,B1751,C1751)</f>
        <v>44840</v>
      </c>
      <c r="F1751" s="472" t="s">
        <v>1294</v>
      </c>
      <c r="G1751" s="283" t="s">
        <v>86</v>
      </c>
      <c r="H1751" s="284" t="str" cm="1">
        <f t="array" ref="H1751">IFERROR(INDEX(INVESTOR_LIST[INVESTOR NAME],MATCH(I1751,INVESTOR_LIST[INVESTOR CODE],0),)," ")</f>
        <v xml:space="preserve"> </v>
      </c>
      <c r="I1751" s="284"/>
      <c r="J1751" s="285" t="s">
        <v>131</v>
      </c>
      <c r="K1751" s="286">
        <v>7031.25</v>
      </c>
      <c r="L1751" s="286"/>
    </row>
    <row r="1752" spans="1:13" ht="11.25" customHeight="1" x14ac:dyDescent="0.2">
      <c r="A1752" s="287">
        <v>2022</v>
      </c>
      <c r="B1752" s="287">
        <v>10</v>
      </c>
      <c r="C1752" s="287">
        <v>6</v>
      </c>
      <c r="D1752" s="288">
        <f t="shared" si="192"/>
        <v>44840</v>
      </c>
      <c r="E1752" s="289">
        <f t="shared" si="194"/>
        <v>44840</v>
      </c>
      <c r="F1752" s="473"/>
      <c r="G1752" s="290" t="s">
        <v>86</v>
      </c>
      <c r="H1752" s="291" t="str" cm="1">
        <f t="array" ref="H1752">IFERROR(INDEX(INVESTOR_LIST[INVESTOR NAME],MATCH(I1752,INVESTOR_LIST[INVESTOR CODE],0),)," ")</f>
        <v xml:space="preserve"> </v>
      </c>
      <c r="I1752" s="291"/>
      <c r="J1752" s="292" t="s">
        <v>174</v>
      </c>
      <c r="K1752" s="293"/>
      <c r="L1752" s="293">
        <v>7031.25</v>
      </c>
    </row>
    <row r="1753" spans="1:13" ht="11.25" customHeight="1" x14ac:dyDescent="0.2">
      <c r="A1753" s="280">
        <v>2022</v>
      </c>
      <c r="B1753" s="280">
        <v>10</v>
      </c>
      <c r="C1753" s="280">
        <v>6</v>
      </c>
      <c r="D1753" s="281">
        <f t="shared" si="192"/>
        <v>44840</v>
      </c>
      <c r="E1753" s="282">
        <f t="shared" si="194"/>
        <v>44840</v>
      </c>
      <c r="F1753" s="472" t="s">
        <v>1295</v>
      </c>
      <c r="G1753" s="283" t="s">
        <v>86</v>
      </c>
      <c r="H1753" s="284" t="str" cm="1">
        <f t="array" ref="H1753">IFERROR(INDEX(INVESTOR_LIST[INVESTOR NAME],MATCH(I1753,INVESTOR_LIST[INVESTOR CODE],0),)," ")</f>
        <v xml:space="preserve"> </v>
      </c>
      <c r="I1753" s="284"/>
      <c r="J1753" s="285" t="s">
        <v>131</v>
      </c>
      <c r="K1753" s="286">
        <v>51041.67</v>
      </c>
      <c r="L1753" s="286"/>
    </row>
    <row r="1754" spans="1:13" ht="11.25" customHeight="1" x14ac:dyDescent="0.2">
      <c r="A1754" s="287">
        <v>2022</v>
      </c>
      <c r="B1754" s="287">
        <v>10</v>
      </c>
      <c r="C1754" s="287">
        <v>6</v>
      </c>
      <c r="D1754" s="288">
        <f t="shared" si="192"/>
        <v>44840</v>
      </c>
      <c r="E1754" s="289">
        <f t="shared" si="194"/>
        <v>44840</v>
      </c>
      <c r="F1754" s="473"/>
      <c r="G1754" s="290" t="s">
        <v>86</v>
      </c>
      <c r="H1754" s="291" t="str" cm="1">
        <f t="array" ref="H1754">IFERROR(INDEX(INVESTOR_LIST[INVESTOR NAME],MATCH(I1754,INVESTOR_LIST[INVESTOR CODE],0),)," ")</f>
        <v xml:space="preserve"> </v>
      </c>
      <c r="I1754" s="291"/>
      <c r="J1754" s="292" t="s">
        <v>174</v>
      </c>
      <c r="K1754" s="293"/>
      <c r="L1754" s="293">
        <v>51041.67</v>
      </c>
    </row>
    <row r="1755" spans="1:13" ht="11.25" customHeight="1" x14ac:dyDescent="0.2">
      <c r="A1755" s="280">
        <v>2022</v>
      </c>
      <c r="B1755" s="280">
        <v>10</v>
      </c>
      <c r="C1755" s="280">
        <v>6</v>
      </c>
      <c r="D1755" s="281">
        <f t="shared" si="192"/>
        <v>44840</v>
      </c>
      <c r="E1755" s="282">
        <f t="shared" si="194"/>
        <v>44840</v>
      </c>
      <c r="F1755" s="472" t="s">
        <v>1296</v>
      </c>
      <c r="G1755" s="283" t="s">
        <v>86</v>
      </c>
      <c r="H1755" s="284" t="str" cm="1">
        <f t="array" ref="H1755">IFERROR(INDEX(INVESTOR_LIST[INVESTOR NAME],MATCH(I1755,INVESTOR_LIST[INVESTOR CODE],0),)," ")</f>
        <v xml:space="preserve"> </v>
      </c>
      <c r="I1755" s="284"/>
      <c r="J1755" s="285" t="s">
        <v>131</v>
      </c>
      <c r="K1755" s="286">
        <v>112965.44</v>
      </c>
      <c r="L1755" s="286"/>
    </row>
    <row r="1756" spans="1:13" ht="11.25" customHeight="1" x14ac:dyDescent="0.2">
      <c r="A1756" s="287">
        <v>2022</v>
      </c>
      <c r="B1756" s="287">
        <v>10</v>
      </c>
      <c r="C1756" s="287">
        <v>6</v>
      </c>
      <c r="D1756" s="288">
        <f t="shared" si="192"/>
        <v>44840</v>
      </c>
      <c r="E1756" s="289">
        <f t="shared" si="194"/>
        <v>44840</v>
      </c>
      <c r="F1756" s="473"/>
      <c r="G1756" s="290" t="s">
        <v>86</v>
      </c>
      <c r="H1756" s="291" t="str" cm="1">
        <f t="array" ref="H1756">IFERROR(INDEX(INVESTOR_LIST[INVESTOR NAME],MATCH(I1756,INVESTOR_LIST[INVESTOR CODE],0),)," ")</f>
        <v xml:space="preserve"> </v>
      </c>
      <c r="I1756" s="291"/>
      <c r="J1756" s="292" t="s">
        <v>174</v>
      </c>
      <c r="K1756" s="293"/>
      <c r="L1756" s="293">
        <v>112965.44</v>
      </c>
    </row>
    <row r="1757" spans="1:13" ht="11.25" customHeight="1" x14ac:dyDescent="0.2">
      <c r="A1757" s="236">
        <v>2022</v>
      </c>
      <c r="B1757" s="236">
        <v>10</v>
      </c>
      <c r="C1757" s="236">
        <v>6</v>
      </c>
      <c r="D1757" s="237">
        <f t="shared" si="192"/>
        <v>44840</v>
      </c>
      <c r="E1757" s="238">
        <f t="shared" si="194"/>
        <v>44840</v>
      </c>
      <c r="F1757" s="476" t="s">
        <v>1118</v>
      </c>
      <c r="G1757" s="239" t="s">
        <v>86</v>
      </c>
      <c r="H1757" s="239" t="str" cm="1">
        <f t="array" ref="H1757">IFERROR(INDEX(INVESTOR_LIST[INVESTOR NAME],MATCH(I1757,INVESTOR_LIST[INVESTOR CODE],0),)," ")</f>
        <v xml:space="preserve"> </v>
      </c>
      <c r="I1757" s="240"/>
      <c r="J1757" s="241" t="s">
        <v>82</v>
      </c>
      <c r="K1757" s="242">
        <v>360600</v>
      </c>
      <c r="L1757" s="242"/>
    </row>
    <row r="1758" spans="1:13" ht="11.25" customHeight="1" x14ac:dyDescent="0.2">
      <c r="A1758" s="243">
        <v>2022</v>
      </c>
      <c r="B1758" s="243">
        <v>10</v>
      </c>
      <c r="C1758" s="243">
        <v>6</v>
      </c>
      <c r="D1758" s="248">
        <f t="shared" si="192"/>
        <v>44840</v>
      </c>
      <c r="E1758" s="249">
        <f t="shared" si="194"/>
        <v>44840</v>
      </c>
      <c r="F1758" s="477"/>
      <c r="G1758" s="244" t="s">
        <v>86</v>
      </c>
      <c r="H1758" s="244" t="str" cm="1">
        <f t="array" ref="H1758">IFERROR(INDEX(INVESTOR_LIST[INVESTOR NAME],MATCH(I1758,INVESTOR_LIST[INVESTOR CODE],0),)," ")</f>
        <v xml:space="preserve"> </v>
      </c>
      <c r="I1758" s="245"/>
      <c r="J1758" s="246" t="s">
        <v>98</v>
      </c>
      <c r="K1758" s="247"/>
      <c r="L1758" s="247">
        <v>360600</v>
      </c>
    </row>
    <row r="1759" spans="1:13" ht="11.25" customHeight="1" x14ac:dyDescent="0.2">
      <c r="A1759" s="236">
        <v>2022</v>
      </c>
      <c r="B1759" s="236">
        <v>10</v>
      </c>
      <c r="C1759" s="236">
        <v>6</v>
      </c>
      <c r="D1759" s="237">
        <f t="shared" si="192"/>
        <v>44840</v>
      </c>
      <c r="E1759" s="238">
        <f t="shared" si="194"/>
        <v>44840</v>
      </c>
      <c r="F1759" s="476" t="s">
        <v>1120</v>
      </c>
      <c r="G1759" s="239" t="s">
        <v>86</v>
      </c>
      <c r="H1759" s="239" t="str" cm="1">
        <f t="array" ref="H1759">IFERROR(INDEX(INVESTOR_LIST[INVESTOR NAME],MATCH(I1759,INVESTOR_LIST[INVESTOR CODE],0),)," ")</f>
        <v xml:space="preserve"> </v>
      </c>
      <c r="I1759" s="240"/>
      <c r="J1759" s="241" t="s">
        <v>87</v>
      </c>
      <c r="K1759" s="242">
        <v>2747.2527472527472</v>
      </c>
      <c r="L1759" s="242"/>
    </row>
    <row r="1760" spans="1:13" ht="11.25" customHeight="1" x14ac:dyDescent="0.2">
      <c r="A1760" s="243">
        <v>2022</v>
      </c>
      <c r="B1760" s="243">
        <v>10</v>
      </c>
      <c r="C1760" s="243">
        <v>6</v>
      </c>
      <c r="D1760" s="248">
        <f t="shared" si="192"/>
        <v>44840</v>
      </c>
      <c r="E1760" s="249">
        <f t="shared" si="194"/>
        <v>44840</v>
      </c>
      <c r="F1760" s="477"/>
      <c r="G1760" s="244" t="s">
        <v>86</v>
      </c>
      <c r="H1760" s="244" t="str" cm="1">
        <f t="array" ref="H1760">IFERROR(INDEX(INVESTOR_LIST[INVESTOR NAME],MATCH(I1760,INVESTOR_LIST[INVESTOR CODE],0),)," ")</f>
        <v xml:space="preserve"> </v>
      </c>
      <c r="I1760" s="245"/>
      <c r="J1760" s="246" t="s">
        <v>64</v>
      </c>
      <c r="K1760" s="247"/>
      <c r="L1760" s="247">
        <v>2747.2527472527472</v>
      </c>
    </row>
    <row r="1761" spans="1:15" ht="11.25" customHeight="1" x14ac:dyDescent="0.2">
      <c r="A1761" s="236">
        <v>2022</v>
      </c>
      <c r="B1761" s="236">
        <v>10</v>
      </c>
      <c r="C1761" s="236">
        <v>6</v>
      </c>
      <c r="D1761" s="237">
        <f t="shared" si="192"/>
        <v>44840</v>
      </c>
      <c r="E1761" s="238">
        <f t="shared" si="194"/>
        <v>44840</v>
      </c>
      <c r="F1761" s="476" t="s">
        <v>1121</v>
      </c>
      <c r="G1761" s="239" t="s">
        <v>86</v>
      </c>
      <c r="H1761" s="239" t="str" cm="1">
        <f t="array" ref="H1761">IFERROR(INDEX(INVESTOR_LIST[INVESTOR NAME],MATCH(I1761,INVESTOR_LIST[INVESTOR CODE],0),)," ")</f>
        <v xml:space="preserve"> </v>
      </c>
      <c r="I1761" s="240"/>
      <c r="J1761" s="241" t="s">
        <v>89</v>
      </c>
      <c r="K1761" s="242">
        <v>95456.637321648508</v>
      </c>
      <c r="L1761" s="242"/>
    </row>
    <row r="1762" spans="1:15" ht="11.25" customHeight="1" x14ac:dyDescent="0.2">
      <c r="A1762" s="243">
        <v>2022</v>
      </c>
      <c r="B1762" s="243">
        <v>10</v>
      </c>
      <c r="C1762" s="243">
        <v>6</v>
      </c>
      <c r="D1762" s="248">
        <f t="shared" si="192"/>
        <v>44840</v>
      </c>
      <c r="E1762" s="249">
        <f t="shared" si="194"/>
        <v>44840</v>
      </c>
      <c r="F1762" s="477"/>
      <c r="G1762" s="244" t="s">
        <v>86</v>
      </c>
      <c r="H1762" s="244" t="str" cm="1">
        <f t="array" ref="H1762">IFERROR(INDEX(INVESTOR_LIST[INVESTOR NAME],MATCH(I1762,INVESTOR_LIST[INVESTOR CODE],0),)," ")</f>
        <v xml:space="preserve"> </v>
      </c>
      <c r="I1762" s="245"/>
      <c r="J1762" s="246" t="s">
        <v>50</v>
      </c>
      <c r="K1762" s="247"/>
      <c r="L1762" s="247">
        <v>95456.637321648508</v>
      </c>
    </row>
    <row r="1763" spans="1:15" ht="11.25" customHeight="1" x14ac:dyDescent="0.2">
      <c r="A1763" s="236">
        <v>2022</v>
      </c>
      <c r="B1763" s="236">
        <v>10</v>
      </c>
      <c r="C1763" s="236">
        <v>6</v>
      </c>
      <c r="D1763" s="237">
        <f t="shared" si="192"/>
        <v>44840</v>
      </c>
      <c r="E1763" s="238">
        <f t="shared" si="194"/>
        <v>44840</v>
      </c>
      <c r="F1763" s="476" t="s">
        <v>1122</v>
      </c>
      <c r="G1763" s="239" t="s">
        <v>86</v>
      </c>
      <c r="H1763" s="239" t="str" cm="1">
        <f t="array" ref="H1763">IFERROR(INDEX(INVESTOR_LIST[INVESTOR NAME],MATCH(I1763,INVESTOR_LIST[INVESTOR CODE],0),)," ")</f>
        <v xml:space="preserve"> </v>
      </c>
      <c r="I1763" s="240"/>
      <c r="J1763" s="241" t="s">
        <v>91</v>
      </c>
      <c r="K1763" s="242">
        <v>4532.44725069781</v>
      </c>
      <c r="L1763" s="242"/>
    </row>
    <row r="1764" spans="1:15" ht="11.25" customHeight="1" x14ac:dyDescent="0.2">
      <c r="A1764" s="243">
        <v>2022</v>
      </c>
      <c r="B1764" s="243">
        <v>10</v>
      </c>
      <c r="C1764" s="243">
        <v>6</v>
      </c>
      <c r="D1764" s="248">
        <f t="shared" si="192"/>
        <v>44840</v>
      </c>
      <c r="E1764" s="249">
        <f t="shared" si="194"/>
        <v>44840</v>
      </c>
      <c r="F1764" s="477"/>
      <c r="G1764" s="244" t="s">
        <v>86</v>
      </c>
      <c r="H1764" s="244" t="str" cm="1">
        <f t="array" ref="H1764">IFERROR(INDEX(INVESTOR_LIST[INVESTOR NAME],MATCH(I1764,INVESTOR_LIST[INVESTOR CODE],0),)," ")</f>
        <v xml:space="preserve"> </v>
      </c>
      <c r="I1764" s="245"/>
      <c r="J1764" s="246" t="s">
        <v>51</v>
      </c>
      <c r="K1764" s="247"/>
      <c r="L1764" s="247">
        <v>4532.44725069781</v>
      </c>
    </row>
    <row r="1765" spans="1:15" ht="11.25" customHeight="1" x14ac:dyDescent="0.2">
      <c r="A1765" s="221">
        <v>2022</v>
      </c>
      <c r="B1765" s="221">
        <v>10</v>
      </c>
      <c r="C1765" s="221">
        <v>10</v>
      </c>
      <c r="D1765" s="231">
        <f t="shared" si="192"/>
        <v>44844</v>
      </c>
      <c r="E1765" s="233">
        <f t="shared" si="194"/>
        <v>44844</v>
      </c>
      <c r="F1765" s="478" t="s">
        <v>1132</v>
      </c>
      <c r="G1765" s="222" t="s">
        <v>1111</v>
      </c>
      <c r="H1765" s="223" t="str" cm="1">
        <f t="array" ref="H1765">IFERROR(INDEX(INVESTOR_LIST[INVESTOR NAME],MATCH(I1765,INVESTOR_LIST[INVESTOR CODE],0),)," ")</f>
        <v xml:space="preserve"> </v>
      </c>
      <c r="I1765" s="223"/>
      <c r="J1765" s="224" t="s">
        <v>55</v>
      </c>
      <c r="K1765" s="225">
        <v>5000</v>
      </c>
      <c r="L1765" s="225"/>
    </row>
    <row r="1766" spans="1:15" ht="11.25" customHeight="1" x14ac:dyDescent="0.2">
      <c r="A1766" s="164">
        <v>2022</v>
      </c>
      <c r="B1766" s="164">
        <v>10</v>
      </c>
      <c r="C1766" s="164">
        <v>10</v>
      </c>
      <c r="D1766" s="156">
        <f t="shared" si="192"/>
        <v>44844</v>
      </c>
      <c r="E1766" s="235">
        <f t="shared" si="194"/>
        <v>44844</v>
      </c>
      <c r="F1766" s="480"/>
      <c r="G1766" s="208" t="s">
        <v>1111</v>
      </c>
      <c r="H1766" s="206" t="str" cm="1">
        <f t="array" ref="H1766">IFERROR(INDEX(INVESTOR_LIST[INVESTOR NAME],MATCH(I1766,INVESTOR_LIST[INVESTOR CODE],0),)," ")</f>
        <v xml:space="preserve"> </v>
      </c>
      <c r="J1766" s="165" t="s">
        <v>1112</v>
      </c>
      <c r="K1766" s="205">
        <v>50</v>
      </c>
      <c r="L1766" s="205"/>
      <c r="M1766" s="166"/>
    </row>
    <row r="1767" spans="1:15" ht="11.25" customHeight="1" x14ac:dyDescent="0.2">
      <c r="A1767" s="226">
        <v>2022</v>
      </c>
      <c r="B1767" s="226">
        <v>10</v>
      </c>
      <c r="C1767" s="226">
        <v>10</v>
      </c>
      <c r="D1767" s="232">
        <f t="shared" si="192"/>
        <v>44844</v>
      </c>
      <c r="E1767" s="234">
        <f t="shared" si="194"/>
        <v>44844</v>
      </c>
      <c r="F1767" s="479"/>
      <c r="G1767" s="227" t="s">
        <v>1111</v>
      </c>
      <c r="H1767" s="228" t="str" cm="1">
        <f t="array" ref="H1767">IFERROR(INDEX(INVESTOR_LIST[INVESTOR NAME],MATCH(I1767,INVESTOR_LIST[INVESTOR CODE],0),)," ")</f>
        <v xml:space="preserve"> </v>
      </c>
      <c r="I1767" s="228"/>
      <c r="J1767" s="229" t="s">
        <v>14</v>
      </c>
      <c r="K1767" s="230"/>
      <c r="L1767" s="230">
        <v>5050</v>
      </c>
    </row>
    <row r="1768" spans="1:15" ht="11.25" customHeight="1" x14ac:dyDescent="0.2">
      <c r="A1768" s="221">
        <v>2022</v>
      </c>
      <c r="B1768" s="221">
        <v>10</v>
      </c>
      <c r="C1768" s="221">
        <v>13</v>
      </c>
      <c r="D1768" s="221">
        <f t="shared" si="192"/>
        <v>44847</v>
      </c>
      <c r="E1768" s="233">
        <f t="shared" si="194"/>
        <v>44847</v>
      </c>
      <c r="F1768" s="478" t="s">
        <v>1314</v>
      </c>
      <c r="G1768" s="222" t="s">
        <v>1111</v>
      </c>
      <c r="H1768" s="222" t="str" cm="1">
        <f t="array" ref="H1768">IFERROR(INDEX(INVESTOR_LIST[INVESTOR NAME],MATCH(I1768,INVESTOR_LIST[INVESTOR CODE],0),)," ")</f>
        <v xml:space="preserve"> </v>
      </c>
      <c r="I1768" s="223"/>
      <c r="J1768" s="224" t="s">
        <v>80</v>
      </c>
      <c r="K1768" s="225">
        <v>70060</v>
      </c>
      <c r="L1768" s="225"/>
    </row>
    <row r="1769" spans="1:15" ht="11.25" customHeight="1" x14ac:dyDescent="0.2">
      <c r="A1769" s="164">
        <v>2022</v>
      </c>
      <c r="B1769" s="164">
        <v>10</v>
      </c>
      <c r="C1769" s="164">
        <v>13</v>
      </c>
      <c r="D1769" s="164">
        <f t="shared" si="192"/>
        <v>44847</v>
      </c>
      <c r="E1769" s="235">
        <f t="shared" si="194"/>
        <v>44847</v>
      </c>
      <c r="F1769" s="480"/>
      <c r="G1769" s="208" t="s">
        <v>1111</v>
      </c>
      <c r="H1769" s="208" t="str" cm="1">
        <f t="array" ref="H1769">IFERROR(INDEX(INVESTOR_LIST[INVESTOR NAME],MATCH(I1769,INVESTOR_LIST[INVESTOR CODE],0),)," ")</f>
        <v xml:space="preserve"> </v>
      </c>
      <c r="J1769" s="165" t="s">
        <v>55</v>
      </c>
      <c r="K1769" s="205">
        <v>567440</v>
      </c>
      <c r="L1769" s="205"/>
      <c r="M1769" s="166"/>
    </row>
    <row r="1770" spans="1:15" ht="11.25" customHeight="1" x14ac:dyDescent="0.2">
      <c r="A1770" s="226">
        <v>2022</v>
      </c>
      <c r="B1770" s="226">
        <v>10</v>
      </c>
      <c r="C1770" s="226">
        <v>13</v>
      </c>
      <c r="D1770" s="226">
        <f t="shared" si="192"/>
        <v>44847</v>
      </c>
      <c r="E1770" s="234">
        <f t="shared" si="194"/>
        <v>44847</v>
      </c>
      <c r="F1770" s="479"/>
      <c r="G1770" s="227" t="s">
        <v>1111</v>
      </c>
      <c r="H1770" s="228" t="str" cm="1">
        <f t="array" ref="H1770">IFERROR(INDEX(INVESTOR_LIST[INVESTOR NAME],MATCH(I1770,INVESTOR_LIST[INVESTOR CODE],0),)," ")</f>
        <v xml:space="preserve"> </v>
      </c>
      <c r="I1770" s="228"/>
      <c r="J1770" s="229" t="s">
        <v>196</v>
      </c>
      <c r="K1770" s="230"/>
      <c r="L1770" s="230">
        <v>637500</v>
      </c>
    </row>
    <row r="1771" spans="1:15" ht="11.25" customHeight="1" x14ac:dyDescent="0.2">
      <c r="A1771" s="221">
        <v>2022</v>
      </c>
      <c r="B1771" s="221">
        <v>10</v>
      </c>
      <c r="C1771" s="221">
        <v>13</v>
      </c>
      <c r="D1771" s="231">
        <f t="shared" si="192"/>
        <v>44847</v>
      </c>
      <c r="E1771" s="233">
        <f>DATE(A1771,B1771,C1771)</f>
        <v>44847</v>
      </c>
      <c r="F1771" s="478" t="s">
        <v>1178</v>
      </c>
      <c r="G1771" s="222" t="s">
        <v>1111</v>
      </c>
      <c r="H1771" s="223" t="str" cm="1">
        <f t="array" ref="H1771">IFERROR(INDEX(INVESTOR_LIST[INVESTOR NAME],MATCH(I1771,INVESTOR_LIST[INVESTOR CODE],0),)," ")</f>
        <v xml:space="preserve"> </v>
      </c>
      <c r="I1771" s="223"/>
      <c r="J1771" s="224" t="s">
        <v>189</v>
      </c>
      <c r="K1771" s="225">
        <v>9000</v>
      </c>
      <c r="L1771" s="225"/>
      <c r="O1771" s="166"/>
    </row>
    <row r="1772" spans="1:15" ht="11.25" customHeight="1" x14ac:dyDescent="0.2">
      <c r="A1772" s="226">
        <v>2022</v>
      </c>
      <c r="B1772" s="226">
        <v>10</v>
      </c>
      <c r="C1772" s="226">
        <v>13</v>
      </c>
      <c r="D1772" s="232">
        <f t="shared" si="192"/>
        <v>44847</v>
      </c>
      <c r="E1772" s="234">
        <f>DATE(A1772,B1772,C1772)</f>
        <v>44847</v>
      </c>
      <c r="F1772" s="479"/>
      <c r="G1772" s="227" t="s">
        <v>1111</v>
      </c>
      <c r="H1772" s="228" t="str" cm="1">
        <f t="array" ref="H1772">IFERROR(INDEX(INVESTOR_LIST[INVESTOR NAME],MATCH(I1772,INVESTOR_LIST[INVESTOR CODE],0),)," ")</f>
        <v xml:space="preserve"> </v>
      </c>
      <c r="I1772" s="228"/>
      <c r="J1772" s="229" t="s">
        <v>55</v>
      </c>
      <c r="K1772" s="230"/>
      <c r="L1772" s="230">
        <v>9000</v>
      </c>
    </row>
    <row r="1773" spans="1:15" ht="11.25" customHeight="1" x14ac:dyDescent="0.2">
      <c r="A1773" s="221">
        <v>2022</v>
      </c>
      <c r="B1773" s="221">
        <v>10</v>
      </c>
      <c r="C1773" s="221">
        <v>13</v>
      </c>
      <c r="D1773" s="221">
        <f t="shared" si="192"/>
        <v>44847</v>
      </c>
      <c r="E1773" s="233">
        <f t="shared" ref="E1773:E1792" si="195">DATE(A1773,B1773,C1773)</f>
        <v>44847</v>
      </c>
      <c r="F1773" s="478" t="s">
        <v>1301</v>
      </c>
      <c r="G1773" s="222" t="s">
        <v>86</v>
      </c>
      <c r="H1773" s="222" t="str" cm="1">
        <f t="array" ref="H1773">IFERROR(INDEX(INVESTOR_LIST[INVESTOR NAME],MATCH(I1773,INVESTOR_LIST[INVESTOR CODE],0),)," ")</f>
        <v xml:space="preserve"> </v>
      </c>
      <c r="I1773" s="223"/>
      <c r="J1773" s="165" t="s">
        <v>199</v>
      </c>
      <c r="K1773" s="225">
        <v>221859.93</v>
      </c>
      <c r="L1773" s="225"/>
    </row>
    <row r="1774" spans="1:15" ht="11.25" customHeight="1" x14ac:dyDescent="0.2">
      <c r="A1774" s="164">
        <v>2022</v>
      </c>
      <c r="B1774" s="164">
        <v>10</v>
      </c>
      <c r="C1774" s="164">
        <v>13</v>
      </c>
      <c r="D1774" s="164">
        <f t="shared" si="192"/>
        <v>44847</v>
      </c>
      <c r="E1774" s="235">
        <f t="shared" si="195"/>
        <v>44847</v>
      </c>
      <c r="F1774" s="480"/>
      <c r="G1774" s="208" t="s">
        <v>86</v>
      </c>
      <c r="H1774" s="208"/>
      <c r="J1774" s="165" t="s">
        <v>960</v>
      </c>
      <c r="K1774" s="205">
        <v>400.07</v>
      </c>
      <c r="L1774" s="205"/>
    </row>
    <row r="1775" spans="1:15" ht="11.25" customHeight="1" x14ac:dyDescent="0.2">
      <c r="A1775" s="164">
        <v>2022</v>
      </c>
      <c r="B1775" s="164">
        <v>10</v>
      </c>
      <c r="C1775" s="164">
        <v>13</v>
      </c>
      <c r="D1775" s="164">
        <f t="shared" si="192"/>
        <v>44847</v>
      </c>
      <c r="E1775" s="235">
        <f t="shared" si="195"/>
        <v>44847</v>
      </c>
      <c r="F1775" s="480"/>
      <c r="G1775" s="208" t="s">
        <v>86</v>
      </c>
      <c r="H1775" s="208"/>
      <c r="J1775" s="165" t="s">
        <v>200</v>
      </c>
      <c r="K1775" s="205">
        <v>1855.46</v>
      </c>
      <c r="L1775" s="205"/>
    </row>
    <row r="1776" spans="1:15" ht="11.25" customHeight="1" x14ac:dyDescent="0.2">
      <c r="A1776" s="226">
        <v>2022</v>
      </c>
      <c r="B1776" s="226">
        <v>10</v>
      </c>
      <c r="C1776" s="226">
        <v>13</v>
      </c>
      <c r="D1776" s="226">
        <f t="shared" si="192"/>
        <v>44847</v>
      </c>
      <c r="E1776" s="234">
        <f t="shared" si="195"/>
        <v>44847</v>
      </c>
      <c r="F1776" s="479"/>
      <c r="G1776" s="227" t="s">
        <v>86</v>
      </c>
      <c r="H1776" s="228" t="str" cm="1">
        <f t="array" ref="H1776">IFERROR(INDEX(INVESTOR_LIST[INVESTOR NAME],MATCH(I1776,INVESTOR_LIST[INVESTOR CODE],0),)," ")</f>
        <v xml:space="preserve"> </v>
      </c>
      <c r="I1776" s="228"/>
      <c r="J1776" s="229" t="s">
        <v>80</v>
      </c>
      <c r="K1776" s="230"/>
      <c r="L1776" s="230">
        <v>224115.46</v>
      </c>
    </row>
    <row r="1777" spans="1:12" ht="11.25" customHeight="1" x14ac:dyDescent="0.2">
      <c r="A1777" s="280">
        <v>2022</v>
      </c>
      <c r="B1777" s="280">
        <v>10</v>
      </c>
      <c r="C1777" s="280">
        <v>13</v>
      </c>
      <c r="D1777" s="281">
        <f t="shared" si="192"/>
        <v>44847</v>
      </c>
      <c r="E1777" s="282">
        <f t="shared" si="195"/>
        <v>44847</v>
      </c>
      <c r="F1777" s="472" t="s">
        <v>1294</v>
      </c>
      <c r="G1777" s="283" t="s">
        <v>86</v>
      </c>
      <c r="H1777" s="284" t="str" cm="1">
        <f t="array" ref="H1777">IFERROR(INDEX(INVESTOR_LIST[INVESTOR NAME],MATCH(I1777,INVESTOR_LIST[INVESTOR CODE],0),)," ")</f>
        <v xml:space="preserve"> </v>
      </c>
      <c r="I1777" s="284"/>
      <c r="J1777" s="285" t="s">
        <v>131</v>
      </c>
      <c r="K1777" s="286">
        <v>7031.25</v>
      </c>
      <c r="L1777" s="286"/>
    </row>
    <row r="1778" spans="1:12" ht="11.25" customHeight="1" x14ac:dyDescent="0.2">
      <c r="A1778" s="287">
        <v>2022</v>
      </c>
      <c r="B1778" s="287">
        <v>10</v>
      </c>
      <c r="C1778" s="287">
        <v>13</v>
      </c>
      <c r="D1778" s="288">
        <f t="shared" si="192"/>
        <v>44847</v>
      </c>
      <c r="E1778" s="289">
        <f t="shared" si="195"/>
        <v>44847</v>
      </c>
      <c r="F1778" s="473"/>
      <c r="G1778" s="290" t="s">
        <v>86</v>
      </c>
      <c r="H1778" s="291" t="str" cm="1">
        <f t="array" ref="H1778">IFERROR(INDEX(INVESTOR_LIST[INVESTOR NAME],MATCH(I1778,INVESTOR_LIST[INVESTOR CODE],0),)," ")</f>
        <v xml:space="preserve"> </v>
      </c>
      <c r="I1778" s="291"/>
      <c r="J1778" s="292" t="s">
        <v>174</v>
      </c>
      <c r="K1778" s="293"/>
      <c r="L1778" s="293">
        <v>7031.25</v>
      </c>
    </row>
    <row r="1779" spans="1:12" ht="11.25" customHeight="1" x14ac:dyDescent="0.2">
      <c r="A1779" s="280">
        <v>2022</v>
      </c>
      <c r="B1779" s="280">
        <v>10</v>
      </c>
      <c r="C1779" s="280">
        <v>13</v>
      </c>
      <c r="D1779" s="281">
        <f t="shared" si="192"/>
        <v>44847</v>
      </c>
      <c r="E1779" s="282">
        <f t="shared" si="195"/>
        <v>44847</v>
      </c>
      <c r="F1779" s="472" t="s">
        <v>1295</v>
      </c>
      <c r="G1779" s="283" t="s">
        <v>86</v>
      </c>
      <c r="H1779" s="284" t="str" cm="1">
        <f t="array" ref="H1779">IFERROR(INDEX(INVESTOR_LIST[INVESTOR NAME],MATCH(I1779,INVESTOR_LIST[INVESTOR CODE],0),)," ")</f>
        <v xml:space="preserve"> </v>
      </c>
      <c r="I1779" s="284"/>
      <c r="J1779" s="285" t="s">
        <v>131</v>
      </c>
      <c r="K1779" s="286">
        <v>51041.67</v>
      </c>
      <c r="L1779" s="286"/>
    </row>
    <row r="1780" spans="1:12" ht="11.25" customHeight="1" x14ac:dyDescent="0.2">
      <c r="A1780" s="287">
        <v>2022</v>
      </c>
      <c r="B1780" s="287">
        <v>10</v>
      </c>
      <c r="C1780" s="287">
        <v>13</v>
      </c>
      <c r="D1780" s="288">
        <f t="shared" si="192"/>
        <v>44847</v>
      </c>
      <c r="E1780" s="289">
        <f t="shared" si="195"/>
        <v>44847</v>
      </c>
      <c r="F1780" s="473"/>
      <c r="G1780" s="290" t="s">
        <v>86</v>
      </c>
      <c r="H1780" s="291" t="str" cm="1">
        <f t="array" ref="H1780">IFERROR(INDEX(INVESTOR_LIST[INVESTOR NAME],MATCH(I1780,INVESTOR_LIST[INVESTOR CODE],0),)," ")</f>
        <v xml:space="preserve"> </v>
      </c>
      <c r="I1780" s="291"/>
      <c r="J1780" s="292" t="s">
        <v>174</v>
      </c>
      <c r="K1780" s="293"/>
      <c r="L1780" s="293">
        <v>51041.67</v>
      </c>
    </row>
    <row r="1781" spans="1:12" ht="11.25" customHeight="1" x14ac:dyDescent="0.2">
      <c r="A1781" s="280">
        <v>2022</v>
      </c>
      <c r="B1781" s="280">
        <v>10</v>
      </c>
      <c r="C1781" s="280">
        <v>13</v>
      </c>
      <c r="D1781" s="281">
        <f t="shared" si="192"/>
        <v>44847</v>
      </c>
      <c r="E1781" s="282">
        <f t="shared" si="195"/>
        <v>44847</v>
      </c>
      <c r="F1781" s="472" t="s">
        <v>1296</v>
      </c>
      <c r="G1781" s="283" t="s">
        <v>86</v>
      </c>
      <c r="H1781" s="284" t="str" cm="1">
        <f t="array" ref="H1781">IFERROR(INDEX(INVESTOR_LIST[INVESTOR NAME],MATCH(I1781,INVESTOR_LIST[INVESTOR CODE],0),)," ")</f>
        <v xml:space="preserve"> </v>
      </c>
      <c r="I1781" s="284"/>
      <c r="J1781" s="285" t="s">
        <v>131</v>
      </c>
      <c r="K1781" s="286">
        <v>112965.44</v>
      </c>
      <c r="L1781" s="286"/>
    </row>
    <row r="1782" spans="1:12" ht="11.25" customHeight="1" x14ac:dyDescent="0.2">
      <c r="A1782" s="287">
        <v>2022</v>
      </c>
      <c r="B1782" s="287">
        <v>10</v>
      </c>
      <c r="C1782" s="287">
        <v>13</v>
      </c>
      <c r="D1782" s="288">
        <f t="shared" si="192"/>
        <v>44847</v>
      </c>
      <c r="E1782" s="289">
        <f t="shared" si="195"/>
        <v>44847</v>
      </c>
      <c r="F1782" s="473"/>
      <c r="G1782" s="290" t="s">
        <v>86</v>
      </c>
      <c r="H1782" s="291" t="str" cm="1">
        <f t="array" ref="H1782">IFERROR(INDEX(INVESTOR_LIST[INVESTOR NAME],MATCH(I1782,INVESTOR_LIST[INVESTOR CODE],0),)," ")</f>
        <v xml:space="preserve"> </v>
      </c>
      <c r="I1782" s="291"/>
      <c r="J1782" s="292" t="s">
        <v>174</v>
      </c>
      <c r="K1782" s="293"/>
      <c r="L1782" s="293">
        <v>112965.44</v>
      </c>
    </row>
    <row r="1783" spans="1:12" ht="11.25" customHeight="1" x14ac:dyDescent="0.2">
      <c r="A1783" s="236">
        <v>2022</v>
      </c>
      <c r="B1783" s="236">
        <v>10</v>
      </c>
      <c r="C1783" s="236">
        <v>13</v>
      </c>
      <c r="D1783" s="237">
        <f t="shared" si="192"/>
        <v>44847</v>
      </c>
      <c r="E1783" s="238">
        <f t="shared" si="195"/>
        <v>44847</v>
      </c>
      <c r="F1783" s="476" t="s">
        <v>1118</v>
      </c>
      <c r="G1783" s="239" t="s">
        <v>86</v>
      </c>
      <c r="H1783" s="239" t="str" cm="1">
        <f t="array" ref="H1783">IFERROR(INDEX(INVESTOR_LIST[INVESTOR NAME],MATCH(I1783,INVESTOR_LIST[INVESTOR CODE],0),)," ")</f>
        <v xml:space="preserve"> </v>
      </c>
      <c r="I1783" s="240"/>
      <c r="J1783" s="241" t="s">
        <v>82</v>
      </c>
      <c r="K1783" s="242">
        <v>48179.540000006557</v>
      </c>
      <c r="L1783" s="242"/>
    </row>
    <row r="1784" spans="1:12" ht="11.25" customHeight="1" x14ac:dyDescent="0.2">
      <c r="A1784" s="243">
        <v>2022</v>
      </c>
      <c r="B1784" s="243">
        <v>10</v>
      </c>
      <c r="C1784" s="243">
        <v>13</v>
      </c>
      <c r="D1784" s="248">
        <f t="shared" si="192"/>
        <v>44847</v>
      </c>
      <c r="E1784" s="249">
        <f t="shared" si="195"/>
        <v>44847</v>
      </c>
      <c r="F1784" s="477"/>
      <c r="G1784" s="244" t="s">
        <v>86</v>
      </c>
      <c r="H1784" s="244" t="str" cm="1">
        <f t="array" ref="H1784">IFERROR(INDEX(INVESTOR_LIST[INVESTOR NAME],MATCH(I1784,INVESTOR_LIST[INVESTOR CODE],0),)," ")</f>
        <v xml:space="preserve"> </v>
      </c>
      <c r="I1784" s="245"/>
      <c r="J1784" s="246" t="s">
        <v>98</v>
      </c>
      <c r="K1784" s="247"/>
      <c r="L1784" s="247">
        <v>48179.540000006557</v>
      </c>
    </row>
    <row r="1785" spans="1:12" ht="11.25" customHeight="1" x14ac:dyDescent="0.2">
      <c r="A1785" s="236">
        <v>2022</v>
      </c>
      <c r="B1785" s="236">
        <v>10</v>
      </c>
      <c r="C1785" s="236">
        <v>13</v>
      </c>
      <c r="D1785" s="237">
        <f t="shared" si="192"/>
        <v>44847</v>
      </c>
      <c r="E1785" s="238">
        <f t="shared" si="195"/>
        <v>44847</v>
      </c>
      <c r="F1785" s="476" t="s">
        <v>1120</v>
      </c>
      <c r="G1785" s="239" t="s">
        <v>86</v>
      </c>
      <c r="H1785" s="239" t="str" cm="1">
        <f t="array" ref="H1785">IFERROR(INDEX(INVESTOR_LIST[INVESTOR NAME],MATCH(I1785,INVESTOR_LIST[INVESTOR CODE],0),)," ")</f>
        <v xml:space="preserve"> </v>
      </c>
      <c r="I1785" s="240"/>
      <c r="J1785" s="241" t="s">
        <v>87</v>
      </c>
      <c r="K1785" s="242">
        <v>2747.2527472527472</v>
      </c>
      <c r="L1785" s="242"/>
    </row>
    <row r="1786" spans="1:12" ht="11.25" customHeight="1" x14ac:dyDescent="0.2">
      <c r="A1786" s="243">
        <v>2022</v>
      </c>
      <c r="B1786" s="243">
        <v>10</v>
      </c>
      <c r="C1786" s="243">
        <v>13</v>
      </c>
      <c r="D1786" s="248">
        <f t="shared" si="192"/>
        <v>44847</v>
      </c>
      <c r="E1786" s="249">
        <f t="shared" si="195"/>
        <v>44847</v>
      </c>
      <c r="F1786" s="477"/>
      <c r="G1786" s="244" t="s">
        <v>86</v>
      </c>
      <c r="H1786" s="244" t="str" cm="1">
        <f t="array" ref="H1786">IFERROR(INDEX(INVESTOR_LIST[INVESTOR NAME],MATCH(I1786,INVESTOR_LIST[INVESTOR CODE],0),)," ")</f>
        <v xml:space="preserve"> </v>
      </c>
      <c r="I1786" s="245"/>
      <c r="J1786" s="246" t="s">
        <v>64</v>
      </c>
      <c r="K1786" s="247"/>
      <c r="L1786" s="247">
        <v>2747.2527472527472</v>
      </c>
    </row>
    <row r="1787" spans="1:12" ht="11.25" customHeight="1" x14ac:dyDescent="0.2">
      <c r="A1787" s="236">
        <v>2022</v>
      </c>
      <c r="B1787" s="236">
        <v>10</v>
      </c>
      <c r="C1787" s="236">
        <v>13</v>
      </c>
      <c r="D1787" s="237">
        <f t="shared" si="192"/>
        <v>44847</v>
      </c>
      <c r="E1787" s="238">
        <f t="shared" si="195"/>
        <v>44847</v>
      </c>
      <c r="F1787" s="476" t="s">
        <v>1121</v>
      </c>
      <c r="G1787" s="239" t="s">
        <v>86</v>
      </c>
      <c r="H1787" s="239" t="str" cm="1">
        <f t="array" ref="H1787">IFERROR(INDEX(INVESTOR_LIST[INVESTOR NAME],MATCH(I1787,INVESTOR_LIST[INVESTOR CODE],0),)," ")</f>
        <v xml:space="preserve"> </v>
      </c>
      <c r="I1787" s="240"/>
      <c r="J1787" s="241" t="s">
        <v>89</v>
      </c>
      <c r="K1787" s="242">
        <v>95429.803067311717</v>
      </c>
      <c r="L1787" s="242"/>
    </row>
    <row r="1788" spans="1:12" ht="11.25" customHeight="1" x14ac:dyDescent="0.2">
      <c r="A1788" s="243">
        <v>2022</v>
      </c>
      <c r="B1788" s="243">
        <v>10</v>
      </c>
      <c r="C1788" s="243">
        <v>13</v>
      </c>
      <c r="D1788" s="248">
        <f t="shared" si="192"/>
        <v>44847</v>
      </c>
      <c r="E1788" s="249">
        <f t="shared" si="195"/>
        <v>44847</v>
      </c>
      <c r="F1788" s="477"/>
      <c r="G1788" s="244" t="s">
        <v>86</v>
      </c>
      <c r="H1788" s="244" t="str" cm="1">
        <f t="array" ref="H1788">IFERROR(INDEX(INVESTOR_LIST[INVESTOR NAME],MATCH(I1788,INVESTOR_LIST[INVESTOR CODE],0),)," ")</f>
        <v xml:space="preserve"> </v>
      </c>
      <c r="I1788" s="245"/>
      <c r="J1788" s="246" t="s">
        <v>50</v>
      </c>
      <c r="K1788" s="247"/>
      <c r="L1788" s="247">
        <v>95429.803067311717</v>
      </c>
    </row>
    <row r="1789" spans="1:12" ht="11.25" customHeight="1" x14ac:dyDescent="0.2">
      <c r="A1789" s="236">
        <v>2022</v>
      </c>
      <c r="B1789" s="236">
        <v>10</v>
      </c>
      <c r="C1789" s="236">
        <v>13</v>
      </c>
      <c r="D1789" s="237">
        <f t="shared" si="192"/>
        <v>44847</v>
      </c>
      <c r="E1789" s="238">
        <f t="shared" si="195"/>
        <v>44847</v>
      </c>
      <c r="F1789" s="476" t="s">
        <v>1122</v>
      </c>
      <c r="G1789" s="239" t="s">
        <v>86</v>
      </c>
      <c r="H1789" s="239" t="str" cm="1">
        <f t="array" ref="H1789">IFERROR(INDEX(INVESTOR_LIST[INVESTOR NAME],MATCH(I1789,INVESTOR_LIST[INVESTOR CODE],0),)," ")</f>
        <v xml:space="preserve"> </v>
      </c>
      <c r="I1789" s="240"/>
      <c r="J1789" s="241" t="s">
        <v>91</v>
      </c>
      <c r="K1789" s="242">
        <v>4531.1055379809704</v>
      </c>
      <c r="L1789" s="242"/>
    </row>
    <row r="1790" spans="1:12" ht="11.25" customHeight="1" x14ac:dyDescent="0.2">
      <c r="A1790" s="243">
        <v>2022</v>
      </c>
      <c r="B1790" s="243">
        <v>10</v>
      </c>
      <c r="C1790" s="243">
        <v>13</v>
      </c>
      <c r="D1790" s="248">
        <f t="shared" si="192"/>
        <v>44847</v>
      </c>
      <c r="E1790" s="249">
        <f t="shared" si="195"/>
        <v>44847</v>
      </c>
      <c r="F1790" s="477"/>
      <c r="G1790" s="244" t="s">
        <v>86</v>
      </c>
      <c r="H1790" s="244" t="str" cm="1">
        <f t="array" ref="H1790">IFERROR(INDEX(INVESTOR_LIST[INVESTOR NAME],MATCH(I1790,INVESTOR_LIST[INVESTOR CODE],0),)," ")</f>
        <v xml:space="preserve"> </v>
      </c>
      <c r="I1790" s="245"/>
      <c r="J1790" s="246" t="s">
        <v>51</v>
      </c>
      <c r="K1790" s="247"/>
      <c r="L1790" s="247">
        <v>4531.1055379809704</v>
      </c>
    </row>
    <row r="1791" spans="1:12" ht="11.25" customHeight="1" x14ac:dyDescent="0.2">
      <c r="A1791" s="221">
        <v>2022</v>
      </c>
      <c r="B1791" s="221">
        <v>10</v>
      </c>
      <c r="C1791" s="221">
        <v>16</v>
      </c>
      <c r="D1791" s="231">
        <f t="shared" si="192"/>
        <v>44850</v>
      </c>
      <c r="E1791" s="233">
        <f t="shared" si="195"/>
        <v>44850</v>
      </c>
      <c r="F1791" s="478" t="s">
        <v>1315</v>
      </c>
      <c r="G1791" s="222" t="s">
        <v>1111</v>
      </c>
      <c r="H1791" s="223" t="str" cm="1">
        <f t="array" ref="H1791">IFERROR(INDEX(INVESTOR_LIST[INVESTOR NAME],MATCH(I1791,INVESTOR_LIST[INVESTOR CODE],0),)," ")</f>
        <v xml:space="preserve"> </v>
      </c>
      <c r="I1791" s="223"/>
      <c r="J1791" s="224" t="s">
        <v>189</v>
      </c>
      <c r="K1791" s="225">
        <v>1575</v>
      </c>
      <c r="L1791" s="225"/>
    </row>
    <row r="1792" spans="1:12" ht="11.25" customHeight="1" x14ac:dyDescent="0.2">
      <c r="A1792" s="226">
        <v>2022</v>
      </c>
      <c r="B1792" s="226">
        <v>10</v>
      </c>
      <c r="C1792" s="226">
        <v>16</v>
      </c>
      <c r="D1792" s="232">
        <f t="shared" si="192"/>
        <v>44850</v>
      </c>
      <c r="E1792" s="234">
        <f t="shared" si="195"/>
        <v>44850</v>
      </c>
      <c r="F1792" s="479"/>
      <c r="G1792" s="227" t="s">
        <v>1111</v>
      </c>
      <c r="H1792" s="228" t="str" cm="1">
        <f t="array" ref="H1792">IFERROR(INDEX(INVESTOR_LIST[INVESTOR NAME],MATCH(I1792,INVESTOR_LIST[INVESTOR CODE],0),)," ")</f>
        <v xml:space="preserve"> </v>
      </c>
      <c r="I1792" s="228"/>
      <c r="J1792" s="229" t="s">
        <v>55</v>
      </c>
      <c r="K1792" s="230"/>
      <c r="L1792" s="230">
        <v>1575</v>
      </c>
    </row>
    <row r="1793" spans="1:12" ht="11.25" customHeight="1" x14ac:dyDescent="0.2">
      <c r="A1793" s="221">
        <v>2022</v>
      </c>
      <c r="B1793" s="221">
        <v>10</v>
      </c>
      <c r="C1793" s="221">
        <v>16</v>
      </c>
      <c r="D1793" s="221">
        <f t="shared" si="192"/>
        <v>44850</v>
      </c>
      <c r="E1793" s="233">
        <f t="shared" ref="E1793:E1796" si="196">DATE(A1793,B1793,C1793)</f>
        <v>44850</v>
      </c>
      <c r="F1793" s="478" t="s">
        <v>1301</v>
      </c>
      <c r="G1793" s="222" t="s">
        <v>86</v>
      </c>
      <c r="H1793" s="222" t="str" cm="1">
        <f t="array" ref="H1793">IFERROR(INDEX(INVESTOR_LIST[INVESTOR NAME],MATCH(I1793,INVESTOR_LIST[INVESTOR CODE],0),)," ")</f>
        <v xml:space="preserve"> </v>
      </c>
      <c r="I1793" s="223"/>
      <c r="J1793" s="165" t="s">
        <v>199</v>
      </c>
      <c r="K1793" s="225">
        <v>101981.1</v>
      </c>
      <c r="L1793" s="225"/>
    </row>
    <row r="1794" spans="1:12" ht="11.25" customHeight="1" x14ac:dyDescent="0.2">
      <c r="A1794" s="164">
        <v>2022</v>
      </c>
      <c r="B1794" s="164">
        <v>10</v>
      </c>
      <c r="C1794" s="164">
        <v>16</v>
      </c>
      <c r="D1794" s="164">
        <f t="shared" si="192"/>
        <v>44850</v>
      </c>
      <c r="E1794" s="235">
        <f t="shared" si="196"/>
        <v>44850</v>
      </c>
      <c r="F1794" s="480"/>
      <c r="G1794" s="208" t="s">
        <v>86</v>
      </c>
      <c r="H1794" s="208"/>
      <c r="J1794" s="165" t="s">
        <v>960</v>
      </c>
      <c r="K1794" s="205">
        <v>183.9</v>
      </c>
      <c r="L1794" s="205"/>
    </row>
    <row r="1795" spans="1:12" ht="11.25" customHeight="1" x14ac:dyDescent="0.2">
      <c r="A1795" s="164">
        <v>2022</v>
      </c>
      <c r="B1795" s="164">
        <v>10</v>
      </c>
      <c r="C1795" s="164">
        <v>16</v>
      </c>
      <c r="D1795" s="164">
        <f t="shared" si="192"/>
        <v>44850</v>
      </c>
      <c r="E1795" s="235">
        <f t="shared" si="196"/>
        <v>44850</v>
      </c>
      <c r="F1795" s="480"/>
      <c r="G1795" s="208" t="s">
        <v>86</v>
      </c>
      <c r="H1795" s="208"/>
      <c r="J1795" s="165" t="s">
        <v>200</v>
      </c>
      <c r="K1795" s="205">
        <v>2289.0300000000002</v>
      </c>
      <c r="L1795" s="205"/>
    </row>
    <row r="1796" spans="1:12" ht="11.25" customHeight="1" x14ac:dyDescent="0.2">
      <c r="A1796" s="226">
        <v>2022</v>
      </c>
      <c r="B1796" s="226">
        <v>10</v>
      </c>
      <c r="C1796" s="226">
        <v>16</v>
      </c>
      <c r="D1796" s="226">
        <f t="shared" si="192"/>
        <v>44850</v>
      </c>
      <c r="E1796" s="234">
        <f t="shared" si="196"/>
        <v>44850</v>
      </c>
      <c r="F1796" s="479"/>
      <c r="G1796" s="227" t="s">
        <v>86</v>
      </c>
      <c r="H1796" s="228" t="str" cm="1">
        <f t="array" ref="H1796">IFERROR(INDEX(INVESTOR_LIST[INVESTOR NAME],MATCH(I1796,INVESTOR_LIST[INVESTOR CODE],0),)," ")</f>
        <v xml:space="preserve"> </v>
      </c>
      <c r="I1796" s="228"/>
      <c r="J1796" s="229" t="s">
        <v>80</v>
      </c>
      <c r="K1796" s="230"/>
      <c r="L1796" s="230">
        <v>104454.03</v>
      </c>
    </row>
    <row r="1797" spans="1:12" ht="11.25" customHeight="1" x14ac:dyDescent="0.2">
      <c r="A1797" s="221">
        <v>2022</v>
      </c>
      <c r="B1797" s="221">
        <v>10</v>
      </c>
      <c r="C1797" s="221">
        <v>17</v>
      </c>
      <c r="D1797" s="221">
        <f t="shared" si="192"/>
        <v>44851</v>
      </c>
      <c r="E1797" s="233">
        <f t="shared" ref="E1797:E1800" si="197">DATE(A1797,B1797,C1797)</f>
        <v>44851</v>
      </c>
      <c r="F1797" s="478" t="s">
        <v>1301</v>
      </c>
      <c r="G1797" s="222" t="s">
        <v>86</v>
      </c>
      <c r="H1797" s="222" t="str" cm="1">
        <f t="array" ref="H1797">IFERROR(INDEX(INVESTOR_LIST[INVESTOR NAME],MATCH(I1797,INVESTOR_LIST[INVESTOR CODE],0),)," ")</f>
        <v xml:space="preserve"> </v>
      </c>
      <c r="I1797" s="223"/>
      <c r="J1797" s="165" t="s">
        <v>199</v>
      </c>
      <c r="K1797" s="225">
        <v>6701784.2400000002</v>
      </c>
      <c r="L1797" s="225"/>
    </row>
    <row r="1798" spans="1:12" ht="11.25" customHeight="1" x14ac:dyDescent="0.2">
      <c r="A1798" s="164">
        <v>2022</v>
      </c>
      <c r="B1798" s="164">
        <v>10</v>
      </c>
      <c r="C1798" s="164">
        <v>17</v>
      </c>
      <c r="D1798" s="164">
        <f t="shared" si="192"/>
        <v>44851</v>
      </c>
      <c r="E1798" s="235">
        <f t="shared" si="197"/>
        <v>44851</v>
      </c>
      <c r="F1798" s="480"/>
      <c r="G1798" s="208" t="s">
        <v>86</v>
      </c>
      <c r="H1798" s="208"/>
      <c r="J1798" s="165" t="s">
        <v>960</v>
      </c>
      <c r="K1798" s="205">
        <v>12084.96</v>
      </c>
      <c r="L1798" s="205"/>
    </row>
    <row r="1799" spans="1:12" ht="11.25" customHeight="1" x14ac:dyDescent="0.2">
      <c r="A1799" s="164">
        <v>2022</v>
      </c>
      <c r="B1799" s="164">
        <v>10</v>
      </c>
      <c r="C1799" s="164">
        <v>17</v>
      </c>
      <c r="D1799" s="164">
        <f t="shared" si="192"/>
        <v>44851</v>
      </c>
      <c r="E1799" s="235">
        <f t="shared" si="197"/>
        <v>44851</v>
      </c>
      <c r="F1799" s="480"/>
      <c r="G1799" s="208" t="s">
        <v>86</v>
      </c>
      <c r="H1799" s="208"/>
      <c r="J1799" s="165" t="s">
        <v>200</v>
      </c>
      <c r="K1799" s="205">
        <v>239784.64</v>
      </c>
      <c r="L1799" s="205"/>
    </row>
    <row r="1800" spans="1:12" ht="11.25" customHeight="1" x14ac:dyDescent="0.2">
      <c r="A1800" s="226">
        <v>2022</v>
      </c>
      <c r="B1800" s="226">
        <v>10</v>
      </c>
      <c r="C1800" s="226">
        <v>17</v>
      </c>
      <c r="D1800" s="226">
        <f t="shared" si="192"/>
        <v>44851</v>
      </c>
      <c r="E1800" s="234">
        <f t="shared" si="197"/>
        <v>44851</v>
      </c>
      <c r="F1800" s="479"/>
      <c r="G1800" s="227" t="s">
        <v>86</v>
      </c>
      <c r="H1800" s="228" t="str" cm="1">
        <f t="array" ref="H1800">IFERROR(INDEX(INVESTOR_LIST[INVESTOR NAME],MATCH(I1800,INVESTOR_LIST[INVESTOR CODE],0),)," ")</f>
        <v xml:space="preserve"> </v>
      </c>
      <c r="I1800" s="228"/>
      <c r="J1800" s="229" t="s">
        <v>80</v>
      </c>
      <c r="K1800" s="230"/>
      <c r="L1800" s="230">
        <v>6953653.8399999999</v>
      </c>
    </row>
    <row r="1801" spans="1:12" ht="11.25" customHeight="1" x14ac:dyDescent="0.2">
      <c r="A1801" s="221">
        <v>2022</v>
      </c>
      <c r="B1801" s="221">
        <v>10</v>
      </c>
      <c r="C1801" s="221">
        <v>18</v>
      </c>
      <c r="D1801" s="231">
        <f t="shared" ref="D1801:D1864" si="198">DATE(A1801,B1801,C1801)</f>
        <v>44852</v>
      </c>
      <c r="E1801" s="233">
        <f>DATE(A1801,B1801,C1801)</f>
        <v>44852</v>
      </c>
      <c r="F1801" s="478" t="s">
        <v>1303</v>
      </c>
      <c r="G1801" s="222" t="s">
        <v>1111</v>
      </c>
      <c r="H1801" s="223" t="str" cm="1">
        <f t="array" ref="H1801">IFERROR(INDEX(INVESTOR_LIST[INVESTOR NAME],MATCH(I1801,INVESTOR_LIST[INVESTOR CODE],0),)," ")</f>
        <v xml:space="preserve"> </v>
      </c>
      <c r="I1801" s="223"/>
      <c r="J1801" s="224" t="s">
        <v>55</v>
      </c>
      <c r="K1801" s="225">
        <v>221859.93</v>
      </c>
      <c r="L1801" s="225"/>
    </row>
    <row r="1802" spans="1:12" ht="11.25" customHeight="1" x14ac:dyDescent="0.2">
      <c r="A1802" s="226">
        <v>2022</v>
      </c>
      <c r="B1802" s="226">
        <v>10</v>
      </c>
      <c r="C1802" s="226">
        <v>18</v>
      </c>
      <c r="D1802" s="232">
        <f t="shared" si="198"/>
        <v>44852</v>
      </c>
      <c r="E1802" s="234">
        <f>DATE(A1802,B1802,C1802)</f>
        <v>44852</v>
      </c>
      <c r="F1802" s="479"/>
      <c r="G1802" s="227" t="s">
        <v>1111</v>
      </c>
      <c r="H1802" s="228" t="str" cm="1">
        <f t="array" ref="H1802">IFERROR(INDEX(INVESTOR_LIST[INVESTOR NAME],MATCH(I1802,INVESTOR_LIST[INVESTOR CODE],0),)," ")</f>
        <v xml:space="preserve"> </v>
      </c>
      <c r="I1802" s="228"/>
      <c r="J1802" s="229" t="s">
        <v>199</v>
      </c>
      <c r="K1802" s="230"/>
      <c r="L1802" s="230">
        <v>221859.93</v>
      </c>
    </row>
    <row r="1803" spans="1:12" ht="11.25" customHeight="1" x14ac:dyDescent="0.2">
      <c r="A1803" s="221">
        <v>2022</v>
      </c>
      <c r="B1803" s="221">
        <v>10</v>
      </c>
      <c r="C1803" s="221">
        <v>18</v>
      </c>
      <c r="D1803" s="231">
        <f t="shared" si="198"/>
        <v>44852</v>
      </c>
      <c r="E1803" s="233">
        <f>DATE(A1803,B1803,C1803)</f>
        <v>44852</v>
      </c>
      <c r="F1803" s="478" t="s">
        <v>1303</v>
      </c>
      <c r="G1803" s="222" t="s">
        <v>1111</v>
      </c>
      <c r="H1803" s="223" t="str" cm="1">
        <f t="array" ref="H1803">IFERROR(INDEX(INVESTOR_LIST[INVESTOR NAME],MATCH(I1803,INVESTOR_LIST[INVESTOR CODE],0),)," ")</f>
        <v xml:space="preserve"> </v>
      </c>
      <c r="I1803" s="223"/>
      <c r="J1803" s="224" t="s">
        <v>55</v>
      </c>
      <c r="K1803" s="225">
        <v>101981.1</v>
      </c>
      <c r="L1803" s="225"/>
    </row>
    <row r="1804" spans="1:12" ht="11.25" customHeight="1" x14ac:dyDescent="0.2">
      <c r="A1804" s="226">
        <v>2022</v>
      </c>
      <c r="B1804" s="226">
        <v>10</v>
      </c>
      <c r="C1804" s="226">
        <v>18</v>
      </c>
      <c r="D1804" s="232">
        <f t="shared" si="198"/>
        <v>44852</v>
      </c>
      <c r="E1804" s="234">
        <f>DATE(A1804,B1804,C1804)</f>
        <v>44852</v>
      </c>
      <c r="F1804" s="479"/>
      <c r="G1804" s="227" t="s">
        <v>1111</v>
      </c>
      <c r="H1804" s="228" t="str" cm="1">
        <f t="array" ref="H1804">IFERROR(INDEX(INVESTOR_LIST[INVESTOR NAME],MATCH(I1804,INVESTOR_LIST[INVESTOR CODE],0),)," ")</f>
        <v xml:space="preserve"> </v>
      </c>
      <c r="I1804" s="228"/>
      <c r="J1804" s="229" t="s">
        <v>199</v>
      </c>
      <c r="K1804" s="230"/>
      <c r="L1804" s="230">
        <v>101981.1</v>
      </c>
    </row>
    <row r="1805" spans="1:12" ht="11.25" customHeight="1" x14ac:dyDescent="0.2">
      <c r="A1805" s="221">
        <v>2022</v>
      </c>
      <c r="B1805" s="221">
        <v>10</v>
      </c>
      <c r="C1805" s="221">
        <v>18</v>
      </c>
      <c r="D1805" s="221">
        <f t="shared" si="198"/>
        <v>44852</v>
      </c>
      <c r="E1805" s="233">
        <f t="shared" ref="E1805:E1810" si="199">DATE(A1805,B1805,C1805)</f>
        <v>44852</v>
      </c>
      <c r="F1805" s="478" t="s">
        <v>1301</v>
      </c>
      <c r="G1805" s="222" t="s">
        <v>86</v>
      </c>
      <c r="H1805" s="222" t="str" cm="1">
        <f t="array" ref="H1805">IFERROR(INDEX(INVESTOR_LIST[INVESTOR NAME],MATCH(I1805,INVESTOR_LIST[INVESTOR CODE],0),)," ")</f>
        <v xml:space="preserve"> </v>
      </c>
      <c r="I1805" s="223"/>
      <c r="J1805" s="165" t="s">
        <v>199</v>
      </c>
      <c r="K1805" s="225">
        <v>2185059.7999999998</v>
      </c>
      <c r="L1805" s="225"/>
    </row>
    <row r="1806" spans="1:12" ht="11.25" customHeight="1" x14ac:dyDescent="0.2">
      <c r="A1806" s="164">
        <v>2022</v>
      </c>
      <c r="B1806" s="164">
        <v>10</v>
      </c>
      <c r="C1806" s="164">
        <v>18</v>
      </c>
      <c r="D1806" s="164">
        <f t="shared" si="198"/>
        <v>44852</v>
      </c>
      <c r="E1806" s="235">
        <f t="shared" si="199"/>
        <v>44852</v>
      </c>
      <c r="F1806" s="480"/>
      <c r="G1806" s="208" t="s">
        <v>86</v>
      </c>
      <c r="H1806" s="208"/>
      <c r="J1806" s="165" t="s">
        <v>960</v>
      </c>
      <c r="K1806" s="205">
        <v>3940.2</v>
      </c>
      <c r="L1806" s="205"/>
    </row>
    <row r="1807" spans="1:12" ht="11.25" customHeight="1" x14ac:dyDescent="0.2">
      <c r="A1807" s="164">
        <v>2022</v>
      </c>
      <c r="B1807" s="164">
        <v>10</v>
      </c>
      <c r="C1807" s="164">
        <v>18</v>
      </c>
      <c r="D1807" s="164">
        <f t="shared" si="198"/>
        <v>44852</v>
      </c>
      <c r="E1807" s="235">
        <f t="shared" si="199"/>
        <v>44852</v>
      </c>
      <c r="F1807" s="480"/>
      <c r="G1807" s="208" t="s">
        <v>86</v>
      </c>
      <c r="H1807" s="208"/>
      <c r="J1807" s="165" t="s">
        <v>200</v>
      </c>
      <c r="K1807" s="205"/>
      <c r="L1807" s="205">
        <v>27722.6</v>
      </c>
    </row>
    <row r="1808" spans="1:12" ht="11.25" customHeight="1" x14ac:dyDescent="0.2">
      <c r="A1808" s="226">
        <v>2022</v>
      </c>
      <c r="B1808" s="226">
        <v>10</v>
      </c>
      <c r="C1808" s="226">
        <v>18</v>
      </c>
      <c r="D1808" s="226">
        <f t="shared" si="198"/>
        <v>44852</v>
      </c>
      <c r="E1808" s="234">
        <f t="shared" si="199"/>
        <v>44852</v>
      </c>
      <c r="F1808" s="479"/>
      <c r="G1808" s="227" t="s">
        <v>86</v>
      </c>
      <c r="H1808" s="228" t="str" cm="1">
        <f t="array" ref="H1808">IFERROR(INDEX(INVESTOR_LIST[INVESTOR NAME],MATCH(I1808,INVESTOR_LIST[INVESTOR CODE],0),)," ")</f>
        <v xml:space="preserve"> </v>
      </c>
      <c r="I1808" s="228"/>
      <c r="J1808" s="229" t="s">
        <v>80</v>
      </c>
      <c r="K1808" s="230"/>
      <c r="L1808" s="230">
        <v>2161277.4</v>
      </c>
    </row>
    <row r="1809" spans="1:12" ht="11.25" customHeight="1" x14ac:dyDescent="0.2">
      <c r="A1809" s="221">
        <v>2022</v>
      </c>
      <c r="B1809" s="221">
        <v>10</v>
      </c>
      <c r="C1809" s="221">
        <v>19</v>
      </c>
      <c r="D1809" s="231">
        <f t="shared" si="198"/>
        <v>44853</v>
      </c>
      <c r="E1809" s="233">
        <f t="shared" si="199"/>
        <v>44853</v>
      </c>
      <c r="F1809" s="478" t="s">
        <v>1316</v>
      </c>
      <c r="G1809" s="222" t="s">
        <v>1111</v>
      </c>
      <c r="H1809" s="223" t="str" cm="1">
        <f t="array" ref="H1809">IFERROR(INDEX(INVESTOR_LIST[INVESTOR NAME],MATCH(I1809,INVESTOR_LIST[INVESTOR CODE],0),)," ")</f>
        <v xml:space="preserve"> </v>
      </c>
      <c r="I1809" s="223"/>
      <c r="J1809" s="224" t="s">
        <v>95</v>
      </c>
      <c r="K1809" s="225">
        <v>816.01</v>
      </c>
      <c r="L1809" s="225"/>
    </row>
    <row r="1810" spans="1:12" ht="11.25" customHeight="1" x14ac:dyDescent="0.2">
      <c r="A1810" s="226">
        <v>2022</v>
      </c>
      <c r="B1810" s="226">
        <v>10</v>
      </c>
      <c r="C1810" s="226">
        <v>19</v>
      </c>
      <c r="D1810" s="232">
        <f t="shared" si="198"/>
        <v>44853</v>
      </c>
      <c r="E1810" s="234">
        <f t="shared" si="199"/>
        <v>44853</v>
      </c>
      <c r="F1810" s="479"/>
      <c r="G1810" s="227" t="s">
        <v>1111</v>
      </c>
      <c r="H1810" s="228" t="str" cm="1">
        <f t="array" ref="H1810">IFERROR(INDEX(INVESTOR_LIST[INVESTOR NAME],MATCH(I1810,INVESTOR_LIST[INVESTOR CODE],0),)," ")</f>
        <v xml:space="preserve"> </v>
      </c>
      <c r="I1810" s="228"/>
      <c r="J1810" s="229" t="s">
        <v>55</v>
      </c>
      <c r="K1810" s="230"/>
      <c r="L1810" s="230">
        <v>816.01</v>
      </c>
    </row>
    <row r="1811" spans="1:12" ht="11.25" customHeight="1" x14ac:dyDescent="0.2">
      <c r="A1811" s="221">
        <v>2022</v>
      </c>
      <c r="B1811" s="221">
        <v>10</v>
      </c>
      <c r="C1811" s="221">
        <v>19</v>
      </c>
      <c r="D1811" s="231">
        <f t="shared" si="198"/>
        <v>44853</v>
      </c>
      <c r="E1811" s="233">
        <f>DATE(A1811,B1811,C1811)</f>
        <v>44853</v>
      </c>
      <c r="F1811" s="478" t="s">
        <v>1303</v>
      </c>
      <c r="G1811" s="222" t="s">
        <v>1111</v>
      </c>
      <c r="H1811" s="223" t="str" cm="1">
        <f t="array" ref="H1811">IFERROR(INDEX(INVESTOR_LIST[INVESTOR NAME],MATCH(I1811,INVESTOR_LIST[INVESTOR CODE],0),)," ")</f>
        <v xml:space="preserve"> </v>
      </c>
      <c r="I1811" s="223"/>
      <c r="J1811" s="224" t="s">
        <v>55</v>
      </c>
      <c r="K1811" s="225">
        <v>6701784.2400000002</v>
      </c>
      <c r="L1811" s="225"/>
    </row>
    <row r="1812" spans="1:12" ht="11.25" customHeight="1" x14ac:dyDescent="0.2">
      <c r="A1812" s="226">
        <v>2022</v>
      </c>
      <c r="B1812" s="226">
        <v>10</v>
      </c>
      <c r="C1812" s="226">
        <v>19</v>
      </c>
      <c r="D1812" s="232">
        <f t="shared" si="198"/>
        <v>44853</v>
      </c>
      <c r="E1812" s="234">
        <f>DATE(A1812,B1812,C1812)</f>
        <v>44853</v>
      </c>
      <c r="F1812" s="479"/>
      <c r="G1812" s="227" t="s">
        <v>1111</v>
      </c>
      <c r="H1812" s="228" t="str" cm="1">
        <f t="array" ref="H1812">IFERROR(INDEX(INVESTOR_LIST[INVESTOR NAME],MATCH(I1812,INVESTOR_LIST[INVESTOR CODE],0),)," ")</f>
        <v xml:space="preserve"> </v>
      </c>
      <c r="I1812" s="228"/>
      <c r="J1812" s="229" t="s">
        <v>199</v>
      </c>
      <c r="K1812" s="230"/>
      <c r="L1812" s="230">
        <v>6701784.2400000002</v>
      </c>
    </row>
    <row r="1813" spans="1:12" ht="11.25" customHeight="1" x14ac:dyDescent="0.2">
      <c r="A1813" s="221">
        <v>2022</v>
      </c>
      <c r="B1813" s="221">
        <v>10</v>
      </c>
      <c r="C1813" s="221">
        <v>20</v>
      </c>
      <c r="D1813" s="221">
        <f t="shared" si="198"/>
        <v>44854</v>
      </c>
      <c r="E1813" s="233">
        <f t="shared" ref="E1813:E1835" si="200">DATE(A1813,B1813,C1813)</f>
        <v>44854</v>
      </c>
      <c r="F1813" s="478" t="s">
        <v>1301</v>
      </c>
      <c r="G1813" s="222" t="s">
        <v>86</v>
      </c>
      <c r="H1813" s="222" t="str" cm="1">
        <f t="array" ref="H1813">IFERROR(INDEX(INVESTOR_LIST[INVESTOR NAME],MATCH(I1813,INVESTOR_LIST[INVESTOR CODE],0),)," ")</f>
        <v xml:space="preserve"> </v>
      </c>
      <c r="I1813" s="223"/>
      <c r="J1813" s="165" t="s">
        <v>199</v>
      </c>
      <c r="K1813" s="225">
        <v>290056.96000000002</v>
      </c>
      <c r="L1813" s="225"/>
    </row>
    <row r="1814" spans="1:12" ht="11.25" customHeight="1" x14ac:dyDescent="0.2">
      <c r="A1814" s="164">
        <v>2022</v>
      </c>
      <c r="B1814" s="164">
        <v>10</v>
      </c>
      <c r="C1814" s="164">
        <v>20</v>
      </c>
      <c r="D1814" s="164">
        <f t="shared" si="198"/>
        <v>44854</v>
      </c>
      <c r="E1814" s="235">
        <f t="shared" si="200"/>
        <v>44854</v>
      </c>
      <c r="F1814" s="480"/>
      <c r="G1814" s="208" t="s">
        <v>86</v>
      </c>
      <c r="H1814" s="208"/>
      <c r="J1814" s="165" t="s">
        <v>960</v>
      </c>
      <c r="K1814" s="205">
        <v>523.04</v>
      </c>
      <c r="L1814" s="205"/>
    </row>
    <row r="1815" spans="1:12" ht="11.25" customHeight="1" x14ac:dyDescent="0.2">
      <c r="A1815" s="164">
        <v>2022</v>
      </c>
      <c r="B1815" s="164">
        <v>10</v>
      </c>
      <c r="C1815" s="164">
        <v>20</v>
      </c>
      <c r="D1815" s="164">
        <f t="shared" si="198"/>
        <v>44854</v>
      </c>
      <c r="E1815" s="235">
        <f t="shared" si="200"/>
        <v>44854</v>
      </c>
      <c r="F1815" s="480"/>
      <c r="G1815" s="208" t="s">
        <v>86</v>
      </c>
      <c r="H1815" s="208"/>
      <c r="J1815" s="165" t="s">
        <v>200</v>
      </c>
      <c r="K1815" s="205"/>
      <c r="L1815" s="205">
        <v>3392.56</v>
      </c>
    </row>
    <row r="1816" spans="1:12" ht="11.25" customHeight="1" x14ac:dyDescent="0.2">
      <c r="A1816" s="226">
        <v>2022</v>
      </c>
      <c r="B1816" s="226">
        <v>10</v>
      </c>
      <c r="C1816" s="226">
        <v>20</v>
      </c>
      <c r="D1816" s="226">
        <f t="shared" si="198"/>
        <v>44854</v>
      </c>
      <c r="E1816" s="234">
        <f t="shared" si="200"/>
        <v>44854</v>
      </c>
      <c r="F1816" s="479"/>
      <c r="G1816" s="227" t="s">
        <v>86</v>
      </c>
      <c r="H1816" s="228" t="str" cm="1">
        <f t="array" ref="H1816">IFERROR(INDEX(INVESTOR_LIST[INVESTOR NAME],MATCH(I1816,INVESTOR_LIST[INVESTOR CODE],0),)," ")</f>
        <v xml:space="preserve"> </v>
      </c>
      <c r="I1816" s="228"/>
      <c r="J1816" s="229" t="s">
        <v>80</v>
      </c>
      <c r="K1816" s="230"/>
      <c r="L1816" s="230">
        <v>287187.44</v>
      </c>
    </row>
    <row r="1817" spans="1:12" ht="11.25" customHeight="1" x14ac:dyDescent="0.2">
      <c r="A1817" s="221">
        <v>2022</v>
      </c>
      <c r="B1817" s="221">
        <v>10</v>
      </c>
      <c r="C1817" s="221">
        <v>20</v>
      </c>
      <c r="D1817" s="231">
        <f t="shared" si="198"/>
        <v>44854</v>
      </c>
      <c r="E1817" s="233">
        <f>DATE(A1817,B1817,C1817)</f>
        <v>44854</v>
      </c>
      <c r="F1817" s="478" t="s">
        <v>1303</v>
      </c>
      <c r="G1817" s="222" t="s">
        <v>1111</v>
      </c>
      <c r="H1817" s="223" t="str" cm="1">
        <f t="array" ref="H1817">IFERROR(INDEX(INVESTOR_LIST[INVESTOR NAME],MATCH(I1817,INVESTOR_LIST[INVESTOR CODE],0),)," ")</f>
        <v xml:space="preserve"> </v>
      </c>
      <c r="I1817" s="223"/>
      <c r="J1817" s="224" t="s">
        <v>55</v>
      </c>
      <c r="K1817" s="225">
        <v>2185059.7999999998</v>
      </c>
      <c r="L1817" s="225"/>
    </row>
    <row r="1818" spans="1:12" ht="11.25" customHeight="1" x14ac:dyDescent="0.2">
      <c r="A1818" s="226">
        <v>2022</v>
      </c>
      <c r="B1818" s="226">
        <v>10</v>
      </c>
      <c r="C1818" s="226">
        <v>20</v>
      </c>
      <c r="D1818" s="232">
        <f t="shared" si="198"/>
        <v>44854</v>
      </c>
      <c r="E1818" s="234">
        <f>DATE(A1818,B1818,C1818)</f>
        <v>44854</v>
      </c>
      <c r="F1818" s="479"/>
      <c r="G1818" s="227" t="s">
        <v>1111</v>
      </c>
      <c r="H1818" s="228" t="str" cm="1">
        <f t="array" ref="H1818">IFERROR(INDEX(INVESTOR_LIST[INVESTOR NAME],MATCH(I1818,INVESTOR_LIST[INVESTOR CODE],0),)," ")</f>
        <v xml:space="preserve"> </v>
      </c>
      <c r="I1818" s="228"/>
      <c r="J1818" s="229" t="s">
        <v>199</v>
      </c>
      <c r="K1818" s="230"/>
      <c r="L1818" s="230">
        <v>2185059.7999999998</v>
      </c>
    </row>
    <row r="1819" spans="1:12" ht="11.25" customHeight="1" x14ac:dyDescent="0.2">
      <c r="A1819" s="280">
        <v>2022</v>
      </c>
      <c r="B1819" s="280">
        <v>10</v>
      </c>
      <c r="C1819" s="280">
        <v>20</v>
      </c>
      <c r="D1819" s="281">
        <f t="shared" si="198"/>
        <v>44854</v>
      </c>
      <c r="E1819" s="282">
        <f t="shared" si="200"/>
        <v>44854</v>
      </c>
      <c r="F1819" s="472" t="s">
        <v>1294</v>
      </c>
      <c r="G1819" s="283" t="s">
        <v>86</v>
      </c>
      <c r="H1819" s="284" t="str" cm="1">
        <f t="array" ref="H1819">IFERROR(INDEX(INVESTOR_LIST[INVESTOR NAME],MATCH(I1819,INVESTOR_LIST[INVESTOR CODE],0),)," ")</f>
        <v xml:space="preserve"> </v>
      </c>
      <c r="I1819" s="284"/>
      <c r="J1819" s="285" t="s">
        <v>131</v>
      </c>
      <c r="K1819" s="286">
        <v>7031.25</v>
      </c>
      <c r="L1819" s="286"/>
    </row>
    <row r="1820" spans="1:12" ht="11.25" customHeight="1" x14ac:dyDescent="0.2">
      <c r="A1820" s="287">
        <v>2022</v>
      </c>
      <c r="B1820" s="287">
        <v>10</v>
      </c>
      <c r="C1820" s="287">
        <v>20</v>
      </c>
      <c r="D1820" s="288">
        <f t="shared" si="198"/>
        <v>44854</v>
      </c>
      <c r="E1820" s="289">
        <f t="shared" si="200"/>
        <v>44854</v>
      </c>
      <c r="F1820" s="473"/>
      <c r="G1820" s="290" t="s">
        <v>86</v>
      </c>
      <c r="H1820" s="291" t="str" cm="1">
        <f t="array" ref="H1820">IFERROR(INDEX(INVESTOR_LIST[INVESTOR NAME],MATCH(I1820,INVESTOR_LIST[INVESTOR CODE],0),)," ")</f>
        <v xml:space="preserve"> </v>
      </c>
      <c r="I1820" s="291"/>
      <c r="J1820" s="292" t="s">
        <v>174</v>
      </c>
      <c r="K1820" s="293"/>
      <c r="L1820" s="293">
        <v>7031.25</v>
      </c>
    </row>
    <row r="1821" spans="1:12" ht="11.25" customHeight="1" x14ac:dyDescent="0.2">
      <c r="A1821" s="280">
        <v>2022</v>
      </c>
      <c r="B1821" s="280">
        <v>10</v>
      </c>
      <c r="C1821" s="280">
        <v>20</v>
      </c>
      <c r="D1821" s="281">
        <f t="shared" si="198"/>
        <v>44854</v>
      </c>
      <c r="E1821" s="282">
        <f t="shared" si="200"/>
        <v>44854</v>
      </c>
      <c r="F1821" s="472" t="s">
        <v>1295</v>
      </c>
      <c r="G1821" s="283" t="s">
        <v>86</v>
      </c>
      <c r="H1821" s="284" t="str" cm="1">
        <f t="array" ref="H1821">IFERROR(INDEX(INVESTOR_LIST[INVESTOR NAME],MATCH(I1821,INVESTOR_LIST[INVESTOR CODE],0),)," ")</f>
        <v xml:space="preserve"> </v>
      </c>
      <c r="I1821" s="284"/>
      <c r="J1821" s="285" t="s">
        <v>131</v>
      </c>
      <c r="K1821" s="286">
        <v>51041.67</v>
      </c>
      <c r="L1821" s="286"/>
    </row>
    <row r="1822" spans="1:12" ht="11.25" customHeight="1" x14ac:dyDescent="0.2">
      <c r="A1822" s="287">
        <v>2022</v>
      </c>
      <c r="B1822" s="287">
        <v>10</v>
      </c>
      <c r="C1822" s="287">
        <v>20</v>
      </c>
      <c r="D1822" s="288">
        <f t="shared" si="198"/>
        <v>44854</v>
      </c>
      <c r="E1822" s="289">
        <f t="shared" si="200"/>
        <v>44854</v>
      </c>
      <c r="F1822" s="473"/>
      <c r="G1822" s="290" t="s">
        <v>86</v>
      </c>
      <c r="H1822" s="291" t="str" cm="1">
        <f t="array" ref="H1822">IFERROR(INDEX(INVESTOR_LIST[INVESTOR NAME],MATCH(I1822,INVESTOR_LIST[INVESTOR CODE],0),)," ")</f>
        <v xml:space="preserve"> </v>
      </c>
      <c r="I1822" s="291"/>
      <c r="J1822" s="292" t="s">
        <v>174</v>
      </c>
      <c r="K1822" s="293"/>
      <c r="L1822" s="293">
        <v>51041.67</v>
      </c>
    </row>
    <row r="1823" spans="1:12" ht="11.25" customHeight="1" x14ac:dyDescent="0.2">
      <c r="A1823" s="280">
        <v>2022</v>
      </c>
      <c r="B1823" s="280">
        <v>10</v>
      </c>
      <c r="C1823" s="280">
        <v>20</v>
      </c>
      <c r="D1823" s="281">
        <f t="shared" si="198"/>
        <v>44854</v>
      </c>
      <c r="E1823" s="282">
        <f t="shared" si="200"/>
        <v>44854</v>
      </c>
      <c r="F1823" s="472" t="s">
        <v>1296</v>
      </c>
      <c r="G1823" s="283" t="s">
        <v>86</v>
      </c>
      <c r="H1823" s="284" t="str" cm="1">
        <f t="array" ref="H1823">IFERROR(INDEX(INVESTOR_LIST[INVESTOR NAME],MATCH(I1823,INVESTOR_LIST[INVESTOR CODE],0),)," ")</f>
        <v xml:space="preserve"> </v>
      </c>
      <c r="I1823" s="284"/>
      <c r="J1823" s="285" t="s">
        <v>131</v>
      </c>
      <c r="K1823" s="286">
        <v>112965.44</v>
      </c>
      <c r="L1823" s="286"/>
    </row>
    <row r="1824" spans="1:12" ht="11.25" customHeight="1" x14ac:dyDescent="0.2">
      <c r="A1824" s="287">
        <v>2022</v>
      </c>
      <c r="B1824" s="287">
        <v>10</v>
      </c>
      <c r="C1824" s="287">
        <v>20</v>
      </c>
      <c r="D1824" s="288">
        <f t="shared" si="198"/>
        <v>44854</v>
      </c>
      <c r="E1824" s="289">
        <f t="shared" si="200"/>
        <v>44854</v>
      </c>
      <c r="F1824" s="473"/>
      <c r="G1824" s="290" t="s">
        <v>86</v>
      </c>
      <c r="H1824" s="291" t="str" cm="1">
        <f t="array" ref="H1824">IFERROR(INDEX(INVESTOR_LIST[INVESTOR NAME],MATCH(I1824,INVESTOR_LIST[INVESTOR CODE],0),)," ")</f>
        <v xml:space="preserve"> </v>
      </c>
      <c r="I1824" s="291"/>
      <c r="J1824" s="292" t="s">
        <v>174</v>
      </c>
      <c r="K1824" s="293"/>
      <c r="L1824" s="293">
        <v>112965.44</v>
      </c>
    </row>
    <row r="1825" spans="1:12" ht="11.25" customHeight="1" x14ac:dyDescent="0.2">
      <c r="A1825" s="236">
        <v>2022</v>
      </c>
      <c r="B1825" s="236">
        <v>10</v>
      </c>
      <c r="C1825" s="236">
        <v>20</v>
      </c>
      <c r="D1825" s="237">
        <f t="shared" si="198"/>
        <v>44854</v>
      </c>
      <c r="E1825" s="238">
        <f t="shared" si="200"/>
        <v>44854</v>
      </c>
      <c r="F1825" s="476" t="s">
        <v>1118</v>
      </c>
      <c r="G1825" s="239" t="s">
        <v>86</v>
      </c>
      <c r="H1825" s="239" t="str" cm="1">
        <f t="array" ref="H1825">IFERROR(INDEX(INVESTOR_LIST[INVESTOR NAME],MATCH(I1825,INVESTOR_LIST[INVESTOR CODE],0),)," ")</f>
        <v xml:space="preserve"> </v>
      </c>
      <c r="I1825" s="240"/>
      <c r="J1825" s="241" t="s">
        <v>82</v>
      </c>
      <c r="K1825" s="242">
        <v>134287.28999999166</v>
      </c>
      <c r="L1825" s="242"/>
    </row>
    <row r="1826" spans="1:12" ht="11.25" customHeight="1" x14ac:dyDescent="0.2">
      <c r="A1826" s="243">
        <v>2022</v>
      </c>
      <c r="B1826" s="243">
        <v>10</v>
      </c>
      <c r="C1826" s="243">
        <v>20</v>
      </c>
      <c r="D1826" s="248">
        <f t="shared" si="198"/>
        <v>44854</v>
      </c>
      <c r="E1826" s="249">
        <f t="shared" si="200"/>
        <v>44854</v>
      </c>
      <c r="F1826" s="477"/>
      <c r="G1826" s="244" t="s">
        <v>86</v>
      </c>
      <c r="H1826" s="244" t="str" cm="1">
        <f t="array" ref="H1826">IFERROR(INDEX(INVESTOR_LIST[INVESTOR NAME],MATCH(I1826,INVESTOR_LIST[INVESTOR CODE],0),)," ")</f>
        <v xml:space="preserve"> </v>
      </c>
      <c r="I1826" s="245"/>
      <c r="J1826" s="246" t="s">
        <v>98</v>
      </c>
      <c r="K1826" s="247"/>
      <c r="L1826" s="247">
        <v>134287.28999999166</v>
      </c>
    </row>
    <row r="1827" spans="1:12" ht="11.25" customHeight="1" x14ac:dyDescent="0.2">
      <c r="A1827" s="236">
        <v>2022</v>
      </c>
      <c r="B1827" s="236">
        <v>10</v>
      </c>
      <c r="C1827" s="236">
        <v>20</v>
      </c>
      <c r="D1827" s="237">
        <f t="shared" si="198"/>
        <v>44854</v>
      </c>
      <c r="E1827" s="238">
        <f t="shared" si="200"/>
        <v>44854</v>
      </c>
      <c r="F1827" s="476" t="s">
        <v>1120</v>
      </c>
      <c r="G1827" s="239" t="s">
        <v>86</v>
      </c>
      <c r="H1827" s="239" t="str" cm="1">
        <f t="array" ref="H1827">IFERROR(INDEX(INVESTOR_LIST[INVESTOR NAME],MATCH(I1827,INVESTOR_LIST[INVESTOR CODE],0),)," ")</f>
        <v xml:space="preserve"> </v>
      </c>
      <c r="I1827" s="240"/>
      <c r="J1827" s="241" t="s">
        <v>87</v>
      </c>
      <c r="K1827" s="242">
        <v>2747.2527472527472</v>
      </c>
      <c r="L1827" s="242"/>
    </row>
    <row r="1828" spans="1:12" ht="11.25" customHeight="1" x14ac:dyDescent="0.2">
      <c r="A1828" s="243">
        <v>2022</v>
      </c>
      <c r="B1828" s="243">
        <v>10</v>
      </c>
      <c r="C1828" s="243">
        <v>20</v>
      </c>
      <c r="D1828" s="248">
        <f t="shared" si="198"/>
        <v>44854</v>
      </c>
      <c r="E1828" s="249">
        <f t="shared" si="200"/>
        <v>44854</v>
      </c>
      <c r="F1828" s="477"/>
      <c r="G1828" s="244" t="s">
        <v>86</v>
      </c>
      <c r="H1828" s="244" t="str" cm="1">
        <f t="array" ref="H1828">IFERROR(INDEX(INVESTOR_LIST[INVESTOR NAME],MATCH(I1828,INVESTOR_LIST[INVESTOR CODE],0),)," ")</f>
        <v xml:space="preserve"> </v>
      </c>
      <c r="I1828" s="245"/>
      <c r="J1828" s="246" t="s">
        <v>64</v>
      </c>
      <c r="K1828" s="247"/>
      <c r="L1828" s="247">
        <v>2747.2527472527472</v>
      </c>
    </row>
    <row r="1829" spans="1:12" ht="11.25" customHeight="1" x14ac:dyDescent="0.2">
      <c r="A1829" s="236">
        <v>2022</v>
      </c>
      <c r="B1829" s="236">
        <v>10</v>
      </c>
      <c r="C1829" s="236">
        <v>20</v>
      </c>
      <c r="D1829" s="237">
        <f t="shared" si="198"/>
        <v>44854</v>
      </c>
      <c r="E1829" s="238">
        <f t="shared" si="200"/>
        <v>44854</v>
      </c>
      <c r="F1829" s="476" t="s">
        <v>1121</v>
      </c>
      <c r="G1829" s="239" t="s">
        <v>86</v>
      </c>
      <c r="H1829" s="239" t="str" cm="1">
        <f t="array" ref="H1829">IFERROR(INDEX(INVESTOR_LIST[INVESTOR NAME],MATCH(I1829,INVESTOR_LIST[INVESTOR CODE],0),)," ")</f>
        <v xml:space="preserve"> </v>
      </c>
      <c r="I1829" s="240"/>
      <c r="J1829" s="241" t="s">
        <v>89</v>
      </c>
      <c r="K1829" s="242">
        <v>95315.1218567584</v>
      </c>
      <c r="L1829" s="242"/>
    </row>
    <row r="1830" spans="1:12" ht="11.25" customHeight="1" x14ac:dyDescent="0.2">
      <c r="A1830" s="243">
        <v>2022</v>
      </c>
      <c r="B1830" s="243">
        <v>10</v>
      </c>
      <c r="C1830" s="243">
        <v>20</v>
      </c>
      <c r="D1830" s="248">
        <f t="shared" si="198"/>
        <v>44854</v>
      </c>
      <c r="E1830" s="249">
        <f t="shared" si="200"/>
        <v>44854</v>
      </c>
      <c r="F1830" s="477"/>
      <c r="G1830" s="244" t="s">
        <v>86</v>
      </c>
      <c r="H1830" s="244" t="str" cm="1">
        <f t="array" ref="H1830">IFERROR(INDEX(INVESTOR_LIST[INVESTOR NAME],MATCH(I1830,INVESTOR_LIST[INVESTOR CODE],0),)," ")</f>
        <v xml:space="preserve"> </v>
      </c>
      <c r="I1830" s="245"/>
      <c r="J1830" s="246" t="s">
        <v>50</v>
      </c>
      <c r="K1830" s="247"/>
      <c r="L1830" s="247">
        <v>95315.1218567584</v>
      </c>
    </row>
    <row r="1831" spans="1:12" ht="11.25" customHeight="1" x14ac:dyDescent="0.2">
      <c r="A1831" s="236">
        <v>2022</v>
      </c>
      <c r="B1831" s="236">
        <v>10</v>
      </c>
      <c r="C1831" s="236">
        <v>20</v>
      </c>
      <c r="D1831" s="237">
        <f t="shared" si="198"/>
        <v>44854</v>
      </c>
      <c r="E1831" s="238">
        <f t="shared" si="200"/>
        <v>44854</v>
      </c>
      <c r="F1831" s="476" t="s">
        <v>1122</v>
      </c>
      <c r="G1831" s="239" t="s">
        <v>86</v>
      </c>
      <c r="H1831" s="239" t="str" cm="1">
        <f t="array" ref="H1831">IFERROR(INDEX(INVESTOR_LIST[INVESTOR NAME],MATCH(I1831,INVESTOR_LIST[INVESTOR CODE],0),)," ")</f>
        <v xml:space="preserve"> </v>
      </c>
      <c r="I1831" s="240"/>
      <c r="J1831" s="241" t="s">
        <v>91</v>
      </c>
      <c r="K1831" s="242">
        <v>4525.3714774533046</v>
      </c>
      <c r="L1831" s="242"/>
    </row>
    <row r="1832" spans="1:12" ht="11.25" customHeight="1" x14ac:dyDescent="0.2">
      <c r="A1832" s="243">
        <v>2022</v>
      </c>
      <c r="B1832" s="243">
        <v>10</v>
      </c>
      <c r="C1832" s="243">
        <v>20</v>
      </c>
      <c r="D1832" s="248">
        <f t="shared" si="198"/>
        <v>44854</v>
      </c>
      <c r="E1832" s="249">
        <f t="shared" si="200"/>
        <v>44854</v>
      </c>
      <c r="F1832" s="477"/>
      <c r="G1832" s="244" t="s">
        <v>86</v>
      </c>
      <c r="H1832" s="244" t="str" cm="1">
        <f t="array" ref="H1832">IFERROR(INDEX(INVESTOR_LIST[INVESTOR NAME],MATCH(I1832,INVESTOR_LIST[INVESTOR CODE],0),)," ")</f>
        <v xml:space="preserve"> </v>
      </c>
      <c r="I1832" s="245"/>
      <c r="J1832" s="246" t="s">
        <v>51</v>
      </c>
      <c r="K1832" s="247"/>
      <c r="L1832" s="247">
        <v>4525.3714774533046</v>
      </c>
    </row>
    <row r="1833" spans="1:12" ht="11.25" customHeight="1" x14ac:dyDescent="0.2">
      <c r="A1833" s="221">
        <v>2022</v>
      </c>
      <c r="B1833" s="221">
        <v>10</v>
      </c>
      <c r="C1833" s="221">
        <v>23</v>
      </c>
      <c r="D1833" s="231">
        <f t="shared" si="198"/>
        <v>44857</v>
      </c>
      <c r="E1833" s="233">
        <f t="shared" si="200"/>
        <v>44857</v>
      </c>
      <c r="F1833" s="478" t="s">
        <v>1115</v>
      </c>
      <c r="G1833" s="222" t="s">
        <v>1111</v>
      </c>
      <c r="H1833" s="223" t="str" cm="1">
        <f t="array" ref="H1833">IFERROR(INDEX(INVESTOR_LIST[INVESTOR NAME],MATCH(I1833,INVESTOR_LIST[INVESTOR CODE],0),)," ")</f>
        <v>HAFIZA AFRIN TONNY</v>
      </c>
      <c r="I1833" s="223" t="s">
        <v>908</v>
      </c>
      <c r="J1833" s="224" t="s">
        <v>14</v>
      </c>
      <c r="K1833" s="225">
        <v>50000</v>
      </c>
      <c r="L1833" s="225"/>
    </row>
    <row r="1834" spans="1:12" ht="11.25" customHeight="1" x14ac:dyDescent="0.2">
      <c r="A1834" s="164">
        <v>2022</v>
      </c>
      <c r="B1834" s="164">
        <v>10</v>
      </c>
      <c r="C1834" s="164">
        <v>23</v>
      </c>
      <c r="D1834" s="156">
        <f t="shared" si="198"/>
        <v>44857</v>
      </c>
      <c r="E1834" s="235">
        <f t="shared" si="200"/>
        <v>44857</v>
      </c>
      <c r="F1834" s="480"/>
      <c r="G1834" s="208" t="s">
        <v>1111</v>
      </c>
      <c r="H1834" s="206" t="str" cm="1">
        <f t="array" ref="H1834">IFERROR(INDEX(INVESTOR_LIST[INVESTOR NAME],MATCH(I1834,INVESTOR_LIST[INVESTOR CODE],0),)," ")</f>
        <v>HAFIZA AFRIN TONNY</v>
      </c>
      <c r="I1834" s="206" t="s">
        <v>908</v>
      </c>
      <c r="J1834" s="165" t="s">
        <v>1112</v>
      </c>
      <c r="L1834" s="205">
        <v>500</v>
      </c>
    </row>
    <row r="1835" spans="1:12" ht="11.25" customHeight="1" x14ac:dyDescent="0.2">
      <c r="A1835" s="226">
        <v>2022</v>
      </c>
      <c r="B1835" s="226">
        <v>10</v>
      </c>
      <c r="C1835" s="226">
        <v>23</v>
      </c>
      <c r="D1835" s="232">
        <f t="shared" si="198"/>
        <v>44857</v>
      </c>
      <c r="E1835" s="234">
        <f t="shared" si="200"/>
        <v>44857</v>
      </c>
      <c r="F1835" s="479"/>
      <c r="G1835" s="227" t="s">
        <v>1111</v>
      </c>
      <c r="H1835" s="228" t="str" cm="1">
        <f t="array" ref="H1835">IFERROR(INDEX(INVESTOR_LIST[INVESTOR NAME],MATCH(I1835,INVESTOR_LIST[INVESTOR CODE],0),)," ")</f>
        <v>HAFIZA AFRIN TONNY</v>
      </c>
      <c r="I1835" s="228" t="s">
        <v>908</v>
      </c>
      <c r="J1835" s="229" t="s">
        <v>55</v>
      </c>
      <c r="K1835" s="230"/>
      <c r="L1835" s="230">
        <v>49500</v>
      </c>
    </row>
    <row r="1836" spans="1:12" ht="11.25" customHeight="1" x14ac:dyDescent="0.2">
      <c r="A1836" s="221">
        <v>2022</v>
      </c>
      <c r="B1836" s="221">
        <v>10</v>
      </c>
      <c r="C1836" s="221">
        <v>23</v>
      </c>
      <c r="D1836" s="231">
        <f t="shared" si="198"/>
        <v>44857</v>
      </c>
      <c r="E1836" s="233">
        <f>DATE(A1836,B1836,C1836)</f>
        <v>44857</v>
      </c>
      <c r="F1836" s="478" t="s">
        <v>1303</v>
      </c>
      <c r="G1836" s="222" t="s">
        <v>1111</v>
      </c>
      <c r="H1836" s="223" t="str" cm="1">
        <f t="array" ref="H1836">IFERROR(INDEX(INVESTOR_LIST[INVESTOR NAME],MATCH(I1836,INVESTOR_LIST[INVESTOR CODE],0),)," ")</f>
        <v xml:space="preserve"> </v>
      </c>
      <c r="I1836" s="223"/>
      <c r="J1836" s="224" t="s">
        <v>55</v>
      </c>
      <c r="K1836" s="225">
        <v>290056.96000000002</v>
      </c>
      <c r="L1836" s="225"/>
    </row>
    <row r="1837" spans="1:12" ht="11.25" customHeight="1" x14ac:dyDescent="0.2">
      <c r="A1837" s="226">
        <v>2022</v>
      </c>
      <c r="B1837" s="226">
        <v>10</v>
      </c>
      <c r="C1837" s="226">
        <v>23</v>
      </c>
      <c r="D1837" s="232">
        <f t="shared" si="198"/>
        <v>44857</v>
      </c>
      <c r="E1837" s="234">
        <f>DATE(A1837,B1837,C1837)</f>
        <v>44857</v>
      </c>
      <c r="F1837" s="479"/>
      <c r="G1837" s="227" t="s">
        <v>1111</v>
      </c>
      <c r="H1837" s="228" t="str" cm="1">
        <f t="array" ref="H1837">IFERROR(INDEX(INVESTOR_LIST[INVESTOR NAME],MATCH(I1837,INVESTOR_LIST[INVESTOR CODE],0),)," ")</f>
        <v xml:space="preserve"> </v>
      </c>
      <c r="I1837" s="228"/>
      <c r="J1837" s="229" t="s">
        <v>199</v>
      </c>
      <c r="K1837" s="230"/>
      <c r="L1837" s="230">
        <v>290056.96000000002</v>
      </c>
    </row>
    <row r="1838" spans="1:12" ht="11.25" customHeight="1" x14ac:dyDescent="0.2">
      <c r="A1838" s="221">
        <v>2022</v>
      </c>
      <c r="B1838" s="221">
        <v>10</v>
      </c>
      <c r="C1838" s="221">
        <v>23</v>
      </c>
      <c r="D1838" s="221">
        <f t="shared" si="198"/>
        <v>44857</v>
      </c>
      <c r="E1838" s="233">
        <f t="shared" ref="E1838:E1841" si="201">DATE(A1838,B1838,C1838)</f>
        <v>44857</v>
      </c>
      <c r="F1838" s="478" t="s">
        <v>1301</v>
      </c>
      <c r="G1838" s="222" t="s">
        <v>86</v>
      </c>
      <c r="H1838" s="222" t="str" cm="1">
        <f t="array" ref="H1838">IFERROR(INDEX(INVESTOR_LIST[INVESTOR NAME],MATCH(I1838,INVESTOR_LIST[INVESTOR CODE],0),)," ")</f>
        <v xml:space="preserve"> </v>
      </c>
      <c r="I1838" s="223"/>
      <c r="J1838" s="165" t="s">
        <v>199</v>
      </c>
      <c r="K1838" s="225">
        <v>4276626.6900000004</v>
      </c>
      <c r="L1838" s="225"/>
    </row>
    <row r="1839" spans="1:12" ht="11.25" customHeight="1" x14ac:dyDescent="0.2">
      <c r="A1839" s="164">
        <v>2022</v>
      </c>
      <c r="B1839" s="164">
        <v>10</v>
      </c>
      <c r="C1839" s="164">
        <v>23</v>
      </c>
      <c r="D1839" s="164">
        <f t="shared" si="198"/>
        <v>44857</v>
      </c>
      <c r="E1839" s="235">
        <f t="shared" si="201"/>
        <v>44857</v>
      </c>
      <c r="F1839" s="480"/>
      <c r="G1839" s="208" t="s">
        <v>86</v>
      </c>
      <c r="H1839" s="208"/>
      <c r="J1839" s="165" t="s">
        <v>960</v>
      </c>
      <c r="K1839" s="205">
        <v>7711.81</v>
      </c>
      <c r="L1839" s="205"/>
    </row>
    <row r="1840" spans="1:12" ht="11.25" customHeight="1" x14ac:dyDescent="0.2">
      <c r="A1840" s="164">
        <v>2022</v>
      </c>
      <c r="B1840" s="164">
        <v>10</v>
      </c>
      <c r="C1840" s="164">
        <v>23</v>
      </c>
      <c r="D1840" s="164">
        <f t="shared" si="198"/>
        <v>44857</v>
      </c>
      <c r="E1840" s="235">
        <f t="shared" si="201"/>
        <v>44857</v>
      </c>
      <c r="F1840" s="480"/>
      <c r="G1840" s="208" t="s">
        <v>86</v>
      </c>
      <c r="H1840" s="208"/>
      <c r="J1840" s="165" t="s">
        <v>200</v>
      </c>
      <c r="K1840" s="205">
        <v>134957.54</v>
      </c>
      <c r="L1840" s="205"/>
    </row>
    <row r="1841" spans="1:12" ht="11.25" customHeight="1" x14ac:dyDescent="0.2">
      <c r="A1841" s="226">
        <v>2022</v>
      </c>
      <c r="B1841" s="226">
        <v>10</v>
      </c>
      <c r="C1841" s="226">
        <v>23</v>
      </c>
      <c r="D1841" s="226">
        <f t="shared" si="198"/>
        <v>44857</v>
      </c>
      <c r="E1841" s="234">
        <f t="shared" si="201"/>
        <v>44857</v>
      </c>
      <c r="F1841" s="479"/>
      <c r="G1841" s="227" t="s">
        <v>86</v>
      </c>
      <c r="H1841" s="228" t="str" cm="1">
        <f t="array" ref="H1841">IFERROR(INDEX(INVESTOR_LIST[INVESTOR NAME],MATCH(I1841,INVESTOR_LIST[INVESTOR CODE],0),)," ")</f>
        <v xml:space="preserve"> </v>
      </c>
      <c r="I1841" s="228"/>
      <c r="J1841" s="229" t="s">
        <v>80</v>
      </c>
      <c r="K1841" s="230"/>
      <c r="L1841" s="230">
        <v>4419296.04</v>
      </c>
    </row>
    <row r="1842" spans="1:12" ht="11.25" customHeight="1" x14ac:dyDescent="0.2">
      <c r="A1842" s="221">
        <v>2022</v>
      </c>
      <c r="B1842" s="221">
        <v>10</v>
      </c>
      <c r="C1842" s="221">
        <v>24</v>
      </c>
      <c r="D1842" s="231">
        <f t="shared" si="198"/>
        <v>44858</v>
      </c>
      <c r="E1842" s="233">
        <f t="shared" ref="E1842:E1844" si="202">DATE(A1842,B1842,C1842)</f>
        <v>44858</v>
      </c>
      <c r="F1842" s="478" t="s">
        <v>1115</v>
      </c>
      <c r="G1842" s="222" t="s">
        <v>1111</v>
      </c>
      <c r="H1842" s="223" t="str" cm="1">
        <f t="array" ref="H1842">IFERROR(INDEX(INVESTOR_LIST[INVESTOR NAME],MATCH(I1842,INVESTOR_LIST[INVESTOR CODE],0),)," ")</f>
        <v>SHUVA SAHA</v>
      </c>
      <c r="I1842" s="223" t="s">
        <v>370</v>
      </c>
      <c r="J1842" s="224" t="s">
        <v>14</v>
      </c>
      <c r="K1842" s="225">
        <v>808080</v>
      </c>
      <c r="L1842" s="225"/>
    </row>
    <row r="1843" spans="1:12" ht="11.25" customHeight="1" x14ac:dyDescent="0.2">
      <c r="A1843" s="164">
        <v>2022</v>
      </c>
      <c r="B1843" s="164">
        <v>10</v>
      </c>
      <c r="C1843" s="164">
        <v>24</v>
      </c>
      <c r="D1843" s="156">
        <f t="shared" si="198"/>
        <v>44858</v>
      </c>
      <c r="E1843" s="235">
        <f t="shared" si="202"/>
        <v>44858</v>
      </c>
      <c r="F1843" s="480"/>
      <c r="G1843" s="208" t="s">
        <v>1111</v>
      </c>
      <c r="H1843" s="206" t="str" cm="1">
        <f t="array" ref="H1843">IFERROR(INDEX(INVESTOR_LIST[INVESTOR NAME],MATCH(I1843,INVESTOR_LIST[INVESTOR CODE],0),)," ")</f>
        <v>SHUVA SAHA</v>
      </c>
      <c r="I1843" s="206" t="s">
        <v>370</v>
      </c>
      <c r="J1843" s="165" t="s">
        <v>1112</v>
      </c>
      <c r="L1843" s="205">
        <v>8080</v>
      </c>
    </row>
    <row r="1844" spans="1:12" ht="11.25" customHeight="1" x14ac:dyDescent="0.2">
      <c r="A1844" s="226">
        <v>2022</v>
      </c>
      <c r="B1844" s="226">
        <v>10</v>
      </c>
      <c r="C1844" s="226">
        <v>24</v>
      </c>
      <c r="D1844" s="232">
        <f t="shared" si="198"/>
        <v>44858</v>
      </c>
      <c r="E1844" s="234">
        <f t="shared" si="202"/>
        <v>44858</v>
      </c>
      <c r="F1844" s="479"/>
      <c r="G1844" s="227" t="s">
        <v>1111</v>
      </c>
      <c r="H1844" s="228" t="str" cm="1">
        <f t="array" ref="H1844">IFERROR(INDEX(INVESTOR_LIST[INVESTOR NAME],MATCH(I1844,INVESTOR_LIST[INVESTOR CODE],0),)," ")</f>
        <v>SHUVA SAHA</v>
      </c>
      <c r="I1844" s="228" t="s">
        <v>370</v>
      </c>
      <c r="J1844" s="229" t="s">
        <v>55</v>
      </c>
      <c r="K1844" s="230"/>
      <c r="L1844" s="230">
        <v>800000</v>
      </c>
    </row>
    <row r="1845" spans="1:12" ht="11.25" customHeight="1" x14ac:dyDescent="0.2">
      <c r="A1845" s="221">
        <v>2022</v>
      </c>
      <c r="B1845" s="221">
        <v>10</v>
      </c>
      <c r="C1845" s="221">
        <v>25</v>
      </c>
      <c r="D1845" s="231">
        <f t="shared" si="198"/>
        <v>44859</v>
      </c>
      <c r="E1845" s="233">
        <f>DATE(A1845,B1845,C1845)</f>
        <v>44859</v>
      </c>
      <c r="F1845" s="478" t="s">
        <v>1317</v>
      </c>
      <c r="G1845" s="222" t="s">
        <v>1111</v>
      </c>
      <c r="H1845" s="223" t="str" cm="1">
        <f t="array" ref="H1845">IFERROR(INDEX(INVESTOR_LIST[INVESTOR NAME],MATCH(I1845,INVESTOR_LIST[INVESTOR CODE],0),)," ")</f>
        <v xml:space="preserve"> </v>
      </c>
      <c r="I1845" s="223"/>
      <c r="J1845" s="224" t="s">
        <v>51</v>
      </c>
      <c r="K1845" s="225">
        <v>90875.01</v>
      </c>
      <c r="L1845" s="225"/>
    </row>
    <row r="1846" spans="1:12" ht="11.25" customHeight="1" x14ac:dyDescent="0.2">
      <c r="A1846" s="226">
        <v>2022</v>
      </c>
      <c r="B1846" s="226">
        <v>10</v>
      </c>
      <c r="C1846" s="226">
        <v>25</v>
      </c>
      <c r="D1846" s="232">
        <f t="shared" si="198"/>
        <v>44859</v>
      </c>
      <c r="E1846" s="234">
        <f>DATE(A1846,B1846,C1846)</f>
        <v>44859</v>
      </c>
      <c r="F1846" s="479"/>
      <c r="G1846" s="227" t="s">
        <v>1111</v>
      </c>
      <c r="H1846" s="228" t="str" cm="1">
        <f t="array" ref="H1846">IFERROR(INDEX(INVESTOR_LIST[INVESTOR NAME],MATCH(I1846,INVESTOR_LIST[INVESTOR CODE],0),)," ")</f>
        <v xml:space="preserve"> </v>
      </c>
      <c r="I1846" s="228"/>
      <c r="J1846" s="229" t="s">
        <v>55</v>
      </c>
      <c r="K1846" s="230"/>
      <c r="L1846" s="230">
        <v>90875.01</v>
      </c>
    </row>
    <row r="1847" spans="1:12" ht="11.25" customHeight="1" x14ac:dyDescent="0.2">
      <c r="A1847" s="221">
        <v>2022</v>
      </c>
      <c r="B1847" s="221">
        <v>10</v>
      </c>
      <c r="C1847" s="221">
        <v>25</v>
      </c>
      <c r="D1847" s="221">
        <f t="shared" si="198"/>
        <v>44859</v>
      </c>
      <c r="E1847" s="233">
        <f t="shared" ref="E1847:E1850" si="203">DATE(A1847,B1847,C1847)</f>
        <v>44859</v>
      </c>
      <c r="F1847" s="478" t="s">
        <v>1301</v>
      </c>
      <c r="G1847" s="222" t="s">
        <v>86</v>
      </c>
      <c r="H1847" s="222" t="str" cm="1">
        <f t="array" ref="H1847">IFERROR(INDEX(INVESTOR_LIST[INVESTOR NAME],MATCH(I1847,INVESTOR_LIST[INVESTOR CODE],0),)," ")</f>
        <v xml:space="preserve"> </v>
      </c>
      <c r="I1847" s="223"/>
      <c r="J1847" s="165" t="s">
        <v>199</v>
      </c>
      <c r="K1847" s="225">
        <v>1194557</v>
      </c>
      <c r="L1847" s="225"/>
    </row>
    <row r="1848" spans="1:12" ht="11.25" customHeight="1" x14ac:dyDescent="0.2">
      <c r="A1848" s="164">
        <v>2022</v>
      </c>
      <c r="B1848" s="164">
        <v>10</v>
      </c>
      <c r="C1848" s="164">
        <v>25</v>
      </c>
      <c r="D1848" s="164">
        <f t="shared" si="198"/>
        <v>44859</v>
      </c>
      <c r="E1848" s="235">
        <f t="shared" si="203"/>
        <v>44859</v>
      </c>
      <c r="F1848" s="480"/>
      <c r="G1848" s="208" t="s">
        <v>86</v>
      </c>
      <c r="H1848" s="208"/>
      <c r="J1848" s="165" t="s">
        <v>960</v>
      </c>
      <c r="K1848" s="205">
        <v>2154.5</v>
      </c>
      <c r="L1848" s="205"/>
    </row>
    <row r="1849" spans="1:12" ht="11.25" customHeight="1" x14ac:dyDescent="0.2">
      <c r="A1849" s="164">
        <v>2022</v>
      </c>
      <c r="B1849" s="164">
        <v>10</v>
      </c>
      <c r="C1849" s="164">
        <v>25</v>
      </c>
      <c r="D1849" s="164">
        <f t="shared" si="198"/>
        <v>44859</v>
      </c>
      <c r="E1849" s="235">
        <f t="shared" si="203"/>
        <v>44859</v>
      </c>
      <c r="F1849" s="480"/>
      <c r="G1849" s="208" t="s">
        <v>86</v>
      </c>
      <c r="H1849" s="208"/>
      <c r="J1849" s="165" t="s">
        <v>200</v>
      </c>
      <c r="K1849" s="205">
        <v>33757.019999999997</v>
      </c>
      <c r="L1849" s="205"/>
    </row>
    <row r="1850" spans="1:12" ht="11.25" customHeight="1" x14ac:dyDescent="0.2">
      <c r="A1850" s="226">
        <v>2022</v>
      </c>
      <c r="B1850" s="226">
        <v>10</v>
      </c>
      <c r="C1850" s="226">
        <v>25</v>
      </c>
      <c r="D1850" s="226">
        <f t="shared" si="198"/>
        <v>44859</v>
      </c>
      <c r="E1850" s="234">
        <f t="shared" si="203"/>
        <v>44859</v>
      </c>
      <c r="F1850" s="479"/>
      <c r="G1850" s="227" t="s">
        <v>86</v>
      </c>
      <c r="H1850" s="228" t="str" cm="1">
        <f t="array" ref="H1850">IFERROR(INDEX(INVESTOR_LIST[INVESTOR NAME],MATCH(I1850,INVESTOR_LIST[INVESTOR CODE],0),)," ")</f>
        <v xml:space="preserve"> </v>
      </c>
      <c r="I1850" s="228"/>
      <c r="J1850" s="229" t="s">
        <v>80</v>
      </c>
      <c r="K1850" s="230"/>
      <c r="L1850" s="230">
        <v>1230468.52</v>
      </c>
    </row>
    <row r="1851" spans="1:12" ht="11.25" customHeight="1" x14ac:dyDescent="0.2">
      <c r="A1851" s="221">
        <v>2022</v>
      </c>
      <c r="B1851" s="221">
        <v>10</v>
      </c>
      <c r="C1851" s="221">
        <v>26</v>
      </c>
      <c r="D1851" s="231">
        <f t="shared" si="198"/>
        <v>44860</v>
      </c>
      <c r="E1851" s="233">
        <f>DATE(A1851,B1851,C1851)</f>
        <v>44860</v>
      </c>
      <c r="F1851" s="478" t="s">
        <v>1303</v>
      </c>
      <c r="G1851" s="222" t="s">
        <v>1111</v>
      </c>
      <c r="H1851" s="223" t="str" cm="1">
        <f t="array" ref="H1851">IFERROR(INDEX(INVESTOR_LIST[INVESTOR NAME],MATCH(I1851,INVESTOR_LIST[INVESTOR CODE],0),)," ")</f>
        <v xml:space="preserve"> </v>
      </c>
      <c r="I1851" s="223"/>
      <c r="J1851" s="224" t="s">
        <v>55</v>
      </c>
      <c r="K1851" s="225">
        <v>4276626.6900000004</v>
      </c>
      <c r="L1851" s="225"/>
    </row>
    <row r="1852" spans="1:12" ht="11.25" customHeight="1" x14ac:dyDescent="0.2">
      <c r="A1852" s="226">
        <v>2022</v>
      </c>
      <c r="B1852" s="226">
        <v>10</v>
      </c>
      <c r="C1852" s="226">
        <v>26</v>
      </c>
      <c r="D1852" s="232">
        <f t="shared" si="198"/>
        <v>44860</v>
      </c>
      <c r="E1852" s="234">
        <f>DATE(A1852,B1852,C1852)</f>
        <v>44860</v>
      </c>
      <c r="F1852" s="479"/>
      <c r="G1852" s="227" t="s">
        <v>1111</v>
      </c>
      <c r="H1852" s="228" t="str" cm="1">
        <f t="array" ref="H1852">IFERROR(INDEX(INVESTOR_LIST[INVESTOR NAME],MATCH(I1852,INVESTOR_LIST[INVESTOR CODE],0),)," ")</f>
        <v xml:space="preserve"> </v>
      </c>
      <c r="I1852" s="228"/>
      <c r="J1852" s="229" t="s">
        <v>199</v>
      </c>
      <c r="K1852" s="230"/>
      <c r="L1852" s="230">
        <v>4276626.6900000004</v>
      </c>
    </row>
    <row r="1853" spans="1:12" ht="11.25" customHeight="1" x14ac:dyDescent="0.2">
      <c r="A1853" s="221">
        <v>2022</v>
      </c>
      <c r="B1853" s="221">
        <v>10</v>
      </c>
      <c r="C1853" s="221">
        <v>26</v>
      </c>
      <c r="D1853" s="221">
        <f t="shared" si="198"/>
        <v>44860</v>
      </c>
      <c r="E1853" s="233">
        <f t="shared" ref="E1853:E1859" si="204">DATE(A1853,B1853,C1853)</f>
        <v>44860</v>
      </c>
      <c r="F1853" s="478" t="s">
        <v>1301</v>
      </c>
      <c r="G1853" s="222" t="s">
        <v>86</v>
      </c>
      <c r="H1853" s="222" t="str" cm="1">
        <f t="array" ref="H1853">IFERROR(INDEX(INVESTOR_LIST[INVESTOR NAME],MATCH(I1853,INVESTOR_LIST[INVESTOR CODE],0),)," ")</f>
        <v xml:space="preserve"> </v>
      </c>
      <c r="I1853" s="223"/>
      <c r="J1853" s="165" t="s">
        <v>199</v>
      </c>
      <c r="K1853" s="225">
        <v>1776598.86</v>
      </c>
      <c r="L1853" s="225"/>
    </row>
    <row r="1854" spans="1:12" ht="11.25" customHeight="1" x14ac:dyDescent="0.2">
      <c r="A1854" s="164">
        <v>2022</v>
      </c>
      <c r="B1854" s="164">
        <v>10</v>
      </c>
      <c r="C1854" s="164">
        <v>26</v>
      </c>
      <c r="D1854" s="164">
        <f t="shared" si="198"/>
        <v>44860</v>
      </c>
      <c r="E1854" s="235">
        <f t="shared" si="204"/>
        <v>44860</v>
      </c>
      <c r="F1854" s="480"/>
      <c r="G1854" s="208" t="s">
        <v>86</v>
      </c>
      <c r="H1854" s="208"/>
      <c r="J1854" s="165" t="s">
        <v>960</v>
      </c>
      <c r="K1854" s="205">
        <v>3203.64</v>
      </c>
      <c r="L1854" s="205"/>
    </row>
    <row r="1855" spans="1:12" ht="11.25" customHeight="1" x14ac:dyDescent="0.2">
      <c r="A1855" s="164">
        <v>2022</v>
      </c>
      <c r="B1855" s="164">
        <v>10</v>
      </c>
      <c r="C1855" s="164">
        <v>26</v>
      </c>
      <c r="D1855" s="164">
        <f t="shared" si="198"/>
        <v>44860</v>
      </c>
      <c r="E1855" s="235">
        <f t="shared" si="204"/>
        <v>44860</v>
      </c>
      <c r="F1855" s="480"/>
      <c r="G1855" s="208" t="s">
        <v>86</v>
      </c>
      <c r="H1855" s="208"/>
      <c r="J1855" s="165" t="s">
        <v>200</v>
      </c>
      <c r="K1855" s="205"/>
      <c r="L1855" s="205">
        <v>20779.41</v>
      </c>
    </row>
    <row r="1856" spans="1:12" ht="11.25" customHeight="1" x14ac:dyDescent="0.2">
      <c r="A1856" s="226">
        <v>2022</v>
      </c>
      <c r="B1856" s="226">
        <v>10</v>
      </c>
      <c r="C1856" s="226">
        <v>26</v>
      </c>
      <c r="D1856" s="226">
        <f t="shared" si="198"/>
        <v>44860</v>
      </c>
      <c r="E1856" s="234">
        <f t="shared" si="204"/>
        <v>44860</v>
      </c>
      <c r="F1856" s="479"/>
      <c r="G1856" s="227" t="s">
        <v>86</v>
      </c>
      <c r="H1856" s="228" t="str" cm="1">
        <f t="array" ref="H1856">IFERROR(INDEX(INVESTOR_LIST[INVESTOR NAME],MATCH(I1856,INVESTOR_LIST[INVESTOR CODE],0),)," ")</f>
        <v xml:space="preserve"> </v>
      </c>
      <c r="I1856" s="228"/>
      <c r="J1856" s="229" t="s">
        <v>80</v>
      </c>
      <c r="K1856" s="230"/>
      <c r="L1856" s="230">
        <v>1759023.09</v>
      </c>
    </row>
    <row r="1857" spans="1:13" ht="11.25" customHeight="1" x14ac:dyDescent="0.2">
      <c r="A1857" s="221">
        <v>2022</v>
      </c>
      <c r="B1857" s="221">
        <v>10</v>
      </c>
      <c r="C1857" s="221">
        <v>27</v>
      </c>
      <c r="D1857" s="231">
        <f t="shared" si="198"/>
        <v>44861</v>
      </c>
      <c r="E1857" s="233">
        <f t="shared" si="204"/>
        <v>44861</v>
      </c>
      <c r="F1857" s="478" t="s">
        <v>1115</v>
      </c>
      <c r="G1857" s="222" t="s">
        <v>1111</v>
      </c>
      <c r="H1857" s="223" t="str" cm="1">
        <f t="array" ref="H1857">IFERROR(INDEX(INVESTOR_LIST[INVESTOR NAME],MATCH(I1857,INVESTOR_LIST[INVESTOR CODE],0),)," ")</f>
        <v>JANNATUL FERDOUS SHARNA</v>
      </c>
      <c r="I1857" s="223" t="s">
        <v>763</v>
      </c>
      <c r="J1857" s="224" t="s">
        <v>14</v>
      </c>
      <c r="K1857" s="225">
        <v>200000</v>
      </c>
      <c r="L1857" s="225"/>
    </row>
    <row r="1858" spans="1:13" ht="11.25" customHeight="1" x14ac:dyDescent="0.2">
      <c r="A1858" s="164">
        <v>2022</v>
      </c>
      <c r="B1858" s="164">
        <v>10</v>
      </c>
      <c r="C1858" s="164">
        <v>27</v>
      </c>
      <c r="D1858" s="156">
        <f t="shared" si="198"/>
        <v>44861</v>
      </c>
      <c r="E1858" s="235">
        <f t="shared" si="204"/>
        <v>44861</v>
      </c>
      <c r="F1858" s="480"/>
      <c r="G1858" s="208" t="s">
        <v>1111</v>
      </c>
      <c r="H1858" s="206" t="str" cm="1">
        <f t="array" ref="H1858">IFERROR(INDEX(INVESTOR_LIST[INVESTOR NAME],MATCH(I1858,INVESTOR_LIST[INVESTOR CODE],0),)," ")</f>
        <v>JANNATUL FERDOUS SHARNA</v>
      </c>
      <c r="I1858" s="206" t="s">
        <v>763</v>
      </c>
      <c r="J1858" s="165" t="s">
        <v>1112</v>
      </c>
      <c r="L1858" s="205">
        <v>2000</v>
      </c>
    </row>
    <row r="1859" spans="1:13" ht="11.25" customHeight="1" x14ac:dyDescent="0.2">
      <c r="A1859" s="226">
        <v>2022</v>
      </c>
      <c r="B1859" s="226">
        <v>10</v>
      </c>
      <c r="C1859" s="226">
        <v>27</v>
      </c>
      <c r="D1859" s="232">
        <f t="shared" si="198"/>
        <v>44861</v>
      </c>
      <c r="E1859" s="234">
        <f t="shared" si="204"/>
        <v>44861</v>
      </c>
      <c r="F1859" s="479"/>
      <c r="G1859" s="227" t="s">
        <v>1111</v>
      </c>
      <c r="H1859" s="228" t="str" cm="1">
        <f t="array" ref="H1859">IFERROR(INDEX(INVESTOR_LIST[INVESTOR NAME],MATCH(I1859,INVESTOR_LIST[INVESTOR CODE],0),)," ")</f>
        <v>JANNATUL FERDOUS SHARNA</v>
      </c>
      <c r="I1859" s="228" t="s">
        <v>763</v>
      </c>
      <c r="J1859" s="229" t="s">
        <v>55</v>
      </c>
      <c r="K1859" s="230"/>
      <c r="L1859" s="230">
        <v>198000</v>
      </c>
    </row>
    <row r="1860" spans="1:13" ht="11.25" customHeight="1" x14ac:dyDescent="0.2">
      <c r="A1860" s="221">
        <v>2022</v>
      </c>
      <c r="B1860" s="221">
        <v>10</v>
      </c>
      <c r="C1860" s="221">
        <v>27</v>
      </c>
      <c r="D1860" s="231">
        <f t="shared" si="198"/>
        <v>44861</v>
      </c>
      <c r="E1860" s="233">
        <f t="shared" ref="E1860:E1876" si="205">DATE(A1860,B1860,C1860)</f>
        <v>44861</v>
      </c>
      <c r="F1860" s="478" t="s">
        <v>1132</v>
      </c>
      <c r="G1860" s="222" t="s">
        <v>1111</v>
      </c>
      <c r="H1860" s="223" t="str" cm="1">
        <f t="array" ref="H1860">IFERROR(INDEX(INVESTOR_LIST[INVESTOR NAME],MATCH(I1860,INVESTOR_LIST[INVESTOR CODE],0),)," ")</f>
        <v xml:space="preserve"> </v>
      </c>
      <c r="I1860" s="223"/>
      <c r="J1860" s="224" t="s">
        <v>55</v>
      </c>
      <c r="K1860" s="225">
        <v>33000</v>
      </c>
      <c r="L1860" s="225"/>
    </row>
    <row r="1861" spans="1:13" ht="11.25" customHeight="1" x14ac:dyDescent="0.2">
      <c r="A1861" s="164">
        <v>2022</v>
      </c>
      <c r="B1861" s="164">
        <v>10</v>
      </c>
      <c r="C1861" s="164">
        <v>27</v>
      </c>
      <c r="D1861" s="156">
        <f t="shared" si="198"/>
        <v>44861</v>
      </c>
      <c r="E1861" s="235">
        <f t="shared" si="205"/>
        <v>44861</v>
      </c>
      <c r="F1861" s="480"/>
      <c r="G1861" s="208" t="s">
        <v>1111</v>
      </c>
      <c r="H1861" s="206" t="str" cm="1">
        <f t="array" ref="H1861">IFERROR(INDEX(INVESTOR_LIST[INVESTOR NAME],MATCH(I1861,INVESTOR_LIST[INVESTOR CODE],0),)," ")</f>
        <v xml:space="preserve"> </v>
      </c>
      <c r="J1861" s="165" t="s">
        <v>1112</v>
      </c>
      <c r="K1861" s="205">
        <v>330</v>
      </c>
      <c r="L1861" s="205"/>
      <c r="M1861" s="166"/>
    </row>
    <row r="1862" spans="1:13" ht="11.25" customHeight="1" x14ac:dyDescent="0.2">
      <c r="A1862" s="226">
        <v>2022</v>
      </c>
      <c r="B1862" s="226">
        <v>10</v>
      </c>
      <c r="C1862" s="226">
        <v>27</v>
      </c>
      <c r="D1862" s="232">
        <f t="shared" si="198"/>
        <v>44861</v>
      </c>
      <c r="E1862" s="234">
        <f t="shared" si="205"/>
        <v>44861</v>
      </c>
      <c r="F1862" s="479"/>
      <c r="G1862" s="227" t="s">
        <v>1111</v>
      </c>
      <c r="H1862" s="228" t="str" cm="1">
        <f t="array" ref="H1862">IFERROR(INDEX(INVESTOR_LIST[INVESTOR NAME],MATCH(I1862,INVESTOR_LIST[INVESTOR CODE],0),)," ")</f>
        <v xml:space="preserve"> </v>
      </c>
      <c r="I1862" s="228"/>
      <c r="J1862" s="229" t="s">
        <v>14</v>
      </c>
      <c r="K1862" s="230"/>
      <c r="L1862" s="230">
        <v>33330</v>
      </c>
    </row>
    <row r="1863" spans="1:13" ht="11.25" customHeight="1" x14ac:dyDescent="0.2">
      <c r="A1863" s="280">
        <v>2022</v>
      </c>
      <c r="B1863" s="280">
        <v>10</v>
      </c>
      <c r="C1863" s="280">
        <v>27</v>
      </c>
      <c r="D1863" s="281">
        <f t="shared" si="198"/>
        <v>44861</v>
      </c>
      <c r="E1863" s="282">
        <f t="shared" si="205"/>
        <v>44861</v>
      </c>
      <c r="F1863" s="472" t="s">
        <v>1294</v>
      </c>
      <c r="G1863" s="283" t="s">
        <v>86</v>
      </c>
      <c r="H1863" s="284" t="str" cm="1">
        <f t="array" ref="H1863">IFERROR(INDEX(INVESTOR_LIST[INVESTOR NAME],MATCH(I1863,INVESTOR_LIST[INVESTOR CODE],0),)," ")</f>
        <v xml:space="preserve"> </v>
      </c>
      <c r="I1863" s="284"/>
      <c r="J1863" s="285" t="s">
        <v>131</v>
      </c>
      <c r="K1863" s="286">
        <v>7031.25</v>
      </c>
      <c r="L1863" s="286"/>
    </row>
    <row r="1864" spans="1:13" ht="11.25" customHeight="1" x14ac:dyDescent="0.2">
      <c r="A1864" s="287">
        <v>2022</v>
      </c>
      <c r="B1864" s="287">
        <v>10</v>
      </c>
      <c r="C1864" s="287">
        <v>27</v>
      </c>
      <c r="D1864" s="288">
        <f t="shared" si="198"/>
        <v>44861</v>
      </c>
      <c r="E1864" s="289">
        <f t="shared" si="205"/>
        <v>44861</v>
      </c>
      <c r="F1864" s="473"/>
      <c r="G1864" s="290" t="s">
        <v>86</v>
      </c>
      <c r="H1864" s="291" t="str" cm="1">
        <f t="array" ref="H1864">IFERROR(INDEX(INVESTOR_LIST[INVESTOR NAME],MATCH(I1864,INVESTOR_LIST[INVESTOR CODE],0),)," ")</f>
        <v xml:space="preserve"> </v>
      </c>
      <c r="I1864" s="291"/>
      <c r="J1864" s="292" t="s">
        <v>174</v>
      </c>
      <c r="K1864" s="293"/>
      <c r="L1864" s="293">
        <v>7031.25</v>
      </c>
    </row>
    <row r="1865" spans="1:13" ht="11.25" customHeight="1" x14ac:dyDescent="0.2">
      <c r="A1865" s="280">
        <v>2022</v>
      </c>
      <c r="B1865" s="280">
        <v>10</v>
      </c>
      <c r="C1865" s="280">
        <v>27</v>
      </c>
      <c r="D1865" s="281">
        <f t="shared" ref="D1865:D1928" si="206">DATE(A1865,B1865,C1865)</f>
        <v>44861</v>
      </c>
      <c r="E1865" s="282">
        <f t="shared" si="205"/>
        <v>44861</v>
      </c>
      <c r="F1865" s="472" t="s">
        <v>1295</v>
      </c>
      <c r="G1865" s="283" t="s">
        <v>86</v>
      </c>
      <c r="H1865" s="284" t="str" cm="1">
        <f t="array" ref="H1865">IFERROR(INDEX(INVESTOR_LIST[INVESTOR NAME],MATCH(I1865,INVESTOR_LIST[INVESTOR CODE],0),)," ")</f>
        <v xml:space="preserve"> </v>
      </c>
      <c r="I1865" s="284"/>
      <c r="J1865" s="285" t="s">
        <v>131</v>
      </c>
      <c r="K1865" s="286">
        <v>51041.67</v>
      </c>
      <c r="L1865" s="286"/>
    </row>
    <row r="1866" spans="1:13" ht="11.25" customHeight="1" x14ac:dyDescent="0.2">
      <c r="A1866" s="287">
        <v>2022</v>
      </c>
      <c r="B1866" s="287">
        <v>10</v>
      </c>
      <c r="C1866" s="287">
        <v>27</v>
      </c>
      <c r="D1866" s="288">
        <f t="shared" si="206"/>
        <v>44861</v>
      </c>
      <c r="E1866" s="289">
        <f t="shared" si="205"/>
        <v>44861</v>
      </c>
      <c r="F1866" s="473"/>
      <c r="G1866" s="290" t="s">
        <v>86</v>
      </c>
      <c r="H1866" s="291" t="str" cm="1">
        <f t="array" ref="H1866">IFERROR(INDEX(INVESTOR_LIST[INVESTOR NAME],MATCH(I1866,INVESTOR_LIST[INVESTOR CODE],0),)," ")</f>
        <v xml:space="preserve"> </v>
      </c>
      <c r="I1866" s="291"/>
      <c r="J1866" s="292" t="s">
        <v>174</v>
      </c>
      <c r="K1866" s="293"/>
      <c r="L1866" s="293">
        <v>51041.67</v>
      </c>
    </row>
    <row r="1867" spans="1:13" ht="11.25" customHeight="1" x14ac:dyDescent="0.2">
      <c r="A1867" s="280">
        <v>2022</v>
      </c>
      <c r="B1867" s="280">
        <v>10</v>
      </c>
      <c r="C1867" s="280">
        <v>27</v>
      </c>
      <c r="D1867" s="281">
        <f t="shared" si="206"/>
        <v>44861</v>
      </c>
      <c r="E1867" s="282">
        <f t="shared" si="205"/>
        <v>44861</v>
      </c>
      <c r="F1867" s="472" t="s">
        <v>1296</v>
      </c>
      <c r="G1867" s="283" t="s">
        <v>86</v>
      </c>
      <c r="H1867" s="284" t="str" cm="1">
        <f t="array" ref="H1867">IFERROR(INDEX(INVESTOR_LIST[INVESTOR NAME],MATCH(I1867,INVESTOR_LIST[INVESTOR CODE],0),)," ")</f>
        <v xml:space="preserve"> </v>
      </c>
      <c r="I1867" s="284"/>
      <c r="J1867" s="285" t="s">
        <v>131</v>
      </c>
      <c r="K1867" s="286">
        <v>112965.44</v>
      </c>
      <c r="L1867" s="286"/>
    </row>
    <row r="1868" spans="1:13" ht="11.25" customHeight="1" x14ac:dyDescent="0.2">
      <c r="A1868" s="287">
        <v>2022</v>
      </c>
      <c r="B1868" s="287">
        <v>10</v>
      </c>
      <c r="C1868" s="287">
        <v>27</v>
      </c>
      <c r="D1868" s="288">
        <f t="shared" si="206"/>
        <v>44861</v>
      </c>
      <c r="E1868" s="289">
        <f t="shared" si="205"/>
        <v>44861</v>
      </c>
      <c r="F1868" s="473"/>
      <c r="G1868" s="290" t="s">
        <v>86</v>
      </c>
      <c r="H1868" s="291" t="str" cm="1">
        <f t="array" ref="H1868">IFERROR(INDEX(INVESTOR_LIST[INVESTOR NAME],MATCH(I1868,INVESTOR_LIST[INVESTOR CODE],0),)," ")</f>
        <v xml:space="preserve"> </v>
      </c>
      <c r="I1868" s="291"/>
      <c r="J1868" s="292" t="s">
        <v>174</v>
      </c>
      <c r="K1868" s="293"/>
      <c r="L1868" s="293">
        <v>112965.44</v>
      </c>
    </row>
    <row r="1869" spans="1:13" ht="11.25" customHeight="1" x14ac:dyDescent="0.2">
      <c r="A1869" s="236">
        <v>2022</v>
      </c>
      <c r="B1869" s="236">
        <v>10</v>
      </c>
      <c r="C1869" s="236">
        <v>27</v>
      </c>
      <c r="D1869" s="237">
        <f t="shared" si="206"/>
        <v>44861</v>
      </c>
      <c r="E1869" s="238">
        <f t="shared" si="205"/>
        <v>44861</v>
      </c>
      <c r="F1869" s="476" t="s">
        <v>1118</v>
      </c>
      <c r="G1869" s="239" t="s">
        <v>86</v>
      </c>
      <c r="H1869" s="239" t="str" cm="1">
        <f t="array" ref="H1869">IFERROR(INDEX(INVESTOR_LIST[INVESTOR NAME],MATCH(I1869,INVESTOR_LIST[INVESTOR CODE],0),)," ")</f>
        <v xml:space="preserve"> </v>
      </c>
      <c r="I1869" s="240"/>
      <c r="J1869" s="241" t="s">
        <v>98</v>
      </c>
      <c r="K1869" s="242">
        <v>153942.65000000596</v>
      </c>
      <c r="L1869" s="242"/>
    </row>
    <row r="1870" spans="1:13" ht="11.25" customHeight="1" x14ac:dyDescent="0.2">
      <c r="A1870" s="243">
        <v>2022</v>
      </c>
      <c r="B1870" s="243">
        <v>10</v>
      </c>
      <c r="C1870" s="243">
        <v>27</v>
      </c>
      <c r="D1870" s="248">
        <f t="shared" si="206"/>
        <v>44861</v>
      </c>
      <c r="E1870" s="249">
        <f t="shared" si="205"/>
        <v>44861</v>
      </c>
      <c r="F1870" s="477"/>
      <c r="G1870" s="244" t="s">
        <v>86</v>
      </c>
      <c r="H1870" s="244" t="str" cm="1">
        <f t="array" ref="H1870">IFERROR(INDEX(INVESTOR_LIST[INVESTOR NAME],MATCH(I1870,INVESTOR_LIST[INVESTOR CODE],0),)," ")</f>
        <v xml:space="preserve"> </v>
      </c>
      <c r="I1870" s="245"/>
      <c r="J1870" s="246" t="s">
        <v>82</v>
      </c>
      <c r="K1870" s="247"/>
      <c r="L1870" s="247">
        <v>153942.65000000596</v>
      </c>
    </row>
    <row r="1871" spans="1:13" ht="11.25" customHeight="1" x14ac:dyDescent="0.2">
      <c r="A1871" s="236">
        <v>2022</v>
      </c>
      <c r="B1871" s="236">
        <v>10</v>
      </c>
      <c r="C1871" s="236">
        <v>27</v>
      </c>
      <c r="D1871" s="237">
        <f t="shared" si="206"/>
        <v>44861</v>
      </c>
      <c r="E1871" s="238">
        <f t="shared" si="205"/>
        <v>44861</v>
      </c>
      <c r="F1871" s="476" t="s">
        <v>1120</v>
      </c>
      <c r="G1871" s="239" t="s">
        <v>86</v>
      </c>
      <c r="H1871" s="239" t="str" cm="1">
        <f t="array" ref="H1871">IFERROR(INDEX(INVESTOR_LIST[INVESTOR NAME],MATCH(I1871,INVESTOR_LIST[INVESTOR CODE],0),)," ")</f>
        <v xml:space="preserve"> </v>
      </c>
      <c r="I1871" s="240"/>
      <c r="J1871" s="241" t="s">
        <v>87</v>
      </c>
      <c r="K1871" s="242">
        <v>2747.2527472527472</v>
      </c>
      <c r="L1871" s="242"/>
    </row>
    <row r="1872" spans="1:13" ht="11.25" customHeight="1" x14ac:dyDescent="0.2">
      <c r="A1872" s="243">
        <v>2022</v>
      </c>
      <c r="B1872" s="243">
        <v>10</v>
      </c>
      <c r="C1872" s="243">
        <v>27</v>
      </c>
      <c r="D1872" s="248">
        <f t="shared" si="206"/>
        <v>44861</v>
      </c>
      <c r="E1872" s="249">
        <f t="shared" si="205"/>
        <v>44861</v>
      </c>
      <c r="F1872" s="477"/>
      <c r="G1872" s="244" t="s">
        <v>86</v>
      </c>
      <c r="H1872" s="244" t="str" cm="1">
        <f t="array" ref="H1872">IFERROR(INDEX(INVESTOR_LIST[INVESTOR NAME],MATCH(I1872,INVESTOR_LIST[INVESTOR CODE],0),)," ")</f>
        <v xml:space="preserve"> </v>
      </c>
      <c r="I1872" s="245"/>
      <c r="J1872" s="246" t="s">
        <v>64</v>
      </c>
      <c r="K1872" s="247"/>
      <c r="L1872" s="247">
        <v>2747.2527472527472</v>
      </c>
    </row>
    <row r="1873" spans="1:13" ht="11.25" customHeight="1" x14ac:dyDescent="0.2">
      <c r="A1873" s="236">
        <v>2022</v>
      </c>
      <c r="B1873" s="236">
        <v>10</v>
      </c>
      <c r="C1873" s="236">
        <v>27</v>
      </c>
      <c r="D1873" s="237">
        <f t="shared" si="206"/>
        <v>44861</v>
      </c>
      <c r="E1873" s="238">
        <f t="shared" si="205"/>
        <v>44861</v>
      </c>
      <c r="F1873" s="476" t="s">
        <v>1121</v>
      </c>
      <c r="G1873" s="239" t="s">
        <v>86</v>
      </c>
      <c r="H1873" s="239" t="str" cm="1">
        <f t="array" ref="H1873">IFERROR(INDEX(INVESTOR_LIST[INVESTOR NAME],MATCH(I1873,INVESTOR_LIST[INVESTOR CODE],0),)," ")</f>
        <v xml:space="preserve"> </v>
      </c>
      <c r="I1873" s="240"/>
      <c r="J1873" s="241" t="s">
        <v>89</v>
      </c>
      <c r="K1873" s="242">
        <v>94948.540542880917</v>
      </c>
      <c r="L1873" s="242"/>
    </row>
    <row r="1874" spans="1:13" ht="11.25" customHeight="1" x14ac:dyDescent="0.2">
      <c r="A1874" s="243">
        <v>2022</v>
      </c>
      <c r="B1874" s="243">
        <v>10</v>
      </c>
      <c r="C1874" s="243">
        <v>27</v>
      </c>
      <c r="D1874" s="248">
        <f t="shared" si="206"/>
        <v>44861</v>
      </c>
      <c r="E1874" s="249">
        <f t="shared" si="205"/>
        <v>44861</v>
      </c>
      <c r="F1874" s="477"/>
      <c r="G1874" s="244" t="s">
        <v>86</v>
      </c>
      <c r="H1874" s="244" t="str" cm="1">
        <f t="array" ref="H1874">IFERROR(INDEX(INVESTOR_LIST[INVESTOR NAME],MATCH(I1874,INVESTOR_LIST[INVESTOR CODE],0),)," ")</f>
        <v xml:space="preserve"> </v>
      </c>
      <c r="I1874" s="245"/>
      <c r="J1874" s="246" t="s">
        <v>50</v>
      </c>
      <c r="K1874" s="247"/>
      <c r="L1874" s="247">
        <v>94948.540542880917</v>
      </c>
    </row>
    <row r="1875" spans="1:13" ht="11.25" customHeight="1" x14ac:dyDescent="0.2">
      <c r="A1875" s="236">
        <v>2022</v>
      </c>
      <c r="B1875" s="236">
        <v>10</v>
      </c>
      <c r="C1875" s="236">
        <v>27</v>
      </c>
      <c r="D1875" s="237">
        <f t="shared" si="206"/>
        <v>44861</v>
      </c>
      <c r="E1875" s="238">
        <f t="shared" si="205"/>
        <v>44861</v>
      </c>
      <c r="F1875" s="476" t="s">
        <v>1122</v>
      </c>
      <c r="G1875" s="239" t="s">
        <v>86</v>
      </c>
      <c r="H1875" s="239" t="str" cm="1">
        <f t="array" ref="H1875">IFERROR(INDEX(INVESTOR_LIST[INVESTOR NAME],MATCH(I1875,INVESTOR_LIST[INVESTOR CODE],0),)," ")</f>
        <v xml:space="preserve"> </v>
      </c>
      <c r="I1875" s="240"/>
      <c r="J1875" s="241" t="s">
        <v>91</v>
      </c>
      <c r="K1875" s="242">
        <v>4507.0424117594303</v>
      </c>
      <c r="L1875" s="242"/>
    </row>
    <row r="1876" spans="1:13" ht="11.25" customHeight="1" x14ac:dyDescent="0.2">
      <c r="A1876" s="243">
        <v>2022</v>
      </c>
      <c r="B1876" s="243">
        <v>10</v>
      </c>
      <c r="C1876" s="243">
        <v>27</v>
      </c>
      <c r="D1876" s="248">
        <f t="shared" si="206"/>
        <v>44861</v>
      </c>
      <c r="E1876" s="249">
        <f t="shared" si="205"/>
        <v>44861</v>
      </c>
      <c r="F1876" s="477"/>
      <c r="G1876" s="244" t="s">
        <v>86</v>
      </c>
      <c r="H1876" s="244" t="str" cm="1">
        <f t="array" ref="H1876">IFERROR(INDEX(INVESTOR_LIST[INVESTOR NAME],MATCH(I1876,INVESTOR_LIST[INVESTOR CODE],0),)," ")</f>
        <v xml:space="preserve"> </v>
      </c>
      <c r="I1876" s="245"/>
      <c r="J1876" s="246" t="s">
        <v>51</v>
      </c>
      <c r="K1876" s="247"/>
      <c r="L1876" s="247">
        <v>4507.0424117594303</v>
      </c>
    </row>
    <row r="1877" spans="1:13" ht="11.25" customHeight="1" x14ac:dyDescent="0.2">
      <c r="A1877" s="221">
        <v>2022</v>
      </c>
      <c r="B1877" s="221">
        <v>10</v>
      </c>
      <c r="C1877" s="221">
        <v>30</v>
      </c>
      <c r="D1877" s="231">
        <f t="shared" si="206"/>
        <v>44864</v>
      </c>
      <c r="E1877" s="233">
        <f>DATE(A1877,B1877,C1877)</f>
        <v>44864</v>
      </c>
      <c r="F1877" s="478" t="s">
        <v>1303</v>
      </c>
      <c r="G1877" s="222" t="s">
        <v>1111</v>
      </c>
      <c r="H1877" s="223" t="str" cm="1">
        <f t="array" ref="H1877">IFERROR(INDEX(INVESTOR_LIST[INVESTOR NAME],MATCH(I1877,INVESTOR_LIST[INVESTOR CODE],0),)," ")</f>
        <v xml:space="preserve"> </v>
      </c>
      <c r="I1877" s="223"/>
      <c r="J1877" s="224" t="s">
        <v>55</v>
      </c>
      <c r="K1877" s="225">
        <v>1194557</v>
      </c>
      <c r="L1877" s="225"/>
    </row>
    <row r="1878" spans="1:13" ht="11.25" customHeight="1" x14ac:dyDescent="0.2">
      <c r="A1878" s="226">
        <v>2022</v>
      </c>
      <c r="B1878" s="226">
        <v>10</v>
      </c>
      <c r="C1878" s="226">
        <v>30</v>
      </c>
      <c r="D1878" s="232">
        <f t="shared" si="206"/>
        <v>44864</v>
      </c>
      <c r="E1878" s="234">
        <f>DATE(A1878,B1878,C1878)</f>
        <v>44864</v>
      </c>
      <c r="F1878" s="479"/>
      <c r="G1878" s="227" t="s">
        <v>1111</v>
      </c>
      <c r="H1878" s="228" t="str" cm="1">
        <f t="array" ref="H1878">IFERROR(INDEX(INVESTOR_LIST[INVESTOR NAME],MATCH(I1878,INVESTOR_LIST[INVESTOR CODE],0),)," ")</f>
        <v xml:space="preserve"> </v>
      </c>
      <c r="I1878" s="228"/>
      <c r="J1878" s="229" t="s">
        <v>199</v>
      </c>
      <c r="K1878" s="230"/>
      <c r="L1878" s="230">
        <v>1194557</v>
      </c>
    </row>
    <row r="1879" spans="1:13" ht="11.25" customHeight="1" x14ac:dyDescent="0.2">
      <c r="A1879" s="221">
        <v>2022</v>
      </c>
      <c r="B1879" s="221">
        <v>10</v>
      </c>
      <c r="C1879" s="221">
        <v>31</v>
      </c>
      <c r="D1879" s="231">
        <f t="shared" si="206"/>
        <v>44865</v>
      </c>
      <c r="E1879" s="233">
        <f>DATE(A1879,B1879,C1879)</f>
        <v>44865</v>
      </c>
      <c r="F1879" s="478" t="s">
        <v>1303</v>
      </c>
      <c r="G1879" s="222" t="s">
        <v>1111</v>
      </c>
      <c r="H1879" s="223" t="str" cm="1">
        <f t="array" ref="H1879">IFERROR(INDEX(INVESTOR_LIST[INVESTOR NAME],MATCH(I1879,INVESTOR_LIST[INVESTOR CODE],0),)," ")</f>
        <v xml:space="preserve"> </v>
      </c>
      <c r="I1879" s="223"/>
      <c r="J1879" s="224" t="s">
        <v>55</v>
      </c>
      <c r="K1879" s="225">
        <v>1776598.86</v>
      </c>
      <c r="L1879" s="225"/>
    </row>
    <row r="1880" spans="1:13" ht="11.25" customHeight="1" x14ac:dyDescent="0.2">
      <c r="A1880" s="226">
        <v>2022</v>
      </c>
      <c r="B1880" s="226">
        <v>10</v>
      </c>
      <c r="C1880" s="226">
        <v>31</v>
      </c>
      <c r="D1880" s="232">
        <f t="shared" si="206"/>
        <v>44865</v>
      </c>
      <c r="E1880" s="234">
        <f>DATE(A1880,B1880,C1880)</f>
        <v>44865</v>
      </c>
      <c r="F1880" s="479"/>
      <c r="G1880" s="227" t="s">
        <v>1111</v>
      </c>
      <c r="H1880" s="228" t="str" cm="1">
        <f t="array" ref="H1880">IFERROR(INDEX(INVESTOR_LIST[INVESTOR NAME],MATCH(I1880,INVESTOR_LIST[INVESTOR CODE],0),)," ")</f>
        <v xml:space="preserve"> </v>
      </c>
      <c r="I1880" s="228"/>
      <c r="J1880" s="229" t="s">
        <v>199</v>
      </c>
      <c r="K1880" s="230"/>
      <c r="L1880" s="230">
        <v>1776598.86</v>
      </c>
    </row>
    <row r="1881" spans="1:13" ht="11.25" customHeight="1" x14ac:dyDescent="0.2">
      <c r="A1881" s="221">
        <v>2022</v>
      </c>
      <c r="B1881" s="221">
        <v>10</v>
      </c>
      <c r="C1881" s="221">
        <v>31</v>
      </c>
      <c r="D1881" s="231">
        <f t="shared" si="206"/>
        <v>44865</v>
      </c>
      <c r="E1881" s="233">
        <f t="shared" ref="E1881:E1886" si="207">DATE(A1881,B1881,C1881)</f>
        <v>44865</v>
      </c>
      <c r="F1881" s="478" t="s">
        <v>1115</v>
      </c>
      <c r="G1881" s="222" t="s">
        <v>1111</v>
      </c>
      <c r="H1881" s="223" t="str" cm="1">
        <f t="array" ref="H1881">IFERROR(INDEX(INVESTOR_LIST[INVESTOR NAME],MATCH(I1881,INVESTOR_LIST[INVESTOR CODE],0),)," ")</f>
        <v>MD. SHEFATH-UL-ISLAM</v>
      </c>
      <c r="I1881" s="223" t="s">
        <v>832</v>
      </c>
      <c r="J1881" s="224" t="s">
        <v>14</v>
      </c>
      <c r="K1881" s="225">
        <v>200000</v>
      </c>
      <c r="L1881" s="225"/>
    </row>
    <row r="1882" spans="1:13" ht="11.25" customHeight="1" x14ac:dyDescent="0.2">
      <c r="A1882" s="164">
        <v>2022</v>
      </c>
      <c r="B1882" s="164">
        <v>10</v>
      </c>
      <c r="C1882" s="164">
        <v>31</v>
      </c>
      <c r="D1882" s="156">
        <f t="shared" si="206"/>
        <v>44865</v>
      </c>
      <c r="E1882" s="235">
        <f t="shared" si="207"/>
        <v>44865</v>
      </c>
      <c r="F1882" s="480"/>
      <c r="G1882" s="208" t="s">
        <v>1111</v>
      </c>
      <c r="H1882" s="206" t="str" cm="1">
        <f t="array" ref="H1882">IFERROR(INDEX(INVESTOR_LIST[INVESTOR NAME],MATCH(I1882,INVESTOR_LIST[INVESTOR CODE],0),)," ")</f>
        <v>MD. SHEFATH-UL-ISLAM</v>
      </c>
      <c r="I1882" s="206" t="s">
        <v>832</v>
      </c>
      <c r="J1882" s="165" t="s">
        <v>1112</v>
      </c>
      <c r="L1882" s="205">
        <v>2000</v>
      </c>
    </row>
    <row r="1883" spans="1:13" ht="11.25" customHeight="1" x14ac:dyDescent="0.2">
      <c r="A1883" s="226">
        <v>2022</v>
      </c>
      <c r="B1883" s="226">
        <v>10</v>
      </c>
      <c r="C1883" s="226">
        <v>31</v>
      </c>
      <c r="D1883" s="232">
        <f t="shared" si="206"/>
        <v>44865</v>
      </c>
      <c r="E1883" s="234">
        <f t="shared" si="207"/>
        <v>44865</v>
      </c>
      <c r="F1883" s="479"/>
      <c r="G1883" s="227" t="s">
        <v>1111</v>
      </c>
      <c r="H1883" s="228" t="str" cm="1">
        <f t="array" ref="H1883">IFERROR(INDEX(INVESTOR_LIST[INVESTOR NAME],MATCH(I1883,INVESTOR_LIST[INVESTOR CODE],0),)," ")</f>
        <v>MD. SHEFATH-UL-ISLAM</v>
      </c>
      <c r="I1883" s="228" t="s">
        <v>832</v>
      </c>
      <c r="J1883" s="229" t="s">
        <v>55</v>
      </c>
      <c r="K1883" s="230"/>
      <c r="L1883" s="230">
        <v>198000</v>
      </c>
    </row>
    <row r="1884" spans="1:13" ht="11.25" customHeight="1" x14ac:dyDescent="0.2">
      <c r="A1884" s="221">
        <v>2022</v>
      </c>
      <c r="B1884" s="221">
        <v>10</v>
      </c>
      <c r="C1884" s="221">
        <v>31</v>
      </c>
      <c r="D1884" s="231">
        <f t="shared" si="206"/>
        <v>44865</v>
      </c>
      <c r="E1884" s="233">
        <f t="shared" si="207"/>
        <v>44865</v>
      </c>
      <c r="F1884" s="478" t="s">
        <v>802</v>
      </c>
      <c r="G1884" s="222" t="s">
        <v>1111</v>
      </c>
      <c r="H1884" s="223" t="str" cm="1">
        <f t="array" ref="H1884">IFERROR(INDEX(INVESTOR_LIST[INVESTOR NAME],MATCH(I1884,INVESTOR_LIST[INVESTOR CODE],0),)," ")</f>
        <v>KAZI AHSAN MARUF</v>
      </c>
      <c r="I1884" s="223" t="s">
        <v>372</v>
      </c>
      <c r="J1884" s="224" t="s">
        <v>55</v>
      </c>
      <c r="K1884" s="225">
        <v>500000</v>
      </c>
      <c r="L1884" s="225"/>
    </row>
    <row r="1885" spans="1:13" ht="11.25" customHeight="1" x14ac:dyDescent="0.2">
      <c r="A1885" s="164">
        <v>2022</v>
      </c>
      <c r="B1885" s="164">
        <v>10</v>
      </c>
      <c r="C1885" s="164">
        <v>31</v>
      </c>
      <c r="D1885" s="156">
        <f t="shared" si="206"/>
        <v>44865</v>
      </c>
      <c r="E1885" s="235">
        <f t="shared" si="207"/>
        <v>44865</v>
      </c>
      <c r="F1885" s="480"/>
      <c r="G1885" s="208" t="s">
        <v>1111</v>
      </c>
      <c r="H1885" s="206" t="str" cm="1">
        <f t="array" ref="H1885">IFERROR(INDEX(INVESTOR_LIST[INVESTOR NAME],MATCH(I1885,INVESTOR_LIST[INVESTOR CODE],0),)," ")</f>
        <v>KAZI AHSAN MARUF</v>
      </c>
      <c r="I1885" s="206" t="s">
        <v>372</v>
      </c>
      <c r="J1885" s="165" t="s">
        <v>1112</v>
      </c>
      <c r="K1885" s="205">
        <v>5050</v>
      </c>
      <c r="L1885" s="205"/>
      <c r="M1885" s="166"/>
    </row>
    <row r="1886" spans="1:13" ht="11.25" customHeight="1" x14ac:dyDescent="0.2">
      <c r="A1886" s="226">
        <v>2022</v>
      </c>
      <c r="B1886" s="226">
        <v>10</v>
      </c>
      <c r="C1886" s="226">
        <v>31</v>
      </c>
      <c r="D1886" s="232">
        <f t="shared" si="206"/>
        <v>44865</v>
      </c>
      <c r="E1886" s="234">
        <f t="shared" si="207"/>
        <v>44865</v>
      </c>
      <c r="F1886" s="479"/>
      <c r="G1886" s="227" t="s">
        <v>1111</v>
      </c>
      <c r="H1886" s="228" t="str" cm="1">
        <f t="array" ref="H1886">IFERROR(INDEX(INVESTOR_LIST[INVESTOR NAME],MATCH(I1886,INVESTOR_LIST[INVESTOR CODE],0),)," ")</f>
        <v>KAZI AHSAN MARUF</v>
      </c>
      <c r="I1886" s="228" t="s">
        <v>372</v>
      </c>
      <c r="J1886" s="229" t="s">
        <v>14</v>
      </c>
      <c r="K1886" s="230"/>
      <c r="L1886" s="230">
        <v>505050</v>
      </c>
    </row>
    <row r="1887" spans="1:13" ht="11.25" customHeight="1" x14ac:dyDescent="0.2">
      <c r="A1887" s="221">
        <v>2022</v>
      </c>
      <c r="B1887" s="221">
        <v>10</v>
      </c>
      <c r="C1887" s="221">
        <v>31</v>
      </c>
      <c r="D1887" s="231">
        <f t="shared" si="206"/>
        <v>44865</v>
      </c>
      <c r="E1887" s="233">
        <f t="shared" ref="E1887:E1903" si="208">DATE(A1887,B1887,C1887)</f>
        <v>44865</v>
      </c>
      <c r="F1887" s="478" t="s">
        <v>1115</v>
      </c>
      <c r="G1887" s="222" t="s">
        <v>1111</v>
      </c>
      <c r="H1887" s="223" t="str" cm="1">
        <f t="array" ref="H1887">IFERROR(INDEX(INVESTOR_LIST[INVESTOR NAME],MATCH(I1887,INVESTOR_LIST[INVESTOR CODE],0),)," ")</f>
        <v>EKUSH WEALTH MANAGEMENT LIMITED</v>
      </c>
      <c r="I1887" s="223" t="s">
        <v>320</v>
      </c>
      <c r="J1887" s="224" t="s">
        <v>14</v>
      </c>
      <c r="K1887" s="225">
        <v>18485000</v>
      </c>
      <c r="L1887" s="225"/>
    </row>
    <row r="1888" spans="1:13" ht="11.25" customHeight="1" x14ac:dyDescent="0.2">
      <c r="A1888" s="164">
        <v>2022</v>
      </c>
      <c r="B1888" s="164">
        <v>10</v>
      </c>
      <c r="C1888" s="164">
        <v>31</v>
      </c>
      <c r="D1888" s="156">
        <f t="shared" si="206"/>
        <v>44865</v>
      </c>
      <c r="E1888" s="235">
        <f t="shared" si="208"/>
        <v>44865</v>
      </c>
      <c r="F1888" s="480"/>
      <c r="G1888" s="208" t="s">
        <v>1111</v>
      </c>
      <c r="H1888" s="206" t="str" cm="1">
        <f t="array" ref="H1888">IFERROR(INDEX(INVESTOR_LIST[INVESTOR NAME],MATCH(I1888,INVESTOR_LIST[INVESTOR CODE],0),)," ")</f>
        <v>EKUSH WEALTH MANAGEMENT LIMITED</v>
      </c>
      <c r="I1888" s="206" t="s">
        <v>320</v>
      </c>
      <c r="J1888" s="165" t="s">
        <v>1112</v>
      </c>
      <c r="L1888" s="205">
        <v>184850</v>
      </c>
    </row>
    <row r="1889" spans="1:12" ht="11.25" customHeight="1" x14ac:dyDescent="0.2">
      <c r="A1889" s="226">
        <v>2022</v>
      </c>
      <c r="B1889" s="226">
        <v>10</v>
      </c>
      <c r="C1889" s="226">
        <v>31</v>
      </c>
      <c r="D1889" s="232">
        <f t="shared" si="206"/>
        <v>44865</v>
      </c>
      <c r="E1889" s="234">
        <f t="shared" si="208"/>
        <v>44865</v>
      </c>
      <c r="F1889" s="479"/>
      <c r="G1889" s="227" t="s">
        <v>1111</v>
      </c>
      <c r="H1889" s="228" t="str" cm="1">
        <f t="array" ref="H1889">IFERROR(INDEX(INVESTOR_LIST[INVESTOR NAME],MATCH(I1889,INVESTOR_LIST[INVESTOR CODE],0),)," ")</f>
        <v>EKUSH WEALTH MANAGEMENT LIMITED</v>
      </c>
      <c r="I1889" s="228" t="s">
        <v>320</v>
      </c>
      <c r="J1889" s="229" t="s">
        <v>55</v>
      </c>
      <c r="K1889" s="230"/>
      <c r="L1889" s="230">
        <v>18300150</v>
      </c>
    </row>
    <row r="1890" spans="1:12" ht="11.25" customHeight="1" x14ac:dyDescent="0.2">
      <c r="A1890" s="280">
        <v>2022</v>
      </c>
      <c r="B1890" s="280">
        <v>11</v>
      </c>
      <c r="C1890" s="280">
        <v>3</v>
      </c>
      <c r="D1890" s="281">
        <f t="shared" si="206"/>
        <v>44868</v>
      </c>
      <c r="E1890" s="282">
        <f t="shared" si="208"/>
        <v>44868</v>
      </c>
      <c r="F1890" s="472" t="s">
        <v>1294</v>
      </c>
      <c r="G1890" s="283" t="s">
        <v>86</v>
      </c>
      <c r="H1890" s="284" t="str" cm="1">
        <f t="array" ref="H1890">IFERROR(INDEX(INVESTOR_LIST[INVESTOR NAME],MATCH(I1890,INVESTOR_LIST[INVESTOR CODE],0),)," ")</f>
        <v xml:space="preserve"> </v>
      </c>
      <c r="I1890" s="284"/>
      <c r="J1890" s="285" t="s">
        <v>131</v>
      </c>
      <c r="K1890" s="286">
        <v>7031.25</v>
      </c>
      <c r="L1890" s="286"/>
    </row>
    <row r="1891" spans="1:12" ht="11.25" customHeight="1" x14ac:dyDescent="0.2">
      <c r="A1891" s="287">
        <v>2022</v>
      </c>
      <c r="B1891" s="287">
        <v>11</v>
      </c>
      <c r="C1891" s="287">
        <v>3</v>
      </c>
      <c r="D1891" s="288">
        <f t="shared" si="206"/>
        <v>44868</v>
      </c>
      <c r="E1891" s="289">
        <f t="shared" si="208"/>
        <v>44868</v>
      </c>
      <c r="F1891" s="473"/>
      <c r="G1891" s="290" t="s">
        <v>86</v>
      </c>
      <c r="H1891" s="291" t="str" cm="1">
        <f t="array" ref="H1891">IFERROR(INDEX(INVESTOR_LIST[INVESTOR NAME],MATCH(I1891,INVESTOR_LIST[INVESTOR CODE],0),)," ")</f>
        <v xml:space="preserve"> </v>
      </c>
      <c r="I1891" s="291"/>
      <c r="J1891" s="292" t="s">
        <v>174</v>
      </c>
      <c r="K1891" s="293"/>
      <c r="L1891" s="293">
        <v>7031.25</v>
      </c>
    </row>
    <row r="1892" spans="1:12" ht="11.25" customHeight="1" x14ac:dyDescent="0.2">
      <c r="A1892" s="280">
        <v>2022</v>
      </c>
      <c r="B1892" s="280">
        <v>11</v>
      </c>
      <c r="C1892" s="280">
        <v>3</v>
      </c>
      <c r="D1892" s="281">
        <f t="shared" si="206"/>
        <v>44868</v>
      </c>
      <c r="E1892" s="282">
        <f t="shared" si="208"/>
        <v>44868</v>
      </c>
      <c r="F1892" s="472" t="s">
        <v>1295</v>
      </c>
      <c r="G1892" s="283" t="s">
        <v>86</v>
      </c>
      <c r="H1892" s="284" t="str" cm="1">
        <f t="array" ref="H1892">IFERROR(INDEX(INVESTOR_LIST[INVESTOR NAME],MATCH(I1892,INVESTOR_LIST[INVESTOR CODE],0),)," ")</f>
        <v xml:space="preserve"> </v>
      </c>
      <c r="I1892" s="284"/>
      <c r="J1892" s="285" t="s">
        <v>131</v>
      </c>
      <c r="K1892" s="286">
        <v>51041.67</v>
      </c>
      <c r="L1892" s="286"/>
    </row>
    <row r="1893" spans="1:12" ht="11.25" customHeight="1" x14ac:dyDescent="0.2">
      <c r="A1893" s="287">
        <v>2022</v>
      </c>
      <c r="B1893" s="287">
        <v>11</v>
      </c>
      <c r="C1893" s="287">
        <v>3</v>
      </c>
      <c r="D1893" s="288">
        <f t="shared" si="206"/>
        <v>44868</v>
      </c>
      <c r="E1893" s="289">
        <f t="shared" si="208"/>
        <v>44868</v>
      </c>
      <c r="F1893" s="473"/>
      <c r="G1893" s="290" t="s">
        <v>86</v>
      </c>
      <c r="H1893" s="291" t="str" cm="1">
        <f t="array" ref="H1893">IFERROR(INDEX(INVESTOR_LIST[INVESTOR NAME],MATCH(I1893,INVESTOR_LIST[INVESTOR CODE],0),)," ")</f>
        <v xml:space="preserve"> </v>
      </c>
      <c r="I1893" s="291"/>
      <c r="J1893" s="292" t="s">
        <v>174</v>
      </c>
      <c r="K1893" s="293"/>
      <c r="L1893" s="293">
        <v>51041.67</v>
      </c>
    </row>
    <row r="1894" spans="1:12" ht="11.25" customHeight="1" x14ac:dyDescent="0.2">
      <c r="A1894" s="280">
        <v>2022</v>
      </c>
      <c r="B1894" s="280">
        <v>11</v>
      </c>
      <c r="C1894" s="280">
        <v>3</v>
      </c>
      <c r="D1894" s="281">
        <f t="shared" si="206"/>
        <v>44868</v>
      </c>
      <c r="E1894" s="282">
        <f t="shared" si="208"/>
        <v>44868</v>
      </c>
      <c r="F1894" s="472" t="s">
        <v>1296</v>
      </c>
      <c r="G1894" s="283" t="s">
        <v>86</v>
      </c>
      <c r="H1894" s="284" t="str" cm="1">
        <f t="array" ref="H1894">IFERROR(INDEX(INVESTOR_LIST[INVESTOR NAME],MATCH(I1894,INVESTOR_LIST[INVESTOR CODE],0),)," ")</f>
        <v xml:space="preserve"> </v>
      </c>
      <c r="I1894" s="284"/>
      <c r="J1894" s="285" t="s">
        <v>131</v>
      </c>
      <c r="K1894" s="286">
        <v>112965.44</v>
      </c>
      <c r="L1894" s="286"/>
    </row>
    <row r="1895" spans="1:12" ht="11.25" customHeight="1" x14ac:dyDescent="0.2">
      <c r="A1895" s="287">
        <v>2022</v>
      </c>
      <c r="B1895" s="287">
        <v>11</v>
      </c>
      <c r="C1895" s="287">
        <v>3</v>
      </c>
      <c r="D1895" s="288">
        <f t="shared" si="206"/>
        <v>44868</v>
      </c>
      <c r="E1895" s="289">
        <f t="shared" si="208"/>
        <v>44868</v>
      </c>
      <c r="F1895" s="473"/>
      <c r="G1895" s="290" t="s">
        <v>86</v>
      </c>
      <c r="H1895" s="291" t="str" cm="1">
        <f t="array" ref="H1895">IFERROR(INDEX(INVESTOR_LIST[INVESTOR NAME],MATCH(I1895,INVESTOR_LIST[INVESTOR CODE],0),)," ")</f>
        <v xml:space="preserve"> </v>
      </c>
      <c r="I1895" s="291"/>
      <c r="J1895" s="292" t="s">
        <v>174</v>
      </c>
      <c r="K1895" s="293"/>
      <c r="L1895" s="293">
        <v>112965.44</v>
      </c>
    </row>
    <row r="1896" spans="1:12" ht="11.25" customHeight="1" x14ac:dyDescent="0.2">
      <c r="A1896" s="236">
        <v>2022</v>
      </c>
      <c r="B1896" s="236">
        <v>11</v>
      </c>
      <c r="C1896" s="236">
        <v>3</v>
      </c>
      <c r="D1896" s="237">
        <f t="shared" si="206"/>
        <v>44868</v>
      </c>
      <c r="E1896" s="238">
        <f t="shared" si="208"/>
        <v>44868</v>
      </c>
      <c r="F1896" s="476" t="s">
        <v>1118</v>
      </c>
      <c r="G1896" s="239" t="s">
        <v>86</v>
      </c>
      <c r="H1896" s="239" t="str" cm="1">
        <f t="array" ref="H1896">IFERROR(INDEX(INVESTOR_LIST[INVESTOR NAME],MATCH(I1896,INVESTOR_LIST[INVESTOR CODE],0),)," ")</f>
        <v xml:space="preserve"> </v>
      </c>
      <c r="I1896" s="240"/>
      <c r="J1896" s="241" t="s">
        <v>98</v>
      </c>
      <c r="K1896" s="242">
        <v>182036</v>
      </c>
      <c r="L1896" s="242"/>
    </row>
    <row r="1897" spans="1:12" ht="11.25" customHeight="1" x14ac:dyDescent="0.2">
      <c r="A1897" s="243">
        <v>2022</v>
      </c>
      <c r="B1897" s="243">
        <v>11</v>
      </c>
      <c r="C1897" s="243">
        <v>3</v>
      </c>
      <c r="D1897" s="248">
        <f t="shared" si="206"/>
        <v>44868</v>
      </c>
      <c r="E1897" s="249">
        <f t="shared" si="208"/>
        <v>44868</v>
      </c>
      <c r="F1897" s="477"/>
      <c r="G1897" s="244" t="s">
        <v>86</v>
      </c>
      <c r="H1897" s="244" t="str" cm="1">
        <f t="array" ref="H1897">IFERROR(INDEX(INVESTOR_LIST[INVESTOR NAME],MATCH(I1897,INVESTOR_LIST[INVESTOR CODE],0),)," ")</f>
        <v xml:space="preserve"> </v>
      </c>
      <c r="I1897" s="245"/>
      <c r="J1897" s="246" t="s">
        <v>82</v>
      </c>
      <c r="K1897" s="247"/>
      <c r="L1897" s="247">
        <v>182036</v>
      </c>
    </row>
    <row r="1898" spans="1:12" ht="11.25" customHeight="1" x14ac:dyDescent="0.2">
      <c r="A1898" s="236">
        <v>2022</v>
      </c>
      <c r="B1898" s="236">
        <v>11</v>
      </c>
      <c r="C1898" s="236">
        <v>3</v>
      </c>
      <c r="D1898" s="237">
        <f t="shared" si="206"/>
        <v>44868</v>
      </c>
      <c r="E1898" s="238">
        <f t="shared" si="208"/>
        <v>44868</v>
      </c>
      <c r="F1898" s="476" t="s">
        <v>1120</v>
      </c>
      <c r="G1898" s="239" t="s">
        <v>86</v>
      </c>
      <c r="H1898" s="239" t="str" cm="1">
        <f t="array" ref="H1898">IFERROR(INDEX(INVESTOR_LIST[INVESTOR NAME],MATCH(I1898,INVESTOR_LIST[INVESTOR CODE],0),)," ")</f>
        <v xml:space="preserve"> </v>
      </c>
      <c r="I1898" s="240"/>
      <c r="J1898" s="241" t="s">
        <v>87</v>
      </c>
      <c r="K1898" s="242">
        <v>2747.2527472527472</v>
      </c>
      <c r="L1898" s="242"/>
    </row>
    <row r="1899" spans="1:12" ht="11.25" customHeight="1" x14ac:dyDescent="0.2">
      <c r="A1899" s="243">
        <v>2022</v>
      </c>
      <c r="B1899" s="243">
        <v>11</v>
      </c>
      <c r="C1899" s="243">
        <v>3</v>
      </c>
      <c r="D1899" s="248">
        <f t="shared" si="206"/>
        <v>44868</v>
      </c>
      <c r="E1899" s="249">
        <f t="shared" si="208"/>
        <v>44868</v>
      </c>
      <c r="F1899" s="477"/>
      <c r="G1899" s="244" t="s">
        <v>86</v>
      </c>
      <c r="H1899" s="244" t="str" cm="1">
        <f t="array" ref="H1899">IFERROR(INDEX(INVESTOR_LIST[INVESTOR NAME],MATCH(I1899,INVESTOR_LIST[INVESTOR CODE],0),)," ")</f>
        <v xml:space="preserve"> </v>
      </c>
      <c r="I1899" s="245"/>
      <c r="J1899" s="246" t="s">
        <v>64</v>
      </c>
      <c r="K1899" s="247"/>
      <c r="L1899" s="247">
        <v>2747.2527472527472</v>
      </c>
    </row>
    <row r="1900" spans="1:12" ht="11.25" customHeight="1" x14ac:dyDescent="0.2">
      <c r="A1900" s="236">
        <v>2022</v>
      </c>
      <c r="B1900" s="236">
        <v>11</v>
      </c>
      <c r="C1900" s="236">
        <v>3</v>
      </c>
      <c r="D1900" s="237">
        <f t="shared" si="206"/>
        <v>44868</v>
      </c>
      <c r="E1900" s="238">
        <f t="shared" si="208"/>
        <v>44868</v>
      </c>
      <c r="F1900" s="476" t="s">
        <v>1121</v>
      </c>
      <c r="G1900" s="239" t="s">
        <v>86</v>
      </c>
      <c r="H1900" s="239" t="str" cm="1">
        <f t="array" ref="H1900">IFERROR(INDEX(INVESTOR_LIST[INVESTOR NAME],MATCH(I1900,INVESTOR_LIST[INVESTOR CODE],0),)," ")</f>
        <v xml:space="preserve"> </v>
      </c>
      <c r="I1900" s="240"/>
      <c r="J1900" s="241" t="s">
        <v>89</v>
      </c>
      <c r="K1900" s="242">
        <v>88122.664206072484</v>
      </c>
      <c r="L1900" s="242"/>
    </row>
    <row r="1901" spans="1:12" ht="11.25" customHeight="1" x14ac:dyDescent="0.2">
      <c r="A1901" s="243">
        <v>2022</v>
      </c>
      <c r="B1901" s="243">
        <v>11</v>
      </c>
      <c r="C1901" s="243">
        <v>3</v>
      </c>
      <c r="D1901" s="248">
        <f t="shared" si="206"/>
        <v>44868</v>
      </c>
      <c r="E1901" s="249">
        <f t="shared" si="208"/>
        <v>44868</v>
      </c>
      <c r="F1901" s="477"/>
      <c r="G1901" s="244" t="s">
        <v>86</v>
      </c>
      <c r="H1901" s="244" t="str" cm="1">
        <f t="array" ref="H1901">IFERROR(INDEX(INVESTOR_LIST[INVESTOR NAME],MATCH(I1901,INVESTOR_LIST[INVESTOR CODE],0),)," ")</f>
        <v xml:space="preserve"> </v>
      </c>
      <c r="I1901" s="245"/>
      <c r="J1901" s="246" t="s">
        <v>50</v>
      </c>
      <c r="K1901" s="247"/>
      <c r="L1901" s="247">
        <v>88122.664206072484</v>
      </c>
    </row>
    <row r="1902" spans="1:12" ht="11.25" customHeight="1" x14ac:dyDescent="0.2">
      <c r="A1902" s="236">
        <v>2022</v>
      </c>
      <c r="B1902" s="236">
        <v>11</v>
      </c>
      <c r="C1902" s="236">
        <v>3</v>
      </c>
      <c r="D1902" s="237">
        <f t="shared" si="206"/>
        <v>44868</v>
      </c>
      <c r="E1902" s="238">
        <f t="shared" si="208"/>
        <v>44868</v>
      </c>
      <c r="F1902" s="476" t="s">
        <v>1122</v>
      </c>
      <c r="G1902" s="239" t="s">
        <v>86</v>
      </c>
      <c r="H1902" s="239" t="str" cm="1">
        <f t="array" ref="H1902">IFERROR(INDEX(INVESTOR_LIST[INVESTOR NAME],MATCH(I1902,INVESTOR_LIST[INVESTOR CODE],0),)," ")</f>
        <v xml:space="preserve"> </v>
      </c>
      <c r="I1902" s="240"/>
      <c r="J1902" s="241" t="s">
        <v>91</v>
      </c>
      <c r="K1902" s="242">
        <v>4165.7485949190095</v>
      </c>
      <c r="L1902" s="242"/>
    </row>
    <row r="1903" spans="1:12" ht="11.25" customHeight="1" x14ac:dyDescent="0.2">
      <c r="A1903" s="243">
        <v>2022</v>
      </c>
      <c r="B1903" s="243">
        <v>11</v>
      </c>
      <c r="C1903" s="243">
        <v>3</v>
      </c>
      <c r="D1903" s="248">
        <f t="shared" si="206"/>
        <v>44868</v>
      </c>
      <c r="E1903" s="249">
        <f t="shared" si="208"/>
        <v>44868</v>
      </c>
      <c r="F1903" s="477"/>
      <c r="G1903" s="244" t="s">
        <v>86</v>
      </c>
      <c r="H1903" s="244" t="str" cm="1">
        <f t="array" ref="H1903">IFERROR(INDEX(INVESTOR_LIST[INVESTOR NAME],MATCH(I1903,INVESTOR_LIST[INVESTOR CODE],0),)," ")</f>
        <v xml:space="preserve"> </v>
      </c>
      <c r="I1903" s="245"/>
      <c r="J1903" s="246" t="s">
        <v>51</v>
      </c>
      <c r="K1903" s="247"/>
      <c r="L1903" s="247">
        <v>4165.7485949190095</v>
      </c>
    </row>
    <row r="1904" spans="1:12" ht="11.25" customHeight="1" x14ac:dyDescent="0.2">
      <c r="A1904" s="221">
        <v>2022</v>
      </c>
      <c r="B1904" s="221">
        <v>11</v>
      </c>
      <c r="C1904" s="221">
        <v>6</v>
      </c>
      <c r="D1904" s="231">
        <f t="shared" si="206"/>
        <v>44871</v>
      </c>
      <c r="E1904" s="233">
        <f t="shared" ref="E1904:E1915" si="209">DATE(A1904,B1904,C1904)</f>
        <v>44871</v>
      </c>
      <c r="F1904" s="478" t="s">
        <v>1309</v>
      </c>
      <c r="G1904" s="222" t="s">
        <v>1111</v>
      </c>
      <c r="H1904" s="223" t="str" cm="1">
        <f t="array" ref="H1904">IFERROR(INDEX(INVESTOR_LIST[INVESTOR NAME],MATCH(I1904,INVESTOR_LIST[INVESTOR CODE],0),)," ")</f>
        <v>MAISHA MUSSARRAT</v>
      </c>
      <c r="I1904" s="223" t="s">
        <v>1228</v>
      </c>
      <c r="J1904" s="224" t="s">
        <v>14</v>
      </c>
      <c r="K1904" s="225">
        <v>20200</v>
      </c>
      <c r="L1904" s="225"/>
    </row>
    <row r="1905" spans="1:13" ht="11.25" customHeight="1" x14ac:dyDescent="0.2">
      <c r="A1905" s="164">
        <v>2022</v>
      </c>
      <c r="B1905" s="164">
        <v>11</v>
      </c>
      <c r="C1905" s="164">
        <v>6</v>
      </c>
      <c r="D1905" s="156">
        <f t="shared" si="206"/>
        <v>44871</v>
      </c>
      <c r="E1905" s="235">
        <f t="shared" si="209"/>
        <v>44871</v>
      </c>
      <c r="F1905" s="480"/>
      <c r="G1905" s="208" t="s">
        <v>1111</v>
      </c>
      <c r="H1905" s="206" t="str" cm="1">
        <f t="array" ref="H1905">IFERROR(INDEX(INVESTOR_LIST[INVESTOR NAME],MATCH(I1905,INVESTOR_LIST[INVESTOR CODE],0),)," ")</f>
        <v>MAISHA MUSSARRAT</v>
      </c>
      <c r="I1905" s="206" t="s">
        <v>1228</v>
      </c>
      <c r="J1905" s="165" t="s">
        <v>1112</v>
      </c>
      <c r="L1905" s="205">
        <v>200</v>
      </c>
    </row>
    <row r="1906" spans="1:13" ht="11.25" customHeight="1" x14ac:dyDescent="0.2">
      <c r="A1906" s="226">
        <v>2022</v>
      </c>
      <c r="B1906" s="226">
        <v>11</v>
      </c>
      <c r="C1906" s="226">
        <v>6</v>
      </c>
      <c r="D1906" s="232">
        <f t="shared" si="206"/>
        <v>44871</v>
      </c>
      <c r="E1906" s="234">
        <f t="shared" si="209"/>
        <v>44871</v>
      </c>
      <c r="F1906" s="479"/>
      <c r="G1906" s="227" t="s">
        <v>1111</v>
      </c>
      <c r="H1906" s="228" t="str" cm="1">
        <f t="array" ref="H1906">IFERROR(INDEX(INVESTOR_LIST[INVESTOR NAME],MATCH(I1906,INVESTOR_LIST[INVESTOR CODE],0),)," ")</f>
        <v>MAISHA MUSSARRAT</v>
      </c>
      <c r="I1906" s="228" t="s">
        <v>1228</v>
      </c>
      <c r="J1906" s="229" t="s">
        <v>55</v>
      </c>
      <c r="K1906" s="230"/>
      <c r="L1906" s="230">
        <v>20000</v>
      </c>
    </row>
    <row r="1907" spans="1:13" ht="11.25" customHeight="1" x14ac:dyDescent="0.2">
      <c r="A1907" s="221">
        <v>2022</v>
      </c>
      <c r="B1907" s="221">
        <v>11</v>
      </c>
      <c r="C1907" s="221">
        <v>7</v>
      </c>
      <c r="D1907" s="231">
        <f t="shared" si="206"/>
        <v>44872</v>
      </c>
      <c r="E1907" s="233">
        <f t="shared" si="209"/>
        <v>44872</v>
      </c>
      <c r="F1907" s="478" t="s">
        <v>1132</v>
      </c>
      <c r="G1907" s="222" t="s">
        <v>1111</v>
      </c>
      <c r="H1907" s="223" t="str" cm="1">
        <f t="array" ref="H1907">IFERROR(INDEX(INVESTOR_LIST[INVESTOR NAME],MATCH(I1907,INVESTOR_LIST[INVESTOR CODE],0),)," ")</f>
        <v xml:space="preserve"> </v>
      </c>
      <c r="I1907" s="223"/>
      <c r="J1907" s="224" t="s">
        <v>55</v>
      </c>
      <c r="K1907" s="225">
        <v>5000</v>
      </c>
      <c r="L1907" s="225"/>
    </row>
    <row r="1908" spans="1:13" ht="11.25" customHeight="1" x14ac:dyDescent="0.2">
      <c r="A1908" s="164">
        <v>2022</v>
      </c>
      <c r="B1908" s="164">
        <v>11</v>
      </c>
      <c r="C1908" s="164">
        <v>7</v>
      </c>
      <c r="D1908" s="156">
        <f t="shared" si="206"/>
        <v>44872</v>
      </c>
      <c r="E1908" s="235">
        <f t="shared" si="209"/>
        <v>44872</v>
      </c>
      <c r="F1908" s="480"/>
      <c r="G1908" s="208" t="s">
        <v>1111</v>
      </c>
      <c r="H1908" s="206" t="str" cm="1">
        <f t="array" ref="H1908">IFERROR(INDEX(INVESTOR_LIST[INVESTOR NAME],MATCH(I1908,INVESTOR_LIST[INVESTOR CODE],0),)," ")</f>
        <v xml:space="preserve"> </v>
      </c>
      <c r="J1908" s="165" t="s">
        <v>1112</v>
      </c>
      <c r="K1908" s="205">
        <v>50</v>
      </c>
      <c r="L1908" s="205"/>
      <c r="M1908" s="166"/>
    </row>
    <row r="1909" spans="1:13" ht="11.25" customHeight="1" x14ac:dyDescent="0.2">
      <c r="A1909" s="226">
        <v>2022</v>
      </c>
      <c r="B1909" s="226">
        <v>11</v>
      </c>
      <c r="C1909" s="226">
        <v>7</v>
      </c>
      <c r="D1909" s="232">
        <f t="shared" si="206"/>
        <v>44872</v>
      </c>
      <c r="E1909" s="234">
        <f t="shared" si="209"/>
        <v>44872</v>
      </c>
      <c r="F1909" s="479"/>
      <c r="G1909" s="227" t="s">
        <v>1111</v>
      </c>
      <c r="H1909" s="228" t="str" cm="1">
        <f t="array" ref="H1909">IFERROR(INDEX(INVESTOR_LIST[INVESTOR NAME],MATCH(I1909,INVESTOR_LIST[INVESTOR CODE],0),)," ")</f>
        <v xml:space="preserve"> </v>
      </c>
      <c r="I1909" s="228"/>
      <c r="J1909" s="229" t="s">
        <v>14</v>
      </c>
      <c r="K1909" s="230"/>
      <c r="L1909" s="230">
        <v>5050</v>
      </c>
    </row>
    <row r="1910" spans="1:13" ht="11.25" customHeight="1" x14ac:dyDescent="0.2">
      <c r="A1910" s="221">
        <v>2022</v>
      </c>
      <c r="B1910" s="221">
        <v>11</v>
      </c>
      <c r="C1910" s="221">
        <v>7</v>
      </c>
      <c r="D1910" s="231">
        <f t="shared" si="206"/>
        <v>44872</v>
      </c>
      <c r="E1910" s="233">
        <f t="shared" si="209"/>
        <v>44872</v>
      </c>
      <c r="F1910" s="478" t="s">
        <v>1319</v>
      </c>
      <c r="G1910" s="222" t="s">
        <v>1111</v>
      </c>
      <c r="H1910" s="223" t="str" cm="1">
        <f t="array" ref="H1910">IFERROR(INDEX(INVESTOR_LIST[INVESTOR NAME],MATCH(I1910,INVESTOR_LIST[INVESTOR CODE],0),)," ")</f>
        <v xml:space="preserve"> </v>
      </c>
      <c r="I1910" s="223"/>
      <c r="J1910" s="224" t="s">
        <v>192</v>
      </c>
      <c r="K1910" s="225">
        <v>97749.999999999985</v>
      </c>
      <c r="L1910" s="225"/>
    </row>
    <row r="1911" spans="1:13" ht="11.25" customHeight="1" x14ac:dyDescent="0.2">
      <c r="A1911" s="226">
        <v>2022</v>
      </c>
      <c r="B1911" s="226">
        <v>11</v>
      </c>
      <c r="C1911" s="226">
        <v>7</v>
      </c>
      <c r="D1911" s="232">
        <f t="shared" si="206"/>
        <v>44872</v>
      </c>
      <c r="E1911" s="234">
        <f t="shared" si="209"/>
        <v>44872</v>
      </c>
      <c r="F1911" s="479"/>
      <c r="G1911" s="227" t="s">
        <v>1111</v>
      </c>
      <c r="H1911" s="228" t="str" cm="1">
        <f t="array" ref="H1911">IFERROR(INDEX(INVESTOR_LIST[INVESTOR NAME],MATCH(I1911,INVESTOR_LIST[INVESTOR CODE],0),)," ")</f>
        <v xml:space="preserve"> </v>
      </c>
      <c r="I1911" s="228"/>
      <c r="J1911" s="229" t="s">
        <v>191</v>
      </c>
      <c r="K1911" s="230"/>
      <c r="L1911" s="230">
        <v>97749.999999999985</v>
      </c>
      <c r="M1911" s="166"/>
    </row>
    <row r="1912" spans="1:13" ht="11.25" customHeight="1" x14ac:dyDescent="0.2">
      <c r="A1912" s="221">
        <v>2022</v>
      </c>
      <c r="B1912" s="221">
        <v>11</v>
      </c>
      <c r="C1912" s="221">
        <v>8</v>
      </c>
      <c r="D1912" s="221">
        <f t="shared" si="206"/>
        <v>44873</v>
      </c>
      <c r="E1912" s="233">
        <f t="shared" si="209"/>
        <v>44873</v>
      </c>
      <c r="F1912" s="478" t="s">
        <v>1301</v>
      </c>
      <c r="G1912" s="222" t="s">
        <v>86</v>
      </c>
      <c r="H1912" s="222" t="str" cm="1">
        <f t="array" ref="H1912">IFERROR(INDEX(INVESTOR_LIST[INVESTOR NAME],MATCH(I1912,INVESTOR_LIST[INVESTOR CODE],0),)," ")</f>
        <v xml:space="preserve"> </v>
      </c>
      <c r="I1912" s="223"/>
      <c r="J1912" s="165" t="s">
        <v>199</v>
      </c>
      <c r="K1912" s="225">
        <v>2031396.89</v>
      </c>
      <c r="L1912" s="225"/>
    </row>
    <row r="1913" spans="1:13" ht="11.25" customHeight="1" x14ac:dyDescent="0.2">
      <c r="A1913" s="164">
        <v>2022</v>
      </c>
      <c r="B1913" s="164">
        <v>11</v>
      </c>
      <c r="C1913" s="164">
        <v>8</v>
      </c>
      <c r="D1913" s="164">
        <f t="shared" si="206"/>
        <v>44873</v>
      </c>
      <c r="E1913" s="235">
        <f t="shared" si="209"/>
        <v>44873</v>
      </c>
      <c r="F1913" s="480"/>
      <c r="G1913" s="208" t="s">
        <v>86</v>
      </c>
      <c r="H1913" s="208"/>
      <c r="J1913" s="165" t="s">
        <v>960</v>
      </c>
      <c r="K1913" s="205">
        <v>3663.11</v>
      </c>
      <c r="L1913" s="205"/>
    </row>
    <row r="1914" spans="1:13" ht="11.25" customHeight="1" x14ac:dyDescent="0.2">
      <c r="A1914" s="164">
        <v>2022</v>
      </c>
      <c r="B1914" s="164">
        <v>11</v>
      </c>
      <c r="C1914" s="164">
        <v>8</v>
      </c>
      <c r="D1914" s="164">
        <f t="shared" si="206"/>
        <v>44873</v>
      </c>
      <c r="E1914" s="235">
        <f t="shared" si="209"/>
        <v>44873</v>
      </c>
      <c r="F1914" s="480"/>
      <c r="G1914" s="208" t="s">
        <v>86</v>
      </c>
      <c r="H1914" s="208"/>
      <c r="J1914" s="165" t="s">
        <v>200</v>
      </c>
      <c r="K1914" s="205">
        <v>68834.240000000005</v>
      </c>
      <c r="L1914" s="205"/>
    </row>
    <row r="1915" spans="1:13" ht="11.25" customHeight="1" x14ac:dyDescent="0.2">
      <c r="A1915" s="226">
        <v>2022</v>
      </c>
      <c r="B1915" s="226">
        <v>11</v>
      </c>
      <c r="C1915" s="226">
        <v>8</v>
      </c>
      <c r="D1915" s="226">
        <f t="shared" si="206"/>
        <v>44873</v>
      </c>
      <c r="E1915" s="234">
        <f t="shared" si="209"/>
        <v>44873</v>
      </c>
      <c r="F1915" s="479"/>
      <c r="G1915" s="227" t="s">
        <v>86</v>
      </c>
      <c r="H1915" s="228" t="str" cm="1">
        <f t="array" ref="H1915">IFERROR(INDEX(INVESTOR_LIST[INVESTOR NAME],MATCH(I1915,INVESTOR_LIST[INVESTOR CODE],0),)," ")</f>
        <v xml:space="preserve"> </v>
      </c>
      <c r="I1915" s="228"/>
      <c r="J1915" s="229" t="s">
        <v>80</v>
      </c>
      <c r="K1915" s="230"/>
      <c r="L1915" s="230">
        <v>2103894.2400000002</v>
      </c>
    </row>
    <row r="1916" spans="1:13" ht="11.25" customHeight="1" x14ac:dyDescent="0.2">
      <c r="A1916" s="221">
        <v>2022</v>
      </c>
      <c r="B1916" s="221">
        <v>11</v>
      </c>
      <c r="C1916" s="221">
        <v>9</v>
      </c>
      <c r="D1916" s="231">
        <f t="shared" si="206"/>
        <v>44874</v>
      </c>
      <c r="E1916" s="233">
        <f t="shared" ref="E1916:E1920" si="210">DATE(A1916,B1916,C1916)</f>
        <v>44874</v>
      </c>
      <c r="F1916" s="478" t="s">
        <v>1115</v>
      </c>
      <c r="G1916" s="222" t="s">
        <v>1111</v>
      </c>
      <c r="H1916" s="223" t="str" cm="1">
        <f t="array" ref="H1916">IFERROR(INDEX(INVESTOR_LIST[INVESTOR NAME],MATCH(I1916,INVESTOR_LIST[INVESTOR CODE],0),)," ")</f>
        <v xml:space="preserve"> </v>
      </c>
      <c r="I1916" s="223"/>
      <c r="J1916" s="224" t="s">
        <v>14</v>
      </c>
      <c r="K1916" s="225">
        <v>1009080</v>
      </c>
      <c r="L1916" s="225"/>
    </row>
    <row r="1917" spans="1:13" ht="11.25" customHeight="1" x14ac:dyDescent="0.2">
      <c r="A1917" s="164">
        <v>2022</v>
      </c>
      <c r="B1917" s="164">
        <v>11</v>
      </c>
      <c r="C1917" s="164">
        <v>9</v>
      </c>
      <c r="D1917" s="156">
        <f t="shared" si="206"/>
        <v>44874</v>
      </c>
      <c r="E1917" s="235">
        <f t="shared" si="210"/>
        <v>44874</v>
      </c>
      <c r="F1917" s="480"/>
      <c r="G1917" s="208" t="s">
        <v>1111</v>
      </c>
      <c r="H1917" s="206" t="str" cm="1">
        <f t="array" ref="H1917">IFERROR(INDEX(INVESTOR_LIST[INVESTOR NAME],MATCH(I1917,INVESTOR_LIST[INVESTOR CODE],0),)," ")</f>
        <v xml:space="preserve"> </v>
      </c>
      <c r="J1917" s="165" t="s">
        <v>1112</v>
      </c>
      <c r="K1917" s="156"/>
      <c r="L1917" s="167">
        <v>9080</v>
      </c>
    </row>
    <row r="1918" spans="1:13" ht="11.25" customHeight="1" x14ac:dyDescent="0.2">
      <c r="A1918" s="226">
        <v>2022</v>
      </c>
      <c r="B1918" s="226">
        <v>11</v>
      </c>
      <c r="C1918" s="226">
        <v>9</v>
      </c>
      <c r="D1918" s="232">
        <f t="shared" si="206"/>
        <v>44874</v>
      </c>
      <c r="E1918" s="234">
        <f t="shared" si="210"/>
        <v>44874</v>
      </c>
      <c r="F1918" s="479"/>
      <c r="G1918" s="227" t="s">
        <v>1111</v>
      </c>
      <c r="H1918" s="228" t="str" cm="1">
        <f t="array" ref="H1918">IFERROR(INDEX(INVESTOR_LIST[INVESTOR NAME],MATCH(I1918,INVESTOR_LIST[INVESTOR CODE],0),)," ")</f>
        <v xml:space="preserve"> </v>
      </c>
      <c r="I1918" s="228"/>
      <c r="J1918" s="229" t="s">
        <v>55</v>
      </c>
      <c r="K1918" s="230"/>
      <c r="L1918" s="230">
        <v>1000000</v>
      </c>
    </row>
    <row r="1919" spans="1:13" ht="11.25" customHeight="1" x14ac:dyDescent="0.2">
      <c r="A1919" s="221">
        <v>2022</v>
      </c>
      <c r="B1919" s="221">
        <v>11</v>
      </c>
      <c r="C1919" s="221">
        <v>9</v>
      </c>
      <c r="D1919" s="231">
        <f t="shared" si="206"/>
        <v>44874</v>
      </c>
      <c r="E1919" s="233">
        <f t="shared" si="210"/>
        <v>44874</v>
      </c>
      <c r="F1919" s="478" t="s">
        <v>1318</v>
      </c>
      <c r="G1919" s="222" t="s">
        <v>1111</v>
      </c>
      <c r="H1919" s="223" t="str" cm="1">
        <f t="array" ref="H1919">IFERROR(INDEX(INVESTOR_LIST[INVESTOR NAME],MATCH(I1919,INVESTOR_LIST[INVESTOR CODE],0),)," ")</f>
        <v xml:space="preserve"> </v>
      </c>
      <c r="I1919" s="223"/>
      <c r="J1919" s="224" t="s">
        <v>63</v>
      </c>
      <c r="K1919" s="225">
        <v>100</v>
      </c>
      <c r="L1919" s="225"/>
    </row>
    <row r="1920" spans="1:13" ht="11.25" customHeight="1" x14ac:dyDescent="0.2">
      <c r="A1920" s="226">
        <v>2022</v>
      </c>
      <c r="B1920" s="226">
        <v>11</v>
      </c>
      <c r="C1920" s="226">
        <v>9</v>
      </c>
      <c r="D1920" s="232">
        <f t="shared" si="206"/>
        <v>44874</v>
      </c>
      <c r="E1920" s="234">
        <f t="shared" si="210"/>
        <v>44874</v>
      </c>
      <c r="F1920" s="479"/>
      <c r="G1920" s="227" t="s">
        <v>1111</v>
      </c>
      <c r="H1920" s="228" t="str" cm="1">
        <f t="array" ref="H1920">IFERROR(INDEX(INVESTOR_LIST[INVESTOR NAME],MATCH(I1920,INVESTOR_LIST[INVESTOR CODE],0),)," ")</f>
        <v xml:space="preserve"> </v>
      </c>
      <c r="I1920" s="228"/>
      <c r="J1920" s="229" t="s">
        <v>55</v>
      </c>
      <c r="K1920" s="230"/>
      <c r="L1920" s="230">
        <v>100</v>
      </c>
    </row>
    <row r="1921" spans="1:13" ht="11.25" customHeight="1" x14ac:dyDescent="0.2">
      <c r="A1921" s="221">
        <v>2022</v>
      </c>
      <c r="B1921" s="221">
        <v>11</v>
      </c>
      <c r="C1921" s="221">
        <v>9</v>
      </c>
      <c r="D1921" s="231">
        <f t="shared" si="206"/>
        <v>44874</v>
      </c>
      <c r="E1921" s="233">
        <f>DATE(A1921,B1921,C1921)</f>
        <v>44874</v>
      </c>
      <c r="F1921" s="478" t="s">
        <v>1303</v>
      </c>
      <c r="G1921" s="222" t="s">
        <v>1111</v>
      </c>
      <c r="H1921" s="223" t="str" cm="1">
        <f t="array" ref="H1921">IFERROR(INDEX(INVESTOR_LIST[INVESTOR NAME],MATCH(I1921,INVESTOR_LIST[INVESTOR CODE],0),)," ")</f>
        <v xml:space="preserve"> </v>
      </c>
      <c r="I1921" s="223"/>
      <c r="J1921" s="224" t="s">
        <v>55</v>
      </c>
      <c r="K1921" s="225">
        <v>2031396.89</v>
      </c>
      <c r="L1921" s="225"/>
    </row>
    <row r="1922" spans="1:13" ht="11.25" customHeight="1" x14ac:dyDescent="0.2">
      <c r="A1922" s="226">
        <v>2022</v>
      </c>
      <c r="B1922" s="226">
        <v>11</v>
      </c>
      <c r="C1922" s="226">
        <v>9</v>
      </c>
      <c r="D1922" s="232">
        <f t="shared" si="206"/>
        <v>44874</v>
      </c>
      <c r="E1922" s="234">
        <f>DATE(A1922,B1922,C1922)</f>
        <v>44874</v>
      </c>
      <c r="F1922" s="479"/>
      <c r="G1922" s="227" t="s">
        <v>1111</v>
      </c>
      <c r="H1922" s="228" t="str" cm="1">
        <f t="array" ref="H1922">IFERROR(INDEX(INVESTOR_LIST[INVESTOR NAME],MATCH(I1922,INVESTOR_LIST[INVESTOR CODE],0),)," ")</f>
        <v xml:space="preserve"> </v>
      </c>
      <c r="I1922" s="228"/>
      <c r="J1922" s="229" t="s">
        <v>199</v>
      </c>
      <c r="K1922" s="230"/>
      <c r="L1922" s="230">
        <v>2031396.89</v>
      </c>
    </row>
    <row r="1923" spans="1:13" ht="11.25" customHeight="1" x14ac:dyDescent="0.2">
      <c r="A1923" s="221">
        <v>2022</v>
      </c>
      <c r="B1923" s="221">
        <v>11</v>
      </c>
      <c r="C1923" s="221">
        <v>10</v>
      </c>
      <c r="D1923" s="231">
        <f t="shared" si="206"/>
        <v>44875</v>
      </c>
      <c r="E1923" s="233">
        <f t="shared" ref="E1923:E1924" si="211">DATE(A1923,B1923,C1923)</f>
        <v>44875</v>
      </c>
      <c r="F1923" s="478" t="s">
        <v>1322</v>
      </c>
      <c r="G1923" s="222" t="s">
        <v>1111</v>
      </c>
      <c r="H1923" s="223" t="str" cm="1">
        <f t="array" ref="H1923">IFERROR(INDEX(INVESTOR_LIST[INVESTOR NAME],MATCH(I1923,INVESTOR_LIST[INVESTOR CODE],0),)," ")</f>
        <v xml:space="preserve"> </v>
      </c>
      <c r="I1923" s="223"/>
      <c r="J1923" s="224" t="s">
        <v>192</v>
      </c>
      <c r="K1923" s="225">
        <v>134400</v>
      </c>
      <c r="L1923" s="225"/>
    </row>
    <row r="1924" spans="1:13" ht="11.25" customHeight="1" x14ac:dyDescent="0.2">
      <c r="A1924" s="226">
        <v>2022</v>
      </c>
      <c r="B1924" s="226">
        <v>11</v>
      </c>
      <c r="C1924" s="226">
        <v>10</v>
      </c>
      <c r="D1924" s="232">
        <f t="shared" si="206"/>
        <v>44875</v>
      </c>
      <c r="E1924" s="234">
        <f t="shared" si="211"/>
        <v>44875</v>
      </c>
      <c r="F1924" s="479"/>
      <c r="G1924" s="227" t="s">
        <v>1111</v>
      </c>
      <c r="H1924" s="228" t="str" cm="1">
        <f t="array" ref="H1924">IFERROR(INDEX(INVESTOR_LIST[INVESTOR NAME],MATCH(I1924,INVESTOR_LIST[INVESTOR CODE],0),)," ")</f>
        <v xml:space="preserve"> </v>
      </c>
      <c r="I1924" s="228"/>
      <c r="J1924" s="229" t="s">
        <v>191</v>
      </c>
      <c r="K1924" s="230"/>
      <c r="L1924" s="230">
        <v>134400</v>
      </c>
      <c r="M1924" s="166"/>
    </row>
    <row r="1925" spans="1:13" ht="11.25" customHeight="1" x14ac:dyDescent="0.2">
      <c r="A1925" s="280">
        <v>2022</v>
      </c>
      <c r="B1925" s="280">
        <v>11</v>
      </c>
      <c r="C1925" s="280">
        <v>10</v>
      </c>
      <c r="D1925" s="281">
        <f t="shared" si="206"/>
        <v>44875</v>
      </c>
      <c r="E1925" s="282">
        <f t="shared" ref="E1925:E1943" si="212">DATE(A1925,B1925,C1925)</f>
        <v>44875</v>
      </c>
      <c r="F1925" s="472" t="s">
        <v>1294</v>
      </c>
      <c r="G1925" s="283" t="s">
        <v>86</v>
      </c>
      <c r="H1925" s="284" t="str" cm="1">
        <f t="array" ref="H1925">IFERROR(INDEX(INVESTOR_LIST[INVESTOR NAME],MATCH(I1925,INVESTOR_LIST[INVESTOR CODE],0),)," ")</f>
        <v xml:space="preserve"> </v>
      </c>
      <c r="I1925" s="284"/>
      <c r="J1925" s="285" t="s">
        <v>131</v>
      </c>
      <c r="K1925" s="286">
        <v>7031.25</v>
      </c>
      <c r="L1925" s="286"/>
    </row>
    <row r="1926" spans="1:13" ht="11.25" customHeight="1" x14ac:dyDescent="0.2">
      <c r="A1926" s="287">
        <v>2022</v>
      </c>
      <c r="B1926" s="287">
        <v>11</v>
      </c>
      <c r="C1926" s="287">
        <v>10</v>
      </c>
      <c r="D1926" s="288">
        <f t="shared" si="206"/>
        <v>44875</v>
      </c>
      <c r="E1926" s="289">
        <f t="shared" si="212"/>
        <v>44875</v>
      </c>
      <c r="F1926" s="473"/>
      <c r="G1926" s="290" t="s">
        <v>86</v>
      </c>
      <c r="H1926" s="291" t="str" cm="1">
        <f t="array" ref="H1926">IFERROR(INDEX(INVESTOR_LIST[INVESTOR NAME],MATCH(I1926,INVESTOR_LIST[INVESTOR CODE],0),)," ")</f>
        <v xml:space="preserve"> </v>
      </c>
      <c r="I1926" s="291"/>
      <c r="J1926" s="292" t="s">
        <v>174</v>
      </c>
      <c r="K1926" s="293"/>
      <c r="L1926" s="293">
        <v>7031.25</v>
      </c>
    </row>
    <row r="1927" spans="1:13" ht="11.25" customHeight="1" x14ac:dyDescent="0.2">
      <c r="A1927" s="280">
        <v>2022</v>
      </c>
      <c r="B1927" s="280">
        <v>11</v>
      </c>
      <c r="C1927" s="280">
        <v>10</v>
      </c>
      <c r="D1927" s="281">
        <f t="shared" si="206"/>
        <v>44875</v>
      </c>
      <c r="E1927" s="282">
        <f t="shared" si="212"/>
        <v>44875</v>
      </c>
      <c r="F1927" s="472" t="s">
        <v>1295</v>
      </c>
      <c r="G1927" s="283" t="s">
        <v>86</v>
      </c>
      <c r="H1927" s="284" t="str" cm="1">
        <f t="array" ref="H1927">IFERROR(INDEX(INVESTOR_LIST[INVESTOR NAME],MATCH(I1927,INVESTOR_LIST[INVESTOR CODE],0),)," ")</f>
        <v xml:space="preserve"> </v>
      </c>
      <c r="I1927" s="284"/>
      <c r="J1927" s="285" t="s">
        <v>131</v>
      </c>
      <c r="K1927" s="286">
        <v>51041.67</v>
      </c>
      <c r="L1927" s="286"/>
    </row>
    <row r="1928" spans="1:13" ht="11.25" customHeight="1" x14ac:dyDescent="0.2">
      <c r="A1928" s="287">
        <v>2022</v>
      </c>
      <c r="B1928" s="287">
        <v>11</v>
      </c>
      <c r="C1928" s="287">
        <v>10</v>
      </c>
      <c r="D1928" s="288">
        <f t="shared" si="206"/>
        <v>44875</v>
      </c>
      <c r="E1928" s="289">
        <f t="shared" si="212"/>
        <v>44875</v>
      </c>
      <c r="F1928" s="473"/>
      <c r="G1928" s="290" t="s">
        <v>86</v>
      </c>
      <c r="H1928" s="291" t="str" cm="1">
        <f t="array" ref="H1928">IFERROR(INDEX(INVESTOR_LIST[INVESTOR NAME],MATCH(I1928,INVESTOR_LIST[INVESTOR CODE],0),)," ")</f>
        <v xml:space="preserve"> </v>
      </c>
      <c r="I1928" s="291"/>
      <c r="J1928" s="292" t="s">
        <v>174</v>
      </c>
      <c r="K1928" s="293"/>
      <c r="L1928" s="293">
        <v>51041.67</v>
      </c>
    </row>
    <row r="1929" spans="1:13" ht="11.25" customHeight="1" x14ac:dyDescent="0.2">
      <c r="A1929" s="280">
        <v>2022</v>
      </c>
      <c r="B1929" s="280">
        <v>11</v>
      </c>
      <c r="C1929" s="280">
        <v>10</v>
      </c>
      <c r="D1929" s="281">
        <f t="shared" ref="D1929:D1992" si="213">DATE(A1929,B1929,C1929)</f>
        <v>44875</v>
      </c>
      <c r="E1929" s="282">
        <f t="shared" si="212"/>
        <v>44875</v>
      </c>
      <c r="F1929" s="472" t="s">
        <v>1296</v>
      </c>
      <c r="G1929" s="283" t="s">
        <v>86</v>
      </c>
      <c r="H1929" s="284" t="str" cm="1">
        <f t="array" ref="H1929">IFERROR(INDEX(INVESTOR_LIST[INVESTOR NAME],MATCH(I1929,INVESTOR_LIST[INVESTOR CODE],0),)," ")</f>
        <v xml:space="preserve"> </v>
      </c>
      <c r="I1929" s="284"/>
      <c r="J1929" s="285" t="s">
        <v>131</v>
      </c>
      <c r="K1929" s="286">
        <v>112965.44</v>
      </c>
      <c r="L1929" s="286"/>
    </row>
    <row r="1930" spans="1:13" ht="11.25" customHeight="1" x14ac:dyDescent="0.2">
      <c r="A1930" s="287">
        <v>2022</v>
      </c>
      <c r="B1930" s="287">
        <v>11</v>
      </c>
      <c r="C1930" s="287">
        <v>10</v>
      </c>
      <c r="D1930" s="288">
        <f t="shared" si="213"/>
        <v>44875</v>
      </c>
      <c r="E1930" s="289">
        <f t="shared" si="212"/>
        <v>44875</v>
      </c>
      <c r="F1930" s="473"/>
      <c r="G1930" s="290" t="s">
        <v>86</v>
      </c>
      <c r="H1930" s="291" t="str" cm="1">
        <f t="array" ref="H1930">IFERROR(INDEX(INVESTOR_LIST[INVESTOR NAME],MATCH(I1930,INVESTOR_LIST[INVESTOR CODE],0),)," ")</f>
        <v xml:space="preserve"> </v>
      </c>
      <c r="I1930" s="291"/>
      <c r="J1930" s="292" t="s">
        <v>174</v>
      </c>
      <c r="K1930" s="293"/>
      <c r="L1930" s="293">
        <v>112965.44</v>
      </c>
    </row>
    <row r="1931" spans="1:13" ht="11.25" customHeight="1" x14ac:dyDescent="0.2">
      <c r="A1931" s="236">
        <v>2022</v>
      </c>
      <c r="B1931" s="236">
        <v>11</v>
      </c>
      <c r="C1931" s="236">
        <v>10</v>
      </c>
      <c r="D1931" s="237">
        <f t="shared" si="213"/>
        <v>44875</v>
      </c>
      <c r="E1931" s="238">
        <f t="shared" si="212"/>
        <v>44875</v>
      </c>
      <c r="F1931" s="476" t="s">
        <v>1118</v>
      </c>
      <c r="G1931" s="239" t="s">
        <v>86</v>
      </c>
      <c r="H1931" s="239" t="str" cm="1">
        <f t="array" ref="H1931">IFERROR(INDEX(INVESTOR_LIST[INVESTOR NAME],MATCH(I1931,INVESTOR_LIST[INVESTOR CODE],0),)," ")</f>
        <v xml:space="preserve"> </v>
      </c>
      <c r="I1931" s="240"/>
      <c r="J1931" s="241" t="s">
        <v>98</v>
      </c>
      <c r="K1931" s="242">
        <v>15121.839999988675</v>
      </c>
      <c r="L1931" s="242"/>
    </row>
    <row r="1932" spans="1:13" ht="11.25" customHeight="1" x14ac:dyDescent="0.2">
      <c r="A1932" s="243">
        <v>2022</v>
      </c>
      <c r="B1932" s="243">
        <v>11</v>
      </c>
      <c r="C1932" s="243">
        <v>10</v>
      </c>
      <c r="D1932" s="248">
        <f t="shared" si="213"/>
        <v>44875</v>
      </c>
      <c r="E1932" s="249">
        <f t="shared" si="212"/>
        <v>44875</v>
      </c>
      <c r="F1932" s="477"/>
      <c r="G1932" s="244" t="s">
        <v>86</v>
      </c>
      <c r="H1932" s="244" t="str" cm="1">
        <f t="array" ref="H1932">IFERROR(INDEX(INVESTOR_LIST[INVESTOR NAME],MATCH(I1932,INVESTOR_LIST[INVESTOR CODE],0),)," ")</f>
        <v xml:space="preserve"> </v>
      </c>
      <c r="I1932" s="245"/>
      <c r="J1932" s="246" t="s">
        <v>82</v>
      </c>
      <c r="K1932" s="247"/>
      <c r="L1932" s="247">
        <v>15121.839999988675</v>
      </c>
    </row>
    <row r="1933" spans="1:13" ht="11.25" customHeight="1" x14ac:dyDescent="0.2">
      <c r="A1933" s="236">
        <v>2022</v>
      </c>
      <c r="B1933" s="236">
        <v>11</v>
      </c>
      <c r="C1933" s="236">
        <v>10</v>
      </c>
      <c r="D1933" s="237">
        <f t="shared" si="213"/>
        <v>44875</v>
      </c>
      <c r="E1933" s="238">
        <f t="shared" si="212"/>
        <v>44875</v>
      </c>
      <c r="F1933" s="476" t="s">
        <v>1120</v>
      </c>
      <c r="G1933" s="239" t="s">
        <v>86</v>
      </c>
      <c r="H1933" s="239" t="str" cm="1">
        <f t="array" ref="H1933">IFERROR(INDEX(INVESTOR_LIST[INVESTOR NAME],MATCH(I1933,INVESTOR_LIST[INVESTOR CODE],0),)," ")</f>
        <v xml:space="preserve"> </v>
      </c>
      <c r="I1933" s="240"/>
      <c r="J1933" s="241" t="s">
        <v>87</v>
      </c>
      <c r="K1933" s="242">
        <v>2747.2527472527472</v>
      </c>
      <c r="L1933" s="242"/>
    </row>
    <row r="1934" spans="1:13" ht="11.25" customHeight="1" x14ac:dyDescent="0.2">
      <c r="A1934" s="243">
        <v>2022</v>
      </c>
      <c r="B1934" s="243">
        <v>11</v>
      </c>
      <c r="C1934" s="243">
        <v>10</v>
      </c>
      <c r="D1934" s="248">
        <f t="shared" si="213"/>
        <v>44875</v>
      </c>
      <c r="E1934" s="249">
        <f t="shared" si="212"/>
        <v>44875</v>
      </c>
      <c r="F1934" s="477"/>
      <c r="G1934" s="244" t="s">
        <v>86</v>
      </c>
      <c r="H1934" s="244" t="str" cm="1">
        <f t="array" ref="H1934">IFERROR(INDEX(INVESTOR_LIST[INVESTOR NAME],MATCH(I1934,INVESTOR_LIST[INVESTOR CODE],0),)," ")</f>
        <v xml:space="preserve"> </v>
      </c>
      <c r="I1934" s="245"/>
      <c r="J1934" s="246" t="s">
        <v>64</v>
      </c>
      <c r="K1934" s="247"/>
      <c r="L1934" s="247">
        <v>2747.2527472527472</v>
      </c>
    </row>
    <row r="1935" spans="1:13" ht="11.25" customHeight="1" x14ac:dyDescent="0.2">
      <c r="A1935" s="236">
        <v>2022</v>
      </c>
      <c r="B1935" s="236">
        <v>11</v>
      </c>
      <c r="C1935" s="236">
        <v>10</v>
      </c>
      <c r="D1935" s="237">
        <f t="shared" si="213"/>
        <v>44875</v>
      </c>
      <c r="E1935" s="238">
        <f t="shared" si="212"/>
        <v>44875</v>
      </c>
      <c r="F1935" s="476" t="s">
        <v>1121</v>
      </c>
      <c r="G1935" s="239" t="s">
        <v>86</v>
      </c>
      <c r="H1935" s="239" t="str" cm="1">
        <f t="array" ref="H1935">IFERROR(INDEX(INVESTOR_LIST[INVESTOR NAME],MATCH(I1935,INVESTOR_LIST[INVESTOR CODE],0),)," ")</f>
        <v xml:space="preserve"> </v>
      </c>
      <c r="I1935" s="240"/>
      <c r="J1935" s="241" t="s">
        <v>89</v>
      </c>
      <c r="K1935" s="242">
        <v>87774.790046246257</v>
      </c>
      <c r="L1935" s="242"/>
    </row>
    <row r="1936" spans="1:13" ht="11.25" customHeight="1" x14ac:dyDescent="0.2">
      <c r="A1936" s="243">
        <v>2022</v>
      </c>
      <c r="B1936" s="243">
        <v>11</v>
      </c>
      <c r="C1936" s="243">
        <v>10</v>
      </c>
      <c r="D1936" s="248">
        <f t="shared" si="213"/>
        <v>44875</v>
      </c>
      <c r="E1936" s="249">
        <f t="shared" si="212"/>
        <v>44875</v>
      </c>
      <c r="F1936" s="477"/>
      <c r="G1936" s="244" t="s">
        <v>86</v>
      </c>
      <c r="H1936" s="244" t="str" cm="1">
        <f t="array" ref="H1936">IFERROR(INDEX(INVESTOR_LIST[INVESTOR NAME],MATCH(I1936,INVESTOR_LIST[INVESTOR CODE],0),)," ")</f>
        <v xml:space="preserve"> </v>
      </c>
      <c r="I1936" s="245"/>
      <c r="J1936" s="246" t="s">
        <v>50</v>
      </c>
      <c r="K1936" s="247"/>
      <c r="L1936" s="247">
        <v>87774.790046246257</v>
      </c>
    </row>
    <row r="1937" spans="1:13" ht="11.25" customHeight="1" x14ac:dyDescent="0.2">
      <c r="A1937" s="236">
        <v>2022</v>
      </c>
      <c r="B1937" s="236">
        <v>11</v>
      </c>
      <c r="C1937" s="236">
        <v>10</v>
      </c>
      <c r="D1937" s="237">
        <f t="shared" si="213"/>
        <v>44875</v>
      </c>
      <c r="E1937" s="238">
        <f t="shared" si="212"/>
        <v>44875</v>
      </c>
      <c r="F1937" s="476" t="s">
        <v>1122</v>
      </c>
      <c r="G1937" s="239" t="s">
        <v>86</v>
      </c>
      <c r="H1937" s="239" t="str" cm="1">
        <f t="array" ref="H1937">IFERROR(INDEX(INVESTOR_LIST[INVESTOR NAME],MATCH(I1937,INVESTOR_LIST[INVESTOR CODE],0),)," ")</f>
        <v xml:space="preserve"> </v>
      </c>
      <c r="I1937" s="240"/>
      <c r="J1937" s="241" t="s">
        <v>91</v>
      </c>
      <c r="K1937" s="242">
        <v>4148.3548869276965</v>
      </c>
      <c r="L1937" s="242"/>
    </row>
    <row r="1938" spans="1:13" ht="11.25" customHeight="1" x14ac:dyDescent="0.2">
      <c r="A1938" s="243">
        <v>2022</v>
      </c>
      <c r="B1938" s="243">
        <v>11</v>
      </c>
      <c r="C1938" s="243">
        <v>10</v>
      </c>
      <c r="D1938" s="248">
        <f t="shared" si="213"/>
        <v>44875</v>
      </c>
      <c r="E1938" s="249">
        <f t="shared" si="212"/>
        <v>44875</v>
      </c>
      <c r="F1938" s="477"/>
      <c r="G1938" s="244" t="s">
        <v>86</v>
      </c>
      <c r="H1938" s="244" t="str" cm="1">
        <f t="array" ref="H1938">IFERROR(INDEX(INVESTOR_LIST[INVESTOR NAME],MATCH(I1938,INVESTOR_LIST[INVESTOR CODE],0),)," ")</f>
        <v xml:space="preserve"> </v>
      </c>
      <c r="I1938" s="245"/>
      <c r="J1938" s="246" t="s">
        <v>51</v>
      </c>
      <c r="K1938" s="247"/>
      <c r="L1938" s="247">
        <v>4148.3548869276965</v>
      </c>
    </row>
    <row r="1939" spans="1:13" ht="11.25" customHeight="1" x14ac:dyDescent="0.2">
      <c r="A1939" s="221">
        <v>2022</v>
      </c>
      <c r="B1939" s="221">
        <v>11</v>
      </c>
      <c r="C1939" s="221">
        <v>13</v>
      </c>
      <c r="D1939" s="231">
        <f t="shared" si="213"/>
        <v>44878</v>
      </c>
      <c r="E1939" s="233">
        <f t="shared" si="212"/>
        <v>44878</v>
      </c>
      <c r="F1939" s="478" t="s">
        <v>1320</v>
      </c>
      <c r="G1939" s="222" t="s">
        <v>1111</v>
      </c>
      <c r="H1939" s="223" t="str" cm="1">
        <f t="array" ref="H1939">IFERROR(INDEX(INVESTOR_LIST[INVESTOR NAME],MATCH(I1939,INVESTOR_LIST[INVESTOR CODE],0),)," ")</f>
        <v xml:space="preserve"> </v>
      </c>
      <c r="I1939" s="223"/>
      <c r="J1939" s="224" t="s">
        <v>95</v>
      </c>
      <c r="K1939" s="225">
        <v>2096.77</v>
      </c>
      <c r="L1939" s="225"/>
    </row>
    <row r="1940" spans="1:13" ht="11.25" customHeight="1" x14ac:dyDescent="0.2">
      <c r="A1940" s="226">
        <v>2022</v>
      </c>
      <c r="B1940" s="226">
        <v>11</v>
      </c>
      <c r="C1940" s="226">
        <v>13</v>
      </c>
      <c r="D1940" s="232">
        <f t="shared" si="213"/>
        <v>44878</v>
      </c>
      <c r="E1940" s="234">
        <f t="shared" si="212"/>
        <v>44878</v>
      </c>
      <c r="F1940" s="479"/>
      <c r="G1940" s="227" t="s">
        <v>1111</v>
      </c>
      <c r="H1940" s="228" t="str" cm="1">
        <f t="array" ref="H1940">IFERROR(INDEX(INVESTOR_LIST[INVESTOR NAME],MATCH(I1940,INVESTOR_LIST[INVESTOR CODE],0),)," ")</f>
        <v xml:space="preserve"> </v>
      </c>
      <c r="I1940" s="228"/>
      <c r="J1940" s="229" t="s">
        <v>55</v>
      </c>
      <c r="K1940" s="230"/>
      <c r="L1940" s="230">
        <v>2096.77</v>
      </c>
    </row>
    <row r="1941" spans="1:13" ht="11.25" customHeight="1" x14ac:dyDescent="0.2">
      <c r="A1941" s="221">
        <v>2022</v>
      </c>
      <c r="B1941" s="221">
        <v>11</v>
      </c>
      <c r="C1941" s="221">
        <v>14</v>
      </c>
      <c r="D1941" s="231">
        <f t="shared" si="213"/>
        <v>44879</v>
      </c>
      <c r="E1941" s="233">
        <f t="shared" si="212"/>
        <v>44879</v>
      </c>
      <c r="F1941" s="478" t="s">
        <v>1115</v>
      </c>
      <c r="G1941" s="222" t="s">
        <v>1111</v>
      </c>
      <c r="H1941" s="223" t="str" cm="1">
        <f t="array" ref="H1941">IFERROR(INDEX(INVESTOR_LIST[INVESTOR NAME],MATCH(I1941,INVESTOR_LIST[INVESTOR CODE],0),)," ")</f>
        <v>MOHAMMAD AMDADUL HOQUE</v>
      </c>
      <c r="I1941" s="223" t="s">
        <v>906</v>
      </c>
      <c r="J1941" s="224" t="s">
        <v>14</v>
      </c>
      <c r="K1941" s="225">
        <v>1000000</v>
      </c>
      <c r="L1941" s="225"/>
    </row>
    <row r="1942" spans="1:13" ht="11.25" customHeight="1" x14ac:dyDescent="0.2">
      <c r="A1942" s="164">
        <v>2022</v>
      </c>
      <c r="B1942" s="164">
        <v>11</v>
      </c>
      <c r="C1942" s="164">
        <v>14</v>
      </c>
      <c r="D1942" s="156">
        <f t="shared" si="213"/>
        <v>44879</v>
      </c>
      <c r="E1942" s="235">
        <f t="shared" si="212"/>
        <v>44879</v>
      </c>
      <c r="F1942" s="480"/>
      <c r="G1942" s="208" t="s">
        <v>1111</v>
      </c>
      <c r="H1942" s="206" t="str" cm="1">
        <f t="array" ref="H1942">IFERROR(INDEX(INVESTOR_LIST[INVESTOR NAME],MATCH(I1942,INVESTOR_LIST[INVESTOR CODE],0),)," ")</f>
        <v>MOHAMMAD AMDADUL HOQUE</v>
      </c>
      <c r="I1942" s="206" t="s">
        <v>906</v>
      </c>
      <c r="J1942" s="165" t="s">
        <v>1112</v>
      </c>
      <c r="K1942" s="156"/>
      <c r="L1942" s="167">
        <v>9000</v>
      </c>
    </row>
    <row r="1943" spans="1:13" ht="11.25" customHeight="1" x14ac:dyDescent="0.2">
      <c r="A1943" s="226">
        <v>2022</v>
      </c>
      <c r="B1943" s="226">
        <v>11</v>
      </c>
      <c r="C1943" s="226">
        <v>14</v>
      </c>
      <c r="D1943" s="232">
        <f t="shared" si="213"/>
        <v>44879</v>
      </c>
      <c r="E1943" s="234">
        <f t="shared" si="212"/>
        <v>44879</v>
      </c>
      <c r="F1943" s="479"/>
      <c r="G1943" s="227" t="s">
        <v>1111</v>
      </c>
      <c r="H1943" s="228" t="str" cm="1">
        <f t="array" ref="H1943">IFERROR(INDEX(INVESTOR_LIST[INVESTOR NAME],MATCH(I1943,INVESTOR_LIST[INVESTOR CODE],0),)," ")</f>
        <v>MOHAMMAD AMDADUL HOQUE</v>
      </c>
      <c r="I1943" s="228" t="s">
        <v>906</v>
      </c>
      <c r="J1943" s="229" t="s">
        <v>55</v>
      </c>
      <c r="K1943" s="230"/>
      <c r="L1943" s="230">
        <v>991000</v>
      </c>
    </row>
    <row r="1944" spans="1:13" ht="11.25" customHeight="1" x14ac:dyDescent="0.2">
      <c r="A1944" s="221">
        <v>2022</v>
      </c>
      <c r="B1944" s="221">
        <v>11</v>
      </c>
      <c r="C1944" s="221">
        <v>15</v>
      </c>
      <c r="D1944" s="231">
        <f t="shared" si="213"/>
        <v>44880</v>
      </c>
      <c r="E1944" s="233">
        <f>DATE(A1944,B1944,C1944)</f>
        <v>44880</v>
      </c>
      <c r="F1944" s="478" t="s">
        <v>1321</v>
      </c>
      <c r="G1944" s="222" t="s">
        <v>1111</v>
      </c>
      <c r="H1944" s="223" t="str" cm="1">
        <f t="array" ref="H1944">IFERROR(INDEX(INVESTOR_LIST[INVESTOR NAME],MATCH(I1944,INVESTOR_LIST[INVESTOR CODE],0),)," ")</f>
        <v xml:space="preserve"> </v>
      </c>
      <c r="I1944" s="223"/>
      <c r="J1944" s="224" t="s">
        <v>189</v>
      </c>
      <c r="K1944" s="225">
        <v>1575</v>
      </c>
      <c r="L1944" s="225"/>
    </row>
    <row r="1945" spans="1:13" ht="11.25" customHeight="1" x14ac:dyDescent="0.2">
      <c r="A1945" s="226">
        <v>2022</v>
      </c>
      <c r="B1945" s="226">
        <v>11</v>
      </c>
      <c r="C1945" s="226">
        <v>15</v>
      </c>
      <c r="D1945" s="232">
        <f t="shared" si="213"/>
        <v>44880</v>
      </c>
      <c r="E1945" s="234">
        <f>DATE(A1945,B1945,C1945)</f>
        <v>44880</v>
      </c>
      <c r="F1945" s="479"/>
      <c r="G1945" s="227" t="s">
        <v>1111</v>
      </c>
      <c r="H1945" s="228" t="str" cm="1">
        <f t="array" ref="H1945">IFERROR(INDEX(INVESTOR_LIST[INVESTOR NAME],MATCH(I1945,INVESTOR_LIST[INVESTOR CODE],0),)," ")</f>
        <v xml:space="preserve"> </v>
      </c>
      <c r="I1945" s="228"/>
      <c r="J1945" s="229" t="s">
        <v>55</v>
      </c>
      <c r="K1945" s="230"/>
      <c r="L1945" s="230">
        <v>1575</v>
      </c>
    </row>
    <row r="1946" spans="1:13" ht="11.25" customHeight="1" x14ac:dyDescent="0.2">
      <c r="A1946" s="221">
        <v>2022</v>
      </c>
      <c r="B1946" s="221">
        <v>11</v>
      </c>
      <c r="C1946" s="221">
        <v>16</v>
      </c>
      <c r="D1946" s="231">
        <f t="shared" si="213"/>
        <v>44881</v>
      </c>
      <c r="E1946" s="233">
        <f t="shared" ref="E1946:E1965" si="214">DATE(A1946,B1946,C1946)</f>
        <v>44881</v>
      </c>
      <c r="F1946" s="478" t="s">
        <v>1115</v>
      </c>
      <c r="G1946" s="222" t="s">
        <v>1111</v>
      </c>
      <c r="H1946" s="223" t="str" cm="1">
        <f t="array" ref="H1946">IFERROR(INDEX(INVESTOR_LIST[INVESTOR NAME],MATCH(I1946,INVESTOR_LIST[INVESTOR CODE],0),)," ")</f>
        <v>NAYEEMA TASNEEM</v>
      </c>
      <c r="I1946" s="223" t="s">
        <v>922</v>
      </c>
      <c r="J1946" s="224" t="s">
        <v>14</v>
      </c>
      <c r="K1946" s="225">
        <v>151210</v>
      </c>
      <c r="L1946" s="225"/>
    </row>
    <row r="1947" spans="1:13" ht="11.25" customHeight="1" x14ac:dyDescent="0.2">
      <c r="A1947" s="164">
        <v>2022</v>
      </c>
      <c r="B1947" s="164">
        <v>11</v>
      </c>
      <c r="C1947" s="164">
        <v>16</v>
      </c>
      <c r="D1947" s="156">
        <f t="shared" si="213"/>
        <v>44881</v>
      </c>
      <c r="E1947" s="235">
        <f t="shared" si="214"/>
        <v>44881</v>
      </c>
      <c r="F1947" s="480"/>
      <c r="G1947" s="208" t="s">
        <v>1111</v>
      </c>
      <c r="H1947" s="206" t="str" cm="1">
        <f t="array" ref="H1947">IFERROR(INDEX(INVESTOR_LIST[INVESTOR NAME],MATCH(I1947,INVESTOR_LIST[INVESTOR CODE],0),)," ")</f>
        <v>NAYEEMA TASNEEM</v>
      </c>
      <c r="I1947" s="206" t="s">
        <v>922</v>
      </c>
      <c r="J1947" s="165" t="s">
        <v>1112</v>
      </c>
      <c r="K1947" s="156"/>
      <c r="L1947" s="167">
        <v>1210</v>
      </c>
    </row>
    <row r="1948" spans="1:13" ht="11.25" customHeight="1" x14ac:dyDescent="0.2">
      <c r="A1948" s="226">
        <v>2022</v>
      </c>
      <c r="B1948" s="226">
        <v>11</v>
      </c>
      <c r="C1948" s="226">
        <v>16</v>
      </c>
      <c r="D1948" s="232">
        <f t="shared" si="213"/>
        <v>44881</v>
      </c>
      <c r="E1948" s="234">
        <f t="shared" si="214"/>
        <v>44881</v>
      </c>
      <c r="F1948" s="479"/>
      <c r="G1948" s="227" t="s">
        <v>1111</v>
      </c>
      <c r="H1948" s="228" t="str" cm="1">
        <f t="array" ref="H1948">IFERROR(INDEX(INVESTOR_LIST[INVESTOR NAME],MATCH(I1948,INVESTOR_LIST[INVESTOR CODE],0),)," ")</f>
        <v>NAYEEMA TASNEEM</v>
      </c>
      <c r="I1948" s="228" t="s">
        <v>922</v>
      </c>
      <c r="J1948" s="229" t="s">
        <v>55</v>
      </c>
      <c r="K1948" s="230"/>
      <c r="L1948" s="230">
        <v>150000</v>
      </c>
    </row>
    <row r="1949" spans="1:13" ht="11.25" customHeight="1" x14ac:dyDescent="0.2">
      <c r="A1949" s="221">
        <v>2022</v>
      </c>
      <c r="B1949" s="221">
        <v>11</v>
      </c>
      <c r="C1949" s="221">
        <v>17</v>
      </c>
      <c r="D1949" s="231">
        <f t="shared" si="213"/>
        <v>44882</v>
      </c>
      <c r="E1949" s="233">
        <f t="shared" si="214"/>
        <v>44882</v>
      </c>
      <c r="F1949" s="478" t="s">
        <v>1323</v>
      </c>
      <c r="G1949" s="222" t="s">
        <v>1111</v>
      </c>
      <c r="H1949" s="223" t="str" cm="1">
        <f t="array" ref="H1949">IFERROR(INDEX(INVESTOR_LIST[INVESTOR NAME],MATCH(I1949,INVESTOR_LIST[INVESTOR CODE],0),)," ")</f>
        <v>SHUVA SAHA</v>
      </c>
      <c r="I1949" s="223" t="s">
        <v>370</v>
      </c>
      <c r="J1949" s="224" t="s">
        <v>55</v>
      </c>
      <c r="K1949" s="225">
        <v>1000000</v>
      </c>
      <c r="L1949" s="225"/>
    </row>
    <row r="1950" spans="1:13" ht="11.25" customHeight="1" x14ac:dyDescent="0.2">
      <c r="A1950" s="164">
        <v>2022</v>
      </c>
      <c r="B1950" s="164">
        <v>11</v>
      </c>
      <c r="C1950" s="164">
        <v>17</v>
      </c>
      <c r="D1950" s="156">
        <f t="shared" si="213"/>
        <v>44882</v>
      </c>
      <c r="E1950" s="235">
        <f t="shared" si="214"/>
        <v>44882</v>
      </c>
      <c r="F1950" s="480"/>
      <c r="G1950" s="208" t="s">
        <v>1111</v>
      </c>
      <c r="H1950" s="206" t="str" cm="1">
        <f t="array" ref="H1950">IFERROR(INDEX(INVESTOR_LIST[INVESTOR NAME],MATCH(I1950,INVESTOR_LIST[INVESTOR CODE],0),)," ")</f>
        <v>SHUVA SAHA</v>
      </c>
      <c r="I1950" s="206" t="s">
        <v>370</v>
      </c>
      <c r="J1950" s="165" t="s">
        <v>1112</v>
      </c>
      <c r="K1950" s="205">
        <v>8060</v>
      </c>
      <c r="L1950" s="205"/>
      <c r="M1950" s="166"/>
    </row>
    <row r="1951" spans="1:13" ht="11.25" customHeight="1" x14ac:dyDescent="0.2">
      <c r="A1951" s="226">
        <v>2022</v>
      </c>
      <c r="B1951" s="226">
        <v>11</v>
      </c>
      <c r="C1951" s="226">
        <v>17</v>
      </c>
      <c r="D1951" s="232">
        <f t="shared" si="213"/>
        <v>44882</v>
      </c>
      <c r="E1951" s="234">
        <f t="shared" si="214"/>
        <v>44882</v>
      </c>
      <c r="F1951" s="479"/>
      <c r="G1951" s="227" t="s">
        <v>1111</v>
      </c>
      <c r="H1951" s="228" t="str" cm="1">
        <f t="array" ref="H1951">IFERROR(INDEX(INVESTOR_LIST[INVESTOR NAME],MATCH(I1951,INVESTOR_LIST[INVESTOR CODE],0),)," ")</f>
        <v>SHUVA SAHA</v>
      </c>
      <c r="I1951" s="228" t="s">
        <v>370</v>
      </c>
      <c r="J1951" s="229" t="s">
        <v>14</v>
      </c>
      <c r="K1951" s="230"/>
      <c r="L1951" s="230">
        <v>1008060</v>
      </c>
    </row>
    <row r="1952" spans="1:13" ht="11.25" customHeight="1" x14ac:dyDescent="0.2">
      <c r="A1952" s="280">
        <v>2022</v>
      </c>
      <c r="B1952" s="280">
        <v>11</v>
      </c>
      <c r="C1952" s="280">
        <v>17</v>
      </c>
      <c r="D1952" s="281">
        <f t="shared" si="213"/>
        <v>44882</v>
      </c>
      <c r="E1952" s="282">
        <f t="shared" si="214"/>
        <v>44882</v>
      </c>
      <c r="F1952" s="472" t="s">
        <v>1294</v>
      </c>
      <c r="G1952" s="283" t="s">
        <v>86</v>
      </c>
      <c r="H1952" s="284" t="str" cm="1">
        <f t="array" ref="H1952">IFERROR(INDEX(INVESTOR_LIST[INVESTOR NAME],MATCH(I1952,INVESTOR_LIST[INVESTOR CODE],0),)," ")</f>
        <v xml:space="preserve"> </v>
      </c>
      <c r="I1952" s="284"/>
      <c r="J1952" s="285" t="s">
        <v>131</v>
      </c>
      <c r="K1952" s="286">
        <v>7031.25</v>
      </c>
      <c r="L1952" s="286"/>
    </row>
    <row r="1953" spans="1:13" ht="11.25" customHeight="1" x14ac:dyDescent="0.2">
      <c r="A1953" s="287">
        <v>2022</v>
      </c>
      <c r="B1953" s="287">
        <v>11</v>
      </c>
      <c r="C1953" s="287">
        <v>17</v>
      </c>
      <c r="D1953" s="288">
        <f t="shared" si="213"/>
        <v>44882</v>
      </c>
      <c r="E1953" s="289">
        <f t="shared" si="214"/>
        <v>44882</v>
      </c>
      <c r="F1953" s="473"/>
      <c r="G1953" s="290" t="s">
        <v>86</v>
      </c>
      <c r="H1953" s="291" t="str" cm="1">
        <f t="array" ref="H1953">IFERROR(INDEX(INVESTOR_LIST[INVESTOR NAME],MATCH(I1953,INVESTOR_LIST[INVESTOR CODE],0),)," ")</f>
        <v xml:space="preserve"> </v>
      </c>
      <c r="I1953" s="291"/>
      <c r="J1953" s="292" t="s">
        <v>174</v>
      </c>
      <c r="K1953" s="293"/>
      <c r="L1953" s="293">
        <v>7031.25</v>
      </c>
    </row>
    <row r="1954" spans="1:13" ht="11.25" customHeight="1" x14ac:dyDescent="0.2">
      <c r="A1954" s="280">
        <v>2022</v>
      </c>
      <c r="B1954" s="280">
        <v>11</v>
      </c>
      <c r="C1954" s="280">
        <v>17</v>
      </c>
      <c r="D1954" s="281">
        <f t="shared" si="213"/>
        <v>44882</v>
      </c>
      <c r="E1954" s="282">
        <f t="shared" si="214"/>
        <v>44882</v>
      </c>
      <c r="F1954" s="472" t="s">
        <v>1295</v>
      </c>
      <c r="G1954" s="283" t="s">
        <v>86</v>
      </c>
      <c r="H1954" s="284" t="str" cm="1">
        <f t="array" ref="H1954">IFERROR(INDEX(INVESTOR_LIST[INVESTOR NAME],MATCH(I1954,INVESTOR_LIST[INVESTOR CODE],0),)," ")</f>
        <v xml:space="preserve"> </v>
      </c>
      <c r="I1954" s="284"/>
      <c r="J1954" s="285" t="s">
        <v>131</v>
      </c>
      <c r="K1954" s="286">
        <v>51041.67</v>
      </c>
      <c r="L1954" s="286"/>
    </row>
    <row r="1955" spans="1:13" ht="11.25" customHeight="1" x14ac:dyDescent="0.2">
      <c r="A1955" s="287">
        <v>2022</v>
      </c>
      <c r="B1955" s="287">
        <v>11</v>
      </c>
      <c r="C1955" s="287">
        <v>17</v>
      </c>
      <c r="D1955" s="288">
        <f t="shared" si="213"/>
        <v>44882</v>
      </c>
      <c r="E1955" s="289">
        <f t="shared" si="214"/>
        <v>44882</v>
      </c>
      <c r="F1955" s="473"/>
      <c r="G1955" s="290" t="s">
        <v>86</v>
      </c>
      <c r="H1955" s="291" t="str" cm="1">
        <f t="array" ref="H1955">IFERROR(INDEX(INVESTOR_LIST[INVESTOR NAME],MATCH(I1955,INVESTOR_LIST[INVESTOR CODE],0),)," ")</f>
        <v xml:space="preserve"> </v>
      </c>
      <c r="I1955" s="291"/>
      <c r="J1955" s="292" t="s">
        <v>174</v>
      </c>
      <c r="K1955" s="293"/>
      <c r="L1955" s="293">
        <v>51041.67</v>
      </c>
    </row>
    <row r="1956" spans="1:13" ht="11.25" customHeight="1" x14ac:dyDescent="0.2">
      <c r="A1956" s="280">
        <v>2022</v>
      </c>
      <c r="B1956" s="280">
        <v>11</v>
      </c>
      <c r="C1956" s="280">
        <v>17</v>
      </c>
      <c r="D1956" s="281">
        <f t="shared" si="213"/>
        <v>44882</v>
      </c>
      <c r="E1956" s="282">
        <f t="shared" si="214"/>
        <v>44882</v>
      </c>
      <c r="F1956" s="472" t="s">
        <v>1296</v>
      </c>
      <c r="G1956" s="283" t="s">
        <v>86</v>
      </c>
      <c r="H1956" s="284" t="str" cm="1">
        <f t="array" ref="H1956">IFERROR(INDEX(INVESTOR_LIST[INVESTOR NAME],MATCH(I1956,INVESTOR_LIST[INVESTOR CODE],0),)," ")</f>
        <v xml:space="preserve"> </v>
      </c>
      <c r="I1956" s="284"/>
      <c r="J1956" s="285" t="s">
        <v>131</v>
      </c>
      <c r="K1956" s="286">
        <v>112965.44</v>
      </c>
      <c r="L1956" s="286"/>
    </row>
    <row r="1957" spans="1:13" ht="11.25" customHeight="1" x14ac:dyDescent="0.2">
      <c r="A1957" s="287">
        <v>2022</v>
      </c>
      <c r="B1957" s="287">
        <v>11</v>
      </c>
      <c r="C1957" s="287">
        <v>17</v>
      </c>
      <c r="D1957" s="288">
        <f t="shared" si="213"/>
        <v>44882</v>
      </c>
      <c r="E1957" s="289">
        <f t="shared" si="214"/>
        <v>44882</v>
      </c>
      <c r="F1957" s="473"/>
      <c r="G1957" s="290" t="s">
        <v>86</v>
      </c>
      <c r="H1957" s="291" t="str" cm="1">
        <f t="array" ref="H1957">IFERROR(INDEX(INVESTOR_LIST[INVESTOR NAME],MATCH(I1957,INVESTOR_LIST[INVESTOR CODE],0),)," ")</f>
        <v xml:space="preserve"> </v>
      </c>
      <c r="I1957" s="291"/>
      <c r="J1957" s="292" t="s">
        <v>174</v>
      </c>
      <c r="K1957" s="293"/>
      <c r="L1957" s="293">
        <v>112965.44</v>
      </c>
    </row>
    <row r="1958" spans="1:13" ht="11.25" customHeight="1" x14ac:dyDescent="0.2">
      <c r="A1958" s="236">
        <v>2022</v>
      </c>
      <c r="B1958" s="236">
        <v>11</v>
      </c>
      <c r="C1958" s="236">
        <v>17</v>
      </c>
      <c r="D1958" s="237">
        <f t="shared" si="213"/>
        <v>44882</v>
      </c>
      <c r="E1958" s="238">
        <f t="shared" si="214"/>
        <v>44882</v>
      </c>
      <c r="F1958" s="476" t="s">
        <v>1118</v>
      </c>
      <c r="G1958" s="239" t="s">
        <v>86</v>
      </c>
      <c r="H1958" s="239" t="str" cm="1">
        <f t="array" ref="H1958">IFERROR(INDEX(INVESTOR_LIST[INVESTOR NAME],MATCH(I1958,INVESTOR_LIST[INVESTOR CODE],0),)," ")</f>
        <v xml:space="preserve"> </v>
      </c>
      <c r="I1958" s="240"/>
      <c r="J1958" s="241" t="s">
        <v>98</v>
      </c>
      <c r="K1958" s="242">
        <v>167897.80000001192</v>
      </c>
      <c r="L1958" s="242"/>
    </row>
    <row r="1959" spans="1:13" ht="11.25" customHeight="1" x14ac:dyDescent="0.2">
      <c r="A1959" s="243">
        <v>2022</v>
      </c>
      <c r="B1959" s="243">
        <v>11</v>
      </c>
      <c r="C1959" s="243">
        <v>17</v>
      </c>
      <c r="D1959" s="248">
        <f t="shared" si="213"/>
        <v>44882</v>
      </c>
      <c r="E1959" s="249">
        <f t="shared" si="214"/>
        <v>44882</v>
      </c>
      <c r="F1959" s="477"/>
      <c r="G1959" s="244" t="s">
        <v>86</v>
      </c>
      <c r="H1959" s="244" t="str" cm="1">
        <f t="array" ref="H1959">IFERROR(INDEX(INVESTOR_LIST[INVESTOR NAME],MATCH(I1959,INVESTOR_LIST[INVESTOR CODE],0),)," ")</f>
        <v xml:space="preserve"> </v>
      </c>
      <c r="I1959" s="245"/>
      <c r="J1959" s="246" t="s">
        <v>82</v>
      </c>
      <c r="K1959" s="247"/>
      <c r="L1959" s="247">
        <v>167897.80000001192</v>
      </c>
    </row>
    <row r="1960" spans="1:13" ht="11.25" customHeight="1" x14ac:dyDescent="0.2">
      <c r="A1960" s="236">
        <v>2022</v>
      </c>
      <c r="B1960" s="236">
        <v>11</v>
      </c>
      <c r="C1960" s="236">
        <v>17</v>
      </c>
      <c r="D1960" s="237">
        <f t="shared" si="213"/>
        <v>44882</v>
      </c>
      <c r="E1960" s="238">
        <f t="shared" si="214"/>
        <v>44882</v>
      </c>
      <c r="F1960" s="476" t="s">
        <v>1120</v>
      </c>
      <c r="G1960" s="239" t="s">
        <v>86</v>
      </c>
      <c r="H1960" s="239" t="str" cm="1">
        <f t="array" ref="H1960">IFERROR(INDEX(INVESTOR_LIST[INVESTOR NAME],MATCH(I1960,INVESTOR_LIST[INVESTOR CODE],0),)," ")</f>
        <v xml:space="preserve"> </v>
      </c>
      <c r="I1960" s="240"/>
      <c r="J1960" s="241" t="s">
        <v>87</v>
      </c>
      <c r="K1960" s="242">
        <v>2747.2527472527472</v>
      </c>
      <c r="L1960" s="242"/>
    </row>
    <row r="1961" spans="1:13" ht="11.25" customHeight="1" x14ac:dyDescent="0.2">
      <c r="A1961" s="243">
        <v>2022</v>
      </c>
      <c r="B1961" s="243">
        <v>11</v>
      </c>
      <c r="C1961" s="243">
        <v>17</v>
      </c>
      <c r="D1961" s="248">
        <f t="shared" si="213"/>
        <v>44882</v>
      </c>
      <c r="E1961" s="249">
        <f t="shared" si="214"/>
        <v>44882</v>
      </c>
      <c r="F1961" s="477"/>
      <c r="G1961" s="244" t="s">
        <v>86</v>
      </c>
      <c r="H1961" s="244" t="str" cm="1">
        <f t="array" ref="H1961">IFERROR(INDEX(INVESTOR_LIST[INVESTOR NAME],MATCH(I1961,INVESTOR_LIST[INVESTOR CODE],0),)," ")</f>
        <v xml:space="preserve"> </v>
      </c>
      <c r="I1961" s="245"/>
      <c r="J1961" s="246" t="s">
        <v>64</v>
      </c>
      <c r="K1961" s="247"/>
      <c r="L1961" s="247">
        <v>2747.2527472527472</v>
      </c>
    </row>
    <row r="1962" spans="1:13" ht="11.25" customHeight="1" x14ac:dyDescent="0.2">
      <c r="A1962" s="236">
        <v>2022</v>
      </c>
      <c r="B1962" s="236">
        <v>11</v>
      </c>
      <c r="C1962" s="236">
        <v>17</v>
      </c>
      <c r="D1962" s="237">
        <f t="shared" si="213"/>
        <v>44882</v>
      </c>
      <c r="E1962" s="238">
        <f t="shared" si="214"/>
        <v>44882</v>
      </c>
      <c r="F1962" s="476" t="s">
        <v>1121</v>
      </c>
      <c r="G1962" s="239" t="s">
        <v>86</v>
      </c>
      <c r="H1962" s="239" t="str" cm="1">
        <f t="array" ref="H1962">IFERROR(INDEX(INVESTOR_LIST[INVESTOR NAME],MATCH(I1962,INVESTOR_LIST[INVESTOR CODE],0),)," ")</f>
        <v xml:space="preserve"> </v>
      </c>
      <c r="I1962" s="240"/>
      <c r="J1962" s="241" t="s">
        <v>89</v>
      </c>
      <c r="K1962" s="242">
        <v>87864.787735599937</v>
      </c>
      <c r="L1962" s="242"/>
    </row>
    <row r="1963" spans="1:13" ht="11.25" customHeight="1" x14ac:dyDescent="0.2">
      <c r="A1963" s="243">
        <v>2022</v>
      </c>
      <c r="B1963" s="243">
        <v>11</v>
      </c>
      <c r="C1963" s="243">
        <v>17</v>
      </c>
      <c r="D1963" s="248">
        <f t="shared" si="213"/>
        <v>44882</v>
      </c>
      <c r="E1963" s="249">
        <f t="shared" si="214"/>
        <v>44882</v>
      </c>
      <c r="F1963" s="477"/>
      <c r="G1963" s="244" t="s">
        <v>86</v>
      </c>
      <c r="H1963" s="244" t="str" cm="1">
        <f t="array" ref="H1963">IFERROR(INDEX(INVESTOR_LIST[INVESTOR NAME],MATCH(I1963,INVESTOR_LIST[INVESTOR CODE],0),)," ")</f>
        <v xml:space="preserve"> </v>
      </c>
      <c r="I1963" s="245"/>
      <c r="J1963" s="246" t="s">
        <v>50</v>
      </c>
      <c r="K1963" s="247"/>
      <c r="L1963" s="247">
        <v>87864.787735599937</v>
      </c>
    </row>
    <row r="1964" spans="1:13" ht="11.25" customHeight="1" x14ac:dyDescent="0.2">
      <c r="A1964" s="236">
        <v>2022</v>
      </c>
      <c r="B1964" s="236">
        <v>11</v>
      </c>
      <c r="C1964" s="236">
        <v>17</v>
      </c>
      <c r="D1964" s="237">
        <f t="shared" si="213"/>
        <v>44882</v>
      </c>
      <c r="E1964" s="238">
        <f t="shared" si="214"/>
        <v>44882</v>
      </c>
      <c r="F1964" s="476" t="s">
        <v>1122</v>
      </c>
      <c r="G1964" s="239" t="s">
        <v>86</v>
      </c>
      <c r="H1964" s="239" t="str" cm="1">
        <f t="array" ref="H1964">IFERROR(INDEX(INVESTOR_LIST[INVESTOR NAME],MATCH(I1964,INVESTOR_LIST[INVESTOR CODE],0),)," ")</f>
        <v xml:space="preserve"> </v>
      </c>
      <c r="I1964" s="240"/>
      <c r="J1964" s="241" t="s">
        <v>91</v>
      </c>
      <c r="K1964" s="242">
        <v>4152.8547713953812</v>
      </c>
      <c r="L1964" s="242"/>
    </row>
    <row r="1965" spans="1:13" ht="11.25" customHeight="1" x14ac:dyDescent="0.2">
      <c r="A1965" s="243">
        <v>2022</v>
      </c>
      <c r="B1965" s="243">
        <v>11</v>
      </c>
      <c r="C1965" s="243">
        <v>17</v>
      </c>
      <c r="D1965" s="248">
        <f t="shared" si="213"/>
        <v>44882</v>
      </c>
      <c r="E1965" s="249">
        <f t="shared" si="214"/>
        <v>44882</v>
      </c>
      <c r="F1965" s="477"/>
      <c r="G1965" s="244" t="s">
        <v>86</v>
      </c>
      <c r="H1965" s="244" t="str" cm="1">
        <f t="array" ref="H1965">IFERROR(INDEX(INVESTOR_LIST[INVESTOR NAME],MATCH(I1965,INVESTOR_LIST[INVESTOR CODE],0),)," ")</f>
        <v xml:space="preserve"> </v>
      </c>
      <c r="I1965" s="245"/>
      <c r="J1965" s="246" t="s">
        <v>51</v>
      </c>
      <c r="K1965" s="247"/>
      <c r="L1965" s="247">
        <v>4152.8547713953812</v>
      </c>
    </row>
    <row r="1966" spans="1:13" ht="11.25" customHeight="1" x14ac:dyDescent="0.2">
      <c r="A1966" s="221">
        <v>2022</v>
      </c>
      <c r="B1966" s="221">
        <v>11</v>
      </c>
      <c r="C1966" s="221">
        <v>20</v>
      </c>
      <c r="D1966" s="231">
        <f t="shared" si="213"/>
        <v>44885</v>
      </c>
      <c r="E1966" s="233">
        <f t="shared" ref="E1966:E1968" si="215">DATE(A1966,B1966,C1966)</f>
        <v>44885</v>
      </c>
      <c r="F1966" s="478" t="s">
        <v>1323</v>
      </c>
      <c r="G1966" s="222" t="s">
        <v>1111</v>
      </c>
      <c r="H1966" s="223" t="str" cm="1">
        <f t="array" ref="H1966">IFERROR(INDEX(INVESTOR_LIST[INVESTOR NAME],MATCH(I1966,INVESTOR_LIST[INVESTOR CODE],0),)," ")</f>
        <v>MOHAMMED ALI XAHANGIR</v>
      </c>
      <c r="I1966" s="223" t="s">
        <v>541</v>
      </c>
      <c r="J1966" s="224" t="s">
        <v>55</v>
      </c>
      <c r="K1966" s="225">
        <v>875000</v>
      </c>
      <c r="L1966" s="225"/>
    </row>
    <row r="1967" spans="1:13" ht="11.25" customHeight="1" x14ac:dyDescent="0.2">
      <c r="A1967" s="164">
        <v>2022</v>
      </c>
      <c r="B1967" s="164">
        <v>11</v>
      </c>
      <c r="C1967" s="164">
        <v>20</v>
      </c>
      <c r="D1967" s="156">
        <f t="shared" si="213"/>
        <v>44885</v>
      </c>
      <c r="E1967" s="235">
        <f t="shared" si="215"/>
        <v>44885</v>
      </c>
      <c r="F1967" s="480"/>
      <c r="G1967" s="208" t="s">
        <v>1111</v>
      </c>
      <c r="H1967" s="206" t="str" cm="1">
        <f t="array" ref="H1967">IFERROR(INDEX(INVESTOR_LIST[INVESTOR NAME],MATCH(I1967,INVESTOR_LIST[INVESTOR CODE],0),)," ")</f>
        <v>MOHAMMED ALI XAHANGIR</v>
      </c>
      <c r="I1967" s="206" t="s">
        <v>541</v>
      </c>
      <c r="J1967" s="165" t="s">
        <v>1112</v>
      </c>
      <c r="K1967" s="205">
        <v>6170</v>
      </c>
      <c r="L1967" s="205"/>
      <c r="M1967" s="166"/>
    </row>
    <row r="1968" spans="1:13" ht="11.25" customHeight="1" x14ac:dyDescent="0.2">
      <c r="A1968" s="226">
        <v>2022</v>
      </c>
      <c r="B1968" s="226">
        <v>11</v>
      </c>
      <c r="C1968" s="226">
        <v>20</v>
      </c>
      <c r="D1968" s="232">
        <f t="shared" si="213"/>
        <v>44885</v>
      </c>
      <c r="E1968" s="234">
        <f t="shared" si="215"/>
        <v>44885</v>
      </c>
      <c r="F1968" s="479"/>
      <c r="G1968" s="227" t="s">
        <v>1111</v>
      </c>
      <c r="H1968" s="228" t="str" cm="1">
        <f t="array" ref="H1968">IFERROR(INDEX(INVESTOR_LIST[INVESTOR NAME],MATCH(I1968,INVESTOR_LIST[INVESTOR CODE],0),)," ")</f>
        <v>MOHAMMED ALI XAHANGIR</v>
      </c>
      <c r="I1968" s="228" t="s">
        <v>541</v>
      </c>
      <c r="J1968" s="229" t="s">
        <v>14</v>
      </c>
      <c r="K1968" s="230"/>
      <c r="L1968" s="230">
        <v>881170</v>
      </c>
    </row>
    <row r="1969" spans="1:13" ht="11.25" customHeight="1" x14ac:dyDescent="0.2">
      <c r="A1969" s="221">
        <v>2022</v>
      </c>
      <c r="B1969" s="221">
        <v>11</v>
      </c>
      <c r="C1969" s="221">
        <v>20</v>
      </c>
      <c r="D1969" s="231">
        <f t="shared" si="213"/>
        <v>44885</v>
      </c>
      <c r="E1969" s="233">
        <f t="shared" ref="E1969:E1974" si="216">DATE(A1969,B1969,C1969)</f>
        <v>44885</v>
      </c>
      <c r="F1969" s="478" t="s">
        <v>1323</v>
      </c>
      <c r="G1969" s="222" t="s">
        <v>1111</v>
      </c>
      <c r="H1969" s="223" t="str" cm="1">
        <f t="array" ref="H1969">IFERROR(INDEX(INVESTOR_LIST[INVESTOR NAME],MATCH(I1969,INVESTOR_LIST[INVESTOR CODE],0),)," ")</f>
        <v>SHUVA SAHA</v>
      </c>
      <c r="I1969" s="223" t="s">
        <v>370</v>
      </c>
      <c r="J1969" s="224" t="s">
        <v>55</v>
      </c>
      <c r="K1969" s="225">
        <v>200000</v>
      </c>
      <c r="L1969" s="225"/>
    </row>
    <row r="1970" spans="1:13" ht="11.25" customHeight="1" x14ac:dyDescent="0.2">
      <c r="A1970" s="164">
        <v>2022</v>
      </c>
      <c r="B1970" s="164">
        <v>11</v>
      </c>
      <c r="C1970" s="164">
        <v>20</v>
      </c>
      <c r="D1970" s="156">
        <f t="shared" si="213"/>
        <v>44885</v>
      </c>
      <c r="E1970" s="235">
        <f t="shared" si="216"/>
        <v>44885</v>
      </c>
      <c r="F1970" s="480"/>
      <c r="G1970" s="208" t="s">
        <v>1111</v>
      </c>
      <c r="H1970" s="206" t="str" cm="1">
        <f t="array" ref="H1970">IFERROR(INDEX(INVESTOR_LIST[INVESTOR NAME],MATCH(I1970,INVESTOR_LIST[INVESTOR CODE],0),)," ")</f>
        <v>SHUVA SAHA</v>
      </c>
      <c r="I1970" s="206" t="s">
        <v>370</v>
      </c>
      <c r="J1970" s="165" t="s">
        <v>1112</v>
      </c>
      <c r="K1970" s="205">
        <v>1410</v>
      </c>
      <c r="L1970" s="205"/>
      <c r="M1970" s="166"/>
    </row>
    <row r="1971" spans="1:13" ht="11.25" customHeight="1" x14ac:dyDescent="0.2">
      <c r="A1971" s="226">
        <v>2022</v>
      </c>
      <c r="B1971" s="226">
        <v>11</v>
      </c>
      <c r="C1971" s="226">
        <v>20</v>
      </c>
      <c r="D1971" s="232">
        <f t="shared" si="213"/>
        <v>44885</v>
      </c>
      <c r="E1971" s="234">
        <f t="shared" si="216"/>
        <v>44885</v>
      </c>
      <c r="F1971" s="479"/>
      <c r="G1971" s="227" t="s">
        <v>1111</v>
      </c>
      <c r="H1971" s="228" t="str" cm="1">
        <f t="array" ref="H1971">IFERROR(INDEX(INVESTOR_LIST[INVESTOR NAME],MATCH(I1971,INVESTOR_LIST[INVESTOR CODE],0),)," ")</f>
        <v>SHUVA SAHA</v>
      </c>
      <c r="I1971" s="228" t="s">
        <v>370</v>
      </c>
      <c r="J1971" s="229" t="s">
        <v>14</v>
      </c>
      <c r="K1971" s="230"/>
      <c r="L1971" s="230">
        <v>201410</v>
      </c>
    </row>
    <row r="1972" spans="1:13" ht="11.25" customHeight="1" x14ac:dyDescent="0.2">
      <c r="A1972" s="221">
        <v>2022</v>
      </c>
      <c r="B1972" s="221">
        <v>11</v>
      </c>
      <c r="C1972" s="221">
        <v>20</v>
      </c>
      <c r="D1972" s="231">
        <f t="shared" si="213"/>
        <v>44885</v>
      </c>
      <c r="E1972" s="233">
        <f t="shared" si="216"/>
        <v>44885</v>
      </c>
      <c r="F1972" s="478" t="s">
        <v>1115</v>
      </c>
      <c r="G1972" s="222" t="s">
        <v>1111</v>
      </c>
      <c r="H1972" s="223" t="str" cm="1">
        <f t="array" ref="H1972">IFERROR(INDEX(INVESTOR_LIST[INVESTOR NAME],MATCH(I1972,INVESTOR_LIST[INVESTOR CODE],0),)," ")</f>
        <v>NAYEEMA TASNEEM</v>
      </c>
      <c r="I1972" s="223" t="s">
        <v>922</v>
      </c>
      <c r="J1972" s="224" t="s">
        <v>14</v>
      </c>
      <c r="K1972" s="225">
        <v>151060</v>
      </c>
      <c r="L1972" s="225"/>
    </row>
    <row r="1973" spans="1:13" ht="11.25" customHeight="1" x14ac:dyDescent="0.2">
      <c r="A1973" s="164">
        <v>2022</v>
      </c>
      <c r="B1973" s="164">
        <v>11</v>
      </c>
      <c r="C1973" s="164">
        <v>20</v>
      </c>
      <c r="D1973" s="156">
        <f t="shared" si="213"/>
        <v>44885</v>
      </c>
      <c r="E1973" s="235">
        <f t="shared" si="216"/>
        <v>44885</v>
      </c>
      <c r="F1973" s="480"/>
      <c r="G1973" s="208" t="s">
        <v>1111</v>
      </c>
      <c r="H1973" s="206" t="str" cm="1">
        <f t="array" ref="H1973">IFERROR(INDEX(INVESTOR_LIST[INVESTOR NAME],MATCH(I1973,INVESTOR_LIST[INVESTOR CODE],0),)," ")</f>
        <v>NAYEEMA TASNEEM</v>
      </c>
      <c r="I1973" s="206" t="s">
        <v>922</v>
      </c>
      <c r="J1973" s="165" t="s">
        <v>1112</v>
      </c>
      <c r="K1973" s="156"/>
      <c r="L1973" s="167">
        <v>1060</v>
      </c>
    </row>
    <row r="1974" spans="1:13" ht="11.25" customHeight="1" x14ac:dyDescent="0.2">
      <c r="A1974" s="226">
        <v>2022</v>
      </c>
      <c r="B1974" s="226">
        <v>11</v>
      </c>
      <c r="C1974" s="226">
        <v>20</v>
      </c>
      <c r="D1974" s="232">
        <f t="shared" si="213"/>
        <v>44885</v>
      </c>
      <c r="E1974" s="234">
        <f t="shared" si="216"/>
        <v>44885</v>
      </c>
      <c r="F1974" s="479"/>
      <c r="G1974" s="227" t="s">
        <v>1111</v>
      </c>
      <c r="H1974" s="228" t="str" cm="1">
        <f t="array" ref="H1974">IFERROR(INDEX(INVESTOR_LIST[INVESTOR NAME],MATCH(I1974,INVESTOR_LIST[INVESTOR CODE],0),)," ")</f>
        <v>NAYEEMA TASNEEM</v>
      </c>
      <c r="I1974" s="228" t="s">
        <v>922</v>
      </c>
      <c r="J1974" s="229" t="s">
        <v>55</v>
      </c>
      <c r="K1974" s="230"/>
      <c r="L1974" s="230">
        <v>150000</v>
      </c>
    </row>
    <row r="1975" spans="1:13" ht="11.25" customHeight="1" x14ac:dyDescent="0.2">
      <c r="A1975" s="221">
        <v>2022</v>
      </c>
      <c r="B1975" s="221">
        <v>11</v>
      </c>
      <c r="C1975" s="221">
        <v>20</v>
      </c>
      <c r="D1975" s="231">
        <f t="shared" si="213"/>
        <v>44885</v>
      </c>
      <c r="E1975" s="233">
        <f t="shared" ref="E1975:E1977" si="217">DATE(A1975,B1975,C1975)</f>
        <v>44885</v>
      </c>
      <c r="F1975" s="478" t="s">
        <v>1323</v>
      </c>
      <c r="G1975" s="222" t="s">
        <v>1111</v>
      </c>
      <c r="H1975" s="223" t="str" cm="1">
        <f t="array" ref="H1975">IFERROR(INDEX(INVESTOR_LIST[INVESTOR NAME],MATCH(I1975,INVESTOR_LIST[INVESTOR CODE],0),)," ")</f>
        <v>NANDINI SAHA</v>
      </c>
      <c r="I1975" s="223" t="s">
        <v>412</v>
      </c>
      <c r="J1975" s="224" t="s">
        <v>55</v>
      </c>
      <c r="K1975" s="225">
        <v>1000000</v>
      </c>
      <c r="L1975" s="225"/>
    </row>
    <row r="1976" spans="1:13" ht="11.25" customHeight="1" x14ac:dyDescent="0.2">
      <c r="A1976" s="164">
        <v>2022</v>
      </c>
      <c r="B1976" s="164">
        <v>11</v>
      </c>
      <c r="C1976" s="164">
        <v>20</v>
      </c>
      <c r="D1976" s="156">
        <f t="shared" si="213"/>
        <v>44885</v>
      </c>
      <c r="E1976" s="235">
        <f t="shared" si="217"/>
        <v>44885</v>
      </c>
      <c r="F1976" s="480"/>
      <c r="G1976" s="208" t="s">
        <v>1111</v>
      </c>
      <c r="H1976" s="206" t="str" cm="1">
        <f t="array" ref="H1976">IFERROR(INDEX(INVESTOR_LIST[INVESTOR NAME],MATCH(I1976,INVESTOR_LIST[INVESTOR CODE],0),)," ")</f>
        <v>NANDINI SAHA</v>
      </c>
      <c r="I1976" s="206" t="s">
        <v>412</v>
      </c>
      <c r="J1976" s="165" t="s">
        <v>1112</v>
      </c>
      <c r="K1976" s="205">
        <v>7050</v>
      </c>
      <c r="L1976" s="205"/>
      <c r="M1976" s="166"/>
    </row>
    <row r="1977" spans="1:13" ht="11.25" customHeight="1" x14ac:dyDescent="0.2">
      <c r="A1977" s="226">
        <v>2022</v>
      </c>
      <c r="B1977" s="226">
        <v>11</v>
      </c>
      <c r="C1977" s="226">
        <v>20</v>
      </c>
      <c r="D1977" s="232">
        <f t="shared" si="213"/>
        <v>44885</v>
      </c>
      <c r="E1977" s="234">
        <f t="shared" si="217"/>
        <v>44885</v>
      </c>
      <c r="F1977" s="479"/>
      <c r="G1977" s="227" t="s">
        <v>1111</v>
      </c>
      <c r="H1977" s="228" t="str" cm="1">
        <f t="array" ref="H1977">IFERROR(INDEX(INVESTOR_LIST[INVESTOR NAME],MATCH(I1977,INVESTOR_LIST[INVESTOR CODE],0),)," ")</f>
        <v>NANDINI SAHA</v>
      </c>
      <c r="I1977" s="228" t="s">
        <v>412</v>
      </c>
      <c r="J1977" s="229" t="s">
        <v>14</v>
      </c>
      <c r="K1977" s="230"/>
      <c r="L1977" s="230">
        <v>1007050</v>
      </c>
    </row>
    <row r="1978" spans="1:13" ht="11.25" customHeight="1" x14ac:dyDescent="0.2">
      <c r="A1978" s="221">
        <v>2022</v>
      </c>
      <c r="B1978" s="221">
        <v>11</v>
      </c>
      <c r="C1978" s="221">
        <v>20</v>
      </c>
      <c r="D1978" s="231">
        <f t="shared" si="213"/>
        <v>44885</v>
      </c>
      <c r="E1978" s="233">
        <f t="shared" ref="E1978:E1982" si="218">DATE(A1978,B1978,C1978)</f>
        <v>44885</v>
      </c>
      <c r="F1978" s="478" t="s">
        <v>1323</v>
      </c>
      <c r="G1978" s="222" t="s">
        <v>1111</v>
      </c>
      <c r="H1978" s="223" t="str" cm="1">
        <f t="array" ref="H1978">IFERROR(INDEX(INVESTOR_LIST[INVESTOR NAME],MATCH(I1978,INVESTOR_LIST[INVESTOR CODE],0),)," ")</f>
        <v>MOHAMMED ALI XAHANGIR</v>
      </c>
      <c r="I1978" s="223" t="s">
        <v>541</v>
      </c>
      <c r="J1978" s="224" t="s">
        <v>55</v>
      </c>
      <c r="K1978" s="225">
        <v>1800000</v>
      </c>
      <c r="L1978" s="225"/>
    </row>
    <row r="1979" spans="1:13" ht="11.25" customHeight="1" x14ac:dyDescent="0.2">
      <c r="A1979" s="164">
        <v>2022</v>
      </c>
      <c r="B1979" s="164">
        <v>11</v>
      </c>
      <c r="C1979" s="164">
        <v>20</v>
      </c>
      <c r="D1979" s="156">
        <f t="shared" si="213"/>
        <v>44885</v>
      </c>
      <c r="E1979" s="235">
        <f t="shared" si="218"/>
        <v>44885</v>
      </c>
      <c r="F1979" s="480"/>
      <c r="G1979" s="208" t="s">
        <v>1111</v>
      </c>
      <c r="H1979" s="206" t="str" cm="1">
        <f t="array" ref="H1979">IFERROR(INDEX(INVESTOR_LIST[INVESTOR NAME],MATCH(I1979,INVESTOR_LIST[INVESTOR CODE],0),)," ")</f>
        <v>MOHAMMED ALI XAHANGIR</v>
      </c>
      <c r="I1979" s="206" t="s">
        <v>541</v>
      </c>
      <c r="J1979" s="165" t="s">
        <v>1112</v>
      </c>
      <c r="K1979" s="205">
        <v>12690</v>
      </c>
      <c r="L1979" s="205"/>
      <c r="M1979" s="166"/>
    </row>
    <row r="1980" spans="1:13" ht="11.25" customHeight="1" x14ac:dyDescent="0.2">
      <c r="A1980" s="226">
        <v>2022</v>
      </c>
      <c r="B1980" s="226">
        <v>11</v>
      </c>
      <c r="C1980" s="226">
        <v>20</v>
      </c>
      <c r="D1980" s="232">
        <f t="shared" si="213"/>
        <v>44885</v>
      </c>
      <c r="E1980" s="234">
        <f t="shared" si="218"/>
        <v>44885</v>
      </c>
      <c r="F1980" s="479"/>
      <c r="G1980" s="227" t="s">
        <v>1111</v>
      </c>
      <c r="H1980" s="228" t="str" cm="1">
        <f t="array" ref="H1980">IFERROR(INDEX(INVESTOR_LIST[INVESTOR NAME],MATCH(I1980,INVESTOR_LIST[INVESTOR CODE],0),)," ")</f>
        <v>MOHAMMED ALI XAHANGIR</v>
      </c>
      <c r="I1980" s="228" t="s">
        <v>541</v>
      </c>
      <c r="J1980" s="229" t="s">
        <v>14</v>
      </c>
      <c r="K1980" s="230"/>
      <c r="L1980" s="230">
        <v>1812690</v>
      </c>
    </row>
    <row r="1981" spans="1:13" ht="11.25" customHeight="1" x14ac:dyDescent="0.2">
      <c r="A1981" s="221">
        <v>2022</v>
      </c>
      <c r="B1981" s="221">
        <v>11</v>
      </c>
      <c r="C1981" s="221">
        <v>20</v>
      </c>
      <c r="D1981" s="231">
        <f t="shared" si="213"/>
        <v>44885</v>
      </c>
      <c r="E1981" s="233">
        <f t="shared" si="218"/>
        <v>44885</v>
      </c>
      <c r="F1981" s="478" t="s">
        <v>1324</v>
      </c>
      <c r="G1981" s="222" t="s">
        <v>1111</v>
      </c>
      <c r="H1981" s="223" t="str" cm="1">
        <f t="array" ref="H1981">IFERROR(INDEX(INVESTOR_LIST[INVESTOR NAME],MATCH(I1981,INVESTOR_LIST[INVESTOR CODE],0),)," ")</f>
        <v xml:space="preserve"> </v>
      </c>
      <c r="I1981" s="223"/>
      <c r="J1981" s="224" t="s">
        <v>63</v>
      </c>
      <c r="K1981" s="225">
        <v>60</v>
      </c>
      <c r="L1981" s="225"/>
    </row>
    <row r="1982" spans="1:13" ht="11.25" customHeight="1" x14ac:dyDescent="0.2">
      <c r="A1982" s="226">
        <v>2022</v>
      </c>
      <c r="B1982" s="226">
        <v>11</v>
      </c>
      <c r="C1982" s="226">
        <v>20</v>
      </c>
      <c r="D1982" s="232">
        <f t="shared" si="213"/>
        <v>44885</v>
      </c>
      <c r="E1982" s="234">
        <f t="shared" si="218"/>
        <v>44885</v>
      </c>
      <c r="F1982" s="479"/>
      <c r="G1982" s="227" t="s">
        <v>1111</v>
      </c>
      <c r="H1982" s="228" t="str" cm="1">
        <f t="array" ref="H1982">IFERROR(INDEX(INVESTOR_LIST[INVESTOR NAME],MATCH(I1982,INVESTOR_LIST[INVESTOR CODE],0),)," ")</f>
        <v xml:space="preserve"> </v>
      </c>
      <c r="I1982" s="228"/>
      <c r="J1982" s="229" t="s">
        <v>55</v>
      </c>
      <c r="K1982" s="230"/>
      <c r="L1982" s="230">
        <v>60</v>
      </c>
    </row>
    <row r="1983" spans="1:13" ht="11.25" customHeight="1" x14ac:dyDescent="0.2">
      <c r="A1983" s="221">
        <v>2022</v>
      </c>
      <c r="B1983" s="221">
        <v>11</v>
      </c>
      <c r="C1983" s="221">
        <v>20</v>
      </c>
      <c r="D1983" s="231">
        <f t="shared" si="213"/>
        <v>44885</v>
      </c>
      <c r="E1983" s="233">
        <f t="shared" ref="E1983:E1991" si="219">DATE(A1983,B1983,C1983)</f>
        <v>44885</v>
      </c>
      <c r="F1983" s="478" t="s">
        <v>1324</v>
      </c>
      <c r="G1983" s="222" t="s">
        <v>1111</v>
      </c>
      <c r="H1983" s="223" t="str" cm="1">
        <f t="array" ref="H1983">IFERROR(INDEX(INVESTOR_LIST[INVESTOR NAME],MATCH(I1983,INVESTOR_LIST[INVESTOR CODE],0),)," ")</f>
        <v xml:space="preserve"> </v>
      </c>
      <c r="I1983" s="223"/>
      <c r="J1983" s="224" t="s">
        <v>63</v>
      </c>
      <c r="K1983" s="225">
        <v>60</v>
      </c>
      <c r="L1983" s="225"/>
    </row>
    <row r="1984" spans="1:13" ht="11.25" customHeight="1" x14ac:dyDescent="0.2">
      <c r="A1984" s="226">
        <v>2022</v>
      </c>
      <c r="B1984" s="226">
        <v>11</v>
      </c>
      <c r="C1984" s="226">
        <v>20</v>
      </c>
      <c r="D1984" s="232">
        <f t="shared" si="213"/>
        <v>44885</v>
      </c>
      <c r="E1984" s="234">
        <f t="shared" si="219"/>
        <v>44885</v>
      </c>
      <c r="F1984" s="479"/>
      <c r="G1984" s="227" t="s">
        <v>1111</v>
      </c>
      <c r="H1984" s="228" t="str" cm="1">
        <f t="array" ref="H1984">IFERROR(INDEX(INVESTOR_LIST[INVESTOR NAME],MATCH(I1984,INVESTOR_LIST[INVESTOR CODE],0),)," ")</f>
        <v xml:space="preserve"> </v>
      </c>
      <c r="I1984" s="228"/>
      <c r="J1984" s="229" t="s">
        <v>55</v>
      </c>
      <c r="K1984" s="230"/>
      <c r="L1984" s="230">
        <v>60</v>
      </c>
    </row>
    <row r="1985" spans="1:13" ht="11.25" customHeight="1" x14ac:dyDescent="0.2">
      <c r="A1985" s="221">
        <v>2022</v>
      </c>
      <c r="B1985" s="221">
        <v>11</v>
      </c>
      <c r="C1985" s="221">
        <v>20</v>
      </c>
      <c r="D1985" s="231">
        <f t="shared" si="213"/>
        <v>44885</v>
      </c>
      <c r="E1985" s="233">
        <f t="shared" si="219"/>
        <v>44885</v>
      </c>
      <c r="F1985" s="478" t="s">
        <v>1346</v>
      </c>
      <c r="G1985" s="222" t="s">
        <v>86</v>
      </c>
      <c r="H1985" s="222" t="str" cm="1">
        <f t="array" ref="H1985">IFERROR(INDEX(INVESTOR_LIST[INVESTOR NAME],MATCH(I1985,INVESTOR_LIST[INVESTOR CODE],0),)," ")</f>
        <v xml:space="preserve"> </v>
      </c>
      <c r="I1985" s="223"/>
      <c r="J1985" s="224" t="s">
        <v>80</v>
      </c>
      <c r="K1985" s="225">
        <v>1997924.5</v>
      </c>
      <c r="L1985" s="225"/>
    </row>
    <row r="1986" spans="1:13" ht="11.25" customHeight="1" x14ac:dyDescent="0.2">
      <c r="A1986" s="164">
        <v>2022</v>
      </c>
      <c r="B1986" s="164">
        <v>11</v>
      </c>
      <c r="C1986" s="164">
        <v>20</v>
      </c>
      <c r="D1986" s="164">
        <f t="shared" si="213"/>
        <v>44885</v>
      </c>
      <c r="E1986" s="235">
        <f t="shared" si="219"/>
        <v>44885</v>
      </c>
      <c r="F1986" s="480"/>
      <c r="G1986" s="208" t="s">
        <v>86</v>
      </c>
      <c r="H1986" s="208"/>
      <c r="J1986" s="165" t="s">
        <v>960</v>
      </c>
      <c r="K1986" s="205">
        <v>3596.26</v>
      </c>
      <c r="L1986" s="205"/>
    </row>
    <row r="1987" spans="1:13" ht="11.25" customHeight="1" x14ac:dyDescent="0.2">
      <c r="A1987" s="226">
        <v>2022</v>
      </c>
      <c r="B1987" s="226">
        <v>11</v>
      </c>
      <c r="C1987" s="226">
        <v>20</v>
      </c>
      <c r="D1987" s="226">
        <f t="shared" si="213"/>
        <v>44885</v>
      </c>
      <c r="E1987" s="234">
        <f t="shared" si="219"/>
        <v>44885</v>
      </c>
      <c r="F1987" s="479"/>
      <c r="G1987" s="227" t="s">
        <v>86</v>
      </c>
      <c r="H1987" s="227"/>
      <c r="I1987" s="228"/>
      <c r="J1987" s="229" t="s">
        <v>961</v>
      </c>
      <c r="K1987" s="294"/>
      <c r="L1987" s="230">
        <v>2001520.76</v>
      </c>
    </row>
    <row r="1988" spans="1:13" ht="11.25" customHeight="1" x14ac:dyDescent="0.2">
      <c r="A1988" s="221">
        <v>2022</v>
      </c>
      <c r="B1988" s="221">
        <v>11</v>
      </c>
      <c r="C1988" s="221">
        <v>21</v>
      </c>
      <c r="D1988" s="231">
        <f t="shared" si="213"/>
        <v>44886</v>
      </c>
      <c r="E1988" s="233">
        <f t="shared" si="219"/>
        <v>44886</v>
      </c>
      <c r="F1988" s="478" t="s">
        <v>1347</v>
      </c>
      <c r="G1988" s="222" t="s">
        <v>1111</v>
      </c>
      <c r="H1988" s="223" t="str" cm="1">
        <f t="array" ref="H1988">IFERROR(INDEX(INVESTOR_LIST[INVESTOR NAME],MATCH(I1988,INVESTOR_LIST[INVESTOR CODE],0),)," ")</f>
        <v xml:space="preserve"> </v>
      </c>
      <c r="I1988" s="223"/>
      <c r="J1988" s="224" t="s">
        <v>961</v>
      </c>
      <c r="K1988" s="225">
        <v>2001520.76</v>
      </c>
      <c r="L1988" s="225"/>
    </row>
    <row r="1989" spans="1:13" ht="11.25" customHeight="1" x14ac:dyDescent="0.2">
      <c r="A1989" s="226">
        <v>2022</v>
      </c>
      <c r="B1989" s="226">
        <v>11</v>
      </c>
      <c r="C1989" s="226">
        <v>21</v>
      </c>
      <c r="D1989" s="232">
        <f t="shared" si="213"/>
        <v>44886</v>
      </c>
      <c r="E1989" s="234">
        <f t="shared" si="219"/>
        <v>44886</v>
      </c>
      <c r="F1989" s="479"/>
      <c r="G1989" s="227" t="s">
        <v>1111</v>
      </c>
      <c r="H1989" s="228" t="str" cm="1">
        <f t="array" ref="H1989">IFERROR(INDEX(INVESTOR_LIST[INVESTOR NAME],MATCH(I1989,INVESTOR_LIST[INVESTOR CODE],0),)," ")</f>
        <v xml:space="preserve"> </v>
      </c>
      <c r="I1989" s="228"/>
      <c r="J1989" s="229" t="s">
        <v>55</v>
      </c>
      <c r="K1989" s="230"/>
      <c r="L1989" s="230">
        <v>2001520.76</v>
      </c>
    </row>
    <row r="1990" spans="1:13" ht="11.25" customHeight="1" x14ac:dyDescent="0.2">
      <c r="A1990" s="221">
        <v>2022</v>
      </c>
      <c r="B1990" s="221">
        <v>11</v>
      </c>
      <c r="C1990" s="221">
        <v>21</v>
      </c>
      <c r="D1990" s="231">
        <f t="shared" si="213"/>
        <v>44886</v>
      </c>
      <c r="E1990" s="233">
        <f t="shared" si="219"/>
        <v>44886</v>
      </c>
      <c r="F1990" s="478" t="s">
        <v>1325</v>
      </c>
      <c r="G1990" s="222" t="s">
        <v>1111</v>
      </c>
      <c r="H1990" s="223" t="str" cm="1">
        <f t="array" ref="H1990">IFERROR(INDEX(INVESTOR_LIST[INVESTOR NAME],MATCH(I1990,INVESTOR_LIST[INVESTOR CODE],0),)," ")</f>
        <v xml:space="preserve"> </v>
      </c>
      <c r="I1990" s="223"/>
      <c r="J1990" s="224" t="s">
        <v>192</v>
      </c>
      <c r="K1990" s="225">
        <v>306892.5</v>
      </c>
      <c r="L1990" s="225"/>
    </row>
    <row r="1991" spans="1:13" ht="11.25" customHeight="1" x14ac:dyDescent="0.2">
      <c r="A1991" s="226">
        <v>2022</v>
      </c>
      <c r="B1991" s="226">
        <v>11</v>
      </c>
      <c r="C1991" s="226">
        <v>21</v>
      </c>
      <c r="D1991" s="232">
        <f t="shared" si="213"/>
        <v>44886</v>
      </c>
      <c r="E1991" s="234">
        <f t="shared" si="219"/>
        <v>44886</v>
      </c>
      <c r="F1991" s="479"/>
      <c r="G1991" s="227" t="s">
        <v>1111</v>
      </c>
      <c r="H1991" s="228" t="str" cm="1">
        <f t="array" ref="H1991">IFERROR(INDEX(INVESTOR_LIST[INVESTOR NAME],MATCH(I1991,INVESTOR_LIST[INVESTOR CODE],0),)," ")</f>
        <v xml:space="preserve"> </v>
      </c>
      <c r="I1991" s="228"/>
      <c r="J1991" s="229" t="s">
        <v>191</v>
      </c>
      <c r="K1991" s="230"/>
      <c r="L1991" s="230">
        <v>306892.5</v>
      </c>
      <c r="M1991" s="166"/>
    </row>
    <row r="1992" spans="1:13" ht="11.25" customHeight="1" x14ac:dyDescent="0.2">
      <c r="A1992" s="221">
        <v>2022</v>
      </c>
      <c r="B1992" s="221">
        <v>11</v>
      </c>
      <c r="C1992" s="221">
        <v>22</v>
      </c>
      <c r="D1992" s="231">
        <f t="shared" si="213"/>
        <v>44887</v>
      </c>
      <c r="E1992" s="233">
        <f>DATE(A1992,B1992,C1992)</f>
        <v>44887</v>
      </c>
      <c r="F1992" s="478" t="s">
        <v>1326</v>
      </c>
      <c r="G1992" s="222" t="s">
        <v>1111</v>
      </c>
      <c r="H1992" s="222" t="str" cm="1">
        <f t="array" ref="H1992">IFERROR(INDEX(INVESTOR_LIST[INVESTOR NAME],MATCH(I1992,INVESTOR_LIST[INVESTOR CODE],0),)," ")</f>
        <v xml:space="preserve"> </v>
      </c>
      <c r="I1992" s="223"/>
      <c r="J1992" s="224" t="s">
        <v>196</v>
      </c>
      <c r="K1992" s="225">
        <v>861090</v>
      </c>
      <c r="L1992" s="225"/>
    </row>
    <row r="1993" spans="1:13" ht="11.25" customHeight="1" x14ac:dyDescent="0.2">
      <c r="A1993" s="164">
        <v>2022</v>
      </c>
      <c r="B1993" s="164">
        <v>11</v>
      </c>
      <c r="C1993" s="164">
        <v>22</v>
      </c>
      <c r="D1993" s="156">
        <f t="shared" ref="D1993:D2056" si="220">DATE(A1993,B1993,C1993)</f>
        <v>44887</v>
      </c>
      <c r="E1993" s="235">
        <f>DATE(A1993,B1993,C1993)</f>
        <v>44887</v>
      </c>
      <c r="F1993" s="480"/>
      <c r="G1993" s="208" t="s">
        <v>1111</v>
      </c>
      <c r="H1993" s="208"/>
      <c r="J1993" s="165" t="s">
        <v>197</v>
      </c>
      <c r="K1993" s="205">
        <v>3000</v>
      </c>
      <c r="L1993" s="205"/>
    </row>
    <row r="1994" spans="1:13" ht="11.25" customHeight="1" x14ac:dyDescent="0.2">
      <c r="A1994" s="164">
        <v>2022</v>
      </c>
      <c r="B1994" s="164">
        <v>11</v>
      </c>
      <c r="C1994" s="164">
        <v>22</v>
      </c>
      <c r="D1994" s="164">
        <f t="shared" si="220"/>
        <v>44887</v>
      </c>
      <c r="E1994" s="235">
        <f>DATE(A1994,B1994,C1994)</f>
        <v>44887</v>
      </c>
      <c r="F1994" s="480"/>
      <c r="G1994" s="208" t="s">
        <v>1111</v>
      </c>
      <c r="H1994" s="208" t="str" cm="1">
        <f t="array" ref="H1994">IFERROR(INDEX(INVESTOR_LIST[INVESTOR NAME],MATCH(I1994,INVESTOR_LIST[INVESTOR CODE],0),)," ")</f>
        <v xml:space="preserve"> </v>
      </c>
      <c r="J1994" s="165" t="s">
        <v>63</v>
      </c>
      <c r="K1994" s="205">
        <v>115</v>
      </c>
      <c r="L1994" s="205"/>
      <c r="M1994" s="166"/>
    </row>
    <row r="1995" spans="1:13" ht="11.25" customHeight="1" x14ac:dyDescent="0.2">
      <c r="A1995" s="226">
        <v>2022</v>
      </c>
      <c r="B1995" s="226">
        <v>11</v>
      </c>
      <c r="C1995" s="226">
        <v>22</v>
      </c>
      <c r="D1995" s="226">
        <f t="shared" si="220"/>
        <v>44887</v>
      </c>
      <c r="E1995" s="234">
        <f>DATE(A1995,B1995,C1995)</f>
        <v>44887</v>
      </c>
      <c r="F1995" s="479"/>
      <c r="G1995" s="227" t="s">
        <v>1111</v>
      </c>
      <c r="H1995" s="206" t="str" cm="1">
        <f t="array" ref="H1995">IFERROR(INDEX(INVESTOR_LIST[INVESTOR NAME],MATCH(I1995,INVESTOR_LIST[INVESTOR CODE],0),)," ")</f>
        <v xml:space="preserve"> </v>
      </c>
      <c r="I1995" s="228"/>
      <c r="J1995" s="229" t="s">
        <v>55</v>
      </c>
      <c r="K1995" s="230"/>
      <c r="L1995" s="230">
        <v>864205</v>
      </c>
      <c r="M1995" s="166"/>
    </row>
    <row r="1996" spans="1:13" ht="11.25" customHeight="1" x14ac:dyDescent="0.2">
      <c r="A1996" s="221">
        <v>2022</v>
      </c>
      <c r="B1996" s="221">
        <v>11</v>
      </c>
      <c r="C1996" s="221">
        <v>23</v>
      </c>
      <c r="D1996" s="231">
        <f t="shared" si="220"/>
        <v>44888</v>
      </c>
      <c r="E1996" s="233">
        <f t="shared" ref="E1996:E1998" si="221">DATE(A1996,B1996,C1996)</f>
        <v>44888</v>
      </c>
      <c r="F1996" s="478" t="s">
        <v>1115</v>
      </c>
      <c r="G1996" s="222" t="s">
        <v>1111</v>
      </c>
      <c r="H1996" s="223" t="str" cm="1">
        <f t="array" ref="H1996">IFERROR(INDEX(INVESTOR_LIST[INVESTOR NAME],MATCH(I1996,INVESTOR_LIST[INVESTOR CODE],0),)," ")</f>
        <v>MD MOHSINUR RAHMAN</v>
      </c>
      <c r="I1996" s="223" t="s">
        <v>1230</v>
      </c>
      <c r="J1996" s="224" t="s">
        <v>14</v>
      </c>
      <c r="K1996" s="225">
        <v>254590</v>
      </c>
      <c r="L1996" s="225"/>
    </row>
    <row r="1997" spans="1:13" ht="11.25" customHeight="1" x14ac:dyDescent="0.2">
      <c r="A1997" s="164">
        <v>2022</v>
      </c>
      <c r="B1997" s="164">
        <v>11</v>
      </c>
      <c r="C1997" s="164">
        <v>23</v>
      </c>
      <c r="D1997" s="156">
        <f t="shared" si="220"/>
        <v>44888</v>
      </c>
      <c r="E1997" s="235">
        <f t="shared" si="221"/>
        <v>44888</v>
      </c>
      <c r="F1997" s="480"/>
      <c r="G1997" s="208" t="s">
        <v>1111</v>
      </c>
      <c r="H1997" s="206" t="str" cm="1">
        <f t="array" ref="H1997">IFERROR(INDEX(INVESTOR_LIST[INVESTOR NAME],MATCH(I1997,INVESTOR_LIST[INVESTOR CODE],0),)," ")</f>
        <v>MD MOHSINUR RAHMAN</v>
      </c>
      <c r="I1997" s="206" t="s">
        <v>1230</v>
      </c>
      <c r="J1997" s="165" t="s">
        <v>1112</v>
      </c>
      <c r="K1997" s="156"/>
      <c r="L1997" s="167">
        <v>1782.13</v>
      </c>
    </row>
    <row r="1998" spans="1:13" ht="11.25" customHeight="1" x14ac:dyDescent="0.2">
      <c r="A1998" s="226">
        <v>2022</v>
      </c>
      <c r="B1998" s="226">
        <v>11</v>
      </c>
      <c r="C1998" s="226">
        <v>23</v>
      </c>
      <c r="D1998" s="232">
        <f t="shared" si="220"/>
        <v>44888</v>
      </c>
      <c r="E1998" s="234">
        <f t="shared" si="221"/>
        <v>44888</v>
      </c>
      <c r="F1998" s="479"/>
      <c r="G1998" s="227" t="s">
        <v>1111</v>
      </c>
      <c r="H1998" s="228" t="str" cm="1">
        <f t="array" ref="H1998">IFERROR(INDEX(INVESTOR_LIST[INVESTOR NAME],MATCH(I1998,INVESTOR_LIST[INVESTOR CODE],0),)," ")</f>
        <v>MD MOHSINUR RAHMAN</v>
      </c>
      <c r="I1998" s="228" t="s">
        <v>1230</v>
      </c>
      <c r="J1998" s="229" t="s">
        <v>55</v>
      </c>
      <c r="K1998" s="230"/>
      <c r="L1998" s="230">
        <v>252807.87</v>
      </c>
    </row>
    <row r="1999" spans="1:13" ht="11.25" customHeight="1" x14ac:dyDescent="0.2">
      <c r="A1999" s="221">
        <v>2022</v>
      </c>
      <c r="B1999" s="221">
        <v>11</v>
      </c>
      <c r="C1999" s="221">
        <v>23</v>
      </c>
      <c r="D1999" s="231">
        <f t="shared" si="220"/>
        <v>44888</v>
      </c>
      <c r="E1999" s="233">
        <f t="shared" ref="E1999:E2026" si="222">DATE(A1999,B1999,C1999)</f>
        <v>44888</v>
      </c>
      <c r="F1999" s="478" t="s">
        <v>1115</v>
      </c>
      <c r="G1999" s="222" t="s">
        <v>1111</v>
      </c>
      <c r="H1999" s="223" t="str" cm="1">
        <f t="array" ref="H1999">IFERROR(INDEX(INVESTOR_LIST[INVESTOR NAME],MATCH(I1999,INVESTOR_LIST[INVESTOR CODE],0),)," ")</f>
        <v>NATEQ BE NAZIR IBN MINAR</v>
      </c>
      <c r="I1999" s="223" t="s">
        <v>1214</v>
      </c>
      <c r="J1999" s="224" t="s">
        <v>14</v>
      </c>
      <c r="K1999" s="225">
        <v>1525940</v>
      </c>
      <c r="L1999" s="225"/>
    </row>
    <row r="2000" spans="1:13" ht="11.25" customHeight="1" x14ac:dyDescent="0.2">
      <c r="A2000" s="164">
        <v>2022</v>
      </c>
      <c r="B2000" s="164">
        <v>11</v>
      </c>
      <c r="C2000" s="164">
        <v>23</v>
      </c>
      <c r="D2000" s="156">
        <f t="shared" si="220"/>
        <v>44888</v>
      </c>
      <c r="E2000" s="235">
        <f t="shared" si="222"/>
        <v>44888</v>
      </c>
      <c r="F2000" s="480"/>
      <c r="G2000" s="208" t="s">
        <v>1111</v>
      </c>
      <c r="H2000" s="206" t="str" cm="1">
        <f t="array" ref="H2000">IFERROR(INDEX(INVESTOR_LIST[INVESTOR NAME],MATCH(I2000,INVESTOR_LIST[INVESTOR CODE],0),)," ")</f>
        <v>NATEQ BE NAZIR IBN MINAR</v>
      </c>
      <c r="I2000" s="206" t="s">
        <v>1214</v>
      </c>
      <c r="J2000" s="165" t="s">
        <v>1112</v>
      </c>
      <c r="K2000" s="156"/>
      <c r="L2000" s="167">
        <v>12207.52</v>
      </c>
    </row>
    <row r="2001" spans="1:13" ht="11.25" customHeight="1" x14ac:dyDescent="0.2">
      <c r="A2001" s="226">
        <v>2022</v>
      </c>
      <c r="B2001" s="226">
        <v>11</v>
      </c>
      <c r="C2001" s="226">
        <v>23</v>
      </c>
      <c r="D2001" s="232">
        <f t="shared" si="220"/>
        <v>44888</v>
      </c>
      <c r="E2001" s="234">
        <f t="shared" si="222"/>
        <v>44888</v>
      </c>
      <c r="F2001" s="479"/>
      <c r="G2001" s="227" t="s">
        <v>1111</v>
      </c>
      <c r="H2001" s="228" t="str" cm="1">
        <f t="array" ref="H2001">IFERROR(INDEX(INVESTOR_LIST[INVESTOR NAME],MATCH(I2001,INVESTOR_LIST[INVESTOR CODE],0),)," ")</f>
        <v>NATEQ BE NAZIR IBN MINAR</v>
      </c>
      <c r="I2001" s="228" t="s">
        <v>1214</v>
      </c>
      <c r="J2001" s="165" t="s">
        <v>55</v>
      </c>
      <c r="K2001" s="230"/>
      <c r="L2001" s="230">
        <v>1513732.48</v>
      </c>
    </row>
    <row r="2002" spans="1:13" ht="11.25" customHeight="1" x14ac:dyDescent="0.2">
      <c r="A2002" s="221">
        <v>2022</v>
      </c>
      <c r="B2002" s="221">
        <v>11</v>
      </c>
      <c r="C2002" s="221">
        <v>23</v>
      </c>
      <c r="D2002" s="231">
        <f t="shared" si="220"/>
        <v>44888</v>
      </c>
      <c r="E2002" s="233">
        <f t="shared" si="222"/>
        <v>44888</v>
      </c>
      <c r="F2002" s="478" t="s">
        <v>1327</v>
      </c>
      <c r="G2002" s="222" t="s">
        <v>1111</v>
      </c>
      <c r="H2002" s="223" t="str" cm="1">
        <f t="array" ref="H2002">IFERROR(INDEX(INVESTOR_LIST[INVESTOR NAME],MATCH(I2002,INVESTOR_LIST[INVESTOR CODE],0),)," ")</f>
        <v xml:space="preserve"> </v>
      </c>
      <c r="I2002" s="223"/>
      <c r="J2002" s="224" t="s">
        <v>55</v>
      </c>
      <c r="K2002" s="225">
        <v>115200</v>
      </c>
      <c r="L2002" s="225"/>
    </row>
    <row r="2003" spans="1:13" ht="11.25" customHeight="1" x14ac:dyDescent="0.2">
      <c r="A2003" s="226">
        <v>2022</v>
      </c>
      <c r="B2003" s="226">
        <v>11</v>
      </c>
      <c r="C2003" s="226">
        <v>23</v>
      </c>
      <c r="D2003" s="232">
        <f t="shared" si="220"/>
        <v>44888</v>
      </c>
      <c r="E2003" s="234">
        <f t="shared" si="222"/>
        <v>44888</v>
      </c>
      <c r="F2003" s="479"/>
      <c r="G2003" s="227" t="s">
        <v>1111</v>
      </c>
      <c r="H2003" s="228" t="str" cm="1">
        <f t="array" ref="H2003">IFERROR(INDEX(INVESTOR_LIST[INVESTOR NAME],MATCH(I2003,INVESTOR_LIST[INVESTOR CODE],0),)," ")</f>
        <v xml:space="preserve"> </v>
      </c>
      <c r="I2003" s="228"/>
      <c r="J2003" s="229" t="s">
        <v>192</v>
      </c>
      <c r="K2003" s="230"/>
      <c r="L2003" s="230">
        <v>115200</v>
      </c>
      <c r="M2003" s="166"/>
    </row>
    <row r="2004" spans="1:13" ht="11.25" customHeight="1" x14ac:dyDescent="0.2">
      <c r="A2004" s="221">
        <v>2022</v>
      </c>
      <c r="B2004" s="221">
        <v>11</v>
      </c>
      <c r="C2004" s="221">
        <v>24</v>
      </c>
      <c r="D2004" s="231">
        <f t="shared" si="220"/>
        <v>44889</v>
      </c>
      <c r="E2004" s="233">
        <f t="shared" si="222"/>
        <v>44889</v>
      </c>
      <c r="F2004" s="478" t="s">
        <v>1323</v>
      </c>
      <c r="G2004" s="222" t="s">
        <v>1111</v>
      </c>
      <c r="H2004" s="223" t="str" cm="1">
        <f t="array" ref="H2004">IFERROR(INDEX(INVESTOR_LIST[INVESTOR NAME],MATCH(I2004,INVESTOR_LIST[INVESTOR CODE],0),)," ")</f>
        <v>TANVIR AHMED SIDDIQUI</v>
      </c>
      <c r="I2004" s="223" t="s">
        <v>349</v>
      </c>
      <c r="J2004" s="224" t="s">
        <v>55</v>
      </c>
      <c r="K2004" s="225">
        <v>50000</v>
      </c>
      <c r="L2004" s="225"/>
    </row>
    <row r="2005" spans="1:13" ht="11.25" customHeight="1" x14ac:dyDescent="0.2">
      <c r="A2005" s="164">
        <v>2022</v>
      </c>
      <c r="B2005" s="164">
        <v>11</v>
      </c>
      <c r="C2005" s="164">
        <v>24</v>
      </c>
      <c r="D2005" s="156">
        <f t="shared" si="220"/>
        <v>44889</v>
      </c>
      <c r="E2005" s="235">
        <f t="shared" si="222"/>
        <v>44889</v>
      </c>
      <c r="F2005" s="480"/>
      <c r="G2005" s="208" t="s">
        <v>1111</v>
      </c>
      <c r="H2005" s="206" t="str" cm="1">
        <f t="array" ref="H2005">IFERROR(INDEX(INVESTOR_LIST[INVESTOR NAME],MATCH(I2005,INVESTOR_LIST[INVESTOR CODE],0),)," ")</f>
        <v>TANVIR AHMED SIDDIQUI</v>
      </c>
      <c r="I2005" s="206" t="s">
        <v>349</v>
      </c>
      <c r="J2005" s="165" t="s">
        <v>1112</v>
      </c>
      <c r="K2005" s="205">
        <v>350</v>
      </c>
      <c r="L2005" s="205"/>
      <c r="M2005" s="166"/>
    </row>
    <row r="2006" spans="1:13" ht="11.25" customHeight="1" x14ac:dyDescent="0.2">
      <c r="A2006" s="226">
        <v>2022</v>
      </c>
      <c r="B2006" s="226">
        <v>11</v>
      </c>
      <c r="C2006" s="226">
        <v>24</v>
      </c>
      <c r="D2006" s="232">
        <f t="shared" si="220"/>
        <v>44889</v>
      </c>
      <c r="E2006" s="234">
        <f t="shared" si="222"/>
        <v>44889</v>
      </c>
      <c r="F2006" s="479"/>
      <c r="G2006" s="227" t="s">
        <v>1111</v>
      </c>
      <c r="H2006" s="228" t="str" cm="1">
        <f t="array" ref="H2006">IFERROR(INDEX(INVESTOR_LIST[INVESTOR NAME],MATCH(I2006,INVESTOR_LIST[INVESTOR CODE],0),)," ")</f>
        <v>TANVIR AHMED SIDDIQUI</v>
      </c>
      <c r="I2006" s="228" t="s">
        <v>349</v>
      </c>
      <c r="J2006" s="229" t="s">
        <v>14</v>
      </c>
      <c r="K2006" s="230"/>
      <c r="L2006" s="230">
        <v>50350</v>
      </c>
    </row>
    <row r="2007" spans="1:13" ht="11.25" customHeight="1" x14ac:dyDescent="0.2">
      <c r="A2007" s="221">
        <v>2022</v>
      </c>
      <c r="B2007" s="221">
        <v>11</v>
      </c>
      <c r="C2007" s="221">
        <v>24</v>
      </c>
      <c r="D2007" s="231">
        <f t="shared" si="220"/>
        <v>44889</v>
      </c>
      <c r="E2007" s="233">
        <f t="shared" si="222"/>
        <v>44889</v>
      </c>
      <c r="F2007" s="478" t="s">
        <v>1328</v>
      </c>
      <c r="G2007" s="222" t="s">
        <v>1111</v>
      </c>
      <c r="H2007" s="223" t="str" cm="1">
        <f t="array" ref="H2007">IFERROR(INDEX(INVESTOR_LIST[INVESTOR NAME],MATCH(I2007,INVESTOR_LIST[INVESTOR CODE],0),)," ")</f>
        <v xml:space="preserve"> </v>
      </c>
      <c r="I2007" s="223"/>
      <c r="J2007" s="224" t="s">
        <v>63</v>
      </c>
      <c r="K2007" s="225">
        <v>10</v>
      </c>
      <c r="L2007" s="225"/>
    </row>
    <row r="2008" spans="1:13" ht="11.25" customHeight="1" x14ac:dyDescent="0.2">
      <c r="A2008" s="226">
        <v>2022</v>
      </c>
      <c r="B2008" s="226">
        <v>11</v>
      </c>
      <c r="C2008" s="226">
        <v>24</v>
      </c>
      <c r="D2008" s="232">
        <f t="shared" si="220"/>
        <v>44889</v>
      </c>
      <c r="E2008" s="234">
        <f t="shared" si="222"/>
        <v>44889</v>
      </c>
      <c r="F2008" s="479"/>
      <c r="G2008" s="227" t="s">
        <v>1111</v>
      </c>
      <c r="H2008" s="228" t="str" cm="1">
        <f t="array" ref="H2008">IFERROR(INDEX(INVESTOR_LIST[INVESTOR NAME],MATCH(I2008,INVESTOR_LIST[INVESTOR CODE],0),)," ")</f>
        <v xml:space="preserve"> </v>
      </c>
      <c r="I2008" s="228"/>
      <c r="J2008" s="229" t="s">
        <v>55</v>
      </c>
      <c r="K2008" s="230"/>
      <c r="L2008" s="230">
        <v>10</v>
      </c>
    </row>
    <row r="2009" spans="1:13" ht="11.25" customHeight="1" x14ac:dyDescent="0.2">
      <c r="A2009" s="221">
        <v>2022</v>
      </c>
      <c r="B2009" s="221">
        <v>11</v>
      </c>
      <c r="C2009" s="221">
        <v>24</v>
      </c>
      <c r="D2009" s="221">
        <f t="shared" si="220"/>
        <v>44889</v>
      </c>
      <c r="E2009" s="233">
        <f t="shared" si="222"/>
        <v>44889</v>
      </c>
      <c r="F2009" s="478" t="s">
        <v>1301</v>
      </c>
      <c r="G2009" s="222" t="s">
        <v>86</v>
      </c>
      <c r="H2009" s="222" t="str" cm="1">
        <f t="array" ref="H2009">IFERROR(INDEX(INVESTOR_LIST[INVESTOR NAME],MATCH(I2009,INVESTOR_LIST[INVESTOR CODE],0),)," ")</f>
        <v xml:space="preserve"> </v>
      </c>
      <c r="I2009" s="223"/>
      <c r="J2009" s="165" t="s">
        <v>199</v>
      </c>
      <c r="K2009" s="295">
        <v>458066.99</v>
      </c>
      <c r="L2009" s="225"/>
    </row>
    <row r="2010" spans="1:13" ht="11.25" customHeight="1" x14ac:dyDescent="0.2">
      <c r="A2010" s="164">
        <v>2022</v>
      </c>
      <c r="B2010" s="164">
        <v>11</v>
      </c>
      <c r="C2010" s="164">
        <v>24</v>
      </c>
      <c r="D2010" s="164">
        <f t="shared" si="220"/>
        <v>44889</v>
      </c>
      <c r="E2010" s="235">
        <f t="shared" si="222"/>
        <v>44889</v>
      </c>
      <c r="F2010" s="480"/>
      <c r="G2010" s="208" t="s">
        <v>86</v>
      </c>
      <c r="H2010" s="208"/>
      <c r="J2010" s="165" t="s">
        <v>960</v>
      </c>
      <c r="K2010" s="205">
        <v>826.01</v>
      </c>
      <c r="L2010" s="205"/>
    </row>
    <row r="2011" spans="1:13" ht="11.25" customHeight="1" x14ac:dyDescent="0.2">
      <c r="A2011" s="164">
        <v>2022</v>
      </c>
      <c r="B2011" s="164">
        <v>11</v>
      </c>
      <c r="C2011" s="164">
        <v>24</v>
      </c>
      <c r="D2011" s="164">
        <f t="shared" si="220"/>
        <v>44889</v>
      </c>
      <c r="E2011" s="235">
        <f t="shared" si="222"/>
        <v>44889</v>
      </c>
      <c r="F2011" s="480"/>
      <c r="G2011" s="208" t="s">
        <v>86</v>
      </c>
      <c r="H2011" s="208"/>
      <c r="J2011" s="165" t="s">
        <v>200</v>
      </c>
      <c r="K2011" s="205"/>
      <c r="L2011" s="205">
        <v>388833</v>
      </c>
    </row>
    <row r="2012" spans="1:13" ht="11.25" customHeight="1" x14ac:dyDescent="0.2">
      <c r="A2012" s="226">
        <v>2022</v>
      </c>
      <c r="B2012" s="226">
        <v>11</v>
      </c>
      <c r="C2012" s="226">
        <v>24</v>
      </c>
      <c r="D2012" s="226">
        <f t="shared" si="220"/>
        <v>44889</v>
      </c>
      <c r="E2012" s="234">
        <f t="shared" si="222"/>
        <v>44889</v>
      </c>
      <c r="F2012" s="479"/>
      <c r="G2012" s="227" t="s">
        <v>86</v>
      </c>
      <c r="H2012" s="228" t="str" cm="1">
        <f t="array" ref="H2012">IFERROR(INDEX(INVESTOR_LIST[INVESTOR NAME],MATCH(I2012,INVESTOR_LIST[INVESTOR CODE],0),)," ")</f>
        <v xml:space="preserve"> </v>
      </c>
      <c r="I2012" s="228"/>
      <c r="J2012" s="229" t="s">
        <v>80</v>
      </c>
      <c r="K2012" s="230"/>
      <c r="L2012" s="230">
        <v>70060</v>
      </c>
    </row>
    <row r="2013" spans="1:13" ht="11.25" customHeight="1" x14ac:dyDescent="0.2">
      <c r="A2013" s="280">
        <v>2022</v>
      </c>
      <c r="B2013" s="280">
        <v>11</v>
      </c>
      <c r="C2013" s="280">
        <v>24</v>
      </c>
      <c r="D2013" s="281">
        <f t="shared" si="220"/>
        <v>44889</v>
      </c>
      <c r="E2013" s="282">
        <f t="shared" si="222"/>
        <v>44889</v>
      </c>
      <c r="F2013" s="472" t="s">
        <v>1294</v>
      </c>
      <c r="G2013" s="283" t="s">
        <v>86</v>
      </c>
      <c r="H2013" s="284" t="str" cm="1">
        <f t="array" ref="H2013">IFERROR(INDEX(INVESTOR_LIST[INVESTOR NAME],MATCH(I2013,INVESTOR_LIST[INVESTOR CODE],0),)," ")</f>
        <v xml:space="preserve"> </v>
      </c>
      <c r="I2013" s="284"/>
      <c r="J2013" s="285" t="s">
        <v>131</v>
      </c>
      <c r="K2013" s="286">
        <v>7031.25</v>
      </c>
      <c r="L2013" s="286"/>
    </row>
    <row r="2014" spans="1:13" ht="11.25" customHeight="1" x14ac:dyDescent="0.2">
      <c r="A2014" s="287">
        <v>2022</v>
      </c>
      <c r="B2014" s="287">
        <v>11</v>
      </c>
      <c r="C2014" s="287">
        <v>24</v>
      </c>
      <c r="D2014" s="288">
        <f t="shared" si="220"/>
        <v>44889</v>
      </c>
      <c r="E2014" s="289">
        <f t="shared" si="222"/>
        <v>44889</v>
      </c>
      <c r="F2014" s="473"/>
      <c r="G2014" s="290" t="s">
        <v>86</v>
      </c>
      <c r="H2014" s="291" t="str" cm="1">
        <f t="array" ref="H2014">IFERROR(INDEX(INVESTOR_LIST[INVESTOR NAME],MATCH(I2014,INVESTOR_LIST[INVESTOR CODE],0),)," ")</f>
        <v xml:space="preserve"> </v>
      </c>
      <c r="I2014" s="291"/>
      <c r="J2014" s="292" t="s">
        <v>174</v>
      </c>
      <c r="K2014" s="293"/>
      <c r="L2014" s="293">
        <v>7031.25</v>
      </c>
    </row>
    <row r="2015" spans="1:13" ht="11.25" customHeight="1" x14ac:dyDescent="0.2">
      <c r="A2015" s="280">
        <v>2022</v>
      </c>
      <c r="B2015" s="280">
        <v>11</v>
      </c>
      <c r="C2015" s="280">
        <v>24</v>
      </c>
      <c r="D2015" s="281">
        <f t="shared" si="220"/>
        <v>44889</v>
      </c>
      <c r="E2015" s="282">
        <f t="shared" si="222"/>
        <v>44889</v>
      </c>
      <c r="F2015" s="472" t="s">
        <v>1295</v>
      </c>
      <c r="G2015" s="283" t="s">
        <v>86</v>
      </c>
      <c r="H2015" s="284" t="str" cm="1">
        <f t="array" ref="H2015">IFERROR(INDEX(INVESTOR_LIST[INVESTOR NAME],MATCH(I2015,INVESTOR_LIST[INVESTOR CODE],0),)," ")</f>
        <v xml:space="preserve"> </v>
      </c>
      <c r="I2015" s="284"/>
      <c r="J2015" s="285" t="s">
        <v>131</v>
      </c>
      <c r="K2015" s="286">
        <v>51041.67</v>
      </c>
      <c r="L2015" s="286"/>
    </row>
    <row r="2016" spans="1:13" ht="11.25" customHeight="1" x14ac:dyDescent="0.2">
      <c r="A2016" s="287">
        <v>2022</v>
      </c>
      <c r="B2016" s="287">
        <v>11</v>
      </c>
      <c r="C2016" s="287">
        <v>24</v>
      </c>
      <c r="D2016" s="288">
        <f t="shared" si="220"/>
        <v>44889</v>
      </c>
      <c r="E2016" s="289">
        <f t="shared" si="222"/>
        <v>44889</v>
      </c>
      <c r="F2016" s="473"/>
      <c r="G2016" s="290" t="s">
        <v>86</v>
      </c>
      <c r="H2016" s="291" t="str" cm="1">
        <f t="array" ref="H2016">IFERROR(INDEX(INVESTOR_LIST[INVESTOR NAME],MATCH(I2016,INVESTOR_LIST[INVESTOR CODE],0),)," ")</f>
        <v xml:space="preserve"> </v>
      </c>
      <c r="I2016" s="291"/>
      <c r="J2016" s="292" t="s">
        <v>174</v>
      </c>
      <c r="K2016" s="293"/>
      <c r="L2016" s="293">
        <v>51041.67</v>
      </c>
    </row>
    <row r="2017" spans="1:13" ht="11.25" customHeight="1" x14ac:dyDescent="0.2">
      <c r="A2017" s="280">
        <v>2022</v>
      </c>
      <c r="B2017" s="280">
        <v>11</v>
      </c>
      <c r="C2017" s="280">
        <v>24</v>
      </c>
      <c r="D2017" s="281">
        <f t="shared" si="220"/>
        <v>44889</v>
      </c>
      <c r="E2017" s="282">
        <f t="shared" si="222"/>
        <v>44889</v>
      </c>
      <c r="F2017" s="472" t="s">
        <v>1296</v>
      </c>
      <c r="G2017" s="283" t="s">
        <v>86</v>
      </c>
      <c r="H2017" s="284" t="str" cm="1">
        <f t="array" ref="H2017">IFERROR(INDEX(INVESTOR_LIST[INVESTOR NAME],MATCH(I2017,INVESTOR_LIST[INVESTOR CODE],0),)," ")</f>
        <v xml:space="preserve"> </v>
      </c>
      <c r="I2017" s="284"/>
      <c r="J2017" s="285" t="s">
        <v>131</v>
      </c>
      <c r="K2017" s="286">
        <v>112965.44</v>
      </c>
      <c r="L2017" s="286"/>
    </row>
    <row r="2018" spans="1:13" ht="11.25" customHeight="1" x14ac:dyDescent="0.2">
      <c r="A2018" s="287">
        <v>2022</v>
      </c>
      <c r="B2018" s="287">
        <v>11</v>
      </c>
      <c r="C2018" s="287">
        <v>24</v>
      </c>
      <c r="D2018" s="288">
        <f t="shared" si="220"/>
        <v>44889</v>
      </c>
      <c r="E2018" s="289">
        <f t="shared" si="222"/>
        <v>44889</v>
      </c>
      <c r="F2018" s="473"/>
      <c r="G2018" s="290" t="s">
        <v>86</v>
      </c>
      <c r="H2018" s="291" t="str" cm="1">
        <f t="array" ref="H2018">IFERROR(INDEX(INVESTOR_LIST[INVESTOR NAME],MATCH(I2018,INVESTOR_LIST[INVESTOR CODE],0),)," ")</f>
        <v xml:space="preserve"> </v>
      </c>
      <c r="I2018" s="291"/>
      <c r="J2018" s="292" t="s">
        <v>174</v>
      </c>
      <c r="K2018" s="293"/>
      <c r="L2018" s="293">
        <v>112965.44</v>
      </c>
    </row>
    <row r="2019" spans="1:13" ht="11.25" customHeight="1" x14ac:dyDescent="0.2">
      <c r="A2019" s="236">
        <v>2022</v>
      </c>
      <c r="B2019" s="236">
        <v>11</v>
      </c>
      <c r="C2019" s="236">
        <v>24</v>
      </c>
      <c r="D2019" s="237">
        <f t="shared" si="220"/>
        <v>44889</v>
      </c>
      <c r="E2019" s="238">
        <f t="shared" si="222"/>
        <v>44889</v>
      </c>
      <c r="F2019" s="476" t="s">
        <v>1118</v>
      </c>
      <c r="G2019" s="239" t="s">
        <v>86</v>
      </c>
      <c r="H2019" s="239" t="str" cm="1">
        <f t="array" ref="H2019">IFERROR(INDEX(INVESTOR_LIST[INVESTOR NAME],MATCH(I2019,INVESTOR_LIST[INVESTOR CODE],0),)," ")</f>
        <v xml:space="preserve"> </v>
      </c>
      <c r="I2019" s="240"/>
      <c r="J2019" s="241" t="s">
        <v>82</v>
      </c>
      <c r="K2019" s="242">
        <v>122796.40000000596</v>
      </c>
      <c r="L2019" s="242"/>
    </row>
    <row r="2020" spans="1:13" ht="11.25" customHeight="1" x14ac:dyDescent="0.2">
      <c r="A2020" s="243">
        <v>2022</v>
      </c>
      <c r="B2020" s="243">
        <v>11</v>
      </c>
      <c r="C2020" s="243">
        <v>24</v>
      </c>
      <c r="D2020" s="248">
        <f t="shared" si="220"/>
        <v>44889</v>
      </c>
      <c r="E2020" s="249">
        <f t="shared" si="222"/>
        <v>44889</v>
      </c>
      <c r="F2020" s="477"/>
      <c r="G2020" s="244" t="s">
        <v>86</v>
      </c>
      <c r="H2020" s="244" t="str" cm="1">
        <f t="array" ref="H2020">IFERROR(INDEX(INVESTOR_LIST[INVESTOR NAME],MATCH(I2020,INVESTOR_LIST[INVESTOR CODE],0),)," ")</f>
        <v xml:space="preserve"> </v>
      </c>
      <c r="I2020" s="245"/>
      <c r="J2020" s="246" t="s">
        <v>98</v>
      </c>
      <c r="K2020" s="247"/>
      <c r="L2020" s="247">
        <v>122796.40000000596</v>
      </c>
    </row>
    <row r="2021" spans="1:13" ht="11.25" customHeight="1" x14ac:dyDescent="0.2">
      <c r="A2021" s="236">
        <v>2022</v>
      </c>
      <c r="B2021" s="236">
        <v>11</v>
      </c>
      <c r="C2021" s="236">
        <v>24</v>
      </c>
      <c r="D2021" s="237">
        <f t="shared" si="220"/>
        <v>44889</v>
      </c>
      <c r="E2021" s="238">
        <f t="shared" si="222"/>
        <v>44889</v>
      </c>
      <c r="F2021" s="476" t="s">
        <v>1120</v>
      </c>
      <c r="G2021" s="239" t="s">
        <v>86</v>
      </c>
      <c r="H2021" s="239" t="str" cm="1">
        <f t="array" ref="H2021">IFERROR(INDEX(INVESTOR_LIST[INVESTOR NAME],MATCH(I2021,INVESTOR_LIST[INVESTOR CODE],0),)," ")</f>
        <v xml:space="preserve"> </v>
      </c>
      <c r="I2021" s="240"/>
      <c r="J2021" s="241" t="s">
        <v>87</v>
      </c>
      <c r="K2021" s="242">
        <v>2747.2527472527472</v>
      </c>
      <c r="L2021" s="242"/>
    </row>
    <row r="2022" spans="1:13" ht="11.25" customHeight="1" x14ac:dyDescent="0.2">
      <c r="A2022" s="243">
        <v>2022</v>
      </c>
      <c r="B2022" s="243">
        <v>11</v>
      </c>
      <c r="C2022" s="243">
        <v>24</v>
      </c>
      <c r="D2022" s="248">
        <f t="shared" si="220"/>
        <v>44889</v>
      </c>
      <c r="E2022" s="249">
        <f t="shared" si="222"/>
        <v>44889</v>
      </c>
      <c r="F2022" s="477"/>
      <c r="G2022" s="244" t="s">
        <v>86</v>
      </c>
      <c r="H2022" s="244" t="str" cm="1">
        <f t="array" ref="H2022">IFERROR(INDEX(INVESTOR_LIST[INVESTOR NAME],MATCH(I2022,INVESTOR_LIST[INVESTOR CODE],0),)," ")</f>
        <v xml:space="preserve"> </v>
      </c>
      <c r="I2022" s="245"/>
      <c r="J2022" s="246" t="s">
        <v>64</v>
      </c>
      <c r="K2022" s="247"/>
      <c r="L2022" s="247">
        <v>2747.2527472527472</v>
      </c>
    </row>
    <row r="2023" spans="1:13" ht="11.25" customHeight="1" x14ac:dyDescent="0.2">
      <c r="A2023" s="236">
        <v>2022</v>
      </c>
      <c r="B2023" s="236">
        <v>11</v>
      </c>
      <c r="C2023" s="236">
        <v>24</v>
      </c>
      <c r="D2023" s="237">
        <f t="shared" si="220"/>
        <v>44889</v>
      </c>
      <c r="E2023" s="238">
        <f t="shared" si="222"/>
        <v>44889</v>
      </c>
      <c r="F2023" s="476" t="s">
        <v>1121</v>
      </c>
      <c r="G2023" s="239" t="s">
        <v>86</v>
      </c>
      <c r="H2023" s="239" t="str" cm="1">
        <f t="array" ref="H2023">IFERROR(INDEX(INVESTOR_LIST[INVESTOR NAME],MATCH(I2023,INVESTOR_LIST[INVESTOR CODE],0),)," ")</f>
        <v xml:space="preserve"> </v>
      </c>
      <c r="I2023" s="240"/>
      <c r="J2023" s="241" t="s">
        <v>89</v>
      </c>
      <c r="K2023" s="242">
        <v>88866.0002143483</v>
      </c>
      <c r="L2023" s="242"/>
    </row>
    <row r="2024" spans="1:13" ht="11.25" customHeight="1" x14ac:dyDescent="0.2">
      <c r="A2024" s="243">
        <v>2022</v>
      </c>
      <c r="B2024" s="243">
        <v>11</v>
      </c>
      <c r="C2024" s="243">
        <v>24</v>
      </c>
      <c r="D2024" s="248">
        <f t="shared" si="220"/>
        <v>44889</v>
      </c>
      <c r="E2024" s="249">
        <f t="shared" si="222"/>
        <v>44889</v>
      </c>
      <c r="F2024" s="477"/>
      <c r="G2024" s="244" t="s">
        <v>86</v>
      </c>
      <c r="H2024" s="244" t="str" cm="1">
        <f t="array" ref="H2024">IFERROR(INDEX(INVESTOR_LIST[INVESTOR NAME],MATCH(I2024,INVESTOR_LIST[INVESTOR CODE],0),)," ")</f>
        <v xml:space="preserve"> </v>
      </c>
      <c r="I2024" s="245"/>
      <c r="J2024" s="246" t="s">
        <v>50</v>
      </c>
      <c r="K2024" s="247"/>
      <c r="L2024" s="247">
        <v>88866.0002143483</v>
      </c>
    </row>
    <row r="2025" spans="1:13" ht="11.25" customHeight="1" x14ac:dyDescent="0.2">
      <c r="A2025" s="236">
        <v>2022</v>
      </c>
      <c r="B2025" s="236">
        <v>11</v>
      </c>
      <c r="C2025" s="236">
        <v>24</v>
      </c>
      <c r="D2025" s="237">
        <f t="shared" si="220"/>
        <v>44889</v>
      </c>
      <c r="E2025" s="238">
        <f t="shared" si="222"/>
        <v>44889</v>
      </c>
      <c r="F2025" s="476" t="s">
        <v>1122</v>
      </c>
      <c r="G2025" s="239" t="s">
        <v>86</v>
      </c>
      <c r="H2025" s="239" t="str" cm="1">
        <f t="array" ref="H2025">IFERROR(INDEX(INVESTOR_LIST[INVESTOR NAME],MATCH(I2025,INVESTOR_LIST[INVESTOR CODE],0),)," ")</f>
        <v xml:space="preserve"> </v>
      </c>
      <c r="I2025" s="240"/>
      <c r="J2025" s="241" t="s">
        <v>91</v>
      </c>
      <c r="K2025" s="242">
        <v>4202.9153953327996</v>
      </c>
      <c r="L2025" s="242"/>
    </row>
    <row r="2026" spans="1:13" ht="11.25" customHeight="1" x14ac:dyDescent="0.2">
      <c r="A2026" s="243">
        <v>2022</v>
      </c>
      <c r="B2026" s="243">
        <v>11</v>
      </c>
      <c r="C2026" s="243">
        <v>24</v>
      </c>
      <c r="D2026" s="248">
        <f t="shared" si="220"/>
        <v>44889</v>
      </c>
      <c r="E2026" s="249">
        <f t="shared" si="222"/>
        <v>44889</v>
      </c>
      <c r="F2026" s="477"/>
      <c r="G2026" s="244" t="s">
        <v>86</v>
      </c>
      <c r="H2026" s="244" t="str" cm="1">
        <f t="array" ref="H2026">IFERROR(INDEX(INVESTOR_LIST[INVESTOR NAME],MATCH(I2026,INVESTOR_LIST[INVESTOR CODE],0),)," ")</f>
        <v xml:space="preserve"> </v>
      </c>
      <c r="I2026" s="245"/>
      <c r="J2026" s="246" t="s">
        <v>51</v>
      </c>
      <c r="K2026" s="247"/>
      <c r="L2026" s="247">
        <v>4202.9153953327996</v>
      </c>
    </row>
    <row r="2027" spans="1:13" ht="11.25" customHeight="1" x14ac:dyDescent="0.2">
      <c r="A2027" s="221">
        <v>2022</v>
      </c>
      <c r="B2027" s="221">
        <v>11</v>
      </c>
      <c r="C2027" s="221">
        <v>28</v>
      </c>
      <c r="D2027" s="231">
        <f t="shared" si="220"/>
        <v>44893</v>
      </c>
      <c r="E2027" s="233">
        <f t="shared" ref="E2027:E2031" si="223">DATE(A2027,B2027,C2027)</f>
        <v>44893</v>
      </c>
      <c r="F2027" s="478" t="s">
        <v>1323</v>
      </c>
      <c r="G2027" s="222" t="s">
        <v>1111</v>
      </c>
      <c r="H2027" s="223" t="str" cm="1">
        <f t="array" ref="H2027">IFERROR(INDEX(INVESTOR_LIST[INVESTOR NAME],MATCH(I2027,INVESTOR_LIST[INVESTOR CODE],0),)," ")</f>
        <v>TAPASH KUMAR PAUL</v>
      </c>
      <c r="I2027" s="223" t="s">
        <v>1329</v>
      </c>
      <c r="J2027" s="224" t="s">
        <v>55</v>
      </c>
      <c r="K2027" s="225">
        <v>100000</v>
      </c>
      <c r="L2027" s="225"/>
    </row>
    <row r="2028" spans="1:13" ht="11.25" customHeight="1" x14ac:dyDescent="0.2">
      <c r="A2028" s="164">
        <v>2022</v>
      </c>
      <c r="B2028" s="164">
        <v>11</v>
      </c>
      <c r="C2028" s="164">
        <v>28</v>
      </c>
      <c r="D2028" s="156">
        <f t="shared" si="220"/>
        <v>44893</v>
      </c>
      <c r="E2028" s="235">
        <f t="shared" si="223"/>
        <v>44893</v>
      </c>
      <c r="F2028" s="480"/>
      <c r="G2028" s="208" t="s">
        <v>1111</v>
      </c>
      <c r="H2028" s="206" t="str" cm="1">
        <f t="array" ref="H2028">IFERROR(INDEX(INVESTOR_LIST[INVESTOR NAME],MATCH(I2028,INVESTOR_LIST[INVESTOR CODE],0),)," ")</f>
        <v>TAPASH KUMAR PAUL</v>
      </c>
      <c r="I2028" s="206" t="s">
        <v>1329</v>
      </c>
      <c r="J2028" s="165" t="s">
        <v>1112</v>
      </c>
      <c r="K2028" s="205">
        <v>400</v>
      </c>
      <c r="L2028" s="205"/>
      <c r="M2028" s="166"/>
    </row>
    <row r="2029" spans="1:13" ht="11.25" customHeight="1" x14ac:dyDescent="0.2">
      <c r="A2029" s="226">
        <v>2022</v>
      </c>
      <c r="B2029" s="226">
        <v>11</v>
      </c>
      <c r="C2029" s="226">
        <v>28</v>
      </c>
      <c r="D2029" s="232">
        <f t="shared" si="220"/>
        <v>44893</v>
      </c>
      <c r="E2029" s="234">
        <f t="shared" si="223"/>
        <v>44893</v>
      </c>
      <c r="F2029" s="479"/>
      <c r="G2029" s="227" t="s">
        <v>1111</v>
      </c>
      <c r="H2029" s="228" t="str" cm="1">
        <f t="array" ref="H2029">IFERROR(INDEX(INVESTOR_LIST[INVESTOR NAME],MATCH(I2029,INVESTOR_LIST[INVESTOR CODE],0),)," ")</f>
        <v>TAPASH KUMAR PAUL</v>
      </c>
      <c r="I2029" s="228" t="s">
        <v>1329</v>
      </c>
      <c r="J2029" s="229" t="s">
        <v>14</v>
      </c>
      <c r="K2029" s="230"/>
      <c r="L2029" s="230">
        <v>100400</v>
      </c>
    </row>
    <row r="2030" spans="1:13" ht="11.25" customHeight="1" x14ac:dyDescent="0.2">
      <c r="A2030" s="221">
        <v>2022</v>
      </c>
      <c r="B2030" s="221">
        <v>11</v>
      </c>
      <c r="C2030" s="221">
        <v>28</v>
      </c>
      <c r="D2030" s="231">
        <f t="shared" si="220"/>
        <v>44893</v>
      </c>
      <c r="E2030" s="233">
        <f t="shared" si="223"/>
        <v>44893</v>
      </c>
      <c r="F2030" s="478" t="s">
        <v>1328</v>
      </c>
      <c r="G2030" s="222" t="s">
        <v>1111</v>
      </c>
      <c r="H2030" s="223" t="str" cm="1">
        <f t="array" ref="H2030">IFERROR(INDEX(INVESTOR_LIST[INVESTOR NAME],MATCH(I2030,INVESTOR_LIST[INVESTOR CODE],0),)," ")</f>
        <v xml:space="preserve"> </v>
      </c>
      <c r="I2030" s="223"/>
      <c r="J2030" s="224" t="s">
        <v>63</v>
      </c>
      <c r="K2030" s="225">
        <v>10</v>
      </c>
      <c r="L2030" s="225"/>
    </row>
    <row r="2031" spans="1:13" ht="11.25" customHeight="1" x14ac:dyDescent="0.2">
      <c r="A2031" s="226">
        <v>2022</v>
      </c>
      <c r="B2031" s="226">
        <v>11</v>
      </c>
      <c r="C2031" s="226">
        <v>28</v>
      </c>
      <c r="D2031" s="232">
        <f t="shared" si="220"/>
        <v>44893</v>
      </c>
      <c r="E2031" s="234">
        <f t="shared" si="223"/>
        <v>44893</v>
      </c>
      <c r="F2031" s="479"/>
      <c r="G2031" s="227" t="s">
        <v>1111</v>
      </c>
      <c r="H2031" s="228" t="str" cm="1">
        <f t="array" ref="H2031">IFERROR(INDEX(INVESTOR_LIST[INVESTOR NAME],MATCH(I2031,INVESTOR_LIST[INVESTOR CODE],0),)," ")</f>
        <v xml:space="preserve"> </v>
      </c>
      <c r="I2031" s="228"/>
      <c r="J2031" s="229" t="s">
        <v>55</v>
      </c>
      <c r="K2031" s="230"/>
      <c r="L2031" s="230">
        <v>10</v>
      </c>
    </row>
    <row r="2032" spans="1:13" ht="11.25" customHeight="1" x14ac:dyDescent="0.2">
      <c r="A2032" s="221">
        <v>2022</v>
      </c>
      <c r="B2032" s="221">
        <v>11</v>
      </c>
      <c r="C2032" s="221">
        <v>28</v>
      </c>
      <c r="D2032" s="231">
        <f t="shared" si="220"/>
        <v>44893</v>
      </c>
      <c r="E2032" s="233">
        <f t="shared" ref="E2032:E2036" si="224">DATE(A2032,B2032,C2032)</f>
        <v>44893</v>
      </c>
      <c r="F2032" s="478" t="s">
        <v>1132</v>
      </c>
      <c r="G2032" s="222" t="s">
        <v>1111</v>
      </c>
      <c r="H2032" s="223" t="str" cm="1">
        <f t="array" ref="H2032">IFERROR(INDEX(INVESTOR_LIST[INVESTOR NAME],MATCH(I2032,INVESTOR_LIST[INVESTOR CODE],0),)," ")</f>
        <v xml:space="preserve"> </v>
      </c>
      <c r="I2032" s="223"/>
      <c r="J2032" s="224" t="s">
        <v>55</v>
      </c>
      <c r="K2032" s="225">
        <v>15000</v>
      </c>
      <c r="L2032" s="225"/>
    </row>
    <row r="2033" spans="1:15" ht="11.25" customHeight="1" x14ac:dyDescent="0.2">
      <c r="A2033" s="164">
        <v>2022</v>
      </c>
      <c r="B2033" s="164">
        <v>11</v>
      </c>
      <c r="C2033" s="164">
        <v>28</v>
      </c>
      <c r="D2033" s="156">
        <f t="shared" si="220"/>
        <v>44893</v>
      </c>
      <c r="E2033" s="235">
        <f t="shared" si="224"/>
        <v>44893</v>
      </c>
      <c r="F2033" s="480"/>
      <c r="G2033" s="208" t="s">
        <v>1111</v>
      </c>
      <c r="H2033" s="206" t="str" cm="1">
        <f t="array" ref="H2033">IFERROR(INDEX(INVESTOR_LIST[INVESTOR NAME],MATCH(I2033,INVESTOR_LIST[INVESTOR CODE],0),)," ")</f>
        <v xml:space="preserve"> </v>
      </c>
      <c r="J2033" s="165" t="s">
        <v>1112</v>
      </c>
      <c r="K2033" s="205">
        <v>60</v>
      </c>
      <c r="L2033" s="205"/>
      <c r="M2033" s="166"/>
    </row>
    <row r="2034" spans="1:15" ht="11.25" customHeight="1" x14ac:dyDescent="0.2">
      <c r="A2034" s="226">
        <v>2022</v>
      </c>
      <c r="B2034" s="226">
        <v>11</v>
      </c>
      <c r="C2034" s="226">
        <v>28</v>
      </c>
      <c r="D2034" s="232">
        <f t="shared" si="220"/>
        <v>44893</v>
      </c>
      <c r="E2034" s="234">
        <f t="shared" si="224"/>
        <v>44893</v>
      </c>
      <c r="F2034" s="479"/>
      <c r="G2034" s="227" t="s">
        <v>1111</v>
      </c>
      <c r="H2034" s="228" t="str" cm="1">
        <f t="array" ref="H2034">IFERROR(INDEX(INVESTOR_LIST[INVESTOR NAME],MATCH(I2034,INVESTOR_LIST[INVESTOR CODE],0),)," ")</f>
        <v xml:space="preserve"> </v>
      </c>
      <c r="I2034" s="228"/>
      <c r="J2034" s="229" t="s">
        <v>14</v>
      </c>
      <c r="K2034" s="230"/>
      <c r="L2034" s="230">
        <v>15060</v>
      </c>
    </row>
    <row r="2035" spans="1:15" ht="11.25" customHeight="1" x14ac:dyDescent="0.2">
      <c r="A2035" s="221">
        <v>2022</v>
      </c>
      <c r="B2035" s="221">
        <v>11</v>
      </c>
      <c r="C2035" s="221">
        <v>28</v>
      </c>
      <c r="D2035" s="231">
        <f t="shared" si="220"/>
        <v>44893</v>
      </c>
      <c r="E2035" s="233">
        <f t="shared" si="224"/>
        <v>44893</v>
      </c>
      <c r="F2035" s="478" t="s">
        <v>1339</v>
      </c>
      <c r="G2035" s="222" t="s">
        <v>1111</v>
      </c>
      <c r="H2035" s="223" t="str" cm="1">
        <f t="array" ref="H2035">IFERROR(INDEX(INVESTOR_LIST[INVESTOR NAME],MATCH(I2035,INVESTOR_LIST[INVESTOR CODE],0),)," ")</f>
        <v xml:space="preserve"> </v>
      </c>
      <c r="I2035" s="223"/>
      <c r="J2035" s="224" t="s">
        <v>192</v>
      </c>
      <c r="K2035" s="225">
        <v>522400</v>
      </c>
      <c r="L2035" s="225"/>
    </row>
    <row r="2036" spans="1:15" ht="11.25" customHeight="1" x14ac:dyDescent="0.2">
      <c r="A2036" s="226">
        <v>2022</v>
      </c>
      <c r="B2036" s="226">
        <v>11</v>
      </c>
      <c r="C2036" s="226">
        <v>28</v>
      </c>
      <c r="D2036" s="232">
        <f t="shared" si="220"/>
        <v>44893</v>
      </c>
      <c r="E2036" s="234">
        <f t="shared" si="224"/>
        <v>44893</v>
      </c>
      <c r="F2036" s="479"/>
      <c r="G2036" s="227" t="s">
        <v>1111</v>
      </c>
      <c r="H2036" s="228" t="str" cm="1">
        <f t="array" ref="H2036">IFERROR(INDEX(INVESTOR_LIST[INVESTOR NAME],MATCH(I2036,INVESTOR_LIST[INVESTOR CODE],0),)," ")</f>
        <v xml:space="preserve"> </v>
      </c>
      <c r="I2036" s="228"/>
      <c r="J2036" s="229" t="s">
        <v>191</v>
      </c>
      <c r="K2036" s="230"/>
      <c r="L2036" s="230">
        <v>522400</v>
      </c>
      <c r="M2036" s="166"/>
    </row>
    <row r="2037" spans="1:15" ht="11.25" customHeight="1" x14ac:dyDescent="0.2">
      <c r="A2037" s="221">
        <v>2022</v>
      </c>
      <c r="B2037" s="221">
        <v>11</v>
      </c>
      <c r="C2037" s="221">
        <v>29</v>
      </c>
      <c r="D2037" s="231">
        <f t="shared" si="220"/>
        <v>44894</v>
      </c>
      <c r="E2037" s="233">
        <f>DATE(A2037,B2037,C2037)</f>
        <v>44894</v>
      </c>
      <c r="F2037" s="478" t="s">
        <v>1178</v>
      </c>
      <c r="G2037" s="222" t="s">
        <v>1111</v>
      </c>
      <c r="H2037" s="223" t="str" cm="1">
        <f t="array" ref="H2037">IFERROR(INDEX(INVESTOR_LIST[INVESTOR NAME],MATCH(I2037,INVESTOR_LIST[INVESTOR CODE],0),)," ")</f>
        <v xml:space="preserve"> </v>
      </c>
      <c r="I2037" s="223"/>
      <c r="J2037" s="224" t="s">
        <v>189</v>
      </c>
      <c r="K2037" s="225">
        <v>11250</v>
      </c>
      <c r="L2037" s="225"/>
      <c r="O2037" s="166"/>
    </row>
    <row r="2038" spans="1:15" ht="11.25" customHeight="1" x14ac:dyDescent="0.2">
      <c r="A2038" s="226">
        <v>2022</v>
      </c>
      <c r="B2038" s="226">
        <v>11</v>
      </c>
      <c r="C2038" s="226">
        <v>29</v>
      </c>
      <c r="D2038" s="232">
        <f t="shared" si="220"/>
        <v>44894</v>
      </c>
      <c r="E2038" s="234">
        <f>DATE(A2038,B2038,C2038)</f>
        <v>44894</v>
      </c>
      <c r="F2038" s="479"/>
      <c r="G2038" s="227" t="s">
        <v>1111</v>
      </c>
      <c r="H2038" s="228" t="str" cm="1">
        <f t="array" ref="H2038">IFERROR(INDEX(INVESTOR_LIST[INVESTOR NAME],MATCH(I2038,INVESTOR_LIST[INVESTOR CODE],0),)," ")</f>
        <v xml:space="preserve"> </v>
      </c>
      <c r="I2038" s="228"/>
      <c r="J2038" s="229" t="s">
        <v>55</v>
      </c>
      <c r="K2038" s="230"/>
      <c r="L2038" s="230">
        <v>11250</v>
      </c>
    </row>
    <row r="2039" spans="1:15" ht="11.25" customHeight="1" x14ac:dyDescent="0.2">
      <c r="A2039" s="221">
        <v>2022</v>
      </c>
      <c r="B2039" s="221">
        <v>11</v>
      </c>
      <c r="C2039" s="221">
        <v>29</v>
      </c>
      <c r="D2039" s="231">
        <f t="shared" si="220"/>
        <v>44894</v>
      </c>
      <c r="E2039" s="233">
        <f>DATE(A2039,B2039,C2039)</f>
        <v>44894</v>
      </c>
      <c r="F2039" s="478" t="s">
        <v>1303</v>
      </c>
      <c r="G2039" s="222" t="s">
        <v>1111</v>
      </c>
      <c r="H2039" s="223" t="str" cm="1">
        <f t="array" ref="H2039">IFERROR(INDEX(INVESTOR_LIST[INVESTOR NAME],MATCH(I2039,INVESTOR_LIST[INVESTOR CODE],0),)," ")</f>
        <v xml:space="preserve"> </v>
      </c>
      <c r="I2039" s="223"/>
      <c r="J2039" s="224" t="s">
        <v>55</v>
      </c>
      <c r="K2039" s="225">
        <v>458066.99</v>
      </c>
      <c r="L2039" s="225"/>
    </row>
    <row r="2040" spans="1:15" ht="11.25" customHeight="1" x14ac:dyDescent="0.2">
      <c r="A2040" s="226">
        <v>2022</v>
      </c>
      <c r="B2040" s="226">
        <v>11</v>
      </c>
      <c r="C2040" s="226">
        <v>29</v>
      </c>
      <c r="D2040" s="232">
        <f t="shared" si="220"/>
        <v>44894</v>
      </c>
      <c r="E2040" s="234">
        <f>DATE(A2040,B2040,C2040)</f>
        <v>44894</v>
      </c>
      <c r="F2040" s="479"/>
      <c r="G2040" s="227" t="s">
        <v>1111</v>
      </c>
      <c r="H2040" s="228" t="str" cm="1">
        <f t="array" ref="H2040">IFERROR(INDEX(INVESTOR_LIST[INVESTOR NAME],MATCH(I2040,INVESTOR_LIST[INVESTOR CODE],0),)," ")</f>
        <v xml:space="preserve"> </v>
      </c>
      <c r="I2040" s="228"/>
      <c r="J2040" s="229" t="s">
        <v>199</v>
      </c>
      <c r="K2040" s="230"/>
      <c r="L2040" s="230">
        <v>458066.99</v>
      </c>
    </row>
    <row r="2041" spans="1:15" ht="11.25" customHeight="1" x14ac:dyDescent="0.2">
      <c r="A2041" s="221">
        <v>2022</v>
      </c>
      <c r="B2041" s="221">
        <v>12</v>
      </c>
      <c r="C2041" s="221">
        <v>1</v>
      </c>
      <c r="D2041" s="231">
        <f t="shared" si="220"/>
        <v>44896</v>
      </c>
      <c r="E2041" s="233">
        <f t="shared" ref="E2041:E2074" si="225">DATE(A2041,B2041,C2041)</f>
        <v>44896</v>
      </c>
      <c r="F2041" s="478" t="s">
        <v>1115</v>
      </c>
      <c r="G2041" s="222" t="s">
        <v>1111</v>
      </c>
      <c r="H2041" s="223" t="str" cm="1">
        <f t="array" ref="H2041">IFERROR(INDEX(INVESTOR_LIST[INVESTOR NAME],MATCH(I2041,INVESTOR_LIST[INVESTOR CODE],0),)," ")</f>
        <v>MD. TANZIRUL AMIN</v>
      </c>
      <c r="I2041" s="223" t="s">
        <v>957</v>
      </c>
      <c r="J2041" s="224" t="s">
        <v>14</v>
      </c>
      <c r="K2041" s="225">
        <v>50000</v>
      </c>
      <c r="L2041" s="225"/>
    </row>
    <row r="2042" spans="1:15" ht="11.25" customHeight="1" x14ac:dyDescent="0.2">
      <c r="A2042" s="164">
        <v>2022</v>
      </c>
      <c r="B2042" s="164">
        <v>12</v>
      </c>
      <c r="C2042" s="164">
        <v>1</v>
      </c>
      <c r="D2042" s="156">
        <f t="shared" si="220"/>
        <v>44896</v>
      </c>
      <c r="E2042" s="235">
        <f t="shared" si="225"/>
        <v>44896</v>
      </c>
      <c r="F2042" s="480"/>
      <c r="G2042" s="208" t="s">
        <v>1111</v>
      </c>
      <c r="H2042" s="206" t="str" cm="1">
        <f t="array" ref="H2042">IFERROR(INDEX(INVESTOR_LIST[INVESTOR NAME],MATCH(I2042,INVESTOR_LIST[INVESTOR CODE],0),)," ")</f>
        <v>MD. TANZIRUL AMIN</v>
      </c>
      <c r="I2042" s="206" t="s">
        <v>957</v>
      </c>
      <c r="J2042" s="165" t="s">
        <v>1112</v>
      </c>
      <c r="K2042" s="156"/>
      <c r="L2042" s="167">
        <v>200</v>
      </c>
    </row>
    <row r="2043" spans="1:15" ht="11.25" customHeight="1" x14ac:dyDescent="0.2">
      <c r="A2043" s="226">
        <v>2022</v>
      </c>
      <c r="B2043" s="226">
        <v>12</v>
      </c>
      <c r="C2043" s="226">
        <v>1</v>
      </c>
      <c r="D2043" s="232">
        <f t="shared" si="220"/>
        <v>44896</v>
      </c>
      <c r="E2043" s="234">
        <f t="shared" si="225"/>
        <v>44896</v>
      </c>
      <c r="F2043" s="479"/>
      <c r="G2043" s="227" t="s">
        <v>1111</v>
      </c>
      <c r="H2043" s="228" t="str" cm="1">
        <f t="array" ref="H2043">IFERROR(INDEX(INVESTOR_LIST[INVESTOR NAME],MATCH(I2043,INVESTOR_LIST[INVESTOR CODE],0),)," ")</f>
        <v>MD. TANZIRUL AMIN</v>
      </c>
      <c r="I2043" s="228" t="s">
        <v>957</v>
      </c>
      <c r="J2043" s="229" t="s">
        <v>55</v>
      </c>
      <c r="K2043" s="230"/>
      <c r="L2043" s="230">
        <v>49800</v>
      </c>
    </row>
    <row r="2044" spans="1:15" ht="11.25" customHeight="1" x14ac:dyDescent="0.2">
      <c r="A2044" s="280">
        <v>2022</v>
      </c>
      <c r="B2044" s="280">
        <v>12</v>
      </c>
      <c r="C2044" s="280">
        <v>1</v>
      </c>
      <c r="D2044" s="281">
        <f t="shared" si="220"/>
        <v>44896</v>
      </c>
      <c r="E2044" s="282">
        <f>DATE(A2044,B2044,C2044)</f>
        <v>44896</v>
      </c>
      <c r="F2044" s="472" t="s">
        <v>1295</v>
      </c>
      <c r="G2044" s="283" t="s">
        <v>86</v>
      </c>
      <c r="H2044" s="284" t="str" cm="1">
        <f t="array" ref="H2044">IFERROR(INDEX(INVESTOR_LIST[INVESTOR NAME],MATCH(I2044,INVESTOR_LIST[INVESTOR CODE],0),)," ")</f>
        <v xml:space="preserve"> </v>
      </c>
      <c r="I2044" s="284"/>
      <c r="J2044" s="285" t="s">
        <v>131</v>
      </c>
      <c r="K2044" s="286">
        <v>51041.67</v>
      </c>
      <c r="L2044" s="286"/>
    </row>
    <row r="2045" spans="1:15" ht="11.25" customHeight="1" x14ac:dyDescent="0.2">
      <c r="A2045" s="287">
        <v>2022</v>
      </c>
      <c r="B2045" s="287">
        <v>12</v>
      </c>
      <c r="C2045" s="287">
        <v>1</v>
      </c>
      <c r="D2045" s="288">
        <f t="shared" si="220"/>
        <v>44896</v>
      </c>
      <c r="E2045" s="289">
        <f>DATE(A2045,B2045,C2045)</f>
        <v>44896</v>
      </c>
      <c r="F2045" s="473"/>
      <c r="G2045" s="290" t="s">
        <v>86</v>
      </c>
      <c r="H2045" s="291" t="str" cm="1">
        <f t="array" ref="H2045">IFERROR(INDEX(INVESTOR_LIST[INVESTOR NAME],MATCH(I2045,INVESTOR_LIST[INVESTOR CODE],0),)," ")</f>
        <v xml:space="preserve"> </v>
      </c>
      <c r="I2045" s="291"/>
      <c r="J2045" s="292" t="s">
        <v>174</v>
      </c>
      <c r="K2045" s="293"/>
      <c r="L2045" s="293">
        <v>51041.67</v>
      </c>
    </row>
    <row r="2046" spans="1:15" ht="11.25" customHeight="1" x14ac:dyDescent="0.2">
      <c r="A2046" s="236">
        <v>2022</v>
      </c>
      <c r="B2046" s="236">
        <v>12</v>
      </c>
      <c r="C2046" s="236">
        <v>1</v>
      </c>
      <c r="D2046" s="237">
        <f t="shared" si="220"/>
        <v>44896</v>
      </c>
      <c r="E2046" s="238">
        <f t="shared" si="225"/>
        <v>44896</v>
      </c>
      <c r="F2046" s="476" t="s">
        <v>1118</v>
      </c>
      <c r="G2046" s="239" t="s">
        <v>86</v>
      </c>
      <c r="H2046" s="239" t="str" cm="1">
        <f t="array" ref="H2046">IFERROR(INDEX(INVESTOR_LIST[INVESTOR NAME],MATCH(I2046,INVESTOR_LIST[INVESTOR CODE],0),)," ")</f>
        <v xml:space="preserve"> </v>
      </c>
      <c r="I2046" s="240"/>
      <c r="J2046" s="241" t="s">
        <v>82</v>
      </c>
      <c r="K2046" s="242">
        <v>25150</v>
      </c>
      <c r="L2046" s="242"/>
    </row>
    <row r="2047" spans="1:15" ht="11.25" customHeight="1" x14ac:dyDescent="0.2">
      <c r="A2047" s="243">
        <v>2022</v>
      </c>
      <c r="B2047" s="243">
        <v>12</v>
      </c>
      <c r="C2047" s="243">
        <v>1</v>
      </c>
      <c r="D2047" s="248">
        <f t="shared" si="220"/>
        <v>44896</v>
      </c>
      <c r="E2047" s="249">
        <f t="shared" si="225"/>
        <v>44896</v>
      </c>
      <c r="F2047" s="477"/>
      <c r="G2047" s="244" t="s">
        <v>86</v>
      </c>
      <c r="H2047" s="244" t="str" cm="1">
        <f t="array" ref="H2047">IFERROR(INDEX(INVESTOR_LIST[INVESTOR NAME],MATCH(I2047,INVESTOR_LIST[INVESTOR CODE],0),)," ")</f>
        <v xml:space="preserve"> </v>
      </c>
      <c r="I2047" s="245"/>
      <c r="J2047" s="246" t="s">
        <v>98</v>
      </c>
      <c r="K2047" s="247"/>
      <c r="L2047" s="247">
        <v>25150</v>
      </c>
    </row>
    <row r="2048" spans="1:15" ht="11.25" customHeight="1" x14ac:dyDescent="0.2">
      <c r="A2048" s="236">
        <v>2022</v>
      </c>
      <c r="B2048" s="236">
        <v>12</v>
      </c>
      <c r="C2048" s="236">
        <v>1</v>
      </c>
      <c r="D2048" s="237">
        <f t="shared" si="220"/>
        <v>44896</v>
      </c>
      <c r="E2048" s="238">
        <f t="shared" si="225"/>
        <v>44896</v>
      </c>
      <c r="F2048" s="476" t="s">
        <v>1120</v>
      </c>
      <c r="G2048" s="239" t="s">
        <v>86</v>
      </c>
      <c r="H2048" s="239" t="str" cm="1">
        <f t="array" ref="H2048">IFERROR(INDEX(INVESTOR_LIST[INVESTOR NAME],MATCH(I2048,INVESTOR_LIST[INVESTOR CODE],0),)," ")</f>
        <v xml:space="preserve"> </v>
      </c>
      <c r="I2048" s="240"/>
      <c r="J2048" s="241" t="s">
        <v>87</v>
      </c>
      <c r="K2048" s="242">
        <v>2747.2527472527472</v>
      </c>
      <c r="L2048" s="242"/>
    </row>
    <row r="2049" spans="1:12" ht="11.25" customHeight="1" x14ac:dyDescent="0.2">
      <c r="A2049" s="243">
        <v>2022</v>
      </c>
      <c r="B2049" s="243">
        <v>12</v>
      </c>
      <c r="C2049" s="243">
        <v>1</v>
      </c>
      <c r="D2049" s="248">
        <f t="shared" si="220"/>
        <v>44896</v>
      </c>
      <c r="E2049" s="249">
        <f t="shared" si="225"/>
        <v>44896</v>
      </c>
      <c r="F2049" s="477"/>
      <c r="G2049" s="244" t="s">
        <v>86</v>
      </c>
      <c r="H2049" s="244" t="str" cm="1">
        <f t="array" ref="H2049">IFERROR(INDEX(INVESTOR_LIST[INVESTOR NAME],MATCH(I2049,INVESTOR_LIST[INVESTOR CODE],0),)," ")</f>
        <v xml:space="preserve"> </v>
      </c>
      <c r="I2049" s="245"/>
      <c r="J2049" s="246" t="s">
        <v>64</v>
      </c>
      <c r="K2049" s="247"/>
      <c r="L2049" s="247">
        <v>2747.2527472527472</v>
      </c>
    </row>
    <row r="2050" spans="1:12" ht="11.25" customHeight="1" x14ac:dyDescent="0.2">
      <c r="A2050" s="236">
        <v>2022</v>
      </c>
      <c r="B2050" s="236">
        <v>12</v>
      </c>
      <c r="C2050" s="236">
        <v>1</v>
      </c>
      <c r="D2050" s="237">
        <f t="shared" si="220"/>
        <v>44896</v>
      </c>
      <c r="E2050" s="238">
        <f t="shared" si="225"/>
        <v>44896</v>
      </c>
      <c r="F2050" s="476" t="s">
        <v>1121</v>
      </c>
      <c r="G2050" s="239" t="s">
        <v>86</v>
      </c>
      <c r="H2050" s="239" t="str" cm="1">
        <f t="array" ref="H2050">IFERROR(INDEX(INVESTOR_LIST[INVESTOR NAME],MATCH(I2050,INVESTOR_LIST[INVESTOR CODE],0),)," ")</f>
        <v xml:space="preserve"> </v>
      </c>
      <c r="I2050" s="240"/>
      <c r="J2050" s="241" t="s">
        <v>89</v>
      </c>
      <c r="K2050" s="242">
        <v>89041.140149595652</v>
      </c>
      <c r="L2050" s="242"/>
    </row>
    <row r="2051" spans="1:12" ht="11.25" customHeight="1" x14ac:dyDescent="0.2">
      <c r="A2051" s="243">
        <v>2022</v>
      </c>
      <c r="B2051" s="243">
        <v>12</v>
      </c>
      <c r="C2051" s="243">
        <v>1</v>
      </c>
      <c r="D2051" s="248">
        <f t="shared" si="220"/>
        <v>44896</v>
      </c>
      <c r="E2051" s="249">
        <f t="shared" si="225"/>
        <v>44896</v>
      </c>
      <c r="F2051" s="477"/>
      <c r="G2051" s="244" t="s">
        <v>86</v>
      </c>
      <c r="H2051" s="244" t="str" cm="1">
        <f t="array" ref="H2051">IFERROR(INDEX(INVESTOR_LIST[INVESTOR NAME],MATCH(I2051,INVESTOR_LIST[INVESTOR CODE],0),)," ")</f>
        <v xml:space="preserve"> </v>
      </c>
      <c r="I2051" s="245"/>
      <c r="J2051" s="246" t="s">
        <v>50</v>
      </c>
      <c r="K2051" s="247"/>
      <c r="L2051" s="247">
        <v>89041.140149595652</v>
      </c>
    </row>
    <row r="2052" spans="1:12" ht="11.25" customHeight="1" x14ac:dyDescent="0.2">
      <c r="A2052" s="236">
        <v>2022</v>
      </c>
      <c r="B2052" s="236">
        <v>12</v>
      </c>
      <c r="C2052" s="236">
        <v>1</v>
      </c>
      <c r="D2052" s="237">
        <f t="shared" si="220"/>
        <v>44896</v>
      </c>
      <c r="E2052" s="238">
        <f t="shared" si="225"/>
        <v>44896</v>
      </c>
      <c r="F2052" s="476" t="s">
        <v>1122</v>
      </c>
      <c r="G2052" s="239" t="s">
        <v>86</v>
      </c>
      <c r="H2052" s="239" t="str" cm="1">
        <f t="array" ref="H2052">IFERROR(INDEX(INVESTOR_LIST[INVESTOR NAME],MATCH(I2052,INVESTOR_LIST[INVESTOR CODE],0),)," ")</f>
        <v xml:space="preserve"> </v>
      </c>
      <c r="I2052" s="240"/>
      <c r="J2052" s="241" t="s">
        <v>91</v>
      </c>
      <c r="K2052" s="242">
        <v>4211.6723920951663</v>
      </c>
      <c r="L2052" s="242"/>
    </row>
    <row r="2053" spans="1:12" ht="11.25" customHeight="1" x14ac:dyDescent="0.2">
      <c r="A2053" s="243">
        <v>2022</v>
      </c>
      <c r="B2053" s="243">
        <v>12</v>
      </c>
      <c r="C2053" s="243">
        <v>1</v>
      </c>
      <c r="D2053" s="248">
        <f t="shared" si="220"/>
        <v>44896</v>
      </c>
      <c r="E2053" s="249">
        <f t="shared" si="225"/>
        <v>44896</v>
      </c>
      <c r="F2053" s="477"/>
      <c r="G2053" s="244" t="s">
        <v>86</v>
      </c>
      <c r="H2053" s="244" t="str" cm="1">
        <f t="array" ref="H2053">IFERROR(INDEX(INVESTOR_LIST[INVESTOR NAME],MATCH(I2053,INVESTOR_LIST[INVESTOR CODE],0),)," ")</f>
        <v xml:space="preserve"> </v>
      </c>
      <c r="I2053" s="245"/>
      <c r="J2053" s="246" t="s">
        <v>51</v>
      </c>
      <c r="K2053" s="247"/>
      <c r="L2053" s="247">
        <v>4211.6723920951663</v>
      </c>
    </row>
    <row r="2054" spans="1:12" ht="11.25" customHeight="1" x14ac:dyDescent="0.2">
      <c r="A2054" s="221">
        <v>2022</v>
      </c>
      <c r="B2054" s="221">
        <v>12</v>
      </c>
      <c r="C2054" s="221">
        <v>2</v>
      </c>
      <c r="D2054" s="231">
        <f t="shared" si="220"/>
        <v>44897</v>
      </c>
      <c r="E2054" s="233">
        <f t="shared" si="225"/>
        <v>44897</v>
      </c>
      <c r="F2054" s="478" t="s">
        <v>1356</v>
      </c>
      <c r="G2054" s="222" t="s">
        <v>86</v>
      </c>
      <c r="H2054" s="223" t="str" cm="1">
        <f t="array" ref="H2054">IFERROR(INDEX(INVESTOR_LIST[INVESTOR NAME],MATCH(I2054,INVESTOR_LIST[INVESTOR CODE],0),)," ")</f>
        <v xml:space="preserve"> </v>
      </c>
      <c r="I2054" s="223"/>
      <c r="J2054" s="224" t="s">
        <v>88</v>
      </c>
      <c r="K2054" s="225">
        <v>8407210.6989062503</v>
      </c>
      <c r="L2054" s="225"/>
    </row>
    <row r="2055" spans="1:12" ht="11.25" customHeight="1" x14ac:dyDescent="0.2">
      <c r="A2055" s="164">
        <v>2022</v>
      </c>
      <c r="B2055" s="164">
        <v>12</v>
      </c>
      <c r="C2055" s="164">
        <v>2</v>
      </c>
      <c r="D2055" s="156">
        <f t="shared" si="220"/>
        <v>44897</v>
      </c>
      <c r="E2055" s="235">
        <f t="shared" ref="E2055" si="226">DATE(A2055,B2055,C2055)</f>
        <v>44897</v>
      </c>
      <c r="F2055" s="480"/>
      <c r="G2055" s="208" t="s">
        <v>86</v>
      </c>
      <c r="J2055" s="165" t="s">
        <v>131</v>
      </c>
      <c r="K2055" s="205"/>
      <c r="L2055" s="205">
        <v>144595.7614062503</v>
      </c>
    </row>
    <row r="2056" spans="1:12" ht="11.25" customHeight="1" x14ac:dyDescent="0.2">
      <c r="A2056" s="226">
        <v>2022</v>
      </c>
      <c r="B2056" s="226">
        <v>12</v>
      </c>
      <c r="C2056" s="226">
        <v>2</v>
      </c>
      <c r="D2056" s="232">
        <f t="shared" si="220"/>
        <v>44897</v>
      </c>
      <c r="E2056" s="234">
        <f t="shared" si="225"/>
        <v>44897</v>
      </c>
      <c r="F2056" s="479"/>
      <c r="G2056" s="227" t="s">
        <v>86</v>
      </c>
      <c r="H2056" s="228" t="str" cm="1">
        <f t="array" ref="H2056">IFERROR(INDEX(INVESTOR_LIST[INVESTOR NAME],MATCH(I2056,INVESTOR_LIST[INVESTOR CODE],0),)," ")</f>
        <v xml:space="preserve"> </v>
      </c>
      <c r="I2056" s="228"/>
      <c r="J2056" s="229" t="s">
        <v>88</v>
      </c>
      <c r="K2056" s="230"/>
      <c r="L2056" s="230">
        <v>8262614.9375</v>
      </c>
    </row>
    <row r="2057" spans="1:12" ht="11.25" customHeight="1" x14ac:dyDescent="0.2">
      <c r="A2057" s="221">
        <v>2022</v>
      </c>
      <c r="B2057" s="221">
        <v>12</v>
      </c>
      <c r="C2057" s="221">
        <v>2</v>
      </c>
      <c r="D2057" s="231">
        <f t="shared" ref="D2057:D2120" si="227">DATE(A2057,B2057,C2057)</f>
        <v>44897</v>
      </c>
      <c r="E2057" s="233">
        <f t="shared" ref="E2057:E2059" si="228">DATE(A2057,B2057,C2057)</f>
        <v>44897</v>
      </c>
      <c r="F2057" s="478" t="s">
        <v>1357</v>
      </c>
      <c r="G2057" s="222" t="s">
        <v>86</v>
      </c>
      <c r="H2057" s="223" t="str" cm="1">
        <f t="array" ref="H2057">IFERROR(INDEX(INVESTOR_LIST[INVESTOR NAME],MATCH(I2057,INVESTOR_LIST[INVESTOR CODE],0),)," ")</f>
        <v xml:space="preserve"> </v>
      </c>
      <c r="I2057" s="223"/>
      <c r="J2057" s="224" t="s">
        <v>88</v>
      </c>
      <c r="K2057" s="225">
        <v>8407210.6989062503</v>
      </c>
      <c r="L2057" s="225"/>
    </row>
    <row r="2058" spans="1:12" ht="11.25" customHeight="1" x14ac:dyDescent="0.2">
      <c r="A2058" s="164">
        <v>2022</v>
      </c>
      <c r="B2058" s="164">
        <v>12</v>
      </c>
      <c r="C2058" s="164">
        <v>2</v>
      </c>
      <c r="D2058" s="156">
        <f t="shared" si="227"/>
        <v>44897</v>
      </c>
      <c r="E2058" s="235">
        <f t="shared" si="228"/>
        <v>44897</v>
      </c>
      <c r="F2058" s="480"/>
      <c r="G2058" s="208" t="s">
        <v>86</v>
      </c>
      <c r="J2058" s="165" t="s">
        <v>131</v>
      </c>
      <c r="K2058" s="205"/>
      <c r="L2058" s="205">
        <v>144595.7614062503</v>
      </c>
    </row>
    <row r="2059" spans="1:12" ht="11.25" customHeight="1" x14ac:dyDescent="0.2">
      <c r="A2059" s="226">
        <v>2022</v>
      </c>
      <c r="B2059" s="226">
        <v>12</v>
      </c>
      <c r="C2059" s="226">
        <v>2</v>
      </c>
      <c r="D2059" s="232">
        <f t="shared" si="227"/>
        <v>44897</v>
      </c>
      <c r="E2059" s="234">
        <f t="shared" si="228"/>
        <v>44897</v>
      </c>
      <c r="F2059" s="479"/>
      <c r="G2059" s="227" t="s">
        <v>86</v>
      </c>
      <c r="H2059" s="228" t="str" cm="1">
        <f t="array" ref="H2059">IFERROR(INDEX(INVESTOR_LIST[INVESTOR NAME],MATCH(I2059,INVESTOR_LIST[INVESTOR CODE],0),)," ")</f>
        <v xml:space="preserve"> </v>
      </c>
      <c r="I2059" s="228"/>
      <c r="J2059" s="229" t="s">
        <v>88</v>
      </c>
      <c r="K2059" s="230"/>
      <c r="L2059" s="230">
        <v>8262614.9375</v>
      </c>
    </row>
    <row r="2060" spans="1:12" ht="11.25" customHeight="1" x14ac:dyDescent="0.2">
      <c r="A2060" s="221">
        <v>2022</v>
      </c>
      <c r="B2060" s="221">
        <v>12</v>
      </c>
      <c r="C2060" s="221">
        <v>2</v>
      </c>
      <c r="D2060" s="231">
        <f t="shared" si="227"/>
        <v>44897</v>
      </c>
      <c r="E2060" s="233">
        <f t="shared" si="225"/>
        <v>44897</v>
      </c>
      <c r="F2060" s="478" t="s">
        <v>1358</v>
      </c>
      <c r="G2060" s="222" t="s">
        <v>86</v>
      </c>
      <c r="H2060" s="223" t="str" cm="1">
        <f t="array" ref="H2060">IFERROR(INDEX(INVESTOR_LIST[INVESTOR NAME],MATCH(I2060,INVESTOR_LIST[INVESTOR CODE],0),)," ")</f>
        <v xml:space="preserve"> </v>
      </c>
      <c r="I2060" s="223"/>
      <c r="J2060" s="224" t="s">
        <v>88</v>
      </c>
      <c r="K2060" s="225">
        <v>8407210.6989062503</v>
      </c>
      <c r="L2060" s="225"/>
    </row>
    <row r="2061" spans="1:12" ht="11.25" customHeight="1" x14ac:dyDescent="0.2">
      <c r="A2061" s="164">
        <v>2022</v>
      </c>
      <c r="B2061" s="164">
        <v>12</v>
      </c>
      <c r="C2061" s="164">
        <v>2</v>
      </c>
      <c r="D2061" s="156">
        <f t="shared" si="227"/>
        <v>44897</v>
      </c>
      <c r="E2061" s="235">
        <f t="shared" si="225"/>
        <v>44897</v>
      </c>
      <c r="F2061" s="480"/>
      <c r="G2061" s="208" t="s">
        <v>86</v>
      </c>
      <c r="J2061" s="165" t="s">
        <v>131</v>
      </c>
      <c r="K2061" s="205"/>
      <c r="L2061" s="205">
        <v>144595.7614062503</v>
      </c>
    </row>
    <row r="2062" spans="1:12" ht="11.25" customHeight="1" x14ac:dyDescent="0.2">
      <c r="A2062" s="226">
        <v>2022</v>
      </c>
      <c r="B2062" s="226">
        <v>12</v>
      </c>
      <c r="C2062" s="226">
        <v>2</v>
      </c>
      <c r="D2062" s="232">
        <f t="shared" si="227"/>
        <v>44897</v>
      </c>
      <c r="E2062" s="234">
        <f t="shared" si="225"/>
        <v>44897</v>
      </c>
      <c r="F2062" s="479"/>
      <c r="G2062" s="227" t="s">
        <v>86</v>
      </c>
      <c r="H2062" s="228" t="str" cm="1">
        <f t="array" ref="H2062">IFERROR(INDEX(INVESTOR_LIST[INVESTOR NAME],MATCH(I2062,INVESTOR_LIST[INVESTOR CODE],0),)," ")</f>
        <v xml:space="preserve"> </v>
      </c>
      <c r="I2062" s="228"/>
      <c r="J2062" s="229" t="s">
        <v>88</v>
      </c>
      <c r="K2062" s="230"/>
      <c r="L2062" s="230">
        <v>8262614.9375</v>
      </c>
    </row>
    <row r="2063" spans="1:12" ht="11.25" customHeight="1" x14ac:dyDescent="0.2">
      <c r="A2063" s="221">
        <v>2022</v>
      </c>
      <c r="B2063" s="221">
        <v>12</v>
      </c>
      <c r="C2063" s="221">
        <v>2</v>
      </c>
      <c r="D2063" s="231">
        <f t="shared" si="227"/>
        <v>44897</v>
      </c>
      <c r="E2063" s="233">
        <f t="shared" ref="E2063:E2065" si="229">DATE(A2063,B2063,C2063)</f>
        <v>44897</v>
      </c>
      <c r="F2063" s="478" t="s">
        <v>1359</v>
      </c>
      <c r="G2063" s="222" t="s">
        <v>86</v>
      </c>
      <c r="H2063" s="223" t="str" cm="1">
        <f t="array" ref="H2063">IFERROR(INDEX(INVESTOR_LIST[INVESTOR NAME],MATCH(I2063,INVESTOR_LIST[INVESTOR CODE],0),)," ")</f>
        <v xml:space="preserve"> </v>
      </c>
      <c r="I2063" s="223"/>
      <c r="J2063" s="224" t="s">
        <v>88</v>
      </c>
      <c r="K2063" s="225">
        <v>8407210.6989062503</v>
      </c>
      <c r="L2063" s="225"/>
    </row>
    <row r="2064" spans="1:12" ht="11.25" customHeight="1" x14ac:dyDescent="0.2">
      <c r="A2064" s="164">
        <v>2022</v>
      </c>
      <c r="B2064" s="164">
        <v>12</v>
      </c>
      <c r="C2064" s="164">
        <v>2</v>
      </c>
      <c r="D2064" s="156">
        <f t="shared" si="227"/>
        <v>44897</v>
      </c>
      <c r="E2064" s="235">
        <f t="shared" si="229"/>
        <v>44897</v>
      </c>
      <c r="F2064" s="480"/>
      <c r="G2064" s="208" t="s">
        <v>86</v>
      </c>
      <c r="J2064" s="165" t="s">
        <v>131</v>
      </c>
      <c r="K2064" s="205"/>
      <c r="L2064" s="205">
        <v>144595.7614062503</v>
      </c>
    </row>
    <row r="2065" spans="1:12" ht="11.25" customHeight="1" x14ac:dyDescent="0.2">
      <c r="A2065" s="226">
        <v>2022</v>
      </c>
      <c r="B2065" s="226">
        <v>12</v>
      </c>
      <c r="C2065" s="226">
        <v>2</v>
      </c>
      <c r="D2065" s="232">
        <f t="shared" si="227"/>
        <v>44897</v>
      </c>
      <c r="E2065" s="234">
        <f t="shared" si="229"/>
        <v>44897</v>
      </c>
      <c r="F2065" s="479"/>
      <c r="G2065" s="227" t="s">
        <v>86</v>
      </c>
      <c r="H2065" s="228" t="str" cm="1">
        <f t="array" ref="H2065">IFERROR(INDEX(INVESTOR_LIST[INVESTOR NAME],MATCH(I2065,INVESTOR_LIST[INVESTOR CODE],0),)," ")</f>
        <v xml:space="preserve"> </v>
      </c>
      <c r="I2065" s="228"/>
      <c r="J2065" s="229" t="s">
        <v>88</v>
      </c>
      <c r="K2065" s="230"/>
      <c r="L2065" s="230">
        <v>8262614.9375</v>
      </c>
    </row>
    <row r="2066" spans="1:12" ht="11.25" customHeight="1" x14ac:dyDescent="0.2">
      <c r="A2066" s="221">
        <v>2022</v>
      </c>
      <c r="B2066" s="221">
        <v>12</v>
      </c>
      <c r="C2066" s="221">
        <v>2</v>
      </c>
      <c r="D2066" s="231">
        <f t="shared" si="227"/>
        <v>44897</v>
      </c>
      <c r="E2066" s="233">
        <f t="shared" si="225"/>
        <v>44897</v>
      </c>
      <c r="F2066" s="478" t="s">
        <v>1360</v>
      </c>
      <c r="G2066" s="222" t="s">
        <v>86</v>
      </c>
      <c r="H2066" s="223" t="str" cm="1">
        <f t="array" ref="H2066">IFERROR(INDEX(INVESTOR_LIST[INVESTOR NAME],MATCH(I2066,INVESTOR_LIST[INVESTOR CODE],0),)," ")</f>
        <v xml:space="preserve"> </v>
      </c>
      <c r="I2066" s="223"/>
      <c r="J2066" s="224" t="s">
        <v>88</v>
      </c>
      <c r="K2066" s="225">
        <v>6305408.0241796877</v>
      </c>
      <c r="L2066" s="225"/>
    </row>
    <row r="2067" spans="1:12" ht="11.25" customHeight="1" x14ac:dyDescent="0.2">
      <c r="A2067" s="164">
        <v>2022</v>
      </c>
      <c r="B2067" s="164">
        <v>12</v>
      </c>
      <c r="C2067" s="164">
        <v>2</v>
      </c>
      <c r="D2067" s="156">
        <f t="shared" si="227"/>
        <v>44897</v>
      </c>
      <c r="E2067" s="235">
        <f t="shared" si="225"/>
        <v>44897</v>
      </c>
      <c r="F2067" s="480"/>
      <c r="G2067" s="208" t="s">
        <v>86</v>
      </c>
      <c r="J2067" s="165" t="s">
        <v>131</v>
      </c>
      <c r="K2067" s="205"/>
      <c r="L2067" s="205">
        <v>108446.82105468772</v>
      </c>
    </row>
    <row r="2068" spans="1:12" ht="11.25" customHeight="1" x14ac:dyDescent="0.2">
      <c r="A2068" s="226">
        <v>2022</v>
      </c>
      <c r="B2068" s="226">
        <v>12</v>
      </c>
      <c r="C2068" s="226">
        <v>2</v>
      </c>
      <c r="D2068" s="232">
        <f t="shared" si="227"/>
        <v>44897</v>
      </c>
      <c r="E2068" s="234">
        <f t="shared" si="225"/>
        <v>44897</v>
      </c>
      <c r="F2068" s="479"/>
      <c r="G2068" s="227" t="s">
        <v>86</v>
      </c>
      <c r="H2068" s="228" t="str" cm="1">
        <f t="array" ref="H2068">IFERROR(INDEX(INVESTOR_LIST[INVESTOR NAME],MATCH(I2068,INVESTOR_LIST[INVESTOR CODE],0),)," ")</f>
        <v xml:space="preserve"> </v>
      </c>
      <c r="I2068" s="228"/>
      <c r="J2068" s="229" t="s">
        <v>88</v>
      </c>
      <c r="K2068" s="230"/>
      <c r="L2068" s="230">
        <v>6196961.203125</v>
      </c>
    </row>
    <row r="2069" spans="1:12" ht="11.25" customHeight="1" x14ac:dyDescent="0.2">
      <c r="A2069" s="221">
        <v>2022</v>
      </c>
      <c r="B2069" s="221">
        <v>12</v>
      </c>
      <c r="C2069" s="221">
        <v>2</v>
      </c>
      <c r="D2069" s="231">
        <f t="shared" si="227"/>
        <v>44897</v>
      </c>
      <c r="E2069" s="233">
        <f t="shared" ref="E2069:E2071" si="230">DATE(A2069,B2069,C2069)</f>
        <v>44897</v>
      </c>
      <c r="F2069" s="478" t="s">
        <v>1361</v>
      </c>
      <c r="G2069" s="222" t="s">
        <v>86</v>
      </c>
      <c r="H2069" s="223" t="str" cm="1">
        <f t="array" ref="H2069">IFERROR(INDEX(INVESTOR_LIST[INVESTOR NAME],MATCH(I2069,INVESTOR_LIST[INVESTOR CODE],0),)," ")</f>
        <v xml:space="preserve"> </v>
      </c>
      <c r="I2069" s="223"/>
      <c r="J2069" s="224" t="s">
        <v>88</v>
      </c>
      <c r="K2069" s="225">
        <v>6305408.0241796877</v>
      </c>
      <c r="L2069" s="225"/>
    </row>
    <row r="2070" spans="1:12" ht="11.25" customHeight="1" x14ac:dyDescent="0.2">
      <c r="A2070" s="164">
        <v>2022</v>
      </c>
      <c r="B2070" s="164">
        <v>12</v>
      </c>
      <c r="C2070" s="164">
        <v>2</v>
      </c>
      <c r="D2070" s="156">
        <f t="shared" si="227"/>
        <v>44897</v>
      </c>
      <c r="E2070" s="235">
        <f t="shared" si="230"/>
        <v>44897</v>
      </c>
      <c r="F2070" s="480"/>
      <c r="G2070" s="208" t="s">
        <v>86</v>
      </c>
      <c r="J2070" s="165" t="s">
        <v>131</v>
      </c>
      <c r="K2070" s="205"/>
      <c r="L2070" s="205">
        <v>108446.82105468772</v>
      </c>
    </row>
    <row r="2071" spans="1:12" ht="11.25" customHeight="1" x14ac:dyDescent="0.2">
      <c r="A2071" s="226">
        <v>2022</v>
      </c>
      <c r="B2071" s="226">
        <v>12</v>
      </c>
      <c r="C2071" s="226">
        <v>2</v>
      </c>
      <c r="D2071" s="232">
        <f t="shared" si="227"/>
        <v>44897</v>
      </c>
      <c r="E2071" s="234">
        <f t="shared" si="230"/>
        <v>44897</v>
      </c>
      <c r="F2071" s="479"/>
      <c r="G2071" s="227" t="s">
        <v>86</v>
      </c>
      <c r="H2071" s="228" t="str" cm="1">
        <f t="array" ref="H2071">IFERROR(INDEX(INVESTOR_LIST[INVESTOR NAME],MATCH(I2071,INVESTOR_LIST[INVESTOR CODE],0),)," ")</f>
        <v xml:space="preserve"> </v>
      </c>
      <c r="I2071" s="228"/>
      <c r="J2071" s="229" t="s">
        <v>88</v>
      </c>
      <c r="K2071" s="230"/>
      <c r="L2071" s="230">
        <v>6196961.203125</v>
      </c>
    </row>
    <row r="2072" spans="1:12" ht="11.25" customHeight="1" x14ac:dyDescent="0.2">
      <c r="A2072" s="221">
        <v>2022</v>
      </c>
      <c r="B2072" s="221">
        <v>12</v>
      </c>
      <c r="C2072" s="221">
        <v>2</v>
      </c>
      <c r="D2072" s="231">
        <f t="shared" si="227"/>
        <v>44897</v>
      </c>
      <c r="E2072" s="233">
        <f t="shared" si="225"/>
        <v>44897</v>
      </c>
      <c r="F2072" s="478" t="s">
        <v>1362</v>
      </c>
      <c r="G2072" s="222" t="s">
        <v>86</v>
      </c>
      <c r="H2072" s="223" t="str" cm="1">
        <f t="array" ref="H2072">IFERROR(INDEX(INVESTOR_LIST[INVESTOR NAME],MATCH(I2072,INVESTOR_LIST[INVESTOR CODE],0),)," ")</f>
        <v xml:space="preserve"> </v>
      </c>
      <c r="I2072" s="223"/>
      <c r="J2072" s="224" t="s">
        <v>88</v>
      </c>
      <c r="K2072" s="225">
        <v>5254506.6868164064</v>
      </c>
      <c r="L2072" s="225"/>
    </row>
    <row r="2073" spans="1:12" ht="11.25" customHeight="1" x14ac:dyDescent="0.2">
      <c r="A2073" s="164">
        <v>2022</v>
      </c>
      <c r="B2073" s="164">
        <v>12</v>
      </c>
      <c r="C2073" s="164">
        <v>2</v>
      </c>
      <c r="D2073" s="156">
        <f t="shared" si="227"/>
        <v>44897</v>
      </c>
      <c r="E2073" s="235">
        <f t="shared" si="225"/>
        <v>44897</v>
      </c>
      <c r="F2073" s="480"/>
      <c r="G2073" s="208" t="s">
        <v>86</v>
      </c>
      <c r="J2073" s="165" t="s">
        <v>131</v>
      </c>
      <c r="K2073" s="205"/>
      <c r="L2073" s="205">
        <v>90372.350878906436</v>
      </c>
    </row>
    <row r="2074" spans="1:12" ht="11.25" customHeight="1" x14ac:dyDescent="0.2">
      <c r="A2074" s="226">
        <v>2022</v>
      </c>
      <c r="B2074" s="226">
        <v>12</v>
      </c>
      <c r="C2074" s="226">
        <v>2</v>
      </c>
      <c r="D2074" s="232">
        <f t="shared" si="227"/>
        <v>44897</v>
      </c>
      <c r="E2074" s="234">
        <f t="shared" si="225"/>
        <v>44897</v>
      </c>
      <c r="F2074" s="479"/>
      <c r="G2074" s="227" t="s">
        <v>86</v>
      </c>
      <c r="H2074" s="228" t="str" cm="1">
        <f t="array" ref="H2074">IFERROR(INDEX(INVESTOR_LIST[INVESTOR NAME],MATCH(I2074,INVESTOR_LIST[INVESTOR CODE],0),)," ")</f>
        <v xml:space="preserve"> </v>
      </c>
      <c r="I2074" s="228"/>
      <c r="J2074" s="229" t="s">
        <v>88</v>
      </c>
      <c r="K2074" s="230"/>
      <c r="L2074" s="230">
        <v>5164134.3359375</v>
      </c>
    </row>
    <row r="2075" spans="1:12" ht="11.25" customHeight="1" x14ac:dyDescent="0.2">
      <c r="A2075" s="221">
        <v>2022</v>
      </c>
      <c r="B2075" s="221">
        <v>12</v>
      </c>
      <c r="C2075" s="221">
        <v>5</v>
      </c>
      <c r="D2075" s="231">
        <f t="shared" si="227"/>
        <v>44900</v>
      </c>
      <c r="E2075" s="233">
        <f t="shared" ref="E2075:E2077" si="231">DATE(A2075,B2075,C2075)</f>
        <v>44900</v>
      </c>
      <c r="F2075" s="478" t="s">
        <v>1115</v>
      </c>
      <c r="G2075" s="222" t="s">
        <v>1111</v>
      </c>
      <c r="H2075" s="223" t="str" cm="1">
        <f t="array" ref="H2075">IFERROR(INDEX(INVESTOR_LIST[INVESTOR NAME],MATCH(I2075,INVESTOR_LIST[INVESTOR CODE],0),)," ")</f>
        <v>RAIS UDDIN AHMAD</v>
      </c>
      <c r="I2075" s="223" t="s">
        <v>743</v>
      </c>
      <c r="J2075" s="224" t="s">
        <v>14</v>
      </c>
      <c r="K2075" s="225">
        <v>500000</v>
      </c>
      <c r="L2075" s="225"/>
    </row>
    <row r="2076" spans="1:12" ht="11.25" customHeight="1" x14ac:dyDescent="0.2">
      <c r="A2076" s="164">
        <v>2022</v>
      </c>
      <c r="B2076" s="164">
        <v>12</v>
      </c>
      <c r="C2076" s="164">
        <v>5</v>
      </c>
      <c r="D2076" s="156">
        <f t="shared" si="227"/>
        <v>44900</v>
      </c>
      <c r="E2076" s="235">
        <f t="shared" si="231"/>
        <v>44900</v>
      </c>
      <c r="F2076" s="480"/>
      <c r="G2076" s="208" t="s">
        <v>1111</v>
      </c>
      <c r="H2076" s="206" t="str" cm="1">
        <f t="array" ref="H2076">IFERROR(INDEX(INVESTOR_LIST[INVESTOR NAME],MATCH(I2076,INVESTOR_LIST[INVESTOR CODE],0),)," ")</f>
        <v>RAIS UDDIN AHMAD</v>
      </c>
      <c r="I2076" s="206" t="s">
        <v>743</v>
      </c>
      <c r="J2076" s="165" t="s">
        <v>1112</v>
      </c>
      <c r="K2076" s="156"/>
      <c r="L2076" s="167">
        <v>1000</v>
      </c>
    </row>
    <row r="2077" spans="1:12" ht="11.25" customHeight="1" x14ac:dyDescent="0.2">
      <c r="A2077" s="226">
        <v>2022</v>
      </c>
      <c r="B2077" s="226">
        <v>12</v>
      </c>
      <c r="C2077" s="226">
        <v>5</v>
      </c>
      <c r="D2077" s="232">
        <f t="shared" si="227"/>
        <v>44900</v>
      </c>
      <c r="E2077" s="234">
        <f t="shared" si="231"/>
        <v>44900</v>
      </c>
      <c r="F2077" s="479"/>
      <c r="G2077" s="227" t="s">
        <v>1111</v>
      </c>
      <c r="H2077" s="228" t="str" cm="1">
        <f t="array" ref="H2077">IFERROR(INDEX(INVESTOR_LIST[INVESTOR NAME],MATCH(I2077,INVESTOR_LIST[INVESTOR CODE],0),)," ")</f>
        <v>RAIS UDDIN AHMAD</v>
      </c>
      <c r="I2077" s="228" t="s">
        <v>743</v>
      </c>
      <c r="J2077" s="229" t="s">
        <v>55</v>
      </c>
      <c r="K2077" s="230"/>
      <c r="L2077" s="230">
        <v>499000</v>
      </c>
    </row>
    <row r="2078" spans="1:12" ht="11.25" customHeight="1" x14ac:dyDescent="0.2">
      <c r="A2078" s="221">
        <v>2022</v>
      </c>
      <c r="B2078" s="221">
        <v>12</v>
      </c>
      <c r="C2078" s="221">
        <v>5</v>
      </c>
      <c r="D2078" s="231">
        <f t="shared" si="227"/>
        <v>44900</v>
      </c>
      <c r="E2078" s="233">
        <f t="shared" ref="E2078:E2081" si="232">DATE(A2078,B2078,C2078)</f>
        <v>44900</v>
      </c>
      <c r="F2078" s="478" t="s">
        <v>1341</v>
      </c>
      <c r="G2078" s="222" t="s">
        <v>1111</v>
      </c>
      <c r="H2078" s="223" t="str" cm="1">
        <f t="array" ref="H2078">IFERROR(INDEX(INVESTOR_LIST[INVESTOR NAME],MATCH(I2078,INVESTOR_LIST[INVESTOR CODE],0),)," ")</f>
        <v xml:space="preserve"> </v>
      </c>
      <c r="I2078" s="223"/>
      <c r="J2078" s="224" t="s">
        <v>55</v>
      </c>
      <c r="K2078" s="225">
        <v>5251506.6900000004</v>
      </c>
      <c r="L2078" s="225"/>
    </row>
    <row r="2079" spans="1:12" ht="11.25" customHeight="1" x14ac:dyDescent="0.2">
      <c r="A2079" s="164">
        <v>2022</v>
      </c>
      <c r="B2079" s="164">
        <v>12</v>
      </c>
      <c r="C2079" s="164">
        <v>5</v>
      </c>
      <c r="D2079" s="156">
        <f t="shared" si="227"/>
        <v>44900</v>
      </c>
      <c r="E2079" s="235">
        <f t="shared" ref="E2079" si="233">DATE(A2079,B2079,C2079)</f>
        <v>44900</v>
      </c>
      <c r="F2079" s="480"/>
      <c r="G2079" s="208" t="s">
        <v>1111</v>
      </c>
      <c r="J2079" s="165" t="s">
        <v>63</v>
      </c>
      <c r="K2079" s="205">
        <v>3000</v>
      </c>
      <c r="L2079" s="205"/>
    </row>
    <row r="2080" spans="1:12" ht="11.25" customHeight="1" x14ac:dyDescent="0.2">
      <c r="A2080" s="164">
        <v>2022</v>
      </c>
      <c r="B2080" s="164">
        <v>12</v>
      </c>
      <c r="C2080" s="164">
        <v>5</v>
      </c>
      <c r="D2080" s="156">
        <f t="shared" si="227"/>
        <v>44900</v>
      </c>
      <c r="E2080" s="235">
        <f t="shared" si="232"/>
        <v>44900</v>
      </c>
      <c r="F2080" s="480"/>
      <c r="G2080" s="208" t="s">
        <v>1111</v>
      </c>
      <c r="H2080" s="206" t="str" cm="1">
        <f t="array" ref="H2080">IFERROR(INDEX(INVESTOR_LIST[INVESTOR NAME],MATCH(I2080,INVESTOR_LIST[INVESTOR CODE],0),)," ")</f>
        <v xml:space="preserve"> </v>
      </c>
      <c r="J2080" s="165" t="s">
        <v>131</v>
      </c>
      <c r="K2080" s="156"/>
      <c r="L2080" s="167">
        <v>90372.35</v>
      </c>
    </row>
    <row r="2081" spans="1:13" ht="11.25" customHeight="1" x14ac:dyDescent="0.2">
      <c r="A2081" s="226">
        <v>2022</v>
      </c>
      <c r="B2081" s="226">
        <v>12</v>
      </c>
      <c r="C2081" s="226">
        <v>5</v>
      </c>
      <c r="D2081" s="232">
        <f t="shared" si="227"/>
        <v>44900</v>
      </c>
      <c r="E2081" s="234">
        <f t="shared" si="232"/>
        <v>44900</v>
      </c>
      <c r="F2081" s="479"/>
      <c r="G2081" s="227" t="s">
        <v>1111</v>
      </c>
      <c r="H2081" s="228" t="str" cm="1">
        <f t="array" ref="H2081">IFERROR(INDEX(INVESTOR_LIST[INVESTOR NAME],MATCH(I2081,INVESTOR_LIST[INVESTOR CODE],0),)," ")</f>
        <v xml:space="preserve"> </v>
      </c>
      <c r="I2081" s="228"/>
      <c r="J2081" s="229" t="s">
        <v>88</v>
      </c>
      <c r="K2081" s="230"/>
      <c r="L2081" s="230">
        <v>5164134.34</v>
      </c>
    </row>
    <row r="2082" spans="1:13" ht="11.25" customHeight="1" x14ac:dyDescent="0.2">
      <c r="A2082" s="221">
        <v>2022</v>
      </c>
      <c r="B2082" s="221">
        <v>12</v>
      </c>
      <c r="C2082" s="221">
        <v>6</v>
      </c>
      <c r="D2082" s="231">
        <f t="shared" si="227"/>
        <v>44901</v>
      </c>
      <c r="E2082" s="233">
        <f t="shared" ref="E2082:E2085" si="234">DATE(A2082,B2082,C2082)</f>
        <v>44901</v>
      </c>
      <c r="F2082" s="478" t="s">
        <v>1342</v>
      </c>
      <c r="G2082" s="222" t="s">
        <v>1111</v>
      </c>
      <c r="H2082" s="223" t="str" cm="1">
        <f t="array" ref="H2082">IFERROR(INDEX(INVESTOR_LIST[INVESTOR NAME],MATCH(I2082,INVESTOR_LIST[INVESTOR CODE],0),)," ")</f>
        <v xml:space="preserve"> </v>
      </c>
      <c r="I2082" s="223"/>
      <c r="J2082" s="224" t="s">
        <v>55</v>
      </c>
      <c r="K2082" s="225">
        <v>5251506.6900000004</v>
      </c>
      <c r="L2082" s="225"/>
    </row>
    <row r="2083" spans="1:13" ht="11.25" customHeight="1" x14ac:dyDescent="0.2">
      <c r="A2083" s="164">
        <v>2022</v>
      </c>
      <c r="B2083" s="164">
        <v>12</v>
      </c>
      <c r="C2083" s="164">
        <v>6</v>
      </c>
      <c r="D2083" s="156">
        <f t="shared" si="227"/>
        <v>44901</v>
      </c>
      <c r="E2083" s="235">
        <f t="shared" si="234"/>
        <v>44901</v>
      </c>
      <c r="F2083" s="480"/>
      <c r="G2083" s="208" t="s">
        <v>1111</v>
      </c>
      <c r="J2083" s="165" t="s">
        <v>63</v>
      </c>
      <c r="K2083" s="205">
        <v>3000</v>
      </c>
      <c r="L2083" s="205"/>
    </row>
    <row r="2084" spans="1:13" ht="11.25" customHeight="1" x14ac:dyDescent="0.2">
      <c r="A2084" s="164">
        <v>2022</v>
      </c>
      <c r="B2084" s="164">
        <v>12</v>
      </c>
      <c r="C2084" s="164">
        <v>6</v>
      </c>
      <c r="D2084" s="156">
        <f t="shared" si="227"/>
        <v>44901</v>
      </c>
      <c r="E2084" s="235">
        <f t="shared" si="234"/>
        <v>44901</v>
      </c>
      <c r="F2084" s="480"/>
      <c r="G2084" s="208" t="s">
        <v>1111</v>
      </c>
      <c r="H2084" s="206" t="str" cm="1">
        <f t="array" ref="H2084">IFERROR(INDEX(INVESTOR_LIST[INVESTOR NAME],MATCH(I2084,INVESTOR_LIST[INVESTOR CODE],0),)," ")</f>
        <v xml:space="preserve"> </v>
      </c>
      <c r="J2084" s="165" t="s">
        <v>131</v>
      </c>
      <c r="K2084" s="156"/>
      <c r="L2084" s="167">
        <v>90372.35</v>
      </c>
    </row>
    <row r="2085" spans="1:13" ht="11.25" customHeight="1" x14ac:dyDescent="0.2">
      <c r="A2085" s="226">
        <v>2022</v>
      </c>
      <c r="B2085" s="226">
        <v>12</v>
      </c>
      <c r="C2085" s="226">
        <v>6</v>
      </c>
      <c r="D2085" s="232">
        <f t="shared" si="227"/>
        <v>44901</v>
      </c>
      <c r="E2085" s="234">
        <f t="shared" si="234"/>
        <v>44901</v>
      </c>
      <c r="F2085" s="479"/>
      <c r="G2085" s="227" t="s">
        <v>1111</v>
      </c>
      <c r="H2085" s="228" t="str" cm="1">
        <f t="array" ref="H2085">IFERROR(INDEX(INVESTOR_LIST[INVESTOR NAME],MATCH(I2085,INVESTOR_LIST[INVESTOR CODE],0),)," ")</f>
        <v xml:space="preserve"> </v>
      </c>
      <c r="I2085" s="228"/>
      <c r="J2085" s="229" t="s">
        <v>88</v>
      </c>
      <c r="K2085" s="230"/>
      <c r="L2085" s="230">
        <v>5164134.34</v>
      </c>
    </row>
    <row r="2086" spans="1:13" ht="11.25" customHeight="1" x14ac:dyDescent="0.2">
      <c r="A2086" s="221">
        <v>2022</v>
      </c>
      <c r="B2086" s="221">
        <v>12</v>
      </c>
      <c r="C2086" s="221">
        <v>6</v>
      </c>
      <c r="D2086" s="231">
        <f t="shared" si="227"/>
        <v>44901</v>
      </c>
      <c r="E2086" s="233">
        <f t="shared" ref="E2086:E2089" si="235">DATE(A2086,B2086,C2086)</f>
        <v>44901</v>
      </c>
      <c r="F2086" s="478" t="s">
        <v>1343</v>
      </c>
      <c r="G2086" s="222" t="s">
        <v>1111</v>
      </c>
      <c r="H2086" s="223" t="str" cm="1">
        <f t="array" ref="H2086">IFERROR(INDEX(INVESTOR_LIST[INVESTOR NAME],MATCH(I2086,INVESTOR_LIST[INVESTOR CODE],0),)," ")</f>
        <v xml:space="preserve"> </v>
      </c>
      <c r="I2086" s="223"/>
      <c r="J2086" s="224" t="s">
        <v>55</v>
      </c>
      <c r="K2086" s="225">
        <v>8404210.6999999993</v>
      </c>
      <c r="L2086" s="225"/>
    </row>
    <row r="2087" spans="1:13" ht="11.25" customHeight="1" x14ac:dyDescent="0.2">
      <c r="A2087" s="164">
        <v>2022</v>
      </c>
      <c r="B2087" s="164">
        <v>12</v>
      </c>
      <c r="C2087" s="164">
        <v>6</v>
      </c>
      <c r="D2087" s="156">
        <f t="shared" si="227"/>
        <v>44901</v>
      </c>
      <c r="E2087" s="235">
        <f t="shared" si="235"/>
        <v>44901</v>
      </c>
      <c r="F2087" s="480"/>
      <c r="G2087" s="208" t="s">
        <v>1111</v>
      </c>
      <c r="J2087" s="165" t="s">
        <v>63</v>
      </c>
      <c r="K2087" s="205">
        <v>3000</v>
      </c>
      <c r="L2087" s="205"/>
    </row>
    <row r="2088" spans="1:13" ht="11.25" customHeight="1" x14ac:dyDescent="0.2">
      <c r="A2088" s="164">
        <v>2022</v>
      </c>
      <c r="B2088" s="164">
        <v>12</v>
      </c>
      <c r="C2088" s="164">
        <v>6</v>
      </c>
      <c r="D2088" s="156">
        <f t="shared" si="227"/>
        <v>44901</v>
      </c>
      <c r="E2088" s="235">
        <f t="shared" si="235"/>
        <v>44901</v>
      </c>
      <c r="F2088" s="480"/>
      <c r="G2088" s="208" t="s">
        <v>1111</v>
      </c>
      <c r="H2088" s="206" t="str" cm="1">
        <f t="array" ref="H2088">IFERROR(INDEX(INVESTOR_LIST[INVESTOR NAME],MATCH(I2088,INVESTOR_LIST[INVESTOR CODE],0),)," ")</f>
        <v xml:space="preserve"> </v>
      </c>
      <c r="J2088" s="165" t="s">
        <v>131</v>
      </c>
      <c r="K2088" s="156"/>
      <c r="L2088" s="167">
        <v>144595.76</v>
      </c>
    </row>
    <row r="2089" spans="1:13" ht="11.25" customHeight="1" x14ac:dyDescent="0.2">
      <c r="A2089" s="226">
        <v>2022</v>
      </c>
      <c r="B2089" s="226">
        <v>12</v>
      </c>
      <c r="C2089" s="226">
        <v>6</v>
      </c>
      <c r="D2089" s="232">
        <f t="shared" si="227"/>
        <v>44901</v>
      </c>
      <c r="E2089" s="234">
        <f t="shared" si="235"/>
        <v>44901</v>
      </c>
      <c r="F2089" s="479"/>
      <c r="G2089" s="227" t="s">
        <v>1111</v>
      </c>
      <c r="H2089" s="228" t="str" cm="1">
        <f t="array" ref="H2089">IFERROR(INDEX(INVESTOR_LIST[INVESTOR NAME],MATCH(I2089,INVESTOR_LIST[INVESTOR CODE],0),)," ")</f>
        <v xml:space="preserve"> </v>
      </c>
      <c r="I2089" s="228"/>
      <c r="J2089" s="229" t="s">
        <v>88</v>
      </c>
      <c r="K2089" s="230"/>
      <c r="L2089" s="230">
        <v>8262614.9400000004</v>
      </c>
    </row>
    <row r="2090" spans="1:13" ht="11.25" customHeight="1" x14ac:dyDescent="0.2">
      <c r="A2090" s="221">
        <v>2022</v>
      </c>
      <c r="B2090" s="221">
        <v>12</v>
      </c>
      <c r="C2090" s="221">
        <v>6</v>
      </c>
      <c r="D2090" s="231">
        <f t="shared" si="227"/>
        <v>44901</v>
      </c>
      <c r="E2090" s="233">
        <f t="shared" ref="E2090:E2099" si="236">DATE(A2090,B2090,C2090)</f>
        <v>44901</v>
      </c>
      <c r="F2090" s="478" t="s">
        <v>1344</v>
      </c>
      <c r="G2090" s="222" t="s">
        <v>1111</v>
      </c>
      <c r="H2090" s="223" t="str" cm="1">
        <f t="array" ref="H2090">IFERROR(INDEX(INVESTOR_LIST[INVESTOR NAME],MATCH(I2090,INVESTOR_LIST[INVESTOR CODE],0),)," ")</f>
        <v xml:space="preserve"> </v>
      </c>
      <c r="I2090" s="223"/>
      <c r="J2090" s="224" t="s">
        <v>55</v>
      </c>
      <c r="K2090" s="225">
        <v>8404210.6999999993</v>
      </c>
      <c r="L2090" s="225"/>
    </row>
    <row r="2091" spans="1:13" ht="11.25" customHeight="1" x14ac:dyDescent="0.2">
      <c r="A2091" s="164">
        <v>2022</v>
      </c>
      <c r="B2091" s="164">
        <v>12</v>
      </c>
      <c r="C2091" s="164">
        <v>6</v>
      </c>
      <c r="D2091" s="156">
        <f t="shared" si="227"/>
        <v>44901</v>
      </c>
      <c r="E2091" s="235">
        <f t="shared" si="236"/>
        <v>44901</v>
      </c>
      <c r="F2091" s="480"/>
      <c r="G2091" s="208" t="s">
        <v>1111</v>
      </c>
      <c r="J2091" s="165" t="s">
        <v>63</v>
      </c>
      <c r="K2091" s="205">
        <v>3000</v>
      </c>
      <c r="L2091" s="205"/>
    </row>
    <row r="2092" spans="1:13" ht="11.25" customHeight="1" x14ac:dyDescent="0.2">
      <c r="A2092" s="164">
        <v>2022</v>
      </c>
      <c r="B2092" s="164">
        <v>12</v>
      </c>
      <c r="C2092" s="164">
        <v>6</v>
      </c>
      <c r="D2092" s="156">
        <f t="shared" si="227"/>
        <v>44901</v>
      </c>
      <c r="E2092" s="235">
        <f t="shared" si="236"/>
        <v>44901</v>
      </c>
      <c r="F2092" s="480"/>
      <c r="G2092" s="208" t="s">
        <v>1111</v>
      </c>
      <c r="H2092" s="206" t="str" cm="1">
        <f t="array" ref="H2092">IFERROR(INDEX(INVESTOR_LIST[INVESTOR NAME],MATCH(I2092,INVESTOR_LIST[INVESTOR CODE],0),)," ")</f>
        <v xml:space="preserve"> </v>
      </c>
      <c r="J2092" s="165" t="s">
        <v>131</v>
      </c>
      <c r="K2092" s="156"/>
      <c r="L2092" s="167">
        <v>144595.76</v>
      </c>
    </row>
    <row r="2093" spans="1:13" ht="11.25" customHeight="1" x14ac:dyDescent="0.2">
      <c r="A2093" s="226">
        <v>2022</v>
      </c>
      <c r="B2093" s="226">
        <v>12</v>
      </c>
      <c r="C2093" s="226">
        <v>6</v>
      </c>
      <c r="D2093" s="232">
        <f t="shared" si="227"/>
        <v>44901</v>
      </c>
      <c r="E2093" s="234">
        <f t="shared" si="236"/>
        <v>44901</v>
      </c>
      <c r="F2093" s="479"/>
      <c r="G2093" s="227" t="s">
        <v>1111</v>
      </c>
      <c r="H2093" s="228" t="str" cm="1">
        <f t="array" ref="H2093">IFERROR(INDEX(INVESTOR_LIST[INVESTOR NAME],MATCH(I2093,INVESTOR_LIST[INVESTOR CODE],0),)," ")</f>
        <v xml:space="preserve"> </v>
      </c>
      <c r="I2093" s="228"/>
      <c r="J2093" s="229" t="s">
        <v>88</v>
      </c>
      <c r="K2093" s="230"/>
      <c r="L2093" s="230">
        <v>8262614.9400000004</v>
      </c>
    </row>
    <row r="2094" spans="1:13" ht="11.25" customHeight="1" x14ac:dyDescent="0.2">
      <c r="A2094" s="221">
        <v>2022</v>
      </c>
      <c r="B2094" s="221">
        <v>12</v>
      </c>
      <c r="C2094" s="221">
        <v>6</v>
      </c>
      <c r="D2094" s="221">
        <f t="shared" si="227"/>
        <v>44901</v>
      </c>
      <c r="E2094" s="233">
        <f t="shared" si="236"/>
        <v>44901</v>
      </c>
      <c r="F2094" s="478" t="s">
        <v>1345</v>
      </c>
      <c r="G2094" s="222" t="s">
        <v>1111</v>
      </c>
      <c r="H2094" s="222" t="str" cm="1">
        <f t="array" ref="H2094">IFERROR(INDEX(INVESTOR_LIST[INVESTOR NAME],MATCH(I2094,INVESTOR_LIST[INVESTOR CODE],0),)," ")</f>
        <v xml:space="preserve"> </v>
      </c>
      <c r="I2094" s="223"/>
      <c r="J2094" s="224" t="s">
        <v>80</v>
      </c>
      <c r="K2094" s="225">
        <v>76230</v>
      </c>
      <c r="L2094" s="225"/>
    </row>
    <row r="2095" spans="1:13" ht="11.25" customHeight="1" x14ac:dyDescent="0.2">
      <c r="A2095" s="164">
        <v>2022</v>
      </c>
      <c r="B2095" s="164">
        <v>12</v>
      </c>
      <c r="C2095" s="164">
        <v>6</v>
      </c>
      <c r="D2095" s="164">
        <f t="shared" si="227"/>
        <v>44901</v>
      </c>
      <c r="E2095" s="235">
        <f t="shared" si="236"/>
        <v>44901</v>
      </c>
      <c r="F2095" s="480"/>
      <c r="G2095" s="208" t="s">
        <v>1111</v>
      </c>
      <c r="H2095" s="208" t="str" cm="1">
        <f t="array" ref="H2095">IFERROR(INDEX(INVESTOR_LIST[INVESTOR NAME],MATCH(I2095,INVESTOR_LIST[INVESTOR CODE],0),)," ")</f>
        <v xml:space="preserve"> </v>
      </c>
      <c r="J2095" s="165" t="s">
        <v>55</v>
      </c>
      <c r="K2095" s="205">
        <v>784860</v>
      </c>
      <c r="L2095" s="205"/>
      <c r="M2095" s="166"/>
    </row>
    <row r="2096" spans="1:13" ht="11.25" customHeight="1" x14ac:dyDescent="0.2">
      <c r="A2096" s="226">
        <v>2022</v>
      </c>
      <c r="B2096" s="226">
        <v>12</v>
      </c>
      <c r="C2096" s="226">
        <v>6</v>
      </c>
      <c r="D2096" s="226">
        <f t="shared" si="227"/>
        <v>44901</v>
      </c>
      <c r="E2096" s="234">
        <f t="shared" si="236"/>
        <v>44901</v>
      </c>
      <c r="F2096" s="479"/>
      <c r="G2096" s="227" t="s">
        <v>1111</v>
      </c>
      <c r="H2096" s="228" t="str" cm="1">
        <f t="array" ref="H2096">IFERROR(INDEX(INVESTOR_LIST[INVESTOR NAME],MATCH(I2096,INVESTOR_LIST[INVESTOR CODE],0),)," ")</f>
        <v xml:space="preserve"> </v>
      </c>
      <c r="I2096" s="228"/>
      <c r="J2096" s="229" t="s">
        <v>196</v>
      </c>
      <c r="K2096" s="230"/>
      <c r="L2096" s="230">
        <v>861090</v>
      </c>
    </row>
    <row r="2097" spans="1:13" ht="11.25" customHeight="1" x14ac:dyDescent="0.2">
      <c r="A2097" s="221">
        <v>2022</v>
      </c>
      <c r="B2097" s="221">
        <v>12</v>
      </c>
      <c r="C2097" s="221">
        <v>6</v>
      </c>
      <c r="D2097" s="231">
        <f t="shared" si="227"/>
        <v>44901</v>
      </c>
      <c r="E2097" s="233">
        <f t="shared" si="236"/>
        <v>44901</v>
      </c>
      <c r="F2097" s="478" t="s">
        <v>1132</v>
      </c>
      <c r="G2097" s="222" t="s">
        <v>1111</v>
      </c>
      <c r="H2097" s="223" t="str" cm="1">
        <f t="array" ref="H2097">IFERROR(INDEX(INVESTOR_LIST[INVESTOR NAME],MATCH(I2097,INVESTOR_LIST[INVESTOR CODE],0),)," ")</f>
        <v xml:space="preserve"> </v>
      </c>
      <c r="I2097" s="223"/>
      <c r="J2097" s="224" t="s">
        <v>55</v>
      </c>
      <c r="K2097" s="225">
        <v>5000</v>
      </c>
      <c r="L2097" s="225"/>
    </row>
    <row r="2098" spans="1:13" ht="11.25" customHeight="1" x14ac:dyDescent="0.2">
      <c r="A2098" s="164">
        <v>2022</v>
      </c>
      <c r="B2098" s="164">
        <v>12</v>
      </c>
      <c r="C2098" s="164">
        <v>6</v>
      </c>
      <c r="D2098" s="156">
        <f t="shared" si="227"/>
        <v>44901</v>
      </c>
      <c r="E2098" s="235">
        <f t="shared" si="236"/>
        <v>44901</v>
      </c>
      <c r="F2098" s="480"/>
      <c r="G2098" s="208" t="s">
        <v>1111</v>
      </c>
      <c r="H2098" s="206" t="str" cm="1">
        <f t="array" ref="H2098">IFERROR(INDEX(INVESTOR_LIST[INVESTOR NAME],MATCH(I2098,INVESTOR_LIST[INVESTOR CODE],0),)," ")</f>
        <v xml:space="preserve"> </v>
      </c>
      <c r="J2098" s="165" t="s">
        <v>1112</v>
      </c>
      <c r="K2098" s="205">
        <v>10</v>
      </c>
      <c r="L2098" s="205"/>
      <c r="M2098" s="166"/>
    </row>
    <row r="2099" spans="1:13" ht="11.25" customHeight="1" x14ac:dyDescent="0.2">
      <c r="A2099" s="226">
        <v>2022</v>
      </c>
      <c r="B2099" s="226">
        <v>12</v>
      </c>
      <c r="C2099" s="226">
        <v>6</v>
      </c>
      <c r="D2099" s="232">
        <f t="shared" si="227"/>
        <v>44901</v>
      </c>
      <c r="E2099" s="234">
        <f t="shared" si="236"/>
        <v>44901</v>
      </c>
      <c r="F2099" s="479"/>
      <c r="G2099" s="227" t="s">
        <v>1111</v>
      </c>
      <c r="H2099" s="228" t="str" cm="1">
        <f t="array" ref="H2099">IFERROR(INDEX(INVESTOR_LIST[INVESTOR NAME],MATCH(I2099,INVESTOR_LIST[INVESTOR CODE],0),)," ")</f>
        <v xml:space="preserve"> </v>
      </c>
      <c r="I2099" s="228"/>
      <c r="J2099" s="229" t="s">
        <v>14</v>
      </c>
      <c r="K2099" s="230"/>
      <c r="L2099" s="230">
        <v>5010</v>
      </c>
    </row>
    <row r="2100" spans="1:13" ht="11.25" customHeight="1" x14ac:dyDescent="0.2">
      <c r="A2100" s="221">
        <v>2022</v>
      </c>
      <c r="B2100" s="221">
        <v>12</v>
      </c>
      <c r="C2100" s="221">
        <v>8</v>
      </c>
      <c r="D2100" s="231">
        <f t="shared" si="227"/>
        <v>44903</v>
      </c>
      <c r="E2100" s="233">
        <f t="shared" ref="E2100:E2103" si="237">DATE(A2100,B2100,C2100)</f>
        <v>44903</v>
      </c>
      <c r="F2100" s="478" t="s">
        <v>1348</v>
      </c>
      <c r="G2100" s="222" t="s">
        <v>1111</v>
      </c>
      <c r="H2100" s="223" t="str" cm="1">
        <f t="array" ref="H2100">IFERROR(INDEX(INVESTOR_LIST[INVESTOR NAME],MATCH(I2100,INVESTOR_LIST[INVESTOR CODE],0),)," ")</f>
        <v xml:space="preserve"> </v>
      </c>
      <c r="I2100" s="223"/>
      <c r="J2100" s="224" t="s">
        <v>55</v>
      </c>
      <c r="K2100" s="225">
        <v>7119500</v>
      </c>
      <c r="L2100" s="225"/>
    </row>
    <row r="2101" spans="1:13" ht="11.25" customHeight="1" x14ac:dyDescent="0.2">
      <c r="A2101" s="164">
        <v>2022</v>
      </c>
      <c r="B2101" s="164">
        <v>12</v>
      </c>
      <c r="C2101" s="164">
        <v>8</v>
      </c>
      <c r="D2101" s="156">
        <f t="shared" si="227"/>
        <v>44903</v>
      </c>
      <c r="E2101" s="235">
        <f t="shared" si="237"/>
        <v>44903</v>
      </c>
      <c r="F2101" s="480"/>
      <c r="G2101" s="208" t="s">
        <v>1111</v>
      </c>
      <c r="J2101" s="165" t="s">
        <v>63</v>
      </c>
      <c r="K2101" s="205">
        <v>3000</v>
      </c>
      <c r="L2101" s="205"/>
    </row>
    <row r="2102" spans="1:13" ht="11.25" customHeight="1" x14ac:dyDescent="0.2">
      <c r="A2102" s="164">
        <v>2022</v>
      </c>
      <c r="B2102" s="164">
        <v>12</v>
      </c>
      <c r="C2102" s="164">
        <v>8</v>
      </c>
      <c r="D2102" s="156">
        <f t="shared" si="227"/>
        <v>44903</v>
      </c>
      <c r="E2102" s="235">
        <f t="shared" si="237"/>
        <v>44903</v>
      </c>
      <c r="F2102" s="480"/>
      <c r="G2102" s="208" t="s">
        <v>1111</v>
      </c>
      <c r="H2102" s="206" t="str" cm="1">
        <f t="array" ref="H2102">IFERROR(INDEX(INVESTOR_LIST[INVESTOR NAME],MATCH(I2102,INVESTOR_LIST[INVESTOR CODE],0),)," ")</f>
        <v xml:space="preserve"> </v>
      </c>
      <c r="J2102" s="165" t="s">
        <v>131</v>
      </c>
      <c r="K2102" s="156"/>
      <c r="L2102" s="167">
        <v>122500</v>
      </c>
    </row>
    <row r="2103" spans="1:13" ht="11.25" customHeight="1" x14ac:dyDescent="0.2">
      <c r="A2103" s="226">
        <v>2022</v>
      </c>
      <c r="B2103" s="226">
        <v>12</v>
      </c>
      <c r="C2103" s="226">
        <v>8</v>
      </c>
      <c r="D2103" s="232">
        <f t="shared" si="227"/>
        <v>44903</v>
      </c>
      <c r="E2103" s="234">
        <f t="shared" si="237"/>
        <v>44903</v>
      </c>
      <c r="F2103" s="479"/>
      <c r="G2103" s="227" t="s">
        <v>1111</v>
      </c>
      <c r="H2103" s="228" t="str" cm="1">
        <f t="array" ref="H2103">IFERROR(INDEX(INVESTOR_LIST[INVESTOR NAME],MATCH(I2103,INVESTOR_LIST[INVESTOR CODE],0),)," ")</f>
        <v xml:space="preserve"> </v>
      </c>
      <c r="I2103" s="228"/>
      <c r="J2103" s="229" t="s">
        <v>88</v>
      </c>
      <c r="K2103" s="230"/>
      <c r="L2103" s="230">
        <v>7000000</v>
      </c>
    </row>
    <row r="2104" spans="1:13" ht="11.25" customHeight="1" x14ac:dyDescent="0.2">
      <c r="A2104" s="221">
        <v>2022</v>
      </c>
      <c r="B2104" s="221">
        <v>12</v>
      </c>
      <c r="C2104" s="221">
        <v>8</v>
      </c>
      <c r="D2104" s="231">
        <f t="shared" si="227"/>
        <v>44903</v>
      </c>
      <c r="E2104" s="233">
        <f t="shared" ref="E2104:E2107" si="238">DATE(A2104,B2104,C2104)</f>
        <v>44903</v>
      </c>
      <c r="F2104" s="478" t="s">
        <v>1349</v>
      </c>
      <c r="G2104" s="222" t="s">
        <v>1111</v>
      </c>
      <c r="H2104" s="223" t="str" cm="1">
        <f t="array" ref="H2104">IFERROR(INDEX(INVESTOR_LIST[INVESTOR NAME],MATCH(I2104,INVESTOR_LIST[INVESTOR CODE],0),)," ")</f>
        <v xml:space="preserve"> </v>
      </c>
      <c r="I2104" s="223"/>
      <c r="J2104" s="224" t="s">
        <v>55</v>
      </c>
      <c r="K2104" s="225">
        <v>6102000</v>
      </c>
      <c r="L2104" s="225"/>
    </row>
    <row r="2105" spans="1:13" ht="11.25" customHeight="1" x14ac:dyDescent="0.2">
      <c r="A2105" s="164">
        <v>2022</v>
      </c>
      <c r="B2105" s="164">
        <v>12</v>
      </c>
      <c r="C2105" s="164">
        <v>8</v>
      </c>
      <c r="D2105" s="156">
        <f t="shared" si="227"/>
        <v>44903</v>
      </c>
      <c r="E2105" s="235">
        <f t="shared" si="238"/>
        <v>44903</v>
      </c>
      <c r="F2105" s="480"/>
      <c r="G2105" s="208" t="s">
        <v>1111</v>
      </c>
      <c r="J2105" s="165" t="s">
        <v>63</v>
      </c>
      <c r="K2105" s="205">
        <v>3000</v>
      </c>
      <c r="L2105" s="205"/>
    </row>
    <row r="2106" spans="1:13" ht="11.25" customHeight="1" x14ac:dyDescent="0.2">
      <c r="A2106" s="164">
        <v>2022</v>
      </c>
      <c r="B2106" s="164">
        <v>12</v>
      </c>
      <c r="C2106" s="164">
        <v>8</v>
      </c>
      <c r="D2106" s="156">
        <f t="shared" si="227"/>
        <v>44903</v>
      </c>
      <c r="E2106" s="235">
        <f t="shared" si="238"/>
        <v>44903</v>
      </c>
      <c r="F2106" s="480"/>
      <c r="G2106" s="208" t="s">
        <v>1111</v>
      </c>
      <c r="H2106" s="206" t="str" cm="1">
        <f t="array" ref="H2106">IFERROR(INDEX(INVESTOR_LIST[INVESTOR NAME],MATCH(I2106,INVESTOR_LIST[INVESTOR CODE],0),)," ")</f>
        <v xml:space="preserve"> </v>
      </c>
      <c r="J2106" s="165" t="s">
        <v>131</v>
      </c>
      <c r="K2106" s="156"/>
      <c r="L2106" s="167">
        <v>105000</v>
      </c>
    </row>
    <row r="2107" spans="1:13" ht="11.25" customHeight="1" x14ac:dyDescent="0.2">
      <c r="A2107" s="226">
        <v>2022</v>
      </c>
      <c r="B2107" s="226">
        <v>12</v>
      </c>
      <c r="C2107" s="226">
        <v>8</v>
      </c>
      <c r="D2107" s="232">
        <f t="shared" si="227"/>
        <v>44903</v>
      </c>
      <c r="E2107" s="234">
        <f t="shared" si="238"/>
        <v>44903</v>
      </c>
      <c r="F2107" s="479"/>
      <c r="G2107" s="227" t="s">
        <v>1111</v>
      </c>
      <c r="H2107" s="228" t="str" cm="1">
        <f t="array" ref="H2107">IFERROR(INDEX(INVESTOR_LIST[INVESTOR NAME],MATCH(I2107,INVESTOR_LIST[INVESTOR CODE],0),)," ")</f>
        <v xml:space="preserve"> </v>
      </c>
      <c r="I2107" s="228"/>
      <c r="J2107" s="229" t="s">
        <v>88</v>
      </c>
      <c r="K2107" s="230"/>
      <c r="L2107" s="230">
        <v>6000000</v>
      </c>
    </row>
    <row r="2108" spans="1:13" ht="11.25" customHeight="1" x14ac:dyDescent="0.2">
      <c r="A2108" s="221">
        <v>2022</v>
      </c>
      <c r="B2108" s="221">
        <v>12</v>
      </c>
      <c r="C2108" s="221">
        <v>8</v>
      </c>
      <c r="D2108" s="231">
        <f t="shared" si="227"/>
        <v>44903</v>
      </c>
      <c r="E2108" s="233">
        <f t="shared" ref="E2108:E2111" si="239">DATE(A2108,B2108,C2108)</f>
        <v>44903</v>
      </c>
      <c r="F2108" s="478" t="s">
        <v>1350</v>
      </c>
      <c r="G2108" s="222" t="s">
        <v>1111</v>
      </c>
      <c r="H2108" s="223" t="str" cm="1">
        <f t="array" ref="H2108">IFERROR(INDEX(INVESTOR_LIST[INVESTOR NAME],MATCH(I2108,INVESTOR_LIST[INVESTOR CODE],0),)," ")</f>
        <v xml:space="preserve"> </v>
      </c>
      <c r="I2108" s="223"/>
      <c r="J2108" s="224" t="s">
        <v>55</v>
      </c>
      <c r="K2108" s="225">
        <v>6102000</v>
      </c>
      <c r="L2108" s="225"/>
    </row>
    <row r="2109" spans="1:13" ht="11.25" customHeight="1" x14ac:dyDescent="0.2">
      <c r="A2109" s="164">
        <v>2022</v>
      </c>
      <c r="B2109" s="164">
        <v>12</v>
      </c>
      <c r="C2109" s="164">
        <v>8</v>
      </c>
      <c r="D2109" s="156">
        <f t="shared" si="227"/>
        <v>44903</v>
      </c>
      <c r="E2109" s="235">
        <f t="shared" si="239"/>
        <v>44903</v>
      </c>
      <c r="F2109" s="480"/>
      <c r="G2109" s="208" t="s">
        <v>1111</v>
      </c>
      <c r="J2109" s="165" t="s">
        <v>63</v>
      </c>
      <c r="K2109" s="205">
        <v>3000</v>
      </c>
      <c r="L2109" s="205"/>
    </row>
    <row r="2110" spans="1:13" ht="11.25" customHeight="1" x14ac:dyDescent="0.2">
      <c r="A2110" s="164">
        <v>2022</v>
      </c>
      <c r="B2110" s="164">
        <v>12</v>
      </c>
      <c r="C2110" s="164">
        <v>8</v>
      </c>
      <c r="D2110" s="156">
        <f t="shared" si="227"/>
        <v>44903</v>
      </c>
      <c r="E2110" s="235">
        <f t="shared" si="239"/>
        <v>44903</v>
      </c>
      <c r="F2110" s="480"/>
      <c r="G2110" s="208" t="s">
        <v>1111</v>
      </c>
      <c r="H2110" s="206" t="str" cm="1">
        <f t="array" ref="H2110">IFERROR(INDEX(INVESTOR_LIST[INVESTOR NAME],MATCH(I2110,INVESTOR_LIST[INVESTOR CODE],0),)," ")</f>
        <v xml:space="preserve"> </v>
      </c>
      <c r="J2110" s="165" t="s">
        <v>131</v>
      </c>
      <c r="K2110" s="156"/>
      <c r="L2110" s="167">
        <v>105000</v>
      </c>
    </row>
    <row r="2111" spans="1:13" ht="11.25" customHeight="1" x14ac:dyDescent="0.2">
      <c r="A2111" s="226">
        <v>2022</v>
      </c>
      <c r="B2111" s="226">
        <v>12</v>
      </c>
      <c r="C2111" s="226">
        <v>8</v>
      </c>
      <c r="D2111" s="232">
        <f t="shared" si="227"/>
        <v>44903</v>
      </c>
      <c r="E2111" s="234">
        <f t="shared" si="239"/>
        <v>44903</v>
      </c>
      <c r="F2111" s="479"/>
      <c r="G2111" s="227" t="s">
        <v>1111</v>
      </c>
      <c r="H2111" s="228" t="str" cm="1">
        <f t="array" ref="H2111">IFERROR(INDEX(INVESTOR_LIST[INVESTOR NAME],MATCH(I2111,INVESTOR_LIST[INVESTOR CODE],0),)," ")</f>
        <v xml:space="preserve"> </v>
      </c>
      <c r="I2111" s="228"/>
      <c r="J2111" s="229" t="s">
        <v>88</v>
      </c>
      <c r="K2111" s="230"/>
      <c r="L2111" s="230">
        <v>6000000</v>
      </c>
    </row>
    <row r="2112" spans="1:13" ht="11.25" customHeight="1" x14ac:dyDescent="0.2">
      <c r="A2112" s="221">
        <v>2022</v>
      </c>
      <c r="B2112" s="221">
        <v>12</v>
      </c>
      <c r="C2112" s="221">
        <v>8</v>
      </c>
      <c r="D2112" s="231">
        <f t="shared" si="227"/>
        <v>44903</v>
      </c>
      <c r="E2112" s="233">
        <f t="shared" ref="E2112:E2117" si="240">DATE(A2112,B2112,C2112)</f>
        <v>44903</v>
      </c>
      <c r="F2112" s="478" t="s">
        <v>1351</v>
      </c>
      <c r="G2112" s="222" t="s">
        <v>1111</v>
      </c>
      <c r="H2112" s="223" t="str" cm="1">
        <f t="array" ref="H2112">IFERROR(INDEX(INVESTOR_LIST[INVESTOR NAME],MATCH(I2112,INVESTOR_LIST[INVESTOR CODE],0),)," ")</f>
        <v xml:space="preserve"> </v>
      </c>
      <c r="I2112" s="223"/>
      <c r="J2112" s="224" t="s">
        <v>55</v>
      </c>
      <c r="K2112" s="225">
        <v>5084500</v>
      </c>
      <c r="L2112" s="225"/>
    </row>
    <row r="2113" spans="1:14" ht="11.25" customHeight="1" x14ac:dyDescent="0.2">
      <c r="A2113" s="164">
        <v>2022</v>
      </c>
      <c r="B2113" s="164">
        <v>12</v>
      </c>
      <c r="C2113" s="164">
        <v>8</v>
      </c>
      <c r="D2113" s="156">
        <f t="shared" si="227"/>
        <v>44903</v>
      </c>
      <c r="E2113" s="235">
        <f t="shared" si="240"/>
        <v>44903</v>
      </c>
      <c r="F2113" s="480"/>
      <c r="G2113" s="208" t="s">
        <v>1111</v>
      </c>
      <c r="J2113" s="165" t="s">
        <v>63</v>
      </c>
      <c r="K2113" s="205">
        <v>3000</v>
      </c>
      <c r="L2113" s="205"/>
    </row>
    <row r="2114" spans="1:14" ht="11.25" customHeight="1" x14ac:dyDescent="0.2">
      <c r="A2114" s="164">
        <v>2022</v>
      </c>
      <c r="B2114" s="164">
        <v>12</v>
      </c>
      <c r="C2114" s="164">
        <v>8</v>
      </c>
      <c r="D2114" s="156">
        <f t="shared" si="227"/>
        <v>44903</v>
      </c>
      <c r="E2114" s="235">
        <f t="shared" si="240"/>
        <v>44903</v>
      </c>
      <c r="F2114" s="480"/>
      <c r="G2114" s="208" t="s">
        <v>1111</v>
      </c>
      <c r="H2114" s="206" t="str" cm="1">
        <f t="array" ref="H2114">IFERROR(INDEX(INVESTOR_LIST[INVESTOR NAME],MATCH(I2114,INVESTOR_LIST[INVESTOR CODE],0),)," ")</f>
        <v xml:space="preserve"> </v>
      </c>
      <c r="J2114" s="165" t="s">
        <v>131</v>
      </c>
      <c r="K2114" s="156"/>
      <c r="L2114" s="167">
        <v>87500</v>
      </c>
    </row>
    <row r="2115" spans="1:14" ht="11.25" customHeight="1" x14ac:dyDescent="0.2">
      <c r="A2115" s="226">
        <v>2022</v>
      </c>
      <c r="B2115" s="226">
        <v>12</v>
      </c>
      <c r="C2115" s="226">
        <v>8</v>
      </c>
      <c r="D2115" s="232">
        <f t="shared" si="227"/>
        <v>44903</v>
      </c>
      <c r="E2115" s="234">
        <f t="shared" si="240"/>
        <v>44903</v>
      </c>
      <c r="F2115" s="479"/>
      <c r="G2115" s="227" t="s">
        <v>1111</v>
      </c>
      <c r="H2115" s="228" t="str" cm="1">
        <f t="array" ref="H2115">IFERROR(INDEX(INVESTOR_LIST[INVESTOR NAME],MATCH(I2115,INVESTOR_LIST[INVESTOR CODE],0),)," ")</f>
        <v xml:space="preserve"> </v>
      </c>
      <c r="I2115" s="228"/>
      <c r="J2115" s="229" t="s">
        <v>88</v>
      </c>
      <c r="K2115" s="230"/>
      <c r="L2115" s="230">
        <v>5000000</v>
      </c>
    </row>
    <row r="2116" spans="1:14" ht="11.25" customHeight="1" x14ac:dyDescent="0.2">
      <c r="A2116" s="221">
        <v>2022</v>
      </c>
      <c r="B2116" s="221">
        <v>12</v>
      </c>
      <c r="C2116" s="221">
        <v>8</v>
      </c>
      <c r="D2116" s="231">
        <f t="shared" si="227"/>
        <v>44903</v>
      </c>
      <c r="E2116" s="233">
        <f t="shared" si="240"/>
        <v>44903</v>
      </c>
      <c r="F2116" s="478" t="s">
        <v>1352</v>
      </c>
      <c r="G2116" s="222" t="s">
        <v>1111</v>
      </c>
      <c r="H2116" s="223" t="str" cm="1">
        <f t="array" ref="H2116">IFERROR(INDEX(INVESTOR_LIST[INVESTOR NAME],MATCH(I2116,INVESTOR_LIST[INVESTOR CODE],0),)," ")</f>
        <v xml:space="preserve"> </v>
      </c>
      <c r="I2116" s="223"/>
      <c r="J2116" s="224" t="s">
        <v>55</v>
      </c>
      <c r="K2116" s="225">
        <v>105000</v>
      </c>
      <c r="L2116" s="225"/>
    </row>
    <row r="2117" spans="1:14" ht="11.25" customHeight="1" x14ac:dyDescent="0.2">
      <c r="A2117" s="164">
        <v>2022</v>
      </c>
      <c r="B2117" s="164">
        <v>12</v>
      </c>
      <c r="C2117" s="164">
        <v>8</v>
      </c>
      <c r="D2117" s="156">
        <f t="shared" si="227"/>
        <v>44903</v>
      </c>
      <c r="E2117" s="235">
        <f t="shared" si="240"/>
        <v>44903</v>
      </c>
      <c r="F2117" s="480"/>
      <c r="G2117" s="208" t="s">
        <v>1111</v>
      </c>
      <c r="J2117" s="165" t="s">
        <v>131</v>
      </c>
      <c r="K2117" s="205"/>
      <c r="L2117" s="205">
        <v>105000</v>
      </c>
    </row>
    <row r="2118" spans="1:14" ht="11.25" customHeight="1" x14ac:dyDescent="0.2">
      <c r="A2118" s="221">
        <v>2022</v>
      </c>
      <c r="B2118" s="221">
        <v>12</v>
      </c>
      <c r="C2118" s="221">
        <v>8</v>
      </c>
      <c r="D2118" s="231">
        <f t="shared" si="227"/>
        <v>44903</v>
      </c>
      <c r="E2118" s="233">
        <f t="shared" ref="E2118:E2121" si="241">DATE(A2118,B2118,C2118)</f>
        <v>44903</v>
      </c>
      <c r="F2118" s="478" t="s">
        <v>1353</v>
      </c>
      <c r="G2118" s="222" t="s">
        <v>1111</v>
      </c>
      <c r="H2118" s="223" t="str" cm="1">
        <f t="array" ref="H2118">IFERROR(INDEX(INVESTOR_LIST[INVESTOR NAME],MATCH(I2118,INVESTOR_LIST[INVESTOR CODE],0),)," ")</f>
        <v xml:space="preserve"> </v>
      </c>
      <c r="I2118" s="223"/>
      <c r="J2118" s="224" t="s">
        <v>55</v>
      </c>
      <c r="K2118" s="225">
        <v>87500</v>
      </c>
      <c r="L2118" s="225"/>
    </row>
    <row r="2119" spans="1:14" ht="11.25" customHeight="1" x14ac:dyDescent="0.2">
      <c r="A2119" s="226">
        <v>2022</v>
      </c>
      <c r="B2119" s="226">
        <v>12</v>
      </c>
      <c r="C2119" s="226">
        <v>8</v>
      </c>
      <c r="D2119" s="232">
        <f t="shared" si="227"/>
        <v>44903</v>
      </c>
      <c r="E2119" s="234">
        <f t="shared" si="241"/>
        <v>44903</v>
      </c>
      <c r="F2119" s="479"/>
      <c r="G2119" s="227" t="s">
        <v>1111</v>
      </c>
      <c r="H2119" s="228"/>
      <c r="I2119" s="228"/>
      <c r="J2119" s="229" t="s">
        <v>131</v>
      </c>
      <c r="K2119" s="230"/>
      <c r="L2119" s="230">
        <v>87500</v>
      </c>
    </row>
    <row r="2120" spans="1:14" ht="11.25" customHeight="1" x14ac:dyDescent="0.2">
      <c r="A2120" s="221">
        <v>2022</v>
      </c>
      <c r="B2120" s="221">
        <v>12</v>
      </c>
      <c r="C2120" s="221">
        <v>8</v>
      </c>
      <c r="D2120" s="231">
        <f t="shared" si="227"/>
        <v>44903</v>
      </c>
      <c r="E2120" s="233">
        <f t="shared" si="241"/>
        <v>44903</v>
      </c>
      <c r="F2120" s="478" t="s">
        <v>1354</v>
      </c>
      <c r="G2120" s="222" t="s">
        <v>86</v>
      </c>
      <c r="H2120" s="223" t="str" cm="1">
        <f t="array" ref="H2120">IFERROR(INDEX(INVESTOR_LIST[INVESTOR NAME],MATCH(I2120,INVESTOR_LIST[INVESTOR CODE],0),)," ")</f>
        <v xml:space="preserve"> </v>
      </c>
      <c r="I2120" s="223"/>
      <c r="J2120" s="224" t="s">
        <v>88</v>
      </c>
      <c r="K2120" s="225">
        <v>6000000</v>
      </c>
      <c r="L2120" s="225"/>
    </row>
    <row r="2121" spans="1:14" ht="11.25" customHeight="1" x14ac:dyDescent="0.2">
      <c r="A2121" s="226">
        <v>2022</v>
      </c>
      <c r="B2121" s="226">
        <v>12</v>
      </c>
      <c r="C2121" s="226">
        <v>8</v>
      </c>
      <c r="D2121" s="232">
        <f t="shared" ref="D2121:D2184" si="242">DATE(A2121,B2121,C2121)</f>
        <v>44903</v>
      </c>
      <c r="E2121" s="234">
        <f t="shared" si="241"/>
        <v>44903</v>
      </c>
      <c r="F2121" s="479"/>
      <c r="G2121" s="227" t="s">
        <v>86</v>
      </c>
      <c r="H2121" s="228" t="str" cm="1">
        <f t="array" ref="H2121">IFERROR(INDEX(INVESTOR_LIST[INVESTOR NAME],MATCH(I2121,INVESTOR_LIST[INVESTOR CODE],0),)," ")</f>
        <v xml:space="preserve"> </v>
      </c>
      <c r="I2121" s="228"/>
      <c r="J2121" s="229" t="s">
        <v>88</v>
      </c>
      <c r="K2121" s="230"/>
      <c r="L2121" s="230">
        <v>6000000</v>
      </c>
    </row>
    <row r="2122" spans="1:14" ht="11.25" customHeight="1" x14ac:dyDescent="0.2">
      <c r="A2122" s="221">
        <v>2022</v>
      </c>
      <c r="B2122" s="221">
        <v>12</v>
      </c>
      <c r="C2122" s="221">
        <v>8</v>
      </c>
      <c r="D2122" s="231">
        <f t="shared" si="242"/>
        <v>44903</v>
      </c>
      <c r="E2122" s="233">
        <f t="shared" ref="E2122:E2148" si="243">DATE(A2122,B2122,C2122)</f>
        <v>44903</v>
      </c>
      <c r="F2122" s="478" t="s">
        <v>1355</v>
      </c>
      <c r="G2122" s="222" t="s">
        <v>86</v>
      </c>
      <c r="H2122" s="223" t="str" cm="1">
        <f t="array" ref="H2122">IFERROR(INDEX(INVESTOR_LIST[INVESTOR NAME],MATCH(I2122,INVESTOR_LIST[INVESTOR CODE],0),)," ")</f>
        <v xml:space="preserve"> </v>
      </c>
      <c r="I2122" s="223"/>
      <c r="J2122" s="224" t="s">
        <v>88</v>
      </c>
      <c r="K2122" s="225">
        <v>5000000</v>
      </c>
      <c r="L2122" s="225"/>
    </row>
    <row r="2123" spans="1:14" ht="11.25" customHeight="1" x14ac:dyDescent="0.2">
      <c r="A2123" s="226">
        <v>2022</v>
      </c>
      <c r="B2123" s="226">
        <v>12</v>
      </c>
      <c r="C2123" s="226">
        <v>8</v>
      </c>
      <c r="D2123" s="232">
        <f t="shared" si="242"/>
        <v>44903</v>
      </c>
      <c r="E2123" s="234">
        <f t="shared" si="243"/>
        <v>44903</v>
      </c>
      <c r="F2123" s="479"/>
      <c r="G2123" s="227" t="s">
        <v>86</v>
      </c>
      <c r="H2123" s="228" t="str" cm="1">
        <f t="array" ref="H2123">IFERROR(INDEX(INVESTOR_LIST[INVESTOR NAME],MATCH(I2123,INVESTOR_LIST[INVESTOR CODE],0),)," ")</f>
        <v xml:space="preserve"> </v>
      </c>
      <c r="I2123" s="228"/>
      <c r="J2123" s="229" t="s">
        <v>88</v>
      </c>
      <c r="K2123" s="230"/>
      <c r="L2123" s="230">
        <v>5000000</v>
      </c>
    </row>
    <row r="2124" spans="1:14" ht="11.25" customHeight="1" x14ac:dyDescent="0.2">
      <c r="A2124" s="221">
        <v>2022</v>
      </c>
      <c r="B2124" s="221">
        <v>12</v>
      </c>
      <c r="C2124" s="221">
        <v>8</v>
      </c>
      <c r="D2124" s="231">
        <f t="shared" si="242"/>
        <v>44903</v>
      </c>
      <c r="E2124" s="233">
        <f t="shared" si="243"/>
        <v>44903</v>
      </c>
      <c r="F2124" s="478" t="s">
        <v>1363</v>
      </c>
      <c r="G2124" s="222" t="s">
        <v>86</v>
      </c>
      <c r="H2124" s="223" t="str" cm="1">
        <f t="array" ref="H2124">IFERROR(INDEX(INVESTOR_LIST[INVESTOR NAME],MATCH(I2124,INVESTOR_LIST[INVESTOR CODE],0),)," ")</f>
        <v xml:space="preserve"> </v>
      </c>
      <c r="I2124" s="223"/>
      <c r="J2124" s="224" t="s">
        <v>88</v>
      </c>
      <c r="K2124" s="225">
        <v>2500000</v>
      </c>
      <c r="L2124" s="225"/>
    </row>
    <row r="2125" spans="1:14" ht="11.25" customHeight="1" x14ac:dyDescent="0.2">
      <c r="A2125" s="226">
        <v>2022</v>
      </c>
      <c r="B2125" s="226">
        <v>12</v>
      </c>
      <c r="C2125" s="226">
        <v>8</v>
      </c>
      <c r="D2125" s="232">
        <f t="shared" si="242"/>
        <v>44903</v>
      </c>
      <c r="E2125" s="234">
        <f t="shared" si="243"/>
        <v>44903</v>
      </c>
      <c r="F2125" s="479"/>
      <c r="G2125" s="227" t="s">
        <v>86</v>
      </c>
      <c r="H2125" s="228" t="str" cm="1">
        <f t="array" ref="H2125">IFERROR(INDEX(INVESTOR_LIST[INVESTOR NAME],MATCH(I2125,INVESTOR_LIST[INVESTOR CODE],0),)," ")</f>
        <v xml:space="preserve"> </v>
      </c>
      <c r="I2125" s="228"/>
      <c r="J2125" s="229" t="s">
        <v>88</v>
      </c>
      <c r="K2125" s="230"/>
      <c r="L2125" s="230">
        <v>2500000</v>
      </c>
    </row>
    <row r="2126" spans="1:14" ht="11.25" customHeight="1" x14ac:dyDescent="0.2">
      <c r="A2126" s="221">
        <v>2022</v>
      </c>
      <c r="B2126" s="221">
        <v>12</v>
      </c>
      <c r="C2126" s="221">
        <v>8</v>
      </c>
      <c r="D2126" s="231">
        <f t="shared" si="242"/>
        <v>44903</v>
      </c>
      <c r="E2126" s="233">
        <f t="shared" ref="E2126:E2127" si="244">DATE(A2126,B2126,C2126)</f>
        <v>44903</v>
      </c>
      <c r="F2126" s="478" t="s">
        <v>1364</v>
      </c>
      <c r="G2126" s="222" t="s">
        <v>86</v>
      </c>
      <c r="H2126" s="223" t="str" cm="1">
        <f t="array" ref="H2126">IFERROR(INDEX(INVESTOR_LIST[INVESTOR NAME],MATCH(I2126,INVESTOR_LIST[INVESTOR CODE],0),)," ")</f>
        <v xml:space="preserve"> </v>
      </c>
      <c r="I2126" s="223"/>
      <c r="J2126" s="224" t="s">
        <v>88</v>
      </c>
      <c r="K2126" s="225">
        <v>2500000</v>
      </c>
      <c r="L2126" s="225"/>
    </row>
    <row r="2127" spans="1:14" ht="11.25" customHeight="1" x14ac:dyDescent="0.2">
      <c r="A2127" s="226">
        <v>2022</v>
      </c>
      <c r="B2127" s="226">
        <v>12</v>
      </c>
      <c r="C2127" s="226">
        <v>8</v>
      </c>
      <c r="D2127" s="232">
        <f t="shared" si="242"/>
        <v>44903</v>
      </c>
      <c r="E2127" s="234">
        <f t="shared" si="244"/>
        <v>44903</v>
      </c>
      <c r="F2127" s="479"/>
      <c r="G2127" s="227" t="s">
        <v>86</v>
      </c>
      <c r="H2127" s="228" t="str" cm="1">
        <f t="array" ref="H2127">IFERROR(INDEX(INVESTOR_LIST[INVESTOR NAME],MATCH(I2127,INVESTOR_LIST[INVESTOR CODE],0),)," ")</f>
        <v xml:space="preserve"> </v>
      </c>
      <c r="I2127" s="228"/>
      <c r="J2127" s="229" t="s">
        <v>88</v>
      </c>
      <c r="K2127" s="230"/>
      <c r="L2127" s="230">
        <v>2500000</v>
      </c>
    </row>
    <row r="2128" spans="1:14" ht="11.25" customHeight="1" x14ac:dyDescent="0.2">
      <c r="A2128" s="280">
        <v>2022</v>
      </c>
      <c r="B2128" s="280">
        <v>12</v>
      </c>
      <c r="C2128" s="280">
        <v>8</v>
      </c>
      <c r="D2128" s="281">
        <f t="shared" si="242"/>
        <v>44903</v>
      </c>
      <c r="E2128" s="282">
        <f>DATE(A2128,B2128,C2128)</f>
        <v>44903</v>
      </c>
      <c r="F2128" s="472" t="s">
        <v>1369</v>
      </c>
      <c r="G2128" s="283" t="s">
        <v>86</v>
      </c>
      <c r="H2128" s="284" t="str" cm="1">
        <f t="array" ref="H2128">IFERROR(INDEX(INVESTOR_LIST[INVESTOR NAME],MATCH(I2128,INVESTOR_LIST[INVESTOR CODE],0),)," ")</f>
        <v xml:space="preserve"> </v>
      </c>
      <c r="I2128" s="284"/>
      <c r="J2128" s="285" t="s">
        <v>131</v>
      </c>
      <c r="K2128" s="286">
        <v>74270.429999999993</v>
      </c>
      <c r="L2128" s="286"/>
      <c r="M2128" s="263"/>
      <c r="N2128" s="166"/>
    </row>
    <row r="2129" spans="1:12" ht="11.25" customHeight="1" x14ac:dyDescent="0.2">
      <c r="A2129" s="287">
        <v>2022</v>
      </c>
      <c r="B2129" s="287">
        <v>12</v>
      </c>
      <c r="C2129" s="287">
        <v>8</v>
      </c>
      <c r="D2129" s="288">
        <f t="shared" si="242"/>
        <v>44903</v>
      </c>
      <c r="E2129" s="289">
        <f>DATE(A2129,B2129,C2129)</f>
        <v>44903</v>
      </c>
      <c r="F2129" s="473"/>
      <c r="G2129" s="290" t="s">
        <v>86</v>
      </c>
      <c r="H2129" s="291" t="str" cm="1">
        <f t="array" ref="H2129">IFERROR(INDEX(INVESTOR_LIST[INVESTOR NAME],MATCH(I2129,INVESTOR_LIST[INVESTOR CODE],0),)," ")</f>
        <v xml:space="preserve"> </v>
      </c>
      <c r="I2129" s="291"/>
      <c r="J2129" s="292" t="s">
        <v>174</v>
      </c>
      <c r="K2129" s="293"/>
      <c r="L2129" s="293">
        <v>74270.429999999993</v>
      </c>
    </row>
    <row r="2130" spans="1:12" ht="11.25" customHeight="1" x14ac:dyDescent="0.2">
      <c r="A2130" s="236">
        <v>2022</v>
      </c>
      <c r="B2130" s="236">
        <v>12</v>
      </c>
      <c r="C2130" s="236">
        <v>8</v>
      </c>
      <c r="D2130" s="237">
        <f t="shared" si="242"/>
        <v>44903</v>
      </c>
      <c r="E2130" s="238">
        <f t="shared" si="243"/>
        <v>44903</v>
      </c>
      <c r="F2130" s="476" t="s">
        <v>1118</v>
      </c>
      <c r="G2130" s="239" t="s">
        <v>86</v>
      </c>
      <c r="H2130" s="239" t="str" cm="1">
        <f t="array" ref="H2130">IFERROR(INDEX(INVESTOR_LIST[INVESTOR NAME],MATCH(I2130,INVESTOR_LIST[INVESTOR CODE],0),)," ")</f>
        <v xml:space="preserve"> </v>
      </c>
      <c r="I2130" s="240"/>
      <c r="J2130" s="241" t="s">
        <v>82</v>
      </c>
      <c r="K2130" s="242">
        <v>2500</v>
      </c>
      <c r="L2130" s="242"/>
    </row>
    <row r="2131" spans="1:12" ht="11.25" customHeight="1" x14ac:dyDescent="0.2">
      <c r="A2131" s="243">
        <v>2022</v>
      </c>
      <c r="B2131" s="243">
        <v>12</v>
      </c>
      <c r="C2131" s="243">
        <v>8</v>
      </c>
      <c r="D2131" s="248">
        <f t="shared" si="242"/>
        <v>44903</v>
      </c>
      <c r="E2131" s="249">
        <f t="shared" si="243"/>
        <v>44903</v>
      </c>
      <c r="F2131" s="477"/>
      <c r="G2131" s="244" t="s">
        <v>86</v>
      </c>
      <c r="H2131" s="244" t="str" cm="1">
        <f t="array" ref="H2131">IFERROR(INDEX(INVESTOR_LIST[INVESTOR NAME],MATCH(I2131,INVESTOR_LIST[INVESTOR CODE],0),)," ")</f>
        <v xml:space="preserve"> </v>
      </c>
      <c r="I2131" s="245"/>
      <c r="J2131" s="246" t="s">
        <v>98</v>
      </c>
      <c r="K2131" s="247"/>
      <c r="L2131" s="247">
        <v>2500</v>
      </c>
    </row>
    <row r="2132" spans="1:12" ht="11.25" customHeight="1" x14ac:dyDescent="0.2">
      <c r="A2132" s="236">
        <v>2022</v>
      </c>
      <c r="B2132" s="236">
        <v>12</v>
      </c>
      <c r="C2132" s="236">
        <v>8</v>
      </c>
      <c r="D2132" s="237">
        <f t="shared" si="242"/>
        <v>44903</v>
      </c>
      <c r="E2132" s="238">
        <f t="shared" si="243"/>
        <v>44903</v>
      </c>
      <c r="F2132" s="476" t="s">
        <v>1120</v>
      </c>
      <c r="G2132" s="239" t="s">
        <v>86</v>
      </c>
      <c r="H2132" s="239" t="str" cm="1">
        <f t="array" ref="H2132">IFERROR(INDEX(INVESTOR_LIST[INVESTOR NAME],MATCH(I2132,INVESTOR_LIST[INVESTOR CODE],0),)," ")</f>
        <v xml:space="preserve"> </v>
      </c>
      <c r="I2132" s="240"/>
      <c r="J2132" s="241" t="s">
        <v>87</v>
      </c>
      <c r="K2132" s="242">
        <v>2747.2527472527472</v>
      </c>
      <c r="L2132" s="242"/>
    </row>
    <row r="2133" spans="1:12" ht="11.25" customHeight="1" x14ac:dyDescent="0.2">
      <c r="A2133" s="243">
        <v>2022</v>
      </c>
      <c r="B2133" s="243">
        <v>12</v>
      </c>
      <c r="C2133" s="243">
        <v>8</v>
      </c>
      <c r="D2133" s="248">
        <f t="shared" si="242"/>
        <v>44903</v>
      </c>
      <c r="E2133" s="249">
        <f t="shared" si="243"/>
        <v>44903</v>
      </c>
      <c r="F2133" s="477"/>
      <c r="G2133" s="244" t="s">
        <v>86</v>
      </c>
      <c r="H2133" s="244" t="str" cm="1">
        <f t="array" ref="H2133">IFERROR(INDEX(INVESTOR_LIST[INVESTOR NAME],MATCH(I2133,INVESTOR_LIST[INVESTOR CODE],0),)," ")</f>
        <v xml:space="preserve"> </v>
      </c>
      <c r="I2133" s="245"/>
      <c r="J2133" s="246" t="s">
        <v>64</v>
      </c>
      <c r="K2133" s="247"/>
      <c r="L2133" s="247">
        <v>2747.2527472527472</v>
      </c>
    </row>
    <row r="2134" spans="1:12" ht="11.25" customHeight="1" x14ac:dyDescent="0.2">
      <c r="A2134" s="236">
        <v>2022</v>
      </c>
      <c r="B2134" s="236">
        <v>12</v>
      </c>
      <c r="C2134" s="236">
        <v>8</v>
      </c>
      <c r="D2134" s="237">
        <f t="shared" si="242"/>
        <v>44903</v>
      </c>
      <c r="E2134" s="238">
        <f t="shared" si="243"/>
        <v>44903</v>
      </c>
      <c r="F2134" s="476" t="s">
        <v>1121</v>
      </c>
      <c r="G2134" s="239" t="s">
        <v>86</v>
      </c>
      <c r="H2134" s="239" t="str" cm="1">
        <f t="array" ref="H2134">IFERROR(INDEX(INVESTOR_LIST[INVESTOR NAME],MATCH(I2134,INVESTOR_LIST[INVESTOR CODE],0),)," ")</f>
        <v xml:space="preserve"> </v>
      </c>
      <c r="I2134" s="240"/>
      <c r="J2134" s="241" t="s">
        <v>89</v>
      </c>
      <c r="K2134" s="242">
        <v>88830.685920638352</v>
      </c>
      <c r="L2134" s="242"/>
    </row>
    <row r="2135" spans="1:12" ht="11.25" customHeight="1" x14ac:dyDescent="0.2">
      <c r="A2135" s="243">
        <v>2022</v>
      </c>
      <c r="B2135" s="243">
        <v>12</v>
      </c>
      <c r="C2135" s="243">
        <v>8</v>
      </c>
      <c r="D2135" s="248">
        <f t="shared" si="242"/>
        <v>44903</v>
      </c>
      <c r="E2135" s="249">
        <f t="shared" si="243"/>
        <v>44903</v>
      </c>
      <c r="F2135" s="477"/>
      <c r="G2135" s="244" t="s">
        <v>86</v>
      </c>
      <c r="H2135" s="244" t="str" cm="1">
        <f t="array" ref="H2135">IFERROR(INDEX(INVESTOR_LIST[INVESTOR NAME],MATCH(I2135,INVESTOR_LIST[INVESTOR CODE],0),)," ")</f>
        <v xml:space="preserve"> </v>
      </c>
      <c r="I2135" s="245"/>
      <c r="J2135" s="246" t="s">
        <v>50</v>
      </c>
      <c r="K2135" s="247"/>
      <c r="L2135" s="247">
        <v>88830.685920638352</v>
      </c>
    </row>
    <row r="2136" spans="1:12" ht="11.25" customHeight="1" x14ac:dyDescent="0.2">
      <c r="A2136" s="236">
        <v>2022</v>
      </c>
      <c r="B2136" s="236">
        <v>12</v>
      </c>
      <c r="C2136" s="236">
        <v>8</v>
      </c>
      <c r="D2136" s="237">
        <f t="shared" si="242"/>
        <v>44903</v>
      </c>
      <c r="E2136" s="238">
        <f t="shared" si="243"/>
        <v>44903</v>
      </c>
      <c r="F2136" s="476" t="s">
        <v>1122</v>
      </c>
      <c r="G2136" s="239" t="s">
        <v>86</v>
      </c>
      <c r="H2136" s="239" t="str" cm="1">
        <f t="array" ref="H2136">IFERROR(INDEX(INVESTOR_LIST[INVESTOR NAME],MATCH(I2136,INVESTOR_LIST[INVESTOR CODE],0),)," ")</f>
        <v xml:space="preserve"> </v>
      </c>
      <c r="I2136" s="240"/>
      <c r="J2136" s="241" t="s">
        <v>91</v>
      </c>
      <c r="K2136" s="242">
        <v>4201.1496806473024</v>
      </c>
      <c r="L2136" s="242"/>
    </row>
    <row r="2137" spans="1:12" ht="11.25" customHeight="1" x14ac:dyDescent="0.2">
      <c r="A2137" s="243">
        <v>2022</v>
      </c>
      <c r="B2137" s="243">
        <v>12</v>
      </c>
      <c r="C2137" s="243">
        <v>8</v>
      </c>
      <c r="D2137" s="248">
        <f t="shared" si="242"/>
        <v>44903</v>
      </c>
      <c r="E2137" s="249">
        <f t="shared" si="243"/>
        <v>44903</v>
      </c>
      <c r="F2137" s="477"/>
      <c r="G2137" s="244" t="s">
        <v>86</v>
      </c>
      <c r="H2137" s="244" t="str" cm="1">
        <f t="array" ref="H2137">IFERROR(INDEX(INVESTOR_LIST[INVESTOR NAME],MATCH(I2137,INVESTOR_LIST[INVESTOR CODE],0),)," ")</f>
        <v xml:space="preserve"> </v>
      </c>
      <c r="I2137" s="245"/>
      <c r="J2137" s="246" t="s">
        <v>51</v>
      </c>
      <c r="K2137" s="247"/>
      <c r="L2137" s="247">
        <v>4201.1496806473024</v>
      </c>
    </row>
    <row r="2138" spans="1:12" ht="11.25" customHeight="1" x14ac:dyDescent="0.2">
      <c r="A2138" s="221">
        <v>2022</v>
      </c>
      <c r="B2138" s="221">
        <v>12</v>
      </c>
      <c r="C2138" s="221">
        <v>12</v>
      </c>
      <c r="D2138" s="231">
        <f t="shared" si="242"/>
        <v>44907</v>
      </c>
      <c r="E2138" s="233">
        <f t="shared" si="243"/>
        <v>44907</v>
      </c>
      <c r="F2138" s="478" t="s">
        <v>1365</v>
      </c>
      <c r="G2138" s="222" t="s">
        <v>1111</v>
      </c>
      <c r="H2138" s="223" t="str" cm="1">
        <f t="array" ref="H2138">IFERROR(INDEX(INVESTOR_LIST[INVESTOR NAME],MATCH(I2138,INVESTOR_LIST[INVESTOR CODE],0),)," ")</f>
        <v xml:space="preserve"> </v>
      </c>
      <c r="I2138" s="223"/>
      <c r="J2138" s="224" t="s">
        <v>55</v>
      </c>
      <c r="K2138" s="225">
        <v>84375</v>
      </c>
      <c r="L2138" s="225"/>
    </row>
    <row r="2139" spans="1:12" ht="11.25" customHeight="1" x14ac:dyDescent="0.2">
      <c r="A2139" s="164">
        <v>2022</v>
      </c>
      <c r="B2139" s="164">
        <v>12</v>
      </c>
      <c r="C2139" s="164">
        <v>12</v>
      </c>
      <c r="D2139" s="156">
        <f t="shared" si="242"/>
        <v>44907</v>
      </c>
      <c r="E2139" s="235">
        <f t="shared" si="243"/>
        <v>44907</v>
      </c>
      <c r="F2139" s="480"/>
      <c r="G2139" s="208" t="s">
        <v>1111</v>
      </c>
      <c r="J2139" s="165" t="s">
        <v>131</v>
      </c>
      <c r="K2139" s="205"/>
      <c r="L2139" s="205">
        <v>84375</v>
      </c>
    </row>
    <row r="2140" spans="1:12" ht="11.25" customHeight="1" x14ac:dyDescent="0.2">
      <c r="A2140" s="221">
        <v>2022</v>
      </c>
      <c r="B2140" s="221">
        <v>12</v>
      </c>
      <c r="C2140" s="221">
        <v>12</v>
      </c>
      <c r="D2140" s="231">
        <f t="shared" si="242"/>
        <v>44907</v>
      </c>
      <c r="E2140" s="233">
        <f t="shared" si="243"/>
        <v>44907</v>
      </c>
      <c r="F2140" s="478" t="s">
        <v>1366</v>
      </c>
      <c r="G2140" s="222" t="s">
        <v>1111</v>
      </c>
      <c r="H2140" s="223" t="str" cm="1">
        <f t="array" ref="H2140">IFERROR(INDEX(INVESTOR_LIST[INVESTOR NAME],MATCH(I2140,INVESTOR_LIST[INVESTOR CODE],0),)," ")</f>
        <v xml:space="preserve"> </v>
      </c>
      <c r="I2140" s="223"/>
      <c r="J2140" s="224" t="s">
        <v>55</v>
      </c>
      <c r="K2140" s="225">
        <v>84375</v>
      </c>
      <c r="L2140" s="225"/>
    </row>
    <row r="2141" spans="1:12" ht="11.25" customHeight="1" x14ac:dyDescent="0.2">
      <c r="A2141" s="226">
        <v>2022</v>
      </c>
      <c r="B2141" s="226">
        <v>12</v>
      </c>
      <c r="C2141" s="226">
        <v>12</v>
      </c>
      <c r="D2141" s="232">
        <f t="shared" si="242"/>
        <v>44907</v>
      </c>
      <c r="E2141" s="234">
        <f t="shared" si="243"/>
        <v>44907</v>
      </c>
      <c r="F2141" s="479"/>
      <c r="G2141" s="227" t="s">
        <v>1111</v>
      </c>
      <c r="H2141" s="228"/>
      <c r="I2141" s="228"/>
      <c r="J2141" s="229" t="s">
        <v>131</v>
      </c>
      <c r="K2141" s="230"/>
      <c r="L2141" s="230">
        <v>84375</v>
      </c>
    </row>
    <row r="2142" spans="1:12" ht="11.25" customHeight="1" x14ac:dyDescent="0.2">
      <c r="A2142" s="221">
        <v>2022</v>
      </c>
      <c r="B2142" s="221">
        <v>12</v>
      </c>
      <c r="C2142" s="221">
        <v>12</v>
      </c>
      <c r="D2142" s="231">
        <f t="shared" si="242"/>
        <v>44907</v>
      </c>
      <c r="E2142" s="233">
        <f t="shared" si="243"/>
        <v>44907</v>
      </c>
      <c r="F2142" s="478" t="s">
        <v>1373</v>
      </c>
      <c r="G2142" s="222" t="s">
        <v>1111</v>
      </c>
      <c r="H2142" s="223" t="str" cm="1">
        <f t="array" ref="H2142">IFERROR(INDEX(INVESTOR_LIST[INVESTOR NAME],MATCH(I2142,INVESTOR_LIST[INVESTOR CODE],0),)," ")</f>
        <v xml:space="preserve"> </v>
      </c>
      <c r="I2142" s="223"/>
      <c r="J2142" s="224" t="s">
        <v>88</v>
      </c>
      <c r="K2142" s="225">
        <v>2000000</v>
      </c>
      <c r="L2142" s="225"/>
    </row>
    <row r="2143" spans="1:12" ht="11.25" customHeight="1" x14ac:dyDescent="0.2">
      <c r="A2143" s="226">
        <v>2022</v>
      </c>
      <c r="B2143" s="226">
        <v>12</v>
      </c>
      <c r="C2143" s="226">
        <v>12</v>
      </c>
      <c r="D2143" s="232">
        <f t="shared" si="242"/>
        <v>44907</v>
      </c>
      <c r="E2143" s="234">
        <f t="shared" si="243"/>
        <v>44907</v>
      </c>
      <c r="F2143" s="479"/>
      <c r="G2143" s="227" t="s">
        <v>1111</v>
      </c>
      <c r="H2143" s="228"/>
      <c r="I2143" s="228"/>
      <c r="J2143" s="229" t="s">
        <v>55</v>
      </c>
      <c r="K2143" s="230"/>
      <c r="L2143" s="230">
        <v>2000000</v>
      </c>
    </row>
    <row r="2144" spans="1:12" ht="11.25" customHeight="1" x14ac:dyDescent="0.2">
      <c r="A2144" s="221">
        <v>2022</v>
      </c>
      <c r="B2144" s="221">
        <v>12</v>
      </c>
      <c r="C2144" s="221">
        <v>12</v>
      </c>
      <c r="D2144" s="231">
        <f t="shared" si="242"/>
        <v>44907</v>
      </c>
      <c r="E2144" s="233">
        <f t="shared" si="243"/>
        <v>44907</v>
      </c>
      <c r="F2144" s="478" t="s">
        <v>1115</v>
      </c>
      <c r="G2144" s="222" t="s">
        <v>1111</v>
      </c>
      <c r="H2144" s="223" t="str" cm="1">
        <f t="array" ref="H2144">IFERROR(INDEX(INVESTOR_LIST[INVESTOR NAME],MATCH(I2144,INVESTOR_LIST[INVESTOR CODE],0),)," ")</f>
        <v>KALLANI ISLAM</v>
      </c>
      <c r="I2144" s="223" t="s">
        <v>1247</v>
      </c>
      <c r="J2144" s="224" t="s">
        <v>14</v>
      </c>
      <c r="K2144" s="225">
        <v>101830</v>
      </c>
      <c r="L2144" s="225"/>
    </row>
    <row r="2145" spans="1:13" ht="11.25" customHeight="1" x14ac:dyDescent="0.2">
      <c r="A2145" s="164">
        <v>2022</v>
      </c>
      <c r="B2145" s="164">
        <v>12</v>
      </c>
      <c r="C2145" s="164">
        <v>12</v>
      </c>
      <c r="D2145" s="156">
        <f t="shared" si="242"/>
        <v>44907</v>
      </c>
      <c r="E2145" s="235">
        <f t="shared" si="243"/>
        <v>44907</v>
      </c>
      <c r="F2145" s="480"/>
      <c r="G2145" s="208" t="s">
        <v>1111</v>
      </c>
      <c r="H2145" s="206" t="str" cm="1">
        <f t="array" ref="H2145">IFERROR(INDEX(INVESTOR_LIST[INVESTOR NAME],MATCH(I2145,INVESTOR_LIST[INVESTOR CODE],0),)," ")</f>
        <v>KALLANI ISLAM</v>
      </c>
      <c r="I2145" s="206" t="s">
        <v>1247</v>
      </c>
      <c r="J2145" s="165" t="s">
        <v>1112</v>
      </c>
      <c r="K2145" s="156"/>
      <c r="L2145" s="167">
        <v>203.66</v>
      </c>
    </row>
    <row r="2146" spans="1:13" ht="11.25" customHeight="1" x14ac:dyDescent="0.2">
      <c r="A2146" s="226">
        <v>2022</v>
      </c>
      <c r="B2146" s="226">
        <v>12</v>
      </c>
      <c r="C2146" s="226">
        <v>12</v>
      </c>
      <c r="D2146" s="232">
        <f t="shared" si="242"/>
        <v>44907</v>
      </c>
      <c r="E2146" s="234">
        <f t="shared" si="243"/>
        <v>44907</v>
      </c>
      <c r="F2146" s="479"/>
      <c r="G2146" s="227" t="s">
        <v>1111</v>
      </c>
      <c r="H2146" s="228" t="str" cm="1">
        <f t="array" ref="H2146">IFERROR(INDEX(INVESTOR_LIST[INVESTOR NAME],MATCH(I2146,INVESTOR_LIST[INVESTOR CODE],0),)," ")</f>
        <v>KALLANI ISLAM</v>
      </c>
      <c r="I2146" s="228" t="s">
        <v>1247</v>
      </c>
      <c r="J2146" s="229" t="s">
        <v>55</v>
      </c>
      <c r="K2146" s="230"/>
      <c r="L2146" s="230">
        <v>101626.34</v>
      </c>
    </row>
    <row r="2147" spans="1:13" ht="11.25" customHeight="1" x14ac:dyDescent="0.2">
      <c r="A2147" s="221">
        <v>2022</v>
      </c>
      <c r="B2147" s="221">
        <v>12</v>
      </c>
      <c r="C2147" s="221">
        <v>12</v>
      </c>
      <c r="D2147" s="231">
        <f t="shared" si="242"/>
        <v>44907</v>
      </c>
      <c r="E2147" s="233">
        <f t="shared" si="243"/>
        <v>44907</v>
      </c>
      <c r="F2147" s="478" t="s">
        <v>1328</v>
      </c>
      <c r="G2147" s="222" t="s">
        <v>1111</v>
      </c>
      <c r="H2147" s="223" t="str" cm="1">
        <f t="array" ref="H2147">IFERROR(INDEX(INVESTOR_LIST[INVESTOR NAME],MATCH(I2147,INVESTOR_LIST[INVESTOR CODE],0),)," ")</f>
        <v xml:space="preserve"> </v>
      </c>
      <c r="I2147" s="223"/>
      <c r="J2147" s="224" t="s">
        <v>63</v>
      </c>
      <c r="K2147" s="225">
        <v>20</v>
      </c>
      <c r="L2147" s="225"/>
    </row>
    <row r="2148" spans="1:13" ht="11.25" customHeight="1" x14ac:dyDescent="0.2">
      <c r="A2148" s="226">
        <v>2022</v>
      </c>
      <c r="B2148" s="226">
        <v>12</v>
      </c>
      <c r="C2148" s="226">
        <v>12</v>
      </c>
      <c r="D2148" s="232">
        <f t="shared" si="242"/>
        <v>44907</v>
      </c>
      <c r="E2148" s="234">
        <f t="shared" si="243"/>
        <v>44907</v>
      </c>
      <c r="F2148" s="479"/>
      <c r="G2148" s="227" t="s">
        <v>1111</v>
      </c>
      <c r="H2148" s="228" t="str" cm="1">
        <f t="array" ref="H2148">IFERROR(INDEX(INVESTOR_LIST[INVESTOR NAME],MATCH(I2148,INVESTOR_LIST[INVESTOR CODE],0),)," ")</f>
        <v xml:space="preserve"> </v>
      </c>
      <c r="I2148" s="228"/>
      <c r="J2148" s="229" t="s">
        <v>55</v>
      </c>
      <c r="K2148" s="230"/>
      <c r="L2148" s="230">
        <v>20</v>
      </c>
    </row>
    <row r="2149" spans="1:13" ht="11.25" customHeight="1" x14ac:dyDescent="0.2">
      <c r="A2149" s="221">
        <v>2022</v>
      </c>
      <c r="B2149" s="221">
        <v>12</v>
      </c>
      <c r="C2149" s="221">
        <v>13</v>
      </c>
      <c r="D2149" s="231">
        <f t="shared" si="242"/>
        <v>44908</v>
      </c>
      <c r="E2149" s="233">
        <f t="shared" ref="E2149:E2151" si="245">DATE(A2149,B2149,C2149)</f>
        <v>44908</v>
      </c>
      <c r="F2149" s="478" t="s">
        <v>1115</v>
      </c>
      <c r="G2149" s="222" t="s">
        <v>1111</v>
      </c>
      <c r="H2149" s="223" t="str" cm="1">
        <f t="array" ref="H2149">IFERROR(INDEX(INVESTOR_LIST[INVESTOR NAME],MATCH(I2149,INVESTOR_LIST[INVESTOR CODE],0),)," ")</f>
        <v>MUQIT-AL RAHMAN</v>
      </c>
      <c r="I2149" s="223" t="s">
        <v>422</v>
      </c>
      <c r="J2149" s="224" t="s">
        <v>14</v>
      </c>
      <c r="K2149" s="225">
        <v>600000</v>
      </c>
      <c r="L2149" s="225"/>
    </row>
    <row r="2150" spans="1:13" ht="11.25" customHeight="1" x14ac:dyDescent="0.2">
      <c r="A2150" s="164">
        <v>2022</v>
      </c>
      <c r="B2150" s="164">
        <v>12</v>
      </c>
      <c r="C2150" s="164">
        <v>13</v>
      </c>
      <c r="D2150" s="156">
        <f t="shared" si="242"/>
        <v>44908</v>
      </c>
      <c r="E2150" s="235">
        <f t="shared" si="245"/>
        <v>44908</v>
      </c>
      <c r="F2150" s="480"/>
      <c r="G2150" s="208" t="s">
        <v>1111</v>
      </c>
      <c r="H2150" s="206" t="str" cm="1">
        <f t="array" ref="H2150">IFERROR(INDEX(INVESTOR_LIST[INVESTOR NAME],MATCH(I2150,INVESTOR_LIST[INVESTOR CODE],0),)," ")</f>
        <v>MUQIT-AL RAHMAN</v>
      </c>
      <c r="I2150" s="206" t="s">
        <v>422</v>
      </c>
      <c r="J2150" s="165" t="s">
        <v>1112</v>
      </c>
      <c r="K2150" s="156"/>
      <c r="L2150" s="167">
        <v>1200</v>
      </c>
    </row>
    <row r="2151" spans="1:13" ht="11.25" customHeight="1" x14ac:dyDescent="0.2">
      <c r="A2151" s="226">
        <v>2022</v>
      </c>
      <c r="B2151" s="226">
        <v>12</v>
      </c>
      <c r="C2151" s="226">
        <v>13</v>
      </c>
      <c r="D2151" s="232">
        <f t="shared" si="242"/>
        <v>44908</v>
      </c>
      <c r="E2151" s="234">
        <f t="shared" si="245"/>
        <v>44908</v>
      </c>
      <c r="F2151" s="479"/>
      <c r="G2151" s="227" t="s">
        <v>1111</v>
      </c>
      <c r="H2151" s="228" t="str" cm="1">
        <f t="array" ref="H2151">IFERROR(INDEX(INVESTOR_LIST[INVESTOR NAME],MATCH(I2151,INVESTOR_LIST[INVESTOR CODE],0),)," ")</f>
        <v>MUQIT-AL RAHMAN</v>
      </c>
      <c r="I2151" s="228" t="s">
        <v>422</v>
      </c>
      <c r="J2151" s="229" t="s">
        <v>55</v>
      </c>
      <c r="K2151" s="230"/>
      <c r="L2151" s="230">
        <v>598800</v>
      </c>
    </row>
    <row r="2152" spans="1:13" ht="11.25" customHeight="1" x14ac:dyDescent="0.2">
      <c r="A2152" s="221">
        <v>2022</v>
      </c>
      <c r="B2152" s="221">
        <v>12</v>
      </c>
      <c r="C2152" s="221">
        <v>13</v>
      </c>
      <c r="D2152" s="231">
        <f t="shared" si="242"/>
        <v>44908</v>
      </c>
      <c r="E2152" s="233">
        <f t="shared" ref="E2152:E2180" si="246">DATE(A2152,B2152,C2152)</f>
        <v>44908</v>
      </c>
      <c r="F2152" s="478" t="s">
        <v>1115</v>
      </c>
      <c r="G2152" s="222" t="s">
        <v>1111</v>
      </c>
      <c r="H2152" s="223" t="str" cm="1">
        <f t="array" ref="H2152">IFERROR(INDEX(INVESTOR_LIST[INVESTOR NAME],MATCH(I2152,INVESTOR_LIST[INVESTOR CODE],0),)," ")</f>
        <v>SAILA SATTER</v>
      </c>
      <c r="I2152" s="223" t="s">
        <v>449</v>
      </c>
      <c r="J2152" s="224" t="s">
        <v>14</v>
      </c>
      <c r="K2152" s="225">
        <v>500000</v>
      </c>
      <c r="L2152" s="225"/>
    </row>
    <row r="2153" spans="1:13" ht="11.25" customHeight="1" x14ac:dyDescent="0.2">
      <c r="A2153" s="164">
        <v>2022</v>
      </c>
      <c r="B2153" s="164">
        <v>12</v>
      </c>
      <c r="C2153" s="164">
        <v>13</v>
      </c>
      <c r="D2153" s="156">
        <f t="shared" si="242"/>
        <v>44908</v>
      </c>
      <c r="E2153" s="235">
        <f t="shared" si="246"/>
        <v>44908</v>
      </c>
      <c r="F2153" s="480"/>
      <c r="G2153" s="208" t="s">
        <v>1111</v>
      </c>
      <c r="H2153" s="206" t="str" cm="1">
        <f t="array" ref="H2153">IFERROR(INDEX(INVESTOR_LIST[INVESTOR NAME],MATCH(I2153,INVESTOR_LIST[INVESTOR CODE],0),)," ")</f>
        <v>SAILA SATTER</v>
      </c>
      <c r="I2153" s="206" t="s">
        <v>449</v>
      </c>
      <c r="J2153" s="165" t="s">
        <v>1112</v>
      </c>
      <c r="K2153" s="156"/>
      <c r="L2153" s="167">
        <v>1000</v>
      </c>
    </row>
    <row r="2154" spans="1:13" ht="11.25" customHeight="1" x14ac:dyDescent="0.2">
      <c r="A2154" s="226">
        <v>2022</v>
      </c>
      <c r="B2154" s="226">
        <v>12</v>
      </c>
      <c r="C2154" s="226">
        <v>13</v>
      </c>
      <c r="D2154" s="232">
        <f t="shared" si="242"/>
        <v>44908</v>
      </c>
      <c r="E2154" s="234">
        <f t="shared" si="246"/>
        <v>44908</v>
      </c>
      <c r="F2154" s="479"/>
      <c r="G2154" s="227" t="s">
        <v>1111</v>
      </c>
      <c r="H2154" s="228" t="str" cm="1">
        <f t="array" ref="H2154">IFERROR(INDEX(INVESTOR_LIST[INVESTOR NAME],MATCH(I2154,INVESTOR_LIST[INVESTOR CODE],0),)," ")</f>
        <v>SAILA SATTER</v>
      </c>
      <c r="I2154" s="228" t="s">
        <v>449</v>
      </c>
      <c r="J2154" s="229" t="s">
        <v>55</v>
      </c>
      <c r="K2154" s="230"/>
      <c r="L2154" s="230">
        <v>499000</v>
      </c>
    </row>
    <row r="2155" spans="1:13" ht="11.25" customHeight="1" x14ac:dyDescent="0.2">
      <c r="A2155" s="221">
        <v>2022</v>
      </c>
      <c r="B2155" s="221">
        <v>12</v>
      </c>
      <c r="C2155" s="221">
        <v>14</v>
      </c>
      <c r="D2155" s="231">
        <f t="shared" si="242"/>
        <v>44909</v>
      </c>
      <c r="E2155" s="233">
        <f t="shared" si="246"/>
        <v>44909</v>
      </c>
      <c r="F2155" s="478" t="s">
        <v>1367</v>
      </c>
      <c r="G2155" s="222" t="s">
        <v>1111</v>
      </c>
      <c r="H2155" s="223" t="str" cm="1">
        <f t="array" ref="H2155">IFERROR(INDEX(INVESTOR_LIST[INVESTOR NAME],MATCH(I2155,INVESTOR_LIST[INVESTOR CODE],0),)," ")</f>
        <v xml:space="preserve"> </v>
      </c>
      <c r="I2155" s="223"/>
      <c r="J2155" s="224" t="s">
        <v>55</v>
      </c>
      <c r="K2155" s="225">
        <v>306892.5</v>
      </c>
      <c r="L2155" s="225"/>
    </row>
    <row r="2156" spans="1:13" ht="11.25" customHeight="1" x14ac:dyDescent="0.2">
      <c r="A2156" s="226">
        <v>2022</v>
      </c>
      <c r="B2156" s="226">
        <v>12</v>
      </c>
      <c r="C2156" s="226">
        <v>14</v>
      </c>
      <c r="D2156" s="232">
        <f t="shared" si="242"/>
        <v>44909</v>
      </c>
      <c r="E2156" s="234">
        <f t="shared" si="246"/>
        <v>44909</v>
      </c>
      <c r="F2156" s="479"/>
      <c r="G2156" s="227" t="s">
        <v>1111</v>
      </c>
      <c r="H2156" s="228" t="str" cm="1">
        <f t="array" ref="H2156">IFERROR(INDEX(INVESTOR_LIST[INVESTOR NAME],MATCH(I2156,INVESTOR_LIST[INVESTOR CODE],0),)," ")</f>
        <v xml:space="preserve"> </v>
      </c>
      <c r="I2156" s="228"/>
      <c r="J2156" s="229" t="s">
        <v>192</v>
      </c>
      <c r="K2156" s="230"/>
      <c r="L2156" s="230">
        <v>306892.5</v>
      </c>
      <c r="M2156" s="166"/>
    </row>
    <row r="2157" spans="1:13" ht="11.25" customHeight="1" x14ac:dyDescent="0.2">
      <c r="A2157" s="221">
        <v>2022</v>
      </c>
      <c r="B2157" s="221">
        <v>12</v>
      </c>
      <c r="C2157" s="221">
        <v>15</v>
      </c>
      <c r="D2157" s="231">
        <f t="shared" si="242"/>
        <v>44910</v>
      </c>
      <c r="E2157" s="233">
        <f t="shared" si="246"/>
        <v>44910</v>
      </c>
      <c r="F2157" s="478" t="s">
        <v>802</v>
      </c>
      <c r="G2157" s="222" t="s">
        <v>1111</v>
      </c>
      <c r="H2157" s="223" t="str" cm="1">
        <f t="array" ref="H2157">IFERROR(INDEX(INVESTOR_LIST[INVESTOR NAME],MATCH(I2157,INVESTOR_LIST[INVESTOR CODE],0),)," ")</f>
        <v>JOY SHREE SAHA</v>
      </c>
      <c r="I2157" s="223" t="s">
        <v>681</v>
      </c>
      <c r="J2157" s="224" t="s">
        <v>55</v>
      </c>
      <c r="K2157" s="225">
        <v>998000</v>
      </c>
      <c r="L2157" s="225"/>
    </row>
    <row r="2158" spans="1:13" ht="11.25" customHeight="1" x14ac:dyDescent="0.2">
      <c r="A2158" s="164">
        <v>2022</v>
      </c>
      <c r="B2158" s="164">
        <v>12</v>
      </c>
      <c r="C2158" s="164">
        <v>15</v>
      </c>
      <c r="D2158" s="156">
        <f t="shared" si="242"/>
        <v>44910</v>
      </c>
      <c r="E2158" s="235">
        <f t="shared" si="246"/>
        <v>44910</v>
      </c>
      <c r="F2158" s="480"/>
      <c r="G2158" s="208" t="s">
        <v>1111</v>
      </c>
      <c r="H2158" s="206" t="str" cm="1">
        <f t="array" ref="H2158">IFERROR(INDEX(INVESTOR_LIST[INVESTOR NAME],MATCH(I2158,INVESTOR_LIST[INVESTOR CODE],0),)," ")</f>
        <v>JOY SHREE SAHA</v>
      </c>
      <c r="I2158" s="206" t="s">
        <v>681</v>
      </c>
      <c r="J2158" s="165" t="s">
        <v>1112</v>
      </c>
      <c r="K2158" s="205">
        <v>2000</v>
      </c>
      <c r="L2158" s="205"/>
      <c r="M2158" s="166"/>
    </row>
    <row r="2159" spans="1:13" ht="11.25" customHeight="1" x14ac:dyDescent="0.2">
      <c r="A2159" s="226">
        <v>2022</v>
      </c>
      <c r="B2159" s="226">
        <v>12</v>
      </c>
      <c r="C2159" s="226">
        <v>15</v>
      </c>
      <c r="D2159" s="232">
        <f t="shared" si="242"/>
        <v>44910</v>
      </c>
      <c r="E2159" s="234">
        <f t="shared" si="246"/>
        <v>44910</v>
      </c>
      <c r="F2159" s="479"/>
      <c r="G2159" s="227" t="s">
        <v>1111</v>
      </c>
      <c r="H2159" s="228" t="str" cm="1">
        <f t="array" ref="H2159">IFERROR(INDEX(INVESTOR_LIST[INVESTOR NAME],MATCH(I2159,INVESTOR_LIST[INVESTOR CODE],0),)," ")</f>
        <v>JOY SHREE SAHA</v>
      </c>
      <c r="I2159" s="228" t="s">
        <v>681</v>
      </c>
      <c r="J2159" s="229" t="s">
        <v>14</v>
      </c>
      <c r="K2159" s="230"/>
      <c r="L2159" s="230">
        <v>1000000</v>
      </c>
    </row>
    <row r="2160" spans="1:13" ht="11.25" customHeight="1" x14ac:dyDescent="0.2">
      <c r="A2160" s="221">
        <v>2022</v>
      </c>
      <c r="B2160" s="221">
        <v>12</v>
      </c>
      <c r="C2160" s="221">
        <v>15</v>
      </c>
      <c r="D2160" s="231">
        <f t="shared" si="242"/>
        <v>44910</v>
      </c>
      <c r="E2160" s="233">
        <f t="shared" si="246"/>
        <v>44910</v>
      </c>
      <c r="F2160" s="478" t="s">
        <v>1328</v>
      </c>
      <c r="G2160" s="222" t="s">
        <v>1111</v>
      </c>
      <c r="H2160" s="223" t="str" cm="1">
        <f t="array" ref="H2160">IFERROR(INDEX(INVESTOR_LIST[INVESTOR NAME],MATCH(I2160,INVESTOR_LIST[INVESTOR CODE],0),)," ")</f>
        <v xml:space="preserve"> </v>
      </c>
      <c r="I2160" s="223"/>
      <c r="J2160" s="224" t="s">
        <v>63</v>
      </c>
      <c r="K2160" s="225">
        <v>25</v>
      </c>
      <c r="L2160" s="225"/>
    </row>
    <row r="2161" spans="1:14" ht="11.25" customHeight="1" x14ac:dyDescent="0.2">
      <c r="A2161" s="226">
        <v>2022</v>
      </c>
      <c r="B2161" s="226">
        <v>12</v>
      </c>
      <c r="C2161" s="226">
        <v>15</v>
      </c>
      <c r="D2161" s="232">
        <f t="shared" si="242"/>
        <v>44910</v>
      </c>
      <c r="E2161" s="234">
        <f t="shared" si="246"/>
        <v>44910</v>
      </c>
      <c r="F2161" s="479"/>
      <c r="G2161" s="227" t="s">
        <v>1111</v>
      </c>
      <c r="H2161" s="228" t="str" cm="1">
        <f t="array" ref="H2161">IFERROR(INDEX(INVESTOR_LIST[INVESTOR NAME],MATCH(I2161,INVESTOR_LIST[INVESTOR CODE],0),)," ")</f>
        <v xml:space="preserve"> </v>
      </c>
      <c r="I2161" s="228"/>
      <c r="J2161" s="229" t="s">
        <v>55</v>
      </c>
      <c r="K2161" s="230"/>
      <c r="L2161" s="230">
        <v>25</v>
      </c>
    </row>
    <row r="2162" spans="1:14" ht="11.25" customHeight="1" x14ac:dyDescent="0.2">
      <c r="A2162" s="221">
        <v>2022</v>
      </c>
      <c r="B2162" s="221">
        <v>12</v>
      </c>
      <c r="C2162" s="221">
        <v>15</v>
      </c>
      <c r="D2162" s="231">
        <f t="shared" si="242"/>
        <v>44910</v>
      </c>
      <c r="E2162" s="233">
        <f t="shared" si="246"/>
        <v>44910</v>
      </c>
      <c r="F2162" s="478" t="s">
        <v>1368</v>
      </c>
      <c r="G2162" s="222" t="s">
        <v>1111</v>
      </c>
      <c r="H2162" s="223" t="str" cm="1">
        <f t="array" ref="H2162">IFERROR(INDEX(INVESTOR_LIST[INVESTOR NAME],MATCH(I2162,INVESTOR_LIST[INVESTOR CODE],0),)," ")</f>
        <v xml:space="preserve"> </v>
      </c>
      <c r="I2162" s="223"/>
      <c r="J2162" s="224" t="s">
        <v>95</v>
      </c>
      <c r="K2162" s="225">
        <v>578.39</v>
      </c>
      <c r="L2162" s="225"/>
    </row>
    <row r="2163" spans="1:14" ht="11.25" customHeight="1" x14ac:dyDescent="0.2">
      <c r="A2163" s="226">
        <v>2022</v>
      </c>
      <c r="B2163" s="226">
        <v>12</v>
      </c>
      <c r="C2163" s="226">
        <v>15</v>
      </c>
      <c r="D2163" s="232">
        <f t="shared" si="242"/>
        <v>44910</v>
      </c>
      <c r="E2163" s="234">
        <f t="shared" si="246"/>
        <v>44910</v>
      </c>
      <c r="F2163" s="479"/>
      <c r="G2163" s="227" t="s">
        <v>1111</v>
      </c>
      <c r="H2163" s="228" t="str" cm="1">
        <f t="array" ref="H2163">IFERROR(INDEX(INVESTOR_LIST[INVESTOR NAME],MATCH(I2163,INVESTOR_LIST[INVESTOR CODE],0),)," ")</f>
        <v xml:space="preserve"> </v>
      </c>
      <c r="I2163" s="228"/>
      <c r="J2163" s="229" t="s">
        <v>55</v>
      </c>
      <c r="K2163" s="230"/>
      <c r="L2163" s="230">
        <v>578.39</v>
      </c>
    </row>
    <row r="2164" spans="1:14" ht="11.25" customHeight="1" x14ac:dyDescent="0.2">
      <c r="A2164" s="280">
        <v>2022</v>
      </c>
      <c r="B2164" s="280">
        <v>12</v>
      </c>
      <c r="C2164" s="280">
        <v>15</v>
      </c>
      <c r="D2164" s="281">
        <f t="shared" si="242"/>
        <v>44910</v>
      </c>
      <c r="E2164" s="282">
        <f t="shared" ref="E2164:E2169" si="247">DATE(A2164,B2164,C2164)</f>
        <v>44910</v>
      </c>
      <c r="F2164" s="472" t="s">
        <v>1369</v>
      </c>
      <c r="G2164" s="283" t="s">
        <v>86</v>
      </c>
      <c r="H2164" s="284" t="str" cm="1">
        <f t="array" ref="H2164">IFERROR(INDEX(INVESTOR_LIST[INVESTOR NAME],MATCH(I2164,INVESTOR_LIST[INVESTOR CODE],0),)," ")</f>
        <v xml:space="preserve"> </v>
      </c>
      <c r="I2164" s="284"/>
      <c r="J2164" s="285" t="s">
        <v>131</v>
      </c>
      <c r="K2164" s="286">
        <v>74270.429999999993</v>
      </c>
      <c r="L2164" s="286"/>
      <c r="M2164" s="263"/>
      <c r="N2164" s="166"/>
    </row>
    <row r="2165" spans="1:14" ht="11.25" customHeight="1" x14ac:dyDescent="0.2">
      <c r="A2165" s="287">
        <v>2022</v>
      </c>
      <c r="B2165" s="287">
        <v>12</v>
      </c>
      <c r="C2165" s="287">
        <v>15</v>
      </c>
      <c r="D2165" s="288">
        <f t="shared" si="242"/>
        <v>44910</v>
      </c>
      <c r="E2165" s="289">
        <f t="shared" si="247"/>
        <v>44910</v>
      </c>
      <c r="F2165" s="473"/>
      <c r="G2165" s="290" t="s">
        <v>86</v>
      </c>
      <c r="H2165" s="291" t="str" cm="1">
        <f t="array" ref="H2165">IFERROR(INDEX(INVESTOR_LIST[INVESTOR NAME],MATCH(I2165,INVESTOR_LIST[INVESTOR CODE],0),)," ")</f>
        <v xml:space="preserve"> </v>
      </c>
      <c r="I2165" s="291"/>
      <c r="J2165" s="292" t="s">
        <v>174</v>
      </c>
      <c r="K2165" s="293"/>
      <c r="L2165" s="293">
        <v>74270.429999999993</v>
      </c>
    </row>
    <row r="2166" spans="1:14" ht="11.25" customHeight="1" x14ac:dyDescent="0.2">
      <c r="A2166" s="280">
        <v>2022</v>
      </c>
      <c r="B2166" s="280">
        <v>12</v>
      </c>
      <c r="C2166" s="280">
        <v>15</v>
      </c>
      <c r="D2166" s="281">
        <f t="shared" si="242"/>
        <v>44910</v>
      </c>
      <c r="E2166" s="282">
        <f t="shared" si="247"/>
        <v>44910</v>
      </c>
      <c r="F2166" s="472" t="s">
        <v>1295</v>
      </c>
      <c r="G2166" s="283" t="s">
        <v>86</v>
      </c>
      <c r="H2166" s="284" t="str" cm="1">
        <f t="array" ref="H2166">IFERROR(INDEX(INVESTOR_LIST[INVESTOR NAME],MATCH(I2166,INVESTOR_LIST[INVESTOR CODE],0),)," ")</f>
        <v xml:space="preserve"> </v>
      </c>
      <c r="I2166" s="284"/>
      <c r="J2166" s="285" t="s">
        <v>131</v>
      </c>
      <c r="K2166" s="286">
        <v>15865.38</v>
      </c>
      <c r="L2166" s="286"/>
    </row>
    <row r="2167" spans="1:14" ht="11.25" customHeight="1" x14ac:dyDescent="0.2">
      <c r="A2167" s="287">
        <v>2022</v>
      </c>
      <c r="B2167" s="287">
        <v>12</v>
      </c>
      <c r="C2167" s="287">
        <v>15</v>
      </c>
      <c r="D2167" s="288">
        <f t="shared" si="242"/>
        <v>44910</v>
      </c>
      <c r="E2167" s="289">
        <f t="shared" si="247"/>
        <v>44910</v>
      </c>
      <c r="F2167" s="473"/>
      <c r="G2167" s="290" t="s">
        <v>86</v>
      </c>
      <c r="H2167" s="291" t="str" cm="1">
        <f t="array" ref="H2167">IFERROR(INDEX(INVESTOR_LIST[INVESTOR NAME],MATCH(I2167,INVESTOR_LIST[INVESTOR CODE],0),)," ")</f>
        <v xml:space="preserve"> </v>
      </c>
      <c r="I2167" s="291"/>
      <c r="J2167" s="292" t="s">
        <v>174</v>
      </c>
      <c r="K2167" s="293"/>
      <c r="L2167" s="293">
        <v>15865.38</v>
      </c>
    </row>
    <row r="2168" spans="1:14" ht="11.25" customHeight="1" x14ac:dyDescent="0.2">
      <c r="A2168" s="280">
        <v>2022</v>
      </c>
      <c r="B2168" s="280">
        <v>12</v>
      </c>
      <c r="C2168" s="280">
        <v>15</v>
      </c>
      <c r="D2168" s="281">
        <f t="shared" si="242"/>
        <v>44910</v>
      </c>
      <c r="E2168" s="282">
        <f t="shared" si="247"/>
        <v>44910</v>
      </c>
      <c r="F2168" s="472" t="s">
        <v>1294</v>
      </c>
      <c r="G2168" s="283" t="s">
        <v>86</v>
      </c>
      <c r="H2168" s="284" t="str" cm="1">
        <f t="array" ref="H2168">IFERROR(INDEX(INVESTOR_LIST[INVESTOR NAME],MATCH(I2168,INVESTOR_LIST[INVESTOR CODE],0),)," ")</f>
        <v xml:space="preserve"> </v>
      </c>
      <c r="I2168" s="284"/>
      <c r="J2168" s="285" t="s">
        <v>131</v>
      </c>
      <c r="K2168" s="286">
        <v>9423.08</v>
      </c>
      <c r="L2168" s="286"/>
    </row>
    <row r="2169" spans="1:14" ht="11.25" customHeight="1" x14ac:dyDescent="0.2">
      <c r="A2169" s="287">
        <v>2022</v>
      </c>
      <c r="B2169" s="287">
        <v>12</v>
      </c>
      <c r="C2169" s="287">
        <v>15</v>
      </c>
      <c r="D2169" s="288">
        <f t="shared" si="242"/>
        <v>44910</v>
      </c>
      <c r="E2169" s="289">
        <f t="shared" si="247"/>
        <v>44910</v>
      </c>
      <c r="F2169" s="473"/>
      <c r="G2169" s="290" t="s">
        <v>86</v>
      </c>
      <c r="H2169" s="291" t="str" cm="1">
        <f t="array" ref="H2169">IFERROR(INDEX(INVESTOR_LIST[INVESTOR NAME],MATCH(I2169,INVESTOR_LIST[INVESTOR CODE],0),)," ")</f>
        <v xml:space="preserve"> </v>
      </c>
      <c r="I2169" s="291"/>
      <c r="J2169" s="292" t="s">
        <v>174</v>
      </c>
      <c r="K2169" s="293"/>
      <c r="L2169" s="293">
        <v>9423.08</v>
      </c>
    </row>
    <row r="2170" spans="1:14" ht="11.25" customHeight="1" x14ac:dyDescent="0.2">
      <c r="A2170" s="236">
        <v>2022</v>
      </c>
      <c r="B2170" s="236">
        <v>12</v>
      </c>
      <c r="C2170" s="236">
        <v>15</v>
      </c>
      <c r="D2170" s="237">
        <f t="shared" si="242"/>
        <v>44910</v>
      </c>
      <c r="E2170" s="238">
        <f t="shared" si="246"/>
        <v>44910</v>
      </c>
      <c r="F2170" s="476" t="s">
        <v>1118</v>
      </c>
      <c r="G2170" s="239" t="s">
        <v>86</v>
      </c>
      <c r="H2170" s="239" t="str" cm="1">
        <f t="array" ref="H2170">IFERROR(INDEX(INVESTOR_LIST[INVESTOR NAME],MATCH(I2170,INVESTOR_LIST[INVESTOR CODE],0),)," ")</f>
        <v xml:space="preserve"> </v>
      </c>
      <c r="I2170" s="240"/>
      <c r="J2170" s="241" t="s">
        <v>98</v>
      </c>
      <c r="K2170" s="242">
        <v>5000</v>
      </c>
      <c r="L2170" s="242"/>
    </row>
    <row r="2171" spans="1:14" ht="11.25" customHeight="1" x14ac:dyDescent="0.2">
      <c r="A2171" s="243">
        <v>2022</v>
      </c>
      <c r="B2171" s="243">
        <v>12</v>
      </c>
      <c r="C2171" s="243">
        <v>15</v>
      </c>
      <c r="D2171" s="248">
        <f t="shared" si="242"/>
        <v>44910</v>
      </c>
      <c r="E2171" s="249">
        <f t="shared" si="246"/>
        <v>44910</v>
      </c>
      <c r="F2171" s="477"/>
      <c r="G2171" s="244" t="s">
        <v>86</v>
      </c>
      <c r="H2171" s="244" t="str" cm="1">
        <f t="array" ref="H2171">IFERROR(INDEX(INVESTOR_LIST[INVESTOR NAME],MATCH(I2171,INVESTOR_LIST[INVESTOR CODE],0),)," ")</f>
        <v xml:space="preserve"> </v>
      </c>
      <c r="I2171" s="245"/>
      <c r="J2171" s="246" t="s">
        <v>82</v>
      </c>
      <c r="K2171" s="247"/>
      <c r="L2171" s="247">
        <v>5000</v>
      </c>
    </row>
    <row r="2172" spans="1:14" ht="11.25" customHeight="1" x14ac:dyDescent="0.2">
      <c r="A2172" s="236">
        <v>2022</v>
      </c>
      <c r="B2172" s="236">
        <v>12</v>
      </c>
      <c r="C2172" s="236">
        <v>15</v>
      </c>
      <c r="D2172" s="237">
        <f t="shared" si="242"/>
        <v>44910</v>
      </c>
      <c r="E2172" s="238">
        <f t="shared" si="246"/>
        <v>44910</v>
      </c>
      <c r="F2172" s="476" t="s">
        <v>1120</v>
      </c>
      <c r="G2172" s="239" t="s">
        <v>86</v>
      </c>
      <c r="H2172" s="239" t="str" cm="1">
        <f t="array" ref="H2172">IFERROR(INDEX(INVESTOR_LIST[INVESTOR NAME],MATCH(I2172,INVESTOR_LIST[INVESTOR CODE],0),)," ")</f>
        <v xml:space="preserve"> </v>
      </c>
      <c r="I2172" s="240"/>
      <c r="J2172" s="241" t="s">
        <v>87</v>
      </c>
      <c r="K2172" s="242">
        <v>2747.2527472527472</v>
      </c>
      <c r="L2172" s="242"/>
    </row>
    <row r="2173" spans="1:14" ht="11.25" customHeight="1" x14ac:dyDescent="0.2">
      <c r="A2173" s="243">
        <v>2022</v>
      </c>
      <c r="B2173" s="243">
        <v>12</v>
      </c>
      <c r="C2173" s="243">
        <v>15</v>
      </c>
      <c r="D2173" s="248">
        <f t="shared" si="242"/>
        <v>44910</v>
      </c>
      <c r="E2173" s="249">
        <f t="shared" si="246"/>
        <v>44910</v>
      </c>
      <c r="F2173" s="477"/>
      <c r="G2173" s="244" t="s">
        <v>86</v>
      </c>
      <c r="H2173" s="244" t="str" cm="1">
        <f t="array" ref="H2173">IFERROR(INDEX(INVESTOR_LIST[INVESTOR NAME],MATCH(I2173,INVESTOR_LIST[INVESTOR CODE],0),)," ")</f>
        <v xml:space="preserve"> </v>
      </c>
      <c r="I2173" s="245"/>
      <c r="J2173" s="246" t="s">
        <v>64</v>
      </c>
      <c r="K2173" s="247"/>
      <c r="L2173" s="247">
        <v>2747.2527472527472</v>
      </c>
    </row>
    <row r="2174" spans="1:14" ht="11.25" customHeight="1" x14ac:dyDescent="0.2">
      <c r="A2174" s="236">
        <v>2022</v>
      </c>
      <c r="B2174" s="236">
        <v>12</v>
      </c>
      <c r="C2174" s="236">
        <v>15</v>
      </c>
      <c r="D2174" s="237">
        <f t="shared" si="242"/>
        <v>44910</v>
      </c>
      <c r="E2174" s="238">
        <f t="shared" si="246"/>
        <v>44910</v>
      </c>
      <c r="F2174" s="476" t="s">
        <v>1121</v>
      </c>
      <c r="G2174" s="239" t="s">
        <v>86</v>
      </c>
      <c r="H2174" s="239" t="str" cm="1">
        <f t="array" ref="H2174">IFERROR(INDEX(INVESTOR_LIST[INVESTOR NAME],MATCH(I2174,INVESTOR_LIST[INVESTOR CODE],0),)," ")</f>
        <v xml:space="preserve"> </v>
      </c>
      <c r="I2174" s="240"/>
      <c r="J2174" s="241" t="s">
        <v>89</v>
      </c>
      <c r="K2174" s="242">
        <v>88761.390232811988</v>
      </c>
      <c r="L2174" s="242"/>
    </row>
    <row r="2175" spans="1:14" ht="11.25" customHeight="1" x14ac:dyDescent="0.2">
      <c r="A2175" s="243">
        <v>2022</v>
      </c>
      <c r="B2175" s="243">
        <v>12</v>
      </c>
      <c r="C2175" s="243">
        <v>15</v>
      </c>
      <c r="D2175" s="248">
        <f t="shared" si="242"/>
        <v>44910</v>
      </c>
      <c r="E2175" s="249">
        <f t="shared" si="246"/>
        <v>44910</v>
      </c>
      <c r="F2175" s="477"/>
      <c r="G2175" s="244" t="s">
        <v>86</v>
      </c>
      <c r="H2175" s="244" t="str" cm="1">
        <f t="array" ref="H2175">IFERROR(INDEX(INVESTOR_LIST[INVESTOR NAME],MATCH(I2175,INVESTOR_LIST[INVESTOR CODE],0),)," ")</f>
        <v xml:space="preserve"> </v>
      </c>
      <c r="I2175" s="245"/>
      <c r="J2175" s="246" t="s">
        <v>50</v>
      </c>
      <c r="K2175" s="247"/>
      <c r="L2175" s="247">
        <v>88761.390232811988</v>
      </c>
    </row>
    <row r="2176" spans="1:14" ht="11.25" customHeight="1" x14ac:dyDescent="0.2">
      <c r="A2176" s="236">
        <v>2022</v>
      </c>
      <c r="B2176" s="236">
        <v>12</v>
      </c>
      <c r="C2176" s="236">
        <v>15</v>
      </c>
      <c r="D2176" s="237">
        <f t="shared" si="242"/>
        <v>44910</v>
      </c>
      <c r="E2176" s="238">
        <f t="shared" si="246"/>
        <v>44910</v>
      </c>
      <c r="F2176" s="476" t="s">
        <v>1122</v>
      </c>
      <c r="G2176" s="239" t="s">
        <v>86</v>
      </c>
      <c r="H2176" s="239" t="str" cm="1">
        <f t="array" ref="H2176">IFERROR(INDEX(INVESTOR_LIST[INVESTOR NAME],MATCH(I2176,INVESTOR_LIST[INVESTOR CODE],0),)," ")</f>
        <v xml:space="preserve"> </v>
      </c>
      <c r="I2176" s="240"/>
      <c r="J2176" s="241" t="s">
        <v>91</v>
      </c>
      <c r="K2176" s="242">
        <v>4197.6848962559834</v>
      </c>
      <c r="L2176" s="242"/>
    </row>
    <row r="2177" spans="1:12" ht="11.25" customHeight="1" x14ac:dyDescent="0.2">
      <c r="A2177" s="243">
        <v>2022</v>
      </c>
      <c r="B2177" s="243">
        <v>12</v>
      </c>
      <c r="C2177" s="243">
        <v>15</v>
      </c>
      <c r="D2177" s="248">
        <f t="shared" si="242"/>
        <v>44910</v>
      </c>
      <c r="E2177" s="249">
        <f t="shared" si="246"/>
        <v>44910</v>
      </c>
      <c r="F2177" s="477"/>
      <c r="G2177" s="244" t="s">
        <v>86</v>
      </c>
      <c r="H2177" s="244" t="str" cm="1">
        <f t="array" ref="H2177">IFERROR(INDEX(INVESTOR_LIST[INVESTOR NAME],MATCH(I2177,INVESTOR_LIST[INVESTOR CODE],0),)," ")</f>
        <v xml:space="preserve"> </v>
      </c>
      <c r="I2177" s="245"/>
      <c r="J2177" s="246" t="s">
        <v>51</v>
      </c>
      <c r="K2177" s="247"/>
      <c r="L2177" s="247">
        <v>4197.6848962559834</v>
      </c>
    </row>
    <row r="2178" spans="1:12" ht="11.25" customHeight="1" x14ac:dyDescent="0.2">
      <c r="A2178" s="221">
        <v>2022</v>
      </c>
      <c r="B2178" s="221">
        <v>12</v>
      </c>
      <c r="C2178" s="221">
        <v>18</v>
      </c>
      <c r="D2178" s="231">
        <f t="shared" si="242"/>
        <v>44913</v>
      </c>
      <c r="E2178" s="233">
        <f t="shared" si="246"/>
        <v>44913</v>
      </c>
      <c r="F2178" s="478" t="s">
        <v>1115</v>
      </c>
      <c r="G2178" s="222" t="s">
        <v>1111</v>
      </c>
      <c r="H2178" s="223" t="str" cm="1">
        <f t="array" ref="H2178">IFERROR(INDEX(INVESTOR_LIST[INVESTOR NAME],MATCH(I2178,INVESTOR_LIST[INVESTOR CODE],0),)," ")</f>
        <v>SAJED MADBAR</v>
      </c>
      <c r="I2178" s="223" t="s">
        <v>820</v>
      </c>
      <c r="J2178" s="224" t="s">
        <v>14</v>
      </c>
      <c r="K2178" s="225">
        <v>5000000</v>
      </c>
      <c r="L2178" s="225"/>
    </row>
    <row r="2179" spans="1:12" ht="11.25" customHeight="1" x14ac:dyDescent="0.2">
      <c r="A2179" s="164">
        <v>2022</v>
      </c>
      <c r="B2179" s="164">
        <v>12</v>
      </c>
      <c r="C2179" s="164">
        <v>18</v>
      </c>
      <c r="D2179" s="156">
        <f t="shared" si="242"/>
        <v>44913</v>
      </c>
      <c r="E2179" s="235">
        <f t="shared" si="246"/>
        <v>44913</v>
      </c>
      <c r="F2179" s="480"/>
      <c r="G2179" s="208" t="s">
        <v>1111</v>
      </c>
      <c r="H2179" s="206" t="str" cm="1">
        <f t="array" ref="H2179">IFERROR(INDEX(INVESTOR_LIST[INVESTOR NAME],MATCH(I2179,INVESTOR_LIST[INVESTOR CODE],0),)," ")</f>
        <v>SAJED MADBAR</v>
      </c>
      <c r="I2179" s="206" t="s">
        <v>820</v>
      </c>
      <c r="J2179" s="165" t="s">
        <v>1112</v>
      </c>
      <c r="K2179" s="156"/>
      <c r="L2179" s="167">
        <v>10000</v>
      </c>
    </row>
    <row r="2180" spans="1:12" ht="11.25" customHeight="1" x14ac:dyDescent="0.2">
      <c r="A2180" s="226">
        <v>2022</v>
      </c>
      <c r="B2180" s="226">
        <v>12</v>
      </c>
      <c r="C2180" s="226">
        <v>18</v>
      </c>
      <c r="D2180" s="232">
        <f t="shared" si="242"/>
        <v>44913</v>
      </c>
      <c r="E2180" s="234">
        <f t="shared" si="246"/>
        <v>44913</v>
      </c>
      <c r="F2180" s="479"/>
      <c r="G2180" s="227" t="s">
        <v>1111</v>
      </c>
      <c r="H2180" s="228" t="str" cm="1">
        <f t="array" ref="H2180">IFERROR(INDEX(INVESTOR_LIST[INVESTOR NAME],MATCH(I2180,INVESTOR_LIST[INVESTOR CODE],0),)," ")</f>
        <v>SAJED MADBAR</v>
      </c>
      <c r="I2180" s="228" t="s">
        <v>820</v>
      </c>
      <c r="J2180" s="229" t="s">
        <v>55</v>
      </c>
      <c r="K2180" s="230"/>
      <c r="L2180" s="230">
        <v>4990000</v>
      </c>
    </row>
    <row r="2181" spans="1:12" ht="11.25" customHeight="1" x14ac:dyDescent="0.2">
      <c r="A2181" s="221">
        <v>2022</v>
      </c>
      <c r="B2181" s="221">
        <v>12</v>
      </c>
      <c r="C2181" s="221">
        <v>18</v>
      </c>
      <c r="D2181" s="231">
        <f t="shared" si="242"/>
        <v>44913</v>
      </c>
      <c r="E2181" s="233">
        <f t="shared" ref="E2181:E2182" si="248">DATE(A2181,B2181,C2181)</f>
        <v>44913</v>
      </c>
      <c r="F2181" s="478" t="s">
        <v>1370</v>
      </c>
      <c r="G2181" s="222" t="s">
        <v>1111</v>
      </c>
      <c r="H2181" s="223" t="str" cm="1">
        <f t="array" ref="H2181">IFERROR(INDEX(INVESTOR_LIST[INVESTOR NAME],MATCH(I2181,INVESTOR_LIST[INVESTOR CODE],0),)," ")</f>
        <v xml:space="preserve"> </v>
      </c>
      <c r="I2181" s="223"/>
      <c r="J2181" s="224" t="s">
        <v>63</v>
      </c>
      <c r="K2181" s="225">
        <v>100</v>
      </c>
      <c r="L2181" s="225"/>
    </row>
    <row r="2182" spans="1:12" ht="11.25" customHeight="1" x14ac:dyDescent="0.2">
      <c r="A2182" s="226">
        <v>2022</v>
      </c>
      <c r="B2182" s="226">
        <v>12</v>
      </c>
      <c r="C2182" s="226">
        <v>18</v>
      </c>
      <c r="D2182" s="232">
        <f t="shared" si="242"/>
        <v>44913</v>
      </c>
      <c r="E2182" s="234">
        <f t="shared" si="248"/>
        <v>44913</v>
      </c>
      <c r="F2182" s="479"/>
      <c r="G2182" s="227" t="s">
        <v>1111</v>
      </c>
      <c r="H2182" s="228" t="str" cm="1">
        <f t="array" ref="H2182">IFERROR(INDEX(INVESTOR_LIST[INVESTOR NAME],MATCH(I2182,INVESTOR_LIST[INVESTOR CODE],0),)," ")</f>
        <v xml:space="preserve"> </v>
      </c>
      <c r="I2182" s="228"/>
      <c r="J2182" s="229" t="s">
        <v>55</v>
      </c>
      <c r="K2182" s="230"/>
      <c r="L2182" s="230">
        <v>100</v>
      </c>
    </row>
    <row r="2183" spans="1:12" ht="11.25" customHeight="1" x14ac:dyDescent="0.2">
      <c r="A2183" s="221">
        <v>2022</v>
      </c>
      <c r="B2183" s="221">
        <v>12</v>
      </c>
      <c r="C2183" s="221">
        <v>18</v>
      </c>
      <c r="D2183" s="231">
        <f t="shared" si="242"/>
        <v>44913</v>
      </c>
      <c r="E2183" s="233">
        <f>DATE(A2183,B2183,C2183)</f>
        <v>44913</v>
      </c>
      <c r="F2183" s="478" t="s">
        <v>1371</v>
      </c>
      <c r="G2183" s="222" t="s">
        <v>1111</v>
      </c>
      <c r="H2183" s="223" t="str" cm="1">
        <f t="array" ref="H2183">IFERROR(INDEX(INVESTOR_LIST[INVESTOR NAME],MATCH(I2183,INVESTOR_LIST[INVESTOR CODE],0),)," ")</f>
        <v xml:space="preserve"> </v>
      </c>
      <c r="I2183" s="223"/>
      <c r="J2183" s="224" t="s">
        <v>189</v>
      </c>
      <c r="K2183" s="225">
        <v>1575</v>
      </c>
      <c r="L2183" s="225"/>
    </row>
    <row r="2184" spans="1:12" ht="11.25" customHeight="1" x14ac:dyDescent="0.2">
      <c r="A2184" s="226">
        <v>2022</v>
      </c>
      <c r="B2184" s="226">
        <v>12</v>
      </c>
      <c r="C2184" s="226">
        <v>18</v>
      </c>
      <c r="D2184" s="232">
        <f t="shared" si="242"/>
        <v>44913</v>
      </c>
      <c r="E2184" s="234">
        <f>DATE(A2184,B2184,C2184)</f>
        <v>44913</v>
      </c>
      <c r="F2184" s="479"/>
      <c r="G2184" s="227" t="s">
        <v>1111</v>
      </c>
      <c r="H2184" s="228" t="str" cm="1">
        <f t="array" ref="H2184">IFERROR(INDEX(INVESTOR_LIST[INVESTOR NAME],MATCH(I2184,INVESTOR_LIST[INVESTOR CODE],0),)," ")</f>
        <v xml:space="preserve"> </v>
      </c>
      <c r="I2184" s="228"/>
      <c r="J2184" s="229" t="s">
        <v>55</v>
      </c>
      <c r="K2184" s="230"/>
      <c r="L2184" s="230">
        <v>1575</v>
      </c>
    </row>
    <row r="2185" spans="1:12" ht="11.25" customHeight="1" x14ac:dyDescent="0.2">
      <c r="A2185" s="221">
        <v>2022</v>
      </c>
      <c r="B2185" s="221">
        <v>12</v>
      </c>
      <c r="C2185" s="221">
        <v>18</v>
      </c>
      <c r="D2185" s="231">
        <f t="shared" ref="D2185:D2248" si="249">DATE(A2185,B2185,C2185)</f>
        <v>44913</v>
      </c>
      <c r="E2185" s="233">
        <f t="shared" ref="E2185:E2191" si="250">DATE(A2185,B2185,C2185)</f>
        <v>44913</v>
      </c>
      <c r="F2185" s="478" t="s">
        <v>1308</v>
      </c>
      <c r="G2185" s="222" t="s">
        <v>86</v>
      </c>
      <c r="H2185" s="222" t="str" cm="1">
        <f t="array" ref="H2185">IFERROR(INDEX(INVESTOR_LIST[INVESTOR NAME],MATCH(I2185,INVESTOR_LIST[INVESTOR CODE],0),)," ")</f>
        <v xml:space="preserve"> </v>
      </c>
      <c r="I2185" s="223"/>
      <c r="J2185" s="224" t="s">
        <v>80</v>
      </c>
      <c r="K2185" s="225">
        <v>503790</v>
      </c>
      <c r="L2185" s="225"/>
    </row>
    <row r="2186" spans="1:12" ht="11.25" customHeight="1" x14ac:dyDescent="0.2">
      <c r="A2186" s="164">
        <v>2022</v>
      </c>
      <c r="B2186" s="164">
        <v>12</v>
      </c>
      <c r="C2186" s="164">
        <v>18</v>
      </c>
      <c r="D2186" s="164">
        <f t="shared" si="249"/>
        <v>44913</v>
      </c>
      <c r="E2186" s="235">
        <f t="shared" si="250"/>
        <v>44913</v>
      </c>
      <c r="F2186" s="480"/>
      <c r="G2186" s="208" t="s">
        <v>86</v>
      </c>
      <c r="H2186" s="208"/>
      <c r="J2186" s="165" t="s">
        <v>960</v>
      </c>
      <c r="K2186" s="205">
        <v>906.81</v>
      </c>
      <c r="L2186" s="205"/>
    </row>
    <row r="2187" spans="1:12" ht="11.25" customHeight="1" x14ac:dyDescent="0.2">
      <c r="A2187" s="226">
        <v>2022</v>
      </c>
      <c r="B2187" s="226">
        <v>12</v>
      </c>
      <c r="C2187" s="226">
        <v>18</v>
      </c>
      <c r="D2187" s="226">
        <f t="shared" si="249"/>
        <v>44913</v>
      </c>
      <c r="E2187" s="234">
        <f t="shared" si="250"/>
        <v>44913</v>
      </c>
      <c r="F2187" s="479"/>
      <c r="G2187" s="227" t="s">
        <v>86</v>
      </c>
      <c r="H2187" s="227"/>
      <c r="I2187" s="228"/>
      <c r="J2187" s="229" t="s">
        <v>961</v>
      </c>
      <c r="K2187" s="294"/>
      <c r="L2187" s="230">
        <v>504696.81</v>
      </c>
    </row>
    <row r="2188" spans="1:12" ht="11.25" customHeight="1" x14ac:dyDescent="0.2">
      <c r="A2188" s="221">
        <v>2022</v>
      </c>
      <c r="B2188" s="221">
        <v>12</v>
      </c>
      <c r="C2188" s="221">
        <v>18</v>
      </c>
      <c r="D2188" s="231">
        <f t="shared" si="249"/>
        <v>44913</v>
      </c>
      <c r="E2188" s="233">
        <f t="shared" si="250"/>
        <v>44913</v>
      </c>
      <c r="F2188" s="478" t="s">
        <v>1307</v>
      </c>
      <c r="G2188" s="222" t="s">
        <v>1111</v>
      </c>
      <c r="H2188" s="223" t="str" cm="1">
        <f t="array" ref="H2188">IFERROR(INDEX(INVESTOR_LIST[INVESTOR NAME],MATCH(I2188,INVESTOR_LIST[INVESTOR CODE],0),)," ")</f>
        <v xml:space="preserve"> </v>
      </c>
      <c r="I2188" s="223"/>
      <c r="J2188" s="224" t="s">
        <v>961</v>
      </c>
      <c r="K2188" s="225">
        <v>504696.81</v>
      </c>
      <c r="L2188" s="225"/>
    </row>
    <row r="2189" spans="1:12" ht="11.25" customHeight="1" x14ac:dyDescent="0.2">
      <c r="A2189" s="226">
        <v>2022</v>
      </c>
      <c r="B2189" s="226">
        <v>12</v>
      </c>
      <c r="C2189" s="226">
        <v>18</v>
      </c>
      <c r="D2189" s="232">
        <f t="shared" si="249"/>
        <v>44913</v>
      </c>
      <c r="E2189" s="234">
        <f t="shared" si="250"/>
        <v>44913</v>
      </c>
      <c r="F2189" s="479"/>
      <c r="G2189" s="227" t="s">
        <v>1111</v>
      </c>
      <c r="H2189" s="228" t="str" cm="1">
        <f t="array" ref="H2189">IFERROR(INDEX(INVESTOR_LIST[INVESTOR NAME],MATCH(I2189,INVESTOR_LIST[INVESTOR CODE],0),)," ")</f>
        <v xml:space="preserve"> </v>
      </c>
      <c r="I2189" s="228"/>
      <c r="J2189" s="229" t="s">
        <v>55</v>
      </c>
      <c r="K2189" s="230"/>
      <c r="L2189" s="230">
        <v>504696.81</v>
      </c>
    </row>
    <row r="2190" spans="1:12" ht="11.25" customHeight="1" x14ac:dyDescent="0.2">
      <c r="A2190" s="231">
        <v>2022</v>
      </c>
      <c r="B2190" s="231">
        <v>12</v>
      </c>
      <c r="C2190" s="231">
        <v>20</v>
      </c>
      <c r="D2190" s="221">
        <f t="shared" si="249"/>
        <v>44915</v>
      </c>
      <c r="E2190" s="233">
        <f t="shared" si="250"/>
        <v>44915</v>
      </c>
      <c r="F2190" s="478" t="s">
        <v>1372</v>
      </c>
      <c r="G2190" s="222" t="s">
        <v>1111</v>
      </c>
      <c r="H2190" s="222" t="str" cm="1">
        <f t="array" ref="H2190">IFERROR(INDEX(INVESTOR_LIST[INVESTOR NAME],MATCH(I2190,INVESTOR_LIST[INVESTOR CODE],0),)," ")</f>
        <v xml:space="preserve"> </v>
      </c>
      <c r="I2190" s="223"/>
      <c r="J2190" s="224" t="s">
        <v>50</v>
      </c>
      <c r="K2190" s="225">
        <v>1348767.29</v>
      </c>
      <c r="L2190" s="225"/>
    </row>
    <row r="2191" spans="1:12" ht="11.25" customHeight="1" x14ac:dyDescent="0.2">
      <c r="A2191" s="232">
        <v>2022</v>
      </c>
      <c r="B2191" s="232">
        <v>12</v>
      </c>
      <c r="C2191" s="232">
        <v>20</v>
      </c>
      <c r="D2191" s="226">
        <f t="shared" si="249"/>
        <v>44915</v>
      </c>
      <c r="E2191" s="234">
        <f t="shared" si="250"/>
        <v>44915</v>
      </c>
      <c r="F2191" s="479"/>
      <c r="G2191" s="227" t="s">
        <v>1111</v>
      </c>
      <c r="H2191" s="227" t="str" cm="1">
        <f t="array" ref="H2191">IFERROR(INDEX(INVESTOR_LIST[INVESTOR NAME],MATCH(I2191,INVESTOR_LIST[INVESTOR CODE],0),)," ")</f>
        <v xml:space="preserve"> </v>
      </c>
      <c r="I2191" s="228"/>
      <c r="J2191" s="229" t="s">
        <v>55</v>
      </c>
      <c r="K2191" s="230"/>
      <c r="L2191" s="230">
        <v>1348767.29</v>
      </c>
    </row>
    <row r="2192" spans="1:12" ht="11.25" customHeight="1" x14ac:dyDescent="0.2">
      <c r="A2192" s="221">
        <v>2022</v>
      </c>
      <c r="B2192" s="221">
        <v>12</v>
      </c>
      <c r="C2192" s="221">
        <v>20</v>
      </c>
      <c r="D2192" s="231">
        <f t="shared" si="249"/>
        <v>44915</v>
      </c>
      <c r="E2192" s="233">
        <f t="shared" ref="E2192:E2196" si="251">DATE(A2192,B2192,C2192)</f>
        <v>44915</v>
      </c>
      <c r="F2192" s="478" t="s">
        <v>1308</v>
      </c>
      <c r="G2192" s="222" t="s">
        <v>86</v>
      </c>
      <c r="H2192" s="222" t="str" cm="1">
        <f t="array" ref="H2192">IFERROR(INDEX(INVESTOR_LIST[INVESTOR NAME],MATCH(I2192,INVESTOR_LIST[INVESTOR CODE],0),)," ")</f>
        <v xml:space="preserve"> </v>
      </c>
      <c r="I2192" s="223"/>
      <c r="J2192" s="224" t="s">
        <v>80</v>
      </c>
      <c r="K2192" s="225">
        <v>1007580</v>
      </c>
      <c r="L2192" s="225"/>
    </row>
    <row r="2193" spans="1:14" ht="11.25" customHeight="1" x14ac:dyDescent="0.2">
      <c r="A2193" s="164">
        <v>2022</v>
      </c>
      <c r="B2193" s="164">
        <v>12</v>
      </c>
      <c r="C2193" s="164">
        <v>20</v>
      </c>
      <c r="D2193" s="164">
        <f t="shared" si="249"/>
        <v>44915</v>
      </c>
      <c r="E2193" s="235">
        <f t="shared" si="251"/>
        <v>44915</v>
      </c>
      <c r="F2193" s="480"/>
      <c r="G2193" s="208" t="s">
        <v>86</v>
      </c>
      <c r="H2193" s="208"/>
      <c r="J2193" s="165" t="s">
        <v>960</v>
      </c>
      <c r="K2193" s="205">
        <v>1813.64</v>
      </c>
      <c r="L2193" s="205"/>
    </row>
    <row r="2194" spans="1:14" ht="11.25" customHeight="1" x14ac:dyDescent="0.2">
      <c r="A2194" s="226">
        <v>2022</v>
      </c>
      <c r="B2194" s="226">
        <v>12</v>
      </c>
      <c r="C2194" s="226">
        <v>20</v>
      </c>
      <c r="D2194" s="226">
        <f t="shared" si="249"/>
        <v>44915</v>
      </c>
      <c r="E2194" s="234">
        <f t="shared" si="251"/>
        <v>44915</v>
      </c>
      <c r="F2194" s="479"/>
      <c r="G2194" s="227" t="s">
        <v>86</v>
      </c>
      <c r="H2194" s="227"/>
      <c r="I2194" s="228"/>
      <c r="J2194" s="229" t="s">
        <v>961</v>
      </c>
      <c r="K2194" s="294"/>
      <c r="L2194" s="230">
        <v>1009393.64</v>
      </c>
    </row>
    <row r="2195" spans="1:14" ht="11.25" customHeight="1" x14ac:dyDescent="0.2">
      <c r="A2195" s="221">
        <v>2022</v>
      </c>
      <c r="B2195" s="221">
        <v>12</v>
      </c>
      <c r="C2195" s="221">
        <v>20</v>
      </c>
      <c r="D2195" s="231">
        <f t="shared" si="249"/>
        <v>44915</v>
      </c>
      <c r="E2195" s="233">
        <f t="shared" si="251"/>
        <v>44915</v>
      </c>
      <c r="F2195" s="478" t="s">
        <v>1307</v>
      </c>
      <c r="G2195" s="222" t="s">
        <v>1111</v>
      </c>
      <c r="H2195" s="223" t="str" cm="1">
        <f t="array" ref="H2195">IFERROR(INDEX(INVESTOR_LIST[INVESTOR NAME],MATCH(I2195,INVESTOR_LIST[INVESTOR CODE],0),)," ")</f>
        <v xml:space="preserve"> </v>
      </c>
      <c r="I2195" s="223"/>
      <c r="J2195" s="224" t="s">
        <v>961</v>
      </c>
      <c r="K2195" s="225">
        <v>1009393.64</v>
      </c>
      <c r="L2195" s="225"/>
    </row>
    <row r="2196" spans="1:14" ht="11.25" customHeight="1" x14ac:dyDescent="0.2">
      <c r="A2196" s="226">
        <v>2022</v>
      </c>
      <c r="B2196" s="226">
        <v>12</v>
      </c>
      <c r="C2196" s="226">
        <v>20</v>
      </c>
      <c r="D2196" s="232">
        <f t="shared" si="249"/>
        <v>44915</v>
      </c>
      <c r="E2196" s="234">
        <f t="shared" si="251"/>
        <v>44915</v>
      </c>
      <c r="F2196" s="479"/>
      <c r="G2196" s="227" t="s">
        <v>1111</v>
      </c>
      <c r="H2196" s="228" t="str" cm="1">
        <f t="array" ref="H2196">IFERROR(INDEX(INVESTOR_LIST[INVESTOR NAME],MATCH(I2196,INVESTOR_LIST[INVESTOR CODE],0),)," ")</f>
        <v xml:space="preserve"> </v>
      </c>
      <c r="I2196" s="228"/>
      <c r="J2196" s="229" t="s">
        <v>55</v>
      </c>
      <c r="K2196" s="230"/>
      <c r="L2196" s="230">
        <v>1009393.64</v>
      </c>
    </row>
    <row r="2197" spans="1:14" ht="11.25" customHeight="1" x14ac:dyDescent="0.2">
      <c r="A2197" s="221">
        <v>2022</v>
      </c>
      <c r="B2197" s="221">
        <v>12</v>
      </c>
      <c r="C2197" s="221">
        <v>21</v>
      </c>
      <c r="D2197" s="231">
        <f t="shared" si="249"/>
        <v>44916</v>
      </c>
      <c r="E2197" s="233">
        <f t="shared" ref="E2197:E2199" si="252">DATE(A2197,B2197,C2197)</f>
        <v>44916</v>
      </c>
      <c r="F2197" s="478" t="s">
        <v>1308</v>
      </c>
      <c r="G2197" s="222" t="s">
        <v>86</v>
      </c>
      <c r="H2197" s="222" t="str" cm="1">
        <f t="array" ref="H2197">IFERROR(INDEX(INVESTOR_LIST[INVESTOR NAME],MATCH(I2197,INVESTOR_LIST[INVESTOR CODE],0),)," ")</f>
        <v xml:space="preserve"> </v>
      </c>
      <c r="I2197" s="223"/>
      <c r="J2197" s="224" t="s">
        <v>80</v>
      </c>
      <c r="K2197" s="225">
        <v>1413700</v>
      </c>
      <c r="L2197" s="225"/>
    </row>
    <row r="2198" spans="1:14" ht="11.25" customHeight="1" x14ac:dyDescent="0.2">
      <c r="A2198" s="164">
        <v>2022</v>
      </c>
      <c r="B2198" s="164">
        <v>12</v>
      </c>
      <c r="C2198" s="164">
        <v>21</v>
      </c>
      <c r="D2198" s="164">
        <f t="shared" si="249"/>
        <v>44916</v>
      </c>
      <c r="E2198" s="235">
        <f t="shared" si="252"/>
        <v>44916</v>
      </c>
      <c r="F2198" s="480"/>
      <c r="G2198" s="208" t="s">
        <v>86</v>
      </c>
      <c r="H2198" s="208"/>
      <c r="J2198" s="165" t="s">
        <v>960</v>
      </c>
      <c r="K2198" s="205">
        <v>2544.66</v>
      </c>
      <c r="L2198" s="205"/>
    </row>
    <row r="2199" spans="1:14" ht="11.25" customHeight="1" x14ac:dyDescent="0.2">
      <c r="A2199" s="226">
        <v>2022</v>
      </c>
      <c r="B2199" s="226">
        <v>12</v>
      </c>
      <c r="C2199" s="226">
        <v>21</v>
      </c>
      <c r="D2199" s="226">
        <f t="shared" si="249"/>
        <v>44916</v>
      </c>
      <c r="E2199" s="234">
        <f t="shared" si="252"/>
        <v>44916</v>
      </c>
      <c r="F2199" s="479"/>
      <c r="G2199" s="227" t="s">
        <v>86</v>
      </c>
      <c r="H2199" s="227"/>
      <c r="I2199" s="228"/>
      <c r="J2199" s="229" t="s">
        <v>961</v>
      </c>
      <c r="K2199" s="294"/>
      <c r="L2199" s="230">
        <v>1416244.66</v>
      </c>
    </row>
    <row r="2200" spans="1:14" ht="11.25" customHeight="1" x14ac:dyDescent="0.2">
      <c r="A2200" s="221">
        <v>2022</v>
      </c>
      <c r="B2200" s="221">
        <v>12</v>
      </c>
      <c r="C2200" s="221">
        <v>21</v>
      </c>
      <c r="D2200" s="231">
        <f t="shared" si="249"/>
        <v>44916</v>
      </c>
      <c r="E2200" s="233">
        <f t="shared" ref="E2200:E2231" si="253">DATE(A2200,B2200,C2200)</f>
        <v>44916</v>
      </c>
      <c r="F2200" s="478" t="s">
        <v>1374</v>
      </c>
      <c r="G2200" s="222" t="s">
        <v>86</v>
      </c>
      <c r="H2200" s="222" t="str" cm="1">
        <f t="array" ref="H2200">IFERROR(INDEX(INVESTOR_LIST[INVESTOR NAME],MATCH(I2200,INVESTOR_LIST[INVESTOR CODE],0),)," ")</f>
        <v xml:space="preserve"> </v>
      </c>
      <c r="I2200" s="223"/>
      <c r="J2200" s="224" t="s">
        <v>1465</v>
      </c>
      <c r="K2200" s="225">
        <v>491388</v>
      </c>
      <c r="L2200" s="225"/>
    </row>
    <row r="2201" spans="1:14" ht="11.25" customHeight="1" x14ac:dyDescent="0.2">
      <c r="A2201" s="226">
        <v>2022</v>
      </c>
      <c r="B2201" s="226">
        <v>12</v>
      </c>
      <c r="C2201" s="226">
        <v>21</v>
      </c>
      <c r="D2201" s="226">
        <f t="shared" si="249"/>
        <v>44916</v>
      </c>
      <c r="E2201" s="234">
        <f t="shared" si="253"/>
        <v>44916</v>
      </c>
      <c r="F2201" s="479"/>
      <c r="G2201" s="227" t="s">
        <v>86</v>
      </c>
      <c r="H2201" s="227"/>
      <c r="I2201" s="228"/>
      <c r="J2201" s="229" t="s">
        <v>55</v>
      </c>
      <c r="K2201" s="294"/>
      <c r="L2201" s="230">
        <v>491388</v>
      </c>
    </row>
    <row r="2202" spans="1:14" ht="11.25" customHeight="1" x14ac:dyDescent="0.2">
      <c r="A2202" s="311">
        <v>2022</v>
      </c>
      <c r="B2202" s="311">
        <v>12</v>
      </c>
      <c r="C2202" s="311">
        <v>22</v>
      </c>
      <c r="D2202" s="312">
        <f t="shared" si="249"/>
        <v>44917</v>
      </c>
      <c r="E2202" s="313">
        <f t="shared" ref="E2202:E2203" si="254">DATE(A2202,B2202,C2202)</f>
        <v>44917</v>
      </c>
      <c r="F2202" s="482" t="s">
        <v>1459</v>
      </c>
      <c r="G2202" s="315" t="s">
        <v>86</v>
      </c>
      <c r="H2202" s="314" t="str" cm="1">
        <f t="array" ref="H2202">IFERROR(INDEX(INVESTOR_LIST[INVESTOR NAME],MATCH(I2202,INVESTOR_LIST[INVESTOR CODE],0),)," ")</f>
        <v xml:space="preserve"> </v>
      </c>
      <c r="I2202" s="316"/>
      <c r="J2202" s="317" t="s">
        <v>1466</v>
      </c>
      <c r="K2202" s="318">
        <v>662.46</v>
      </c>
      <c r="L2202" s="319"/>
    </row>
    <row r="2203" spans="1:14" ht="11.25" customHeight="1" x14ac:dyDescent="0.2">
      <c r="A2203" s="311">
        <v>2022</v>
      </c>
      <c r="B2203" s="311">
        <v>12</v>
      </c>
      <c r="C2203" s="311">
        <v>22</v>
      </c>
      <c r="D2203" s="320">
        <f t="shared" si="249"/>
        <v>44917</v>
      </c>
      <c r="E2203" s="321">
        <f t="shared" si="254"/>
        <v>44917</v>
      </c>
      <c r="F2203" s="483"/>
      <c r="G2203" s="315" t="s">
        <v>86</v>
      </c>
      <c r="H2203" s="322"/>
      <c r="I2203" s="316"/>
      <c r="J2203" s="317" t="s">
        <v>1468</v>
      </c>
      <c r="K2203" s="318"/>
      <c r="L2203" s="319">
        <v>662.46</v>
      </c>
    </row>
    <row r="2204" spans="1:14" ht="11.25" customHeight="1" x14ac:dyDescent="0.2">
      <c r="A2204" s="280">
        <v>2022</v>
      </c>
      <c r="B2204" s="280">
        <v>12</v>
      </c>
      <c r="C2204" s="280">
        <v>22</v>
      </c>
      <c r="D2204" s="281">
        <f t="shared" si="249"/>
        <v>44917</v>
      </c>
      <c r="E2204" s="282">
        <f t="shared" si="253"/>
        <v>44917</v>
      </c>
      <c r="F2204" s="472" t="s">
        <v>1369</v>
      </c>
      <c r="G2204" s="283" t="s">
        <v>86</v>
      </c>
      <c r="H2204" s="284" t="str" cm="1">
        <f t="array" ref="H2204">IFERROR(INDEX(INVESTOR_LIST[INVESTOR NAME],MATCH(I2204,INVESTOR_LIST[INVESTOR CODE],0),)," ")</f>
        <v xml:space="preserve"> </v>
      </c>
      <c r="I2204" s="284"/>
      <c r="J2204" s="285" t="s">
        <v>131</v>
      </c>
      <c r="K2204" s="286">
        <v>74270.429999999993</v>
      </c>
      <c r="L2204" s="286"/>
      <c r="M2204" s="263"/>
      <c r="N2204" s="166"/>
    </row>
    <row r="2205" spans="1:14" ht="11.25" customHeight="1" x14ac:dyDescent="0.2">
      <c r="A2205" s="287">
        <v>2022</v>
      </c>
      <c r="B2205" s="287">
        <v>12</v>
      </c>
      <c r="C2205" s="287">
        <v>22</v>
      </c>
      <c r="D2205" s="288">
        <f t="shared" si="249"/>
        <v>44917</v>
      </c>
      <c r="E2205" s="289">
        <f t="shared" si="253"/>
        <v>44917</v>
      </c>
      <c r="F2205" s="473"/>
      <c r="G2205" s="290" t="s">
        <v>86</v>
      </c>
      <c r="H2205" s="291" t="str" cm="1">
        <f t="array" ref="H2205">IFERROR(INDEX(INVESTOR_LIST[INVESTOR NAME],MATCH(I2205,INVESTOR_LIST[INVESTOR CODE],0),)," ")</f>
        <v xml:space="preserve"> </v>
      </c>
      <c r="I2205" s="291"/>
      <c r="J2205" s="292" t="s">
        <v>174</v>
      </c>
      <c r="K2205" s="293"/>
      <c r="L2205" s="293">
        <v>74270.429999999993</v>
      </c>
    </row>
    <row r="2206" spans="1:14" ht="11.25" customHeight="1" x14ac:dyDescent="0.2">
      <c r="A2206" s="280">
        <v>2022</v>
      </c>
      <c r="B2206" s="280">
        <v>12</v>
      </c>
      <c r="C2206" s="280">
        <v>22</v>
      </c>
      <c r="D2206" s="281">
        <f t="shared" si="249"/>
        <v>44917</v>
      </c>
      <c r="E2206" s="282">
        <f t="shared" si="253"/>
        <v>44917</v>
      </c>
      <c r="F2206" s="472" t="s">
        <v>1295</v>
      </c>
      <c r="G2206" s="283" t="s">
        <v>86</v>
      </c>
      <c r="H2206" s="284" t="str" cm="1">
        <f t="array" ref="H2206">IFERROR(INDEX(INVESTOR_LIST[INVESTOR NAME],MATCH(I2206,INVESTOR_LIST[INVESTOR CODE],0),)," ")</f>
        <v xml:space="preserve"> </v>
      </c>
      <c r="I2206" s="284"/>
      <c r="J2206" s="285" t="s">
        <v>131</v>
      </c>
      <c r="K2206" s="286">
        <v>15865.38</v>
      </c>
      <c r="L2206" s="286"/>
    </row>
    <row r="2207" spans="1:14" ht="11.25" customHeight="1" x14ac:dyDescent="0.2">
      <c r="A2207" s="287">
        <v>2022</v>
      </c>
      <c r="B2207" s="287">
        <v>12</v>
      </c>
      <c r="C2207" s="287">
        <v>22</v>
      </c>
      <c r="D2207" s="288">
        <f t="shared" si="249"/>
        <v>44917</v>
      </c>
      <c r="E2207" s="289">
        <f t="shared" si="253"/>
        <v>44917</v>
      </c>
      <c r="F2207" s="473"/>
      <c r="G2207" s="290" t="s">
        <v>86</v>
      </c>
      <c r="H2207" s="291" t="str" cm="1">
        <f t="array" ref="H2207">IFERROR(INDEX(INVESTOR_LIST[INVESTOR NAME],MATCH(I2207,INVESTOR_LIST[INVESTOR CODE],0),)," ")</f>
        <v xml:space="preserve"> </v>
      </c>
      <c r="I2207" s="291"/>
      <c r="J2207" s="292" t="s">
        <v>174</v>
      </c>
      <c r="K2207" s="293"/>
      <c r="L2207" s="293">
        <v>15865.38</v>
      </c>
    </row>
    <row r="2208" spans="1:14" ht="11.25" customHeight="1" x14ac:dyDescent="0.2">
      <c r="A2208" s="280">
        <v>2022</v>
      </c>
      <c r="B2208" s="280">
        <v>12</v>
      </c>
      <c r="C2208" s="280">
        <v>22</v>
      </c>
      <c r="D2208" s="281">
        <f t="shared" si="249"/>
        <v>44917</v>
      </c>
      <c r="E2208" s="282">
        <f t="shared" si="253"/>
        <v>44917</v>
      </c>
      <c r="F2208" s="472" t="s">
        <v>1294</v>
      </c>
      <c r="G2208" s="283" t="s">
        <v>86</v>
      </c>
      <c r="H2208" s="284" t="str" cm="1">
        <f t="array" ref="H2208">IFERROR(INDEX(INVESTOR_LIST[INVESTOR NAME],MATCH(I2208,INVESTOR_LIST[INVESTOR CODE],0),)," ")</f>
        <v xml:space="preserve"> </v>
      </c>
      <c r="I2208" s="284"/>
      <c r="J2208" s="285" t="s">
        <v>131</v>
      </c>
      <c r="K2208" s="286">
        <v>9423.08</v>
      </c>
      <c r="L2208" s="286"/>
    </row>
    <row r="2209" spans="1:15" ht="11.25" customHeight="1" x14ac:dyDescent="0.2">
      <c r="A2209" s="287">
        <v>2022</v>
      </c>
      <c r="B2209" s="287">
        <v>12</v>
      </c>
      <c r="C2209" s="287">
        <v>22</v>
      </c>
      <c r="D2209" s="288">
        <f t="shared" si="249"/>
        <v>44917</v>
      </c>
      <c r="E2209" s="289">
        <f t="shared" si="253"/>
        <v>44917</v>
      </c>
      <c r="F2209" s="473"/>
      <c r="G2209" s="290" t="s">
        <v>86</v>
      </c>
      <c r="H2209" s="291" t="str" cm="1">
        <f t="array" ref="H2209">IFERROR(INDEX(INVESTOR_LIST[INVESTOR NAME],MATCH(I2209,INVESTOR_LIST[INVESTOR CODE],0),)," ")</f>
        <v xml:space="preserve"> </v>
      </c>
      <c r="I2209" s="291"/>
      <c r="J2209" s="292" t="s">
        <v>174</v>
      </c>
      <c r="K2209" s="293"/>
      <c r="L2209" s="293">
        <v>9423.08</v>
      </c>
    </row>
    <row r="2210" spans="1:15" ht="11.25" customHeight="1" x14ac:dyDescent="0.2">
      <c r="A2210" s="236">
        <v>2022</v>
      </c>
      <c r="B2210" s="236">
        <v>12</v>
      </c>
      <c r="C2210" s="236">
        <v>22</v>
      </c>
      <c r="D2210" s="237">
        <f t="shared" si="249"/>
        <v>44917</v>
      </c>
      <c r="E2210" s="238">
        <f t="shared" si="253"/>
        <v>44917</v>
      </c>
      <c r="F2210" s="476" t="s">
        <v>1118</v>
      </c>
      <c r="G2210" s="239" t="s">
        <v>86</v>
      </c>
      <c r="H2210" s="239" t="str" cm="1">
        <f t="array" ref="H2210">IFERROR(INDEX(INVESTOR_LIST[INVESTOR NAME],MATCH(I2210,INVESTOR_LIST[INVESTOR CODE],0),)," ")</f>
        <v xml:space="preserve"> </v>
      </c>
      <c r="I2210" s="240"/>
      <c r="J2210" s="241" t="s">
        <v>98</v>
      </c>
      <c r="K2210" s="242">
        <v>328103.40000000596</v>
      </c>
      <c r="L2210" s="242"/>
    </row>
    <row r="2211" spans="1:15" ht="11.25" customHeight="1" x14ac:dyDescent="0.2">
      <c r="A2211" s="243">
        <v>2022</v>
      </c>
      <c r="B2211" s="243">
        <v>12</v>
      </c>
      <c r="C2211" s="243">
        <v>22</v>
      </c>
      <c r="D2211" s="248">
        <f t="shared" si="249"/>
        <v>44917</v>
      </c>
      <c r="E2211" s="249">
        <f t="shared" si="253"/>
        <v>44917</v>
      </c>
      <c r="F2211" s="477"/>
      <c r="G2211" s="244" t="s">
        <v>86</v>
      </c>
      <c r="H2211" s="244" t="str" cm="1">
        <f t="array" ref="H2211">IFERROR(INDEX(INVESTOR_LIST[INVESTOR NAME],MATCH(I2211,INVESTOR_LIST[INVESTOR CODE],0),)," ")</f>
        <v xml:space="preserve"> </v>
      </c>
      <c r="I2211" s="245"/>
      <c r="J2211" s="246" t="s">
        <v>82</v>
      </c>
      <c r="K2211" s="247"/>
      <c r="L2211" s="247">
        <v>328103.40000000596</v>
      </c>
    </row>
    <row r="2212" spans="1:15" ht="11.25" customHeight="1" x14ac:dyDescent="0.2">
      <c r="A2212" s="236">
        <v>2022</v>
      </c>
      <c r="B2212" s="236">
        <v>12</v>
      </c>
      <c r="C2212" s="236">
        <v>22</v>
      </c>
      <c r="D2212" s="237">
        <f t="shared" si="249"/>
        <v>44917</v>
      </c>
      <c r="E2212" s="238">
        <f t="shared" si="253"/>
        <v>44917</v>
      </c>
      <c r="F2212" s="476" t="s">
        <v>1120</v>
      </c>
      <c r="G2212" s="239" t="s">
        <v>86</v>
      </c>
      <c r="H2212" s="239" t="str" cm="1">
        <f t="array" ref="H2212">IFERROR(INDEX(INVESTOR_LIST[INVESTOR NAME],MATCH(I2212,INVESTOR_LIST[INVESTOR CODE],0),)," ")</f>
        <v xml:space="preserve"> </v>
      </c>
      <c r="I2212" s="240"/>
      <c r="J2212" s="241" t="s">
        <v>87</v>
      </c>
      <c r="K2212" s="242">
        <v>2747.2527472527472</v>
      </c>
      <c r="L2212" s="242"/>
    </row>
    <row r="2213" spans="1:15" ht="11.25" customHeight="1" x14ac:dyDescent="0.2">
      <c r="A2213" s="243">
        <v>2022</v>
      </c>
      <c r="B2213" s="243">
        <v>12</v>
      </c>
      <c r="C2213" s="243">
        <v>22</v>
      </c>
      <c r="D2213" s="248">
        <f t="shared" si="249"/>
        <v>44917</v>
      </c>
      <c r="E2213" s="249">
        <f t="shared" si="253"/>
        <v>44917</v>
      </c>
      <c r="F2213" s="477"/>
      <c r="G2213" s="244" t="s">
        <v>86</v>
      </c>
      <c r="H2213" s="244" t="str" cm="1">
        <f t="array" ref="H2213">IFERROR(INDEX(INVESTOR_LIST[INVESTOR NAME],MATCH(I2213,INVESTOR_LIST[INVESTOR CODE],0),)," ")</f>
        <v xml:space="preserve"> </v>
      </c>
      <c r="I2213" s="245"/>
      <c r="J2213" s="246" t="s">
        <v>64</v>
      </c>
      <c r="K2213" s="247"/>
      <c r="L2213" s="247">
        <v>2747.2527472527472</v>
      </c>
    </row>
    <row r="2214" spans="1:15" ht="11.25" customHeight="1" x14ac:dyDescent="0.2">
      <c r="A2214" s="236">
        <v>2022</v>
      </c>
      <c r="B2214" s="236">
        <v>12</v>
      </c>
      <c r="C2214" s="236">
        <v>22</v>
      </c>
      <c r="D2214" s="237">
        <f t="shared" si="249"/>
        <v>44917</v>
      </c>
      <c r="E2214" s="238">
        <f t="shared" si="253"/>
        <v>44917</v>
      </c>
      <c r="F2214" s="476" t="s">
        <v>1121</v>
      </c>
      <c r="G2214" s="239" t="s">
        <v>86</v>
      </c>
      <c r="H2214" s="239" t="str" cm="1">
        <f t="array" ref="H2214">IFERROR(INDEX(INVESTOR_LIST[INVESTOR NAME],MATCH(I2214,INVESTOR_LIST[INVESTOR CODE],0),)," ")</f>
        <v xml:space="preserve"> </v>
      </c>
      <c r="I2214" s="240"/>
      <c r="J2214" s="241" t="s">
        <v>89</v>
      </c>
      <c r="K2214" s="242">
        <v>86971.228922090319</v>
      </c>
      <c r="L2214" s="242"/>
    </row>
    <row r="2215" spans="1:15" ht="11.25" customHeight="1" x14ac:dyDescent="0.2">
      <c r="A2215" s="243">
        <v>2022</v>
      </c>
      <c r="B2215" s="243">
        <v>12</v>
      </c>
      <c r="C2215" s="243">
        <v>22</v>
      </c>
      <c r="D2215" s="248">
        <f t="shared" si="249"/>
        <v>44917</v>
      </c>
      <c r="E2215" s="249">
        <f t="shared" si="253"/>
        <v>44917</v>
      </c>
      <c r="F2215" s="477"/>
      <c r="G2215" s="244" t="s">
        <v>86</v>
      </c>
      <c r="H2215" s="244" t="str" cm="1">
        <f t="array" ref="H2215">IFERROR(INDEX(INVESTOR_LIST[INVESTOR NAME],MATCH(I2215,INVESTOR_LIST[INVESTOR CODE],0),)," ")</f>
        <v xml:space="preserve"> </v>
      </c>
      <c r="I2215" s="245"/>
      <c r="J2215" s="246" t="s">
        <v>50</v>
      </c>
      <c r="K2215" s="247"/>
      <c r="L2215" s="247">
        <v>86971.228922090319</v>
      </c>
    </row>
    <row r="2216" spans="1:15" ht="11.25" customHeight="1" x14ac:dyDescent="0.2">
      <c r="A2216" s="236">
        <v>2022</v>
      </c>
      <c r="B2216" s="236">
        <v>12</v>
      </c>
      <c r="C2216" s="236">
        <v>22</v>
      </c>
      <c r="D2216" s="237">
        <f t="shared" si="249"/>
        <v>44917</v>
      </c>
      <c r="E2216" s="238">
        <f t="shared" si="253"/>
        <v>44917</v>
      </c>
      <c r="F2216" s="476" t="s">
        <v>1122</v>
      </c>
      <c r="G2216" s="239" t="s">
        <v>86</v>
      </c>
      <c r="H2216" s="239" t="str" cm="1">
        <f t="array" ref="H2216">IFERROR(INDEX(INVESTOR_LIST[INVESTOR NAME],MATCH(I2216,INVESTOR_LIST[INVESTOR CODE],0),)," ")</f>
        <v xml:space="preserve"> </v>
      </c>
      <c r="I2216" s="240"/>
      <c r="J2216" s="241" t="s">
        <v>91</v>
      </c>
      <c r="K2216" s="242">
        <v>4108.1768307199009</v>
      </c>
      <c r="L2216" s="242"/>
    </row>
    <row r="2217" spans="1:15" ht="11.25" customHeight="1" x14ac:dyDescent="0.2">
      <c r="A2217" s="243">
        <v>2022</v>
      </c>
      <c r="B2217" s="243">
        <v>12</v>
      </c>
      <c r="C2217" s="243">
        <v>22</v>
      </c>
      <c r="D2217" s="248">
        <f t="shared" si="249"/>
        <v>44917</v>
      </c>
      <c r="E2217" s="249">
        <f t="shared" si="253"/>
        <v>44917</v>
      </c>
      <c r="F2217" s="477"/>
      <c r="G2217" s="244" t="s">
        <v>86</v>
      </c>
      <c r="H2217" s="244" t="str" cm="1">
        <f t="array" ref="H2217">IFERROR(INDEX(INVESTOR_LIST[INVESTOR NAME],MATCH(I2217,INVESTOR_LIST[INVESTOR CODE],0),)," ")</f>
        <v xml:space="preserve"> </v>
      </c>
      <c r="I2217" s="245"/>
      <c r="J2217" s="246" t="s">
        <v>51</v>
      </c>
      <c r="K2217" s="247"/>
      <c r="L2217" s="247">
        <v>4108.1768307199009</v>
      </c>
    </row>
    <row r="2218" spans="1:15" ht="11.25" customHeight="1" x14ac:dyDescent="0.2">
      <c r="A2218" s="221">
        <v>2022</v>
      </c>
      <c r="B2218" s="221">
        <v>12</v>
      </c>
      <c r="C2218" s="221">
        <v>26</v>
      </c>
      <c r="D2218" s="231">
        <f t="shared" si="249"/>
        <v>44921</v>
      </c>
      <c r="E2218" s="233">
        <f t="shared" si="253"/>
        <v>44921</v>
      </c>
      <c r="F2218" s="478" t="s">
        <v>1308</v>
      </c>
      <c r="G2218" s="222" t="s">
        <v>86</v>
      </c>
      <c r="H2218" s="222" t="str" cm="1">
        <f t="array" ref="H2218">IFERROR(INDEX(INVESTOR_LIST[INVESTOR NAME],MATCH(I2218,INVESTOR_LIST[INVESTOR CODE],0),)," ")</f>
        <v xml:space="preserve"> </v>
      </c>
      <c r="I2218" s="223"/>
      <c r="J2218" s="224" t="s">
        <v>80</v>
      </c>
      <c r="K2218" s="225">
        <v>1589400</v>
      </c>
      <c r="L2218" s="225"/>
    </row>
    <row r="2219" spans="1:15" ht="11.25" customHeight="1" x14ac:dyDescent="0.2">
      <c r="A2219" s="164">
        <v>2022</v>
      </c>
      <c r="B2219" s="164">
        <v>12</v>
      </c>
      <c r="C2219" s="164">
        <v>26</v>
      </c>
      <c r="D2219" s="164">
        <f t="shared" si="249"/>
        <v>44921</v>
      </c>
      <c r="E2219" s="235">
        <f t="shared" si="253"/>
        <v>44921</v>
      </c>
      <c r="F2219" s="480"/>
      <c r="G2219" s="208" t="s">
        <v>86</v>
      </c>
      <c r="H2219" s="208"/>
      <c r="J2219" s="165" t="s">
        <v>960</v>
      </c>
      <c r="K2219" s="205">
        <v>2860.92</v>
      </c>
      <c r="L2219" s="205"/>
    </row>
    <row r="2220" spans="1:15" ht="11.25" customHeight="1" x14ac:dyDescent="0.2">
      <c r="A2220" s="226">
        <v>2022</v>
      </c>
      <c r="B2220" s="226">
        <v>12</v>
      </c>
      <c r="C2220" s="226">
        <v>26</v>
      </c>
      <c r="D2220" s="226">
        <f t="shared" si="249"/>
        <v>44921</v>
      </c>
      <c r="E2220" s="234">
        <f t="shared" si="253"/>
        <v>44921</v>
      </c>
      <c r="F2220" s="479"/>
      <c r="G2220" s="227" t="s">
        <v>86</v>
      </c>
      <c r="H2220" s="227"/>
      <c r="I2220" s="228"/>
      <c r="J2220" s="229" t="s">
        <v>961</v>
      </c>
      <c r="K2220" s="294"/>
      <c r="L2220" s="230">
        <v>1592260.92</v>
      </c>
    </row>
    <row r="2221" spans="1:15" ht="11.25" customHeight="1" x14ac:dyDescent="0.2">
      <c r="A2221" s="221">
        <v>2022</v>
      </c>
      <c r="B2221" s="221">
        <v>11</v>
      </c>
      <c r="C2221" s="221">
        <v>26</v>
      </c>
      <c r="D2221" s="231">
        <f t="shared" si="249"/>
        <v>44891</v>
      </c>
      <c r="E2221" s="233">
        <f>DATE(A2221,B2221,C2221)</f>
        <v>44891</v>
      </c>
      <c r="F2221" s="478" t="s">
        <v>1178</v>
      </c>
      <c r="G2221" s="222" t="s">
        <v>1111</v>
      </c>
      <c r="H2221" s="223" t="str" cm="1">
        <f t="array" ref="H2221">IFERROR(INDEX(INVESTOR_LIST[INVESTOR NAME],MATCH(I2221,INVESTOR_LIST[INVESTOR CODE],0),)," ")</f>
        <v xml:space="preserve"> </v>
      </c>
      <c r="I2221" s="223"/>
      <c r="J2221" s="224" t="s">
        <v>189</v>
      </c>
      <c r="K2221" s="225">
        <v>9000</v>
      </c>
      <c r="L2221" s="225"/>
      <c r="O2221" s="166"/>
    </row>
    <row r="2222" spans="1:15" ht="11.25" customHeight="1" x14ac:dyDescent="0.2">
      <c r="A2222" s="226">
        <v>2022</v>
      </c>
      <c r="B2222" s="226">
        <v>11</v>
      </c>
      <c r="C2222" s="226">
        <v>26</v>
      </c>
      <c r="D2222" s="232">
        <f t="shared" si="249"/>
        <v>44891</v>
      </c>
      <c r="E2222" s="234">
        <f>DATE(A2222,B2222,C2222)</f>
        <v>44891</v>
      </c>
      <c r="F2222" s="479"/>
      <c r="G2222" s="227" t="s">
        <v>1111</v>
      </c>
      <c r="H2222" s="228" t="str" cm="1">
        <f t="array" ref="H2222">IFERROR(INDEX(INVESTOR_LIST[INVESTOR NAME],MATCH(I2222,INVESTOR_LIST[INVESTOR CODE],0),)," ")</f>
        <v xml:space="preserve"> </v>
      </c>
      <c r="I2222" s="228"/>
      <c r="J2222" s="229" t="s">
        <v>55</v>
      </c>
      <c r="K2222" s="230"/>
      <c r="L2222" s="230">
        <v>9000</v>
      </c>
    </row>
    <row r="2223" spans="1:15" ht="11.25" customHeight="1" x14ac:dyDescent="0.2">
      <c r="A2223" s="221">
        <v>2022</v>
      </c>
      <c r="B2223" s="221">
        <v>12</v>
      </c>
      <c r="C2223" s="221">
        <v>26</v>
      </c>
      <c r="D2223" s="231">
        <f t="shared" si="249"/>
        <v>44921</v>
      </c>
      <c r="E2223" s="233">
        <f t="shared" ref="E2223:E2229" si="255">DATE(A2223,B2223,C2223)</f>
        <v>44921</v>
      </c>
      <c r="F2223" s="478" t="s">
        <v>1440</v>
      </c>
      <c r="G2223" s="222" t="s">
        <v>1111</v>
      </c>
      <c r="H2223" s="223" t="str" cm="1">
        <f t="array" ref="H2223">IFERROR(INDEX(INVESTOR_LIST[INVESTOR NAME],MATCH(I2223,INVESTOR_LIST[INVESTOR CODE],0),)," ")</f>
        <v xml:space="preserve"> </v>
      </c>
      <c r="I2223" s="223"/>
      <c r="J2223" s="224" t="s">
        <v>88</v>
      </c>
      <c r="K2223" s="225">
        <v>6000000</v>
      </c>
      <c r="L2223" s="225"/>
    </row>
    <row r="2224" spans="1:15" ht="11.25" customHeight="1" x14ac:dyDescent="0.2">
      <c r="A2224" s="226">
        <v>2022</v>
      </c>
      <c r="B2224" s="226">
        <v>12</v>
      </c>
      <c r="C2224" s="226">
        <v>26</v>
      </c>
      <c r="D2224" s="232">
        <f t="shared" si="249"/>
        <v>44921</v>
      </c>
      <c r="E2224" s="234">
        <f t="shared" si="255"/>
        <v>44921</v>
      </c>
      <c r="F2224" s="479"/>
      <c r="G2224" s="227" t="s">
        <v>1111</v>
      </c>
      <c r="H2224" s="228"/>
      <c r="I2224" s="228"/>
      <c r="J2224" s="229" t="s">
        <v>55</v>
      </c>
      <c r="K2224" s="230"/>
      <c r="L2224" s="230">
        <v>6000000</v>
      </c>
    </row>
    <row r="2225" spans="1:13" ht="11.25" customHeight="1" x14ac:dyDescent="0.2">
      <c r="A2225" s="221">
        <v>2022</v>
      </c>
      <c r="B2225" s="221">
        <v>12</v>
      </c>
      <c r="C2225" s="221">
        <v>26</v>
      </c>
      <c r="D2225" s="231">
        <f t="shared" si="249"/>
        <v>44921</v>
      </c>
      <c r="E2225" s="233">
        <f t="shared" si="255"/>
        <v>44921</v>
      </c>
      <c r="F2225" s="478" t="s">
        <v>1374</v>
      </c>
      <c r="G2225" s="222" t="s">
        <v>86</v>
      </c>
      <c r="H2225" s="222" t="str" cm="1">
        <f t="array" ref="H2225">IFERROR(INDEX(INVESTOR_LIST[INVESTOR NAME],MATCH(I2225,INVESTOR_LIST[INVESTOR CODE],0),)," ")</f>
        <v xml:space="preserve"> </v>
      </c>
      <c r="I2225" s="223"/>
      <c r="J2225" s="224" t="s">
        <v>1465</v>
      </c>
      <c r="K2225" s="225">
        <v>982455</v>
      </c>
      <c r="L2225" s="225"/>
    </row>
    <row r="2226" spans="1:13" ht="11.25" customHeight="1" x14ac:dyDescent="0.2">
      <c r="A2226" s="226">
        <v>2022</v>
      </c>
      <c r="B2226" s="226">
        <v>12</v>
      </c>
      <c r="C2226" s="226">
        <v>26</v>
      </c>
      <c r="D2226" s="226">
        <f t="shared" si="249"/>
        <v>44921</v>
      </c>
      <c r="E2226" s="234">
        <f t="shared" si="255"/>
        <v>44921</v>
      </c>
      <c r="F2226" s="479"/>
      <c r="G2226" s="227" t="s">
        <v>86</v>
      </c>
      <c r="H2226" s="227"/>
      <c r="I2226" s="228"/>
      <c r="J2226" s="229" t="s">
        <v>55</v>
      </c>
      <c r="K2226" s="294"/>
      <c r="L2226" s="230">
        <v>982455</v>
      </c>
    </row>
    <row r="2227" spans="1:13" ht="11.25" customHeight="1" x14ac:dyDescent="0.2">
      <c r="A2227" s="221">
        <v>2022</v>
      </c>
      <c r="B2227" s="221">
        <v>12</v>
      </c>
      <c r="C2227" s="221">
        <v>27</v>
      </c>
      <c r="D2227" s="231">
        <f t="shared" si="249"/>
        <v>44922</v>
      </c>
      <c r="E2227" s="233">
        <f t="shared" si="255"/>
        <v>44922</v>
      </c>
      <c r="F2227" s="478" t="s">
        <v>1132</v>
      </c>
      <c r="G2227" s="222" t="s">
        <v>1111</v>
      </c>
      <c r="H2227" s="223"/>
      <c r="I2227" s="223"/>
      <c r="J2227" s="224" t="s">
        <v>55</v>
      </c>
      <c r="K2227" s="225">
        <v>5000</v>
      </c>
      <c r="L2227" s="225"/>
    </row>
    <row r="2228" spans="1:13" ht="11.25" customHeight="1" x14ac:dyDescent="0.2">
      <c r="A2228" s="164">
        <v>2022</v>
      </c>
      <c r="B2228" s="164">
        <v>12</v>
      </c>
      <c r="C2228" s="164">
        <v>27</v>
      </c>
      <c r="D2228" s="156">
        <f t="shared" si="249"/>
        <v>44922</v>
      </c>
      <c r="E2228" s="235">
        <f t="shared" si="255"/>
        <v>44922</v>
      </c>
      <c r="F2228" s="480"/>
      <c r="G2228" s="208" t="s">
        <v>1111</v>
      </c>
      <c r="J2228" s="165" t="s">
        <v>1112</v>
      </c>
      <c r="K2228" s="205">
        <v>10</v>
      </c>
      <c r="L2228" s="205"/>
      <c r="M2228" s="166"/>
    </row>
    <row r="2229" spans="1:13" ht="11.25" customHeight="1" x14ac:dyDescent="0.2">
      <c r="A2229" s="226">
        <v>2022</v>
      </c>
      <c r="B2229" s="226">
        <v>12</v>
      </c>
      <c r="C2229" s="226">
        <v>27</v>
      </c>
      <c r="D2229" s="232">
        <f t="shared" si="249"/>
        <v>44922</v>
      </c>
      <c r="E2229" s="234">
        <f t="shared" si="255"/>
        <v>44922</v>
      </c>
      <c r="F2229" s="479"/>
      <c r="G2229" s="227" t="s">
        <v>1111</v>
      </c>
      <c r="H2229" s="228"/>
      <c r="I2229" s="228"/>
      <c r="J2229" s="229" t="s">
        <v>14</v>
      </c>
      <c r="K2229" s="230"/>
      <c r="L2229" s="230">
        <v>5010</v>
      </c>
    </row>
    <row r="2230" spans="1:13" ht="11.25" customHeight="1" x14ac:dyDescent="0.2">
      <c r="A2230" s="221">
        <v>2022</v>
      </c>
      <c r="B2230" s="221">
        <v>12</v>
      </c>
      <c r="C2230" s="221">
        <v>28</v>
      </c>
      <c r="D2230" s="231">
        <f t="shared" si="249"/>
        <v>44923</v>
      </c>
      <c r="E2230" s="233">
        <f t="shared" si="253"/>
        <v>44923</v>
      </c>
      <c r="F2230" s="478" t="s">
        <v>1307</v>
      </c>
      <c r="G2230" s="222" t="s">
        <v>1111</v>
      </c>
      <c r="H2230" s="223" t="str" cm="1">
        <f t="array" ref="H2230">IFERROR(INDEX(INVESTOR_LIST[INVESTOR NAME],MATCH(I2230,INVESTOR_LIST[INVESTOR CODE],0),)," ")</f>
        <v xml:space="preserve"> </v>
      </c>
      <c r="I2230" s="223"/>
      <c r="J2230" s="224" t="s">
        <v>961</v>
      </c>
      <c r="K2230" s="225">
        <v>1416244.66</v>
      </c>
      <c r="L2230" s="225"/>
    </row>
    <row r="2231" spans="1:13" ht="11.25" customHeight="1" x14ac:dyDescent="0.2">
      <c r="A2231" s="226">
        <v>2022</v>
      </c>
      <c r="B2231" s="226">
        <v>12</v>
      </c>
      <c r="C2231" s="226">
        <v>28</v>
      </c>
      <c r="D2231" s="232">
        <f t="shared" si="249"/>
        <v>44923</v>
      </c>
      <c r="E2231" s="234">
        <f t="shared" si="253"/>
        <v>44923</v>
      </c>
      <c r="F2231" s="479"/>
      <c r="G2231" s="227" t="s">
        <v>1111</v>
      </c>
      <c r="H2231" s="228" t="str" cm="1">
        <f t="array" ref="H2231">IFERROR(INDEX(INVESTOR_LIST[INVESTOR NAME],MATCH(I2231,INVESTOR_LIST[INVESTOR CODE],0),)," ")</f>
        <v xml:space="preserve"> </v>
      </c>
      <c r="I2231" s="228"/>
      <c r="J2231" s="229" t="s">
        <v>55</v>
      </c>
      <c r="K2231" s="230"/>
      <c r="L2231" s="230">
        <v>1416244.66</v>
      </c>
    </row>
    <row r="2232" spans="1:13" ht="11.25" customHeight="1" x14ac:dyDescent="0.2">
      <c r="A2232" s="221">
        <v>2022</v>
      </c>
      <c r="B2232" s="221">
        <v>12</v>
      </c>
      <c r="C2232" s="221">
        <v>28</v>
      </c>
      <c r="D2232" s="231">
        <f t="shared" si="249"/>
        <v>44923</v>
      </c>
      <c r="E2232" s="233">
        <f>DATE(A2232,B2232,C2232)</f>
        <v>44923</v>
      </c>
      <c r="F2232" s="478" t="s">
        <v>1307</v>
      </c>
      <c r="G2232" s="222" t="s">
        <v>1111</v>
      </c>
      <c r="H2232" s="223" t="str" cm="1">
        <f t="array" ref="H2232">IFERROR(INDEX(INVESTOR_LIST[INVESTOR NAME],MATCH(I2232,INVESTOR_LIST[INVESTOR CODE],0),)," ")</f>
        <v xml:space="preserve"> </v>
      </c>
      <c r="I2232" s="223"/>
      <c r="J2232" s="224" t="s">
        <v>961</v>
      </c>
      <c r="K2232" s="225">
        <v>1592260.92</v>
      </c>
      <c r="L2232" s="225"/>
    </row>
    <row r="2233" spans="1:13" ht="11.25" customHeight="1" x14ac:dyDescent="0.2">
      <c r="A2233" s="226">
        <v>2022</v>
      </c>
      <c r="B2233" s="226">
        <v>12</v>
      </c>
      <c r="C2233" s="226">
        <v>28</v>
      </c>
      <c r="D2233" s="232">
        <f t="shared" si="249"/>
        <v>44923</v>
      </c>
      <c r="E2233" s="234">
        <f>DATE(A2233,B2233,C2233)</f>
        <v>44923</v>
      </c>
      <c r="F2233" s="479"/>
      <c r="G2233" s="227" t="s">
        <v>1111</v>
      </c>
      <c r="H2233" s="228" t="str" cm="1">
        <f t="array" ref="H2233">IFERROR(INDEX(INVESTOR_LIST[INVESTOR NAME],MATCH(I2233,INVESTOR_LIST[INVESTOR CODE],0),)," ")</f>
        <v xml:space="preserve"> </v>
      </c>
      <c r="I2233" s="228"/>
      <c r="J2233" s="229" t="s">
        <v>55</v>
      </c>
      <c r="K2233" s="230"/>
      <c r="L2233" s="230">
        <v>1592260.92</v>
      </c>
    </row>
    <row r="2234" spans="1:13" ht="11.25" customHeight="1" x14ac:dyDescent="0.2">
      <c r="A2234" s="221">
        <v>2022</v>
      </c>
      <c r="B2234" s="221">
        <v>12</v>
      </c>
      <c r="C2234" s="221">
        <v>28</v>
      </c>
      <c r="D2234" s="231">
        <f t="shared" si="249"/>
        <v>44923</v>
      </c>
      <c r="E2234" s="233">
        <f t="shared" ref="E2234:E2286" si="256">DATE(A2234,B2234,C2234)</f>
        <v>44923</v>
      </c>
      <c r="F2234" s="478" t="s">
        <v>1441</v>
      </c>
      <c r="G2234" s="222" t="s">
        <v>1111</v>
      </c>
      <c r="H2234" s="223" t="str" cm="1">
        <f t="array" ref="H2234">IFERROR(INDEX(INVESTOR_LIST[INVESTOR NAME],MATCH(I2234,INVESTOR_LIST[INVESTOR CODE],0),)," ")</f>
        <v xml:space="preserve"> </v>
      </c>
      <c r="I2234" s="223"/>
      <c r="J2234" s="224" t="s">
        <v>88</v>
      </c>
      <c r="K2234" s="225">
        <v>3000000</v>
      </c>
      <c r="L2234" s="225"/>
    </row>
    <row r="2235" spans="1:13" ht="11.25" customHeight="1" x14ac:dyDescent="0.2">
      <c r="A2235" s="226">
        <v>2022</v>
      </c>
      <c r="B2235" s="226">
        <v>12</v>
      </c>
      <c r="C2235" s="226">
        <v>28</v>
      </c>
      <c r="D2235" s="232">
        <f t="shared" si="249"/>
        <v>44923</v>
      </c>
      <c r="E2235" s="234">
        <f t="shared" si="256"/>
        <v>44923</v>
      </c>
      <c r="F2235" s="479"/>
      <c r="G2235" s="227" t="s">
        <v>1111</v>
      </c>
      <c r="H2235" s="228"/>
      <c r="I2235" s="228"/>
      <c r="J2235" s="229" t="s">
        <v>55</v>
      </c>
      <c r="K2235" s="230"/>
      <c r="L2235" s="230">
        <v>3000000</v>
      </c>
    </row>
    <row r="2236" spans="1:13" ht="11.25" customHeight="1" x14ac:dyDescent="0.2">
      <c r="A2236" s="221">
        <v>2022</v>
      </c>
      <c r="B2236" s="221">
        <v>12</v>
      </c>
      <c r="C2236" s="221">
        <v>29</v>
      </c>
      <c r="D2236" s="231">
        <f t="shared" si="249"/>
        <v>44924</v>
      </c>
      <c r="E2236" s="233">
        <f t="shared" si="256"/>
        <v>44924</v>
      </c>
      <c r="F2236" s="478" t="s">
        <v>1375</v>
      </c>
      <c r="G2236" s="222" t="s">
        <v>1111</v>
      </c>
      <c r="H2236" s="223" t="str" cm="1">
        <f t="array" ref="H2236">IFERROR(INDEX(INVESTOR_LIST[INVESTOR NAME],MATCH(I2236,INVESTOR_LIST[INVESTOR CODE],0),)," ")</f>
        <v xml:space="preserve"> </v>
      </c>
      <c r="I2236" s="223"/>
      <c r="J2236" s="224" t="s">
        <v>55</v>
      </c>
      <c r="K2236" s="225">
        <v>97749.999999999985</v>
      </c>
      <c r="L2236" s="225"/>
    </row>
    <row r="2237" spans="1:13" ht="11.25" customHeight="1" x14ac:dyDescent="0.2">
      <c r="A2237" s="226">
        <v>2022</v>
      </c>
      <c r="B2237" s="226">
        <v>12</v>
      </c>
      <c r="C2237" s="226">
        <v>29</v>
      </c>
      <c r="D2237" s="232">
        <f t="shared" si="249"/>
        <v>44924</v>
      </c>
      <c r="E2237" s="234">
        <f t="shared" si="256"/>
        <v>44924</v>
      </c>
      <c r="F2237" s="479"/>
      <c r="G2237" s="227" t="s">
        <v>1111</v>
      </c>
      <c r="H2237" s="228" t="str" cm="1">
        <f t="array" ref="H2237">IFERROR(INDEX(INVESTOR_LIST[INVESTOR NAME],MATCH(I2237,INVESTOR_LIST[INVESTOR CODE],0),)," ")</f>
        <v xml:space="preserve"> </v>
      </c>
      <c r="I2237" s="228"/>
      <c r="J2237" s="229" t="s">
        <v>192</v>
      </c>
      <c r="K2237" s="230"/>
      <c r="L2237" s="230">
        <v>97749.999999999985</v>
      </c>
      <c r="M2237" s="166"/>
    </row>
    <row r="2238" spans="1:13" ht="11.25" customHeight="1" x14ac:dyDescent="0.2">
      <c r="A2238" s="221">
        <v>2022</v>
      </c>
      <c r="B2238" s="221">
        <v>12</v>
      </c>
      <c r="C2238" s="221">
        <v>29</v>
      </c>
      <c r="D2238" s="231">
        <f t="shared" si="249"/>
        <v>44924</v>
      </c>
      <c r="E2238" s="233">
        <f t="shared" si="256"/>
        <v>44924</v>
      </c>
      <c r="F2238" s="478" t="s">
        <v>1132</v>
      </c>
      <c r="G2238" s="222" t="s">
        <v>1111</v>
      </c>
      <c r="H2238" s="223"/>
      <c r="I2238" s="223"/>
      <c r="J2238" s="224" t="s">
        <v>55</v>
      </c>
      <c r="K2238" s="225">
        <v>10000</v>
      </c>
      <c r="L2238" s="225"/>
    </row>
    <row r="2239" spans="1:13" ht="11.25" customHeight="1" x14ac:dyDescent="0.2">
      <c r="A2239" s="164">
        <v>2022</v>
      </c>
      <c r="B2239" s="164">
        <v>12</v>
      </c>
      <c r="C2239" s="164">
        <v>29</v>
      </c>
      <c r="D2239" s="156">
        <f t="shared" si="249"/>
        <v>44924</v>
      </c>
      <c r="E2239" s="235">
        <f t="shared" si="256"/>
        <v>44924</v>
      </c>
      <c r="F2239" s="480"/>
      <c r="G2239" s="208" t="s">
        <v>1111</v>
      </c>
      <c r="J2239" s="165" t="s">
        <v>1112</v>
      </c>
      <c r="K2239" s="205">
        <v>10</v>
      </c>
      <c r="L2239" s="205"/>
      <c r="M2239" s="166"/>
    </row>
    <row r="2240" spans="1:13" ht="11.25" customHeight="1" x14ac:dyDescent="0.2">
      <c r="A2240" s="226">
        <v>2022</v>
      </c>
      <c r="B2240" s="226">
        <v>12</v>
      </c>
      <c r="C2240" s="226">
        <v>29</v>
      </c>
      <c r="D2240" s="232">
        <f t="shared" si="249"/>
        <v>44924</v>
      </c>
      <c r="E2240" s="234">
        <f t="shared" si="256"/>
        <v>44924</v>
      </c>
      <c r="F2240" s="479"/>
      <c r="G2240" s="227" t="s">
        <v>1111</v>
      </c>
      <c r="H2240" s="228"/>
      <c r="I2240" s="228"/>
      <c r="J2240" s="229" t="s">
        <v>14</v>
      </c>
      <c r="K2240" s="230"/>
      <c r="L2240" s="230">
        <v>10010</v>
      </c>
    </row>
    <row r="2241" spans="1:12" ht="11.25" customHeight="1" x14ac:dyDescent="0.2">
      <c r="A2241" s="221">
        <v>2022</v>
      </c>
      <c r="B2241" s="221">
        <v>12</v>
      </c>
      <c r="C2241" s="221">
        <v>29</v>
      </c>
      <c r="D2241" s="231">
        <f t="shared" si="249"/>
        <v>44924</v>
      </c>
      <c r="E2241" s="233">
        <f t="shared" si="256"/>
        <v>44924</v>
      </c>
      <c r="F2241" s="478" t="s">
        <v>1248</v>
      </c>
      <c r="G2241" s="222" t="s">
        <v>1111</v>
      </c>
      <c r="H2241" s="223" t="str" cm="1">
        <f t="array" ref="H2241">IFERROR(INDEX(INVESTOR_LIST[INVESTOR NAME],MATCH(I2241,INVESTOR_LIST[INVESTOR CODE],0),)," ")</f>
        <v xml:space="preserve"> </v>
      </c>
      <c r="I2241" s="223"/>
      <c r="J2241" s="224" t="s">
        <v>55</v>
      </c>
      <c r="K2241" s="225">
        <v>12067</v>
      </c>
      <c r="L2241" s="225"/>
    </row>
    <row r="2242" spans="1:12" ht="11.25" customHeight="1" x14ac:dyDescent="0.2">
      <c r="A2242" s="226">
        <v>2022</v>
      </c>
      <c r="B2242" s="226">
        <v>12</v>
      </c>
      <c r="C2242" s="226">
        <v>29</v>
      </c>
      <c r="D2242" s="232">
        <f t="shared" si="249"/>
        <v>44924</v>
      </c>
      <c r="E2242" s="234">
        <f t="shared" si="256"/>
        <v>44924</v>
      </c>
      <c r="F2242" s="479"/>
      <c r="G2242" s="227" t="s">
        <v>1111</v>
      </c>
      <c r="H2242" s="228" t="str" cm="1">
        <f t="array" ref="H2242">IFERROR(INDEX(INVESTOR_LIST[INVESTOR NAME],MATCH(I2242,INVESTOR_LIST[INVESTOR CODE],0),)," ")</f>
        <v xml:space="preserve"> </v>
      </c>
      <c r="I2242" s="228"/>
      <c r="J2242" s="229" t="s">
        <v>174</v>
      </c>
      <c r="K2242" s="230"/>
      <c r="L2242" s="230">
        <v>12067</v>
      </c>
    </row>
    <row r="2243" spans="1:12" ht="11.25" customHeight="1" x14ac:dyDescent="0.2">
      <c r="A2243" s="221">
        <v>2022</v>
      </c>
      <c r="B2243" s="221">
        <v>12</v>
      </c>
      <c r="C2243" s="221">
        <v>29</v>
      </c>
      <c r="D2243" s="231">
        <f t="shared" si="249"/>
        <v>44924</v>
      </c>
      <c r="E2243" s="233">
        <f t="shared" si="256"/>
        <v>44924</v>
      </c>
      <c r="F2243" s="478" t="s">
        <v>1114</v>
      </c>
      <c r="G2243" s="222" t="s">
        <v>1111</v>
      </c>
      <c r="H2243" s="223" t="str" cm="1">
        <f t="array" ref="H2243">IFERROR(INDEX(INVESTOR_LIST[INVESTOR NAME],MATCH(I2243,INVESTOR_LIST[INVESTOR CODE],0),)," ")</f>
        <v xml:space="preserve"> </v>
      </c>
      <c r="I2243" s="223"/>
      <c r="J2243" s="224" t="s">
        <v>63</v>
      </c>
      <c r="K2243" s="225">
        <v>345</v>
      </c>
      <c r="L2243" s="225"/>
    </row>
    <row r="2244" spans="1:12" ht="11.25" customHeight="1" x14ac:dyDescent="0.2">
      <c r="A2244" s="226">
        <v>2022</v>
      </c>
      <c r="B2244" s="226">
        <v>12</v>
      </c>
      <c r="C2244" s="226">
        <v>29</v>
      </c>
      <c r="D2244" s="232">
        <f t="shared" si="249"/>
        <v>44924</v>
      </c>
      <c r="E2244" s="234">
        <f t="shared" si="256"/>
        <v>44924</v>
      </c>
      <c r="F2244" s="479"/>
      <c r="G2244" s="227" t="s">
        <v>1111</v>
      </c>
      <c r="H2244" s="228" t="str" cm="1">
        <f t="array" ref="H2244">IFERROR(INDEX(INVESTOR_LIST[INVESTOR NAME],MATCH(I2244,INVESTOR_LIST[INVESTOR CODE],0),)," ")</f>
        <v xml:space="preserve"> </v>
      </c>
      <c r="I2244" s="228"/>
      <c r="J2244" s="229" t="s">
        <v>55</v>
      </c>
      <c r="K2244" s="230"/>
      <c r="L2244" s="230">
        <v>345</v>
      </c>
    </row>
    <row r="2245" spans="1:12" ht="11.25" customHeight="1" x14ac:dyDescent="0.2">
      <c r="A2245" s="221">
        <v>2022</v>
      </c>
      <c r="B2245" s="221">
        <v>12</v>
      </c>
      <c r="C2245" s="221">
        <v>29</v>
      </c>
      <c r="D2245" s="231">
        <f t="shared" si="249"/>
        <v>44924</v>
      </c>
      <c r="E2245" s="233">
        <f t="shared" si="256"/>
        <v>44924</v>
      </c>
      <c r="F2245" s="478" t="s">
        <v>1114</v>
      </c>
      <c r="G2245" s="222" t="s">
        <v>1111</v>
      </c>
      <c r="H2245" s="223" t="str" cm="1">
        <f t="array" ref="H2245">IFERROR(INDEX(INVESTOR_LIST[INVESTOR NAME],MATCH(I2245,INVESTOR_LIST[INVESTOR CODE],0),)," ")</f>
        <v xml:space="preserve"> </v>
      </c>
      <c r="I2245" s="223"/>
      <c r="J2245" s="224" t="s">
        <v>63</v>
      </c>
      <c r="K2245" s="225">
        <v>50000</v>
      </c>
      <c r="L2245" s="225"/>
    </row>
    <row r="2246" spans="1:12" ht="11.25" customHeight="1" x14ac:dyDescent="0.2">
      <c r="A2246" s="226">
        <v>2022</v>
      </c>
      <c r="B2246" s="226">
        <v>12</v>
      </c>
      <c r="C2246" s="226">
        <v>29</v>
      </c>
      <c r="D2246" s="232">
        <f t="shared" si="249"/>
        <v>44924</v>
      </c>
      <c r="E2246" s="234">
        <f t="shared" si="256"/>
        <v>44924</v>
      </c>
      <c r="F2246" s="479"/>
      <c r="G2246" s="227" t="s">
        <v>1111</v>
      </c>
      <c r="H2246" s="228" t="str" cm="1">
        <f t="array" ref="H2246">IFERROR(INDEX(INVESTOR_LIST[INVESTOR NAME],MATCH(I2246,INVESTOR_LIST[INVESTOR CODE],0),)," ")</f>
        <v xml:space="preserve"> </v>
      </c>
      <c r="I2246" s="228"/>
      <c r="J2246" s="229" t="s">
        <v>55</v>
      </c>
      <c r="K2246" s="230"/>
      <c r="L2246" s="230">
        <v>50000</v>
      </c>
    </row>
    <row r="2247" spans="1:12" ht="11.25" customHeight="1" x14ac:dyDescent="0.2">
      <c r="A2247" s="221">
        <v>2022</v>
      </c>
      <c r="B2247" s="221">
        <v>12</v>
      </c>
      <c r="C2247" s="221">
        <v>29</v>
      </c>
      <c r="D2247" s="231">
        <f t="shared" si="249"/>
        <v>44924</v>
      </c>
      <c r="E2247" s="233">
        <f t="shared" ref="E2247:E2252" si="257">DATE(A2247,B2247,C2247)</f>
        <v>44924</v>
      </c>
      <c r="F2247" s="478" t="s">
        <v>1248</v>
      </c>
      <c r="G2247" s="222" t="s">
        <v>1111</v>
      </c>
      <c r="H2247" s="223" t="str" cm="1">
        <f t="array" ref="H2247">IFERROR(INDEX(INVESTOR_LIST[INVESTOR NAME],MATCH(I2247,INVESTOR_LIST[INVESTOR CODE],0),)," ")</f>
        <v xml:space="preserve"> </v>
      </c>
      <c r="I2247" s="223"/>
      <c r="J2247" s="224" t="s">
        <v>55</v>
      </c>
      <c r="K2247" s="225">
        <v>421669</v>
      </c>
      <c r="L2247" s="225"/>
    </row>
    <row r="2248" spans="1:12" ht="11.25" customHeight="1" x14ac:dyDescent="0.2">
      <c r="A2248" s="226">
        <v>2022</v>
      </c>
      <c r="B2248" s="226">
        <v>12</v>
      </c>
      <c r="C2248" s="226">
        <v>29</v>
      </c>
      <c r="D2248" s="232">
        <f t="shared" si="249"/>
        <v>44924</v>
      </c>
      <c r="E2248" s="234">
        <f t="shared" si="257"/>
        <v>44924</v>
      </c>
      <c r="F2248" s="479"/>
      <c r="G2248" s="227" t="s">
        <v>1111</v>
      </c>
      <c r="H2248" s="228" t="str" cm="1">
        <f t="array" ref="H2248">IFERROR(INDEX(INVESTOR_LIST[INVESTOR NAME],MATCH(I2248,INVESTOR_LIST[INVESTOR CODE],0),)," ")</f>
        <v xml:space="preserve"> </v>
      </c>
      <c r="I2248" s="228"/>
      <c r="J2248" s="229" t="s">
        <v>174</v>
      </c>
      <c r="K2248" s="230"/>
      <c r="L2248" s="230">
        <v>421669</v>
      </c>
    </row>
    <row r="2249" spans="1:12" ht="11.25" customHeight="1" x14ac:dyDescent="0.2">
      <c r="A2249" s="221">
        <v>2022</v>
      </c>
      <c r="B2249" s="221">
        <v>12</v>
      </c>
      <c r="C2249" s="221">
        <v>29</v>
      </c>
      <c r="D2249" s="231">
        <f t="shared" ref="D2249:D2312" si="258">DATE(A2249,B2249,C2249)</f>
        <v>44924</v>
      </c>
      <c r="E2249" s="233">
        <f t="shared" si="257"/>
        <v>44924</v>
      </c>
      <c r="F2249" s="478" t="s">
        <v>1114</v>
      </c>
      <c r="G2249" s="222" t="s">
        <v>1111</v>
      </c>
      <c r="H2249" s="223" t="str" cm="1">
        <f t="array" ref="H2249">IFERROR(INDEX(INVESTOR_LIST[INVESTOR NAME],MATCH(I2249,INVESTOR_LIST[INVESTOR CODE],0),)," ")</f>
        <v xml:space="preserve"> </v>
      </c>
      <c r="I2249" s="223"/>
      <c r="J2249" s="224" t="s">
        <v>63</v>
      </c>
      <c r="K2249" s="225">
        <v>575</v>
      </c>
      <c r="L2249" s="225"/>
    </row>
    <row r="2250" spans="1:12" ht="11.25" customHeight="1" x14ac:dyDescent="0.2">
      <c r="A2250" s="226">
        <v>2022</v>
      </c>
      <c r="B2250" s="226">
        <v>12</v>
      </c>
      <c r="C2250" s="226">
        <v>29</v>
      </c>
      <c r="D2250" s="232">
        <f t="shared" si="258"/>
        <v>44924</v>
      </c>
      <c r="E2250" s="234">
        <f t="shared" si="257"/>
        <v>44924</v>
      </c>
      <c r="F2250" s="479"/>
      <c r="G2250" s="227" t="s">
        <v>1111</v>
      </c>
      <c r="H2250" s="228" t="str" cm="1">
        <f t="array" ref="H2250">IFERROR(INDEX(INVESTOR_LIST[INVESTOR NAME],MATCH(I2250,INVESTOR_LIST[INVESTOR CODE],0),)," ")</f>
        <v xml:space="preserve"> </v>
      </c>
      <c r="I2250" s="228"/>
      <c r="J2250" s="229" t="s">
        <v>55</v>
      </c>
      <c r="K2250" s="230"/>
      <c r="L2250" s="230">
        <v>575</v>
      </c>
    </row>
    <row r="2251" spans="1:12" ht="11.25" customHeight="1" x14ac:dyDescent="0.2">
      <c r="A2251" s="221">
        <v>2022</v>
      </c>
      <c r="B2251" s="221">
        <v>12</v>
      </c>
      <c r="C2251" s="221">
        <v>29</v>
      </c>
      <c r="D2251" s="231">
        <f t="shared" si="258"/>
        <v>44924</v>
      </c>
      <c r="E2251" s="233">
        <f t="shared" si="257"/>
        <v>44924</v>
      </c>
      <c r="F2251" s="478" t="s">
        <v>1114</v>
      </c>
      <c r="G2251" s="222" t="s">
        <v>1111</v>
      </c>
      <c r="H2251" s="223" t="str" cm="1">
        <f t="array" ref="H2251">IFERROR(INDEX(INVESTOR_LIST[INVESTOR NAME],MATCH(I2251,INVESTOR_LIST[INVESTOR CODE],0),)," ")</f>
        <v xml:space="preserve"> </v>
      </c>
      <c r="I2251" s="223"/>
      <c r="J2251" s="224" t="s">
        <v>63</v>
      </c>
      <c r="K2251" s="225">
        <v>50000</v>
      </c>
      <c r="L2251" s="225"/>
    </row>
    <row r="2252" spans="1:12" ht="11.25" customHeight="1" x14ac:dyDescent="0.2">
      <c r="A2252" s="226">
        <v>2022</v>
      </c>
      <c r="B2252" s="226">
        <v>12</v>
      </c>
      <c r="C2252" s="226">
        <v>29</v>
      </c>
      <c r="D2252" s="232">
        <f t="shared" si="258"/>
        <v>44924</v>
      </c>
      <c r="E2252" s="234">
        <f t="shared" si="257"/>
        <v>44924</v>
      </c>
      <c r="F2252" s="479"/>
      <c r="G2252" s="227" t="s">
        <v>1111</v>
      </c>
      <c r="H2252" s="228" t="str" cm="1">
        <f t="array" ref="H2252">IFERROR(INDEX(INVESTOR_LIST[INVESTOR NAME],MATCH(I2252,INVESTOR_LIST[INVESTOR CODE],0),)," ")</f>
        <v xml:space="preserve"> </v>
      </c>
      <c r="I2252" s="228"/>
      <c r="J2252" s="229" t="s">
        <v>55</v>
      </c>
      <c r="K2252" s="230"/>
      <c r="L2252" s="230">
        <v>50000</v>
      </c>
    </row>
    <row r="2253" spans="1:12" ht="11.25" customHeight="1" x14ac:dyDescent="0.2">
      <c r="A2253" s="221">
        <v>2022</v>
      </c>
      <c r="B2253" s="221">
        <v>12</v>
      </c>
      <c r="C2253" s="221">
        <v>31</v>
      </c>
      <c r="D2253" s="231">
        <f t="shared" si="258"/>
        <v>44926</v>
      </c>
      <c r="E2253" s="233">
        <f t="shared" ref="E2253:E2256" si="259">DATE(A2253,B2253,C2253)</f>
        <v>44926</v>
      </c>
      <c r="F2253" s="478" t="s">
        <v>1248</v>
      </c>
      <c r="G2253" s="222" t="s">
        <v>1111</v>
      </c>
      <c r="H2253" s="223" t="str" cm="1">
        <f t="array" ref="H2253">IFERROR(INDEX(INVESTOR_LIST[INVESTOR NAME],MATCH(I2253,INVESTOR_LIST[INVESTOR CODE],0),)," ")</f>
        <v xml:space="preserve"> </v>
      </c>
      <c r="I2253" s="223"/>
      <c r="J2253" s="224" t="s">
        <v>55</v>
      </c>
      <c r="K2253" s="225">
        <v>228.66</v>
      </c>
      <c r="L2253" s="225"/>
    </row>
    <row r="2254" spans="1:12" ht="11.25" customHeight="1" x14ac:dyDescent="0.2">
      <c r="A2254" s="226">
        <v>2022</v>
      </c>
      <c r="B2254" s="226">
        <v>12</v>
      </c>
      <c r="C2254" s="226">
        <v>31</v>
      </c>
      <c r="D2254" s="232">
        <f t="shared" si="258"/>
        <v>44926</v>
      </c>
      <c r="E2254" s="234">
        <f t="shared" si="259"/>
        <v>44926</v>
      </c>
      <c r="F2254" s="479"/>
      <c r="G2254" s="227" t="s">
        <v>1111</v>
      </c>
      <c r="H2254" s="228" t="str" cm="1">
        <f t="array" ref="H2254">IFERROR(INDEX(INVESTOR_LIST[INVESTOR NAME],MATCH(I2254,INVESTOR_LIST[INVESTOR CODE],0),)," ")</f>
        <v xml:space="preserve"> </v>
      </c>
      <c r="I2254" s="228"/>
      <c r="J2254" s="229" t="s">
        <v>174</v>
      </c>
      <c r="K2254" s="230"/>
      <c r="L2254" s="230">
        <v>228.66</v>
      </c>
    </row>
    <row r="2255" spans="1:12" ht="11.25" customHeight="1" x14ac:dyDescent="0.2">
      <c r="A2255" s="221">
        <v>2022</v>
      </c>
      <c r="B2255" s="221">
        <v>12</v>
      </c>
      <c r="C2255" s="221">
        <v>31</v>
      </c>
      <c r="D2255" s="231">
        <f t="shared" si="258"/>
        <v>44926</v>
      </c>
      <c r="E2255" s="233">
        <f t="shared" si="259"/>
        <v>44926</v>
      </c>
      <c r="F2255" s="478" t="s">
        <v>1114</v>
      </c>
      <c r="G2255" s="222" t="s">
        <v>1111</v>
      </c>
      <c r="H2255" s="223" t="str" cm="1">
        <f t="array" ref="H2255">IFERROR(INDEX(INVESTOR_LIST[INVESTOR NAME],MATCH(I2255,INVESTOR_LIST[INVESTOR CODE],0),)," ")</f>
        <v xml:space="preserve"> </v>
      </c>
      <c r="I2255" s="223"/>
      <c r="J2255" s="224" t="s">
        <v>63</v>
      </c>
      <c r="K2255" s="225">
        <v>34.299999999999997</v>
      </c>
      <c r="L2255" s="225"/>
    </row>
    <row r="2256" spans="1:12" ht="11.25" customHeight="1" x14ac:dyDescent="0.2">
      <c r="A2256" s="226">
        <v>2022</v>
      </c>
      <c r="B2256" s="226">
        <v>12</v>
      </c>
      <c r="C2256" s="226">
        <v>31</v>
      </c>
      <c r="D2256" s="232">
        <f t="shared" si="258"/>
        <v>44926</v>
      </c>
      <c r="E2256" s="234">
        <f t="shared" si="259"/>
        <v>44926</v>
      </c>
      <c r="F2256" s="479"/>
      <c r="G2256" s="227" t="s">
        <v>1111</v>
      </c>
      <c r="H2256" s="228" t="str" cm="1">
        <f t="array" ref="H2256">IFERROR(INDEX(INVESTOR_LIST[INVESTOR NAME],MATCH(I2256,INVESTOR_LIST[INVESTOR CODE],0),)," ")</f>
        <v xml:space="preserve"> </v>
      </c>
      <c r="I2256" s="228"/>
      <c r="J2256" s="229" t="s">
        <v>55</v>
      </c>
      <c r="K2256" s="230"/>
      <c r="L2256" s="230">
        <v>34.299999999999997</v>
      </c>
    </row>
    <row r="2257" spans="1:14" ht="11.25" customHeight="1" x14ac:dyDescent="0.2">
      <c r="A2257" s="221">
        <v>2022</v>
      </c>
      <c r="B2257" s="221">
        <v>12</v>
      </c>
      <c r="C2257" s="221">
        <v>31</v>
      </c>
      <c r="D2257" s="231">
        <f t="shared" si="258"/>
        <v>44926</v>
      </c>
      <c r="E2257" s="233">
        <f t="shared" ref="E2257:E2258" si="260">DATE(A2257,B2257,C2257)</f>
        <v>44926</v>
      </c>
      <c r="F2257" s="478" t="s">
        <v>1390</v>
      </c>
      <c r="G2257" s="222" t="s">
        <v>86</v>
      </c>
      <c r="H2257" s="223" t="str" cm="1">
        <f t="array" ref="H2257">IFERROR(INDEX(INVESTOR_LIST[INVESTOR NAME],MATCH(I2257,INVESTOR_LIST[INVESTOR CODE],0),)," ")</f>
        <v xml:space="preserve"> </v>
      </c>
      <c r="I2257" s="223"/>
      <c r="J2257" s="224" t="s">
        <v>128</v>
      </c>
      <c r="K2257" s="225">
        <v>30000</v>
      </c>
      <c r="L2257" s="225"/>
    </row>
    <row r="2258" spans="1:14" ht="11.25" customHeight="1" x14ac:dyDescent="0.2">
      <c r="A2258" s="226">
        <v>2022</v>
      </c>
      <c r="B2258" s="226">
        <v>12</v>
      </c>
      <c r="C2258" s="226">
        <v>31</v>
      </c>
      <c r="D2258" s="232">
        <f t="shared" si="258"/>
        <v>44926</v>
      </c>
      <c r="E2258" s="234">
        <f t="shared" si="260"/>
        <v>44926</v>
      </c>
      <c r="F2258" s="479"/>
      <c r="G2258" s="227" t="s">
        <v>86</v>
      </c>
      <c r="H2258" s="228" t="str" cm="1">
        <f t="array" ref="H2258">IFERROR(INDEX(INVESTOR_LIST[INVESTOR NAME],MATCH(I2258,INVESTOR_LIST[INVESTOR CODE],0),)," ")</f>
        <v xml:space="preserve"> </v>
      </c>
      <c r="I2258" s="228"/>
      <c r="J2258" s="229" t="s">
        <v>53</v>
      </c>
      <c r="K2258" s="230"/>
      <c r="L2258" s="230">
        <v>30000</v>
      </c>
    </row>
    <row r="2259" spans="1:14" ht="11.25" customHeight="1" x14ac:dyDescent="0.2">
      <c r="A2259" s="311">
        <v>2022</v>
      </c>
      <c r="B2259" s="311">
        <v>12</v>
      </c>
      <c r="C2259" s="311">
        <v>31</v>
      </c>
      <c r="D2259" s="312">
        <f t="shared" si="258"/>
        <v>44926</v>
      </c>
      <c r="E2259" s="313">
        <f t="shared" ref="E2259:E2260" si="261">DATE(A2259,B2259,C2259)</f>
        <v>44926</v>
      </c>
      <c r="F2259" s="482" t="s">
        <v>1459</v>
      </c>
      <c r="G2259" s="315" t="s">
        <v>86</v>
      </c>
      <c r="H2259" s="324" t="str" cm="1">
        <f t="array" ref="H2259">IFERROR(INDEX(INVESTOR_LIST[INVESTOR NAME],MATCH(I2259,INVESTOR_LIST[INVESTOR CODE],0),)," ")</f>
        <v xml:space="preserve"> </v>
      </c>
      <c r="I2259" s="316"/>
      <c r="J2259" s="317" t="s">
        <v>1466</v>
      </c>
      <c r="K2259" s="318">
        <v>2012.08</v>
      </c>
      <c r="L2259" s="319"/>
    </row>
    <row r="2260" spans="1:14" ht="11.25" customHeight="1" x14ac:dyDescent="0.2">
      <c r="A2260" s="311">
        <v>2022</v>
      </c>
      <c r="B2260" s="311">
        <v>12</v>
      </c>
      <c r="C2260" s="311">
        <v>31</v>
      </c>
      <c r="D2260" s="323">
        <f t="shared" si="258"/>
        <v>44926</v>
      </c>
      <c r="E2260" s="321">
        <f t="shared" si="261"/>
        <v>44926</v>
      </c>
      <c r="F2260" s="483"/>
      <c r="G2260" s="315" t="s">
        <v>86</v>
      </c>
      <c r="H2260" s="325" t="str" cm="1">
        <f t="array" ref="H2260">IFERROR(INDEX(INVESTOR_LIST[INVESTOR NAME],MATCH(I2260,INVESTOR_LIST[INVESTOR CODE],0),)," ")</f>
        <v xml:space="preserve"> </v>
      </c>
      <c r="I2260" s="316"/>
      <c r="J2260" s="317" t="s">
        <v>1468</v>
      </c>
      <c r="K2260" s="318"/>
      <c r="L2260" s="319">
        <v>2012.08</v>
      </c>
    </row>
    <row r="2261" spans="1:14" ht="11.25" customHeight="1" x14ac:dyDescent="0.2">
      <c r="A2261" s="280">
        <v>2022</v>
      </c>
      <c r="B2261" s="280">
        <v>12</v>
      </c>
      <c r="C2261" s="280">
        <v>31</v>
      </c>
      <c r="D2261" s="281">
        <f t="shared" si="258"/>
        <v>44926</v>
      </c>
      <c r="E2261" s="282">
        <f t="shared" si="256"/>
        <v>44926</v>
      </c>
      <c r="F2261" s="472" t="s">
        <v>1369</v>
      </c>
      <c r="G2261" s="283" t="s">
        <v>86</v>
      </c>
      <c r="H2261" s="284" t="str" cm="1">
        <f t="array" ref="H2261">IFERROR(INDEX(INVESTOR_LIST[INVESTOR NAME],MATCH(I2261,INVESTOR_LIST[INVESTOR CODE],0),)," ")</f>
        <v xml:space="preserve"> </v>
      </c>
      <c r="I2261" s="284"/>
      <c r="J2261" s="285" t="s">
        <v>131</v>
      </c>
      <c r="K2261" s="286">
        <v>74270.429999999993</v>
      </c>
      <c r="L2261" s="286"/>
      <c r="M2261" s="263"/>
      <c r="N2261" s="166"/>
    </row>
    <row r="2262" spans="1:14" ht="11.25" customHeight="1" x14ac:dyDescent="0.2">
      <c r="A2262" s="287">
        <v>2022</v>
      </c>
      <c r="B2262" s="287">
        <v>12</v>
      </c>
      <c r="C2262" s="287">
        <v>31</v>
      </c>
      <c r="D2262" s="288">
        <f t="shared" si="258"/>
        <v>44926</v>
      </c>
      <c r="E2262" s="289">
        <f t="shared" si="256"/>
        <v>44926</v>
      </c>
      <c r="F2262" s="473"/>
      <c r="G2262" s="290" t="s">
        <v>86</v>
      </c>
      <c r="H2262" s="291" t="str" cm="1">
        <f t="array" ref="H2262">IFERROR(INDEX(INVESTOR_LIST[INVESTOR NAME],MATCH(I2262,INVESTOR_LIST[INVESTOR CODE],0),)," ")</f>
        <v xml:space="preserve"> </v>
      </c>
      <c r="I2262" s="291"/>
      <c r="J2262" s="292" t="s">
        <v>174</v>
      </c>
      <c r="K2262" s="293"/>
      <c r="L2262" s="293">
        <v>74270.429999999993</v>
      </c>
    </row>
    <row r="2263" spans="1:14" ht="11.25" customHeight="1" x14ac:dyDescent="0.2">
      <c r="A2263" s="280">
        <v>2022</v>
      </c>
      <c r="B2263" s="280">
        <v>12</v>
      </c>
      <c r="C2263" s="280">
        <v>31</v>
      </c>
      <c r="D2263" s="281">
        <f t="shared" si="258"/>
        <v>44926</v>
      </c>
      <c r="E2263" s="282">
        <f t="shared" si="256"/>
        <v>44926</v>
      </c>
      <c r="F2263" s="472" t="s">
        <v>1295</v>
      </c>
      <c r="G2263" s="283" t="s">
        <v>86</v>
      </c>
      <c r="H2263" s="284" t="str" cm="1">
        <f t="array" ref="H2263">IFERROR(INDEX(INVESTOR_LIST[INVESTOR NAME],MATCH(I2263,INVESTOR_LIST[INVESTOR CODE],0),)," ")</f>
        <v xml:space="preserve"> </v>
      </c>
      <c r="I2263" s="284"/>
      <c r="J2263" s="285" t="s">
        <v>131</v>
      </c>
      <c r="K2263" s="286">
        <v>15865.38</v>
      </c>
      <c r="L2263" s="286"/>
    </row>
    <row r="2264" spans="1:14" ht="11.25" customHeight="1" x14ac:dyDescent="0.2">
      <c r="A2264" s="287">
        <v>2022</v>
      </c>
      <c r="B2264" s="287">
        <v>12</v>
      </c>
      <c r="C2264" s="287">
        <v>31</v>
      </c>
      <c r="D2264" s="288">
        <f t="shared" si="258"/>
        <v>44926</v>
      </c>
      <c r="E2264" s="289">
        <f t="shared" si="256"/>
        <v>44926</v>
      </c>
      <c r="F2264" s="473"/>
      <c r="G2264" s="290" t="s">
        <v>86</v>
      </c>
      <c r="H2264" s="291" t="str" cm="1">
        <f t="array" ref="H2264">IFERROR(INDEX(INVESTOR_LIST[INVESTOR NAME],MATCH(I2264,INVESTOR_LIST[INVESTOR CODE],0),)," ")</f>
        <v xml:space="preserve"> </v>
      </c>
      <c r="I2264" s="291"/>
      <c r="J2264" s="292" t="s">
        <v>174</v>
      </c>
      <c r="K2264" s="293"/>
      <c r="L2264" s="293">
        <v>15865.38</v>
      </c>
    </row>
    <row r="2265" spans="1:14" ht="11.25" customHeight="1" x14ac:dyDescent="0.2">
      <c r="A2265" s="280">
        <v>2022</v>
      </c>
      <c r="B2265" s="280">
        <v>12</v>
      </c>
      <c r="C2265" s="280">
        <v>31</v>
      </c>
      <c r="D2265" s="281">
        <f t="shared" si="258"/>
        <v>44926</v>
      </c>
      <c r="E2265" s="282">
        <f t="shared" si="256"/>
        <v>44926</v>
      </c>
      <c r="F2265" s="472" t="s">
        <v>1294</v>
      </c>
      <c r="G2265" s="283" t="s">
        <v>86</v>
      </c>
      <c r="H2265" s="284" t="str" cm="1">
        <f t="array" ref="H2265">IFERROR(INDEX(INVESTOR_LIST[INVESTOR NAME],MATCH(I2265,INVESTOR_LIST[INVESTOR CODE],0),)," ")</f>
        <v xml:space="preserve"> </v>
      </c>
      <c r="I2265" s="284"/>
      <c r="J2265" s="285" t="s">
        <v>131</v>
      </c>
      <c r="K2265" s="286">
        <v>9423.08</v>
      </c>
      <c r="L2265" s="286"/>
    </row>
    <row r="2266" spans="1:14" ht="11.25" customHeight="1" x14ac:dyDescent="0.2">
      <c r="A2266" s="287">
        <v>2022</v>
      </c>
      <c r="B2266" s="287">
        <v>12</v>
      </c>
      <c r="C2266" s="287">
        <v>31</v>
      </c>
      <c r="D2266" s="288">
        <f t="shared" si="258"/>
        <v>44926</v>
      </c>
      <c r="E2266" s="289">
        <f t="shared" si="256"/>
        <v>44926</v>
      </c>
      <c r="F2266" s="473"/>
      <c r="G2266" s="290" t="s">
        <v>86</v>
      </c>
      <c r="H2266" s="291" t="str" cm="1">
        <f t="array" ref="H2266">IFERROR(INDEX(INVESTOR_LIST[INVESTOR NAME],MATCH(I2266,INVESTOR_LIST[INVESTOR CODE],0),)," ")</f>
        <v xml:space="preserve"> </v>
      </c>
      <c r="I2266" s="291"/>
      <c r="J2266" s="292" t="s">
        <v>174</v>
      </c>
      <c r="K2266" s="293"/>
      <c r="L2266" s="293">
        <v>9423.08</v>
      </c>
    </row>
    <row r="2267" spans="1:14" ht="11.25" customHeight="1" x14ac:dyDescent="0.2">
      <c r="A2267" s="280">
        <v>2022</v>
      </c>
      <c r="B2267" s="280">
        <v>12</v>
      </c>
      <c r="C2267" s="280">
        <v>31</v>
      </c>
      <c r="D2267" s="281">
        <f t="shared" si="258"/>
        <v>44926</v>
      </c>
      <c r="E2267" s="282">
        <f t="shared" ref="E2267:E2268" si="262">DATE(A2267,B2267,C2267)</f>
        <v>44926</v>
      </c>
      <c r="F2267" s="472" t="s">
        <v>1376</v>
      </c>
      <c r="G2267" s="283" t="s">
        <v>86</v>
      </c>
      <c r="H2267" s="284" t="str" cm="1">
        <f t="array" ref="H2267">IFERROR(INDEX(INVESTOR_LIST[INVESTOR NAME],MATCH(I2267,INVESTOR_LIST[INVESTOR CODE],0),)," ")</f>
        <v xml:space="preserve"> </v>
      </c>
      <c r="I2267" s="284"/>
      <c r="J2267" s="285" t="s">
        <v>131</v>
      </c>
      <c r="K2267" s="286">
        <v>4673.08</v>
      </c>
      <c r="L2267" s="286"/>
    </row>
    <row r="2268" spans="1:14" ht="11.25" customHeight="1" x14ac:dyDescent="0.2">
      <c r="A2268" s="287">
        <v>2022</v>
      </c>
      <c r="B2268" s="287">
        <v>12</v>
      </c>
      <c r="C2268" s="287">
        <v>31</v>
      </c>
      <c r="D2268" s="288">
        <f t="shared" si="258"/>
        <v>44926</v>
      </c>
      <c r="E2268" s="289">
        <f t="shared" si="262"/>
        <v>44926</v>
      </c>
      <c r="F2268" s="473"/>
      <c r="G2268" s="290" t="s">
        <v>86</v>
      </c>
      <c r="H2268" s="291" t="str" cm="1">
        <f t="array" ref="H2268">IFERROR(INDEX(INVESTOR_LIST[INVESTOR NAME],MATCH(I2268,INVESTOR_LIST[INVESTOR CODE],0),)," ")</f>
        <v xml:space="preserve"> </v>
      </c>
      <c r="I2268" s="291"/>
      <c r="J2268" s="292" t="s">
        <v>174</v>
      </c>
      <c r="K2268" s="293"/>
      <c r="L2268" s="293">
        <v>4673.08</v>
      </c>
    </row>
    <row r="2269" spans="1:14" ht="11.25" customHeight="1" x14ac:dyDescent="0.2">
      <c r="A2269" s="236">
        <v>2022</v>
      </c>
      <c r="B2269" s="236">
        <v>12</v>
      </c>
      <c r="C2269" s="236">
        <v>29</v>
      </c>
      <c r="D2269" s="237">
        <f t="shared" si="258"/>
        <v>44924</v>
      </c>
      <c r="E2269" s="238">
        <f t="shared" si="256"/>
        <v>44924</v>
      </c>
      <c r="F2269" s="476" t="s">
        <v>1118</v>
      </c>
      <c r="G2269" s="239" t="s">
        <v>86</v>
      </c>
      <c r="H2269" s="239" t="str" cm="1">
        <f t="array" ref="H2269">IFERROR(INDEX(INVESTOR_LIST[INVESTOR NAME],MATCH(I2269,INVESTOR_LIST[INVESTOR CODE],0),)," ")</f>
        <v xml:space="preserve"> </v>
      </c>
      <c r="I2269" s="240"/>
      <c r="J2269" s="241" t="s">
        <v>98</v>
      </c>
      <c r="K2269" s="242">
        <v>195281.43846152723</v>
      </c>
      <c r="L2269" s="242"/>
    </row>
    <row r="2270" spans="1:14" ht="11.25" customHeight="1" x14ac:dyDescent="0.2">
      <c r="A2270" s="243">
        <v>2022</v>
      </c>
      <c r="B2270" s="243">
        <v>12</v>
      </c>
      <c r="C2270" s="243">
        <v>29</v>
      </c>
      <c r="D2270" s="248">
        <f t="shared" si="258"/>
        <v>44924</v>
      </c>
      <c r="E2270" s="249">
        <f t="shared" si="256"/>
        <v>44924</v>
      </c>
      <c r="F2270" s="477"/>
      <c r="G2270" s="244" t="s">
        <v>86</v>
      </c>
      <c r="H2270" s="244" t="str" cm="1">
        <f t="array" ref="H2270">IFERROR(INDEX(INVESTOR_LIST[INVESTOR NAME],MATCH(I2270,INVESTOR_LIST[INVESTOR CODE],0),)," ")</f>
        <v xml:space="preserve"> </v>
      </c>
      <c r="I2270" s="245"/>
      <c r="J2270" s="246" t="s">
        <v>82</v>
      </c>
      <c r="K2270" s="247"/>
      <c r="L2270" s="247">
        <v>195281.43846152723</v>
      </c>
    </row>
    <row r="2271" spans="1:14" ht="11.25" customHeight="1" x14ac:dyDescent="0.2">
      <c r="A2271" s="236">
        <v>2022</v>
      </c>
      <c r="B2271" s="236">
        <v>12</v>
      </c>
      <c r="C2271" s="236">
        <v>29</v>
      </c>
      <c r="D2271" s="237">
        <f t="shared" si="258"/>
        <v>44924</v>
      </c>
      <c r="E2271" s="238">
        <f t="shared" si="256"/>
        <v>44924</v>
      </c>
      <c r="F2271" s="476" t="s">
        <v>1120</v>
      </c>
      <c r="G2271" s="239" t="s">
        <v>86</v>
      </c>
      <c r="H2271" s="239" t="str" cm="1">
        <f t="array" ref="H2271">IFERROR(INDEX(INVESTOR_LIST[INVESTOR NAME],MATCH(I2271,INVESTOR_LIST[INVESTOR CODE],0),)," ")</f>
        <v xml:space="preserve"> </v>
      </c>
      <c r="I2271" s="240"/>
      <c r="J2271" s="241" t="s">
        <v>87</v>
      </c>
      <c r="K2271" s="242">
        <v>2747.2527472527472</v>
      </c>
      <c r="L2271" s="242"/>
    </row>
    <row r="2272" spans="1:14" ht="11.25" customHeight="1" x14ac:dyDescent="0.2">
      <c r="A2272" s="243">
        <v>2022</v>
      </c>
      <c r="B2272" s="243">
        <v>12</v>
      </c>
      <c r="C2272" s="243">
        <v>29</v>
      </c>
      <c r="D2272" s="248">
        <f t="shared" si="258"/>
        <v>44924</v>
      </c>
      <c r="E2272" s="249">
        <f t="shared" si="256"/>
        <v>44924</v>
      </c>
      <c r="F2272" s="477"/>
      <c r="G2272" s="244" t="s">
        <v>86</v>
      </c>
      <c r="H2272" s="244" t="str" cm="1">
        <f t="array" ref="H2272">IFERROR(INDEX(INVESTOR_LIST[INVESTOR NAME],MATCH(I2272,INVESTOR_LIST[INVESTOR CODE],0),)," ")</f>
        <v xml:space="preserve"> </v>
      </c>
      <c r="I2272" s="245"/>
      <c r="J2272" s="246" t="s">
        <v>64</v>
      </c>
      <c r="K2272" s="247"/>
      <c r="L2272" s="247">
        <v>2747.2527472527472</v>
      </c>
    </row>
    <row r="2273" spans="1:12" ht="11.25" customHeight="1" x14ac:dyDescent="0.2">
      <c r="A2273" s="236">
        <v>2022</v>
      </c>
      <c r="B2273" s="236">
        <v>12</v>
      </c>
      <c r="C2273" s="236">
        <v>29</v>
      </c>
      <c r="D2273" s="237">
        <f t="shared" si="258"/>
        <v>44924</v>
      </c>
      <c r="E2273" s="238">
        <f t="shared" si="256"/>
        <v>44924</v>
      </c>
      <c r="F2273" s="476" t="s">
        <v>1121</v>
      </c>
      <c r="G2273" s="239" t="s">
        <v>86</v>
      </c>
      <c r="H2273" s="239" t="str" cm="1">
        <f t="array" ref="H2273">IFERROR(INDEX(INVESTOR_LIST[INVESTOR NAME],MATCH(I2273,INVESTOR_LIST[INVESTOR CODE],0),)," ")</f>
        <v xml:space="preserve"> </v>
      </c>
      <c r="I2273" s="240"/>
      <c r="J2273" s="241" t="s">
        <v>89</v>
      </c>
      <c r="K2273" s="242">
        <v>87182.612872075508</v>
      </c>
      <c r="L2273" s="242"/>
    </row>
    <row r="2274" spans="1:12" ht="11.25" customHeight="1" x14ac:dyDescent="0.2">
      <c r="A2274" s="243">
        <v>2022</v>
      </c>
      <c r="B2274" s="243">
        <v>12</v>
      </c>
      <c r="C2274" s="243">
        <v>29</v>
      </c>
      <c r="D2274" s="248">
        <f t="shared" si="258"/>
        <v>44924</v>
      </c>
      <c r="E2274" s="249">
        <f t="shared" si="256"/>
        <v>44924</v>
      </c>
      <c r="F2274" s="477"/>
      <c r="G2274" s="244" t="s">
        <v>86</v>
      </c>
      <c r="H2274" s="244" t="str" cm="1">
        <f t="array" ref="H2274">IFERROR(INDEX(INVESTOR_LIST[INVESTOR NAME],MATCH(I2274,INVESTOR_LIST[INVESTOR CODE],0),)," ")</f>
        <v xml:space="preserve"> </v>
      </c>
      <c r="I2274" s="245"/>
      <c r="J2274" s="246" t="s">
        <v>50</v>
      </c>
      <c r="K2274" s="247"/>
      <c r="L2274" s="247">
        <v>87182.612872075508</v>
      </c>
    </row>
    <row r="2275" spans="1:12" ht="11.25" customHeight="1" x14ac:dyDescent="0.2">
      <c r="A2275" s="236">
        <v>2022</v>
      </c>
      <c r="B2275" s="236">
        <v>12</v>
      </c>
      <c r="C2275" s="236">
        <v>29</v>
      </c>
      <c r="D2275" s="237">
        <f t="shared" si="258"/>
        <v>44924</v>
      </c>
      <c r="E2275" s="238">
        <f t="shared" si="256"/>
        <v>44924</v>
      </c>
      <c r="F2275" s="476" t="s">
        <v>1122</v>
      </c>
      <c r="G2275" s="239" t="s">
        <v>86</v>
      </c>
      <c r="H2275" s="239" t="str" cm="1">
        <f t="array" ref="H2275">IFERROR(INDEX(INVESTOR_LIST[INVESTOR NAME],MATCH(I2275,INVESTOR_LIST[INVESTOR CODE],0),)," ")</f>
        <v xml:space="preserve"> </v>
      </c>
      <c r="I2275" s="240"/>
      <c r="J2275" s="241" t="s">
        <v>91</v>
      </c>
      <c r="K2275" s="242">
        <v>4118.7460282191596</v>
      </c>
      <c r="L2275" s="242"/>
    </row>
    <row r="2276" spans="1:12" ht="11.25" customHeight="1" x14ac:dyDescent="0.2">
      <c r="A2276" s="243">
        <v>2022</v>
      </c>
      <c r="B2276" s="243">
        <v>12</v>
      </c>
      <c r="C2276" s="243">
        <v>29</v>
      </c>
      <c r="D2276" s="248">
        <f t="shared" si="258"/>
        <v>44924</v>
      </c>
      <c r="E2276" s="249">
        <f t="shared" si="256"/>
        <v>44924</v>
      </c>
      <c r="F2276" s="477"/>
      <c r="G2276" s="244" t="s">
        <v>86</v>
      </c>
      <c r="H2276" s="244" t="str" cm="1">
        <f t="array" ref="H2276">IFERROR(INDEX(INVESTOR_LIST[INVESTOR NAME],MATCH(I2276,INVESTOR_LIST[INVESTOR CODE],0),)," ")</f>
        <v xml:space="preserve"> </v>
      </c>
      <c r="I2276" s="245"/>
      <c r="J2276" s="246" t="s">
        <v>51</v>
      </c>
      <c r="K2276" s="247"/>
      <c r="L2276" s="247">
        <v>4118.7460282191596</v>
      </c>
    </row>
    <row r="2277" spans="1:12" ht="11.25" customHeight="1" x14ac:dyDescent="0.2">
      <c r="A2277" s="327">
        <v>2023</v>
      </c>
      <c r="B2277" s="327">
        <v>1</v>
      </c>
      <c r="C2277" s="327">
        <v>1</v>
      </c>
      <c r="D2277" s="328">
        <f t="shared" si="258"/>
        <v>44927</v>
      </c>
      <c r="E2277" s="329">
        <f>DATE(A2277,B2277,C2277)</f>
        <v>44927</v>
      </c>
      <c r="F2277" s="474" t="s">
        <v>1460</v>
      </c>
      <c r="G2277" s="331" t="s">
        <v>86</v>
      </c>
      <c r="H2277" s="332" t="str" cm="1">
        <f t="array" ref="H2277">IFERROR(INDEX(INVESTOR_LIST[INVESTOR NAME],MATCH(I2277,INVESTOR_LIST[INVESTOR CODE],0),)," ")</f>
        <v xml:space="preserve"> </v>
      </c>
      <c r="I2277" s="333"/>
      <c r="J2277" s="334" t="s">
        <v>1468</v>
      </c>
      <c r="K2277" s="335">
        <v>2674.54</v>
      </c>
      <c r="L2277" s="336"/>
    </row>
    <row r="2278" spans="1:12" ht="11.25" customHeight="1" x14ac:dyDescent="0.2">
      <c r="A2278" s="327">
        <v>2023</v>
      </c>
      <c r="B2278" s="327">
        <v>1</v>
      </c>
      <c r="C2278" s="327">
        <v>1</v>
      </c>
      <c r="D2278" s="370">
        <f t="shared" si="258"/>
        <v>44927</v>
      </c>
      <c r="E2278" s="371">
        <f t="shared" ref="E2278:E2279" si="263">DATE(A2278,B2278,C2278)</f>
        <v>44927</v>
      </c>
      <c r="F2278" s="495"/>
      <c r="G2278" s="331" t="s">
        <v>86</v>
      </c>
      <c r="H2278" s="333"/>
      <c r="I2278" s="333"/>
      <c r="J2278" s="334" t="s">
        <v>1466</v>
      </c>
      <c r="K2278" s="335"/>
      <c r="L2278" s="336">
        <v>2674.54</v>
      </c>
    </row>
    <row r="2279" spans="1:12" ht="11.25" customHeight="1" x14ac:dyDescent="0.2">
      <c r="A2279" s="327">
        <v>2023</v>
      </c>
      <c r="B2279" s="327">
        <v>1</v>
      </c>
      <c r="C2279" s="327">
        <v>1</v>
      </c>
      <c r="D2279" s="370">
        <f t="shared" si="258"/>
        <v>44927</v>
      </c>
      <c r="E2279" s="371">
        <f t="shared" si="263"/>
        <v>44927</v>
      </c>
      <c r="F2279" s="495"/>
      <c r="G2279" s="331" t="s">
        <v>86</v>
      </c>
      <c r="H2279" s="333"/>
      <c r="I2279" s="333"/>
      <c r="J2279" s="334" t="s">
        <v>1621</v>
      </c>
      <c r="K2279" s="335">
        <v>2674.54</v>
      </c>
      <c r="L2279" s="336"/>
    </row>
    <row r="2280" spans="1:12" ht="11.25" customHeight="1" x14ac:dyDescent="0.2">
      <c r="A2280" s="327">
        <v>2023</v>
      </c>
      <c r="B2280" s="327">
        <v>1</v>
      </c>
      <c r="C2280" s="327">
        <v>1</v>
      </c>
      <c r="D2280" s="337">
        <f t="shared" si="258"/>
        <v>44927</v>
      </c>
      <c r="E2280" s="338">
        <f>DATE(A2280,B2280,C2280)</f>
        <v>44927</v>
      </c>
      <c r="F2280" s="475"/>
      <c r="G2280" s="331" t="s">
        <v>86</v>
      </c>
      <c r="H2280" s="340" t="str" cm="1">
        <f t="array" ref="H2280">IFERROR(INDEX(INVESTOR_LIST[INVESTOR NAME],MATCH(I2280,INVESTOR_LIST[INVESTOR CODE],0),)," ")</f>
        <v xml:space="preserve"> </v>
      </c>
      <c r="I2280" s="333"/>
      <c r="J2280" s="334" t="s">
        <v>1613</v>
      </c>
      <c r="K2280" s="335"/>
      <c r="L2280" s="336">
        <v>2674.54</v>
      </c>
    </row>
    <row r="2281" spans="1:12" ht="11.25" customHeight="1" x14ac:dyDescent="0.2">
      <c r="A2281" s="341">
        <v>2023</v>
      </c>
      <c r="B2281" s="341">
        <v>1</v>
      </c>
      <c r="C2281" s="341">
        <v>1</v>
      </c>
      <c r="D2281" s="328">
        <f t="shared" si="258"/>
        <v>44927</v>
      </c>
      <c r="E2281" s="329">
        <f t="shared" si="256"/>
        <v>44927</v>
      </c>
      <c r="F2281" s="474" t="s">
        <v>1467</v>
      </c>
      <c r="G2281" s="330" t="s">
        <v>1111</v>
      </c>
      <c r="H2281" s="332" t="str" cm="1">
        <f t="array" ref="H2281">IFERROR(INDEX(INVESTOR_LIST[INVESTOR NAME],MATCH(I2281,INVESTOR_LIST[INVESTOR CODE],0),)," ")</f>
        <v>REAZ UDDIN AHMED</v>
      </c>
      <c r="I2281" s="332" t="s">
        <v>382</v>
      </c>
      <c r="J2281" s="342" t="s">
        <v>1112</v>
      </c>
      <c r="K2281" s="343">
        <v>60</v>
      </c>
      <c r="L2281" s="343"/>
    </row>
    <row r="2282" spans="1:12" ht="11.25" customHeight="1" x14ac:dyDescent="0.2">
      <c r="A2282" s="344">
        <v>2023</v>
      </c>
      <c r="B2282" s="344">
        <v>1</v>
      </c>
      <c r="C2282" s="344">
        <v>1</v>
      </c>
      <c r="D2282" s="337">
        <f t="shared" si="258"/>
        <v>44927</v>
      </c>
      <c r="E2282" s="338">
        <f t="shared" si="256"/>
        <v>44927</v>
      </c>
      <c r="F2282" s="475"/>
      <c r="G2282" s="339" t="s">
        <v>1111</v>
      </c>
      <c r="H2282" s="340" t="str" cm="1">
        <f t="array" ref="H2282">IFERROR(INDEX(INVESTOR_LIST[INVESTOR NAME],MATCH(I2282,INVESTOR_LIST[INVESTOR CODE],0),)," ")</f>
        <v>REAZ UDDIN AHMED</v>
      </c>
      <c r="I2282" s="340" t="s">
        <v>382</v>
      </c>
      <c r="J2282" s="345" t="s">
        <v>14</v>
      </c>
      <c r="K2282" s="346"/>
      <c r="L2282" s="346">
        <v>60</v>
      </c>
    </row>
    <row r="2283" spans="1:12" ht="11.25" customHeight="1" x14ac:dyDescent="0.2">
      <c r="A2283" s="221">
        <v>2023</v>
      </c>
      <c r="B2283" s="221">
        <v>1</v>
      </c>
      <c r="C2283" s="221">
        <v>1</v>
      </c>
      <c r="D2283" s="231">
        <f t="shared" si="258"/>
        <v>44927</v>
      </c>
      <c r="E2283" s="233">
        <f t="shared" si="256"/>
        <v>44927</v>
      </c>
      <c r="F2283" s="478" t="s">
        <v>1114</v>
      </c>
      <c r="G2283" s="222" t="s">
        <v>1111</v>
      </c>
      <c r="H2283" s="223" t="str" cm="1">
        <f t="array" ref="H2283">IFERROR(INDEX(INVESTOR_LIST[INVESTOR NAME],MATCH(I2283,INVESTOR_LIST[INVESTOR CODE],0),)," ")</f>
        <v xml:space="preserve"> </v>
      </c>
      <c r="I2283" s="223"/>
      <c r="J2283" s="224" t="s">
        <v>63</v>
      </c>
      <c r="K2283" s="225">
        <v>300</v>
      </c>
      <c r="L2283" s="225"/>
    </row>
    <row r="2284" spans="1:12" ht="11.25" customHeight="1" x14ac:dyDescent="0.2">
      <c r="A2284" s="226">
        <v>2023</v>
      </c>
      <c r="B2284" s="226">
        <v>1</v>
      </c>
      <c r="C2284" s="226">
        <v>1</v>
      </c>
      <c r="D2284" s="232">
        <f t="shared" si="258"/>
        <v>44927</v>
      </c>
      <c r="E2284" s="234">
        <f t="shared" si="256"/>
        <v>44927</v>
      </c>
      <c r="F2284" s="479"/>
      <c r="G2284" s="227" t="s">
        <v>1111</v>
      </c>
      <c r="H2284" s="228" t="str" cm="1">
        <f t="array" ref="H2284">IFERROR(INDEX(INVESTOR_LIST[INVESTOR NAME],MATCH(I2284,INVESTOR_LIST[INVESTOR CODE],0),)," ")</f>
        <v xml:space="preserve"> </v>
      </c>
      <c r="I2284" s="228"/>
      <c r="J2284" s="229" t="s">
        <v>55</v>
      </c>
      <c r="K2284" s="230"/>
      <c r="L2284" s="230">
        <v>300</v>
      </c>
    </row>
    <row r="2285" spans="1:12" ht="11.25" customHeight="1" x14ac:dyDescent="0.2">
      <c r="A2285" s="221">
        <v>2023</v>
      </c>
      <c r="B2285" s="221">
        <v>1</v>
      </c>
      <c r="C2285" s="221">
        <v>1</v>
      </c>
      <c r="D2285" s="231">
        <f t="shared" si="258"/>
        <v>44927</v>
      </c>
      <c r="E2285" s="233">
        <f t="shared" si="256"/>
        <v>44927</v>
      </c>
      <c r="F2285" s="478" t="s">
        <v>1114</v>
      </c>
      <c r="G2285" s="222" t="s">
        <v>1111</v>
      </c>
      <c r="H2285" s="223" t="str" cm="1">
        <f t="array" ref="H2285">IFERROR(INDEX(INVESTOR_LIST[INVESTOR NAME],MATCH(I2285,INVESTOR_LIST[INVESTOR CODE],0),)," ")</f>
        <v xml:space="preserve"> </v>
      </c>
      <c r="I2285" s="223"/>
      <c r="J2285" s="224" t="s">
        <v>63</v>
      </c>
      <c r="K2285" s="225">
        <v>45</v>
      </c>
      <c r="L2285" s="225"/>
    </row>
    <row r="2286" spans="1:12" ht="11.25" customHeight="1" x14ac:dyDescent="0.2">
      <c r="A2286" s="226">
        <v>2023</v>
      </c>
      <c r="B2286" s="226">
        <v>1</v>
      </c>
      <c r="C2286" s="226">
        <v>1</v>
      </c>
      <c r="D2286" s="232">
        <f t="shared" si="258"/>
        <v>44927</v>
      </c>
      <c r="E2286" s="234">
        <f t="shared" si="256"/>
        <v>44927</v>
      </c>
      <c r="F2286" s="479"/>
      <c r="G2286" s="227" t="s">
        <v>1111</v>
      </c>
      <c r="H2286" s="228" t="str" cm="1">
        <f t="array" ref="H2286">IFERROR(INDEX(INVESTOR_LIST[INVESTOR NAME],MATCH(I2286,INVESTOR_LIST[INVESTOR CODE],0),)," ")</f>
        <v xml:space="preserve"> </v>
      </c>
      <c r="I2286" s="228"/>
      <c r="J2286" s="229" t="s">
        <v>55</v>
      </c>
      <c r="K2286" s="230"/>
      <c r="L2286" s="230">
        <v>45</v>
      </c>
    </row>
    <row r="2287" spans="1:12" ht="11.25" customHeight="1" x14ac:dyDescent="0.2">
      <c r="A2287" s="221">
        <v>2023</v>
      </c>
      <c r="B2287" s="221">
        <v>1</v>
      </c>
      <c r="C2287" s="221">
        <v>1</v>
      </c>
      <c r="D2287" s="231">
        <f t="shared" si="258"/>
        <v>44927</v>
      </c>
      <c r="E2287" s="233">
        <f t="shared" ref="E2287:E2291" si="264">DATE(A2287,B2287,C2287)</f>
        <v>44927</v>
      </c>
      <c r="F2287" s="478" t="s">
        <v>1114</v>
      </c>
      <c r="G2287" s="222" t="s">
        <v>1111</v>
      </c>
      <c r="H2287" s="223" t="str" cm="1">
        <f t="array" ref="H2287">IFERROR(INDEX(INVESTOR_LIST[INVESTOR NAME],MATCH(I2287,INVESTOR_LIST[INVESTOR CODE],0),)," ")</f>
        <v xml:space="preserve"> </v>
      </c>
      <c r="I2287" s="223"/>
      <c r="J2287" s="224" t="s">
        <v>63</v>
      </c>
      <c r="K2287" s="225">
        <v>345</v>
      </c>
      <c r="L2287" s="225"/>
    </row>
    <row r="2288" spans="1:12" ht="11.25" customHeight="1" x14ac:dyDescent="0.2">
      <c r="A2288" s="226">
        <v>2023</v>
      </c>
      <c r="B2288" s="226">
        <v>1</v>
      </c>
      <c r="C2288" s="226">
        <v>1</v>
      </c>
      <c r="D2288" s="232">
        <f t="shared" si="258"/>
        <v>44927</v>
      </c>
      <c r="E2288" s="234">
        <f t="shared" si="264"/>
        <v>44927</v>
      </c>
      <c r="F2288" s="479"/>
      <c r="G2288" s="227" t="s">
        <v>1111</v>
      </c>
      <c r="H2288" s="228" t="str" cm="1">
        <f t="array" ref="H2288">IFERROR(INDEX(INVESTOR_LIST[INVESTOR NAME],MATCH(I2288,INVESTOR_LIST[INVESTOR CODE],0),)," ")</f>
        <v xml:space="preserve"> </v>
      </c>
      <c r="I2288" s="228"/>
      <c r="J2288" s="229" t="s">
        <v>55</v>
      </c>
      <c r="K2288" s="230"/>
      <c r="L2288" s="230">
        <v>345</v>
      </c>
    </row>
    <row r="2289" spans="1:13" ht="11.25" customHeight="1" x14ac:dyDescent="0.2">
      <c r="A2289" s="221">
        <v>2023</v>
      </c>
      <c r="B2289" s="221">
        <v>1</v>
      </c>
      <c r="C2289" s="221">
        <v>4</v>
      </c>
      <c r="D2289" s="231">
        <f t="shared" si="258"/>
        <v>44930</v>
      </c>
      <c r="E2289" s="233">
        <f t="shared" si="264"/>
        <v>44930</v>
      </c>
      <c r="F2289" s="478" t="s">
        <v>1115</v>
      </c>
      <c r="G2289" s="222" t="s">
        <v>1111</v>
      </c>
      <c r="H2289" s="223" t="str" cm="1">
        <f t="array" ref="H2289">IFERROR(INDEX(INVESTOR_LIST[INVESTOR NAME],MATCH(I2289,INVESTOR_LIST[INVESTOR CODE],0),)," ")</f>
        <v>SHYAMAL KRISHNA SAHA</v>
      </c>
      <c r="I2289" s="223" t="s">
        <v>327</v>
      </c>
      <c r="J2289" s="224" t="s">
        <v>14</v>
      </c>
      <c r="K2289" s="225">
        <v>500000</v>
      </c>
      <c r="L2289" s="225"/>
    </row>
    <row r="2290" spans="1:13" ht="11.25" customHeight="1" x14ac:dyDescent="0.2">
      <c r="A2290" s="164">
        <v>2023</v>
      </c>
      <c r="B2290" s="164">
        <v>1</v>
      </c>
      <c r="C2290" s="164">
        <v>4</v>
      </c>
      <c r="D2290" s="156">
        <f t="shared" si="258"/>
        <v>44930</v>
      </c>
      <c r="E2290" s="235">
        <f t="shared" si="264"/>
        <v>44930</v>
      </c>
      <c r="F2290" s="480"/>
      <c r="G2290" s="208" t="s">
        <v>1111</v>
      </c>
      <c r="H2290" s="206" t="str" cm="1">
        <f t="array" ref="H2290">IFERROR(INDEX(INVESTOR_LIST[INVESTOR NAME],MATCH(I2290,INVESTOR_LIST[INVESTOR CODE],0),)," ")</f>
        <v>SHYAMAL KRISHNA SAHA</v>
      </c>
      <c r="I2290" s="206" t="s">
        <v>327</v>
      </c>
      <c r="J2290" s="165" t="s">
        <v>1112</v>
      </c>
      <c r="K2290" s="205">
        <v>1000</v>
      </c>
    </row>
    <row r="2291" spans="1:13" ht="11.25" customHeight="1" x14ac:dyDescent="0.2">
      <c r="A2291" s="226">
        <v>2023</v>
      </c>
      <c r="B2291" s="226">
        <v>1</v>
      </c>
      <c r="C2291" s="226">
        <v>4</v>
      </c>
      <c r="D2291" s="232">
        <f t="shared" si="258"/>
        <v>44930</v>
      </c>
      <c r="E2291" s="234">
        <f t="shared" si="264"/>
        <v>44930</v>
      </c>
      <c r="F2291" s="479"/>
      <c r="G2291" s="227" t="s">
        <v>1111</v>
      </c>
      <c r="H2291" s="228" t="str" cm="1">
        <f t="array" ref="H2291">IFERROR(INDEX(INVESTOR_LIST[INVESTOR NAME],MATCH(I2291,INVESTOR_LIST[INVESTOR CODE],0),)," ")</f>
        <v>SHYAMAL KRISHNA SAHA</v>
      </c>
      <c r="I2291" s="228" t="s">
        <v>327</v>
      </c>
      <c r="J2291" s="229" t="s">
        <v>55</v>
      </c>
      <c r="K2291" s="230"/>
      <c r="L2291" s="230">
        <v>501000</v>
      </c>
    </row>
    <row r="2292" spans="1:13" ht="11.25" customHeight="1" x14ac:dyDescent="0.2">
      <c r="A2292" s="221">
        <v>2023</v>
      </c>
      <c r="B2292" s="221">
        <v>1</v>
      </c>
      <c r="C2292" s="221">
        <v>5</v>
      </c>
      <c r="D2292" s="231">
        <f t="shared" si="258"/>
        <v>44931</v>
      </c>
      <c r="E2292" s="233">
        <f t="shared" ref="E2292:E2302" si="265">DATE(A2292,B2292,C2292)</f>
        <v>44931</v>
      </c>
      <c r="F2292" s="478" t="s">
        <v>1115</v>
      </c>
      <c r="G2292" s="222" t="s">
        <v>1111</v>
      </c>
      <c r="H2292" s="223" t="str" cm="1">
        <f t="array" ref="H2292">IFERROR(INDEX(INVESTOR_LIST[INVESTOR NAME],MATCH(I2292,INVESTOR_LIST[INVESTOR CODE],0),)," ")</f>
        <v>MOHAMMED ALI XAHANGIR</v>
      </c>
      <c r="I2292" s="223" t="s">
        <v>541</v>
      </c>
      <c r="J2292" s="224" t="s">
        <v>14</v>
      </c>
      <c r="K2292" s="225">
        <v>2693860</v>
      </c>
      <c r="L2292" s="225"/>
    </row>
    <row r="2293" spans="1:13" ht="11.25" customHeight="1" x14ac:dyDescent="0.2">
      <c r="A2293" s="164">
        <v>2023</v>
      </c>
      <c r="B2293" s="164">
        <v>1</v>
      </c>
      <c r="C2293" s="164">
        <v>5</v>
      </c>
      <c r="D2293" s="156">
        <f t="shared" si="258"/>
        <v>44931</v>
      </c>
      <c r="E2293" s="235">
        <f t="shared" si="265"/>
        <v>44931</v>
      </c>
      <c r="F2293" s="480"/>
      <c r="G2293" s="208" t="s">
        <v>1111</v>
      </c>
      <c r="H2293" s="206" t="str" cm="1">
        <f t="array" ref="H2293">IFERROR(INDEX(INVESTOR_LIST[INVESTOR NAME],MATCH(I2293,INVESTOR_LIST[INVESTOR CODE],0),)," ")</f>
        <v>MOHAMMED ALI XAHANGIR</v>
      </c>
      <c r="I2293" s="206" t="s">
        <v>541</v>
      </c>
      <c r="J2293" s="165" t="s">
        <v>1112</v>
      </c>
      <c r="K2293" s="205">
        <v>5387.72</v>
      </c>
    </row>
    <row r="2294" spans="1:13" ht="11.25" customHeight="1" x14ac:dyDescent="0.2">
      <c r="A2294" s="226">
        <v>2023</v>
      </c>
      <c r="B2294" s="226">
        <v>1</v>
      </c>
      <c r="C2294" s="226">
        <v>5</v>
      </c>
      <c r="D2294" s="232">
        <f t="shared" si="258"/>
        <v>44931</v>
      </c>
      <c r="E2294" s="234">
        <f t="shared" si="265"/>
        <v>44931</v>
      </c>
      <c r="F2294" s="479"/>
      <c r="G2294" s="227" t="s">
        <v>1111</v>
      </c>
      <c r="H2294" s="228" t="str" cm="1">
        <f t="array" ref="H2294">IFERROR(INDEX(INVESTOR_LIST[INVESTOR NAME],MATCH(I2294,INVESTOR_LIST[INVESTOR CODE],0),)," ")</f>
        <v>MOHAMMED ALI XAHANGIR</v>
      </c>
      <c r="I2294" s="228" t="s">
        <v>541</v>
      </c>
      <c r="J2294" s="229" t="s">
        <v>55</v>
      </c>
      <c r="K2294" s="230"/>
      <c r="L2294" s="230">
        <v>2699247.72</v>
      </c>
    </row>
    <row r="2295" spans="1:13" ht="11.25" customHeight="1" x14ac:dyDescent="0.2">
      <c r="A2295" s="221">
        <v>2023</v>
      </c>
      <c r="B2295" s="221">
        <v>1</v>
      </c>
      <c r="C2295" s="221">
        <v>5</v>
      </c>
      <c r="D2295" s="231">
        <f t="shared" si="258"/>
        <v>44931</v>
      </c>
      <c r="E2295" s="233">
        <f t="shared" si="265"/>
        <v>44931</v>
      </c>
      <c r="F2295" s="478" t="s">
        <v>1346</v>
      </c>
      <c r="G2295" s="222" t="s">
        <v>86</v>
      </c>
      <c r="H2295" s="222" t="str" cm="1">
        <f t="array" ref="H2295">IFERROR(INDEX(INVESTOR_LIST[INVESTOR NAME],MATCH(I2295,INVESTOR_LIST[INVESTOR CODE],0),)," ")</f>
        <v xml:space="preserve"> </v>
      </c>
      <c r="I2295" s="223"/>
      <c r="J2295" s="224" t="s">
        <v>80</v>
      </c>
      <c r="K2295" s="225">
        <v>3678400</v>
      </c>
      <c r="L2295" s="225"/>
    </row>
    <row r="2296" spans="1:13" ht="11.25" customHeight="1" x14ac:dyDescent="0.2">
      <c r="A2296" s="164">
        <v>2023</v>
      </c>
      <c r="B2296" s="164">
        <v>1</v>
      </c>
      <c r="C2296" s="164">
        <v>5</v>
      </c>
      <c r="D2296" s="164">
        <f t="shared" si="258"/>
        <v>44931</v>
      </c>
      <c r="E2296" s="235">
        <f t="shared" si="265"/>
        <v>44931</v>
      </c>
      <c r="F2296" s="480"/>
      <c r="G2296" s="208" t="s">
        <v>86</v>
      </c>
      <c r="H2296" s="208"/>
      <c r="J2296" s="165" t="s">
        <v>960</v>
      </c>
      <c r="K2296" s="205">
        <v>6621.12</v>
      </c>
      <c r="L2296" s="205"/>
    </row>
    <row r="2297" spans="1:13" ht="11.25" customHeight="1" x14ac:dyDescent="0.2">
      <c r="A2297" s="226">
        <v>2023</v>
      </c>
      <c r="B2297" s="226">
        <v>1</v>
      </c>
      <c r="C2297" s="226">
        <v>5</v>
      </c>
      <c r="D2297" s="226">
        <f t="shared" si="258"/>
        <v>44931</v>
      </c>
      <c r="E2297" s="234">
        <f t="shared" si="265"/>
        <v>44931</v>
      </c>
      <c r="F2297" s="479"/>
      <c r="G2297" s="227" t="s">
        <v>86</v>
      </c>
      <c r="H2297" s="227"/>
      <c r="I2297" s="228"/>
      <c r="J2297" s="229" t="s">
        <v>961</v>
      </c>
      <c r="K2297" s="294"/>
      <c r="L2297" s="230">
        <v>3685021.12</v>
      </c>
    </row>
    <row r="2298" spans="1:13" ht="11.25" customHeight="1" x14ac:dyDescent="0.2">
      <c r="A2298" s="221">
        <v>2023</v>
      </c>
      <c r="B2298" s="221">
        <v>1</v>
      </c>
      <c r="C2298" s="221">
        <v>8</v>
      </c>
      <c r="D2298" s="231">
        <f t="shared" si="258"/>
        <v>44934</v>
      </c>
      <c r="E2298" s="233">
        <f>DATE(A2298,B2298,C2298)</f>
        <v>44934</v>
      </c>
      <c r="F2298" s="478" t="s">
        <v>1347</v>
      </c>
      <c r="G2298" s="222" t="s">
        <v>1111</v>
      </c>
      <c r="H2298" s="223" t="str" cm="1">
        <f t="array" ref="H2298">IFERROR(INDEX(INVESTOR_LIST[INVESTOR NAME],MATCH(I2298,INVESTOR_LIST[INVESTOR CODE],0),)," ")</f>
        <v xml:space="preserve"> </v>
      </c>
      <c r="I2298" s="223"/>
      <c r="J2298" s="224" t="s">
        <v>961</v>
      </c>
      <c r="K2298" s="225">
        <v>3685021.12</v>
      </c>
      <c r="L2298" s="225"/>
    </row>
    <row r="2299" spans="1:13" ht="11.25" customHeight="1" x14ac:dyDescent="0.2">
      <c r="A2299" s="226">
        <v>2023</v>
      </c>
      <c r="B2299" s="226">
        <v>1</v>
      </c>
      <c r="C2299" s="226">
        <v>8</v>
      </c>
      <c r="D2299" s="232">
        <f t="shared" si="258"/>
        <v>44934</v>
      </c>
      <c r="E2299" s="234">
        <f>DATE(A2299,B2299,C2299)</f>
        <v>44934</v>
      </c>
      <c r="F2299" s="479"/>
      <c r="G2299" s="227" t="s">
        <v>1111</v>
      </c>
      <c r="H2299" s="228" t="str" cm="1">
        <f t="array" ref="H2299">IFERROR(INDEX(INVESTOR_LIST[INVESTOR NAME],MATCH(I2299,INVESTOR_LIST[INVESTOR CODE],0),)," ")</f>
        <v xml:space="preserve"> </v>
      </c>
      <c r="I2299" s="228"/>
      <c r="J2299" s="229" t="s">
        <v>55</v>
      </c>
      <c r="K2299" s="230"/>
      <c r="L2299" s="230">
        <v>3685021.12</v>
      </c>
    </row>
    <row r="2300" spans="1:13" ht="11.25" customHeight="1" x14ac:dyDescent="0.2">
      <c r="A2300" s="221">
        <v>2023</v>
      </c>
      <c r="B2300" s="221">
        <v>1</v>
      </c>
      <c r="C2300" s="221">
        <v>8</v>
      </c>
      <c r="D2300" s="231">
        <f t="shared" si="258"/>
        <v>44934</v>
      </c>
      <c r="E2300" s="233">
        <f t="shared" si="265"/>
        <v>44934</v>
      </c>
      <c r="F2300" s="478" t="s">
        <v>1132</v>
      </c>
      <c r="G2300" s="222" t="s">
        <v>1111</v>
      </c>
      <c r="H2300" s="223" t="str" cm="1">
        <f t="array" ref="H2300">IFERROR(INDEX(INVESTOR_LIST[INVESTOR NAME],MATCH(I2300,INVESTOR_LIST[INVESTOR CODE],0),)," ")</f>
        <v>AHMED ASIF</v>
      </c>
      <c r="I2300" s="223" t="s">
        <v>1273</v>
      </c>
      <c r="J2300" s="224" t="s">
        <v>55</v>
      </c>
      <c r="K2300" s="225">
        <v>5000</v>
      </c>
      <c r="L2300" s="225"/>
    </row>
    <row r="2301" spans="1:13" ht="11.25" customHeight="1" x14ac:dyDescent="0.2">
      <c r="A2301" s="164">
        <v>2023</v>
      </c>
      <c r="B2301" s="164">
        <v>1</v>
      </c>
      <c r="C2301" s="164">
        <v>8</v>
      </c>
      <c r="D2301" s="156">
        <f t="shared" si="258"/>
        <v>44934</v>
      </c>
      <c r="E2301" s="235">
        <f t="shared" si="265"/>
        <v>44934</v>
      </c>
      <c r="F2301" s="480"/>
      <c r="G2301" s="208" t="s">
        <v>1111</v>
      </c>
      <c r="H2301" s="206" t="str" cm="1">
        <f t="array" ref="H2301">IFERROR(INDEX(INVESTOR_LIST[INVESTOR NAME],MATCH(I2301,INVESTOR_LIST[INVESTOR CODE],0),)," ")</f>
        <v>AHMED ASIF</v>
      </c>
      <c r="I2301" s="206" t="s">
        <v>1273</v>
      </c>
      <c r="J2301" s="165" t="s">
        <v>1112</v>
      </c>
      <c r="K2301" s="205"/>
      <c r="L2301" s="205">
        <v>10</v>
      </c>
      <c r="M2301" s="166"/>
    </row>
    <row r="2302" spans="1:13" ht="11.25" customHeight="1" x14ac:dyDescent="0.2">
      <c r="A2302" s="226">
        <v>2023</v>
      </c>
      <c r="B2302" s="226">
        <v>1</v>
      </c>
      <c r="C2302" s="226">
        <v>8</v>
      </c>
      <c r="D2302" s="232">
        <f t="shared" si="258"/>
        <v>44934</v>
      </c>
      <c r="E2302" s="234">
        <f t="shared" si="265"/>
        <v>44934</v>
      </c>
      <c r="F2302" s="479"/>
      <c r="G2302" s="227" t="s">
        <v>1111</v>
      </c>
      <c r="H2302" s="228" t="str" cm="1">
        <f t="array" ref="H2302">IFERROR(INDEX(INVESTOR_LIST[INVESTOR NAME],MATCH(I2302,INVESTOR_LIST[INVESTOR CODE],0),)," ")</f>
        <v>AHMED ASIF</v>
      </c>
      <c r="I2302" s="228" t="s">
        <v>1273</v>
      </c>
      <c r="J2302" s="229" t="s">
        <v>14</v>
      </c>
      <c r="K2302" s="230"/>
      <c r="L2302" s="230">
        <v>4990</v>
      </c>
    </row>
    <row r="2303" spans="1:13" ht="11.25" customHeight="1" x14ac:dyDescent="0.2">
      <c r="A2303" s="221">
        <v>2023</v>
      </c>
      <c r="B2303" s="221">
        <v>1</v>
      </c>
      <c r="C2303" s="221">
        <v>8</v>
      </c>
      <c r="D2303" s="231">
        <f t="shared" si="258"/>
        <v>44934</v>
      </c>
      <c r="E2303" s="233">
        <f t="shared" ref="E2303:E2367" si="266">DATE(A2303,B2303,C2303)</f>
        <v>44934</v>
      </c>
      <c r="F2303" s="478" t="s">
        <v>1115</v>
      </c>
      <c r="G2303" s="222" t="s">
        <v>1111</v>
      </c>
      <c r="H2303" s="223" t="str" cm="1">
        <f t="array" ref="H2303">IFERROR(INDEX(INVESTOR_LIST[INVESTOR NAME],MATCH(I2303,INVESTOR_LIST[INVESTOR CODE],0),)," ")</f>
        <v>MINHAJ UDDIN</v>
      </c>
      <c r="I2303" s="223" t="s">
        <v>339</v>
      </c>
      <c r="J2303" s="224" t="s">
        <v>14</v>
      </c>
      <c r="K2303" s="225">
        <v>356410</v>
      </c>
      <c r="L2303" s="225"/>
    </row>
    <row r="2304" spans="1:13" ht="11.25" customHeight="1" x14ac:dyDescent="0.2">
      <c r="A2304" s="164">
        <v>2023</v>
      </c>
      <c r="B2304" s="164">
        <v>1</v>
      </c>
      <c r="C2304" s="164">
        <v>8</v>
      </c>
      <c r="D2304" s="156">
        <f t="shared" si="258"/>
        <v>44934</v>
      </c>
      <c r="E2304" s="235">
        <f t="shared" si="266"/>
        <v>44934</v>
      </c>
      <c r="F2304" s="480"/>
      <c r="G2304" s="208" t="s">
        <v>1111</v>
      </c>
      <c r="H2304" s="206" t="str" cm="1">
        <f t="array" ref="H2304">IFERROR(INDEX(INVESTOR_LIST[INVESTOR NAME],MATCH(I2304,INVESTOR_LIST[INVESTOR CODE],0),)," ")</f>
        <v>MINHAJ UDDIN</v>
      </c>
      <c r="I2304" s="206" t="s">
        <v>339</v>
      </c>
      <c r="J2304" s="165" t="s">
        <v>1112</v>
      </c>
      <c r="K2304" s="205">
        <v>712.82</v>
      </c>
    </row>
    <row r="2305" spans="1:12" ht="11.25" customHeight="1" x14ac:dyDescent="0.2">
      <c r="A2305" s="226">
        <v>2023</v>
      </c>
      <c r="B2305" s="226">
        <v>1</v>
      </c>
      <c r="C2305" s="226">
        <v>8</v>
      </c>
      <c r="D2305" s="232">
        <f t="shared" si="258"/>
        <v>44934</v>
      </c>
      <c r="E2305" s="234">
        <f t="shared" si="266"/>
        <v>44934</v>
      </c>
      <c r="F2305" s="479"/>
      <c r="G2305" s="227" t="s">
        <v>1111</v>
      </c>
      <c r="H2305" s="228" t="str" cm="1">
        <f t="array" ref="H2305">IFERROR(INDEX(INVESTOR_LIST[INVESTOR NAME],MATCH(I2305,INVESTOR_LIST[INVESTOR CODE],0),)," ")</f>
        <v>MINHAJ UDDIN</v>
      </c>
      <c r="I2305" s="228" t="s">
        <v>339</v>
      </c>
      <c r="J2305" s="229" t="s">
        <v>55</v>
      </c>
      <c r="K2305" s="230"/>
      <c r="L2305" s="230">
        <v>357122.82</v>
      </c>
    </row>
    <row r="2306" spans="1:12" ht="11.25" customHeight="1" x14ac:dyDescent="0.2">
      <c r="A2306" s="221">
        <v>2023</v>
      </c>
      <c r="B2306" s="221">
        <v>1</v>
      </c>
      <c r="C2306" s="221">
        <v>8</v>
      </c>
      <c r="D2306" s="221">
        <f t="shared" si="258"/>
        <v>44934</v>
      </c>
      <c r="E2306" s="233">
        <f t="shared" si="266"/>
        <v>44934</v>
      </c>
      <c r="F2306" s="478" t="s">
        <v>1392</v>
      </c>
      <c r="G2306" s="222" t="s">
        <v>86</v>
      </c>
      <c r="H2306" s="222" t="str" cm="1">
        <f t="array" ref="H2306">IFERROR(INDEX(INVESTOR_LIST[INVESTOR NAME],MATCH(I2306,INVESTOR_LIST[INVESTOR CODE],0),)," ")</f>
        <v xml:space="preserve"> </v>
      </c>
      <c r="I2306" s="223"/>
      <c r="J2306" s="224" t="s">
        <v>80</v>
      </c>
      <c r="K2306" s="225">
        <v>1514250</v>
      </c>
      <c r="L2306" s="225"/>
    </row>
    <row r="2307" spans="1:12" ht="11.25" customHeight="1" x14ac:dyDescent="0.2">
      <c r="A2307" s="164">
        <v>2023</v>
      </c>
      <c r="B2307" s="164">
        <v>1</v>
      </c>
      <c r="C2307" s="164">
        <v>8</v>
      </c>
      <c r="D2307" s="164">
        <f t="shared" si="258"/>
        <v>44934</v>
      </c>
      <c r="E2307" s="235">
        <f t="shared" si="266"/>
        <v>44934</v>
      </c>
      <c r="F2307" s="480"/>
      <c r="G2307" s="208" t="s">
        <v>86</v>
      </c>
      <c r="H2307" s="208"/>
      <c r="J2307" s="165" t="s">
        <v>960</v>
      </c>
      <c r="K2307" s="205">
        <v>3370.55</v>
      </c>
      <c r="L2307" s="205"/>
    </row>
    <row r="2308" spans="1:12" ht="11.25" customHeight="1" x14ac:dyDescent="0.2">
      <c r="A2308" s="164">
        <v>2023</v>
      </c>
      <c r="B2308" s="164">
        <v>1</v>
      </c>
      <c r="C2308" s="164">
        <v>8</v>
      </c>
      <c r="D2308" s="164">
        <f t="shared" si="258"/>
        <v>44934</v>
      </c>
      <c r="E2308" s="235">
        <f t="shared" si="266"/>
        <v>44934</v>
      </c>
      <c r="F2308" s="480"/>
      <c r="G2308" s="208" t="s">
        <v>86</v>
      </c>
      <c r="H2308" s="208"/>
      <c r="J2308" s="165" t="s">
        <v>961</v>
      </c>
      <c r="K2308" s="263"/>
      <c r="L2308" s="205">
        <v>1159339.55</v>
      </c>
    </row>
    <row r="2309" spans="1:12" ht="11.25" customHeight="1" x14ac:dyDescent="0.2">
      <c r="A2309" s="164">
        <v>2023</v>
      </c>
      <c r="B2309" s="164">
        <v>1</v>
      </c>
      <c r="C2309" s="164">
        <v>8</v>
      </c>
      <c r="D2309" s="164">
        <f t="shared" si="258"/>
        <v>44934</v>
      </c>
      <c r="E2309" s="235">
        <f t="shared" si="266"/>
        <v>44934</v>
      </c>
      <c r="F2309" s="480"/>
      <c r="G2309" s="208" t="s">
        <v>86</v>
      </c>
      <c r="H2309" s="208"/>
      <c r="J2309" s="165" t="s">
        <v>200</v>
      </c>
      <c r="K2309" s="263"/>
      <c r="L2309" s="205">
        <v>282051</v>
      </c>
    </row>
    <row r="2310" spans="1:12" ht="11.25" customHeight="1" x14ac:dyDescent="0.2">
      <c r="A2310" s="226">
        <v>2023</v>
      </c>
      <c r="B2310" s="226">
        <v>1</v>
      </c>
      <c r="C2310" s="226">
        <v>8</v>
      </c>
      <c r="D2310" s="226">
        <f t="shared" si="258"/>
        <v>44934</v>
      </c>
      <c r="E2310" s="234">
        <f t="shared" si="266"/>
        <v>44934</v>
      </c>
      <c r="F2310" s="479"/>
      <c r="G2310" s="227" t="s">
        <v>86</v>
      </c>
      <c r="H2310" s="228" t="str" cm="1">
        <f t="array" ref="H2310">IFERROR(INDEX(INVESTOR_LIST[INVESTOR NAME],MATCH(I2310,INVESTOR_LIST[INVESTOR CODE],0),)," ")</f>
        <v xml:space="preserve"> </v>
      </c>
      <c r="I2310" s="228"/>
      <c r="J2310" s="229" t="s">
        <v>80</v>
      </c>
      <c r="K2310" s="230"/>
      <c r="L2310" s="230">
        <v>76230</v>
      </c>
    </row>
    <row r="2311" spans="1:12" ht="11.25" customHeight="1" x14ac:dyDescent="0.2">
      <c r="A2311" s="221">
        <v>2023</v>
      </c>
      <c r="B2311" s="221">
        <v>1</v>
      </c>
      <c r="C2311" s="221">
        <v>9</v>
      </c>
      <c r="D2311" s="221">
        <f t="shared" si="258"/>
        <v>44935</v>
      </c>
      <c r="E2311" s="233">
        <f t="shared" si="266"/>
        <v>44935</v>
      </c>
      <c r="F2311" s="478" t="s">
        <v>1301</v>
      </c>
      <c r="G2311" s="222" t="s">
        <v>86</v>
      </c>
      <c r="H2311" s="222" t="str" cm="1">
        <f t="array" ref="H2311">IFERROR(INDEX(INVESTOR_LIST[INVESTOR NAME],MATCH(I2311,INVESTOR_LIST[INVESTOR CODE],0),)," ")</f>
        <v xml:space="preserve"> </v>
      </c>
      <c r="I2311" s="223"/>
      <c r="J2311" s="165" t="s">
        <v>199</v>
      </c>
      <c r="K2311" s="295">
        <v>501487.69</v>
      </c>
      <c r="L2311" s="225"/>
    </row>
    <row r="2312" spans="1:12" ht="11.25" customHeight="1" x14ac:dyDescent="0.2">
      <c r="A2312" s="164">
        <v>2023</v>
      </c>
      <c r="B2312" s="164">
        <v>1</v>
      </c>
      <c r="C2312" s="164">
        <v>9</v>
      </c>
      <c r="D2312" s="164">
        <f t="shared" si="258"/>
        <v>44935</v>
      </c>
      <c r="E2312" s="235">
        <f t="shared" si="266"/>
        <v>44935</v>
      </c>
      <c r="F2312" s="480"/>
      <c r="G2312" s="208" t="s">
        <v>86</v>
      </c>
      <c r="H2312" s="208"/>
      <c r="J2312" s="165" t="s">
        <v>960</v>
      </c>
      <c r="K2312" s="205">
        <v>904.31</v>
      </c>
      <c r="L2312" s="205"/>
    </row>
    <row r="2313" spans="1:12" ht="11.25" customHeight="1" x14ac:dyDescent="0.2">
      <c r="A2313" s="164">
        <v>2023</v>
      </c>
      <c r="B2313" s="164">
        <v>1</v>
      </c>
      <c r="C2313" s="164">
        <v>9</v>
      </c>
      <c r="D2313" s="164">
        <f t="shared" ref="D2313:D2376" si="267">DATE(A2313,B2313,C2313)</f>
        <v>44935</v>
      </c>
      <c r="E2313" s="235">
        <f t="shared" si="266"/>
        <v>44935</v>
      </c>
      <c r="F2313" s="480"/>
      <c r="G2313" s="208" t="s">
        <v>86</v>
      </c>
      <c r="H2313" s="208"/>
      <c r="J2313" s="165" t="s">
        <v>200</v>
      </c>
      <c r="K2313" s="205">
        <v>48611.29</v>
      </c>
      <c r="L2313" s="205"/>
    </row>
    <row r="2314" spans="1:12" ht="11.25" customHeight="1" x14ac:dyDescent="0.2">
      <c r="A2314" s="226">
        <v>2023</v>
      </c>
      <c r="B2314" s="226">
        <v>1</v>
      </c>
      <c r="C2314" s="226">
        <v>9</v>
      </c>
      <c r="D2314" s="226">
        <f t="shared" si="267"/>
        <v>44935</v>
      </c>
      <c r="E2314" s="234">
        <f t="shared" si="266"/>
        <v>44935</v>
      </c>
      <c r="F2314" s="479"/>
      <c r="G2314" s="227" t="s">
        <v>86</v>
      </c>
      <c r="H2314" s="228" t="str" cm="1">
        <f t="array" ref="H2314">IFERROR(INDEX(INVESTOR_LIST[INVESTOR NAME],MATCH(I2314,INVESTOR_LIST[INVESTOR CODE],0),)," ")</f>
        <v xml:space="preserve"> </v>
      </c>
      <c r="I2314" s="228"/>
      <c r="J2314" s="229" t="s">
        <v>80</v>
      </c>
      <c r="K2314" s="230"/>
      <c r="L2314" s="230">
        <v>551003.29</v>
      </c>
    </row>
    <row r="2315" spans="1:12" ht="11.25" customHeight="1" x14ac:dyDescent="0.2">
      <c r="A2315" s="221">
        <v>2023</v>
      </c>
      <c r="B2315" s="221">
        <v>1</v>
      </c>
      <c r="C2315" s="221">
        <v>11</v>
      </c>
      <c r="D2315" s="231">
        <f t="shared" si="267"/>
        <v>44937</v>
      </c>
      <c r="E2315" s="233">
        <f>DATE(A2315,B2315,C2315)</f>
        <v>44937</v>
      </c>
      <c r="F2315" s="478" t="s">
        <v>1307</v>
      </c>
      <c r="G2315" s="222" t="s">
        <v>1111</v>
      </c>
      <c r="H2315" s="223" t="str" cm="1">
        <f t="array" ref="H2315">IFERROR(INDEX(INVESTOR_LIST[INVESTOR NAME],MATCH(I2315,INVESTOR_LIST[INVESTOR CODE],0),)," ")</f>
        <v xml:space="preserve"> </v>
      </c>
      <c r="I2315" s="223"/>
      <c r="J2315" s="224" t="s">
        <v>961</v>
      </c>
      <c r="K2315" s="225">
        <v>1159339.55</v>
      </c>
      <c r="L2315" s="225"/>
    </row>
    <row r="2316" spans="1:12" ht="11.25" customHeight="1" x14ac:dyDescent="0.2">
      <c r="A2316" s="226">
        <v>2023</v>
      </c>
      <c r="B2316" s="226">
        <v>1</v>
      </c>
      <c r="C2316" s="226">
        <v>11</v>
      </c>
      <c r="D2316" s="232">
        <f t="shared" si="267"/>
        <v>44937</v>
      </c>
      <c r="E2316" s="234">
        <f>DATE(A2316,B2316,C2316)</f>
        <v>44937</v>
      </c>
      <c r="F2316" s="479"/>
      <c r="G2316" s="227" t="s">
        <v>1111</v>
      </c>
      <c r="H2316" s="228" t="str" cm="1">
        <f t="array" ref="H2316">IFERROR(INDEX(INVESTOR_LIST[INVESTOR NAME],MATCH(I2316,INVESTOR_LIST[INVESTOR CODE],0),)," ")</f>
        <v xml:space="preserve"> </v>
      </c>
      <c r="I2316" s="228"/>
      <c r="J2316" s="229" t="s">
        <v>55</v>
      </c>
      <c r="K2316" s="230"/>
      <c r="L2316" s="230">
        <v>1159339.55</v>
      </c>
    </row>
    <row r="2317" spans="1:12" ht="11.25" customHeight="1" x14ac:dyDescent="0.2">
      <c r="A2317" s="221">
        <v>2023</v>
      </c>
      <c r="B2317" s="221">
        <v>1</v>
      </c>
      <c r="C2317" s="221">
        <v>11</v>
      </c>
      <c r="D2317" s="231">
        <f t="shared" si="267"/>
        <v>44937</v>
      </c>
      <c r="E2317" s="233">
        <f>DATE(A2317,B2317,C2317)</f>
        <v>44937</v>
      </c>
      <c r="F2317" s="478" t="s">
        <v>1303</v>
      </c>
      <c r="G2317" s="222" t="s">
        <v>1111</v>
      </c>
      <c r="H2317" s="223" t="str" cm="1">
        <f t="array" ref="H2317">IFERROR(INDEX(INVESTOR_LIST[INVESTOR NAME],MATCH(I2317,INVESTOR_LIST[INVESTOR CODE],0),)," ")</f>
        <v xml:space="preserve"> </v>
      </c>
      <c r="I2317" s="223"/>
      <c r="J2317" s="224" t="s">
        <v>55</v>
      </c>
      <c r="K2317" s="225">
        <v>501487.69</v>
      </c>
      <c r="L2317" s="225"/>
    </row>
    <row r="2318" spans="1:12" ht="11.25" customHeight="1" x14ac:dyDescent="0.2">
      <c r="A2318" s="226">
        <v>2023</v>
      </c>
      <c r="B2318" s="226">
        <v>1</v>
      </c>
      <c r="C2318" s="226">
        <v>11</v>
      </c>
      <c r="D2318" s="232">
        <f t="shared" si="267"/>
        <v>44937</v>
      </c>
      <c r="E2318" s="234">
        <f>DATE(A2318,B2318,C2318)</f>
        <v>44937</v>
      </c>
      <c r="F2318" s="479"/>
      <c r="G2318" s="227" t="s">
        <v>1111</v>
      </c>
      <c r="H2318" s="228" t="str" cm="1">
        <f t="array" ref="H2318">IFERROR(INDEX(INVESTOR_LIST[INVESTOR NAME],MATCH(I2318,INVESTOR_LIST[INVESTOR CODE],0),)," ")</f>
        <v xml:space="preserve"> </v>
      </c>
      <c r="I2318" s="228"/>
      <c r="J2318" s="229" t="s">
        <v>199</v>
      </c>
      <c r="K2318" s="230"/>
      <c r="L2318" s="230">
        <v>501487.69</v>
      </c>
    </row>
    <row r="2319" spans="1:12" ht="11.25" customHeight="1" x14ac:dyDescent="0.2">
      <c r="A2319" s="221">
        <v>2023</v>
      </c>
      <c r="B2319" s="221">
        <v>1</v>
      </c>
      <c r="C2319" s="221">
        <v>11</v>
      </c>
      <c r="D2319" s="231">
        <f t="shared" si="267"/>
        <v>44937</v>
      </c>
      <c r="E2319" s="233">
        <f t="shared" ref="E2319:E2321" si="268">DATE(A2319,B2319,C2319)</f>
        <v>44937</v>
      </c>
      <c r="F2319" s="478" t="s">
        <v>1393</v>
      </c>
      <c r="G2319" s="222" t="s">
        <v>1111</v>
      </c>
      <c r="H2319" s="223" t="str" cm="1">
        <f t="array" ref="H2319">IFERROR(INDEX(INVESTOR_LIST[INVESTOR NAME],MATCH(I2319,INVESTOR_LIST[INVESTOR CODE],0),)," ")</f>
        <v xml:space="preserve"> </v>
      </c>
      <c r="I2319" s="223"/>
      <c r="J2319" s="224" t="s">
        <v>55</v>
      </c>
      <c r="K2319" s="225">
        <v>142800</v>
      </c>
      <c r="L2319" s="225"/>
    </row>
    <row r="2320" spans="1:12" ht="11.25" customHeight="1" x14ac:dyDescent="0.2">
      <c r="A2320" s="164">
        <v>2023</v>
      </c>
      <c r="B2320" s="164">
        <v>1</v>
      </c>
      <c r="C2320" s="164">
        <v>11</v>
      </c>
      <c r="D2320" s="156">
        <f t="shared" si="267"/>
        <v>44937</v>
      </c>
      <c r="E2320" s="235">
        <f t="shared" ref="E2320" si="269">DATE(A2320,B2320,C2320)</f>
        <v>44937</v>
      </c>
      <c r="F2320" s="480"/>
      <c r="G2320" s="208" t="s">
        <v>1111</v>
      </c>
      <c r="J2320" s="165" t="s">
        <v>191</v>
      </c>
      <c r="K2320" s="205"/>
      <c r="L2320" s="205">
        <v>8400</v>
      </c>
    </row>
    <row r="2321" spans="1:15" ht="11.25" customHeight="1" x14ac:dyDescent="0.2">
      <c r="A2321" s="226">
        <v>2023</v>
      </c>
      <c r="B2321" s="226">
        <v>1</v>
      </c>
      <c r="C2321" s="226">
        <v>11</v>
      </c>
      <c r="D2321" s="232">
        <f t="shared" si="267"/>
        <v>44937</v>
      </c>
      <c r="E2321" s="234">
        <f t="shared" si="268"/>
        <v>44937</v>
      </c>
      <c r="F2321" s="479"/>
      <c r="G2321" s="227" t="s">
        <v>1111</v>
      </c>
      <c r="H2321" s="228" t="str" cm="1">
        <f t="array" ref="H2321">IFERROR(INDEX(INVESTOR_LIST[INVESTOR NAME],MATCH(I2321,INVESTOR_LIST[INVESTOR CODE],0),)," ")</f>
        <v xml:space="preserve"> </v>
      </c>
      <c r="I2321" s="228"/>
      <c r="J2321" s="229" t="s">
        <v>192</v>
      </c>
      <c r="K2321" s="230"/>
      <c r="L2321" s="230">
        <v>134400</v>
      </c>
      <c r="M2321" s="166"/>
    </row>
    <row r="2322" spans="1:15" ht="11.25" customHeight="1" x14ac:dyDescent="0.2">
      <c r="A2322" s="221">
        <v>2023</v>
      </c>
      <c r="B2322" s="221">
        <v>1</v>
      </c>
      <c r="C2322" s="221">
        <v>12</v>
      </c>
      <c r="D2322" s="231">
        <f t="shared" si="267"/>
        <v>44938</v>
      </c>
      <c r="E2322" s="233">
        <f t="shared" ref="E2322:E2325" si="270">DATE(A2322,B2322,C2322)</f>
        <v>44938</v>
      </c>
      <c r="F2322" s="478" t="s">
        <v>1394</v>
      </c>
      <c r="G2322" s="222" t="s">
        <v>1111</v>
      </c>
      <c r="H2322" s="223" t="str" cm="1">
        <f t="array" ref="H2322">IFERROR(INDEX(INVESTOR_LIST[INVESTOR NAME],MATCH(I2322,INVESTOR_LIST[INVESTOR CODE],0),)," ")</f>
        <v xml:space="preserve"> </v>
      </c>
      <c r="I2322" s="223"/>
      <c r="J2322" s="224" t="s">
        <v>55</v>
      </c>
      <c r="K2322" s="225">
        <v>522400</v>
      </c>
      <c r="L2322" s="225"/>
    </row>
    <row r="2323" spans="1:15" ht="11.25" customHeight="1" x14ac:dyDescent="0.2">
      <c r="A2323" s="226">
        <v>2023</v>
      </c>
      <c r="B2323" s="226">
        <v>1</v>
      </c>
      <c r="C2323" s="226">
        <v>12</v>
      </c>
      <c r="D2323" s="232">
        <f t="shared" si="267"/>
        <v>44938</v>
      </c>
      <c r="E2323" s="234">
        <f t="shared" si="270"/>
        <v>44938</v>
      </c>
      <c r="F2323" s="479"/>
      <c r="G2323" s="227" t="s">
        <v>1111</v>
      </c>
      <c r="H2323" s="228" t="str" cm="1">
        <f t="array" ref="H2323">IFERROR(INDEX(INVESTOR_LIST[INVESTOR NAME],MATCH(I2323,INVESTOR_LIST[INVESTOR CODE],0),)," ")</f>
        <v xml:space="preserve"> </v>
      </c>
      <c r="I2323" s="228"/>
      <c r="J2323" s="229" t="s">
        <v>192</v>
      </c>
      <c r="K2323" s="230"/>
      <c r="L2323" s="230">
        <v>522400</v>
      </c>
      <c r="M2323" s="166"/>
    </row>
    <row r="2324" spans="1:15" ht="11.25" customHeight="1" x14ac:dyDescent="0.2">
      <c r="A2324" s="221">
        <v>2023</v>
      </c>
      <c r="B2324" s="221">
        <v>1</v>
      </c>
      <c r="C2324" s="221">
        <v>12</v>
      </c>
      <c r="D2324" s="231">
        <f t="shared" si="267"/>
        <v>44938</v>
      </c>
      <c r="E2324" s="233">
        <f t="shared" si="270"/>
        <v>44938</v>
      </c>
      <c r="F2324" s="478" t="s">
        <v>1395</v>
      </c>
      <c r="G2324" s="222" t="s">
        <v>1111</v>
      </c>
      <c r="H2324" s="223" t="str" cm="1">
        <f t="array" ref="H2324">IFERROR(INDEX(INVESTOR_LIST[INVESTOR NAME],MATCH(I2324,INVESTOR_LIST[INVESTOR CODE],0),)," ")</f>
        <v xml:space="preserve"> </v>
      </c>
      <c r="I2324" s="223"/>
      <c r="J2324" s="224" t="s">
        <v>95</v>
      </c>
      <c r="K2324" s="225">
        <v>612.70000000000005</v>
      </c>
      <c r="L2324" s="225"/>
    </row>
    <row r="2325" spans="1:15" ht="11.25" customHeight="1" x14ac:dyDescent="0.2">
      <c r="A2325" s="226">
        <v>2023</v>
      </c>
      <c r="B2325" s="226">
        <v>1</v>
      </c>
      <c r="C2325" s="226">
        <v>12</v>
      </c>
      <c r="D2325" s="232">
        <f t="shared" si="267"/>
        <v>44938</v>
      </c>
      <c r="E2325" s="234">
        <f t="shared" si="270"/>
        <v>44938</v>
      </c>
      <c r="F2325" s="479"/>
      <c r="G2325" s="227" t="s">
        <v>1111</v>
      </c>
      <c r="H2325" s="228" t="str" cm="1">
        <f t="array" ref="H2325">IFERROR(INDEX(INVESTOR_LIST[INVESTOR NAME],MATCH(I2325,INVESTOR_LIST[INVESTOR CODE],0),)," ")</f>
        <v xml:space="preserve"> </v>
      </c>
      <c r="I2325" s="228"/>
      <c r="J2325" s="229" t="s">
        <v>55</v>
      </c>
      <c r="K2325" s="230"/>
      <c r="L2325" s="230">
        <v>612.70000000000005</v>
      </c>
    </row>
    <row r="2326" spans="1:15" ht="11.25" customHeight="1" x14ac:dyDescent="0.2">
      <c r="A2326" s="221">
        <v>2023</v>
      </c>
      <c r="B2326" s="221">
        <v>1</v>
      </c>
      <c r="C2326" s="221">
        <v>16</v>
      </c>
      <c r="D2326" s="231">
        <f t="shared" si="267"/>
        <v>44942</v>
      </c>
      <c r="E2326" s="233">
        <f t="shared" si="266"/>
        <v>44942</v>
      </c>
      <c r="F2326" s="478" t="s">
        <v>1132</v>
      </c>
      <c r="G2326" s="222" t="s">
        <v>1111</v>
      </c>
      <c r="H2326" s="223" t="str" cm="1">
        <f t="array" ref="H2326">IFERROR(INDEX(INVESTOR_LIST[INVESTOR NAME],MATCH(I2326,INVESTOR_LIST[INVESTOR CODE],0),)," ")</f>
        <v>ANIK KUMAR GUPTA</v>
      </c>
      <c r="I2326" s="223" t="s">
        <v>950</v>
      </c>
      <c r="J2326" s="224" t="s">
        <v>55</v>
      </c>
      <c r="K2326" s="225">
        <v>1000</v>
      </c>
      <c r="L2326" s="225"/>
    </row>
    <row r="2327" spans="1:15" ht="11.25" customHeight="1" x14ac:dyDescent="0.2">
      <c r="A2327" s="226">
        <v>2023</v>
      </c>
      <c r="B2327" s="226">
        <v>1</v>
      </c>
      <c r="C2327" s="226">
        <v>16</v>
      </c>
      <c r="D2327" s="232">
        <f t="shared" si="267"/>
        <v>44942</v>
      </c>
      <c r="E2327" s="234">
        <f t="shared" si="266"/>
        <v>44942</v>
      </c>
      <c r="F2327" s="479"/>
      <c r="G2327" s="227" t="s">
        <v>1111</v>
      </c>
      <c r="H2327" s="228" t="str" cm="1">
        <f t="array" ref="H2327">IFERROR(INDEX(INVESTOR_LIST[INVESTOR NAME],MATCH(I2327,INVESTOR_LIST[INVESTOR CODE],0),)," ")</f>
        <v>ANIK KUMAR GUPTA</v>
      </c>
      <c r="I2327" s="228" t="s">
        <v>950</v>
      </c>
      <c r="J2327" s="229" t="s">
        <v>14</v>
      </c>
      <c r="K2327" s="230"/>
      <c r="L2327" s="230">
        <v>1000</v>
      </c>
    </row>
    <row r="2328" spans="1:15" ht="11.25" customHeight="1" x14ac:dyDescent="0.2">
      <c r="A2328" s="221">
        <v>2023</v>
      </c>
      <c r="B2328" s="221">
        <v>1</v>
      </c>
      <c r="C2328" s="221">
        <v>17</v>
      </c>
      <c r="D2328" s="231">
        <f t="shared" si="267"/>
        <v>44943</v>
      </c>
      <c r="E2328" s="233">
        <f t="shared" si="266"/>
        <v>44943</v>
      </c>
      <c r="F2328" s="478" t="s">
        <v>802</v>
      </c>
      <c r="G2328" s="222" t="s">
        <v>1111</v>
      </c>
      <c r="H2328" s="223" t="str" cm="1">
        <f t="array" ref="H2328">IFERROR(INDEX(INVESTOR_LIST[INVESTOR NAME],MATCH(I2328,INVESTOR_LIST[INVESTOR CODE],0),)," ")</f>
        <v>MD. BABUL MIAH</v>
      </c>
      <c r="I2328" s="223" t="s">
        <v>1200</v>
      </c>
      <c r="J2328" s="224" t="s">
        <v>55</v>
      </c>
      <c r="K2328" s="225">
        <v>20000</v>
      </c>
      <c r="L2328" s="225"/>
    </row>
    <row r="2329" spans="1:15" ht="11.25" customHeight="1" x14ac:dyDescent="0.2">
      <c r="A2329" s="164">
        <v>2023</v>
      </c>
      <c r="B2329" s="164">
        <v>1</v>
      </c>
      <c r="C2329" s="164">
        <v>17</v>
      </c>
      <c r="D2329" s="156">
        <f t="shared" si="267"/>
        <v>44943</v>
      </c>
      <c r="E2329" s="235">
        <f t="shared" si="266"/>
        <v>44943</v>
      </c>
      <c r="F2329" s="480"/>
      <c r="G2329" s="208" t="s">
        <v>1111</v>
      </c>
      <c r="H2329" s="206" t="str" cm="1">
        <f t="array" ref="H2329">IFERROR(INDEX(INVESTOR_LIST[INVESTOR NAME],MATCH(I2329,INVESTOR_LIST[INVESTOR CODE],0),)," ")</f>
        <v>MD. BABUL MIAH</v>
      </c>
      <c r="I2329" s="206" t="s">
        <v>1200</v>
      </c>
      <c r="J2329" s="165" t="s">
        <v>1112</v>
      </c>
      <c r="K2329" s="205"/>
      <c r="L2329" s="205">
        <v>40</v>
      </c>
      <c r="M2329" s="166"/>
    </row>
    <row r="2330" spans="1:15" ht="11.25" customHeight="1" x14ac:dyDescent="0.2">
      <c r="A2330" s="226">
        <v>2023</v>
      </c>
      <c r="B2330" s="226">
        <v>1</v>
      </c>
      <c r="C2330" s="226">
        <v>17</v>
      </c>
      <c r="D2330" s="232">
        <f t="shared" si="267"/>
        <v>44943</v>
      </c>
      <c r="E2330" s="234">
        <f t="shared" si="266"/>
        <v>44943</v>
      </c>
      <c r="F2330" s="479"/>
      <c r="G2330" s="227" t="s">
        <v>1111</v>
      </c>
      <c r="H2330" s="228" t="str" cm="1">
        <f t="array" ref="H2330">IFERROR(INDEX(INVESTOR_LIST[INVESTOR NAME],MATCH(I2330,INVESTOR_LIST[INVESTOR CODE],0),)," ")</f>
        <v>MD. BABUL MIAH</v>
      </c>
      <c r="I2330" s="228" t="s">
        <v>1200</v>
      </c>
      <c r="J2330" s="229" t="s">
        <v>14</v>
      </c>
      <c r="K2330" s="230"/>
      <c r="L2330" s="230">
        <v>19960</v>
      </c>
    </row>
    <row r="2331" spans="1:15" ht="11.25" customHeight="1" x14ac:dyDescent="0.2">
      <c r="A2331" s="221">
        <v>2023</v>
      </c>
      <c r="B2331" s="221">
        <v>1</v>
      </c>
      <c r="C2331" s="221">
        <v>18</v>
      </c>
      <c r="D2331" s="231">
        <f t="shared" si="267"/>
        <v>44944</v>
      </c>
      <c r="E2331" s="233">
        <f t="shared" si="266"/>
        <v>44944</v>
      </c>
      <c r="F2331" s="478" t="s">
        <v>1115</v>
      </c>
      <c r="G2331" s="222" t="s">
        <v>1111</v>
      </c>
      <c r="H2331" s="223" t="str" cm="1">
        <f t="array" ref="H2331">IFERROR(INDEX(INVESTOR_LIST[INVESTOR NAME],MATCH(I2331,INVESTOR_LIST[INVESTOR CODE],0),)," ")</f>
        <v>MUTUAL TRUST BANK LIMITED</v>
      </c>
      <c r="I2331" s="223" t="s">
        <v>1143</v>
      </c>
      <c r="J2331" s="224" t="s">
        <v>14</v>
      </c>
      <c r="K2331" s="225">
        <v>10101010</v>
      </c>
      <c r="L2331" s="225"/>
    </row>
    <row r="2332" spans="1:15" ht="11.25" customHeight="1" x14ac:dyDescent="0.2">
      <c r="A2332" s="164">
        <v>2023</v>
      </c>
      <c r="B2332" s="164">
        <v>1</v>
      </c>
      <c r="C2332" s="164">
        <v>18</v>
      </c>
      <c r="D2332" s="156">
        <f t="shared" si="267"/>
        <v>44944</v>
      </c>
      <c r="E2332" s="235">
        <f t="shared" si="266"/>
        <v>44944</v>
      </c>
      <c r="F2332" s="480"/>
      <c r="G2332" s="208" t="s">
        <v>1111</v>
      </c>
      <c r="H2332" s="206" t="str" cm="1">
        <f t="array" ref="H2332">IFERROR(INDEX(INVESTOR_LIST[INVESTOR NAME],MATCH(I2332,INVESTOR_LIST[INVESTOR CODE],0),)," ")</f>
        <v>MUTUAL TRUST BANK LIMITED</v>
      </c>
      <c r="I2332" s="206" t="s">
        <v>1143</v>
      </c>
      <c r="J2332" s="165" t="s">
        <v>1112</v>
      </c>
      <c r="K2332" s="205">
        <v>20202.02</v>
      </c>
    </row>
    <row r="2333" spans="1:15" ht="11.25" customHeight="1" x14ac:dyDescent="0.2">
      <c r="A2333" s="226">
        <v>2023</v>
      </c>
      <c r="B2333" s="226">
        <v>1</v>
      </c>
      <c r="C2333" s="226">
        <v>18</v>
      </c>
      <c r="D2333" s="232">
        <f t="shared" si="267"/>
        <v>44944</v>
      </c>
      <c r="E2333" s="234">
        <f t="shared" si="266"/>
        <v>44944</v>
      </c>
      <c r="F2333" s="479"/>
      <c r="G2333" s="227" t="s">
        <v>1111</v>
      </c>
      <c r="H2333" s="228" t="str" cm="1">
        <f t="array" ref="H2333">IFERROR(INDEX(INVESTOR_LIST[INVESTOR NAME],MATCH(I2333,INVESTOR_LIST[INVESTOR CODE],0),)," ")</f>
        <v>MUTUAL TRUST BANK LIMITED</v>
      </c>
      <c r="I2333" s="228" t="s">
        <v>1143</v>
      </c>
      <c r="J2333" s="229" t="s">
        <v>55</v>
      </c>
      <c r="K2333" s="230"/>
      <c r="L2333" s="230">
        <v>10121212.02</v>
      </c>
    </row>
    <row r="2334" spans="1:15" ht="11.25" customHeight="1" x14ac:dyDescent="0.2">
      <c r="A2334" s="221">
        <v>2023</v>
      </c>
      <c r="B2334" s="221">
        <v>1</v>
      </c>
      <c r="C2334" s="221">
        <v>18</v>
      </c>
      <c r="D2334" s="231">
        <f t="shared" si="267"/>
        <v>44944</v>
      </c>
      <c r="E2334" s="233">
        <f>DATE(A2334,B2334,C2334)</f>
        <v>44944</v>
      </c>
      <c r="F2334" s="478" t="s">
        <v>1396</v>
      </c>
      <c r="G2334" s="222" t="s">
        <v>1111</v>
      </c>
      <c r="H2334" s="223" t="str" cm="1">
        <f t="array" ref="H2334">IFERROR(INDEX(INVESTOR_LIST[INVESTOR NAME],MATCH(I2334,INVESTOR_LIST[INVESTOR CODE],0),)," ")</f>
        <v xml:space="preserve"> </v>
      </c>
      <c r="I2334" s="223"/>
      <c r="J2334" s="224" t="s">
        <v>189</v>
      </c>
      <c r="K2334" s="225">
        <v>1575</v>
      </c>
      <c r="L2334" s="225"/>
    </row>
    <row r="2335" spans="1:15" ht="11.25" customHeight="1" x14ac:dyDescent="0.2">
      <c r="A2335" s="226">
        <v>2023</v>
      </c>
      <c r="B2335" s="226">
        <v>1</v>
      </c>
      <c r="C2335" s="226">
        <v>18</v>
      </c>
      <c r="D2335" s="232">
        <f t="shared" si="267"/>
        <v>44944</v>
      </c>
      <c r="E2335" s="234">
        <f>DATE(A2335,B2335,C2335)</f>
        <v>44944</v>
      </c>
      <c r="F2335" s="479"/>
      <c r="G2335" s="227" t="s">
        <v>1111</v>
      </c>
      <c r="H2335" s="228" t="str" cm="1">
        <f t="array" ref="H2335">IFERROR(INDEX(INVESTOR_LIST[INVESTOR NAME],MATCH(I2335,INVESTOR_LIST[INVESTOR CODE],0),)," ")</f>
        <v xml:space="preserve"> </v>
      </c>
      <c r="I2335" s="228"/>
      <c r="J2335" s="229" t="s">
        <v>55</v>
      </c>
      <c r="K2335" s="230"/>
      <c r="L2335" s="230">
        <v>1575</v>
      </c>
    </row>
    <row r="2336" spans="1:15" ht="11.25" customHeight="1" x14ac:dyDescent="0.2">
      <c r="A2336" s="221">
        <v>2023</v>
      </c>
      <c r="B2336" s="221">
        <v>1</v>
      </c>
      <c r="C2336" s="221">
        <v>19</v>
      </c>
      <c r="D2336" s="231">
        <f t="shared" si="267"/>
        <v>44945</v>
      </c>
      <c r="E2336" s="233">
        <f>DATE(A2336,B2336,C2336)</f>
        <v>44945</v>
      </c>
      <c r="F2336" s="478" t="s">
        <v>1178</v>
      </c>
      <c r="G2336" s="222" t="s">
        <v>1111</v>
      </c>
      <c r="H2336" s="223" t="str" cm="1">
        <f t="array" ref="H2336">IFERROR(INDEX(INVESTOR_LIST[INVESTOR NAME],MATCH(I2336,INVESTOR_LIST[INVESTOR CODE],0),)," ")</f>
        <v xml:space="preserve"> </v>
      </c>
      <c r="I2336" s="223"/>
      <c r="J2336" s="224" t="s">
        <v>189</v>
      </c>
      <c r="K2336" s="225">
        <v>9000</v>
      </c>
      <c r="L2336" s="225"/>
      <c r="O2336" s="166"/>
    </row>
    <row r="2337" spans="1:12" ht="11.25" customHeight="1" x14ac:dyDescent="0.2">
      <c r="A2337" s="226">
        <v>2023</v>
      </c>
      <c r="B2337" s="226">
        <v>1</v>
      </c>
      <c r="C2337" s="226">
        <v>19</v>
      </c>
      <c r="D2337" s="232">
        <f t="shared" si="267"/>
        <v>44945</v>
      </c>
      <c r="E2337" s="234">
        <f>DATE(A2337,B2337,C2337)</f>
        <v>44945</v>
      </c>
      <c r="F2337" s="479"/>
      <c r="G2337" s="227" t="s">
        <v>1111</v>
      </c>
      <c r="H2337" s="228" t="str" cm="1">
        <f t="array" ref="H2337">IFERROR(INDEX(INVESTOR_LIST[INVESTOR NAME],MATCH(I2337,INVESTOR_LIST[INVESTOR CODE],0),)," ")</f>
        <v xml:space="preserve"> </v>
      </c>
      <c r="I2337" s="228"/>
      <c r="J2337" s="229" t="s">
        <v>55</v>
      </c>
      <c r="K2337" s="230"/>
      <c r="L2337" s="230">
        <v>9000</v>
      </c>
    </row>
    <row r="2338" spans="1:12" ht="11.25" customHeight="1" x14ac:dyDescent="0.2">
      <c r="A2338" s="221">
        <v>2023</v>
      </c>
      <c r="B2338" s="221">
        <v>1</v>
      </c>
      <c r="C2338" s="221">
        <v>22</v>
      </c>
      <c r="D2338" s="231">
        <f t="shared" si="267"/>
        <v>44948</v>
      </c>
      <c r="E2338" s="233">
        <f t="shared" si="266"/>
        <v>44948</v>
      </c>
      <c r="F2338" s="478" t="s">
        <v>1115</v>
      </c>
      <c r="G2338" s="222" t="s">
        <v>1111</v>
      </c>
      <c r="H2338" s="223" t="str" cm="1">
        <f t="array" ref="H2338">IFERROR(INDEX(INVESTOR_LIST[INVESTOR NAME],MATCH(I2338,INVESTOR_LIST[INVESTOR CODE],0),)," ")</f>
        <v>MUNTASIR MAHMUD RAHMAN</v>
      </c>
      <c r="I2338" s="223" t="s">
        <v>816</v>
      </c>
      <c r="J2338" s="224" t="s">
        <v>14</v>
      </c>
      <c r="K2338" s="225">
        <v>150000</v>
      </c>
      <c r="L2338" s="225"/>
    </row>
    <row r="2339" spans="1:12" ht="11.25" customHeight="1" x14ac:dyDescent="0.2">
      <c r="A2339" s="164">
        <v>2023</v>
      </c>
      <c r="B2339" s="164">
        <v>1</v>
      </c>
      <c r="C2339" s="164">
        <v>22</v>
      </c>
      <c r="D2339" s="156">
        <f t="shared" si="267"/>
        <v>44948</v>
      </c>
      <c r="E2339" s="235">
        <f t="shared" si="266"/>
        <v>44948</v>
      </c>
      <c r="F2339" s="480"/>
      <c r="G2339" s="208" t="s">
        <v>1111</v>
      </c>
      <c r="H2339" s="206" t="str" cm="1">
        <f t="array" ref="H2339">IFERROR(INDEX(INVESTOR_LIST[INVESTOR NAME],MATCH(I2339,INVESTOR_LIST[INVESTOR CODE],0),)," ")</f>
        <v>MUNTASIR MAHMUD RAHMAN</v>
      </c>
      <c r="I2339" s="206" t="s">
        <v>816</v>
      </c>
      <c r="J2339" s="165" t="s">
        <v>1112</v>
      </c>
      <c r="K2339" s="205">
        <v>300</v>
      </c>
    </row>
    <row r="2340" spans="1:12" ht="11.25" customHeight="1" x14ac:dyDescent="0.2">
      <c r="A2340" s="226">
        <v>2023</v>
      </c>
      <c r="B2340" s="226">
        <v>1</v>
      </c>
      <c r="C2340" s="226">
        <v>22</v>
      </c>
      <c r="D2340" s="232">
        <f t="shared" si="267"/>
        <v>44948</v>
      </c>
      <c r="E2340" s="234">
        <f t="shared" si="266"/>
        <v>44948</v>
      </c>
      <c r="F2340" s="479"/>
      <c r="G2340" s="227" t="s">
        <v>1111</v>
      </c>
      <c r="H2340" s="228" t="str" cm="1">
        <f t="array" ref="H2340">IFERROR(INDEX(INVESTOR_LIST[INVESTOR NAME],MATCH(I2340,INVESTOR_LIST[INVESTOR CODE],0),)," ")</f>
        <v>MUNTASIR MAHMUD RAHMAN</v>
      </c>
      <c r="I2340" s="228" t="s">
        <v>816</v>
      </c>
      <c r="J2340" s="229" t="s">
        <v>55</v>
      </c>
      <c r="K2340" s="230"/>
      <c r="L2340" s="230">
        <v>150300</v>
      </c>
    </row>
    <row r="2341" spans="1:12" ht="11.25" customHeight="1" x14ac:dyDescent="0.2">
      <c r="A2341" s="221">
        <v>2023</v>
      </c>
      <c r="B2341" s="221">
        <v>1</v>
      </c>
      <c r="C2341" s="221">
        <v>22</v>
      </c>
      <c r="D2341" s="231">
        <f t="shared" si="267"/>
        <v>44948</v>
      </c>
      <c r="E2341" s="233">
        <f t="shared" si="266"/>
        <v>44948</v>
      </c>
      <c r="F2341" s="478" t="s">
        <v>1391</v>
      </c>
      <c r="G2341" s="222" t="s">
        <v>1111</v>
      </c>
      <c r="H2341" s="223" t="str" cm="1">
        <f t="array" ref="H2341">IFERROR(INDEX(INVESTOR_LIST[INVESTOR NAME],MATCH(I2341,INVESTOR_LIST[INVESTOR CODE],0),)," ")</f>
        <v xml:space="preserve"> </v>
      </c>
      <c r="I2341" s="223"/>
      <c r="J2341" s="224" t="s">
        <v>63</v>
      </c>
      <c r="K2341" s="225">
        <v>58</v>
      </c>
      <c r="L2341" s="225"/>
    </row>
    <row r="2342" spans="1:12" ht="11.25" customHeight="1" x14ac:dyDescent="0.2">
      <c r="A2342" s="226">
        <v>2023</v>
      </c>
      <c r="B2342" s="226">
        <v>1</v>
      </c>
      <c r="C2342" s="226">
        <v>22</v>
      </c>
      <c r="D2342" s="232">
        <f t="shared" si="267"/>
        <v>44948</v>
      </c>
      <c r="E2342" s="234">
        <f t="shared" si="266"/>
        <v>44948</v>
      </c>
      <c r="F2342" s="479"/>
      <c r="G2342" s="227" t="s">
        <v>1111</v>
      </c>
      <c r="H2342" s="228" t="str" cm="1">
        <f t="array" ref="H2342">IFERROR(INDEX(INVESTOR_LIST[INVESTOR NAME],MATCH(I2342,INVESTOR_LIST[INVESTOR CODE],0),)," ")</f>
        <v xml:space="preserve"> </v>
      </c>
      <c r="I2342" s="228"/>
      <c r="J2342" s="229" t="s">
        <v>55</v>
      </c>
      <c r="K2342" s="230"/>
      <c r="L2342" s="230">
        <v>58</v>
      </c>
    </row>
    <row r="2343" spans="1:12" ht="11.25" customHeight="1" x14ac:dyDescent="0.2">
      <c r="A2343" s="221">
        <v>2023</v>
      </c>
      <c r="B2343" s="221">
        <v>1</v>
      </c>
      <c r="C2343" s="221">
        <v>25</v>
      </c>
      <c r="D2343" s="231">
        <f t="shared" si="267"/>
        <v>44951</v>
      </c>
      <c r="E2343" s="233">
        <f t="shared" ref="E2343:E2344" si="271">DATE(A2343,B2343,C2343)</f>
        <v>44951</v>
      </c>
      <c r="F2343" s="478" t="s">
        <v>1397</v>
      </c>
      <c r="G2343" s="222" t="s">
        <v>1111</v>
      </c>
      <c r="H2343" s="223" t="str" cm="1">
        <f t="array" ref="H2343">IFERROR(INDEX(INVESTOR_LIST[INVESTOR NAME],MATCH(I2343,INVESTOR_LIST[INVESTOR CODE],0),)," ")</f>
        <v xml:space="preserve"> </v>
      </c>
      <c r="I2343" s="223"/>
      <c r="J2343" s="224" t="s">
        <v>63</v>
      </c>
      <c r="K2343" s="225">
        <v>805</v>
      </c>
      <c r="L2343" s="225"/>
    </row>
    <row r="2344" spans="1:12" ht="11.25" customHeight="1" x14ac:dyDescent="0.2">
      <c r="A2344" s="226">
        <v>2023</v>
      </c>
      <c r="B2344" s="226">
        <v>1</v>
      </c>
      <c r="C2344" s="226">
        <v>25</v>
      </c>
      <c r="D2344" s="232">
        <f t="shared" si="267"/>
        <v>44951</v>
      </c>
      <c r="E2344" s="234">
        <f t="shared" si="271"/>
        <v>44951</v>
      </c>
      <c r="F2344" s="479"/>
      <c r="G2344" s="227" t="s">
        <v>1111</v>
      </c>
      <c r="H2344" s="228" t="str" cm="1">
        <f t="array" ref="H2344">IFERROR(INDEX(INVESTOR_LIST[INVESTOR NAME],MATCH(I2344,INVESTOR_LIST[INVESTOR CODE],0),)," ")</f>
        <v xml:space="preserve"> </v>
      </c>
      <c r="I2344" s="228"/>
      <c r="J2344" s="229" t="s">
        <v>55</v>
      </c>
      <c r="K2344" s="230"/>
      <c r="L2344" s="230">
        <v>805</v>
      </c>
    </row>
    <row r="2345" spans="1:12" ht="11.25" customHeight="1" x14ac:dyDescent="0.2">
      <c r="A2345" s="221">
        <v>2023</v>
      </c>
      <c r="B2345" s="221">
        <v>1</v>
      </c>
      <c r="C2345" s="221">
        <v>25</v>
      </c>
      <c r="D2345" s="231">
        <f t="shared" si="267"/>
        <v>44951</v>
      </c>
      <c r="E2345" s="233">
        <f t="shared" ref="E2345:E2348" si="272">DATE(A2345,B2345,C2345)</f>
        <v>44951</v>
      </c>
      <c r="F2345" s="478" t="s">
        <v>1398</v>
      </c>
      <c r="G2345" s="222" t="s">
        <v>1111</v>
      </c>
      <c r="H2345" s="223" t="str" cm="1">
        <f t="array" ref="H2345">IFERROR(INDEX(INVESTOR_LIST[INVESTOR NAME],MATCH(I2345,INVESTOR_LIST[INVESTOR CODE],0),)," ")</f>
        <v xml:space="preserve"> </v>
      </c>
      <c r="I2345" s="223"/>
      <c r="J2345" s="224" t="s">
        <v>63</v>
      </c>
      <c r="K2345" s="225">
        <v>115</v>
      </c>
      <c r="L2345" s="225"/>
    </row>
    <row r="2346" spans="1:12" ht="11.25" customHeight="1" x14ac:dyDescent="0.2">
      <c r="A2346" s="226">
        <v>2023</v>
      </c>
      <c r="B2346" s="226">
        <v>1</v>
      </c>
      <c r="C2346" s="226">
        <v>25</v>
      </c>
      <c r="D2346" s="232">
        <f t="shared" si="267"/>
        <v>44951</v>
      </c>
      <c r="E2346" s="234">
        <f t="shared" si="272"/>
        <v>44951</v>
      </c>
      <c r="F2346" s="479"/>
      <c r="G2346" s="227" t="s">
        <v>1111</v>
      </c>
      <c r="H2346" s="228" t="str" cm="1">
        <f t="array" ref="H2346">IFERROR(INDEX(INVESTOR_LIST[INVESTOR NAME],MATCH(I2346,INVESTOR_LIST[INVESTOR CODE],0),)," ")</f>
        <v xml:space="preserve"> </v>
      </c>
      <c r="I2346" s="228"/>
      <c r="J2346" s="229" t="s">
        <v>55</v>
      </c>
      <c r="K2346" s="230"/>
      <c r="L2346" s="230">
        <v>115</v>
      </c>
    </row>
    <row r="2347" spans="1:12" ht="11.25" customHeight="1" x14ac:dyDescent="0.2">
      <c r="A2347" s="327">
        <v>2023</v>
      </c>
      <c r="B2347" s="327">
        <v>1</v>
      </c>
      <c r="C2347" s="327">
        <v>26</v>
      </c>
      <c r="D2347" s="328">
        <f t="shared" si="267"/>
        <v>44952</v>
      </c>
      <c r="E2347" s="329">
        <f t="shared" si="272"/>
        <v>44952</v>
      </c>
      <c r="F2347" s="474" t="s">
        <v>1459</v>
      </c>
      <c r="G2347" s="331" t="s">
        <v>86</v>
      </c>
      <c r="H2347" s="332" t="str" cm="1">
        <f t="array" ref="H2347">IFERROR(INDEX(INVESTOR_LIST[INVESTOR NAME],MATCH(I2347,INVESTOR_LIST[INVESTOR CODE],0),)," ")</f>
        <v xml:space="preserve"> </v>
      </c>
      <c r="I2347" s="333"/>
      <c r="J2347" s="334" t="s">
        <v>1621</v>
      </c>
      <c r="K2347" s="335">
        <v>8048.32</v>
      </c>
      <c r="L2347" s="336"/>
    </row>
    <row r="2348" spans="1:12" ht="11.25" customHeight="1" x14ac:dyDescent="0.2">
      <c r="A2348" s="327">
        <v>2023</v>
      </c>
      <c r="B2348" s="327">
        <v>1</v>
      </c>
      <c r="C2348" s="327">
        <v>26</v>
      </c>
      <c r="D2348" s="337">
        <f t="shared" si="267"/>
        <v>44952</v>
      </c>
      <c r="E2348" s="338">
        <f t="shared" si="272"/>
        <v>44952</v>
      </c>
      <c r="F2348" s="475"/>
      <c r="G2348" s="331" t="s">
        <v>86</v>
      </c>
      <c r="H2348" s="340" t="str" cm="1">
        <f t="array" ref="H2348">IFERROR(INDEX(INVESTOR_LIST[INVESTOR NAME],MATCH(I2348,INVESTOR_LIST[INVESTOR CODE],0),)," ")</f>
        <v xml:space="preserve"> </v>
      </c>
      <c r="I2348" s="333"/>
      <c r="J2348" s="334" t="s">
        <v>1613</v>
      </c>
      <c r="K2348" s="335"/>
      <c r="L2348" s="336">
        <v>8048.32</v>
      </c>
    </row>
    <row r="2349" spans="1:12" ht="11.25" customHeight="1" x14ac:dyDescent="0.2">
      <c r="A2349" s="280">
        <v>2023</v>
      </c>
      <c r="B2349" s="280">
        <v>1</v>
      </c>
      <c r="C2349" s="280">
        <v>26</v>
      </c>
      <c r="D2349" s="281">
        <f t="shared" si="267"/>
        <v>44952</v>
      </c>
      <c r="E2349" s="282">
        <f t="shared" si="266"/>
        <v>44952</v>
      </c>
      <c r="F2349" s="472" t="s">
        <v>1369</v>
      </c>
      <c r="G2349" s="283" t="s">
        <v>86</v>
      </c>
      <c r="H2349" s="284" t="str" cm="1">
        <f t="array" ref="H2349">IFERROR(INDEX(INVESTOR_LIST[INVESTOR NAME],MATCH(I2349,INVESTOR_LIST[INVESTOR CODE],0),)," ")</f>
        <v xml:space="preserve"> </v>
      </c>
      <c r="I2349" s="284"/>
      <c r="J2349" s="285" t="s">
        <v>131</v>
      </c>
      <c r="K2349" s="286">
        <v>340350.95380000002</v>
      </c>
      <c r="L2349" s="286"/>
    </row>
    <row r="2350" spans="1:12" ht="11.25" customHeight="1" x14ac:dyDescent="0.2">
      <c r="A2350" s="287">
        <v>2023</v>
      </c>
      <c r="B2350" s="287">
        <v>1</v>
      </c>
      <c r="C2350" s="287">
        <v>26</v>
      </c>
      <c r="D2350" s="288">
        <f t="shared" si="267"/>
        <v>44952</v>
      </c>
      <c r="E2350" s="289">
        <f t="shared" si="266"/>
        <v>44952</v>
      </c>
      <c r="F2350" s="473"/>
      <c r="G2350" s="290" t="s">
        <v>86</v>
      </c>
      <c r="H2350" s="291" t="str" cm="1">
        <f t="array" ref="H2350">IFERROR(INDEX(INVESTOR_LIST[INVESTOR NAME],MATCH(I2350,INVESTOR_LIST[INVESTOR CODE],0),)," ")</f>
        <v xml:space="preserve"> </v>
      </c>
      <c r="I2350" s="291"/>
      <c r="J2350" s="292" t="s">
        <v>174</v>
      </c>
      <c r="K2350" s="293"/>
      <c r="L2350" s="293">
        <v>340350.95380000002</v>
      </c>
    </row>
    <row r="2351" spans="1:12" ht="11.25" customHeight="1" x14ac:dyDescent="0.2">
      <c r="A2351" s="280">
        <v>2023</v>
      </c>
      <c r="B2351" s="280">
        <v>1</v>
      </c>
      <c r="C2351" s="280">
        <v>26</v>
      </c>
      <c r="D2351" s="281">
        <f t="shared" si="267"/>
        <v>44952</v>
      </c>
      <c r="E2351" s="282">
        <f t="shared" si="266"/>
        <v>44952</v>
      </c>
      <c r="F2351" s="472" t="s">
        <v>1295</v>
      </c>
      <c r="G2351" s="283" t="s">
        <v>86</v>
      </c>
      <c r="H2351" s="284" t="str" cm="1">
        <f t="array" ref="H2351">IFERROR(INDEX(INVESTOR_LIST[INVESTOR NAME],MATCH(I2351,INVESTOR_LIST[INVESTOR CODE],0),)," ")</f>
        <v xml:space="preserve"> </v>
      </c>
      <c r="I2351" s="284"/>
      <c r="J2351" s="285" t="s">
        <v>131</v>
      </c>
      <c r="K2351" s="286">
        <v>63461.52</v>
      </c>
      <c r="L2351" s="286"/>
    </row>
    <row r="2352" spans="1:12" ht="11.25" customHeight="1" x14ac:dyDescent="0.2">
      <c r="A2352" s="287">
        <v>2023</v>
      </c>
      <c r="B2352" s="287">
        <v>1</v>
      </c>
      <c r="C2352" s="287">
        <v>26</v>
      </c>
      <c r="D2352" s="288">
        <f t="shared" si="267"/>
        <v>44952</v>
      </c>
      <c r="E2352" s="289">
        <f t="shared" si="266"/>
        <v>44952</v>
      </c>
      <c r="F2352" s="473"/>
      <c r="G2352" s="290" t="s">
        <v>86</v>
      </c>
      <c r="H2352" s="291" t="str" cm="1">
        <f t="array" ref="H2352">IFERROR(INDEX(INVESTOR_LIST[INVESTOR NAME],MATCH(I2352,INVESTOR_LIST[INVESTOR CODE],0),)," ")</f>
        <v xml:space="preserve"> </v>
      </c>
      <c r="I2352" s="291"/>
      <c r="J2352" s="292" t="s">
        <v>174</v>
      </c>
      <c r="K2352" s="293"/>
      <c r="L2352" s="293">
        <v>63461.52</v>
      </c>
    </row>
    <row r="2353" spans="1:13" ht="11.25" customHeight="1" x14ac:dyDescent="0.2">
      <c r="A2353" s="280">
        <v>2023</v>
      </c>
      <c r="B2353" s="280">
        <v>1</v>
      </c>
      <c r="C2353" s="280">
        <v>26</v>
      </c>
      <c r="D2353" s="281">
        <f t="shared" si="267"/>
        <v>44952</v>
      </c>
      <c r="E2353" s="282">
        <f t="shared" si="266"/>
        <v>44952</v>
      </c>
      <c r="F2353" s="472" t="s">
        <v>1294</v>
      </c>
      <c r="G2353" s="283" t="s">
        <v>86</v>
      </c>
      <c r="H2353" s="284" t="str" cm="1">
        <f t="array" ref="H2353">IFERROR(INDEX(INVESTOR_LIST[INVESTOR NAME],MATCH(I2353,INVESTOR_LIST[INVESTOR CODE],0),)," ")</f>
        <v xml:space="preserve"> </v>
      </c>
      <c r="I2353" s="284"/>
      <c r="J2353" s="285" t="s">
        <v>131</v>
      </c>
      <c r="K2353" s="286">
        <f>4*9423.08</f>
        <v>37692.32</v>
      </c>
      <c r="L2353" s="286"/>
    </row>
    <row r="2354" spans="1:13" ht="11.25" customHeight="1" x14ac:dyDescent="0.2">
      <c r="A2354" s="287">
        <v>2023</v>
      </c>
      <c r="B2354" s="287">
        <v>1</v>
      </c>
      <c r="C2354" s="287">
        <v>26</v>
      </c>
      <c r="D2354" s="288">
        <f t="shared" si="267"/>
        <v>44952</v>
      </c>
      <c r="E2354" s="289">
        <f t="shared" si="266"/>
        <v>44952</v>
      </c>
      <c r="F2354" s="473"/>
      <c r="G2354" s="290" t="s">
        <v>86</v>
      </c>
      <c r="H2354" s="291" t="str" cm="1">
        <f t="array" ref="H2354">IFERROR(INDEX(INVESTOR_LIST[INVESTOR NAME],MATCH(I2354,INVESTOR_LIST[INVESTOR CODE],0),)," ")</f>
        <v xml:space="preserve"> </v>
      </c>
      <c r="I2354" s="291"/>
      <c r="J2354" s="292" t="s">
        <v>174</v>
      </c>
      <c r="K2354" s="293"/>
      <c r="L2354" s="293">
        <v>37692.32</v>
      </c>
    </row>
    <row r="2355" spans="1:13" ht="11.25" customHeight="1" x14ac:dyDescent="0.2">
      <c r="A2355" s="280">
        <v>2023</v>
      </c>
      <c r="B2355" s="280">
        <v>1</v>
      </c>
      <c r="C2355" s="280">
        <v>26</v>
      </c>
      <c r="D2355" s="281">
        <f t="shared" si="267"/>
        <v>44952</v>
      </c>
      <c r="E2355" s="282">
        <f t="shared" si="266"/>
        <v>44952</v>
      </c>
      <c r="F2355" s="472" t="s">
        <v>1376</v>
      </c>
      <c r="G2355" s="283" t="s">
        <v>86</v>
      </c>
      <c r="H2355" s="284" t="str" cm="1">
        <f t="array" ref="H2355">IFERROR(INDEX(INVESTOR_LIST[INVESTOR NAME],MATCH(I2355,INVESTOR_LIST[INVESTOR CODE],0),)," ")</f>
        <v xml:space="preserve"> </v>
      </c>
      <c r="I2355" s="284"/>
      <c r="J2355" s="285" t="s">
        <v>131</v>
      </c>
      <c r="K2355" s="286">
        <v>18692.32</v>
      </c>
      <c r="L2355" s="286"/>
    </row>
    <row r="2356" spans="1:13" ht="11.25" customHeight="1" x14ac:dyDescent="0.2">
      <c r="A2356" s="287">
        <v>2023</v>
      </c>
      <c r="B2356" s="287">
        <v>1</v>
      </c>
      <c r="C2356" s="287">
        <v>26</v>
      </c>
      <c r="D2356" s="288">
        <f t="shared" si="267"/>
        <v>44952</v>
      </c>
      <c r="E2356" s="289">
        <f t="shared" si="266"/>
        <v>44952</v>
      </c>
      <c r="F2356" s="473"/>
      <c r="G2356" s="290" t="s">
        <v>86</v>
      </c>
      <c r="H2356" s="291" t="str" cm="1">
        <f t="array" ref="H2356">IFERROR(INDEX(INVESTOR_LIST[INVESTOR NAME],MATCH(I2356,INVESTOR_LIST[INVESTOR CODE],0),)," ")</f>
        <v xml:space="preserve"> </v>
      </c>
      <c r="I2356" s="291"/>
      <c r="J2356" s="292" t="s">
        <v>174</v>
      </c>
      <c r="K2356" s="293"/>
      <c r="L2356" s="293">
        <v>18692.32</v>
      </c>
    </row>
    <row r="2357" spans="1:13" ht="11.25" customHeight="1" x14ac:dyDescent="0.2">
      <c r="A2357" s="236">
        <v>2023</v>
      </c>
      <c r="B2357" s="236">
        <v>1</v>
      </c>
      <c r="C2357" s="236">
        <v>26</v>
      </c>
      <c r="D2357" s="237">
        <f t="shared" si="267"/>
        <v>44952</v>
      </c>
      <c r="E2357" s="238">
        <f t="shared" si="266"/>
        <v>44952</v>
      </c>
      <c r="F2357" s="476" t="s">
        <v>1118</v>
      </c>
      <c r="G2357" s="239" t="s">
        <v>86</v>
      </c>
      <c r="H2357" s="239" t="str" cm="1">
        <f t="array" ref="H2357">IFERROR(INDEX(INVESTOR_LIST[INVESTOR NAME],MATCH(I2357,INVESTOR_LIST[INVESTOR CODE],0),)," ")</f>
        <v xml:space="preserve"> </v>
      </c>
      <c r="I2357" s="240"/>
      <c r="J2357" s="241" t="s">
        <v>98</v>
      </c>
      <c r="K2357" s="242">
        <v>288449.29769231379</v>
      </c>
      <c r="L2357" s="242"/>
    </row>
    <row r="2358" spans="1:13" ht="11.25" customHeight="1" x14ac:dyDescent="0.2">
      <c r="A2358" s="243">
        <v>2023</v>
      </c>
      <c r="B2358" s="243">
        <v>1</v>
      </c>
      <c r="C2358" s="243">
        <v>26</v>
      </c>
      <c r="D2358" s="248">
        <f t="shared" si="267"/>
        <v>44952</v>
      </c>
      <c r="E2358" s="249">
        <f t="shared" si="266"/>
        <v>44952</v>
      </c>
      <c r="F2358" s="477"/>
      <c r="G2358" s="244" t="s">
        <v>86</v>
      </c>
      <c r="H2358" s="244" t="str" cm="1">
        <f t="array" ref="H2358">IFERROR(INDEX(INVESTOR_LIST[INVESTOR NAME],MATCH(I2358,INVESTOR_LIST[INVESTOR CODE],0),)," ")</f>
        <v xml:space="preserve"> </v>
      </c>
      <c r="I2358" s="245"/>
      <c r="J2358" s="246" t="s">
        <v>82</v>
      </c>
      <c r="K2358" s="247"/>
      <c r="L2358" s="247">
        <v>288449.29769231379</v>
      </c>
    </row>
    <row r="2359" spans="1:13" ht="11.25" customHeight="1" x14ac:dyDescent="0.2">
      <c r="A2359" s="236">
        <v>2023</v>
      </c>
      <c r="B2359" s="236">
        <v>1</v>
      </c>
      <c r="C2359" s="236">
        <v>26</v>
      </c>
      <c r="D2359" s="237">
        <f t="shared" si="267"/>
        <v>44952</v>
      </c>
      <c r="E2359" s="238">
        <f t="shared" si="266"/>
        <v>44952</v>
      </c>
      <c r="F2359" s="476" t="s">
        <v>1120</v>
      </c>
      <c r="G2359" s="239" t="s">
        <v>86</v>
      </c>
      <c r="H2359" s="239" t="str" cm="1">
        <f t="array" ref="H2359">IFERROR(INDEX(INVESTOR_LIST[INVESTOR NAME],MATCH(I2359,INVESTOR_LIST[INVESTOR CODE],0),)," ")</f>
        <v xml:space="preserve"> </v>
      </c>
      <c r="I2359" s="240"/>
      <c r="J2359" s="241" t="s">
        <v>87</v>
      </c>
      <c r="K2359" s="242">
        <v>10989.010989010989</v>
      </c>
      <c r="L2359" s="242"/>
    </row>
    <row r="2360" spans="1:13" ht="11.25" customHeight="1" x14ac:dyDescent="0.2">
      <c r="A2360" s="243">
        <v>2023</v>
      </c>
      <c r="B2360" s="243">
        <v>1</v>
      </c>
      <c r="C2360" s="243">
        <v>26</v>
      </c>
      <c r="D2360" s="248">
        <f t="shared" si="267"/>
        <v>44952</v>
      </c>
      <c r="E2360" s="249">
        <f t="shared" si="266"/>
        <v>44952</v>
      </c>
      <c r="F2360" s="477"/>
      <c r="G2360" s="244" t="s">
        <v>86</v>
      </c>
      <c r="H2360" s="244" t="str" cm="1">
        <f t="array" ref="H2360">IFERROR(INDEX(INVESTOR_LIST[INVESTOR NAME],MATCH(I2360,INVESTOR_LIST[INVESTOR CODE],0),)," ")</f>
        <v xml:space="preserve"> </v>
      </c>
      <c r="I2360" s="245"/>
      <c r="J2360" s="246" t="s">
        <v>64</v>
      </c>
      <c r="K2360" s="247"/>
      <c r="L2360" s="247">
        <v>10989.010989010989</v>
      </c>
    </row>
    <row r="2361" spans="1:13" ht="11.25" customHeight="1" x14ac:dyDescent="0.2">
      <c r="A2361" s="236">
        <v>2023</v>
      </c>
      <c r="B2361" s="236">
        <v>1</v>
      </c>
      <c r="C2361" s="236">
        <v>26</v>
      </c>
      <c r="D2361" s="237">
        <f t="shared" si="267"/>
        <v>44952</v>
      </c>
      <c r="E2361" s="238">
        <f t="shared" si="266"/>
        <v>44952</v>
      </c>
      <c r="F2361" s="476" t="s">
        <v>1121</v>
      </c>
      <c r="G2361" s="239" t="s">
        <v>86</v>
      </c>
      <c r="H2361" s="239" t="str" cm="1">
        <f t="array" ref="H2361">IFERROR(INDEX(INVESTOR_LIST[INVESTOR NAME],MATCH(I2361,INVESTOR_LIST[INVESTOR CODE],0),)," ")</f>
        <v xml:space="preserve"> </v>
      </c>
      <c r="I2361" s="240"/>
      <c r="J2361" s="241" t="s">
        <v>89</v>
      </c>
      <c r="K2361" s="242">
        <v>328814.19985144783</v>
      </c>
      <c r="L2361" s="242"/>
    </row>
    <row r="2362" spans="1:13" ht="11.25" customHeight="1" x14ac:dyDescent="0.2">
      <c r="A2362" s="243">
        <v>2023</v>
      </c>
      <c r="B2362" s="243">
        <v>1</v>
      </c>
      <c r="C2362" s="243">
        <v>26</v>
      </c>
      <c r="D2362" s="248">
        <f t="shared" si="267"/>
        <v>44952</v>
      </c>
      <c r="E2362" s="249">
        <f t="shared" si="266"/>
        <v>44952</v>
      </c>
      <c r="F2362" s="477"/>
      <c r="G2362" s="244" t="s">
        <v>86</v>
      </c>
      <c r="H2362" s="244" t="str" cm="1">
        <f t="array" ref="H2362">IFERROR(INDEX(INVESTOR_LIST[INVESTOR NAME],MATCH(I2362,INVESTOR_LIST[INVESTOR CODE],0),)," ")</f>
        <v xml:space="preserve"> </v>
      </c>
      <c r="I2362" s="245"/>
      <c r="J2362" s="246" t="s">
        <v>50</v>
      </c>
      <c r="K2362" s="247"/>
      <c r="L2362" s="247">
        <v>328814.19985144783</v>
      </c>
    </row>
    <row r="2363" spans="1:13" ht="11.25" customHeight="1" x14ac:dyDescent="0.2">
      <c r="A2363" s="236">
        <v>2023</v>
      </c>
      <c r="B2363" s="236">
        <v>1</v>
      </c>
      <c r="C2363" s="236">
        <v>26</v>
      </c>
      <c r="D2363" s="237">
        <f t="shared" si="267"/>
        <v>44952</v>
      </c>
      <c r="E2363" s="238">
        <f t="shared" si="266"/>
        <v>44952</v>
      </c>
      <c r="F2363" s="476" t="s">
        <v>1122</v>
      </c>
      <c r="G2363" s="239" t="s">
        <v>86</v>
      </c>
      <c r="H2363" s="239" t="str" cm="1">
        <f t="array" ref="H2363">IFERROR(INDEX(INVESTOR_LIST[INVESTOR NAME],MATCH(I2363,INVESTOR_LIST[INVESTOR CODE],0),)," ")</f>
        <v xml:space="preserve"> </v>
      </c>
      <c r="I2363" s="240"/>
      <c r="J2363" s="241" t="s">
        <v>91</v>
      </c>
      <c r="K2363" s="242">
        <v>15479.171531033928</v>
      </c>
      <c r="L2363" s="242"/>
    </row>
    <row r="2364" spans="1:13" ht="11.25" customHeight="1" x14ac:dyDescent="0.2">
      <c r="A2364" s="243">
        <v>2023</v>
      </c>
      <c r="B2364" s="243">
        <v>1</v>
      </c>
      <c r="C2364" s="243">
        <v>26</v>
      </c>
      <c r="D2364" s="248">
        <f t="shared" si="267"/>
        <v>44952</v>
      </c>
      <c r="E2364" s="249">
        <f t="shared" si="266"/>
        <v>44952</v>
      </c>
      <c r="F2364" s="477"/>
      <c r="G2364" s="244" t="s">
        <v>86</v>
      </c>
      <c r="H2364" s="244" t="str" cm="1">
        <f t="array" ref="H2364">IFERROR(INDEX(INVESTOR_LIST[INVESTOR NAME],MATCH(I2364,INVESTOR_LIST[INVESTOR CODE],0),)," ")</f>
        <v xml:space="preserve"> </v>
      </c>
      <c r="I2364" s="245"/>
      <c r="J2364" s="246" t="s">
        <v>51</v>
      </c>
      <c r="K2364" s="247"/>
      <c r="L2364" s="247">
        <v>15479.171531033928</v>
      </c>
    </row>
    <row r="2365" spans="1:13" ht="11.25" customHeight="1" x14ac:dyDescent="0.2">
      <c r="A2365" s="221">
        <v>2023</v>
      </c>
      <c r="B2365" s="221">
        <v>1</v>
      </c>
      <c r="C2365" s="221">
        <v>29</v>
      </c>
      <c r="D2365" s="231">
        <f t="shared" si="267"/>
        <v>44955</v>
      </c>
      <c r="E2365" s="233">
        <f t="shared" si="266"/>
        <v>44955</v>
      </c>
      <c r="F2365" s="478" t="s">
        <v>1132</v>
      </c>
      <c r="G2365" s="222" t="s">
        <v>1111</v>
      </c>
      <c r="H2365" s="223" t="str" cm="1">
        <f t="array" ref="H2365">IFERROR(INDEX(INVESTOR_LIST[INVESTOR NAME],MATCH(I2365,INVESTOR_LIST[INVESTOR CODE],0),)," ")</f>
        <v xml:space="preserve"> </v>
      </c>
      <c r="I2365" s="223"/>
      <c r="J2365" s="224" t="s">
        <v>55</v>
      </c>
      <c r="K2365" s="225">
        <v>15000</v>
      </c>
      <c r="L2365" s="225"/>
    </row>
    <row r="2366" spans="1:13" ht="11.25" customHeight="1" x14ac:dyDescent="0.2">
      <c r="A2366" s="164">
        <v>2023</v>
      </c>
      <c r="B2366" s="164">
        <v>1</v>
      </c>
      <c r="C2366" s="164">
        <v>29</v>
      </c>
      <c r="D2366" s="156">
        <f t="shared" si="267"/>
        <v>44955</v>
      </c>
      <c r="E2366" s="235">
        <f t="shared" si="266"/>
        <v>44955</v>
      </c>
      <c r="F2366" s="480"/>
      <c r="G2366" s="208" t="s">
        <v>1111</v>
      </c>
      <c r="H2366" s="206" t="str" cm="1">
        <f t="array" ref="H2366">IFERROR(INDEX(INVESTOR_LIST[INVESTOR NAME],MATCH(I2366,INVESTOR_LIST[INVESTOR CODE],0),)," ")</f>
        <v xml:space="preserve"> </v>
      </c>
      <c r="J2366" s="165" t="s">
        <v>1112</v>
      </c>
      <c r="K2366" s="205"/>
      <c r="L2366" s="205">
        <v>70</v>
      </c>
      <c r="M2366" s="166"/>
    </row>
    <row r="2367" spans="1:13" ht="11.25" customHeight="1" x14ac:dyDescent="0.2">
      <c r="A2367" s="226">
        <v>2023</v>
      </c>
      <c r="B2367" s="226">
        <v>1</v>
      </c>
      <c r="C2367" s="226">
        <v>29</v>
      </c>
      <c r="D2367" s="232">
        <f t="shared" si="267"/>
        <v>44955</v>
      </c>
      <c r="E2367" s="234">
        <f t="shared" si="266"/>
        <v>44955</v>
      </c>
      <c r="F2367" s="479"/>
      <c r="G2367" s="227" t="s">
        <v>1111</v>
      </c>
      <c r="H2367" s="228" t="str" cm="1">
        <f t="array" ref="H2367">IFERROR(INDEX(INVESTOR_LIST[INVESTOR NAME],MATCH(I2367,INVESTOR_LIST[INVESTOR CODE],0),)," ")</f>
        <v xml:space="preserve"> </v>
      </c>
      <c r="I2367" s="228"/>
      <c r="J2367" s="229" t="s">
        <v>14</v>
      </c>
      <c r="K2367" s="230"/>
      <c r="L2367" s="230">
        <v>14930</v>
      </c>
    </row>
    <row r="2368" spans="1:13" ht="11.25" customHeight="1" x14ac:dyDescent="0.2">
      <c r="A2368" s="221">
        <v>2023</v>
      </c>
      <c r="B2368" s="221">
        <v>1</v>
      </c>
      <c r="C2368" s="221">
        <v>30</v>
      </c>
      <c r="D2368" s="231">
        <f t="shared" si="267"/>
        <v>44956</v>
      </c>
      <c r="E2368" s="233">
        <f t="shared" ref="E2368:E2373" si="273">DATE(A2368,B2368,C2368)</f>
        <v>44956</v>
      </c>
      <c r="F2368" s="478" t="s">
        <v>1115</v>
      </c>
      <c r="G2368" s="222" t="s">
        <v>1111</v>
      </c>
      <c r="H2368" s="223" t="str" cm="1">
        <f t="array" ref="H2368">IFERROR(INDEX(INVESTOR_LIST[INVESTOR NAME],MATCH(I2368,INVESTOR_LIST[INVESTOR CODE],0),)," ")</f>
        <v>NANDA DULAL SAHA</v>
      </c>
      <c r="I2368" s="223" t="s">
        <v>1220</v>
      </c>
      <c r="J2368" s="224" t="s">
        <v>14</v>
      </c>
      <c r="K2368" s="225">
        <v>109450</v>
      </c>
      <c r="L2368" s="225"/>
    </row>
    <row r="2369" spans="1:12" ht="11.25" customHeight="1" x14ac:dyDescent="0.2">
      <c r="A2369" s="164">
        <v>2023</v>
      </c>
      <c r="B2369" s="164">
        <v>1</v>
      </c>
      <c r="C2369" s="164">
        <v>30</v>
      </c>
      <c r="D2369" s="156">
        <f t="shared" si="267"/>
        <v>44956</v>
      </c>
      <c r="E2369" s="235">
        <f t="shared" si="273"/>
        <v>44956</v>
      </c>
      <c r="F2369" s="480"/>
      <c r="G2369" s="208" t="s">
        <v>1111</v>
      </c>
      <c r="H2369" s="206" t="str" cm="1">
        <f t="array" ref="H2369">IFERROR(INDEX(INVESTOR_LIST[INVESTOR NAME],MATCH(I2369,INVESTOR_LIST[INVESTOR CODE],0),)," ")</f>
        <v>NANDA DULAL SAHA</v>
      </c>
      <c r="I2369" s="206" t="s">
        <v>1220</v>
      </c>
      <c r="J2369" s="165" t="s">
        <v>1112</v>
      </c>
      <c r="K2369" s="205">
        <v>550</v>
      </c>
    </row>
    <row r="2370" spans="1:12" ht="11.25" customHeight="1" x14ac:dyDescent="0.2">
      <c r="A2370" s="226">
        <v>2023</v>
      </c>
      <c r="B2370" s="226">
        <v>1</v>
      </c>
      <c r="C2370" s="226">
        <v>30</v>
      </c>
      <c r="D2370" s="232">
        <f t="shared" si="267"/>
        <v>44956</v>
      </c>
      <c r="E2370" s="234">
        <f t="shared" si="273"/>
        <v>44956</v>
      </c>
      <c r="F2370" s="479"/>
      <c r="G2370" s="227" t="s">
        <v>1111</v>
      </c>
      <c r="H2370" s="228" t="str" cm="1">
        <f t="array" ref="H2370">IFERROR(INDEX(INVESTOR_LIST[INVESTOR NAME],MATCH(I2370,INVESTOR_LIST[INVESTOR CODE],0),)," ")</f>
        <v>NANDA DULAL SAHA</v>
      </c>
      <c r="I2370" s="228" t="s">
        <v>1220</v>
      </c>
      <c r="J2370" s="229" t="s">
        <v>55</v>
      </c>
      <c r="K2370" s="230"/>
      <c r="L2370" s="230">
        <v>110000</v>
      </c>
    </row>
    <row r="2371" spans="1:12" ht="11.25" customHeight="1" x14ac:dyDescent="0.2">
      <c r="A2371" s="221">
        <v>2023</v>
      </c>
      <c r="B2371" s="221">
        <v>1</v>
      </c>
      <c r="C2371" s="221">
        <v>31</v>
      </c>
      <c r="D2371" s="231">
        <f t="shared" si="267"/>
        <v>44957</v>
      </c>
      <c r="E2371" s="233">
        <f t="shared" si="273"/>
        <v>44957</v>
      </c>
      <c r="F2371" s="478" t="s">
        <v>1308</v>
      </c>
      <c r="G2371" s="222" t="s">
        <v>86</v>
      </c>
      <c r="H2371" s="222" t="str" cm="1">
        <f t="array" ref="H2371">IFERROR(INDEX(INVESTOR_LIST[INVESTOR NAME],MATCH(I2371,INVESTOR_LIST[INVESTOR CODE],0),)," ")</f>
        <v xml:space="preserve"> </v>
      </c>
      <c r="I2371" s="223"/>
      <c r="J2371" s="224" t="s">
        <v>80</v>
      </c>
      <c r="K2371" s="225">
        <v>274100</v>
      </c>
      <c r="L2371" s="225"/>
    </row>
    <row r="2372" spans="1:12" ht="11.25" customHeight="1" x14ac:dyDescent="0.2">
      <c r="A2372" s="164">
        <v>2023</v>
      </c>
      <c r="B2372" s="164">
        <v>1</v>
      </c>
      <c r="C2372" s="164">
        <v>31</v>
      </c>
      <c r="D2372" s="164">
        <f t="shared" si="267"/>
        <v>44957</v>
      </c>
      <c r="E2372" s="235">
        <f t="shared" si="273"/>
        <v>44957</v>
      </c>
      <c r="F2372" s="480"/>
      <c r="G2372" s="208" t="s">
        <v>86</v>
      </c>
      <c r="H2372" s="208"/>
      <c r="J2372" s="165" t="s">
        <v>960</v>
      </c>
      <c r="K2372" s="205">
        <v>493.38</v>
      </c>
      <c r="L2372" s="205"/>
    </row>
    <row r="2373" spans="1:12" ht="11.25" customHeight="1" x14ac:dyDescent="0.2">
      <c r="A2373" s="226">
        <v>2023</v>
      </c>
      <c r="B2373" s="226">
        <v>1</v>
      </c>
      <c r="C2373" s="226">
        <v>31</v>
      </c>
      <c r="D2373" s="226">
        <f t="shared" si="267"/>
        <v>44957</v>
      </c>
      <c r="E2373" s="234">
        <f t="shared" si="273"/>
        <v>44957</v>
      </c>
      <c r="F2373" s="479"/>
      <c r="G2373" s="227" t="s">
        <v>86</v>
      </c>
      <c r="H2373" s="227"/>
      <c r="I2373" s="228"/>
      <c r="J2373" s="229" t="s">
        <v>961</v>
      </c>
      <c r="K2373" s="294"/>
      <c r="L2373" s="230">
        <v>274593.38</v>
      </c>
    </row>
    <row r="2374" spans="1:12" ht="11.25" customHeight="1" x14ac:dyDescent="0.2">
      <c r="A2374" s="221">
        <v>2023</v>
      </c>
      <c r="B2374" s="221">
        <v>2</v>
      </c>
      <c r="C2374" s="221">
        <v>2</v>
      </c>
      <c r="D2374" s="231">
        <f t="shared" si="267"/>
        <v>44959</v>
      </c>
      <c r="E2374" s="233">
        <f t="shared" ref="E2374:E2376" si="274">DATE(A2374,B2374,C2374)</f>
        <v>44959</v>
      </c>
      <c r="F2374" s="478" t="s">
        <v>1115</v>
      </c>
      <c r="G2374" s="222" t="s">
        <v>1111</v>
      </c>
      <c r="H2374" s="223" t="str" cm="1">
        <f t="array" ref="H2374">IFERROR(INDEX(INVESTOR_LIST[INVESTOR NAME],MATCH(I2374,INVESTOR_LIST[INVESTOR CODE],0),)," ")</f>
        <v>NAYEEMA TASNEEM</v>
      </c>
      <c r="I2374" s="223" t="s">
        <v>922</v>
      </c>
      <c r="J2374" s="224" t="s">
        <v>14</v>
      </c>
      <c r="K2374" s="225">
        <v>49750</v>
      </c>
      <c r="L2374" s="225"/>
    </row>
    <row r="2375" spans="1:12" ht="11.25" customHeight="1" x14ac:dyDescent="0.2">
      <c r="A2375" s="164">
        <v>2023</v>
      </c>
      <c r="B2375" s="164">
        <v>2</v>
      </c>
      <c r="C2375" s="164">
        <v>2</v>
      </c>
      <c r="D2375" s="156">
        <f t="shared" si="267"/>
        <v>44959</v>
      </c>
      <c r="E2375" s="235">
        <f t="shared" si="274"/>
        <v>44959</v>
      </c>
      <c r="F2375" s="480"/>
      <c r="G2375" s="208" t="s">
        <v>1111</v>
      </c>
      <c r="H2375" s="206" t="str" cm="1">
        <f t="array" ref="H2375">IFERROR(INDEX(INVESTOR_LIST[INVESTOR NAME],MATCH(I2375,INVESTOR_LIST[INVESTOR CODE],0),)," ")</f>
        <v>NAYEEMA TASNEEM</v>
      </c>
      <c r="I2375" s="206" t="s">
        <v>922</v>
      </c>
      <c r="J2375" s="165" t="s">
        <v>1112</v>
      </c>
      <c r="K2375" s="205">
        <v>250</v>
      </c>
    </row>
    <row r="2376" spans="1:12" ht="11.25" customHeight="1" x14ac:dyDescent="0.2">
      <c r="A2376" s="226">
        <v>2023</v>
      </c>
      <c r="B2376" s="226">
        <v>2</v>
      </c>
      <c r="C2376" s="226">
        <v>2</v>
      </c>
      <c r="D2376" s="232">
        <f t="shared" si="267"/>
        <v>44959</v>
      </c>
      <c r="E2376" s="234">
        <f t="shared" si="274"/>
        <v>44959</v>
      </c>
      <c r="F2376" s="479"/>
      <c r="G2376" s="227" t="s">
        <v>1111</v>
      </c>
      <c r="H2376" s="228" t="str" cm="1">
        <f t="array" ref="H2376">IFERROR(INDEX(INVESTOR_LIST[INVESTOR NAME],MATCH(I2376,INVESTOR_LIST[INVESTOR CODE],0),)," ")</f>
        <v>NAYEEMA TASNEEM</v>
      </c>
      <c r="I2376" s="228" t="s">
        <v>922</v>
      </c>
      <c r="J2376" s="229" t="s">
        <v>55</v>
      </c>
      <c r="K2376" s="230"/>
      <c r="L2376" s="230">
        <v>50000</v>
      </c>
    </row>
    <row r="2377" spans="1:12" ht="11.25" customHeight="1" x14ac:dyDescent="0.2">
      <c r="A2377" s="221">
        <v>2023</v>
      </c>
      <c r="B2377" s="221">
        <v>2</v>
      </c>
      <c r="C2377" s="221">
        <v>2</v>
      </c>
      <c r="D2377" s="231">
        <f t="shared" ref="D2377:D2440" si="275">DATE(A2377,B2377,C2377)</f>
        <v>44959</v>
      </c>
      <c r="E2377" s="233">
        <f>DATE(A2377,B2377,C2377)</f>
        <v>44959</v>
      </c>
      <c r="F2377" s="478" t="s">
        <v>1307</v>
      </c>
      <c r="G2377" s="222" t="s">
        <v>1111</v>
      </c>
      <c r="H2377" s="223" t="str" cm="1">
        <f t="array" ref="H2377">IFERROR(INDEX(INVESTOR_LIST[INVESTOR NAME],MATCH(I2377,INVESTOR_LIST[INVESTOR CODE],0),)," ")</f>
        <v xml:space="preserve"> </v>
      </c>
      <c r="I2377" s="223"/>
      <c r="J2377" s="224" t="s">
        <v>961</v>
      </c>
      <c r="K2377" s="225">
        <v>274593.38</v>
      </c>
      <c r="L2377" s="225"/>
    </row>
    <row r="2378" spans="1:12" ht="11.25" customHeight="1" x14ac:dyDescent="0.2">
      <c r="A2378" s="226">
        <v>2023</v>
      </c>
      <c r="B2378" s="226">
        <v>2</v>
      </c>
      <c r="C2378" s="226">
        <v>2</v>
      </c>
      <c r="D2378" s="232">
        <f t="shared" si="275"/>
        <v>44959</v>
      </c>
      <c r="E2378" s="234">
        <f>DATE(A2378,B2378,C2378)</f>
        <v>44959</v>
      </c>
      <c r="F2378" s="479"/>
      <c r="G2378" s="227" t="s">
        <v>1111</v>
      </c>
      <c r="H2378" s="228" t="str" cm="1">
        <f t="array" ref="H2378">IFERROR(INDEX(INVESTOR_LIST[INVESTOR NAME],MATCH(I2378,INVESTOR_LIST[INVESTOR CODE],0),)," ")</f>
        <v xml:space="preserve"> </v>
      </c>
      <c r="I2378" s="228"/>
      <c r="J2378" s="229" t="s">
        <v>55</v>
      </c>
      <c r="K2378" s="230"/>
      <c r="L2378" s="230">
        <v>274593.38</v>
      </c>
    </row>
    <row r="2379" spans="1:12" ht="11.25" customHeight="1" x14ac:dyDescent="0.2">
      <c r="A2379" s="221">
        <v>2023</v>
      </c>
      <c r="B2379" s="221">
        <v>2</v>
      </c>
      <c r="C2379" s="221">
        <v>2</v>
      </c>
      <c r="D2379" s="221">
        <f t="shared" si="275"/>
        <v>44959</v>
      </c>
      <c r="E2379" s="233">
        <f t="shared" ref="E2379:E2403" si="276">DATE(A2379,B2379,C2379)</f>
        <v>44959</v>
      </c>
      <c r="F2379" s="478" t="s">
        <v>1301</v>
      </c>
      <c r="G2379" s="222" t="s">
        <v>86</v>
      </c>
      <c r="H2379" s="222" t="str" cm="1">
        <f t="array" ref="H2379">IFERROR(INDEX(INVESTOR_LIST[INVESTOR NAME],MATCH(I2379,INVESTOR_LIST[INVESTOR CODE],0),)," ")</f>
        <v xml:space="preserve"> </v>
      </c>
      <c r="I2379" s="223"/>
      <c r="J2379" s="165" t="s">
        <v>199</v>
      </c>
      <c r="K2379" s="295">
        <v>569872.38</v>
      </c>
      <c r="L2379" s="225"/>
    </row>
    <row r="2380" spans="1:12" ht="11.25" customHeight="1" x14ac:dyDescent="0.2">
      <c r="A2380" s="164">
        <v>2023</v>
      </c>
      <c r="B2380" s="164">
        <v>2</v>
      </c>
      <c r="C2380" s="164">
        <v>2</v>
      </c>
      <c r="D2380" s="164">
        <f t="shared" si="275"/>
        <v>44959</v>
      </c>
      <c r="E2380" s="235">
        <f t="shared" si="276"/>
        <v>44959</v>
      </c>
      <c r="F2380" s="480"/>
      <c r="G2380" s="208" t="s">
        <v>86</v>
      </c>
      <c r="H2380" s="208"/>
      <c r="J2380" s="165" t="s">
        <v>960</v>
      </c>
      <c r="K2380" s="205">
        <v>1027.6199999999999</v>
      </c>
      <c r="L2380" s="205"/>
    </row>
    <row r="2381" spans="1:12" ht="11.25" customHeight="1" x14ac:dyDescent="0.2">
      <c r="A2381" s="164">
        <v>2023</v>
      </c>
      <c r="B2381" s="164">
        <v>2</v>
      </c>
      <c r="C2381" s="164">
        <v>2</v>
      </c>
      <c r="D2381" s="164">
        <f t="shared" si="275"/>
        <v>44959</v>
      </c>
      <c r="E2381" s="235">
        <f t="shared" si="276"/>
        <v>44959</v>
      </c>
      <c r="F2381" s="480"/>
      <c r="G2381" s="208" t="s">
        <v>86</v>
      </c>
      <c r="H2381" s="208"/>
      <c r="J2381" s="165" t="s">
        <v>200</v>
      </c>
      <c r="K2381" s="205">
        <v>55240.1</v>
      </c>
      <c r="L2381" s="205"/>
    </row>
    <row r="2382" spans="1:12" ht="11.25" customHeight="1" x14ac:dyDescent="0.2">
      <c r="A2382" s="226">
        <v>2023</v>
      </c>
      <c r="B2382" s="226">
        <v>2</v>
      </c>
      <c r="C2382" s="226">
        <v>2</v>
      </c>
      <c r="D2382" s="226">
        <f t="shared" si="275"/>
        <v>44959</v>
      </c>
      <c r="E2382" s="234">
        <f t="shared" si="276"/>
        <v>44959</v>
      </c>
      <c r="F2382" s="479"/>
      <c r="G2382" s="227" t="s">
        <v>86</v>
      </c>
      <c r="H2382" s="228" t="str" cm="1">
        <f t="array" ref="H2382">IFERROR(INDEX(INVESTOR_LIST[INVESTOR NAME],MATCH(I2382,INVESTOR_LIST[INVESTOR CODE],0),)," ")</f>
        <v xml:space="preserve"> </v>
      </c>
      <c r="I2382" s="228"/>
      <c r="J2382" s="229" t="s">
        <v>80</v>
      </c>
      <c r="K2382" s="230"/>
      <c r="L2382" s="230">
        <v>626140.1</v>
      </c>
    </row>
    <row r="2383" spans="1:12" ht="11.25" customHeight="1" x14ac:dyDescent="0.2">
      <c r="A2383" s="327">
        <v>2023</v>
      </c>
      <c r="B2383" s="327">
        <v>2</v>
      </c>
      <c r="C2383" s="327">
        <v>2</v>
      </c>
      <c r="D2383" s="328">
        <f t="shared" si="275"/>
        <v>44959</v>
      </c>
      <c r="E2383" s="329">
        <f t="shared" si="276"/>
        <v>44959</v>
      </c>
      <c r="F2383" s="474" t="s">
        <v>1459</v>
      </c>
      <c r="G2383" s="331" t="s">
        <v>86</v>
      </c>
      <c r="H2383" s="332" t="str" cm="1">
        <f t="array" ref="H2383">IFERROR(INDEX(INVESTOR_LIST[INVESTOR NAME],MATCH(I2383,INVESTOR_LIST[INVESTOR CODE],0),)," ")</f>
        <v xml:space="preserve"> </v>
      </c>
      <c r="I2383" s="333"/>
      <c r="J2383" s="334" t="s">
        <v>1621</v>
      </c>
      <c r="K2383" s="335">
        <v>2012.08</v>
      </c>
      <c r="L2383" s="336"/>
    </row>
    <row r="2384" spans="1:12" ht="11.25" customHeight="1" x14ac:dyDescent="0.2">
      <c r="A2384" s="327">
        <v>2023</v>
      </c>
      <c r="B2384" s="327">
        <v>2</v>
      </c>
      <c r="C2384" s="327">
        <v>2</v>
      </c>
      <c r="D2384" s="337">
        <f t="shared" si="275"/>
        <v>44959</v>
      </c>
      <c r="E2384" s="338">
        <f t="shared" si="276"/>
        <v>44959</v>
      </c>
      <c r="F2384" s="475"/>
      <c r="G2384" s="331" t="s">
        <v>86</v>
      </c>
      <c r="H2384" s="340" t="str" cm="1">
        <f t="array" ref="H2384">IFERROR(INDEX(INVESTOR_LIST[INVESTOR NAME],MATCH(I2384,INVESTOR_LIST[INVESTOR CODE],0),)," ")</f>
        <v xml:space="preserve"> </v>
      </c>
      <c r="I2384" s="333"/>
      <c r="J2384" s="334" t="s">
        <v>1613</v>
      </c>
      <c r="K2384" s="335"/>
      <c r="L2384" s="336">
        <v>2012.08</v>
      </c>
    </row>
    <row r="2385" spans="1:13" ht="11.25" customHeight="1" x14ac:dyDescent="0.2">
      <c r="A2385" s="280">
        <v>2023</v>
      </c>
      <c r="B2385" s="280">
        <v>2</v>
      </c>
      <c r="C2385" s="280">
        <v>2</v>
      </c>
      <c r="D2385" s="281">
        <f t="shared" si="275"/>
        <v>44959</v>
      </c>
      <c r="E2385" s="282">
        <f t="shared" si="276"/>
        <v>44959</v>
      </c>
      <c r="F2385" s="472" t="s">
        <v>1369</v>
      </c>
      <c r="G2385" s="283" t="s">
        <v>86</v>
      </c>
      <c r="H2385" s="284" t="str" cm="1">
        <f t="array" ref="H2385">IFERROR(INDEX(INVESTOR_LIST[INVESTOR NAME],MATCH(I2385,INVESTOR_LIST[INVESTOR CODE],0),)," ")</f>
        <v xml:space="preserve"> </v>
      </c>
      <c r="I2385" s="284"/>
      <c r="J2385" s="285" t="s">
        <v>131</v>
      </c>
      <c r="K2385" s="286">
        <v>82924.28</v>
      </c>
      <c r="L2385" s="286"/>
    </row>
    <row r="2386" spans="1:13" ht="11.25" customHeight="1" x14ac:dyDescent="0.2">
      <c r="A2386" s="287">
        <v>2023</v>
      </c>
      <c r="B2386" s="287">
        <v>2</v>
      </c>
      <c r="C2386" s="287">
        <v>2</v>
      </c>
      <c r="D2386" s="288">
        <f t="shared" si="275"/>
        <v>44959</v>
      </c>
      <c r="E2386" s="289">
        <f t="shared" si="276"/>
        <v>44959</v>
      </c>
      <c r="F2386" s="473"/>
      <c r="G2386" s="290" t="s">
        <v>86</v>
      </c>
      <c r="H2386" s="291" t="str" cm="1">
        <f t="array" ref="H2386">IFERROR(INDEX(INVESTOR_LIST[INVESTOR NAME],MATCH(I2386,INVESTOR_LIST[INVESTOR CODE],0),)," ")</f>
        <v xml:space="preserve"> </v>
      </c>
      <c r="I2386" s="291"/>
      <c r="J2386" s="292" t="s">
        <v>174</v>
      </c>
      <c r="K2386" s="293"/>
      <c r="L2386" s="293">
        <v>82924.28</v>
      </c>
    </row>
    <row r="2387" spans="1:13" ht="11.25" customHeight="1" x14ac:dyDescent="0.2">
      <c r="A2387" s="280">
        <v>2023</v>
      </c>
      <c r="B2387" s="280">
        <v>2</v>
      </c>
      <c r="C2387" s="280">
        <v>2</v>
      </c>
      <c r="D2387" s="281">
        <f t="shared" si="275"/>
        <v>44959</v>
      </c>
      <c r="E2387" s="282">
        <f t="shared" si="276"/>
        <v>44959</v>
      </c>
      <c r="F2387" s="472" t="s">
        <v>1295</v>
      </c>
      <c r="G2387" s="283" t="s">
        <v>86</v>
      </c>
      <c r="H2387" s="284" t="str" cm="1">
        <f t="array" ref="H2387">IFERROR(INDEX(INVESTOR_LIST[INVESTOR NAME],MATCH(I2387,INVESTOR_LIST[INVESTOR CODE],0),)," ")</f>
        <v xml:space="preserve"> </v>
      </c>
      <c r="I2387" s="284"/>
      <c r="J2387" s="285" t="s">
        <v>131</v>
      </c>
      <c r="K2387" s="286">
        <v>15865.38</v>
      </c>
      <c r="L2387" s="286"/>
    </row>
    <row r="2388" spans="1:13" ht="11.25" customHeight="1" x14ac:dyDescent="0.2">
      <c r="A2388" s="287">
        <v>2023</v>
      </c>
      <c r="B2388" s="287">
        <v>2</v>
      </c>
      <c r="C2388" s="287">
        <v>2</v>
      </c>
      <c r="D2388" s="288">
        <f t="shared" si="275"/>
        <v>44959</v>
      </c>
      <c r="E2388" s="289">
        <f t="shared" si="276"/>
        <v>44959</v>
      </c>
      <c r="F2388" s="473"/>
      <c r="G2388" s="290" t="s">
        <v>86</v>
      </c>
      <c r="H2388" s="291" t="str" cm="1">
        <f t="array" ref="H2388">IFERROR(INDEX(INVESTOR_LIST[INVESTOR NAME],MATCH(I2388,INVESTOR_LIST[INVESTOR CODE],0),)," ")</f>
        <v xml:space="preserve"> </v>
      </c>
      <c r="I2388" s="291"/>
      <c r="J2388" s="292" t="s">
        <v>174</v>
      </c>
      <c r="K2388" s="293"/>
      <c r="L2388" s="293">
        <v>15865.38</v>
      </c>
    </row>
    <row r="2389" spans="1:13" ht="11.25" customHeight="1" x14ac:dyDescent="0.2">
      <c r="A2389" s="280">
        <v>2023</v>
      </c>
      <c r="B2389" s="280">
        <v>2</v>
      </c>
      <c r="C2389" s="280">
        <v>2</v>
      </c>
      <c r="D2389" s="281">
        <f t="shared" si="275"/>
        <v>44959</v>
      </c>
      <c r="E2389" s="282">
        <f t="shared" si="276"/>
        <v>44959</v>
      </c>
      <c r="F2389" s="472" t="s">
        <v>1294</v>
      </c>
      <c r="G2389" s="283" t="s">
        <v>86</v>
      </c>
      <c r="H2389" s="284" t="str" cm="1">
        <f t="array" ref="H2389">IFERROR(INDEX(INVESTOR_LIST[INVESTOR NAME],MATCH(I2389,INVESTOR_LIST[INVESTOR CODE],0),)," ")</f>
        <v xml:space="preserve"> </v>
      </c>
      <c r="I2389" s="284"/>
      <c r="J2389" s="285" t="s">
        <v>131</v>
      </c>
      <c r="K2389" s="286">
        <v>9423.08</v>
      </c>
      <c r="L2389" s="286"/>
    </row>
    <row r="2390" spans="1:13" ht="11.25" customHeight="1" x14ac:dyDescent="0.2">
      <c r="A2390" s="287">
        <v>2023</v>
      </c>
      <c r="B2390" s="287">
        <v>2</v>
      </c>
      <c r="C2390" s="287">
        <v>2</v>
      </c>
      <c r="D2390" s="288">
        <f t="shared" si="275"/>
        <v>44959</v>
      </c>
      <c r="E2390" s="289">
        <f t="shared" si="276"/>
        <v>44959</v>
      </c>
      <c r="F2390" s="473"/>
      <c r="G2390" s="290" t="s">
        <v>86</v>
      </c>
      <c r="H2390" s="291" t="str" cm="1">
        <f t="array" ref="H2390">IFERROR(INDEX(INVESTOR_LIST[INVESTOR NAME],MATCH(I2390,INVESTOR_LIST[INVESTOR CODE],0),)," ")</f>
        <v xml:space="preserve"> </v>
      </c>
      <c r="I2390" s="291"/>
      <c r="J2390" s="292" t="s">
        <v>174</v>
      </c>
      <c r="K2390" s="293"/>
      <c r="L2390" s="293">
        <v>9423.08</v>
      </c>
    </row>
    <row r="2391" spans="1:13" ht="11.25" customHeight="1" x14ac:dyDescent="0.2">
      <c r="A2391" s="280">
        <v>2023</v>
      </c>
      <c r="B2391" s="280">
        <v>2</v>
      </c>
      <c r="C2391" s="280">
        <v>2</v>
      </c>
      <c r="D2391" s="281">
        <f t="shared" si="275"/>
        <v>44959</v>
      </c>
      <c r="E2391" s="282">
        <f t="shared" si="276"/>
        <v>44959</v>
      </c>
      <c r="F2391" s="472" t="s">
        <v>1376</v>
      </c>
      <c r="G2391" s="283" t="s">
        <v>86</v>
      </c>
      <c r="H2391" s="284" t="str" cm="1">
        <f t="array" ref="H2391">IFERROR(INDEX(INVESTOR_LIST[INVESTOR NAME],MATCH(I2391,INVESTOR_LIST[INVESTOR CODE],0),)," ")</f>
        <v xml:space="preserve"> </v>
      </c>
      <c r="I2391" s="284"/>
      <c r="J2391" s="285" t="s">
        <v>131</v>
      </c>
      <c r="K2391" s="286">
        <v>4673.08</v>
      </c>
      <c r="L2391" s="286"/>
    </row>
    <row r="2392" spans="1:13" ht="11.25" customHeight="1" x14ac:dyDescent="0.2">
      <c r="A2392" s="287">
        <v>2023</v>
      </c>
      <c r="B2392" s="287">
        <v>2</v>
      </c>
      <c r="C2392" s="287">
        <v>2</v>
      </c>
      <c r="D2392" s="288">
        <f t="shared" si="275"/>
        <v>44959</v>
      </c>
      <c r="E2392" s="289">
        <f t="shared" si="276"/>
        <v>44959</v>
      </c>
      <c r="F2392" s="473"/>
      <c r="G2392" s="290" t="s">
        <v>86</v>
      </c>
      <c r="H2392" s="291" t="str" cm="1">
        <f t="array" ref="H2392">IFERROR(INDEX(INVESTOR_LIST[INVESTOR NAME],MATCH(I2392,INVESTOR_LIST[INVESTOR CODE],0),)," ")</f>
        <v xml:space="preserve"> </v>
      </c>
      <c r="I2392" s="291"/>
      <c r="J2392" s="292" t="s">
        <v>174</v>
      </c>
      <c r="K2392" s="293"/>
      <c r="L2392" s="293">
        <v>4673.08</v>
      </c>
    </row>
    <row r="2393" spans="1:13" ht="11.25" customHeight="1" x14ac:dyDescent="0.2">
      <c r="A2393" s="236">
        <v>2023</v>
      </c>
      <c r="B2393" s="236">
        <v>2</v>
      </c>
      <c r="C2393" s="236">
        <v>2</v>
      </c>
      <c r="D2393" s="237">
        <f t="shared" si="275"/>
        <v>44959</v>
      </c>
      <c r="E2393" s="238">
        <f t="shared" si="276"/>
        <v>44959</v>
      </c>
      <c r="F2393" s="476" t="s">
        <v>1118</v>
      </c>
      <c r="G2393" s="239" t="s">
        <v>86</v>
      </c>
      <c r="H2393" s="239" t="str" cm="1">
        <f t="array" ref="H2393">IFERROR(INDEX(INVESTOR_LIST[INVESTOR NAME],MATCH(I2393,INVESTOR_LIST[INVESTOR CODE],0),)," ")</f>
        <v xml:space="preserve"> </v>
      </c>
      <c r="I2393" s="240"/>
      <c r="J2393" s="241" t="s">
        <v>98</v>
      </c>
      <c r="K2393" s="242">
        <v>35402.176923081279</v>
      </c>
      <c r="L2393" s="242"/>
    </row>
    <row r="2394" spans="1:13" ht="11.25" customHeight="1" x14ac:dyDescent="0.2">
      <c r="A2394" s="243">
        <v>2023</v>
      </c>
      <c r="B2394" s="243">
        <v>2</v>
      </c>
      <c r="C2394" s="243">
        <v>2</v>
      </c>
      <c r="D2394" s="248">
        <f t="shared" si="275"/>
        <v>44959</v>
      </c>
      <c r="E2394" s="249">
        <f t="shared" si="276"/>
        <v>44959</v>
      </c>
      <c r="F2394" s="477"/>
      <c r="G2394" s="244" t="s">
        <v>86</v>
      </c>
      <c r="H2394" s="244" t="str" cm="1">
        <f t="array" ref="H2394">IFERROR(INDEX(INVESTOR_LIST[INVESTOR NAME],MATCH(I2394,INVESTOR_LIST[INVESTOR CODE],0),)," ")</f>
        <v xml:space="preserve"> </v>
      </c>
      <c r="I2394" s="245"/>
      <c r="J2394" s="246" t="s">
        <v>82</v>
      </c>
      <c r="K2394" s="247"/>
      <c r="L2394" s="247">
        <v>35402.176923081279</v>
      </c>
    </row>
    <row r="2395" spans="1:13" ht="11.25" customHeight="1" x14ac:dyDescent="0.2">
      <c r="A2395" s="236">
        <v>2023</v>
      </c>
      <c r="B2395" s="236">
        <v>2</v>
      </c>
      <c r="C2395" s="236">
        <v>2</v>
      </c>
      <c r="D2395" s="237">
        <f t="shared" si="275"/>
        <v>44959</v>
      </c>
      <c r="E2395" s="238">
        <f t="shared" si="276"/>
        <v>44959</v>
      </c>
      <c r="F2395" s="476" t="s">
        <v>1120</v>
      </c>
      <c r="G2395" s="239" t="s">
        <v>86</v>
      </c>
      <c r="H2395" s="239" t="str" cm="1">
        <f t="array" ref="H2395">IFERROR(INDEX(INVESTOR_LIST[INVESTOR NAME],MATCH(I2395,INVESTOR_LIST[INVESTOR CODE],0),)," ")</f>
        <v xml:space="preserve"> </v>
      </c>
      <c r="I2395" s="240"/>
      <c r="J2395" s="241" t="s">
        <v>87</v>
      </c>
      <c r="K2395" s="242">
        <v>2747.2527472527472</v>
      </c>
      <c r="L2395" s="242"/>
    </row>
    <row r="2396" spans="1:13" ht="11.25" customHeight="1" x14ac:dyDescent="0.2">
      <c r="A2396" s="243">
        <v>2023</v>
      </c>
      <c r="B2396" s="243">
        <v>2</v>
      </c>
      <c r="C2396" s="243">
        <v>2</v>
      </c>
      <c r="D2396" s="248">
        <f t="shared" si="275"/>
        <v>44959</v>
      </c>
      <c r="E2396" s="249">
        <f t="shared" si="276"/>
        <v>44959</v>
      </c>
      <c r="F2396" s="477"/>
      <c r="G2396" s="244" t="s">
        <v>86</v>
      </c>
      <c r="H2396" s="244" t="str" cm="1">
        <f t="array" ref="H2396">IFERROR(INDEX(INVESTOR_LIST[INVESTOR NAME],MATCH(I2396,INVESTOR_LIST[INVESTOR CODE],0),)," ")</f>
        <v xml:space="preserve"> </v>
      </c>
      <c r="I2396" s="245"/>
      <c r="J2396" s="246" t="s">
        <v>64</v>
      </c>
      <c r="K2396" s="247"/>
      <c r="L2396" s="247">
        <v>2747.2527472527472</v>
      </c>
    </row>
    <row r="2397" spans="1:13" ht="11.25" customHeight="1" x14ac:dyDescent="0.2">
      <c r="A2397" s="236">
        <v>2023</v>
      </c>
      <c r="B2397" s="236">
        <v>2</v>
      </c>
      <c r="C2397" s="236">
        <v>2</v>
      </c>
      <c r="D2397" s="237">
        <f t="shared" si="275"/>
        <v>44959</v>
      </c>
      <c r="E2397" s="238">
        <f t="shared" si="276"/>
        <v>44959</v>
      </c>
      <c r="F2397" s="476" t="s">
        <v>1121</v>
      </c>
      <c r="G2397" s="239" t="s">
        <v>86</v>
      </c>
      <c r="H2397" s="239" t="str" cm="1">
        <f t="array" ref="H2397">IFERROR(INDEX(INVESTOR_LIST[INVESTOR NAME],MATCH(I2397,INVESTOR_LIST[INVESTOR CODE],0),)," ")</f>
        <v xml:space="preserve"> </v>
      </c>
      <c r="I2397" s="240"/>
      <c r="J2397" s="241" t="s">
        <v>89</v>
      </c>
      <c r="K2397" s="242">
        <v>82046.336314612563</v>
      </c>
      <c r="L2397" s="242"/>
    </row>
    <row r="2398" spans="1:13" ht="11.25" customHeight="1" x14ac:dyDescent="0.2">
      <c r="A2398" s="243">
        <v>2023</v>
      </c>
      <c r="B2398" s="243">
        <v>2</v>
      </c>
      <c r="C2398" s="243">
        <v>2</v>
      </c>
      <c r="D2398" s="248">
        <f t="shared" si="275"/>
        <v>44959</v>
      </c>
      <c r="E2398" s="249">
        <f t="shared" si="276"/>
        <v>44959</v>
      </c>
      <c r="F2398" s="477"/>
      <c r="G2398" s="244" t="s">
        <v>86</v>
      </c>
      <c r="H2398" s="244" t="str" cm="1">
        <f t="array" ref="H2398">IFERROR(INDEX(INVESTOR_LIST[INVESTOR NAME],MATCH(I2398,INVESTOR_LIST[INVESTOR CODE],0),)," ")</f>
        <v xml:space="preserve"> </v>
      </c>
      <c r="I2398" s="245"/>
      <c r="J2398" s="246" t="s">
        <v>50</v>
      </c>
      <c r="K2398" s="247"/>
      <c r="L2398" s="247">
        <v>82046.336314612563</v>
      </c>
    </row>
    <row r="2399" spans="1:13" ht="11.25" customHeight="1" x14ac:dyDescent="0.2">
      <c r="A2399" s="236">
        <v>2023</v>
      </c>
      <c r="B2399" s="236">
        <v>2</v>
      </c>
      <c r="C2399" s="236">
        <v>2</v>
      </c>
      <c r="D2399" s="237">
        <f t="shared" si="275"/>
        <v>44959</v>
      </c>
      <c r="E2399" s="238">
        <f t="shared" si="276"/>
        <v>44959</v>
      </c>
      <c r="F2399" s="476" t="s">
        <v>1122</v>
      </c>
      <c r="G2399" s="239" t="s">
        <v>86</v>
      </c>
      <c r="H2399" s="239" t="str" cm="1">
        <f t="array" ref="H2399">IFERROR(INDEX(INVESTOR_LIST[INVESTOR NAME],MATCH(I2399,INVESTOR_LIST[INVESTOR CODE],0),)," ")</f>
        <v xml:space="preserve"> </v>
      </c>
      <c r="I2399" s="240"/>
      <c r="J2399" s="241" t="s">
        <v>91</v>
      </c>
      <c r="K2399" s="242">
        <v>3861.9322003460129</v>
      </c>
      <c r="L2399" s="242"/>
    </row>
    <row r="2400" spans="1:13" ht="11.25" customHeight="1" x14ac:dyDescent="0.2">
      <c r="A2400" s="243">
        <v>2023</v>
      </c>
      <c r="B2400" s="243">
        <v>2</v>
      </c>
      <c r="C2400" s="243">
        <v>2</v>
      </c>
      <c r="D2400" s="248">
        <f t="shared" si="275"/>
        <v>44959</v>
      </c>
      <c r="E2400" s="249">
        <f t="shared" si="276"/>
        <v>44959</v>
      </c>
      <c r="F2400" s="477"/>
      <c r="G2400" s="244" t="s">
        <v>86</v>
      </c>
      <c r="H2400" s="244" t="str" cm="1">
        <f t="array" ref="H2400">IFERROR(INDEX(INVESTOR_LIST[INVESTOR NAME],MATCH(I2400,INVESTOR_LIST[INVESTOR CODE],0),)," ")</f>
        <v xml:space="preserve"> </v>
      </c>
      <c r="I2400" s="245"/>
      <c r="J2400" s="246" t="s">
        <v>51</v>
      </c>
      <c r="K2400" s="247"/>
      <c r="L2400" s="247">
        <v>3861.9322003460129</v>
      </c>
      <c r="M2400" s="166"/>
    </row>
    <row r="2401" spans="1:12" ht="11.25" customHeight="1" x14ac:dyDescent="0.2">
      <c r="A2401" s="221">
        <v>2023</v>
      </c>
      <c r="B2401" s="221">
        <v>2</v>
      </c>
      <c r="C2401" s="221">
        <v>5</v>
      </c>
      <c r="D2401" s="231">
        <f t="shared" si="275"/>
        <v>44962</v>
      </c>
      <c r="E2401" s="233">
        <f t="shared" si="276"/>
        <v>44962</v>
      </c>
      <c r="F2401" s="478" t="s">
        <v>1132</v>
      </c>
      <c r="G2401" s="222" t="s">
        <v>1111</v>
      </c>
      <c r="H2401" s="223" t="str" cm="1">
        <f t="array" ref="H2401">IFERROR(INDEX(INVESTOR_LIST[INVESTOR NAME],MATCH(I2401,INVESTOR_LIST[INVESTOR CODE],0),)," ")</f>
        <v xml:space="preserve"> </v>
      </c>
      <c r="I2401" s="223"/>
      <c r="J2401" s="224" t="s">
        <v>55</v>
      </c>
      <c r="K2401" s="225">
        <v>5000</v>
      </c>
      <c r="L2401" s="225"/>
    </row>
    <row r="2402" spans="1:12" ht="11.25" customHeight="1" x14ac:dyDescent="0.2">
      <c r="A2402" s="164">
        <v>2023</v>
      </c>
      <c r="B2402" s="164">
        <v>2</v>
      </c>
      <c r="C2402" s="164">
        <v>5</v>
      </c>
      <c r="D2402" s="156">
        <f t="shared" si="275"/>
        <v>44962</v>
      </c>
      <c r="E2402" s="235">
        <f t="shared" si="276"/>
        <v>44962</v>
      </c>
      <c r="F2402" s="480"/>
      <c r="G2402" s="208" t="s">
        <v>1111</v>
      </c>
      <c r="H2402" s="206" t="str" cm="1">
        <f t="array" ref="H2402">IFERROR(INDEX(INVESTOR_LIST[INVESTOR NAME],MATCH(I2402,INVESTOR_LIST[INVESTOR CODE],0),)," ")</f>
        <v xml:space="preserve"> </v>
      </c>
      <c r="J2402" s="165" t="s">
        <v>1112</v>
      </c>
      <c r="K2402" s="205"/>
      <c r="L2402" s="205">
        <v>20</v>
      </c>
    </row>
    <row r="2403" spans="1:12" ht="11.25" customHeight="1" x14ac:dyDescent="0.2">
      <c r="A2403" s="226">
        <v>2023</v>
      </c>
      <c r="B2403" s="226">
        <v>2</v>
      </c>
      <c r="C2403" s="226">
        <v>5</v>
      </c>
      <c r="D2403" s="232">
        <f t="shared" si="275"/>
        <v>44962</v>
      </c>
      <c r="E2403" s="234">
        <f t="shared" si="276"/>
        <v>44962</v>
      </c>
      <c r="F2403" s="479"/>
      <c r="G2403" s="227" t="s">
        <v>1111</v>
      </c>
      <c r="H2403" s="228" t="str" cm="1">
        <f t="array" ref="H2403">IFERROR(INDEX(INVESTOR_LIST[INVESTOR NAME],MATCH(I2403,INVESTOR_LIST[INVESTOR CODE],0),)," ")</f>
        <v xml:space="preserve"> </v>
      </c>
      <c r="I2403" s="228"/>
      <c r="J2403" s="229" t="s">
        <v>14</v>
      </c>
      <c r="K2403" s="230"/>
      <c r="L2403" s="230">
        <v>4980</v>
      </c>
    </row>
    <row r="2404" spans="1:12" ht="11.25" customHeight="1" x14ac:dyDescent="0.2">
      <c r="A2404" s="221">
        <v>2023</v>
      </c>
      <c r="B2404" s="221">
        <v>2</v>
      </c>
      <c r="C2404" s="221">
        <v>7</v>
      </c>
      <c r="D2404" s="231">
        <f t="shared" si="275"/>
        <v>44964</v>
      </c>
      <c r="E2404" s="233">
        <f>DATE(A2404,B2404,C2404)</f>
        <v>44964</v>
      </c>
      <c r="F2404" s="478" t="s">
        <v>1303</v>
      </c>
      <c r="G2404" s="222" t="s">
        <v>1111</v>
      </c>
      <c r="H2404" s="223" t="str" cm="1">
        <f t="array" ref="H2404">IFERROR(INDEX(INVESTOR_LIST[INVESTOR NAME],MATCH(I2404,INVESTOR_LIST[INVESTOR CODE],0),)," ")</f>
        <v xml:space="preserve"> </v>
      </c>
      <c r="I2404" s="223"/>
      <c r="J2404" s="224" t="s">
        <v>55</v>
      </c>
      <c r="K2404" s="225">
        <v>569872.38</v>
      </c>
      <c r="L2404" s="225"/>
    </row>
    <row r="2405" spans="1:12" ht="11.25" customHeight="1" x14ac:dyDescent="0.2">
      <c r="A2405" s="226">
        <v>2023</v>
      </c>
      <c r="B2405" s="226">
        <v>2</v>
      </c>
      <c r="C2405" s="226">
        <v>7</v>
      </c>
      <c r="D2405" s="232">
        <f t="shared" si="275"/>
        <v>44964</v>
      </c>
      <c r="E2405" s="234">
        <f>DATE(A2405,B2405,C2405)</f>
        <v>44964</v>
      </c>
      <c r="F2405" s="479"/>
      <c r="G2405" s="227" t="s">
        <v>1111</v>
      </c>
      <c r="H2405" s="228" t="str" cm="1">
        <f t="array" ref="H2405">IFERROR(INDEX(INVESTOR_LIST[INVESTOR NAME],MATCH(I2405,INVESTOR_LIST[INVESTOR CODE],0),)," ")</f>
        <v xml:space="preserve"> </v>
      </c>
      <c r="I2405" s="228"/>
      <c r="J2405" s="229" t="s">
        <v>199</v>
      </c>
      <c r="K2405" s="230"/>
      <c r="L2405" s="230">
        <v>569872.38</v>
      </c>
    </row>
    <row r="2406" spans="1:12" ht="11.25" customHeight="1" x14ac:dyDescent="0.2">
      <c r="A2406" s="221">
        <v>2023</v>
      </c>
      <c r="B2406" s="221">
        <v>2</v>
      </c>
      <c r="C2406" s="221">
        <v>7</v>
      </c>
      <c r="D2406" s="231">
        <f t="shared" si="275"/>
        <v>44964</v>
      </c>
      <c r="E2406" s="233">
        <f t="shared" ref="E2406:E2431" si="277">DATE(A2406,B2406,C2406)</f>
        <v>44964</v>
      </c>
      <c r="F2406" s="478" t="s">
        <v>1399</v>
      </c>
      <c r="G2406" s="222" t="s">
        <v>1111</v>
      </c>
      <c r="H2406" s="223" t="str" cm="1">
        <f t="array" ref="H2406">IFERROR(INDEX(INVESTOR_LIST[INVESTOR NAME],MATCH(I2406,INVESTOR_LIST[INVESTOR CODE],0),)," ")</f>
        <v xml:space="preserve"> </v>
      </c>
      <c r="I2406" s="223"/>
      <c r="J2406" s="224" t="s">
        <v>53</v>
      </c>
      <c r="K2406" s="225">
        <v>30000</v>
      </c>
      <c r="L2406" s="225"/>
    </row>
    <row r="2407" spans="1:12" ht="11.25" customHeight="1" x14ac:dyDescent="0.2">
      <c r="A2407" s="164">
        <v>2023</v>
      </c>
      <c r="B2407" s="164">
        <v>2</v>
      </c>
      <c r="C2407" s="164">
        <v>7</v>
      </c>
      <c r="D2407" s="156">
        <f t="shared" si="275"/>
        <v>44964</v>
      </c>
      <c r="E2407" s="235">
        <f t="shared" ref="E2407" si="278">DATE(A2407,B2407,C2407)</f>
        <v>44964</v>
      </c>
      <c r="F2407" s="480"/>
      <c r="G2407" s="208" t="s">
        <v>1111</v>
      </c>
      <c r="J2407" s="165" t="s">
        <v>128</v>
      </c>
      <c r="K2407" s="205">
        <v>4500</v>
      </c>
      <c r="L2407" s="205"/>
    </row>
    <row r="2408" spans="1:12" ht="11.25" customHeight="1" x14ac:dyDescent="0.2">
      <c r="A2408" s="226">
        <v>2023</v>
      </c>
      <c r="B2408" s="226">
        <v>2</v>
      </c>
      <c r="C2408" s="226">
        <v>7</v>
      </c>
      <c r="D2408" s="232">
        <f t="shared" si="275"/>
        <v>44964</v>
      </c>
      <c r="E2408" s="234">
        <f t="shared" si="277"/>
        <v>44964</v>
      </c>
      <c r="F2408" s="479"/>
      <c r="G2408" s="227" t="s">
        <v>1111</v>
      </c>
      <c r="H2408" s="228" t="str" cm="1">
        <f t="array" ref="H2408">IFERROR(INDEX(INVESTOR_LIST[INVESTOR NAME],MATCH(I2408,INVESTOR_LIST[INVESTOR CODE],0),)," ")</f>
        <v xml:space="preserve"> </v>
      </c>
      <c r="I2408" s="228"/>
      <c r="J2408" s="229" t="s">
        <v>55</v>
      </c>
      <c r="K2408" s="230"/>
      <c r="L2408" s="230">
        <v>34500</v>
      </c>
    </row>
    <row r="2409" spans="1:12" ht="11.25" customHeight="1" x14ac:dyDescent="0.2">
      <c r="A2409" s="221">
        <v>2023</v>
      </c>
      <c r="B2409" s="221">
        <v>2</v>
      </c>
      <c r="C2409" s="221">
        <v>9</v>
      </c>
      <c r="D2409" s="221">
        <f t="shared" si="275"/>
        <v>44966</v>
      </c>
      <c r="E2409" s="233">
        <f t="shared" si="277"/>
        <v>44966</v>
      </c>
      <c r="F2409" s="478" t="s">
        <v>1392</v>
      </c>
      <c r="G2409" s="222" t="s">
        <v>86</v>
      </c>
      <c r="H2409" s="222" t="str" cm="1">
        <f t="array" ref="H2409">IFERROR(INDEX(INVESTOR_LIST[INVESTOR NAME],MATCH(I2409,INVESTOR_LIST[INVESTOR CODE],0),)," ")</f>
        <v xml:space="preserve"> </v>
      </c>
      <c r="I2409" s="223"/>
      <c r="J2409" s="224" t="s">
        <v>80</v>
      </c>
      <c r="K2409" s="225">
        <v>2804400</v>
      </c>
      <c r="L2409" s="225"/>
    </row>
    <row r="2410" spans="1:12" ht="11.25" customHeight="1" x14ac:dyDescent="0.2">
      <c r="A2410" s="164">
        <v>2023</v>
      </c>
      <c r="B2410" s="164">
        <v>2</v>
      </c>
      <c r="C2410" s="164">
        <v>9</v>
      </c>
      <c r="D2410" s="164">
        <f t="shared" si="275"/>
        <v>44966</v>
      </c>
      <c r="E2410" s="235">
        <f t="shared" si="277"/>
        <v>44966</v>
      </c>
      <c r="F2410" s="480"/>
      <c r="G2410" s="208" t="s">
        <v>86</v>
      </c>
      <c r="H2410" s="208"/>
      <c r="J2410" s="165" t="s">
        <v>960</v>
      </c>
      <c r="K2410" s="205">
        <v>8392.23</v>
      </c>
      <c r="L2410" s="205"/>
    </row>
    <row r="2411" spans="1:12" ht="11.25" customHeight="1" x14ac:dyDescent="0.2">
      <c r="A2411" s="164">
        <v>2023</v>
      </c>
      <c r="B2411" s="164">
        <v>2</v>
      </c>
      <c r="C2411" s="164">
        <v>9</v>
      </c>
      <c r="D2411" s="164">
        <f t="shared" si="275"/>
        <v>44966</v>
      </c>
      <c r="E2411" s="235">
        <f t="shared" si="277"/>
        <v>44966</v>
      </c>
      <c r="F2411" s="480"/>
      <c r="G2411" s="208" t="s">
        <v>86</v>
      </c>
      <c r="H2411" s="208"/>
      <c r="J2411" s="165" t="s">
        <v>961</v>
      </c>
      <c r="K2411" s="263"/>
      <c r="L2411" s="205">
        <v>954842.23</v>
      </c>
    </row>
    <row r="2412" spans="1:12" ht="11.25" customHeight="1" x14ac:dyDescent="0.2">
      <c r="A2412" s="164">
        <v>2023</v>
      </c>
      <c r="B2412" s="164">
        <v>2</v>
      </c>
      <c r="C2412" s="164">
        <v>9</v>
      </c>
      <c r="D2412" s="164">
        <f t="shared" si="275"/>
        <v>44966</v>
      </c>
      <c r="E2412" s="235">
        <f t="shared" si="277"/>
        <v>44966</v>
      </c>
      <c r="F2412" s="480"/>
      <c r="G2412" s="208" t="s">
        <v>86</v>
      </c>
      <c r="H2412" s="208"/>
      <c r="J2412" s="165" t="s">
        <v>200</v>
      </c>
      <c r="K2412" s="263">
        <v>202457.26</v>
      </c>
      <c r="L2412" s="205"/>
    </row>
    <row r="2413" spans="1:12" ht="11.25" customHeight="1" x14ac:dyDescent="0.2">
      <c r="A2413" s="226">
        <v>2023</v>
      </c>
      <c r="B2413" s="226">
        <v>2</v>
      </c>
      <c r="C2413" s="226">
        <v>9</v>
      </c>
      <c r="D2413" s="226">
        <f t="shared" si="275"/>
        <v>44966</v>
      </c>
      <c r="E2413" s="234">
        <f t="shared" si="277"/>
        <v>44966</v>
      </c>
      <c r="F2413" s="479"/>
      <c r="G2413" s="227" t="s">
        <v>86</v>
      </c>
      <c r="H2413" s="228" t="str" cm="1">
        <f t="array" ref="H2413">IFERROR(INDEX(INVESTOR_LIST[INVESTOR NAME],MATCH(I2413,INVESTOR_LIST[INVESTOR CODE],0),)," ")</f>
        <v xml:space="preserve"> </v>
      </c>
      <c r="I2413" s="228"/>
      <c r="J2413" s="229" t="s">
        <v>80</v>
      </c>
      <c r="K2413" s="230"/>
      <c r="L2413" s="230">
        <v>2060407.26</v>
      </c>
    </row>
    <row r="2414" spans="1:12" ht="11.25" customHeight="1" x14ac:dyDescent="0.2">
      <c r="A2414" s="327">
        <v>2023</v>
      </c>
      <c r="B2414" s="327">
        <v>2</v>
      </c>
      <c r="C2414" s="327">
        <v>9</v>
      </c>
      <c r="D2414" s="328">
        <f t="shared" si="275"/>
        <v>44966</v>
      </c>
      <c r="E2414" s="329">
        <f t="shared" si="277"/>
        <v>44966</v>
      </c>
      <c r="F2414" s="474" t="s">
        <v>1459</v>
      </c>
      <c r="G2414" s="331" t="s">
        <v>86</v>
      </c>
      <c r="H2414" s="332" t="str" cm="1">
        <f t="array" ref="H2414">IFERROR(INDEX(INVESTOR_LIST[INVESTOR NAME],MATCH(I2414,INVESTOR_LIST[INVESTOR CODE],0),)," ")</f>
        <v xml:space="preserve"> </v>
      </c>
      <c r="I2414" s="333"/>
      <c r="J2414" s="334" t="s">
        <v>1621</v>
      </c>
      <c r="K2414" s="335">
        <v>2012.08</v>
      </c>
      <c r="L2414" s="336"/>
    </row>
    <row r="2415" spans="1:12" ht="11.25" customHeight="1" x14ac:dyDescent="0.2">
      <c r="A2415" s="327">
        <v>2023</v>
      </c>
      <c r="B2415" s="327">
        <v>2</v>
      </c>
      <c r="C2415" s="327">
        <v>9</v>
      </c>
      <c r="D2415" s="337">
        <f t="shared" si="275"/>
        <v>44966</v>
      </c>
      <c r="E2415" s="338">
        <f t="shared" si="277"/>
        <v>44966</v>
      </c>
      <c r="F2415" s="475"/>
      <c r="G2415" s="331" t="s">
        <v>86</v>
      </c>
      <c r="H2415" s="340" t="str" cm="1">
        <f t="array" ref="H2415">IFERROR(INDEX(INVESTOR_LIST[INVESTOR NAME],MATCH(I2415,INVESTOR_LIST[INVESTOR CODE],0),)," ")</f>
        <v xml:space="preserve"> </v>
      </c>
      <c r="I2415" s="333"/>
      <c r="J2415" s="334" t="s">
        <v>1613</v>
      </c>
      <c r="K2415" s="335"/>
      <c r="L2415" s="336">
        <v>2012.08</v>
      </c>
    </row>
    <row r="2416" spans="1:12" ht="11.25" customHeight="1" x14ac:dyDescent="0.2">
      <c r="A2416" s="280">
        <v>2023</v>
      </c>
      <c r="B2416" s="280">
        <v>2</v>
      </c>
      <c r="C2416" s="280">
        <v>9</v>
      </c>
      <c r="D2416" s="281">
        <f t="shared" si="275"/>
        <v>44966</v>
      </c>
      <c r="E2416" s="282">
        <f t="shared" si="277"/>
        <v>44966</v>
      </c>
      <c r="F2416" s="472" t="s">
        <v>1369</v>
      </c>
      <c r="G2416" s="283" t="s">
        <v>86</v>
      </c>
      <c r="H2416" s="284" t="str" cm="1">
        <f t="array" ref="H2416">IFERROR(INDEX(INVESTOR_LIST[INVESTOR NAME],MATCH(I2416,INVESTOR_LIST[INVESTOR CODE],0),)," ")</f>
        <v xml:space="preserve"> </v>
      </c>
      <c r="I2416" s="284"/>
      <c r="J2416" s="285" t="s">
        <v>131</v>
      </c>
      <c r="K2416" s="286">
        <v>82924.28</v>
      </c>
      <c r="L2416" s="286"/>
    </row>
    <row r="2417" spans="1:12" ht="11.25" customHeight="1" x14ac:dyDescent="0.2">
      <c r="A2417" s="287">
        <v>2023</v>
      </c>
      <c r="B2417" s="287">
        <v>2</v>
      </c>
      <c r="C2417" s="287">
        <v>9</v>
      </c>
      <c r="D2417" s="288">
        <f t="shared" si="275"/>
        <v>44966</v>
      </c>
      <c r="E2417" s="289">
        <f t="shared" si="277"/>
        <v>44966</v>
      </c>
      <c r="F2417" s="473"/>
      <c r="G2417" s="290" t="s">
        <v>86</v>
      </c>
      <c r="H2417" s="291" t="str" cm="1">
        <f t="array" ref="H2417">IFERROR(INDEX(INVESTOR_LIST[INVESTOR NAME],MATCH(I2417,INVESTOR_LIST[INVESTOR CODE],0),)," ")</f>
        <v xml:space="preserve"> </v>
      </c>
      <c r="I2417" s="291"/>
      <c r="J2417" s="292" t="s">
        <v>174</v>
      </c>
      <c r="K2417" s="293"/>
      <c r="L2417" s="293">
        <v>82924.28</v>
      </c>
    </row>
    <row r="2418" spans="1:12" ht="11.25" customHeight="1" x14ac:dyDescent="0.2">
      <c r="A2418" s="280">
        <v>2023</v>
      </c>
      <c r="B2418" s="280">
        <v>2</v>
      </c>
      <c r="C2418" s="280">
        <v>9</v>
      </c>
      <c r="D2418" s="281">
        <f t="shared" si="275"/>
        <v>44966</v>
      </c>
      <c r="E2418" s="282">
        <f t="shared" si="277"/>
        <v>44966</v>
      </c>
      <c r="F2418" s="472" t="s">
        <v>1295</v>
      </c>
      <c r="G2418" s="283" t="s">
        <v>86</v>
      </c>
      <c r="H2418" s="284" t="str" cm="1">
        <f t="array" ref="H2418">IFERROR(INDEX(INVESTOR_LIST[INVESTOR NAME],MATCH(I2418,INVESTOR_LIST[INVESTOR CODE],0),)," ")</f>
        <v xml:space="preserve"> </v>
      </c>
      <c r="I2418" s="284"/>
      <c r="J2418" s="285" t="s">
        <v>131</v>
      </c>
      <c r="K2418" s="286">
        <v>15865.38</v>
      </c>
      <c r="L2418" s="286"/>
    </row>
    <row r="2419" spans="1:12" ht="11.25" customHeight="1" x14ac:dyDescent="0.2">
      <c r="A2419" s="287">
        <v>2023</v>
      </c>
      <c r="B2419" s="287">
        <v>2</v>
      </c>
      <c r="C2419" s="287">
        <v>9</v>
      </c>
      <c r="D2419" s="288">
        <f t="shared" si="275"/>
        <v>44966</v>
      </c>
      <c r="E2419" s="289">
        <f t="shared" si="277"/>
        <v>44966</v>
      </c>
      <c r="F2419" s="473"/>
      <c r="G2419" s="290" t="s">
        <v>86</v>
      </c>
      <c r="H2419" s="291" t="str" cm="1">
        <f t="array" ref="H2419">IFERROR(INDEX(INVESTOR_LIST[INVESTOR NAME],MATCH(I2419,INVESTOR_LIST[INVESTOR CODE],0),)," ")</f>
        <v xml:space="preserve"> </v>
      </c>
      <c r="I2419" s="291"/>
      <c r="J2419" s="292" t="s">
        <v>174</v>
      </c>
      <c r="K2419" s="293"/>
      <c r="L2419" s="293">
        <v>15865.38</v>
      </c>
    </row>
    <row r="2420" spans="1:12" ht="11.25" customHeight="1" x14ac:dyDescent="0.2">
      <c r="A2420" s="280">
        <v>2023</v>
      </c>
      <c r="B2420" s="280">
        <v>2</v>
      </c>
      <c r="C2420" s="280">
        <v>9</v>
      </c>
      <c r="D2420" s="281">
        <f t="shared" si="275"/>
        <v>44966</v>
      </c>
      <c r="E2420" s="282">
        <f t="shared" si="277"/>
        <v>44966</v>
      </c>
      <c r="F2420" s="472" t="s">
        <v>1294</v>
      </c>
      <c r="G2420" s="283" t="s">
        <v>86</v>
      </c>
      <c r="H2420" s="284" t="str" cm="1">
        <f t="array" ref="H2420">IFERROR(INDEX(INVESTOR_LIST[INVESTOR NAME],MATCH(I2420,INVESTOR_LIST[INVESTOR CODE],0),)," ")</f>
        <v xml:space="preserve"> </v>
      </c>
      <c r="I2420" s="284"/>
      <c r="J2420" s="285" t="s">
        <v>131</v>
      </c>
      <c r="K2420" s="286">
        <v>9423.08</v>
      </c>
      <c r="L2420" s="286"/>
    </row>
    <row r="2421" spans="1:12" ht="11.25" customHeight="1" x14ac:dyDescent="0.2">
      <c r="A2421" s="287">
        <v>2023</v>
      </c>
      <c r="B2421" s="287">
        <v>2</v>
      </c>
      <c r="C2421" s="287">
        <v>9</v>
      </c>
      <c r="D2421" s="288">
        <f t="shared" si="275"/>
        <v>44966</v>
      </c>
      <c r="E2421" s="289">
        <f t="shared" si="277"/>
        <v>44966</v>
      </c>
      <c r="F2421" s="473"/>
      <c r="G2421" s="290" t="s">
        <v>86</v>
      </c>
      <c r="H2421" s="291" t="str" cm="1">
        <f t="array" ref="H2421">IFERROR(INDEX(INVESTOR_LIST[INVESTOR NAME],MATCH(I2421,INVESTOR_LIST[INVESTOR CODE],0),)," ")</f>
        <v xml:space="preserve"> </v>
      </c>
      <c r="I2421" s="291"/>
      <c r="J2421" s="292" t="s">
        <v>174</v>
      </c>
      <c r="K2421" s="293"/>
      <c r="L2421" s="293">
        <v>9423.08</v>
      </c>
    </row>
    <row r="2422" spans="1:12" ht="11.25" customHeight="1" x14ac:dyDescent="0.2">
      <c r="A2422" s="280">
        <v>2023</v>
      </c>
      <c r="B2422" s="280">
        <v>2</v>
      </c>
      <c r="C2422" s="280">
        <v>9</v>
      </c>
      <c r="D2422" s="281">
        <f t="shared" si="275"/>
        <v>44966</v>
      </c>
      <c r="E2422" s="282">
        <f t="shared" si="277"/>
        <v>44966</v>
      </c>
      <c r="F2422" s="472" t="s">
        <v>1376</v>
      </c>
      <c r="G2422" s="283" t="s">
        <v>86</v>
      </c>
      <c r="H2422" s="284" t="str" cm="1">
        <f t="array" ref="H2422">IFERROR(INDEX(INVESTOR_LIST[INVESTOR NAME],MATCH(I2422,INVESTOR_LIST[INVESTOR CODE],0),)," ")</f>
        <v xml:space="preserve"> </v>
      </c>
      <c r="I2422" s="284"/>
      <c r="J2422" s="285" t="s">
        <v>131</v>
      </c>
      <c r="K2422" s="286">
        <v>4673.08</v>
      </c>
      <c r="L2422" s="286"/>
    </row>
    <row r="2423" spans="1:12" ht="11.25" customHeight="1" x14ac:dyDescent="0.2">
      <c r="A2423" s="287">
        <v>2023</v>
      </c>
      <c r="B2423" s="287">
        <v>2</v>
      </c>
      <c r="C2423" s="287">
        <v>9</v>
      </c>
      <c r="D2423" s="288">
        <f t="shared" si="275"/>
        <v>44966</v>
      </c>
      <c r="E2423" s="289">
        <f t="shared" si="277"/>
        <v>44966</v>
      </c>
      <c r="F2423" s="473"/>
      <c r="G2423" s="290" t="s">
        <v>86</v>
      </c>
      <c r="H2423" s="291" t="str" cm="1">
        <f t="array" ref="H2423">IFERROR(INDEX(INVESTOR_LIST[INVESTOR NAME],MATCH(I2423,INVESTOR_LIST[INVESTOR CODE],0),)," ")</f>
        <v xml:space="preserve"> </v>
      </c>
      <c r="I2423" s="291"/>
      <c r="J2423" s="292" t="s">
        <v>174</v>
      </c>
      <c r="K2423" s="293"/>
      <c r="L2423" s="293">
        <v>4673.08</v>
      </c>
    </row>
    <row r="2424" spans="1:12" ht="11.25" customHeight="1" x14ac:dyDescent="0.2">
      <c r="A2424" s="236">
        <v>2023</v>
      </c>
      <c r="B2424" s="236">
        <v>2</v>
      </c>
      <c r="C2424" s="236">
        <v>9</v>
      </c>
      <c r="D2424" s="237">
        <f t="shared" si="275"/>
        <v>44966</v>
      </c>
      <c r="E2424" s="238">
        <f t="shared" si="277"/>
        <v>44966</v>
      </c>
      <c r="F2424" s="476" t="s">
        <v>1118</v>
      </c>
      <c r="G2424" s="239" t="s">
        <v>86</v>
      </c>
      <c r="H2424" s="239" t="str" cm="1">
        <f t="array" ref="H2424">IFERROR(INDEX(INVESTOR_LIST[INVESTOR NAME],MATCH(I2424,INVESTOR_LIST[INVESTOR CODE],0),)," ")</f>
        <v xml:space="preserve"> </v>
      </c>
      <c r="I2424" s="240"/>
      <c r="J2424" s="241" t="s">
        <v>98</v>
      </c>
      <c r="K2424" s="242">
        <v>375709.3369230777</v>
      </c>
      <c r="L2424" s="242"/>
    </row>
    <row r="2425" spans="1:12" ht="11.25" customHeight="1" x14ac:dyDescent="0.2">
      <c r="A2425" s="243">
        <v>2023</v>
      </c>
      <c r="B2425" s="243">
        <v>2</v>
      </c>
      <c r="C2425" s="243">
        <v>9</v>
      </c>
      <c r="D2425" s="248">
        <f t="shared" si="275"/>
        <v>44966</v>
      </c>
      <c r="E2425" s="249">
        <f t="shared" si="277"/>
        <v>44966</v>
      </c>
      <c r="F2425" s="477"/>
      <c r="G2425" s="244" t="s">
        <v>86</v>
      </c>
      <c r="H2425" s="244" t="str" cm="1">
        <f t="array" ref="H2425">IFERROR(INDEX(INVESTOR_LIST[INVESTOR NAME],MATCH(I2425,INVESTOR_LIST[INVESTOR CODE],0),)," ")</f>
        <v xml:space="preserve"> </v>
      </c>
      <c r="I2425" s="245"/>
      <c r="J2425" s="246" t="s">
        <v>82</v>
      </c>
      <c r="K2425" s="247"/>
      <c r="L2425" s="247">
        <v>375709.3369230777</v>
      </c>
    </row>
    <row r="2426" spans="1:12" ht="11.25" customHeight="1" x14ac:dyDescent="0.2">
      <c r="A2426" s="236">
        <v>2023</v>
      </c>
      <c r="B2426" s="236">
        <v>2</v>
      </c>
      <c r="C2426" s="236">
        <v>9</v>
      </c>
      <c r="D2426" s="237">
        <f t="shared" si="275"/>
        <v>44966</v>
      </c>
      <c r="E2426" s="238">
        <f t="shared" si="277"/>
        <v>44966</v>
      </c>
      <c r="F2426" s="476" t="s">
        <v>1120</v>
      </c>
      <c r="G2426" s="239" t="s">
        <v>86</v>
      </c>
      <c r="H2426" s="239" t="str" cm="1">
        <f t="array" ref="H2426">IFERROR(INDEX(INVESTOR_LIST[INVESTOR NAME],MATCH(I2426,INVESTOR_LIST[INVESTOR CODE],0),)," ")</f>
        <v xml:space="preserve"> </v>
      </c>
      <c r="I2426" s="240"/>
      <c r="J2426" s="241" t="s">
        <v>87</v>
      </c>
      <c r="K2426" s="242">
        <v>2747.2527472527472</v>
      </c>
      <c r="L2426" s="242"/>
    </row>
    <row r="2427" spans="1:12" ht="11.25" customHeight="1" x14ac:dyDescent="0.2">
      <c r="A2427" s="243">
        <v>2023</v>
      </c>
      <c r="B2427" s="243">
        <v>2</v>
      </c>
      <c r="C2427" s="243">
        <v>9</v>
      </c>
      <c r="D2427" s="248">
        <f t="shared" si="275"/>
        <v>44966</v>
      </c>
      <c r="E2427" s="249">
        <f t="shared" si="277"/>
        <v>44966</v>
      </c>
      <c r="F2427" s="477"/>
      <c r="G2427" s="244" t="s">
        <v>86</v>
      </c>
      <c r="H2427" s="244" t="str" cm="1">
        <f t="array" ref="H2427">IFERROR(INDEX(INVESTOR_LIST[INVESTOR NAME],MATCH(I2427,INVESTOR_LIST[INVESTOR CODE],0),)," ")</f>
        <v xml:space="preserve"> </v>
      </c>
      <c r="I2427" s="245"/>
      <c r="J2427" s="246" t="s">
        <v>64</v>
      </c>
      <c r="K2427" s="247"/>
      <c r="L2427" s="247">
        <v>2747.2527472527472</v>
      </c>
    </row>
    <row r="2428" spans="1:12" ht="11.25" customHeight="1" x14ac:dyDescent="0.2">
      <c r="A2428" s="236">
        <v>2023</v>
      </c>
      <c r="B2428" s="236">
        <v>2</v>
      </c>
      <c r="C2428" s="236">
        <v>9</v>
      </c>
      <c r="D2428" s="237">
        <f t="shared" si="275"/>
        <v>44966</v>
      </c>
      <c r="E2428" s="238">
        <f t="shared" si="277"/>
        <v>44966</v>
      </c>
      <c r="F2428" s="476" t="s">
        <v>1121</v>
      </c>
      <c r="G2428" s="239" t="s">
        <v>86</v>
      </c>
      <c r="H2428" s="239" t="str" cm="1">
        <f t="array" ref="H2428">IFERROR(INDEX(INVESTOR_LIST[INVESTOR NAME],MATCH(I2428,INVESTOR_LIST[INVESTOR CODE],0),)," ")</f>
        <v xml:space="preserve"> </v>
      </c>
      <c r="I2428" s="240"/>
      <c r="J2428" s="241" t="s">
        <v>89</v>
      </c>
      <c r="K2428" s="242">
        <v>82118.481725665566</v>
      </c>
      <c r="L2428" s="242"/>
    </row>
    <row r="2429" spans="1:12" ht="11.25" customHeight="1" x14ac:dyDescent="0.2">
      <c r="A2429" s="243">
        <v>2023</v>
      </c>
      <c r="B2429" s="243">
        <v>2</v>
      </c>
      <c r="C2429" s="243">
        <v>9</v>
      </c>
      <c r="D2429" s="248">
        <f t="shared" si="275"/>
        <v>44966</v>
      </c>
      <c r="E2429" s="249">
        <f t="shared" si="277"/>
        <v>44966</v>
      </c>
      <c r="F2429" s="477"/>
      <c r="G2429" s="244" t="s">
        <v>86</v>
      </c>
      <c r="H2429" s="244" t="str" cm="1">
        <f t="array" ref="H2429">IFERROR(INDEX(INVESTOR_LIST[INVESTOR NAME],MATCH(I2429,INVESTOR_LIST[INVESTOR CODE],0),)," ")</f>
        <v xml:space="preserve"> </v>
      </c>
      <c r="I2429" s="245"/>
      <c r="J2429" s="246" t="s">
        <v>50</v>
      </c>
      <c r="K2429" s="247"/>
      <c r="L2429" s="247">
        <v>82118.481725665566</v>
      </c>
    </row>
    <row r="2430" spans="1:12" ht="11.25" customHeight="1" x14ac:dyDescent="0.2">
      <c r="A2430" s="236">
        <v>2023</v>
      </c>
      <c r="B2430" s="236">
        <v>2</v>
      </c>
      <c r="C2430" s="236">
        <v>9</v>
      </c>
      <c r="D2430" s="237">
        <f t="shared" si="275"/>
        <v>44966</v>
      </c>
      <c r="E2430" s="238">
        <f t="shared" si="277"/>
        <v>44966</v>
      </c>
      <c r="F2430" s="476" t="s">
        <v>1122</v>
      </c>
      <c r="G2430" s="239" t="s">
        <v>86</v>
      </c>
      <c r="H2430" s="239" t="str" cm="1">
        <f t="array" ref="H2430">IFERROR(INDEX(INVESTOR_LIST[INVESTOR NAME],MATCH(I2430,INVESTOR_LIST[INVESTOR CODE],0),)," ")</f>
        <v xml:space="preserve"> </v>
      </c>
      <c r="I2430" s="240"/>
      <c r="J2430" s="241" t="s">
        <v>91</v>
      </c>
      <c r="K2430" s="242">
        <v>3865.5394708986623</v>
      </c>
      <c r="L2430" s="242"/>
    </row>
    <row r="2431" spans="1:12" ht="11.25" customHeight="1" x14ac:dyDescent="0.2">
      <c r="A2431" s="243">
        <v>2023</v>
      </c>
      <c r="B2431" s="243">
        <v>2</v>
      </c>
      <c r="C2431" s="243">
        <v>9</v>
      </c>
      <c r="D2431" s="248">
        <f t="shared" si="275"/>
        <v>44966</v>
      </c>
      <c r="E2431" s="249">
        <f t="shared" si="277"/>
        <v>44966</v>
      </c>
      <c r="F2431" s="477"/>
      <c r="G2431" s="244" t="s">
        <v>86</v>
      </c>
      <c r="H2431" s="244" t="str" cm="1">
        <f t="array" ref="H2431">IFERROR(INDEX(INVESTOR_LIST[INVESTOR NAME],MATCH(I2431,INVESTOR_LIST[INVESTOR CODE],0),)," ")</f>
        <v xml:space="preserve"> </v>
      </c>
      <c r="I2431" s="245"/>
      <c r="J2431" s="246" t="s">
        <v>51</v>
      </c>
      <c r="K2431" s="247"/>
      <c r="L2431" s="247">
        <v>3865.5394708986623</v>
      </c>
    </row>
    <row r="2432" spans="1:12" ht="11.25" customHeight="1" x14ac:dyDescent="0.2">
      <c r="A2432" s="221">
        <v>2023</v>
      </c>
      <c r="B2432" s="221">
        <v>2</v>
      </c>
      <c r="C2432" s="221">
        <v>13</v>
      </c>
      <c r="D2432" s="231">
        <f t="shared" si="275"/>
        <v>44970</v>
      </c>
      <c r="E2432" s="233">
        <f>DATE(A2432,B2432,C2432)</f>
        <v>44970</v>
      </c>
      <c r="F2432" s="478" t="s">
        <v>1307</v>
      </c>
      <c r="G2432" s="222" t="s">
        <v>1111</v>
      </c>
      <c r="H2432" s="223" t="str" cm="1">
        <f t="array" ref="H2432">IFERROR(INDEX(INVESTOR_LIST[INVESTOR NAME],MATCH(I2432,INVESTOR_LIST[INVESTOR CODE],0),)," ")</f>
        <v xml:space="preserve"> </v>
      </c>
      <c r="I2432" s="223"/>
      <c r="J2432" s="224" t="s">
        <v>961</v>
      </c>
      <c r="K2432" s="225">
        <v>954842.23</v>
      </c>
      <c r="L2432" s="225"/>
    </row>
    <row r="2433" spans="1:15" ht="11.25" customHeight="1" x14ac:dyDescent="0.2">
      <c r="A2433" s="226">
        <v>2023</v>
      </c>
      <c r="B2433" s="226">
        <v>2</v>
      </c>
      <c r="C2433" s="226">
        <v>13</v>
      </c>
      <c r="D2433" s="232">
        <f t="shared" si="275"/>
        <v>44970</v>
      </c>
      <c r="E2433" s="234">
        <f>DATE(A2433,B2433,C2433)</f>
        <v>44970</v>
      </c>
      <c r="F2433" s="479"/>
      <c r="G2433" s="227" t="s">
        <v>1111</v>
      </c>
      <c r="H2433" s="228" t="str" cm="1">
        <f t="array" ref="H2433">IFERROR(INDEX(INVESTOR_LIST[INVESTOR NAME],MATCH(I2433,INVESTOR_LIST[INVESTOR CODE],0),)," ")</f>
        <v xml:space="preserve"> </v>
      </c>
      <c r="I2433" s="228"/>
      <c r="J2433" s="229" t="s">
        <v>55</v>
      </c>
      <c r="K2433" s="230"/>
      <c r="L2433" s="230">
        <v>954842.23</v>
      </c>
    </row>
    <row r="2434" spans="1:15" ht="11.25" customHeight="1" x14ac:dyDescent="0.2">
      <c r="A2434" s="221">
        <v>2023</v>
      </c>
      <c r="B2434" s="221">
        <v>2</v>
      </c>
      <c r="C2434" s="221">
        <v>13</v>
      </c>
      <c r="D2434" s="231">
        <f t="shared" si="275"/>
        <v>44970</v>
      </c>
      <c r="E2434" s="233">
        <f t="shared" ref="E2434:E2435" si="279">DATE(A2434,B2434,C2434)</f>
        <v>44970</v>
      </c>
      <c r="F2434" s="478" t="s">
        <v>1400</v>
      </c>
      <c r="G2434" s="222" t="s">
        <v>1111</v>
      </c>
      <c r="H2434" s="223" t="str" cm="1">
        <f t="array" ref="H2434">IFERROR(INDEX(INVESTOR_LIST[INVESTOR NAME],MATCH(I2434,INVESTOR_LIST[INVESTOR CODE],0),)," ")</f>
        <v xml:space="preserve"> </v>
      </c>
      <c r="I2434" s="223"/>
      <c r="J2434" s="224" t="s">
        <v>95</v>
      </c>
      <c r="K2434" s="225">
        <v>809.25</v>
      </c>
      <c r="L2434" s="225"/>
      <c r="O2434" s="166"/>
    </row>
    <row r="2435" spans="1:15" ht="11.25" customHeight="1" x14ac:dyDescent="0.2">
      <c r="A2435" s="226">
        <v>2023</v>
      </c>
      <c r="B2435" s="226">
        <v>2</v>
      </c>
      <c r="C2435" s="226">
        <v>13</v>
      </c>
      <c r="D2435" s="232">
        <f t="shared" si="275"/>
        <v>44970</v>
      </c>
      <c r="E2435" s="234">
        <f t="shared" si="279"/>
        <v>44970</v>
      </c>
      <c r="F2435" s="479"/>
      <c r="G2435" s="227" t="s">
        <v>1111</v>
      </c>
      <c r="H2435" s="228" t="str" cm="1">
        <f t="array" ref="H2435">IFERROR(INDEX(INVESTOR_LIST[INVESTOR NAME],MATCH(I2435,INVESTOR_LIST[INVESTOR CODE],0),)," ")</f>
        <v xml:space="preserve"> </v>
      </c>
      <c r="I2435" s="228"/>
      <c r="J2435" s="229" t="s">
        <v>55</v>
      </c>
      <c r="K2435" s="230"/>
      <c r="L2435" s="230">
        <v>809.25</v>
      </c>
    </row>
    <row r="2436" spans="1:15" ht="11.25" customHeight="1" x14ac:dyDescent="0.2">
      <c r="A2436" s="221">
        <v>2023</v>
      </c>
      <c r="B2436" s="221">
        <v>2</v>
      </c>
      <c r="C2436" s="221">
        <v>15</v>
      </c>
      <c r="D2436" s="231">
        <f t="shared" si="275"/>
        <v>44972</v>
      </c>
      <c r="E2436" s="233">
        <f>DATE(A2436,B2436,C2436)</f>
        <v>44972</v>
      </c>
      <c r="F2436" s="478" t="s">
        <v>1178</v>
      </c>
      <c r="G2436" s="222" t="s">
        <v>1111</v>
      </c>
      <c r="H2436" s="223" t="str" cm="1">
        <f t="array" ref="H2436">IFERROR(INDEX(INVESTOR_LIST[INVESTOR NAME],MATCH(I2436,INVESTOR_LIST[INVESTOR CODE],0),)," ")</f>
        <v xml:space="preserve"> </v>
      </c>
      <c r="I2436" s="223"/>
      <c r="J2436" s="224" t="s">
        <v>189</v>
      </c>
      <c r="K2436" s="225">
        <v>4500</v>
      </c>
      <c r="L2436" s="225"/>
    </row>
    <row r="2437" spans="1:15" ht="11.25" customHeight="1" x14ac:dyDescent="0.2">
      <c r="A2437" s="226">
        <v>2023</v>
      </c>
      <c r="B2437" s="226">
        <v>2</v>
      </c>
      <c r="C2437" s="226">
        <v>15</v>
      </c>
      <c r="D2437" s="232">
        <f t="shared" si="275"/>
        <v>44972</v>
      </c>
      <c r="E2437" s="234">
        <f>DATE(A2437,B2437,C2437)</f>
        <v>44972</v>
      </c>
      <c r="F2437" s="479"/>
      <c r="G2437" s="227" t="s">
        <v>1111</v>
      </c>
      <c r="H2437" s="228" t="str" cm="1">
        <f t="array" ref="H2437">IFERROR(INDEX(INVESTOR_LIST[INVESTOR NAME],MATCH(I2437,INVESTOR_LIST[INVESTOR CODE],0),)," ")</f>
        <v xml:space="preserve"> </v>
      </c>
      <c r="I2437" s="228"/>
      <c r="J2437" s="229" t="s">
        <v>55</v>
      </c>
      <c r="K2437" s="230"/>
      <c r="L2437" s="230">
        <v>4500</v>
      </c>
    </row>
    <row r="2438" spans="1:15" ht="11.25" customHeight="1" x14ac:dyDescent="0.2">
      <c r="A2438" s="221">
        <v>2023</v>
      </c>
      <c r="B2438" s="221">
        <v>2</v>
      </c>
      <c r="C2438" s="221">
        <v>15</v>
      </c>
      <c r="D2438" s="221">
        <f t="shared" si="275"/>
        <v>44972</v>
      </c>
      <c r="E2438" s="233">
        <f t="shared" ref="E2438:E2444" si="280">DATE(A2438,B2438,C2438)</f>
        <v>44972</v>
      </c>
      <c r="F2438" s="478" t="s">
        <v>1301</v>
      </c>
      <c r="G2438" s="222" t="s">
        <v>86</v>
      </c>
      <c r="H2438" s="222" t="str" cm="1">
        <f t="array" ref="H2438">IFERROR(INDEX(INVESTOR_LIST[INVESTOR NAME],MATCH(I2438,INVESTOR_LIST[INVESTOR CODE],0),)," ")</f>
        <v xml:space="preserve"> </v>
      </c>
      <c r="I2438" s="223"/>
      <c r="J2438" s="165" t="s">
        <v>199</v>
      </c>
      <c r="K2438" s="225">
        <v>314516.45</v>
      </c>
      <c r="L2438" s="225"/>
    </row>
    <row r="2439" spans="1:15" ht="11.25" customHeight="1" x14ac:dyDescent="0.2">
      <c r="A2439" s="164">
        <v>2023</v>
      </c>
      <c r="B2439" s="164">
        <v>2</v>
      </c>
      <c r="C2439" s="164">
        <v>15</v>
      </c>
      <c r="D2439" s="164">
        <f t="shared" si="275"/>
        <v>44972</v>
      </c>
      <c r="E2439" s="235">
        <f t="shared" si="280"/>
        <v>44972</v>
      </c>
      <c r="F2439" s="480"/>
      <c r="G2439" s="208" t="s">
        <v>86</v>
      </c>
      <c r="H2439" s="208"/>
      <c r="J2439" s="165" t="s">
        <v>960</v>
      </c>
      <c r="K2439" s="205">
        <v>567.15</v>
      </c>
      <c r="L2439" s="205"/>
    </row>
    <row r="2440" spans="1:15" ht="11.25" customHeight="1" x14ac:dyDescent="0.2">
      <c r="A2440" s="164">
        <v>2023</v>
      </c>
      <c r="B2440" s="164">
        <v>2</v>
      </c>
      <c r="C2440" s="164">
        <v>15</v>
      </c>
      <c r="D2440" s="164">
        <f t="shared" si="275"/>
        <v>44972</v>
      </c>
      <c r="E2440" s="235">
        <f t="shared" si="280"/>
        <v>44972</v>
      </c>
      <c r="F2440" s="480"/>
      <c r="G2440" s="208" t="s">
        <v>86</v>
      </c>
      <c r="H2440" s="208"/>
      <c r="J2440" s="165" t="s">
        <v>200</v>
      </c>
      <c r="K2440" s="205">
        <v>152466.4</v>
      </c>
      <c r="L2440" s="205"/>
    </row>
    <row r="2441" spans="1:15" ht="11.25" customHeight="1" x14ac:dyDescent="0.2">
      <c r="A2441" s="226">
        <v>2023</v>
      </c>
      <c r="B2441" s="226">
        <v>2</v>
      </c>
      <c r="C2441" s="226">
        <v>15</v>
      </c>
      <c r="D2441" s="226">
        <f t="shared" ref="D2441:D2504" si="281">DATE(A2441,B2441,C2441)</f>
        <v>44972</v>
      </c>
      <c r="E2441" s="234">
        <f t="shared" si="280"/>
        <v>44972</v>
      </c>
      <c r="F2441" s="479"/>
      <c r="G2441" s="227" t="s">
        <v>86</v>
      </c>
      <c r="H2441" s="228" t="str" cm="1">
        <f t="array" ref="H2441">IFERROR(INDEX(INVESTOR_LIST[INVESTOR NAME],MATCH(I2441,INVESTOR_LIST[INVESTOR CODE],0),)," ")</f>
        <v xml:space="preserve"> </v>
      </c>
      <c r="I2441" s="228"/>
      <c r="J2441" s="229" t="s">
        <v>80</v>
      </c>
      <c r="K2441" s="230"/>
      <c r="L2441" s="230">
        <v>467550</v>
      </c>
    </row>
    <row r="2442" spans="1:15" ht="11.25" customHeight="1" x14ac:dyDescent="0.2">
      <c r="A2442" s="221">
        <v>2023</v>
      </c>
      <c r="B2442" s="221">
        <v>2</v>
      </c>
      <c r="C2442" s="221">
        <v>15</v>
      </c>
      <c r="D2442" s="231">
        <f t="shared" si="281"/>
        <v>44972</v>
      </c>
      <c r="E2442" s="233">
        <f t="shared" si="280"/>
        <v>44972</v>
      </c>
      <c r="F2442" s="478" t="s">
        <v>1115</v>
      </c>
      <c r="G2442" s="222" t="s">
        <v>1111</v>
      </c>
      <c r="H2442" s="223" t="str" cm="1">
        <f t="array" ref="H2442">IFERROR(INDEX(INVESTOR_LIST[INVESTOR NAME],MATCH(I2442,INVESTOR_LIST[INVESTOR CODE],0),)," ")</f>
        <v>DHAKA IMPERIAL COLLEGE TEACHERS STAFF MULTIPURPOSE CO-OPERATIVE SOCIETY LTD.</v>
      </c>
      <c r="I2442" s="223" t="s">
        <v>854</v>
      </c>
      <c r="J2442" s="224" t="s">
        <v>14</v>
      </c>
      <c r="K2442" s="225">
        <v>500000</v>
      </c>
      <c r="L2442" s="225"/>
    </row>
    <row r="2443" spans="1:15" ht="11.25" customHeight="1" x14ac:dyDescent="0.2">
      <c r="A2443" s="164">
        <v>2023</v>
      </c>
      <c r="B2443" s="164">
        <v>2</v>
      </c>
      <c r="C2443" s="164">
        <v>15</v>
      </c>
      <c r="D2443" s="156">
        <f t="shared" si="281"/>
        <v>44972</v>
      </c>
      <c r="E2443" s="235">
        <f t="shared" si="280"/>
        <v>44972</v>
      </c>
      <c r="F2443" s="480"/>
      <c r="G2443" s="208" t="s">
        <v>1111</v>
      </c>
      <c r="H2443" s="206" t="str" cm="1">
        <f t="array" ref="H2443">IFERROR(INDEX(INVESTOR_LIST[INVESTOR NAME],MATCH(I2443,INVESTOR_LIST[INVESTOR CODE],0),)," ")</f>
        <v>DHAKA IMPERIAL COLLEGE TEACHERS STAFF MULTIPURPOSE CO-OPERATIVE SOCIETY LTD.</v>
      </c>
      <c r="I2443" s="206" t="s">
        <v>854</v>
      </c>
      <c r="J2443" s="165" t="s">
        <v>1112</v>
      </c>
      <c r="K2443" s="205">
        <v>3000</v>
      </c>
    </row>
    <row r="2444" spans="1:15" ht="11.25" customHeight="1" x14ac:dyDescent="0.2">
      <c r="A2444" s="226">
        <v>2023</v>
      </c>
      <c r="B2444" s="226">
        <v>2</v>
      </c>
      <c r="C2444" s="226">
        <v>15</v>
      </c>
      <c r="D2444" s="232">
        <f t="shared" si="281"/>
        <v>44972</v>
      </c>
      <c r="E2444" s="234">
        <f t="shared" si="280"/>
        <v>44972</v>
      </c>
      <c r="F2444" s="479"/>
      <c r="G2444" s="227" t="s">
        <v>1111</v>
      </c>
      <c r="H2444" s="228" t="str" cm="1">
        <f t="array" ref="H2444">IFERROR(INDEX(INVESTOR_LIST[INVESTOR NAME],MATCH(I2444,INVESTOR_LIST[INVESTOR CODE],0),)," ")</f>
        <v>DHAKA IMPERIAL COLLEGE TEACHERS STAFF MULTIPURPOSE CO-OPERATIVE SOCIETY LTD.</v>
      </c>
      <c r="I2444" s="228" t="s">
        <v>854</v>
      </c>
      <c r="J2444" s="229" t="s">
        <v>55</v>
      </c>
      <c r="K2444" s="230"/>
      <c r="L2444" s="230">
        <v>503000</v>
      </c>
    </row>
    <row r="2445" spans="1:15" ht="11.25" customHeight="1" x14ac:dyDescent="0.2">
      <c r="A2445" s="221">
        <v>2023</v>
      </c>
      <c r="B2445" s="221">
        <v>2</v>
      </c>
      <c r="C2445" s="221">
        <v>15</v>
      </c>
      <c r="D2445" s="231">
        <f t="shared" si="281"/>
        <v>44972</v>
      </c>
      <c r="E2445" s="233">
        <f t="shared" ref="E2445:E2447" si="282">DATE(A2445,B2445,C2445)</f>
        <v>44972</v>
      </c>
      <c r="F2445" s="478" t="s">
        <v>1115</v>
      </c>
      <c r="G2445" s="222" t="s">
        <v>1111</v>
      </c>
      <c r="H2445" s="223" t="str" cm="1">
        <f t="array" ref="H2445">IFERROR(INDEX(INVESTOR_LIST[INVESTOR NAME],MATCH(I2445,INVESTOR_LIST[INVESTOR CODE],0),)," ")</f>
        <v>JNANDIP PAUL</v>
      </c>
      <c r="I2445" s="223" t="s">
        <v>408</v>
      </c>
      <c r="J2445" s="224" t="s">
        <v>14</v>
      </c>
      <c r="K2445" s="225">
        <v>305490</v>
      </c>
      <c r="L2445" s="225"/>
    </row>
    <row r="2446" spans="1:15" ht="11.25" customHeight="1" x14ac:dyDescent="0.2">
      <c r="A2446" s="164">
        <v>2023</v>
      </c>
      <c r="B2446" s="164">
        <v>2</v>
      </c>
      <c r="C2446" s="164">
        <v>15</v>
      </c>
      <c r="D2446" s="156">
        <f t="shared" si="281"/>
        <v>44972</v>
      </c>
      <c r="E2446" s="235">
        <f t="shared" si="282"/>
        <v>44972</v>
      </c>
      <c r="F2446" s="480"/>
      <c r="G2446" s="208" t="s">
        <v>1111</v>
      </c>
      <c r="H2446" s="206" t="str" cm="1">
        <f t="array" ref="H2446">IFERROR(INDEX(INVESTOR_LIST[INVESTOR NAME],MATCH(I2446,INVESTOR_LIST[INVESTOR CODE],0),)," ")</f>
        <v>JNANDIP PAUL</v>
      </c>
      <c r="I2446" s="206" t="s">
        <v>408</v>
      </c>
      <c r="J2446" s="165" t="s">
        <v>1112</v>
      </c>
      <c r="K2446" s="205">
        <v>1832.94</v>
      </c>
    </row>
    <row r="2447" spans="1:15" ht="11.25" customHeight="1" x14ac:dyDescent="0.2">
      <c r="A2447" s="226">
        <v>2023</v>
      </c>
      <c r="B2447" s="226">
        <v>2</v>
      </c>
      <c r="C2447" s="226">
        <v>15</v>
      </c>
      <c r="D2447" s="232">
        <f t="shared" si="281"/>
        <v>44972</v>
      </c>
      <c r="E2447" s="234">
        <f t="shared" si="282"/>
        <v>44972</v>
      </c>
      <c r="F2447" s="479"/>
      <c r="G2447" s="227" t="s">
        <v>1111</v>
      </c>
      <c r="H2447" s="228" t="str" cm="1">
        <f t="array" ref="H2447">IFERROR(INDEX(INVESTOR_LIST[INVESTOR NAME],MATCH(I2447,INVESTOR_LIST[INVESTOR CODE],0),)," ")</f>
        <v>JNANDIP PAUL</v>
      </c>
      <c r="I2447" s="228" t="s">
        <v>408</v>
      </c>
      <c r="J2447" s="229" t="s">
        <v>55</v>
      </c>
      <c r="K2447" s="230"/>
      <c r="L2447" s="230">
        <v>307322.94</v>
      </c>
    </row>
    <row r="2448" spans="1:15" ht="11.25" customHeight="1" x14ac:dyDescent="0.2">
      <c r="A2448" s="221">
        <v>2023</v>
      </c>
      <c r="B2448" s="221">
        <v>2</v>
      </c>
      <c r="C2448" s="221">
        <v>16</v>
      </c>
      <c r="D2448" s="231">
        <f t="shared" si="281"/>
        <v>44973</v>
      </c>
      <c r="E2448" s="233">
        <f>DATE(A2448,B2448,C2448)</f>
        <v>44973</v>
      </c>
      <c r="F2448" s="478" t="s">
        <v>1443</v>
      </c>
      <c r="G2448" s="222" t="s">
        <v>1111</v>
      </c>
      <c r="H2448" s="223" t="str" cm="1">
        <f t="array" ref="H2448">IFERROR(INDEX(INVESTOR_LIST[INVESTOR NAME],MATCH(I2448,INVESTOR_LIST[INVESTOR CODE],0),)," ")</f>
        <v xml:space="preserve"> </v>
      </c>
      <c r="I2448" s="223"/>
      <c r="J2448" s="224" t="s">
        <v>189</v>
      </c>
      <c r="K2448" s="225">
        <v>1575</v>
      </c>
      <c r="L2448" s="225"/>
    </row>
    <row r="2449" spans="1:12" ht="11.25" customHeight="1" x14ac:dyDescent="0.2">
      <c r="A2449" s="226">
        <v>2023</v>
      </c>
      <c r="B2449" s="226">
        <v>2</v>
      </c>
      <c r="C2449" s="226">
        <v>16</v>
      </c>
      <c r="D2449" s="232">
        <f t="shared" si="281"/>
        <v>44973</v>
      </c>
      <c r="E2449" s="234">
        <f>DATE(A2449,B2449,C2449)</f>
        <v>44973</v>
      </c>
      <c r="F2449" s="479"/>
      <c r="G2449" s="227" t="s">
        <v>1111</v>
      </c>
      <c r="H2449" s="228" t="str" cm="1">
        <f t="array" ref="H2449">IFERROR(INDEX(INVESTOR_LIST[INVESTOR NAME],MATCH(I2449,INVESTOR_LIST[INVESTOR CODE],0),)," ")</f>
        <v xml:space="preserve"> </v>
      </c>
      <c r="I2449" s="228"/>
      <c r="J2449" s="229" t="s">
        <v>55</v>
      </c>
      <c r="K2449" s="230"/>
      <c r="L2449" s="230">
        <v>1575</v>
      </c>
    </row>
    <row r="2450" spans="1:12" ht="11.25" customHeight="1" x14ac:dyDescent="0.2">
      <c r="A2450" s="327">
        <v>2023</v>
      </c>
      <c r="B2450" s="327">
        <v>2</v>
      </c>
      <c r="C2450" s="327">
        <v>16</v>
      </c>
      <c r="D2450" s="328">
        <f t="shared" si="281"/>
        <v>44973</v>
      </c>
      <c r="E2450" s="329">
        <f t="shared" ref="E2450:E2451" si="283">DATE(A2450,B2450,C2450)</f>
        <v>44973</v>
      </c>
      <c r="F2450" s="474" t="s">
        <v>1459</v>
      </c>
      <c r="G2450" s="331" t="s">
        <v>86</v>
      </c>
      <c r="H2450" s="332" t="str" cm="1">
        <f t="array" ref="H2450">IFERROR(INDEX(INVESTOR_LIST[INVESTOR NAME],MATCH(I2450,INVESTOR_LIST[INVESTOR CODE],0),)," ")</f>
        <v xml:space="preserve"> </v>
      </c>
      <c r="I2450" s="333"/>
      <c r="J2450" s="334" t="s">
        <v>1621</v>
      </c>
      <c r="K2450" s="335">
        <v>2012.08</v>
      </c>
      <c r="L2450" s="336"/>
    </row>
    <row r="2451" spans="1:12" ht="11.25" customHeight="1" x14ac:dyDescent="0.2">
      <c r="A2451" s="327">
        <v>2023</v>
      </c>
      <c r="B2451" s="327">
        <v>2</v>
      </c>
      <c r="C2451" s="327">
        <v>16</v>
      </c>
      <c r="D2451" s="337">
        <f t="shared" si="281"/>
        <v>44973</v>
      </c>
      <c r="E2451" s="338">
        <f t="shared" si="283"/>
        <v>44973</v>
      </c>
      <c r="F2451" s="475"/>
      <c r="G2451" s="331" t="s">
        <v>86</v>
      </c>
      <c r="H2451" s="340" t="str" cm="1">
        <f t="array" ref="H2451">IFERROR(INDEX(INVESTOR_LIST[INVESTOR NAME],MATCH(I2451,INVESTOR_LIST[INVESTOR CODE],0),)," ")</f>
        <v xml:space="preserve"> </v>
      </c>
      <c r="I2451" s="333"/>
      <c r="J2451" s="334" t="s">
        <v>1613</v>
      </c>
      <c r="K2451" s="335"/>
      <c r="L2451" s="336">
        <v>2012.08</v>
      </c>
    </row>
    <row r="2452" spans="1:12" ht="11.25" customHeight="1" x14ac:dyDescent="0.2">
      <c r="A2452" s="280">
        <v>2023</v>
      </c>
      <c r="B2452" s="280">
        <v>2</v>
      </c>
      <c r="C2452" s="280">
        <v>16</v>
      </c>
      <c r="D2452" s="281">
        <f t="shared" si="281"/>
        <v>44973</v>
      </c>
      <c r="E2452" s="282">
        <f t="shared" ref="E2452:E2470" si="284">DATE(A2452,B2452,C2452)</f>
        <v>44973</v>
      </c>
      <c r="F2452" s="472" t="s">
        <v>1369</v>
      </c>
      <c r="G2452" s="283" t="s">
        <v>86</v>
      </c>
      <c r="H2452" s="284" t="str" cm="1">
        <f t="array" ref="H2452">IFERROR(INDEX(INVESTOR_LIST[INVESTOR NAME],MATCH(I2452,INVESTOR_LIST[INVESTOR CODE],0),)," ")</f>
        <v xml:space="preserve"> </v>
      </c>
      <c r="I2452" s="284"/>
      <c r="J2452" s="285" t="s">
        <v>131</v>
      </c>
      <c r="K2452" s="286">
        <v>82924.28</v>
      </c>
      <c r="L2452" s="286"/>
    </row>
    <row r="2453" spans="1:12" ht="11.25" customHeight="1" x14ac:dyDescent="0.2">
      <c r="A2453" s="287">
        <v>2023</v>
      </c>
      <c r="B2453" s="287">
        <v>2</v>
      </c>
      <c r="C2453" s="287">
        <v>16</v>
      </c>
      <c r="D2453" s="288">
        <f t="shared" si="281"/>
        <v>44973</v>
      </c>
      <c r="E2453" s="289">
        <f t="shared" si="284"/>
        <v>44973</v>
      </c>
      <c r="F2453" s="473"/>
      <c r="G2453" s="290" t="s">
        <v>86</v>
      </c>
      <c r="H2453" s="291" t="str" cm="1">
        <f t="array" ref="H2453">IFERROR(INDEX(INVESTOR_LIST[INVESTOR NAME],MATCH(I2453,INVESTOR_LIST[INVESTOR CODE],0),)," ")</f>
        <v xml:space="preserve"> </v>
      </c>
      <c r="I2453" s="291"/>
      <c r="J2453" s="292" t="s">
        <v>174</v>
      </c>
      <c r="K2453" s="293"/>
      <c r="L2453" s="293">
        <v>82924.28</v>
      </c>
    </row>
    <row r="2454" spans="1:12" ht="11.25" customHeight="1" x14ac:dyDescent="0.2">
      <c r="A2454" s="280">
        <v>2023</v>
      </c>
      <c r="B2454" s="280">
        <v>2</v>
      </c>
      <c r="C2454" s="280">
        <v>16</v>
      </c>
      <c r="D2454" s="281">
        <f t="shared" si="281"/>
        <v>44973</v>
      </c>
      <c r="E2454" s="282">
        <f t="shared" si="284"/>
        <v>44973</v>
      </c>
      <c r="F2454" s="472" t="s">
        <v>1295</v>
      </c>
      <c r="G2454" s="283" t="s">
        <v>86</v>
      </c>
      <c r="H2454" s="284" t="str" cm="1">
        <f t="array" ref="H2454">IFERROR(INDEX(INVESTOR_LIST[INVESTOR NAME],MATCH(I2454,INVESTOR_LIST[INVESTOR CODE],0),)," ")</f>
        <v xml:space="preserve"> </v>
      </c>
      <c r="I2454" s="284"/>
      <c r="J2454" s="285" t="s">
        <v>131</v>
      </c>
      <c r="K2454" s="286">
        <v>15865.38</v>
      </c>
      <c r="L2454" s="286"/>
    </row>
    <row r="2455" spans="1:12" ht="11.25" customHeight="1" x14ac:dyDescent="0.2">
      <c r="A2455" s="287">
        <v>2023</v>
      </c>
      <c r="B2455" s="287">
        <v>2</v>
      </c>
      <c r="C2455" s="287">
        <v>16</v>
      </c>
      <c r="D2455" s="288">
        <f t="shared" si="281"/>
        <v>44973</v>
      </c>
      <c r="E2455" s="289">
        <f t="shared" si="284"/>
        <v>44973</v>
      </c>
      <c r="F2455" s="473"/>
      <c r="G2455" s="290" t="s">
        <v>86</v>
      </c>
      <c r="H2455" s="291" t="str" cm="1">
        <f t="array" ref="H2455">IFERROR(INDEX(INVESTOR_LIST[INVESTOR NAME],MATCH(I2455,INVESTOR_LIST[INVESTOR CODE],0),)," ")</f>
        <v xml:space="preserve"> </v>
      </c>
      <c r="I2455" s="291"/>
      <c r="J2455" s="292" t="s">
        <v>174</v>
      </c>
      <c r="K2455" s="293"/>
      <c r="L2455" s="293">
        <v>15865.38</v>
      </c>
    </row>
    <row r="2456" spans="1:12" ht="11.25" customHeight="1" x14ac:dyDescent="0.2">
      <c r="A2456" s="280">
        <v>2023</v>
      </c>
      <c r="B2456" s="280">
        <v>2</v>
      </c>
      <c r="C2456" s="280">
        <v>16</v>
      </c>
      <c r="D2456" s="281">
        <f t="shared" si="281"/>
        <v>44973</v>
      </c>
      <c r="E2456" s="282">
        <f t="shared" si="284"/>
        <v>44973</v>
      </c>
      <c r="F2456" s="472" t="s">
        <v>1294</v>
      </c>
      <c r="G2456" s="283" t="s">
        <v>86</v>
      </c>
      <c r="H2456" s="284" t="str" cm="1">
        <f t="array" ref="H2456">IFERROR(INDEX(INVESTOR_LIST[INVESTOR NAME],MATCH(I2456,INVESTOR_LIST[INVESTOR CODE],0),)," ")</f>
        <v xml:space="preserve"> </v>
      </c>
      <c r="I2456" s="284"/>
      <c r="J2456" s="285" t="s">
        <v>131</v>
      </c>
      <c r="K2456" s="286">
        <v>9423.08</v>
      </c>
      <c r="L2456" s="286"/>
    </row>
    <row r="2457" spans="1:12" ht="11.25" customHeight="1" x14ac:dyDescent="0.2">
      <c r="A2457" s="287">
        <v>2023</v>
      </c>
      <c r="B2457" s="287">
        <v>2</v>
      </c>
      <c r="C2457" s="287">
        <v>16</v>
      </c>
      <c r="D2457" s="288">
        <f t="shared" si="281"/>
        <v>44973</v>
      </c>
      <c r="E2457" s="289">
        <f t="shared" si="284"/>
        <v>44973</v>
      </c>
      <c r="F2457" s="473"/>
      <c r="G2457" s="290" t="s">
        <v>86</v>
      </c>
      <c r="H2457" s="291" t="str" cm="1">
        <f t="array" ref="H2457">IFERROR(INDEX(INVESTOR_LIST[INVESTOR NAME],MATCH(I2457,INVESTOR_LIST[INVESTOR CODE],0),)," ")</f>
        <v xml:space="preserve"> </v>
      </c>
      <c r="I2457" s="291"/>
      <c r="J2457" s="292" t="s">
        <v>174</v>
      </c>
      <c r="K2457" s="293"/>
      <c r="L2457" s="293">
        <v>9423.08</v>
      </c>
    </row>
    <row r="2458" spans="1:12" ht="11.25" customHeight="1" x14ac:dyDescent="0.2">
      <c r="A2458" s="280">
        <v>2023</v>
      </c>
      <c r="B2458" s="280">
        <v>2</v>
      </c>
      <c r="C2458" s="280">
        <v>16</v>
      </c>
      <c r="D2458" s="281">
        <f t="shared" si="281"/>
        <v>44973</v>
      </c>
      <c r="E2458" s="282">
        <f t="shared" si="284"/>
        <v>44973</v>
      </c>
      <c r="F2458" s="472" t="s">
        <v>1376</v>
      </c>
      <c r="G2458" s="283" t="s">
        <v>86</v>
      </c>
      <c r="H2458" s="284" t="str" cm="1">
        <f t="array" ref="H2458">IFERROR(INDEX(INVESTOR_LIST[INVESTOR NAME],MATCH(I2458,INVESTOR_LIST[INVESTOR CODE],0),)," ")</f>
        <v xml:space="preserve"> </v>
      </c>
      <c r="I2458" s="284"/>
      <c r="J2458" s="285" t="s">
        <v>131</v>
      </c>
      <c r="K2458" s="286">
        <v>4673.08</v>
      </c>
      <c r="L2458" s="286"/>
    </row>
    <row r="2459" spans="1:12" ht="11.25" customHeight="1" x14ac:dyDescent="0.2">
      <c r="A2459" s="287">
        <v>2023</v>
      </c>
      <c r="B2459" s="287">
        <v>2</v>
      </c>
      <c r="C2459" s="287">
        <v>16</v>
      </c>
      <c r="D2459" s="288">
        <f t="shared" si="281"/>
        <v>44973</v>
      </c>
      <c r="E2459" s="289">
        <f t="shared" si="284"/>
        <v>44973</v>
      </c>
      <c r="F2459" s="473"/>
      <c r="G2459" s="290" t="s">
        <v>86</v>
      </c>
      <c r="H2459" s="291" t="str" cm="1">
        <f t="array" ref="H2459">IFERROR(INDEX(INVESTOR_LIST[INVESTOR NAME],MATCH(I2459,INVESTOR_LIST[INVESTOR CODE],0),)," ")</f>
        <v xml:space="preserve"> </v>
      </c>
      <c r="I2459" s="291"/>
      <c r="J2459" s="292" t="s">
        <v>174</v>
      </c>
      <c r="K2459" s="293"/>
      <c r="L2459" s="293">
        <v>4673.08</v>
      </c>
    </row>
    <row r="2460" spans="1:12" ht="11.25" customHeight="1" x14ac:dyDescent="0.2">
      <c r="A2460" s="236">
        <v>2023</v>
      </c>
      <c r="B2460" s="236">
        <v>2</v>
      </c>
      <c r="C2460" s="236">
        <v>16</v>
      </c>
      <c r="D2460" s="237">
        <f t="shared" si="281"/>
        <v>44973</v>
      </c>
      <c r="E2460" s="238">
        <f t="shared" si="284"/>
        <v>44973</v>
      </c>
      <c r="F2460" s="476" t="s">
        <v>1118</v>
      </c>
      <c r="G2460" s="239" t="s">
        <v>86</v>
      </c>
      <c r="H2460" s="239" t="str" cm="1">
        <f t="array" ref="H2460">IFERROR(INDEX(INVESTOR_LIST[INVESTOR NAME],MATCH(I2460,INVESTOR_LIST[INVESTOR CODE],0),)," ")</f>
        <v xml:space="preserve"> </v>
      </c>
      <c r="I2460" s="240"/>
      <c r="J2460" s="241" t="s">
        <v>98</v>
      </c>
      <c r="K2460" s="242">
        <v>6687.5769230872393</v>
      </c>
      <c r="L2460" s="242"/>
    </row>
    <row r="2461" spans="1:12" ht="11.25" customHeight="1" x14ac:dyDescent="0.2">
      <c r="A2461" s="243">
        <v>2023</v>
      </c>
      <c r="B2461" s="243">
        <v>2</v>
      </c>
      <c r="C2461" s="243">
        <v>16</v>
      </c>
      <c r="D2461" s="248">
        <f t="shared" si="281"/>
        <v>44973</v>
      </c>
      <c r="E2461" s="249">
        <f t="shared" si="284"/>
        <v>44973</v>
      </c>
      <c r="F2461" s="477"/>
      <c r="G2461" s="244" t="s">
        <v>86</v>
      </c>
      <c r="H2461" s="244" t="str" cm="1">
        <f t="array" ref="H2461">IFERROR(INDEX(INVESTOR_LIST[INVESTOR NAME],MATCH(I2461,INVESTOR_LIST[INVESTOR CODE],0),)," ")</f>
        <v xml:space="preserve"> </v>
      </c>
      <c r="I2461" s="245"/>
      <c r="J2461" s="246" t="s">
        <v>82</v>
      </c>
      <c r="K2461" s="247"/>
      <c r="L2461" s="247">
        <v>6687.5769230872393</v>
      </c>
    </row>
    <row r="2462" spans="1:12" ht="11.25" customHeight="1" x14ac:dyDescent="0.2">
      <c r="A2462" s="236">
        <v>2023</v>
      </c>
      <c r="B2462" s="236">
        <v>2</v>
      </c>
      <c r="C2462" s="236">
        <v>16</v>
      </c>
      <c r="D2462" s="237">
        <f t="shared" si="281"/>
        <v>44973</v>
      </c>
      <c r="E2462" s="238">
        <f t="shared" si="284"/>
        <v>44973</v>
      </c>
      <c r="F2462" s="476" t="s">
        <v>1120</v>
      </c>
      <c r="G2462" s="239" t="s">
        <v>86</v>
      </c>
      <c r="H2462" s="239" t="str" cm="1">
        <f t="array" ref="H2462">IFERROR(INDEX(INVESTOR_LIST[INVESTOR NAME],MATCH(I2462,INVESTOR_LIST[INVESTOR CODE],0),)," ")</f>
        <v xml:space="preserve"> </v>
      </c>
      <c r="I2462" s="240"/>
      <c r="J2462" s="241" t="s">
        <v>87</v>
      </c>
      <c r="K2462" s="242">
        <v>2747.2527472527472</v>
      </c>
      <c r="L2462" s="242"/>
    </row>
    <row r="2463" spans="1:12" ht="11.25" customHeight="1" x14ac:dyDescent="0.2">
      <c r="A2463" s="243">
        <v>2023</v>
      </c>
      <c r="B2463" s="243">
        <v>2</v>
      </c>
      <c r="C2463" s="243">
        <v>16</v>
      </c>
      <c r="D2463" s="248">
        <f t="shared" si="281"/>
        <v>44973</v>
      </c>
      <c r="E2463" s="249">
        <f t="shared" si="284"/>
        <v>44973</v>
      </c>
      <c r="F2463" s="477"/>
      <c r="G2463" s="244" t="s">
        <v>86</v>
      </c>
      <c r="H2463" s="244" t="str" cm="1">
        <f t="array" ref="H2463">IFERROR(INDEX(INVESTOR_LIST[INVESTOR NAME],MATCH(I2463,INVESTOR_LIST[INVESTOR CODE],0),)," ")</f>
        <v xml:space="preserve"> </v>
      </c>
      <c r="I2463" s="245"/>
      <c r="J2463" s="246" t="s">
        <v>64</v>
      </c>
      <c r="K2463" s="247"/>
      <c r="L2463" s="247">
        <v>2747.2527472527472</v>
      </c>
    </row>
    <row r="2464" spans="1:12" ht="11.25" customHeight="1" x14ac:dyDescent="0.2">
      <c r="A2464" s="236">
        <v>2023</v>
      </c>
      <c r="B2464" s="236">
        <v>2</v>
      </c>
      <c r="C2464" s="236">
        <v>16</v>
      </c>
      <c r="D2464" s="237">
        <f t="shared" si="281"/>
        <v>44973</v>
      </c>
      <c r="E2464" s="238">
        <f t="shared" si="284"/>
        <v>44973</v>
      </c>
      <c r="F2464" s="476" t="s">
        <v>1121</v>
      </c>
      <c r="G2464" s="239" t="s">
        <v>86</v>
      </c>
      <c r="H2464" s="239" t="str" cm="1">
        <f t="array" ref="H2464">IFERROR(INDEX(INVESTOR_LIST[INVESTOR NAME],MATCH(I2464,INVESTOR_LIST[INVESTOR CODE],0),)," ")</f>
        <v xml:space="preserve"> </v>
      </c>
      <c r="I2464" s="240"/>
      <c r="J2464" s="241" t="s">
        <v>89</v>
      </c>
      <c r="K2464" s="242">
        <v>81757.948441012617</v>
      </c>
      <c r="L2464" s="242"/>
    </row>
    <row r="2465" spans="1:13" ht="11.25" customHeight="1" x14ac:dyDescent="0.2">
      <c r="A2465" s="243">
        <v>2023</v>
      </c>
      <c r="B2465" s="243">
        <v>2</v>
      </c>
      <c r="C2465" s="243">
        <v>16</v>
      </c>
      <c r="D2465" s="248">
        <f t="shared" si="281"/>
        <v>44973</v>
      </c>
      <c r="E2465" s="249">
        <f t="shared" si="284"/>
        <v>44973</v>
      </c>
      <c r="F2465" s="477"/>
      <c r="G2465" s="244" t="s">
        <v>86</v>
      </c>
      <c r="H2465" s="244" t="str" cm="1">
        <f t="array" ref="H2465">IFERROR(INDEX(INVESTOR_LIST[INVESTOR NAME],MATCH(I2465,INVESTOR_LIST[INVESTOR CODE],0),)," ")</f>
        <v xml:space="preserve"> </v>
      </c>
      <c r="I2465" s="245"/>
      <c r="J2465" s="246" t="s">
        <v>50</v>
      </c>
      <c r="K2465" s="247"/>
      <c r="L2465" s="247">
        <v>81757.948441012617</v>
      </c>
    </row>
    <row r="2466" spans="1:13" ht="11.25" customHeight="1" x14ac:dyDescent="0.2">
      <c r="A2466" s="236">
        <v>2023</v>
      </c>
      <c r="B2466" s="236">
        <v>2</v>
      </c>
      <c r="C2466" s="236">
        <v>16</v>
      </c>
      <c r="D2466" s="237">
        <f t="shared" si="281"/>
        <v>44973</v>
      </c>
      <c r="E2466" s="238">
        <f t="shared" si="284"/>
        <v>44973</v>
      </c>
      <c r="F2466" s="476" t="s">
        <v>1122</v>
      </c>
      <c r="G2466" s="239" t="s">
        <v>86</v>
      </c>
      <c r="H2466" s="239" t="str" cm="1">
        <f t="array" ref="H2466">IFERROR(INDEX(INVESTOR_LIST[INVESTOR NAME],MATCH(I2466,INVESTOR_LIST[INVESTOR CODE],0),)," ")</f>
        <v xml:space="preserve"> </v>
      </c>
      <c r="I2466" s="240"/>
      <c r="J2466" s="241" t="s">
        <v>91</v>
      </c>
      <c r="K2466" s="242">
        <v>3847.5128066660154</v>
      </c>
      <c r="L2466" s="242"/>
    </row>
    <row r="2467" spans="1:13" ht="11.25" customHeight="1" x14ac:dyDescent="0.2">
      <c r="A2467" s="243">
        <v>2023</v>
      </c>
      <c r="B2467" s="243">
        <v>2</v>
      </c>
      <c r="C2467" s="243">
        <v>16</v>
      </c>
      <c r="D2467" s="248">
        <f t="shared" si="281"/>
        <v>44973</v>
      </c>
      <c r="E2467" s="249">
        <f t="shared" si="284"/>
        <v>44973</v>
      </c>
      <c r="F2467" s="477"/>
      <c r="G2467" s="244" t="s">
        <v>86</v>
      </c>
      <c r="H2467" s="244" t="str" cm="1">
        <f t="array" ref="H2467">IFERROR(INDEX(INVESTOR_LIST[INVESTOR NAME],MATCH(I2467,INVESTOR_LIST[INVESTOR CODE],0),)," ")</f>
        <v xml:space="preserve"> </v>
      </c>
      <c r="I2467" s="245"/>
      <c r="J2467" s="246" t="s">
        <v>51</v>
      </c>
      <c r="K2467" s="247"/>
      <c r="L2467" s="247">
        <v>3847.5128066660154</v>
      </c>
    </row>
    <row r="2468" spans="1:13" ht="11.25" customHeight="1" x14ac:dyDescent="0.2">
      <c r="A2468" s="221">
        <v>2023</v>
      </c>
      <c r="B2468" s="221">
        <v>2</v>
      </c>
      <c r="C2468" s="221">
        <v>19</v>
      </c>
      <c r="D2468" s="231">
        <f t="shared" si="281"/>
        <v>44976</v>
      </c>
      <c r="E2468" s="233">
        <f t="shared" si="284"/>
        <v>44976</v>
      </c>
      <c r="F2468" s="478" t="s">
        <v>1115</v>
      </c>
      <c r="G2468" s="222" t="s">
        <v>1111</v>
      </c>
      <c r="H2468" s="223" t="str" cm="1">
        <f t="array" ref="H2468">IFERROR(INDEX(INVESTOR_LIST[INVESTOR NAME],MATCH(I2468,INVESTOR_LIST[INVESTOR CODE],0),)," ")</f>
        <v>ARIF AHMED</v>
      </c>
      <c r="I2468" s="223" t="s">
        <v>912</v>
      </c>
      <c r="J2468" s="224" t="s">
        <v>14</v>
      </c>
      <c r="K2468" s="225">
        <v>100000</v>
      </c>
      <c r="L2468" s="225"/>
    </row>
    <row r="2469" spans="1:13" ht="11.25" customHeight="1" x14ac:dyDescent="0.2">
      <c r="A2469" s="164">
        <v>2023</v>
      </c>
      <c r="B2469" s="164">
        <v>2</v>
      </c>
      <c r="C2469" s="164">
        <v>19</v>
      </c>
      <c r="D2469" s="156">
        <f t="shared" si="281"/>
        <v>44976</v>
      </c>
      <c r="E2469" s="235">
        <f t="shared" si="284"/>
        <v>44976</v>
      </c>
      <c r="F2469" s="480"/>
      <c r="G2469" s="208" t="s">
        <v>1111</v>
      </c>
      <c r="H2469" s="206" t="str" cm="1">
        <f t="array" ref="H2469">IFERROR(INDEX(INVESTOR_LIST[INVESTOR NAME],MATCH(I2469,INVESTOR_LIST[INVESTOR CODE],0),)," ")</f>
        <v>ARIF AHMED</v>
      </c>
      <c r="I2469" s="206" t="s">
        <v>912</v>
      </c>
      <c r="J2469" s="165" t="s">
        <v>1112</v>
      </c>
      <c r="K2469" s="205">
        <v>600</v>
      </c>
    </row>
    <row r="2470" spans="1:13" ht="11.25" customHeight="1" x14ac:dyDescent="0.2">
      <c r="A2470" s="226">
        <v>2023</v>
      </c>
      <c r="B2470" s="226">
        <v>2</v>
      </c>
      <c r="C2470" s="226">
        <v>19</v>
      </c>
      <c r="D2470" s="232">
        <f t="shared" si="281"/>
        <v>44976</v>
      </c>
      <c r="E2470" s="234">
        <f t="shared" si="284"/>
        <v>44976</v>
      </c>
      <c r="F2470" s="479"/>
      <c r="G2470" s="227" t="s">
        <v>1111</v>
      </c>
      <c r="H2470" s="228" t="str" cm="1">
        <f t="array" ref="H2470">IFERROR(INDEX(INVESTOR_LIST[INVESTOR NAME],MATCH(I2470,INVESTOR_LIST[INVESTOR CODE],0),)," ")</f>
        <v>ARIF AHMED</v>
      </c>
      <c r="I2470" s="228" t="s">
        <v>912</v>
      </c>
      <c r="J2470" s="229" t="s">
        <v>55</v>
      </c>
      <c r="K2470" s="230"/>
      <c r="L2470" s="230">
        <v>100600</v>
      </c>
    </row>
    <row r="2471" spans="1:13" ht="11.25" customHeight="1" x14ac:dyDescent="0.2">
      <c r="A2471" s="221">
        <v>2023</v>
      </c>
      <c r="B2471" s="221">
        <v>2</v>
      </c>
      <c r="C2471" s="221">
        <v>19</v>
      </c>
      <c r="D2471" s="231">
        <f t="shared" si="281"/>
        <v>44976</v>
      </c>
      <c r="E2471" s="233">
        <f t="shared" ref="E2471:E2473" si="285">DATE(A2471,B2471,C2471)</f>
        <v>44976</v>
      </c>
      <c r="F2471" s="478" t="s">
        <v>1115</v>
      </c>
      <c r="G2471" s="222" t="s">
        <v>1111</v>
      </c>
      <c r="H2471" s="223" t="str" cm="1">
        <f t="array" ref="H2471">IFERROR(INDEX(INVESTOR_LIST[INVESTOR NAME],MATCH(I2471,INVESTOR_LIST[INVESTOR CODE],0),)," ")</f>
        <v>MOHAMMAD DELOWAR HOSSAIN MRIDHA</v>
      </c>
      <c r="I2471" s="223" t="s">
        <v>923</v>
      </c>
      <c r="J2471" s="224" t="s">
        <v>14</v>
      </c>
      <c r="K2471" s="225">
        <v>100000</v>
      </c>
      <c r="L2471" s="225"/>
    </row>
    <row r="2472" spans="1:13" ht="11.25" customHeight="1" x14ac:dyDescent="0.2">
      <c r="A2472" s="164">
        <v>2023</v>
      </c>
      <c r="B2472" s="164">
        <v>2</v>
      </c>
      <c r="C2472" s="164">
        <v>19</v>
      </c>
      <c r="D2472" s="156">
        <f t="shared" si="281"/>
        <v>44976</v>
      </c>
      <c r="E2472" s="235">
        <f t="shared" si="285"/>
        <v>44976</v>
      </c>
      <c r="F2472" s="480"/>
      <c r="G2472" s="208" t="s">
        <v>1111</v>
      </c>
      <c r="H2472" s="206" t="str" cm="1">
        <f t="array" ref="H2472">IFERROR(INDEX(INVESTOR_LIST[INVESTOR NAME],MATCH(I2472,INVESTOR_LIST[INVESTOR CODE],0),)," ")</f>
        <v>MOHAMMAD DELOWAR HOSSAIN MRIDHA</v>
      </c>
      <c r="I2472" s="206" t="s">
        <v>923</v>
      </c>
      <c r="J2472" s="165" t="s">
        <v>1112</v>
      </c>
      <c r="K2472" s="205">
        <v>600</v>
      </c>
    </row>
    <row r="2473" spans="1:13" ht="11.25" customHeight="1" x14ac:dyDescent="0.2">
      <c r="A2473" s="226">
        <v>2023</v>
      </c>
      <c r="B2473" s="226">
        <v>2</v>
      </c>
      <c r="C2473" s="226">
        <v>19</v>
      </c>
      <c r="D2473" s="232">
        <f t="shared" si="281"/>
        <v>44976</v>
      </c>
      <c r="E2473" s="234">
        <f t="shared" si="285"/>
        <v>44976</v>
      </c>
      <c r="F2473" s="479"/>
      <c r="G2473" s="227" t="s">
        <v>1111</v>
      </c>
      <c r="H2473" s="228" t="str" cm="1">
        <f t="array" ref="H2473">IFERROR(INDEX(INVESTOR_LIST[INVESTOR NAME],MATCH(I2473,INVESTOR_LIST[INVESTOR CODE],0),)," ")</f>
        <v>MOHAMMAD DELOWAR HOSSAIN MRIDHA</v>
      </c>
      <c r="I2473" s="228" t="s">
        <v>923</v>
      </c>
      <c r="J2473" s="229" t="s">
        <v>55</v>
      </c>
      <c r="K2473" s="230"/>
      <c r="L2473" s="230">
        <v>100600</v>
      </c>
    </row>
    <row r="2474" spans="1:13" ht="11.25" customHeight="1" x14ac:dyDescent="0.2">
      <c r="A2474" s="221">
        <v>2023</v>
      </c>
      <c r="B2474" s="221">
        <v>2</v>
      </c>
      <c r="C2474" s="221">
        <v>19</v>
      </c>
      <c r="D2474" s="231">
        <f t="shared" si="281"/>
        <v>44976</v>
      </c>
      <c r="E2474" s="233">
        <f>DATE(A2474,B2474,C2474)</f>
        <v>44976</v>
      </c>
      <c r="F2474" s="478" t="s">
        <v>1303</v>
      </c>
      <c r="G2474" s="222" t="s">
        <v>1111</v>
      </c>
      <c r="H2474" s="223" t="str" cm="1">
        <f t="array" ref="H2474">IFERROR(INDEX(INVESTOR_LIST[INVESTOR NAME],MATCH(I2474,INVESTOR_LIST[INVESTOR CODE],0),)," ")</f>
        <v xml:space="preserve"> </v>
      </c>
      <c r="I2474" s="223"/>
      <c r="J2474" s="224" t="s">
        <v>55</v>
      </c>
      <c r="K2474" s="225">
        <v>314516.45</v>
      </c>
      <c r="L2474" s="225"/>
    </row>
    <row r="2475" spans="1:13" ht="11.25" customHeight="1" x14ac:dyDescent="0.2">
      <c r="A2475" s="226">
        <v>2023</v>
      </c>
      <c r="B2475" s="226">
        <v>2</v>
      </c>
      <c r="C2475" s="226">
        <v>19</v>
      </c>
      <c r="D2475" s="232">
        <f t="shared" si="281"/>
        <v>44976</v>
      </c>
      <c r="E2475" s="234">
        <f>DATE(A2475,B2475,C2475)</f>
        <v>44976</v>
      </c>
      <c r="F2475" s="479"/>
      <c r="G2475" s="227" t="s">
        <v>1111</v>
      </c>
      <c r="H2475" s="228" t="str" cm="1">
        <f t="array" ref="H2475">IFERROR(INDEX(INVESTOR_LIST[INVESTOR NAME],MATCH(I2475,INVESTOR_LIST[INVESTOR CODE],0),)," ")</f>
        <v xml:space="preserve"> </v>
      </c>
      <c r="I2475" s="228"/>
      <c r="J2475" s="229" t="s">
        <v>199</v>
      </c>
      <c r="K2475" s="230"/>
      <c r="L2475" s="230">
        <v>314516.45</v>
      </c>
      <c r="M2475" s="166"/>
    </row>
    <row r="2476" spans="1:13" ht="11.25" customHeight="1" x14ac:dyDescent="0.2">
      <c r="A2476" s="221">
        <v>2023</v>
      </c>
      <c r="B2476" s="221">
        <v>2</v>
      </c>
      <c r="C2476" s="221">
        <v>22</v>
      </c>
      <c r="D2476" s="231">
        <f t="shared" si="281"/>
        <v>44979</v>
      </c>
      <c r="E2476" s="233">
        <f t="shared" ref="E2476:E2477" si="286">DATE(A2476,B2476,C2476)</f>
        <v>44979</v>
      </c>
      <c r="F2476" s="478" t="s">
        <v>1394</v>
      </c>
      <c r="G2476" s="222" t="s">
        <v>1111</v>
      </c>
      <c r="H2476" s="223" t="str" cm="1">
        <f t="array" ref="H2476">IFERROR(INDEX(INVESTOR_LIST[INVESTOR NAME],MATCH(I2476,INVESTOR_LIST[INVESTOR CODE],0),)," ")</f>
        <v xml:space="preserve"> </v>
      </c>
      <c r="I2476" s="223"/>
      <c r="J2476" s="224" t="s">
        <v>55</v>
      </c>
      <c r="K2476" s="225">
        <v>32650</v>
      </c>
      <c r="L2476" s="225"/>
    </row>
    <row r="2477" spans="1:13" ht="11.25" customHeight="1" x14ac:dyDescent="0.2">
      <c r="A2477" s="226">
        <v>2023</v>
      </c>
      <c r="B2477" s="226">
        <v>2</v>
      </c>
      <c r="C2477" s="226">
        <v>22</v>
      </c>
      <c r="D2477" s="232">
        <f t="shared" si="281"/>
        <v>44979</v>
      </c>
      <c r="E2477" s="234">
        <f t="shared" si="286"/>
        <v>44979</v>
      </c>
      <c r="F2477" s="479"/>
      <c r="G2477" s="227" t="s">
        <v>1111</v>
      </c>
      <c r="H2477" s="228" t="str" cm="1">
        <f t="array" ref="H2477">IFERROR(INDEX(INVESTOR_LIST[INVESTOR NAME],MATCH(I2477,INVESTOR_LIST[INVESTOR CODE],0),)," ")</f>
        <v xml:space="preserve"> </v>
      </c>
      <c r="I2477" s="228"/>
      <c r="J2477" s="229" t="s">
        <v>191</v>
      </c>
      <c r="K2477" s="230"/>
      <c r="L2477" s="230">
        <v>32650</v>
      </c>
    </row>
    <row r="2478" spans="1:13" ht="11.25" customHeight="1" x14ac:dyDescent="0.2">
      <c r="A2478" s="221">
        <v>2023</v>
      </c>
      <c r="B2478" s="221">
        <v>2</v>
      </c>
      <c r="C2478" s="221">
        <v>22</v>
      </c>
      <c r="D2478" s="231">
        <f t="shared" si="281"/>
        <v>44979</v>
      </c>
      <c r="E2478" s="233">
        <f>DATE(A2478,B2478,C2478)</f>
        <v>44979</v>
      </c>
      <c r="F2478" s="478" t="s">
        <v>1401</v>
      </c>
      <c r="G2478" s="222" t="s">
        <v>1111</v>
      </c>
      <c r="H2478" s="222" t="str" cm="1">
        <f t="array" ref="H2478">IFERROR(INDEX(INVESTOR_LIST[INVESTOR NAME],MATCH(I2478,INVESTOR_LIST[INVESTOR CODE],0),)," ")</f>
        <v xml:space="preserve"> </v>
      </c>
      <c r="I2478" s="223"/>
      <c r="J2478" s="224" t="s">
        <v>196</v>
      </c>
      <c r="K2478" s="225">
        <v>3250000</v>
      </c>
      <c r="L2478" s="225"/>
      <c r="M2478" s="166"/>
    </row>
    <row r="2479" spans="1:13" ht="11.25" customHeight="1" x14ac:dyDescent="0.2">
      <c r="A2479" s="164">
        <v>2023</v>
      </c>
      <c r="B2479" s="164">
        <v>2</v>
      </c>
      <c r="C2479" s="164">
        <v>22</v>
      </c>
      <c r="D2479" s="156">
        <f t="shared" si="281"/>
        <v>44979</v>
      </c>
      <c r="E2479" s="235">
        <f>DATE(A2479,B2479,C2479)</f>
        <v>44979</v>
      </c>
      <c r="F2479" s="480"/>
      <c r="G2479" s="208" t="s">
        <v>1111</v>
      </c>
      <c r="H2479" s="208"/>
      <c r="J2479" s="165" t="s">
        <v>197</v>
      </c>
      <c r="K2479" s="205">
        <v>3000</v>
      </c>
      <c r="L2479" s="205"/>
      <c r="M2479" s="166"/>
    </row>
    <row r="2480" spans="1:13" ht="11.25" customHeight="1" x14ac:dyDescent="0.2">
      <c r="A2480" s="164">
        <v>2023</v>
      </c>
      <c r="B2480" s="164">
        <v>2</v>
      </c>
      <c r="C2480" s="164">
        <v>22</v>
      </c>
      <c r="D2480" s="164">
        <f t="shared" si="281"/>
        <v>44979</v>
      </c>
      <c r="E2480" s="235">
        <f>DATE(A2480,B2480,C2480)</f>
        <v>44979</v>
      </c>
      <c r="F2480" s="480"/>
      <c r="G2480" s="208" t="s">
        <v>1111</v>
      </c>
      <c r="H2480" s="208" t="str" cm="1">
        <f t="array" ref="H2480">IFERROR(INDEX(INVESTOR_LIST[INVESTOR NAME],MATCH(I2480,INVESTOR_LIST[INVESTOR CODE],0),)," ")</f>
        <v xml:space="preserve"> </v>
      </c>
      <c r="J2480" s="165" t="s">
        <v>63</v>
      </c>
      <c r="K2480" s="205">
        <v>115</v>
      </c>
      <c r="L2480" s="205"/>
    </row>
    <row r="2481" spans="1:12" ht="11.25" customHeight="1" x14ac:dyDescent="0.2">
      <c r="A2481" s="226">
        <v>2023</v>
      </c>
      <c r="B2481" s="226">
        <v>2</v>
      </c>
      <c r="C2481" s="226">
        <v>22</v>
      </c>
      <c r="D2481" s="226">
        <f t="shared" si="281"/>
        <v>44979</v>
      </c>
      <c r="E2481" s="234">
        <f>DATE(A2481,B2481,C2481)</f>
        <v>44979</v>
      </c>
      <c r="F2481" s="479"/>
      <c r="G2481" s="227" t="s">
        <v>1111</v>
      </c>
      <c r="H2481" s="228" t="str" cm="1">
        <f t="array" ref="H2481">IFERROR(INDEX(INVESTOR_LIST[INVESTOR NAME],MATCH(I2481,INVESTOR_LIST[INVESTOR CODE],0),)," ")</f>
        <v xml:space="preserve"> </v>
      </c>
      <c r="I2481" s="228"/>
      <c r="J2481" s="229" t="s">
        <v>55</v>
      </c>
      <c r="K2481" s="230"/>
      <c r="L2481" s="230">
        <v>3253115</v>
      </c>
    </row>
    <row r="2482" spans="1:12" ht="11.25" customHeight="1" x14ac:dyDescent="0.2">
      <c r="A2482" s="221">
        <v>2023</v>
      </c>
      <c r="B2482" s="221">
        <v>2</v>
      </c>
      <c r="C2482" s="221">
        <v>22</v>
      </c>
      <c r="D2482" s="231">
        <f t="shared" si="281"/>
        <v>44979</v>
      </c>
      <c r="E2482" s="233">
        <f t="shared" ref="E2482:E2504" si="287">DATE(A2482,B2482,C2482)</f>
        <v>44979</v>
      </c>
      <c r="F2482" s="478" t="s">
        <v>1115</v>
      </c>
      <c r="G2482" s="222" t="s">
        <v>1111</v>
      </c>
      <c r="H2482" s="223" t="str" cm="1">
        <f t="array" ref="H2482">IFERROR(INDEX(INVESTOR_LIST[INVESTOR NAME],MATCH(I2482,INVESTOR_LIST[INVESTOR CODE],0),)," ")</f>
        <v>MD. NAZIMUL HAQUE HAQUANNI</v>
      </c>
      <c r="I2482" s="223" t="s">
        <v>925</v>
      </c>
      <c r="J2482" s="224" t="s">
        <v>14</v>
      </c>
      <c r="K2482" s="225">
        <v>100000</v>
      </c>
      <c r="L2482" s="225"/>
    </row>
    <row r="2483" spans="1:12" ht="11.25" customHeight="1" x14ac:dyDescent="0.2">
      <c r="A2483" s="164">
        <v>2023</v>
      </c>
      <c r="B2483" s="164">
        <v>2</v>
      </c>
      <c r="C2483" s="164">
        <v>22</v>
      </c>
      <c r="D2483" s="156">
        <f t="shared" si="281"/>
        <v>44979</v>
      </c>
      <c r="E2483" s="235">
        <f t="shared" si="287"/>
        <v>44979</v>
      </c>
      <c r="F2483" s="480"/>
      <c r="G2483" s="208" t="s">
        <v>1111</v>
      </c>
      <c r="H2483" s="206" t="str" cm="1">
        <f t="array" ref="H2483">IFERROR(INDEX(INVESTOR_LIST[INVESTOR NAME],MATCH(I2483,INVESTOR_LIST[INVESTOR CODE],0),)," ")</f>
        <v>MD. NAZIMUL HAQUE HAQUANNI</v>
      </c>
      <c r="I2483" s="206" t="s">
        <v>925</v>
      </c>
      <c r="J2483" s="165" t="s">
        <v>1112</v>
      </c>
      <c r="K2483" s="205">
        <v>600</v>
      </c>
    </row>
    <row r="2484" spans="1:12" ht="11.25" customHeight="1" x14ac:dyDescent="0.2">
      <c r="A2484" s="226">
        <v>2023</v>
      </c>
      <c r="B2484" s="226">
        <v>2</v>
      </c>
      <c r="C2484" s="226">
        <v>22</v>
      </c>
      <c r="D2484" s="232">
        <f t="shared" si="281"/>
        <v>44979</v>
      </c>
      <c r="E2484" s="234">
        <f t="shared" si="287"/>
        <v>44979</v>
      </c>
      <c r="F2484" s="479"/>
      <c r="G2484" s="227" t="s">
        <v>1111</v>
      </c>
      <c r="H2484" s="228" t="str" cm="1">
        <f t="array" ref="H2484">IFERROR(INDEX(INVESTOR_LIST[INVESTOR NAME],MATCH(I2484,INVESTOR_LIST[INVESTOR CODE],0),)," ")</f>
        <v>MD. NAZIMUL HAQUE HAQUANNI</v>
      </c>
      <c r="I2484" s="228" t="s">
        <v>925</v>
      </c>
      <c r="J2484" s="229" t="s">
        <v>55</v>
      </c>
      <c r="K2484" s="230"/>
      <c r="L2484" s="230">
        <v>100600</v>
      </c>
    </row>
    <row r="2485" spans="1:12" ht="11.25" customHeight="1" x14ac:dyDescent="0.2">
      <c r="A2485" s="327">
        <v>2023</v>
      </c>
      <c r="B2485" s="327">
        <v>2</v>
      </c>
      <c r="C2485" s="327">
        <v>23</v>
      </c>
      <c r="D2485" s="328">
        <f t="shared" si="281"/>
        <v>44980</v>
      </c>
      <c r="E2485" s="329">
        <f t="shared" si="287"/>
        <v>44980</v>
      </c>
      <c r="F2485" s="474" t="s">
        <v>1459</v>
      </c>
      <c r="G2485" s="331" t="s">
        <v>86</v>
      </c>
      <c r="H2485" s="332" t="str" cm="1">
        <f t="array" ref="H2485">IFERROR(INDEX(INVESTOR_LIST[INVESTOR NAME],MATCH(I2485,INVESTOR_LIST[INVESTOR CODE],0),)," ")</f>
        <v xml:space="preserve"> </v>
      </c>
      <c r="I2485" s="333"/>
      <c r="J2485" s="334" t="s">
        <v>1621</v>
      </c>
      <c r="K2485" s="335">
        <v>2012.08</v>
      </c>
      <c r="L2485" s="336"/>
    </row>
    <row r="2486" spans="1:12" ht="11.25" customHeight="1" x14ac:dyDescent="0.2">
      <c r="A2486" s="327">
        <v>2023</v>
      </c>
      <c r="B2486" s="327">
        <v>2</v>
      </c>
      <c r="C2486" s="327">
        <v>23</v>
      </c>
      <c r="D2486" s="337">
        <f t="shared" si="281"/>
        <v>44980</v>
      </c>
      <c r="E2486" s="338">
        <f t="shared" si="287"/>
        <v>44980</v>
      </c>
      <c r="F2486" s="475"/>
      <c r="G2486" s="331" t="s">
        <v>86</v>
      </c>
      <c r="H2486" s="340" t="str" cm="1">
        <f t="array" ref="H2486">IFERROR(INDEX(INVESTOR_LIST[INVESTOR NAME],MATCH(I2486,INVESTOR_LIST[INVESTOR CODE],0),)," ")</f>
        <v xml:space="preserve"> </v>
      </c>
      <c r="I2486" s="333"/>
      <c r="J2486" s="334" t="s">
        <v>1613</v>
      </c>
      <c r="K2486" s="335"/>
      <c r="L2486" s="336">
        <v>2012.08</v>
      </c>
    </row>
    <row r="2487" spans="1:12" ht="11.25" customHeight="1" x14ac:dyDescent="0.2">
      <c r="A2487" s="280">
        <v>2023</v>
      </c>
      <c r="B2487" s="280">
        <v>2</v>
      </c>
      <c r="C2487" s="280">
        <v>23</v>
      </c>
      <c r="D2487" s="281">
        <f t="shared" si="281"/>
        <v>44980</v>
      </c>
      <c r="E2487" s="282">
        <f t="shared" si="287"/>
        <v>44980</v>
      </c>
      <c r="F2487" s="472" t="s">
        <v>1369</v>
      </c>
      <c r="G2487" s="283" t="s">
        <v>86</v>
      </c>
      <c r="H2487" s="284" t="str" cm="1">
        <f t="array" ref="H2487">IFERROR(INDEX(INVESTOR_LIST[INVESTOR NAME],MATCH(I2487,INVESTOR_LIST[INVESTOR CODE],0),)," ")</f>
        <v xml:space="preserve"> </v>
      </c>
      <c r="I2487" s="284"/>
      <c r="J2487" s="285" t="s">
        <v>131</v>
      </c>
      <c r="K2487" s="286">
        <v>82924.28</v>
      </c>
      <c r="L2487" s="286"/>
    </row>
    <row r="2488" spans="1:12" ht="11.25" customHeight="1" x14ac:dyDescent="0.2">
      <c r="A2488" s="287">
        <v>2023</v>
      </c>
      <c r="B2488" s="287">
        <v>2</v>
      </c>
      <c r="C2488" s="287">
        <v>23</v>
      </c>
      <c r="D2488" s="288">
        <f t="shared" si="281"/>
        <v>44980</v>
      </c>
      <c r="E2488" s="289">
        <f t="shared" si="287"/>
        <v>44980</v>
      </c>
      <c r="F2488" s="473"/>
      <c r="G2488" s="290" t="s">
        <v>86</v>
      </c>
      <c r="H2488" s="291" t="str" cm="1">
        <f t="array" ref="H2488">IFERROR(INDEX(INVESTOR_LIST[INVESTOR NAME],MATCH(I2488,INVESTOR_LIST[INVESTOR CODE],0),)," ")</f>
        <v xml:space="preserve"> </v>
      </c>
      <c r="I2488" s="291"/>
      <c r="J2488" s="292" t="s">
        <v>174</v>
      </c>
      <c r="K2488" s="293"/>
      <c r="L2488" s="293">
        <v>82924.28</v>
      </c>
    </row>
    <row r="2489" spans="1:12" ht="11.25" customHeight="1" x14ac:dyDescent="0.2">
      <c r="A2489" s="280">
        <v>2023</v>
      </c>
      <c r="B2489" s="280">
        <v>2</v>
      </c>
      <c r="C2489" s="280">
        <v>23</v>
      </c>
      <c r="D2489" s="281">
        <f t="shared" si="281"/>
        <v>44980</v>
      </c>
      <c r="E2489" s="282">
        <f t="shared" si="287"/>
        <v>44980</v>
      </c>
      <c r="F2489" s="472" t="s">
        <v>1295</v>
      </c>
      <c r="G2489" s="283" t="s">
        <v>86</v>
      </c>
      <c r="H2489" s="284" t="str" cm="1">
        <f t="array" ref="H2489">IFERROR(INDEX(INVESTOR_LIST[INVESTOR NAME],MATCH(I2489,INVESTOR_LIST[INVESTOR CODE],0),)," ")</f>
        <v xml:space="preserve"> </v>
      </c>
      <c r="I2489" s="284"/>
      <c r="J2489" s="285" t="s">
        <v>131</v>
      </c>
      <c r="K2489" s="286">
        <v>15865.38</v>
      </c>
      <c r="L2489" s="286"/>
    </row>
    <row r="2490" spans="1:12" ht="11.25" customHeight="1" x14ac:dyDescent="0.2">
      <c r="A2490" s="287">
        <v>2023</v>
      </c>
      <c r="B2490" s="287">
        <v>2</v>
      </c>
      <c r="C2490" s="287">
        <v>23</v>
      </c>
      <c r="D2490" s="288">
        <f t="shared" si="281"/>
        <v>44980</v>
      </c>
      <c r="E2490" s="289">
        <f t="shared" si="287"/>
        <v>44980</v>
      </c>
      <c r="F2490" s="473"/>
      <c r="G2490" s="290" t="s">
        <v>86</v>
      </c>
      <c r="H2490" s="291" t="str" cm="1">
        <f t="array" ref="H2490">IFERROR(INDEX(INVESTOR_LIST[INVESTOR NAME],MATCH(I2490,INVESTOR_LIST[INVESTOR CODE],0),)," ")</f>
        <v xml:space="preserve"> </v>
      </c>
      <c r="I2490" s="291"/>
      <c r="J2490" s="292" t="s">
        <v>174</v>
      </c>
      <c r="K2490" s="293"/>
      <c r="L2490" s="293">
        <v>15865.38</v>
      </c>
    </row>
    <row r="2491" spans="1:12" ht="11.25" customHeight="1" x14ac:dyDescent="0.2">
      <c r="A2491" s="280">
        <v>2023</v>
      </c>
      <c r="B2491" s="280">
        <v>2</v>
      </c>
      <c r="C2491" s="280">
        <v>23</v>
      </c>
      <c r="D2491" s="281">
        <f t="shared" si="281"/>
        <v>44980</v>
      </c>
      <c r="E2491" s="282">
        <f t="shared" si="287"/>
        <v>44980</v>
      </c>
      <c r="F2491" s="472" t="s">
        <v>1294</v>
      </c>
      <c r="G2491" s="283" t="s">
        <v>86</v>
      </c>
      <c r="H2491" s="284" t="str" cm="1">
        <f t="array" ref="H2491">IFERROR(INDEX(INVESTOR_LIST[INVESTOR NAME],MATCH(I2491,INVESTOR_LIST[INVESTOR CODE],0),)," ")</f>
        <v xml:space="preserve"> </v>
      </c>
      <c r="I2491" s="284"/>
      <c r="J2491" s="285" t="s">
        <v>131</v>
      </c>
      <c r="K2491" s="286">
        <v>9423.08</v>
      </c>
      <c r="L2491" s="286"/>
    </row>
    <row r="2492" spans="1:12" ht="11.25" customHeight="1" x14ac:dyDescent="0.2">
      <c r="A2492" s="287">
        <v>2023</v>
      </c>
      <c r="B2492" s="287">
        <v>2</v>
      </c>
      <c r="C2492" s="287">
        <v>23</v>
      </c>
      <c r="D2492" s="288">
        <f t="shared" si="281"/>
        <v>44980</v>
      </c>
      <c r="E2492" s="289">
        <f t="shared" si="287"/>
        <v>44980</v>
      </c>
      <c r="F2492" s="473"/>
      <c r="G2492" s="290" t="s">
        <v>86</v>
      </c>
      <c r="H2492" s="291" t="str" cm="1">
        <f t="array" ref="H2492">IFERROR(INDEX(INVESTOR_LIST[INVESTOR NAME],MATCH(I2492,INVESTOR_LIST[INVESTOR CODE],0),)," ")</f>
        <v xml:space="preserve"> </v>
      </c>
      <c r="I2492" s="291"/>
      <c r="J2492" s="292" t="s">
        <v>174</v>
      </c>
      <c r="K2492" s="293"/>
      <c r="L2492" s="293">
        <v>9423.08</v>
      </c>
    </row>
    <row r="2493" spans="1:12" ht="11.25" customHeight="1" x14ac:dyDescent="0.2">
      <c r="A2493" s="280">
        <v>2023</v>
      </c>
      <c r="B2493" s="280">
        <v>2</v>
      </c>
      <c r="C2493" s="280">
        <v>23</v>
      </c>
      <c r="D2493" s="281">
        <f t="shared" si="281"/>
        <v>44980</v>
      </c>
      <c r="E2493" s="282">
        <f t="shared" si="287"/>
        <v>44980</v>
      </c>
      <c r="F2493" s="472" t="s">
        <v>1376</v>
      </c>
      <c r="G2493" s="283" t="s">
        <v>86</v>
      </c>
      <c r="H2493" s="284" t="str" cm="1">
        <f t="array" ref="H2493">IFERROR(INDEX(INVESTOR_LIST[INVESTOR NAME],MATCH(I2493,INVESTOR_LIST[INVESTOR CODE],0),)," ")</f>
        <v xml:space="preserve"> </v>
      </c>
      <c r="I2493" s="284"/>
      <c r="J2493" s="285" t="s">
        <v>131</v>
      </c>
      <c r="K2493" s="286">
        <v>4673.08</v>
      </c>
      <c r="L2493" s="286"/>
    </row>
    <row r="2494" spans="1:12" ht="11.25" customHeight="1" x14ac:dyDescent="0.2">
      <c r="A2494" s="287">
        <v>2023</v>
      </c>
      <c r="B2494" s="287">
        <v>2</v>
      </c>
      <c r="C2494" s="287">
        <v>23</v>
      </c>
      <c r="D2494" s="288">
        <f t="shared" si="281"/>
        <v>44980</v>
      </c>
      <c r="E2494" s="289">
        <f t="shared" si="287"/>
        <v>44980</v>
      </c>
      <c r="F2494" s="473"/>
      <c r="G2494" s="290" t="s">
        <v>86</v>
      </c>
      <c r="H2494" s="291" t="str" cm="1">
        <f t="array" ref="H2494">IFERROR(INDEX(INVESTOR_LIST[INVESTOR NAME],MATCH(I2494,INVESTOR_LIST[INVESTOR CODE],0),)," ")</f>
        <v xml:space="preserve"> </v>
      </c>
      <c r="I2494" s="291"/>
      <c r="J2494" s="292" t="s">
        <v>174</v>
      </c>
      <c r="K2494" s="293"/>
      <c r="L2494" s="293">
        <v>4673.08</v>
      </c>
    </row>
    <row r="2495" spans="1:12" ht="11.25" customHeight="1" x14ac:dyDescent="0.2">
      <c r="A2495" s="236">
        <v>2023</v>
      </c>
      <c r="B2495" s="236">
        <v>2</v>
      </c>
      <c r="C2495" s="236">
        <v>23</v>
      </c>
      <c r="D2495" s="237">
        <f t="shared" si="281"/>
        <v>44980</v>
      </c>
      <c r="E2495" s="238">
        <f t="shared" si="287"/>
        <v>44980</v>
      </c>
      <c r="F2495" s="476" t="s">
        <v>1118</v>
      </c>
      <c r="G2495" s="239" t="s">
        <v>86</v>
      </c>
      <c r="H2495" s="239" t="str" cm="1">
        <f t="array" ref="H2495">IFERROR(INDEX(INVESTOR_LIST[INVESTOR NAME],MATCH(I2495,INVESTOR_LIST[INVESTOR CODE],0),)," ")</f>
        <v xml:space="preserve"> </v>
      </c>
      <c r="I2495" s="240"/>
      <c r="J2495" s="241" t="s">
        <v>98</v>
      </c>
      <c r="K2495" s="242">
        <v>2012.0769230574369</v>
      </c>
      <c r="L2495" s="242"/>
    </row>
    <row r="2496" spans="1:12" ht="11.25" customHeight="1" x14ac:dyDescent="0.2">
      <c r="A2496" s="243">
        <v>2023</v>
      </c>
      <c r="B2496" s="243">
        <v>2</v>
      </c>
      <c r="C2496" s="243">
        <v>23</v>
      </c>
      <c r="D2496" s="248">
        <f t="shared" si="281"/>
        <v>44980</v>
      </c>
      <c r="E2496" s="249">
        <f t="shared" si="287"/>
        <v>44980</v>
      </c>
      <c r="F2496" s="477"/>
      <c r="G2496" s="244" t="s">
        <v>86</v>
      </c>
      <c r="H2496" s="244" t="str" cm="1">
        <f t="array" ref="H2496">IFERROR(INDEX(INVESTOR_LIST[INVESTOR NAME],MATCH(I2496,INVESTOR_LIST[INVESTOR CODE],0),)," ")</f>
        <v xml:space="preserve"> </v>
      </c>
      <c r="I2496" s="245"/>
      <c r="J2496" s="246" t="s">
        <v>82</v>
      </c>
      <c r="K2496" s="247"/>
      <c r="L2496" s="247">
        <v>2012.0769230574369</v>
      </c>
    </row>
    <row r="2497" spans="1:13" ht="11.25" customHeight="1" x14ac:dyDescent="0.2">
      <c r="A2497" s="236">
        <v>2023</v>
      </c>
      <c r="B2497" s="236">
        <v>2</v>
      </c>
      <c r="C2497" s="236">
        <v>23</v>
      </c>
      <c r="D2497" s="237">
        <f t="shared" si="281"/>
        <v>44980</v>
      </c>
      <c r="E2497" s="238">
        <f t="shared" si="287"/>
        <v>44980</v>
      </c>
      <c r="F2497" s="476" t="s">
        <v>1120</v>
      </c>
      <c r="G2497" s="239" t="s">
        <v>86</v>
      </c>
      <c r="H2497" s="239" t="str" cm="1">
        <f t="array" ref="H2497">IFERROR(INDEX(INVESTOR_LIST[INVESTOR NAME],MATCH(I2497,INVESTOR_LIST[INVESTOR CODE],0),)," ")</f>
        <v xml:space="preserve"> </v>
      </c>
      <c r="I2497" s="240"/>
      <c r="J2497" s="241" t="s">
        <v>87</v>
      </c>
      <c r="K2497" s="242">
        <v>2747.2527472527472</v>
      </c>
      <c r="L2497" s="242"/>
    </row>
    <row r="2498" spans="1:13" ht="11.25" customHeight="1" x14ac:dyDescent="0.2">
      <c r="A2498" s="243">
        <v>2023</v>
      </c>
      <c r="B2498" s="243">
        <v>2</v>
      </c>
      <c r="C2498" s="243">
        <v>23</v>
      </c>
      <c r="D2498" s="248">
        <f t="shared" si="281"/>
        <v>44980</v>
      </c>
      <c r="E2498" s="249">
        <f t="shared" si="287"/>
        <v>44980</v>
      </c>
      <c r="F2498" s="477"/>
      <c r="G2498" s="244" t="s">
        <v>86</v>
      </c>
      <c r="H2498" s="244" t="str" cm="1">
        <f t="array" ref="H2498">IFERROR(INDEX(INVESTOR_LIST[INVESTOR NAME],MATCH(I2498,INVESTOR_LIST[INVESTOR CODE],0),)," ")</f>
        <v xml:space="preserve"> </v>
      </c>
      <c r="I2498" s="245"/>
      <c r="J2498" s="246" t="s">
        <v>64</v>
      </c>
      <c r="K2498" s="247"/>
      <c r="L2498" s="247">
        <v>2747.2527472527472</v>
      </c>
    </row>
    <row r="2499" spans="1:13" ht="11.25" customHeight="1" x14ac:dyDescent="0.2">
      <c r="A2499" s="236">
        <v>2023</v>
      </c>
      <c r="B2499" s="236">
        <v>2</v>
      </c>
      <c r="C2499" s="236">
        <v>23</v>
      </c>
      <c r="D2499" s="237">
        <f t="shared" si="281"/>
        <v>44980</v>
      </c>
      <c r="E2499" s="238">
        <f t="shared" si="287"/>
        <v>44980</v>
      </c>
      <c r="F2499" s="476" t="s">
        <v>1121</v>
      </c>
      <c r="G2499" s="239" t="s">
        <v>86</v>
      </c>
      <c r="H2499" s="239" t="str" cm="1">
        <f t="array" ref="H2499">IFERROR(INDEX(INVESTOR_LIST[INVESTOR NAME],MATCH(I2499,INVESTOR_LIST[INVESTOR CODE],0),)," ")</f>
        <v xml:space="preserve"> </v>
      </c>
      <c r="I2499" s="240"/>
      <c r="J2499" s="241" t="s">
        <v>89</v>
      </c>
      <c r="K2499" s="242">
        <v>0</v>
      </c>
      <c r="L2499" s="242"/>
    </row>
    <row r="2500" spans="1:13" ht="11.25" customHeight="1" x14ac:dyDescent="0.2">
      <c r="A2500" s="243">
        <v>2023</v>
      </c>
      <c r="B2500" s="243">
        <v>2</v>
      </c>
      <c r="C2500" s="243">
        <v>23</v>
      </c>
      <c r="D2500" s="248">
        <f t="shared" si="281"/>
        <v>44980</v>
      </c>
      <c r="E2500" s="249">
        <f t="shared" si="287"/>
        <v>44980</v>
      </c>
      <c r="F2500" s="477"/>
      <c r="G2500" s="244" t="s">
        <v>86</v>
      </c>
      <c r="H2500" s="244" t="str" cm="1">
        <f t="array" ref="H2500">IFERROR(INDEX(INVESTOR_LIST[INVESTOR NAME],MATCH(I2500,INVESTOR_LIST[INVESTOR CODE],0),)," ")</f>
        <v xml:space="preserve"> </v>
      </c>
      <c r="I2500" s="245"/>
      <c r="J2500" s="246" t="s">
        <v>50</v>
      </c>
      <c r="K2500" s="247"/>
      <c r="L2500" s="247">
        <v>0</v>
      </c>
    </row>
    <row r="2501" spans="1:13" ht="11.25" customHeight="1" x14ac:dyDescent="0.2">
      <c r="A2501" s="236">
        <v>2023</v>
      </c>
      <c r="B2501" s="236">
        <v>2</v>
      </c>
      <c r="C2501" s="236">
        <v>23</v>
      </c>
      <c r="D2501" s="237">
        <f t="shared" si="281"/>
        <v>44980</v>
      </c>
      <c r="E2501" s="238">
        <f t="shared" si="287"/>
        <v>44980</v>
      </c>
      <c r="F2501" s="476" t="s">
        <v>1122</v>
      </c>
      <c r="G2501" s="239" t="s">
        <v>86</v>
      </c>
      <c r="H2501" s="239" t="str" cm="1">
        <f t="array" ref="H2501">IFERROR(INDEX(INVESTOR_LIST[INVESTOR NAME],MATCH(I2501,INVESTOR_LIST[INVESTOR CODE],0),)," ")</f>
        <v xml:space="preserve"> </v>
      </c>
      <c r="I2501" s="240"/>
      <c r="J2501" s="241" t="s">
        <v>91</v>
      </c>
      <c r="K2501" s="242">
        <v>3842.7874255684796</v>
      </c>
      <c r="L2501" s="242"/>
    </row>
    <row r="2502" spans="1:13" ht="11.25" customHeight="1" x14ac:dyDescent="0.2">
      <c r="A2502" s="243">
        <v>2023</v>
      </c>
      <c r="B2502" s="243">
        <v>2</v>
      </c>
      <c r="C2502" s="243">
        <v>23</v>
      </c>
      <c r="D2502" s="248">
        <f t="shared" si="281"/>
        <v>44980</v>
      </c>
      <c r="E2502" s="249">
        <f t="shared" si="287"/>
        <v>44980</v>
      </c>
      <c r="F2502" s="477"/>
      <c r="G2502" s="244" t="s">
        <v>86</v>
      </c>
      <c r="H2502" s="244" t="str" cm="1">
        <f t="array" ref="H2502">IFERROR(INDEX(INVESTOR_LIST[INVESTOR NAME],MATCH(I2502,INVESTOR_LIST[INVESTOR CODE],0),)," ")</f>
        <v xml:space="preserve"> </v>
      </c>
      <c r="I2502" s="245"/>
      <c r="J2502" s="246" t="s">
        <v>51</v>
      </c>
      <c r="K2502" s="247"/>
      <c r="L2502" s="247">
        <v>3842.7874255684796</v>
      </c>
      <c r="M2502" s="166"/>
    </row>
    <row r="2503" spans="1:13" ht="11.25" customHeight="1" x14ac:dyDescent="0.2">
      <c r="A2503" s="221">
        <v>2023</v>
      </c>
      <c r="B2503" s="221">
        <v>2</v>
      </c>
      <c r="C2503" s="221">
        <v>26</v>
      </c>
      <c r="D2503" s="231">
        <f t="shared" si="281"/>
        <v>44983</v>
      </c>
      <c r="E2503" s="233">
        <f t="shared" si="287"/>
        <v>44983</v>
      </c>
      <c r="F2503" s="478" t="s">
        <v>1438</v>
      </c>
      <c r="G2503" s="222" t="s">
        <v>1111</v>
      </c>
      <c r="H2503" s="223" t="str" cm="1">
        <f t="array" ref="H2503">IFERROR(INDEX(INVESTOR_LIST[INVESTOR NAME],MATCH(I2503,INVESTOR_LIST[INVESTOR CODE],0),)," ")</f>
        <v xml:space="preserve"> </v>
      </c>
      <c r="I2503" s="223"/>
      <c r="J2503" s="224" t="s">
        <v>192</v>
      </c>
      <c r="K2503" s="225">
        <v>161500</v>
      </c>
      <c r="L2503" s="225"/>
    </row>
    <row r="2504" spans="1:13" ht="11.25" customHeight="1" x14ac:dyDescent="0.2">
      <c r="A2504" s="226">
        <v>2023</v>
      </c>
      <c r="B2504" s="226">
        <v>2</v>
      </c>
      <c r="C2504" s="226">
        <v>26</v>
      </c>
      <c r="D2504" s="232">
        <f t="shared" si="281"/>
        <v>44983</v>
      </c>
      <c r="E2504" s="234">
        <f t="shared" si="287"/>
        <v>44983</v>
      </c>
      <c r="F2504" s="479"/>
      <c r="G2504" s="227" t="s">
        <v>1111</v>
      </c>
      <c r="H2504" s="228" t="str" cm="1">
        <f t="array" ref="H2504">IFERROR(INDEX(INVESTOR_LIST[INVESTOR NAME],MATCH(I2504,INVESTOR_LIST[INVESTOR CODE],0),)," ")</f>
        <v xml:space="preserve"> </v>
      </c>
      <c r="I2504" s="228"/>
      <c r="J2504" s="229" t="s">
        <v>191</v>
      </c>
      <c r="K2504" s="230"/>
      <c r="L2504" s="230">
        <v>161500</v>
      </c>
    </row>
    <row r="2505" spans="1:13" ht="11.25" customHeight="1" x14ac:dyDescent="0.2">
      <c r="A2505" s="221">
        <v>2023</v>
      </c>
      <c r="B2505" s="221">
        <v>2</v>
      </c>
      <c r="C2505" s="221">
        <v>26</v>
      </c>
      <c r="D2505" s="231">
        <f t="shared" ref="D2505:D2568" si="288">DATE(A2505,B2505,C2505)</f>
        <v>44983</v>
      </c>
      <c r="E2505" s="233">
        <f t="shared" ref="E2505:E2507" si="289">DATE(A2505,B2505,C2505)</f>
        <v>44983</v>
      </c>
      <c r="F2505" s="478" t="s">
        <v>1115</v>
      </c>
      <c r="G2505" s="222" t="s">
        <v>1111</v>
      </c>
      <c r="H2505" s="223" t="str" cm="1">
        <f t="array" ref="H2505">IFERROR(INDEX(INVESTOR_LIST[INVESTOR NAME],MATCH(I2505,INVESTOR_LIST[INVESTOR CODE],0),)," ")</f>
        <v>COMMUNITY BANK BANGLADESH LIMITED</v>
      </c>
      <c r="I2505" s="223" t="s">
        <v>398</v>
      </c>
      <c r="J2505" s="224" t="s">
        <v>14</v>
      </c>
      <c r="K2505" s="225">
        <v>5000000</v>
      </c>
      <c r="L2505" s="225"/>
    </row>
    <row r="2506" spans="1:13" ht="11.25" customHeight="1" x14ac:dyDescent="0.2">
      <c r="A2506" s="164">
        <v>2023</v>
      </c>
      <c r="B2506" s="164">
        <v>2</v>
      </c>
      <c r="C2506" s="164">
        <v>26</v>
      </c>
      <c r="D2506" s="156">
        <f t="shared" si="288"/>
        <v>44983</v>
      </c>
      <c r="E2506" s="235">
        <f t="shared" si="289"/>
        <v>44983</v>
      </c>
      <c r="F2506" s="480"/>
      <c r="G2506" s="208" t="s">
        <v>1111</v>
      </c>
      <c r="H2506" s="206" t="str" cm="1">
        <f t="array" ref="H2506">IFERROR(INDEX(INVESTOR_LIST[INVESTOR NAME],MATCH(I2506,INVESTOR_LIST[INVESTOR CODE],0),)," ")</f>
        <v>COMMUNITY BANK BANGLADESH LIMITED</v>
      </c>
      <c r="I2506" s="206" t="s">
        <v>398</v>
      </c>
      <c r="J2506" s="165" t="s">
        <v>1112</v>
      </c>
      <c r="K2506" s="205">
        <v>25000</v>
      </c>
    </row>
    <row r="2507" spans="1:13" ht="11.25" customHeight="1" x14ac:dyDescent="0.2">
      <c r="A2507" s="226">
        <v>2023</v>
      </c>
      <c r="B2507" s="226">
        <v>2</v>
      </c>
      <c r="C2507" s="226">
        <v>26</v>
      </c>
      <c r="D2507" s="232">
        <f t="shared" si="288"/>
        <v>44983</v>
      </c>
      <c r="E2507" s="234">
        <f t="shared" si="289"/>
        <v>44983</v>
      </c>
      <c r="F2507" s="479"/>
      <c r="G2507" s="227" t="s">
        <v>1111</v>
      </c>
      <c r="H2507" s="228" t="str" cm="1">
        <f t="array" ref="H2507">IFERROR(INDEX(INVESTOR_LIST[INVESTOR NAME],MATCH(I2507,INVESTOR_LIST[INVESTOR CODE],0),)," ")</f>
        <v>COMMUNITY BANK BANGLADESH LIMITED</v>
      </c>
      <c r="I2507" s="228" t="s">
        <v>398</v>
      </c>
      <c r="J2507" s="229" t="s">
        <v>55</v>
      </c>
      <c r="K2507" s="230"/>
      <c r="L2507" s="230">
        <v>5025000</v>
      </c>
    </row>
    <row r="2508" spans="1:13" ht="11.25" customHeight="1" x14ac:dyDescent="0.2">
      <c r="A2508" s="221">
        <v>2023</v>
      </c>
      <c r="B2508" s="221">
        <v>2</v>
      </c>
      <c r="C2508" s="221">
        <v>26</v>
      </c>
      <c r="D2508" s="231">
        <f t="shared" si="288"/>
        <v>44983</v>
      </c>
      <c r="E2508" s="233">
        <f t="shared" ref="E2508:E2513" si="290">DATE(A2508,B2508,C2508)</f>
        <v>44983</v>
      </c>
      <c r="F2508" s="478" t="s">
        <v>1115</v>
      </c>
      <c r="G2508" s="222" t="s">
        <v>1111</v>
      </c>
      <c r="H2508" s="223" t="str" cm="1">
        <f t="array" ref="H2508">IFERROR(INDEX(INVESTOR_LIST[INVESTOR NAME],MATCH(I2508,INVESTOR_LIST[INVESTOR CODE],0),)," ")</f>
        <v>MD. MUKIT MURSHED</v>
      </c>
      <c r="I2508" s="223" t="s">
        <v>1106</v>
      </c>
      <c r="J2508" s="224" t="s">
        <v>14</v>
      </c>
      <c r="K2508" s="225">
        <v>100000</v>
      </c>
      <c r="L2508" s="225"/>
    </row>
    <row r="2509" spans="1:13" ht="11.25" customHeight="1" x14ac:dyDescent="0.2">
      <c r="A2509" s="164">
        <v>2023</v>
      </c>
      <c r="B2509" s="164">
        <v>2</v>
      </c>
      <c r="C2509" s="164">
        <v>26</v>
      </c>
      <c r="D2509" s="156">
        <f t="shared" si="288"/>
        <v>44983</v>
      </c>
      <c r="E2509" s="235">
        <f t="shared" si="290"/>
        <v>44983</v>
      </c>
      <c r="F2509" s="480"/>
      <c r="G2509" s="208" t="s">
        <v>1111</v>
      </c>
      <c r="H2509" s="206" t="str" cm="1">
        <f t="array" ref="H2509">IFERROR(INDEX(INVESTOR_LIST[INVESTOR NAME],MATCH(I2509,INVESTOR_LIST[INVESTOR CODE],0),)," ")</f>
        <v>MD. MUKIT MURSHED</v>
      </c>
      <c r="I2509" s="206" t="s">
        <v>1106</v>
      </c>
      <c r="J2509" s="165" t="s">
        <v>1112</v>
      </c>
      <c r="K2509" s="205">
        <v>500</v>
      </c>
    </row>
    <row r="2510" spans="1:13" ht="11.25" customHeight="1" x14ac:dyDescent="0.2">
      <c r="A2510" s="226">
        <v>2023</v>
      </c>
      <c r="B2510" s="226">
        <v>2</v>
      </c>
      <c r="C2510" s="226">
        <v>26</v>
      </c>
      <c r="D2510" s="232">
        <f t="shared" si="288"/>
        <v>44983</v>
      </c>
      <c r="E2510" s="234">
        <f t="shared" si="290"/>
        <v>44983</v>
      </c>
      <c r="F2510" s="479"/>
      <c r="G2510" s="227" t="s">
        <v>1111</v>
      </c>
      <c r="H2510" s="228" t="str" cm="1">
        <f t="array" ref="H2510">IFERROR(INDEX(INVESTOR_LIST[INVESTOR NAME],MATCH(I2510,INVESTOR_LIST[INVESTOR CODE],0),)," ")</f>
        <v>MD. MUKIT MURSHED</v>
      </c>
      <c r="I2510" s="228" t="s">
        <v>1106</v>
      </c>
      <c r="J2510" s="229" t="s">
        <v>55</v>
      </c>
      <c r="K2510" s="230"/>
      <c r="L2510" s="230">
        <v>100500</v>
      </c>
      <c r="M2510" s="166"/>
    </row>
    <row r="2511" spans="1:13" ht="11.25" customHeight="1" x14ac:dyDescent="0.2">
      <c r="A2511" s="221">
        <v>2023</v>
      </c>
      <c r="B2511" s="221">
        <v>2</v>
      </c>
      <c r="C2511" s="221">
        <v>27</v>
      </c>
      <c r="D2511" s="231">
        <f t="shared" si="288"/>
        <v>44984</v>
      </c>
      <c r="E2511" s="233">
        <f t="shared" si="290"/>
        <v>44984</v>
      </c>
      <c r="F2511" s="478" t="s">
        <v>1132</v>
      </c>
      <c r="G2511" s="222" t="s">
        <v>1111</v>
      </c>
      <c r="H2511" s="223" t="str" cm="1">
        <f t="array" ref="H2511">IFERROR(INDEX(INVESTOR_LIST[INVESTOR NAME],MATCH(I2511,INVESTOR_LIST[INVESTOR CODE],0),)," ")</f>
        <v xml:space="preserve"> </v>
      </c>
      <c r="I2511" s="223"/>
      <c r="J2511" s="224" t="s">
        <v>55</v>
      </c>
      <c r="K2511" s="225">
        <v>5000</v>
      </c>
      <c r="L2511" s="225"/>
    </row>
    <row r="2512" spans="1:13" ht="11.25" customHeight="1" x14ac:dyDescent="0.2">
      <c r="A2512" s="164">
        <v>2023</v>
      </c>
      <c r="B2512" s="164">
        <v>2</v>
      </c>
      <c r="C2512" s="164">
        <v>27</v>
      </c>
      <c r="D2512" s="156">
        <f t="shared" si="288"/>
        <v>44984</v>
      </c>
      <c r="E2512" s="235">
        <f t="shared" si="290"/>
        <v>44984</v>
      </c>
      <c r="F2512" s="480"/>
      <c r="G2512" s="208" t="s">
        <v>1111</v>
      </c>
      <c r="H2512" s="206" t="str" cm="1">
        <f t="array" ref="H2512">IFERROR(INDEX(INVESTOR_LIST[INVESTOR NAME],MATCH(I2512,INVESTOR_LIST[INVESTOR CODE],0),)," ")</f>
        <v xml:space="preserve"> </v>
      </c>
      <c r="J2512" s="165" t="s">
        <v>1112</v>
      </c>
      <c r="K2512" s="205"/>
      <c r="L2512" s="205">
        <v>30</v>
      </c>
    </row>
    <row r="2513" spans="1:13" ht="11.25" customHeight="1" x14ac:dyDescent="0.2">
      <c r="A2513" s="226">
        <v>2023</v>
      </c>
      <c r="B2513" s="226">
        <v>2</v>
      </c>
      <c r="C2513" s="226">
        <v>27</v>
      </c>
      <c r="D2513" s="232">
        <f t="shared" si="288"/>
        <v>44984</v>
      </c>
      <c r="E2513" s="234">
        <f t="shared" si="290"/>
        <v>44984</v>
      </c>
      <c r="F2513" s="479"/>
      <c r="G2513" s="227" t="s">
        <v>1111</v>
      </c>
      <c r="H2513" s="228" t="str" cm="1">
        <f t="array" ref="H2513">IFERROR(INDEX(INVESTOR_LIST[INVESTOR NAME],MATCH(I2513,INVESTOR_LIST[INVESTOR CODE],0),)," ")</f>
        <v xml:space="preserve"> </v>
      </c>
      <c r="I2513" s="228"/>
      <c r="J2513" s="229" t="s">
        <v>14</v>
      </c>
      <c r="K2513" s="230"/>
      <c r="L2513" s="230">
        <v>4970</v>
      </c>
      <c r="M2513" s="166"/>
    </row>
    <row r="2514" spans="1:13" ht="11.25" customHeight="1" x14ac:dyDescent="0.2">
      <c r="A2514" s="221">
        <v>2023</v>
      </c>
      <c r="B2514" s="221">
        <v>3</v>
      </c>
      <c r="C2514" s="221">
        <v>2</v>
      </c>
      <c r="D2514" s="231">
        <f t="shared" si="288"/>
        <v>44987</v>
      </c>
      <c r="E2514" s="233">
        <f t="shared" ref="E2514:E2569" si="291">DATE(A2514,B2514,C2514)</f>
        <v>44987</v>
      </c>
      <c r="F2514" s="478" t="s">
        <v>1132</v>
      </c>
      <c r="G2514" s="222" t="s">
        <v>1111</v>
      </c>
      <c r="H2514" s="223" t="str" cm="1">
        <f t="array" ref="H2514">IFERROR(INDEX(INVESTOR_LIST[INVESTOR NAME],MATCH(I2514,INVESTOR_LIST[INVESTOR CODE],0),)," ")</f>
        <v xml:space="preserve"> </v>
      </c>
      <c r="I2514" s="223"/>
      <c r="J2514" s="224" t="s">
        <v>55</v>
      </c>
      <c r="K2514" s="225">
        <v>10000</v>
      </c>
      <c r="L2514" s="225"/>
    </row>
    <row r="2515" spans="1:13" ht="11.25" customHeight="1" x14ac:dyDescent="0.2">
      <c r="A2515" s="164">
        <v>2023</v>
      </c>
      <c r="B2515" s="164">
        <v>3</v>
      </c>
      <c r="C2515" s="164">
        <v>2</v>
      </c>
      <c r="D2515" s="156">
        <f t="shared" si="288"/>
        <v>44987</v>
      </c>
      <c r="E2515" s="235">
        <f t="shared" si="291"/>
        <v>44987</v>
      </c>
      <c r="F2515" s="480"/>
      <c r="G2515" s="208" t="s">
        <v>1111</v>
      </c>
      <c r="H2515" s="206" t="str" cm="1">
        <f t="array" ref="H2515">IFERROR(INDEX(INVESTOR_LIST[INVESTOR NAME],MATCH(I2515,INVESTOR_LIST[INVESTOR CODE],0),)," ")</f>
        <v xml:space="preserve"> </v>
      </c>
      <c r="J2515" s="165" t="s">
        <v>1112</v>
      </c>
      <c r="K2515" s="205"/>
      <c r="L2515" s="205">
        <v>60</v>
      </c>
    </row>
    <row r="2516" spans="1:13" ht="11.25" customHeight="1" x14ac:dyDescent="0.2">
      <c r="A2516" s="226">
        <v>2023</v>
      </c>
      <c r="B2516" s="226">
        <v>3</v>
      </c>
      <c r="C2516" s="226">
        <v>2</v>
      </c>
      <c r="D2516" s="232">
        <f t="shared" si="288"/>
        <v>44987</v>
      </c>
      <c r="E2516" s="234">
        <f t="shared" si="291"/>
        <v>44987</v>
      </c>
      <c r="F2516" s="479"/>
      <c r="G2516" s="227" t="s">
        <v>1111</v>
      </c>
      <c r="H2516" s="228" t="str" cm="1">
        <f t="array" ref="H2516">IFERROR(INDEX(INVESTOR_LIST[INVESTOR NAME],MATCH(I2516,INVESTOR_LIST[INVESTOR CODE],0),)," ")</f>
        <v xml:space="preserve"> </v>
      </c>
      <c r="I2516" s="228"/>
      <c r="J2516" s="229" t="s">
        <v>14</v>
      </c>
      <c r="K2516" s="230"/>
      <c r="L2516" s="230">
        <v>9940</v>
      </c>
    </row>
    <row r="2517" spans="1:13" ht="11.25" customHeight="1" x14ac:dyDescent="0.2">
      <c r="A2517" s="221">
        <v>2023</v>
      </c>
      <c r="B2517" s="221">
        <v>3</v>
      </c>
      <c r="C2517" s="221">
        <v>2</v>
      </c>
      <c r="D2517" s="231">
        <f t="shared" si="288"/>
        <v>44987</v>
      </c>
      <c r="E2517" s="233">
        <f t="shared" ref="E2517:E2544" si="292">DATE(A2517,B2517,C2517)</f>
        <v>44987</v>
      </c>
      <c r="F2517" s="478" t="s">
        <v>1356</v>
      </c>
      <c r="G2517" s="222" t="s">
        <v>1111</v>
      </c>
      <c r="H2517" s="223" t="str" cm="1">
        <f t="array" ref="H2517">IFERROR(INDEX(INVESTOR_LIST[INVESTOR NAME],MATCH(I2517,INVESTOR_LIST[INVESTOR CODE],0),)," ")</f>
        <v xml:space="preserve"> </v>
      </c>
      <c r="I2517" s="223"/>
      <c r="J2517" s="224" t="s">
        <v>88</v>
      </c>
      <c r="K2517" s="225">
        <v>8561845.9000000004</v>
      </c>
      <c r="L2517" s="225"/>
    </row>
    <row r="2518" spans="1:13" ht="11.25" customHeight="1" x14ac:dyDescent="0.2">
      <c r="A2518" s="164">
        <v>2023</v>
      </c>
      <c r="B2518" s="164">
        <v>3</v>
      </c>
      <c r="C2518" s="164">
        <v>2</v>
      </c>
      <c r="D2518" s="156">
        <f t="shared" si="288"/>
        <v>44987</v>
      </c>
      <c r="E2518" s="235">
        <f t="shared" si="292"/>
        <v>44987</v>
      </c>
      <c r="F2518" s="480"/>
      <c r="G2518" s="208" t="s">
        <v>86</v>
      </c>
      <c r="J2518" s="165" t="s">
        <v>63</v>
      </c>
      <c r="K2518" s="205">
        <v>3000</v>
      </c>
      <c r="L2518" s="205"/>
    </row>
    <row r="2519" spans="1:13" ht="11.25" customHeight="1" x14ac:dyDescent="0.2">
      <c r="A2519" s="164">
        <v>2023</v>
      </c>
      <c r="B2519" s="164">
        <v>3</v>
      </c>
      <c r="C2519" s="164">
        <v>2</v>
      </c>
      <c r="D2519" s="156">
        <f t="shared" si="288"/>
        <v>44987</v>
      </c>
      <c r="E2519" s="235">
        <f t="shared" si="292"/>
        <v>44987</v>
      </c>
      <c r="F2519" s="480"/>
      <c r="G2519" s="208" t="s">
        <v>86</v>
      </c>
      <c r="J2519" s="165" t="s">
        <v>131</v>
      </c>
      <c r="K2519" s="205"/>
      <c r="L2519" s="205">
        <v>157635.20000000001</v>
      </c>
    </row>
    <row r="2520" spans="1:13" ht="11.25" customHeight="1" x14ac:dyDescent="0.2">
      <c r="A2520" s="226">
        <v>2023</v>
      </c>
      <c r="B2520" s="226">
        <v>3</v>
      </c>
      <c r="C2520" s="226">
        <v>2</v>
      </c>
      <c r="D2520" s="232">
        <f t="shared" si="288"/>
        <v>44987</v>
      </c>
      <c r="E2520" s="234">
        <f t="shared" si="292"/>
        <v>44987</v>
      </c>
      <c r="F2520" s="479"/>
      <c r="G2520" s="227" t="s">
        <v>1111</v>
      </c>
      <c r="H2520" s="228" t="str" cm="1">
        <f t="array" ref="H2520">IFERROR(INDEX(INVESTOR_LIST[INVESTOR NAME],MATCH(I2520,INVESTOR_LIST[INVESTOR CODE],0),)," ")</f>
        <v xml:space="preserve"> </v>
      </c>
      <c r="I2520" s="228"/>
      <c r="J2520" s="229" t="s">
        <v>88</v>
      </c>
      <c r="K2520" s="230"/>
      <c r="L2520" s="230">
        <v>8407210.6999999993</v>
      </c>
    </row>
    <row r="2521" spans="1:13" ht="11.25" customHeight="1" x14ac:dyDescent="0.2">
      <c r="A2521" s="221">
        <v>2023</v>
      </c>
      <c r="B2521" s="221">
        <v>3</v>
      </c>
      <c r="C2521" s="221">
        <v>2</v>
      </c>
      <c r="D2521" s="231">
        <f t="shared" si="288"/>
        <v>44987</v>
      </c>
      <c r="E2521" s="233">
        <f t="shared" si="292"/>
        <v>44987</v>
      </c>
      <c r="F2521" s="478" t="s">
        <v>1357</v>
      </c>
      <c r="G2521" s="222" t="s">
        <v>1111</v>
      </c>
      <c r="H2521" s="223" t="str" cm="1">
        <f t="array" ref="H2521">IFERROR(INDEX(INVESTOR_LIST[INVESTOR NAME],MATCH(I2521,INVESTOR_LIST[INVESTOR CODE],0),)," ")</f>
        <v xml:space="preserve"> </v>
      </c>
      <c r="I2521" s="223"/>
      <c r="J2521" s="224" t="s">
        <v>88</v>
      </c>
      <c r="K2521" s="225">
        <v>8561845.9000000004</v>
      </c>
      <c r="L2521" s="225"/>
    </row>
    <row r="2522" spans="1:13" ht="11.25" customHeight="1" x14ac:dyDescent="0.2">
      <c r="A2522" s="164">
        <v>2023</v>
      </c>
      <c r="B2522" s="164">
        <v>3</v>
      </c>
      <c r="C2522" s="164">
        <v>2</v>
      </c>
      <c r="D2522" s="156">
        <f t="shared" si="288"/>
        <v>44987</v>
      </c>
      <c r="E2522" s="235">
        <f t="shared" si="292"/>
        <v>44987</v>
      </c>
      <c r="F2522" s="480"/>
      <c r="G2522" s="208" t="s">
        <v>86</v>
      </c>
      <c r="J2522" s="165" t="s">
        <v>63</v>
      </c>
      <c r="K2522" s="205">
        <v>3000</v>
      </c>
      <c r="L2522" s="205"/>
    </row>
    <row r="2523" spans="1:13" ht="11.25" customHeight="1" x14ac:dyDescent="0.2">
      <c r="A2523" s="164">
        <v>2023</v>
      </c>
      <c r="B2523" s="164">
        <v>3</v>
      </c>
      <c r="C2523" s="164">
        <v>2</v>
      </c>
      <c r="D2523" s="156">
        <f t="shared" si="288"/>
        <v>44987</v>
      </c>
      <c r="E2523" s="235">
        <f t="shared" si="292"/>
        <v>44987</v>
      </c>
      <c r="F2523" s="480"/>
      <c r="G2523" s="208" t="s">
        <v>86</v>
      </c>
      <c r="J2523" s="165" t="s">
        <v>131</v>
      </c>
      <c r="K2523" s="205"/>
      <c r="L2523" s="205">
        <v>157635.20000000001</v>
      </c>
    </row>
    <row r="2524" spans="1:13" ht="11.25" customHeight="1" x14ac:dyDescent="0.2">
      <c r="A2524" s="226">
        <v>2023</v>
      </c>
      <c r="B2524" s="226">
        <v>3</v>
      </c>
      <c r="C2524" s="226">
        <v>2</v>
      </c>
      <c r="D2524" s="232">
        <f t="shared" si="288"/>
        <v>44987</v>
      </c>
      <c r="E2524" s="234">
        <f t="shared" si="292"/>
        <v>44987</v>
      </c>
      <c r="F2524" s="479"/>
      <c r="G2524" s="227" t="s">
        <v>1111</v>
      </c>
      <c r="H2524" s="228" t="str" cm="1">
        <f t="array" ref="H2524">IFERROR(INDEX(INVESTOR_LIST[INVESTOR NAME],MATCH(I2524,INVESTOR_LIST[INVESTOR CODE],0),)," ")</f>
        <v xml:space="preserve"> </v>
      </c>
      <c r="I2524" s="228"/>
      <c r="J2524" s="229" t="s">
        <v>88</v>
      </c>
      <c r="K2524" s="230"/>
      <c r="L2524" s="230">
        <v>8407210.6999999993</v>
      </c>
    </row>
    <row r="2525" spans="1:13" ht="11.25" customHeight="1" x14ac:dyDescent="0.2">
      <c r="A2525" s="221">
        <v>2023</v>
      </c>
      <c r="B2525" s="221">
        <v>3</v>
      </c>
      <c r="C2525" s="221">
        <v>2</v>
      </c>
      <c r="D2525" s="231">
        <f t="shared" si="288"/>
        <v>44987</v>
      </c>
      <c r="E2525" s="233">
        <f t="shared" si="292"/>
        <v>44987</v>
      </c>
      <c r="F2525" s="478" t="s">
        <v>1358</v>
      </c>
      <c r="G2525" s="222" t="s">
        <v>1111</v>
      </c>
      <c r="H2525" s="223" t="str" cm="1">
        <f t="array" ref="H2525">IFERROR(INDEX(INVESTOR_LIST[INVESTOR NAME],MATCH(I2525,INVESTOR_LIST[INVESTOR CODE],0),)," ")</f>
        <v xml:space="preserve"> </v>
      </c>
      <c r="I2525" s="223"/>
      <c r="J2525" s="224" t="s">
        <v>88</v>
      </c>
      <c r="K2525" s="225">
        <v>8561845.9000000004</v>
      </c>
      <c r="L2525" s="225"/>
    </row>
    <row r="2526" spans="1:13" ht="11.25" customHeight="1" x14ac:dyDescent="0.2">
      <c r="A2526" s="164">
        <v>2023</v>
      </c>
      <c r="B2526" s="164">
        <v>3</v>
      </c>
      <c r="C2526" s="164">
        <v>2</v>
      </c>
      <c r="D2526" s="156">
        <f t="shared" si="288"/>
        <v>44987</v>
      </c>
      <c r="E2526" s="235">
        <f t="shared" si="292"/>
        <v>44987</v>
      </c>
      <c r="F2526" s="480"/>
      <c r="G2526" s="208" t="s">
        <v>86</v>
      </c>
      <c r="J2526" s="165" t="s">
        <v>63</v>
      </c>
      <c r="K2526" s="205">
        <v>3000</v>
      </c>
      <c r="L2526" s="205"/>
    </row>
    <row r="2527" spans="1:13" ht="11.25" customHeight="1" x14ac:dyDescent="0.2">
      <c r="A2527" s="164">
        <v>2023</v>
      </c>
      <c r="B2527" s="164">
        <v>3</v>
      </c>
      <c r="C2527" s="164">
        <v>2</v>
      </c>
      <c r="D2527" s="156">
        <f t="shared" si="288"/>
        <v>44987</v>
      </c>
      <c r="E2527" s="235">
        <f t="shared" si="292"/>
        <v>44987</v>
      </c>
      <c r="F2527" s="480"/>
      <c r="G2527" s="208" t="s">
        <v>86</v>
      </c>
      <c r="J2527" s="165" t="s">
        <v>131</v>
      </c>
      <c r="K2527" s="205"/>
      <c r="L2527" s="205">
        <v>157635.20000000001</v>
      </c>
    </row>
    <row r="2528" spans="1:13" ht="11.25" customHeight="1" x14ac:dyDescent="0.2">
      <c r="A2528" s="226">
        <v>2023</v>
      </c>
      <c r="B2528" s="226">
        <v>3</v>
      </c>
      <c r="C2528" s="226">
        <v>2</v>
      </c>
      <c r="D2528" s="232">
        <f t="shared" si="288"/>
        <v>44987</v>
      </c>
      <c r="E2528" s="234">
        <f t="shared" si="292"/>
        <v>44987</v>
      </c>
      <c r="F2528" s="479"/>
      <c r="G2528" s="227" t="s">
        <v>1111</v>
      </c>
      <c r="H2528" s="228" t="str" cm="1">
        <f t="array" ref="H2528">IFERROR(INDEX(INVESTOR_LIST[INVESTOR NAME],MATCH(I2528,INVESTOR_LIST[INVESTOR CODE],0),)," ")</f>
        <v xml:space="preserve"> </v>
      </c>
      <c r="I2528" s="228"/>
      <c r="J2528" s="229" t="s">
        <v>88</v>
      </c>
      <c r="K2528" s="230"/>
      <c r="L2528" s="230">
        <v>8407210.6999999993</v>
      </c>
    </row>
    <row r="2529" spans="1:13" ht="11.25" customHeight="1" x14ac:dyDescent="0.2">
      <c r="A2529" s="221">
        <v>2023</v>
      </c>
      <c r="B2529" s="221">
        <v>3</v>
      </c>
      <c r="C2529" s="221">
        <v>2</v>
      </c>
      <c r="D2529" s="231">
        <f t="shared" si="288"/>
        <v>44987</v>
      </c>
      <c r="E2529" s="233">
        <f t="shared" si="292"/>
        <v>44987</v>
      </c>
      <c r="F2529" s="478" t="s">
        <v>1359</v>
      </c>
      <c r="G2529" s="222" t="s">
        <v>1111</v>
      </c>
      <c r="H2529" s="223" t="str" cm="1">
        <f t="array" ref="H2529">IFERROR(INDEX(INVESTOR_LIST[INVESTOR NAME],MATCH(I2529,INVESTOR_LIST[INVESTOR CODE],0),)," ")</f>
        <v xml:space="preserve"> </v>
      </c>
      <c r="I2529" s="223"/>
      <c r="J2529" s="224" t="s">
        <v>88</v>
      </c>
      <c r="K2529" s="225">
        <v>8561845.9000000004</v>
      </c>
      <c r="L2529" s="225"/>
    </row>
    <row r="2530" spans="1:13" ht="11.25" customHeight="1" x14ac:dyDescent="0.2">
      <c r="A2530" s="164">
        <v>2023</v>
      </c>
      <c r="B2530" s="164">
        <v>3</v>
      </c>
      <c r="C2530" s="164">
        <v>2</v>
      </c>
      <c r="D2530" s="156">
        <f t="shared" si="288"/>
        <v>44987</v>
      </c>
      <c r="E2530" s="235">
        <f t="shared" si="292"/>
        <v>44987</v>
      </c>
      <c r="F2530" s="480"/>
      <c r="G2530" s="208" t="s">
        <v>86</v>
      </c>
      <c r="J2530" s="165" t="s">
        <v>63</v>
      </c>
      <c r="K2530" s="205">
        <v>3000</v>
      </c>
      <c r="L2530" s="205"/>
    </row>
    <row r="2531" spans="1:13" ht="11.25" customHeight="1" x14ac:dyDescent="0.2">
      <c r="A2531" s="164">
        <v>2023</v>
      </c>
      <c r="B2531" s="164">
        <v>3</v>
      </c>
      <c r="C2531" s="164">
        <v>2</v>
      </c>
      <c r="D2531" s="156">
        <f t="shared" si="288"/>
        <v>44987</v>
      </c>
      <c r="E2531" s="235">
        <f t="shared" si="292"/>
        <v>44987</v>
      </c>
      <c r="F2531" s="480"/>
      <c r="G2531" s="208" t="s">
        <v>86</v>
      </c>
      <c r="J2531" s="165" t="s">
        <v>131</v>
      </c>
      <c r="K2531" s="205"/>
      <c r="L2531" s="205">
        <v>157635.20000000001</v>
      </c>
    </row>
    <row r="2532" spans="1:13" ht="11.25" customHeight="1" x14ac:dyDescent="0.2">
      <c r="A2532" s="226">
        <v>2023</v>
      </c>
      <c r="B2532" s="226">
        <v>3</v>
      </c>
      <c r="C2532" s="226">
        <v>2</v>
      </c>
      <c r="D2532" s="232">
        <f t="shared" si="288"/>
        <v>44987</v>
      </c>
      <c r="E2532" s="234">
        <f t="shared" si="292"/>
        <v>44987</v>
      </c>
      <c r="F2532" s="479"/>
      <c r="G2532" s="227" t="s">
        <v>1111</v>
      </c>
      <c r="H2532" s="228" t="str" cm="1">
        <f t="array" ref="H2532">IFERROR(INDEX(INVESTOR_LIST[INVESTOR NAME],MATCH(I2532,INVESTOR_LIST[INVESTOR CODE],0),)," ")</f>
        <v xml:space="preserve"> </v>
      </c>
      <c r="I2532" s="228"/>
      <c r="J2532" s="229" t="s">
        <v>88</v>
      </c>
      <c r="K2532" s="230"/>
      <c r="L2532" s="230">
        <v>8407210.6999999993</v>
      </c>
    </row>
    <row r="2533" spans="1:13" ht="11.25" customHeight="1" x14ac:dyDescent="0.2">
      <c r="A2533" s="221">
        <v>2023</v>
      </c>
      <c r="B2533" s="221">
        <v>3</v>
      </c>
      <c r="C2533" s="221">
        <v>2</v>
      </c>
      <c r="D2533" s="231">
        <f t="shared" si="288"/>
        <v>44987</v>
      </c>
      <c r="E2533" s="233">
        <f t="shared" si="292"/>
        <v>44987</v>
      </c>
      <c r="F2533" s="478" t="s">
        <v>1360</v>
      </c>
      <c r="G2533" s="222" t="s">
        <v>1111</v>
      </c>
      <c r="H2533" s="223" t="str" cm="1">
        <f t="array" ref="H2533">IFERROR(INDEX(INVESTOR_LIST[INVESTOR NAME],MATCH(I2533,INVESTOR_LIST[INVESTOR CODE],0),)," ")</f>
        <v xml:space="preserve"> </v>
      </c>
      <c r="I2533" s="223"/>
      <c r="J2533" s="224" t="s">
        <v>88</v>
      </c>
      <c r="K2533" s="225">
        <v>6420634.4199999999</v>
      </c>
      <c r="L2533" s="225"/>
    </row>
    <row r="2534" spans="1:13" ht="11.25" customHeight="1" x14ac:dyDescent="0.2">
      <c r="A2534" s="164">
        <v>2023</v>
      </c>
      <c r="B2534" s="164">
        <v>3</v>
      </c>
      <c r="C2534" s="164">
        <v>2</v>
      </c>
      <c r="D2534" s="156">
        <f t="shared" si="288"/>
        <v>44987</v>
      </c>
      <c r="E2534" s="235">
        <f t="shared" si="292"/>
        <v>44987</v>
      </c>
      <c r="F2534" s="480"/>
      <c r="G2534" s="208" t="s">
        <v>86</v>
      </c>
      <c r="J2534" s="165" t="s">
        <v>63</v>
      </c>
      <c r="K2534" s="205">
        <v>3000</v>
      </c>
      <c r="L2534" s="205"/>
    </row>
    <row r="2535" spans="1:13" ht="11.25" customHeight="1" x14ac:dyDescent="0.2">
      <c r="A2535" s="164">
        <v>2023</v>
      </c>
      <c r="B2535" s="164">
        <v>3</v>
      </c>
      <c r="C2535" s="164">
        <v>2</v>
      </c>
      <c r="D2535" s="156">
        <f t="shared" si="288"/>
        <v>44987</v>
      </c>
      <c r="E2535" s="235">
        <f t="shared" si="292"/>
        <v>44987</v>
      </c>
      <c r="F2535" s="480"/>
      <c r="G2535" s="208" t="s">
        <v>86</v>
      </c>
      <c r="J2535" s="165" t="s">
        <v>131</v>
      </c>
      <c r="K2535" s="205"/>
      <c r="L2535" s="205">
        <v>118226.4</v>
      </c>
    </row>
    <row r="2536" spans="1:13" ht="11.25" customHeight="1" x14ac:dyDescent="0.2">
      <c r="A2536" s="226">
        <v>2023</v>
      </c>
      <c r="B2536" s="226">
        <v>3</v>
      </c>
      <c r="C2536" s="226">
        <v>2</v>
      </c>
      <c r="D2536" s="232">
        <f t="shared" si="288"/>
        <v>44987</v>
      </c>
      <c r="E2536" s="234">
        <f t="shared" si="292"/>
        <v>44987</v>
      </c>
      <c r="F2536" s="479"/>
      <c r="G2536" s="227" t="s">
        <v>1111</v>
      </c>
      <c r="H2536" s="228" t="str" cm="1">
        <f t="array" ref="H2536">IFERROR(INDEX(INVESTOR_LIST[INVESTOR NAME],MATCH(I2536,INVESTOR_LIST[INVESTOR CODE],0),)," ")</f>
        <v xml:space="preserve"> </v>
      </c>
      <c r="I2536" s="228"/>
      <c r="J2536" s="229" t="s">
        <v>88</v>
      </c>
      <c r="K2536" s="230"/>
      <c r="L2536" s="230">
        <v>6305408.0199999996</v>
      </c>
    </row>
    <row r="2537" spans="1:13" ht="11.25" customHeight="1" x14ac:dyDescent="0.2">
      <c r="A2537" s="221">
        <v>2023</v>
      </c>
      <c r="B2537" s="221">
        <v>3</v>
      </c>
      <c r="C2537" s="221">
        <v>2</v>
      </c>
      <c r="D2537" s="231">
        <f t="shared" si="288"/>
        <v>44987</v>
      </c>
      <c r="E2537" s="233">
        <f t="shared" si="292"/>
        <v>44987</v>
      </c>
      <c r="F2537" s="478" t="s">
        <v>1361</v>
      </c>
      <c r="G2537" s="222" t="s">
        <v>1111</v>
      </c>
      <c r="H2537" s="223" t="str" cm="1">
        <f t="array" ref="H2537">IFERROR(INDEX(INVESTOR_LIST[INVESTOR NAME],MATCH(I2537,INVESTOR_LIST[INVESTOR CODE],0),)," ")</f>
        <v xml:space="preserve"> </v>
      </c>
      <c r="I2537" s="223"/>
      <c r="J2537" s="224" t="s">
        <v>88</v>
      </c>
      <c r="K2537" s="225">
        <v>6420634.4199999999</v>
      </c>
      <c r="L2537" s="225"/>
    </row>
    <row r="2538" spans="1:13" ht="11.25" customHeight="1" x14ac:dyDescent="0.2">
      <c r="A2538" s="164">
        <v>2023</v>
      </c>
      <c r="B2538" s="164">
        <v>3</v>
      </c>
      <c r="C2538" s="164">
        <v>2</v>
      </c>
      <c r="D2538" s="156">
        <f t="shared" si="288"/>
        <v>44987</v>
      </c>
      <c r="E2538" s="235">
        <f t="shared" si="292"/>
        <v>44987</v>
      </c>
      <c r="F2538" s="480"/>
      <c r="G2538" s="208" t="s">
        <v>86</v>
      </c>
      <c r="J2538" s="165" t="s">
        <v>63</v>
      </c>
      <c r="K2538" s="205">
        <v>3000</v>
      </c>
      <c r="L2538" s="205"/>
    </row>
    <row r="2539" spans="1:13" ht="11.25" customHeight="1" x14ac:dyDescent="0.2">
      <c r="A2539" s="164">
        <v>2023</v>
      </c>
      <c r="B2539" s="164">
        <v>3</v>
      </c>
      <c r="C2539" s="164">
        <v>2</v>
      </c>
      <c r="D2539" s="156">
        <f t="shared" si="288"/>
        <v>44987</v>
      </c>
      <c r="E2539" s="235">
        <f t="shared" si="292"/>
        <v>44987</v>
      </c>
      <c r="F2539" s="480"/>
      <c r="G2539" s="208" t="s">
        <v>86</v>
      </c>
      <c r="J2539" s="165" t="s">
        <v>131</v>
      </c>
      <c r="K2539" s="205"/>
      <c r="L2539" s="205">
        <v>118226.4</v>
      </c>
    </row>
    <row r="2540" spans="1:13" ht="11.25" customHeight="1" x14ac:dyDescent="0.2">
      <c r="A2540" s="226">
        <v>2023</v>
      </c>
      <c r="B2540" s="226">
        <v>3</v>
      </c>
      <c r="C2540" s="226">
        <v>2</v>
      </c>
      <c r="D2540" s="232">
        <f t="shared" si="288"/>
        <v>44987</v>
      </c>
      <c r="E2540" s="234">
        <f t="shared" si="292"/>
        <v>44987</v>
      </c>
      <c r="F2540" s="479"/>
      <c r="G2540" s="227" t="s">
        <v>1111</v>
      </c>
      <c r="H2540" s="228" t="str" cm="1">
        <f t="array" ref="H2540">IFERROR(INDEX(INVESTOR_LIST[INVESTOR NAME],MATCH(I2540,INVESTOR_LIST[INVESTOR CODE],0),)," ")</f>
        <v xml:space="preserve"> </v>
      </c>
      <c r="I2540" s="228"/>
      <c r="J2540" s="229" t="s">
        <v>88</v>
      </c>
      <c r="K2540" s="230"/>
      <c r="L2540" s="230">
        <v>6305408.0199999996</v>
      </c>
    </row>
    <row r="2541" spans="1:13" ht="11.25" customHeight="1" x14ac:dyDescent="0.2">
      <c r="A2541" s="221">
        <v>2023</v>
      </c>
      <c r="B2541" s="221">
        <v>3</v>
      </c>
      <c r="C2541" s="221">
        <v>2</v>
      </c>
      <c r="D2541" s="231">
        <f t="shared" si="288"/>
        <v>44987</v>
      </c>
      <c r="E2541" s="233">
        <f t="shared" si="292"/>
        <v>44987</v>
      </c>
      <c r="F2541" s="478" t="s">
        <v>1362</v>
      </c>
      <c r="G2541" s="222" t="s">
        <v>1111</v>
      </c>
      <c r="H2541" s="223" t="str" cm="1">
        <f t="array" ref="H2541">IFERROR(INDEX(INVESTOR_LIST[INVESTOR NAME],MATCH(I2541,INVESTOR_LIST[INVESTOR CODE],0),)," ")</f>
        <v xml:space="preserve"> </v>
      </c>
      <c r="I2541" s="223"/>
      <c r="J2541" s="224" t="s">
        <v>88</v>
      </c>
      <c r="K2541" s="225">
        <v>5350028.6900000004</v>
      </c>
      <c r="L2541" s="225"/>
    </row>
    <row r="2542" spans="1:13" ht="11.25" customHeight="1" x14ac:dyDescent="0.2">
      <c r="A2542" s="164">
        <v>2023</v>
      </c>
      <c r="B2542" s="164">
        <v>3</v>
      </c>
      <c r="C2542" s="164">
        <v>2</v>
      </c>
      <c r="D2542" s="156">
        <f t="shared" si="288"/>
        <v>44987</v>
      </c>
      <c r="E2542" s="235">
        <f t="shared" si="292"/>
        <v>44987</v>
      </c>
      <c r="F2542" s="480"/>
      <c r="G2542" s="208" t="s">
        <v>86</v>
      </c>
      <c r="J2542" s="165" t="s">
        <v>63</v>
      </c>
      <c r="K2542" s="205">
        <v>3000</v>
      </c>
      <c r="L2542" s="205"/>
    </row>
    <row r="2543" spans="1:13" ht="11.25" customHeight="1" x14ac:dyDescent="0.2">
      <c r="A2543" s="164">
        <v>2023</v>
      </c>
      <c r="B2543" s="164">
        <v>3</v>
      </c>
      <c r="C2543" s="164">
        <v>2</v>
      </c>
      <c r="D2543" s="156">
        <f t="shared" si="288"/>
        <v>44987</v>
      </c>
      <c r="E2543" s="235">
        <f t="shared" si="292"/>
        <v>44987</v>
      </c>
      <c r="F2543" s="480"/>
      <c r="G2543" s="208" t="s">
        <v>86</v>
      </c>
      <c r="J2543" s="165" t="s">
        <v>131</v>
      </c>
      <c r="K2543" s="205"/>
      <c r="L2543" s="205">
        <v>98522</v>
      </c>
    </row>
    <row r="2544" spans="1:13" ht="11.25" customHeight="1" x14ac:dyDescent="0.2">
      <c r="A2544" s="226">
        <v>2023</v>
      </c>
      <c r="B2544" s="226">
        <v>3</v>
      </c>
      <c r="C2544" s="226">
        <v>2</v>
      </c>
      <c r="D2544" s="232">
        <f t="shared" si="288"/>
        <v>44987</v>
      </c>
      <c r="E2544" s="234">
        <f t="shared" si="292"/>
        <v>44987</v>
      </c>
      <c r="F2544" s="479"/>
      <c r="G2544" s="227" t="s">
        <v>1111</v>
      </c>
      <c r="H2544" s="228" t="str" cm="1">
        <f t="array" ref="H2544">IFERROR(INDEX(INVESTOR_LIST[INVESTOR NAME],MATCH(I2544,INVESTOR_LIST[INVESTOR CODE],0),)," ")</f>
        <v xml:space="preserve"> </v>
      </c>
      <c r="I2544" s="228"/>
      <c r="J2544" s="229" t="s">
        <v>88</v>
      </c>
      <c r="K2544" s="230"/>
      <c r="L2544" s="230">
        <v>5254506.6900000004</v>
      </c>
      <c r="M2544" s="166"/>
    </row>
    <row r="2545" spans="1:12" ht="11.25" customHeight="1" x14ac:dyDescent="0.2">
      <c r="A2545" s="221">
        <v>2023</v>
      </c>
      <c r="B2545" s="221">
        <v>3</v>
      </c>
      <c r="C2545" s="221">
        <v>2</v>
      </c>
      <c r="D2545" s="231">
        <f t="shared" si="288"/>
        <v>44987</v>
      </c>
      <c r="E2545" s="233">
        <f t="shared" si="291"/>
        <v>44987</v>
      </c>
      <c r="F2545" s="478" t="s">
        <v>1439</v>
      </c>
      <c r="G2545" s="222" t="s">
        <v>1111</v>
      </c>
      <c r="H2545" s="223" t="str" cm="1">
        <f t="array" ref="H2545">IFERROR(INDEX(INVESTOR_LIST[INVESTOR NAME],MATCH(I2545,INVESTOR_LIST[INVESTOR CODE],0),)," ")</f>
        <v xml:space="preserve"> </v>
      </c>
      <c r="I2545" s="223"/>
      <c r="J2545" s="224" t="s">
        <v>192</v>
      </c>
      <c r="K2545" s="225">
        <v>369367.5</v>
      </c>
      <c r="L2545" s="225"/>
    </row>
    <row r="2546" spans="1:12" ht="11.25" customHeight="1" x14ac:dyDescent="0.2">
      <c r="A2546" s="226">
        <v>2023</v>
      </c>
      <c r="B2546" s="226">
        <v>3</v>
      </c>
      <c r="C2546" s="226">
        <v>2</v>
      </c>
      <c r="D2546" s="232">
        <f t="shared" si="288"/>
        <v>44987</v>
      </c>
      <c r="E2546" s="234">
        <f t="shared" si="291"/>
        <v>44987</v>
      </c>
      <c r="F2546" s="479"/>
      <c r="G2546" s="227" t="s">
        <v>1111</v>
      </c>
      <c r="H2546" s="228" t="str" cm="1">
        <f t="array" ref="H2546">IFERROR(INDEX(INVESTOR_LIST[INVESTOR NAME],MATCH(I2546,INVESTOR_LIST[INVESTOR CODE],0),)," ")</f>
        <v xml:space="preserve"> </v>
      </c>
      <c r="I2546" s="228"/>
      <c r="J2546" s="229" t="s">
        <v>191</v>
      </c>
      <c r="K2546" s="230"/>
      <c r="L2546" s="230">
        <v>369367.5</v>
      </c>
    </row>
    <row r="2547" spans="1:12" ht="11.25" customHeight="1" x14ac:dyDescent="0.2">
      <c r="A2547" s="327">
        <v>2023</v>
      </c>
      <c r="B2547" s="327">
        <v>3</v>
      </c>
      <c r="C2547" s="327">
        <v>2</v>
      </c>
      <c r="D2547" s="328">
        <f t="shared" si="288"/>
        <v>44987</v>
      </c>
      <c r="E2547" s="329">
        <f t="shared" si="291"/>
        <v>44987</v>
      </c>
      <c r="F2547" s="474" t="s">
        <v>1459</v>
      </c>
      <c r="G2547" s="331" t="s">
        <v>86</v>
      </c>
      <c r="H2547" s="332" t="str" cm="1">
        <f t="array" ref="H2547">IFERROR(INDEX(INVESTOR_LIST[INVESTOR NAME],MATCH(I2547,INVESTOR_LIST[INVESTOR CODE],0),)," ")</f>
        <v xml:space="preserve"> </v>
      </c>
      <c r="I2547" s="333"/>
      <c r="J2547" s="334" t="s">
        <v>1621</v>
      </c>
      <c r="K2547" s="335">
        <v>2012.08</v>
      </c>
      <c r="L2547" s="336"/>
    </row>
    <row r="2548" spans="1:12" ht="11.25" customHeight="1" x14ac:dyDescent="0.2">
      <c r="A2548" s="327">
        <v>2023</v>
      </c>
      <c r="B2548" s="327">
        <v>3</v>
      </c>
      <c r="C2548" s="327">
        <v>2</v>
      </c>
      <c r="D2548" s="337">
        <f t="shared" si="288"/>
        <v>44987</v>
      </c>
      <c r="E2548" s="338">
        <f t="shared" si="291"/>
        <v>44987</v>
      </c>
      <c r="F2548" s="475"/>
      <c r="G2548" s="331" t="s">
        <v>86</v>
      </c>
      <c r="H2548" s="340" t="str" cm="1">
        <f t="array" ref="H2548">IFERROR(INDEX(INVESTOR_LIST[INVESTOR NAME],MATCH(I2548,INVESTOR_LIST[INVESTOR CODE],0),)," ")</f>
        <v xml:space="preserve"> </v>
      </c>
      <c r="I2548" s="333"/>
      <c r="J2548" s="334" t="s">
        <v>1613</v>
      </c>
      <c r="K2548" s="335"/>
      <c r="L2548" s="336">
        <v>2012.08</v>
      </c>
    </row>
    <row r="2549" spans="1:12" ht="11.25" customHeight="1" x14ac:dyDescent="0.2">
      <c r="A2549" s="280">
        <v>2023</v>
      </c>
      <c r="B2549" s="280">
        <v>3</v>
      </c>
      <c r="C2549" s="280">
        <v>2</v>
      </c>
      <c r="D2549" s="281">
        <f t="shared" si="288"/>
        <v>44987</v>
      </c>
      <c r="E2549" s="282">
        <f t="shared" si="291"/>
        <v>44987</v>
      </c>
      <c r="F2549" s="472" t="s">
        <v>1369</v>
      </c>
      <c r="G2549" s="283" t="s">
        <v>86</v>
      </c>
      <c r="H2549" s="284" t="str" cm="1">
        <f t="array" ref="H2549">IFERROR(INDEX(INVESTOR_LIST[INVESTOR NAME],MATCH(I2549,INVESTOR_LIST[INVESTOR CODE],0),)," ")</f>
        <v xml:space="preserve"> </v>
      </c>
      <c r="I2549" s="284"/>
      <c r="J2549" s="285" t="s">
        <v>131</v>
      </c>
      <c r="K2549" s="286">
        <v>82924.28</v>
      </c>
      <c r="L2549" s="286"/>
    </row>
    <row r="2550" spans="1:12" ht="11.25" customHeight="1" x14ac:dyDescent="0.2">
      <c r="A2550" s="287">
        <v>2023</v>
      </c>
      <c r="B2550" s="287">
        <v>3</v>
      </c>
      <c r="C2550" s="287">
        <v>2</v>
      </c>
      <c r="D2550" s="288">
        <f t="shared" si="288"/>
        <v>44987</v>
      </c>
      <c r="E2550" s="289">
        <f t="shared" si="291"/>
        <v>44987</v>
      </c>
      <c r="F2550" s="473"/>
      <c r="G2550" s="290" t="s">
        <v>86</v>
      </c>
      <c r="H2550" s="291" t="str" cm="1">
        <f t="array" ref="H2550">IFERROR(INDEX(INVESTOR_LIST[INVESTOR NAME],MATCH(I2550,INVESTOR_LIST[INVESTOR CODE],0),)," ")</f>
        <v xml:space="preserve"> </v>
      </c>
      <c r="I2550" s="291"/>
      <c r="J2550" s="292" t="s">
        <v>174</v>
      </c>
      <c r="K2550" s="293"/>
      <c r="L2550" s="293">
        <v>82924.28</v>
      </c>
    </row>
    <row r="2551" spans="1:12" ht="11.25" customHeight="1" x14ac:dyDescent="0.2">
      <c r="A2551" s="280">
        <v>2023</v>
      </c>
      <c r="B2551" s="280">
        <v>3</v>
      </c>
      <c r="C2551" s="280">
        <v>2</v>
      </c>
      <c r="D2551" s="281">
        <f t="shared" si="288"/>
        <v>44987</v>
      </c>
      <c r="E2551" s="282">
        <f t="shared" si="291"/>
        <v>44987</v>
      </c>
      <c r="F2551" s="472" t="s">
        <v>1295</v>
      </c>
      <c r="G2551" s="283" t="s">
        <v>86</v>
      </c>
      <c r="H2551" s="284" t="str" cm="1">
        <f t="array" ref="H2551">IFERROR(INDEX(INVESTOR_LIST[INVESTOR NAME],MATCH(I2551,INVESTOR_LIST[INVESTOR CODE],0),)," ")</f>
        <v xml:space="preserve"> </v>
      </c>
      <c r="I2551" s="284"/>
      <c r="J2551" s="285" t="s">
        <v>131</v>
      </c>
      <c r="K2551" s="286">
        <v>15865.38</v>
      </c>
      <c r="L2551" s="286"/>
    </row>
    <row r="2552" spans="1:12" ht="11.25" customHeight="1" x14ac:dyDescent="0.2">
      <c r="A2552" s="287">
        <v>2023</v>
      </c>
      <c r="B2552" s="287">
        <v>3</v>
      </c>
      <c r="C2552" s="287">
        <v>2</v>
      </c>
      <c r="D2552" s="288">
        <f t="shared" si="288"/>
        <v>44987</v>
      </c>
      <c r="E2552" s="289">
        <f t="shared" si="291"/>
        <v>44987</v>
      </c>
      <c r="F2552" s="473"/>
      <c r="G2552" s="290" t="s">
        <v>86</v>
      </c>
      <c r="H2552" s="291" t="str" cm="1">
        <f t="array" ref="H2552">IFERROR(INDEX(INVESTOR_LIST[INVESTOR NAME],MATCH(I2552,INVESTOR_LIST[INVESTOR CODE],0),)," ")</f>
        <v xml:space="preserve"> </v>
      </c>
      <c r="I2552" s="291"/>
      <c r="J2552" s="292" t="s">
        <v>174</v>
      </c>
      <c r="K2552" s="293"/>
      <c r="L2552" s="293">
        <v>15865.38</v>
      </c>
    </row>
    <row r="2553" spans="1:12" ht="11.25" customHeight="1" x14ac:dyDescent="0.2">
      <c r="A2553" s="280">
        <v>2023</v>
      </c>
      <c r="B2553" s="280">
        <v>3</v>
      </c>
      <c r="C2553" s="280">
        <v>2</v>
      </c>
      <c r="D2553" s="281">
        <f t="shared" si="288"/>
        <v>44987</v>
      </c>
      <c r="E2553" s="282">
        <f t="shared" si="291"/>
        <v>44987</v>
      </c>
      <c r="F2553" s="472" t="s">
        <v>1294</v>
      </c>
      <c r="G2553" s="283" t="s">
        <v>86</v>
      </c>
      <c r="H2553" s="284" t="str" cm="1">
        <f t="array" ref="H2553">IFERROR(INDEX(INVESTOR_LIST[INVESTOR NAME],MATCH(I2553,INVESTOR_LIST[INVESTOR CODE],0),)," ")</f>
        <v xml:space="preserve"> </v>
      </c>
      <c r="I2553" s="284"/>
      <c r="J2553" s="285" t="s">
        <v>131</v>
      </c>
      <c r="K2553" s="286">
        <v>9423.08</v>
      </c>
      <c r="L2553" s="286"/>
    </row>
    <row r="2554" spans="1:12" ht="11.25" customHeight="1" x14ac:dyDescent="0.2">
      <c r="A2554" s="287">
        <v>2023</v>
      </c>
      <c r="B2554" s="287">
        <v>3</v>
      </c>
      <c r="C2554" s="287">
        <v>2</v>
      </c>
      <c r="D2554" s="288">
        <f t="shared" si="288"/>
        <v>44987</v>
      </c>
      <c r="E2554" s="289">
        <f t="shared" si="291"/>
        <v>44987</v>
      </c>
      <c r="F2554" s="473"/>
      <c r="G2554" s="290" t="s">
        <v>86</v>
      </c>
      <c r="H2554" s="291" t="str" cm="1">
        <f t="array" ref="H2554">IFERROR(INDEX(INVESTOR_LIST[INVESTOR NAME],MATCH(I2554,INVESTOR_LIST[INVESTOR CODE],0),)," ")</f>
        <v xml:space="preserve"> </v>
      </c>
      <c r="I2554" s="291"/>
      <c r="J2554" s="292" t="s">
        <v>174</v>
      </c>
      <c r="K2554" s="293"/>
      <c r="L2554" s="293">
        <v>9423.08</v>
      </c>
    </row>
    <row r="2555" spans="1:12" ht="11.25" customHeight="1" x14ac:dyDescent="0.2">
      <c r="A2555" s="280">
        <v>2023</v>
      </c>
      <c r="B2555" s="280">
        <v>3</v>
      </c>
      <c r="C2555" s="280">
        <v>2</v>
      </c>
      <c r="D2555" s="281">
        <f t="shared" si="288"/>
        <v>44987</v>
      </c>
      <c r="E2555" s="282">
        <f t="shared" si="291"/>
        <v>44987</v>
      </c>
      <c r="F2555" s="472" t="s">
        <v>1376</v>
      </c>
      <c r="G2555" s="283" t="s">
        <v>86</v>
      </c>
      <c r="H2555" s="284" t="str" cm="1">
        <f t="array" ref="H2555">IFERROR(INDEX(INVESTOR_LIST[INVESTOR NAME],MATCH(I2555,INVESTOR_LIST[INVESTOR CODE],0),)," ")</f>
        <v xml:space="preserve"> </v>
      </c>
      <c r="I2555" s="284"/>
      <c r="J2555" s="285" t="s">
        <v>131</v>
      </c>
      <c r="K2555" s="286">
        <v>4673.08</v>
      </c>
      <c r="L2555" s="286"/>
    </row>
    <row r="2556" spans="1:12" ht="11.25" customHeight="1" x14ac:dyDescent="0.2">
      <c r="A2556" s="287">
        <v>2023</v>
      </c>
      <c r="B2556" s="287">
        <v>3</v>
      </c>
      <c r="C2556" s="287">
        <v>2</v>
      </c>
      <c r="D2556" s="288">
        <f t="shared" si="288"/>
        <v>44987</v>
      </c>
      <c r="E2556" s="289">
        <f t="shared" si="291"/>
        <v>44987</v>
      </c>
      <c r="F2556" s="473"/>
      <c r="G2556" s="290" t="s">
        <v>86</v>
      </c>
      <c r="H2556" s="291" t="str" cm="1">
        <f t="array" ref="H2556">IFERROR(INDEX(INVESTOR_LIST[INVESTOR NAME],MATCH(I2556,INVESTOR_LIST[INVESTOR CODE],0),)," ")</f>
        <v xml:space="preserve"> </v>
      </c>
      <c r="I2556" s="291"/>
      <c r="J2556" s="292" t="s">
        <v>174</v>
      </c>
      <c r="K2556" s="293"/>
      <c r="L2556" s="293">
        <v>4673.08</v>
      </c>
    </row>
    <row r="2557" spans="1:12" ht="11.25" customHeight="1" x14ac:dyDescent="0.2">
      <c r="A2557" s="236">
        <v>2023</v>
      </c>
      <c r="B2557" s="236">
        <v>3</v>
      </c>
      <c r="C2557" s="236">
        <v>2</v>
      </c>
      <c r="D2557" s="237">
        <f t="shared" si="288"/>
        <v>44987</v>
      </c>
      <c r="E2557" s="238">
        <f t="shared" si="291"/>
        <v>44987</v>
      </c>
      <c r="F2557" s="476" t="s">
        <v>1118</v>
      </c>
      <c r="G2557" s="239" t="s">
        <v>86</v>
      </c>
      <c r="H2557" s="239" t="str" cm="1">
        <f t="array" ref="H2557">IFERROR(INDEX(INVESTOR_LIST[INVESTOR NAME],MATCH(I2557,INVESTOR_LIST[INVESTOR CODE],0),)," ")</f>
        <v xml:space="preserve"> </v>
      </c>
      <c r="I2557" s="240"/>
      <c r="J2557" s="241" t="s">
        <v>98</v>
      </c>
      <c r="K2557" s="242">
        <v>4512.0769230872393</v>
      </c>
      <c r="L2557" s="242"/>
    </row>
    <row r="2558" spans="1:12" ht="11.25" customHeight="1" x14ac:dyDescent="0.2">
      <c r="A2558" s="243">
        <v>2023</v>
      </c>
      <c r="B2558" s="243">
        <v>3</v>
      </c>
      <c r="C2558" s="243">
        <v>2</v>
      </c>
      <c r="D2558" s="248">
        <f t="shared" si="288"/>
        <v>44987</v>
      </c>
      <c r="E2558" s="249">
        <f t="shared" si="291"/>
        <v>44987</v>
      </c>
      <c r="F2558" s="477"/>
      <c r="G2558" s="244" t="s">
        <v>86</v>
      </c>
      <c r="H2558" s="244" t="str" cm="1">
        <f t="array" ref="H2558">IFERROR(INDEX(INVESTOR_LIST[INVESTOR NAME],MATCH(I2558,INVESTOR_LIST[INVESTOR CODE],0),)," ")</f>
        <v xml:space="preserve"> </v>
      </c>
      <c r="I2558" s="245"/>
      <c r="J2558" s="246" t="s">
        <v>82</v>
      </c>
      <c r="K2558" s="247"/>
      <c r="L2558" s="247">
        <v>4512.0769230872393</v>
      </c>
    </row>
    <row r="2559" spans="1:12" ht="11.25" customHeight="1" x14ac:dyDescent="0.2">
      <c r="A2559" s="236">
        <v>2023</v>
      </c>
      <c r="B2559" s="236">
        <v>3</v>
      </c>
      <c r="C2559" s="236">
        <v>2</v>
      </c>
      <c r="D2559" s="237">
        <f t="shared" si="288"/>
        <v>44987</v>
      </c>
      <c r="E2559" s="238">
        <f t="shared" si="291"/>
        <v>44987</v>
      </c>
      <c r="F2559" s="476" t="s">
        <v>1120</v>
      </c>
      <c r="G2559" s="239" t="s">
        <v>86</v>
      </c>
      <c r="H2559" s="239" t="str" cm="1">
        <f t="array" ref="H2559">IFERROR(INDEX(INVESTOR_LIST[INVESTOR NAME],MATCH(I2559,INVESTOR_LIST[INVESTOR CODE],0),)," ")</f>
        <v xml:space="preserve"> </v>
      </c>
      <c r="I2559" s="240"/>
      <c r="J2559" s="241" t="s">
        <v>87</v>
      </c>
      <c r="K2559" s="242">
        <v>2747.2527472527472</v>
      </c>
      <c r="L2559" s="242"/>
    </row>
    <row r="2560" spans="1:12" ht="11.25" customHeight="1" x14ac:dyDescent="0.2">
      <c r="A2560" s="243">
        <v>2023</v>
      </c>
      <c r="B2560" s="243">
        <v>3</v>
      </c>
      <c r="C2560" s="243">
        <v>2</v>
      </c>
      <c r="D2560" s="248">
        <f t="shared" si="288"/>
        <v>44987</v>
      </c>
      <c r="E2560" s="249">
        <f t="shared" si="291"/>
        <v>44987</v>
      </c>
      <c r="F2560" s="477"/>
      <c r="G2560" s="244" t="s">
        <v>86</v>
      </c>
      <c r="H2560" s="244" t="str" cm="1">
        <f t="array" ref="H2560">IFERROR(INDEX(INVESTOR_LIST[INVESTOR NAME],MATCH(I2560,INVESTOR_LIST[INVESTOR CODE],0),)," ")</f>
        <v xml:space="preserve"> </v>
      </c>
      <c r="I2560" s="245"/>
      <c r="J2560" s="246" t="s">
        <v>64</v>
      </c>
      <c r="K2560" s="247"/>
      <c r="L2560" s="247">
        <v>2747.2527472527472</v>
      </c>
    </row>
    <row r="2561" spans="1:13" ht="11.25" customHeight="1" x14ac:dyDescent="0.2">
      <c r="A2561" s="236">
        <v>2023</v>
      </c>
      <c r="B2561" s="236">
        <v>3</v>
      </c>
      <c r="C2561" s="236">
        <v>2</v>
      </c>
      <c r="D2561" s="237">
        <f t="shared" si="288"/>
        <v>44987</v>
      </c>
      <c r="E2561" s="238">
        <f t="shared" si="291"/>
        <v>44987</v>
      </c>
      <c r="F2561" s="476" t="s">
        <v>1121</v>
      </c>
      <c r="G2561" s="239" t="s">
        <v>86</v>
      </c>
      <c r="H2561" s="239" t="str" cm="1">
        <f t="array" ref="H2561">IFERROR(INDEX(INVESTOR_LIST[INVESTOR NAME],MATCH(I2561,INVESTOR_LIST[INVESTOR CODE],0),)," ")</f>
        <v xml:space="preserve"> </v>
      </c>
      <c r="I2561" s="240"/>
      <c r="J2561" s="241" t="s">
        <v>89</v>
      </c>
      <c r="K2561" s="242">
        <v>37497.452689675229</v>
      </c>
      <c r="L2561" s="242"/>
    </row>
    <row r="2562" spans="1:13" ht="11.25" customHeight="1" x14ac:dyDescent="0.2">
      <c r="A2562" s="243">
        <v>2023</v>
      </c>
      <c r="B2562" s="243">
        <v>3</v>
      </c>
      <c r="C2562" s="243">
        <v>2</v>
      </c>
      <c r="D2562" s="248">
        <f t="shared" si="288"/>
        <v>44987</v>
      </c>
      <c r="E2562" s="249">
        <f t="shared" si="291"/>
        <v>44987</v>
      </c>
      <c r="F2562" s="477"/>
      <c r="G2562" s="244" t="s">
        <v>86</v>
      </c>
      <c r="H2562" s="244" t="str" cm="1">
        <f t="array" ref="H2562">IFERROR(INDEX(INVESTOR_LIST[INVESTOR NAME],MATCH(I2562,INVESTOR_LIST[INVESTOR CODE],0),)," ")</f>
        <v xml:space="preserve"> </v>
      </c>
      <c r="I2562" s="245"/>
      <c r="J2562" s="246" t="s">
        <v>50</v>
      </c>
      <c r="K2562" s="247"/>
      <c r="L2562" s="247">
        <v>37497.452689675229</v>
      </c>
    </row>
    <row r="2563" spans="1:13" ht="11.25" customHeight="1" x14ac:dyDescent="0.2">
      <c r="A2563" s="236">
        <v>2023</v>
      </c>
      <c r="B2563" s="236">
        <v>3</v>
      </c>
      <c r="C2563" s="236">
        <v>2</v>
      </c>
      <c r="D2563" s="237">
        <f t="shared" si="288"/>
        <v>44987</v>
      </c>
      <c r="E2563" s="238">
        <f t="shared" si="291"/>
        <v>44987</v>
      </c>
      <c r="F2563" s="476" t="s">
        <v>1122</v>
      </c>
      <c r="G2563" s="239" t="s">
        <v>86</v>
      </c>
      <c r="H2563" s="239" t="str" cm="1">
        <f t="array" ref="H2563">IFERROR(INDEX(INVESTOR_LIST[INVESTOR NAME],MATCH(I2563,INVESTOR_LIST[INVESTOR CODE],0),)," ")</f>
        <v xml:space="preserve"> </v>
      </c>
      <c r="I2563" s="240"/>
      <c r="J2563" s="241" t="s">
        <v>91</v>
      </c>
      <c r="K2563" s="242">
        <v>3749.7452689675233</v>
      </c>
      <c r="L2563" s="242"/>
    </row>
    <row r="2564" spans="1:13" ht="11.25" customHeight="1" x14ac:dyDescent="0.2">
      <c r="A2564" s="243">
        <v>2023</v>
      </c>
      <c r="B2564" s="243">
        <v>3</v>
      </c>
      <c r="C2564" s="243">
        <v>2</v>
      </c>
      <c r="D2564" s="248">
        <f t="shared" si="288"/>
        <v>44987</v>
      </c>
      <c r="E2564" s="249">
        <f t="shared" si="291"/>
        <v>44987</v>
      </c>
      <c r="F2564" s="477"/>
      <c r="G2564" s="244" t="s">
        <v>86</v>
      </c>
      <c r="H2564" s="244" t="str" cm="1">
        <f t="array" ref="H2564">IFERROR(INDEX(INVESTOR_LIST[INVESTOR NAME],MATCH(I2564,INVESTOR_LIST[INVESTOR CODE],0),)," ")</f>
        <v xml:space="preserve"> </v>
      </c>
      <c r="I2564" s="245"/>
      <c r="J2564" s="246" t="s">
        <v>51</v>
      </c>
      <c r="K2564" s="247"/>
      <c r="L2564" s="247">
        <v>3749.7452689675233</v>
      </c>
    </row>
    <row r="2565" spans="1:13" ht="11.25" customHeight="1" x14ac:dyDescent="0.2">
      <c r="A2565" s="221">
        <v>2023</v>
      </c>
      <c r="B2565" s="221">
        <v>3</v>
      </c>
      <c r="C2565" s="221">
        <v>6</v>
      </c>
      <c r="D2565" s="231">
        <f t="shared" si="288"/>
        <v>44991</v>
      </c>
      <c r="E2565" s="233">
        <f t="shared" si="291"/>
        <v>44991</v>
      </c>
      <c r="F2565" s="478" t="s">
        <v>1115</v>
      </c>
      <c r="G2565" s="222" t="s">
        <v>1111</v>
      </c>
      <c r="H2565" s="223" t="str" cm="1">
        <f t="array" ref="H2565">IFERROR(INDEX(INVESTOR_LIST[INVESTOR NAME],MATCH(I2565,INVESTOR_LIST[INVESTOR CODE],0),)," ")</f>
        <v>MD. MUKIT MURSHED</v>
      </c>
      <c r="I2565" s="223" t="s">
        <v>1106</v>
      </c>
      <c r="J2565" s="224" t="s">
        <v>14</v>
      </c>
      <c r="K2565" s="225">
        <v>496520</v>
      </c>
      <c r="L2565" s="225"/>
    </row>
    <row r="2566" spans="1:13" ht="11.25" customHeight="1" x14ac:dyDescent="0.2">
      <c r="A2566" s="164">
        <v>2023</v>
      </c>
      <c r="B2566" s="164">
        <v>3</v>
      </c>
      <c r="C2566" s="164">
        <v>6</v>
      </c>
      <c r="D2566" s="156">
        <f t="shared" si="288"/>
        <v>44991</v>
      </c>
      <c r="E2566" s="235">
        <f t="shared" si="291"/>
        <v>44991</v>
      </c>
      <c r="F2566" s="480"/>
      <c r="G2566" s="208" t="s">
        <v>1111</v>
      </c>
      <c r="H2566" s="206" t="str" cm="1">
        <f t="array" ref="H2566">IFERROR(INDEX(INVESTOR_LIST[INVESTOR NAME],MATCH(I2566,INVESTOR_LIST[INVESTOR CODE],0),)," ")</f>
        <v>MD. MUKIT MURSHED</v>
      </c>
      <c r="I2566" s="206" t="s">
        <v>1106</v>
      </c>
      <c r="J2566" s="165" t="s">
        <v>1112</v>
      </c>
      <c r="K2566" s="205">
        <v>3480</v>
      </c>
    </row>
    <row r="2567" spans="1:13" ht="11.25" customHeight="1" x14ac:dyDescent="0.2">
      <c r="A2567" s="226">
        <v>2023</v>
      </c>
      <c r="B2567" s="226">
        <v>3</v>
      </c>
      <c r="C2567" s="226">
        <v>6</v>
      </c>
      <c r="D2567" s="232">
        <f t="shared" si="288"/>
        <v>44991</v>
      </c>
      <c r="E2567" s="234">
        <f t="shared" si="291"/>
        <v>44991</v>
      </c>
      <c r="F2567" s="479"/>
      <c r="G2567" s="227" t="s">
        <v>1111</v>
      </c>
      <c r="H2567" s="228" t="str" cm="1">
        <f t="array" ref="H2567">IFERROR(INDEX(INVESTOR_LIST[INVESTOR NAME],MATCH(I2567,INVESTOR_LIST[INVESTOR CODE],0),)," ")</f>
        <v>MD. MUKIT MURSHED</v>
      </c>
      <c r="I2567" s="228" t="s">
        <v>1106</v>
      </c>
      <c r="J2567" s="229" t="s">
        <v>55</v>
      </c>
      <c r="K2567" s="230"/>
      <c r="L2567" s="230">
        <v>500000</v>
      </c>
    </row>
    <row r="2568" spans="1:13" ht="11.25" customHeight="1" x14ac:dyDescent="0.2">
      <c r="A2568" s="221">
        <v>2023</v>
      </c>
      <c r="B2568" s="221">
        <v>3</v>
      </c>
      <c r="C2568" s="221">
        <v>6</v>
      </c>
      <c r="D2568" s="231">
        <f t="shared" si="288"/>
        <v>44991</v>
      </c>
      <c r="E2568" s="233">
        <f t="shared" si="291"/>
        <v>44991</v>
      </c>
      <c r="F2568" s="478" t="s">
        <v>1391</v>
      </c>
      <c r="G2568" s="222" t="s">
        <v>1111</v>
      </c>
      <c r="H2568" s="223" t="str" cm="1">
        <f t="array" ref="H2568">IFERROR(INDEX(INVESTOR_LIST[INVESTOR NAME],MATCH(I2568,INVESTOR_LIST[INVESTOR CODE],0),)," ")</f>
        <v xml:space="preserve"> </v>
      </c>
      <c r="I2568" s="223"/>
      <c r="J2568" s="224" t="s">
        <v>63</v>
      </c>
      <c r="K2568" s="225">
        <v>58</v>
      </c>
      <c r="L2568" s="225"/>
    </row>
    <row r="2569" spans="1:13" ht="11.25" customHeight="1" x14ac:dyDescent="0.2">
      <c r="A2569" s="226">
        <v>2023</v>
      </c>
      <c r="B2569" s="226">
        <v>3</v>
      </c>
      <c r="C2569" s="226">
        <v>6</v>
      </c>
      <c r="D2569" s="232">
        <f t="shared" ref="D2569:D2632" si="293">DATE(A2569,B2569,C2569)</f>
        <v>44991</v>
      </c>
      <c r="E2569" s="234">
        <f t="shared" si="291"/>
        <v>44991</v>
      </c>
      <c r="F2569" s="479"/>
      <c r="G2569" s="227" t="s">
        <v>1111</v>
      </c>
      <c r="H2569" s="228" t="str" cm="1">
        <f t="array" ref="H2569">IFERROR(INDEX(INVESTOR_LIST[INVESTOR NAME],MATCH(I2569,INVESTOR_LIST[INVESTOR CODE],0),)," ")</f>
        <v xml:space="preserve"> </v>
      </c>
      <c r="I2569" s="228"/>
      <c r="J2569" s="229" t="s">
        <v>55</v>
      </c>
      <c r="K2569" s="230"/>
      <c r="L2569" s="230">
        <v>58</v>
      </c>
      <c r="M2569" s="166"/>
    </row>
    <row r="2570" spans="1:13" ht="11.25" customHeight="1" x14ac:dyDescent="0.2">
      <c r="A2570" s="221">
        <v>2023</v>
      </c>
      <c r="B2570" s="221">
        <v>3</v>
      </c>
      <c r="C2570" s="221">
        <v>6</v>
      </c>
      <c r="D2570" s="231">
        <f t="shared" si="293"/>
        <v>44991</v>
      </c>
      <c r="E2570" s="233">
        <f t="shared" ref="E2570:E2596" si="294">DATE(A2570,B2570,C2570)</f>
        <v>44991</v>
      </c>
      <c r="F2570" s="478" t="s">
        <v>1132</v>
      </c>
      <c r="G2570" s="222" t="s">
        <v>1111</v>
      </c>
      <c r="H2570" s="223" t="str" cm="1">
        <f t="array" ref="H2570">IFERROR(INDEX(INVESTOR_LIST[INVESTOR NAME],MATCH(I2570,INVESTOR_LIST[INVESTOR CODE],0),)," ")</f>
        <v xml:space="preserve"> </v>
      </c>
      <c r="I2570" s="223"/>
      <c r="J2570" s="224" t="s">
        <v>55</v>
      </c>
      <c r="K2570" s="225">
        <v>5000</v>
      </c>
      <c r="L2570" s="225"/>
    </row>
    <row r="2571" spans="1:13" ht="11.25" customHeight="1" x14ac:dyDescent="0.2">
      <c r="A2571" s="164">
        <v>2023</v>
      </c>
      <c r="B2571" s="164">
        <v>3</v>
      </c>
      <c r="C2571" s="164">
        <v>6</v>
      </c>
      <c r="D2571" s="156">
        <f t="shared" si="293"/>
        <v>44991</v>
      </c>
      <c r="E2571" s="235">
        <f t="shared" si="294"/>
        <v>44991</v>
      </c>
      <c r="F2571" s="480"/>
      <c r="G2571" s="208" t="s">
        <v>1111</v>
      </c>
      <c r="H2571" s="206" t="str" cm="1">
        <f t="array" ref="H2571">IFERROR(INDEX(INVESTOR_LIST[INVESTOR NAME],MATCH(I2571,INVESTOR_LIST[INVESTOR CODE],0),)," ")</f>
        <v xml:space="preserve"> </v>
      </c>
      <c r="J2571" s="165" t="s">
        <v>1112</v>
      </c>
      <c r="K2571" s="205"/>
      <c r="L2571" s="205">
        <v>30</v>
      </c>
    </row>
    <row r="2572" spans="1:13" ht="11.25" customHeight="1" x14ac:dyDescent="0.2">
      <c r="A2572" s="226">
        <v>2023</v>
      </c>
      <c r="B2572" s="226">
        <v>3</v>
      </c>
      <c r="C2572" s="226">
        <v>6</v>
      </c>
      <c r="D2572" s="232">
        <f t="shared" si="293"/>
        <v>44991</v>
      </c>
      <c r="E2572" s="234">
        <f t="shared" si="294"/>
        <v>44991</v>
      </c>
      <c r="F2572" s="479"/>
      <c r="G2572" s="227" t="s">
        <v>1111</v>
      </c>
      <c r="H2572" s="228" t="str" cm="1">
        <f t="array" ref="H2572">IFERROR(INDEX(INVESTOR_LIST[INVESTOR NAME],MATCH(I2572,INVESTOR_LIST[INVESTOR CODE],0),)," ")</f>
        <v xml:space="preserve"> </v>
      </c>
      <c r="I2572" s="228"/>
      <c r="J2572" s="229" t="s">
        <v>14</v>
      </c>
      <c r="K2572" s="230"/>
      <c r="L2572" s="230">
        <v>4970</v>
      </c>
    </row>
    <row r="2573" spans="1:13" ht="11.25" customHeight="1" x14ac:dyDescent="0.2">
      <c r="A2573" s="327">
        <v>2023</v>
      </c>
      <c r="B2573" s="327">
        <v>3</v>
      </c>
      <c r="C2573" s="327">
        <v>9</v>
      </c>
      <c r="D2573" s="328">
        <f t="shared" si="293"/>
        <v>44994</v>
      </c>
      <c r="E2573" s="329">
        <f t="shared" si="294"/>
        <v>44994</v>
      </c>
      <c r="F2573" s="474" t="s">
        <v>1459</v>
      </c>
      <c r="G2573" s="331" t="s">
        <v>86</v>
      </c>
      <c r="H2573" s="332" t="str" cm="1">
        <f t="array" ref="H2573">IFERROR(INDEX(INVESTOR_LIST[INVESTOR NAME],MATCH(I2573,INVESTOR_LIST[INVESTOR CODE],0),)," ")</f>
        <v xml:space="preserve"> </v>
      </c>
      <c r="I2573" s="333"/>
      <c r="J2573" s="334" t="s">
        <v>1621</v>
      </c>
      <c r="K2573" s="335">
        <v>2012.08</v>
      </c>
      <c r="L2573" s="336"/>
    </row>
    <row r="2574" spans="1:13" ht="11.25" customHeight="1" x14ac:dyDescent="0.2">
      <c r="A2574" s="327">
        <v>2023</v>
      </c>
      <c r="B2574" s="327">
        <v>3</v>
      </c>
      <c r="C2574" s="327">
        <v>9</v>
      </c>
      <c r="D2574" s="337">
        <f t="shared" si="293"/>
        <v>44994</v>
      </c>
      <c r="E2574" s="338">
        <f t="shared" si="294"/>
        <v>44994</v>
      </c>
      <c r="F2574" s="475"/>
      <c r="G2574" s="331" t="s">
        <v>86</v>
      </c>
      <c r="H2574" s="340" t="str" cm="1">
        <f t="array" ref="H2574">IFERROR(INDEX(INVESTOR_LIST[INVESTOR NAME],MATCH(I2574,INVESTOR_LIST[INVESTOR CODE],0),)," ")</f>
        <v xml:space="preserve"> </v>
      </c>
      <c r="I2574" s="333"/>
      <c r="J2574" s="334" t="s">
        <v>1613</v>
      </c>
      <c r="K2574" s="335"/>
      <c r="L2574" s="336">
        <v>2012.08</v>
      </c>
    </row>
    <row r="2575" spans="1:13" ht="11.25" customHeight="1" x14ac:dyDescent="0.2">
      <c r="A2575" s="280">
        <v>2023</v>
      </c>
      <c r="B2575" s="280">
        <v>3</v>
      </c>
      <c r="C2575" s="280">
        <v>9</v>
      </c>
      <c r="D2575" s="281">
        <f t="shared" si="293"/>
        <v>44994</v>
      </c>
      <c r="E2575" s="282">
        <f t="shared" si="294"/>
        <v>44994</v>
      </c>
      <c r="F2575" s="472" t="s">
        <v>1369</v>
      </c>
      <c r="G2575" s="283" t="s">
        <v>86</v>
      </c>
      <c r="H2575" s="284" t="str" cm="1">
        <f t="array" ref="H2575">IFERROR(INDEX(INVESTOR_LIST[INVESTOR NAME],MATCH(I2575,INVESTOR_LIST[INVESTOR CODE],0),)," ")</f>
        <v xml:space="preserve"> </v>
      </c>
      <c r="I2575" s="284"/>
      <c r="J2575" s="285" t="s">
        <v>131</v>
      </c>
      <c r="K2575" s="286">
        <v>86807.65</v>
      </c>
      <c r="L2575" s="286"/>
    </row>
    <row r="2576" spans="1:13" ht="11.25" customHeight="1" x14ac:dyDescent="0.2">
      <c r="A2576" s="287">
        <v>2023</v>
      </c>
      <c r="B2576" s="287">
        <v>3</v>
      </c>
      <c r="C2576" s="287">
        <v>9</v>
      </c>
      <c r="D2576" s="288">
        <f t="shared" si="293"/>
        <v>44994</v>
      </c>
      <c r="E2576" s="289">
        <f t="shared" si="294"/>
        <v>44994</v>
      </c>
      <c r="F2576" s="473"/>
      <c r="G2576" s="290" t="s">
        <v>86</v>
      </c>
      <c r="H2576" s="291" t="str" cm="1">
        <f t="array" ref="H2576">IFERROR(INDEX(INVESTOR_LIST[INVESTOR NAME],MATCH(I2576,INVESTOR_LIST[INVESTOR CODE],0),)," ")</f>
        <v xml:space="preserve"> </v>
      </c>
      <c r="I2576" s="291"/>
      <c r="J2576" s="292" t="s">
        <v>174</v>
      </c>
      <c r="K2576" s="293"/>
      <c r="L2576" s="293">
        <v>86807.65</v>
      </c>
    </row>
    <row r="2577" spans="1:12" ht="11.25" customHeight="1" x14ac:dyDescent="0.2">
      <c r="A2577" s="280">
        <v>2023</v>
      </c>
      <c r="B2577" s="280">
        <v>3</v>
      </c>
      <c r="C2577" s="280">
        <v>9</v>
      </c>
      <c r="D2577" s="281">
        <f t="shared" si="293"/>
        <v>44994</v>
      </c>
      <c r="E2577" s="282">
        <f t="shared" si="294"/>
        <v>44994</v>
      </c>
      <c r="F2577" s="472" t="s">
        <v>1295</v>
      </c>
      <c r="G2577" s="283" t="s">
        <v>86</v>
      </c>
      <c r="H2577" s="284" t="str" cm="1">
        <f t="array" ref="H2577">IFERROR(INDEX(INVESTOR_LIST[INVESTOR NAME],MATCH(I2577,INVESTOR_LIST[INVESTOR CODE],0),)," ")</f>
        <v xml:space="preserve"> </v>
      </c>
      <c r="I2577" s="284"/>
      <c r="J2577" s="285" t="s">
        <v>131</v>
      </c>
      <c r="K2577" s="286">
        <v>16923.080000000002</v>
      </c>
      <c r="L2577" s="286"/>
    </row>
    <row r="2578" spans="1:12" ht="11.25" customHeight="1" x14ac:dyDescent="0.2">
      <c r="A2578" s="287">
        <v>2023</v>
      </c>
      <c r="B2578" s="287">
        <v>3</v>
      </c>
      <c r="C2578" s="287">
        <v>9</v>
      </c>
      <c r="D2578" s="288">
        <f t="shared" si="293"/>
        <v>44994</v>
      </c>
      <c r="E2578" s="289">
        <f t="shared" si="294"/>
        <v>44994</v>
      </c>
      <c r="F2578" s="473"/>
      <c r="G2578" s="290" t="s">
        <v>86</v>
      </c>
      <c r="H2578" s="291" t="str" cm="1">
        <f t="array" ref="H2578">IFERROR(INDEX(INVESTOR_LIST[INVESTOR NAME],MATCH(I2578,INVESTOR_LIST[INVESTOR CODE],0),)," ")</f>
        <v xml:space="preserve"> </v>
      </c>
      <c r="I2578" s="291"/>
      <c r="J2578" s="292" t="s">
        <v>174</v>
      </c>
      <c r="K2578" s="293"/>
      <c r="L2578" s="293">
        <v>16923.080000000002</v>
      </c>
    </row>
    <row r="2579" spans="1:12" ht="11.25" customHeight="1" x14ac:dyDescent="0.2">
      <c r="A2579" s="280">
        <v>2023</v>
      </c>
      <c r="B2579" s="280">
        <v>3</v>
      </c>
      <c r="C2579" s="280">
        <v>9</v>
      </c>
      <c r="D2579" s="281">
        <f t="shared" si="293"/>
        <v>44994</v>
      </c>
      <c r="E2579" s="282">
        <f t="shared" si="294"/>
        <v>44994</v>
      </c>
      <c r="F2579" s="472" t="s">
        <v>1294</v>
      </c>
      <c r="G2579" s="283" t="s">
        <v>86</v>
      </c>
      <c r="H2579" s="284" t="str" cm="1">
        <f t="array" ref="H2579">IFERROR(INDEX(INVESTOR_LIST[INVESTOR NAME],MATCH(I2579,INVESTOR_LIST[INVESTOR CODE],0),)," ")</f>
        <v xml:space="preserve"> </v>
      </c>
      <c r="I2579" s="284"/>
      <c r="J2579" s="285" t="s">
        <v>131</v>
      </c>
      <c r="K2579" s="286">
        <v>9423.08</v>
      </c>
      <c r="L2579" s="286"/>
    </row>
    <row r="2580" spans="1:12" ht="11.25" customHeight="1" x14ac:dyDescent="0.2">
      <c r="A2580" s="287">
        <v>2023</v>
      </c>
      <c r="B2580" s="287">
        <v>3</v>
      </c>
      <c r="C2580" s="287">
        <v>9</v>
      </c>
      <c r="D2580" s="288">
        <f t="shared" si="293"/>
        <v>44994</v>
      </c>
      <c r="E2580" s="289">
        <f t="shared" si="294"/>
        <v>44994</v>
      </c>
      <c r="F2580" s="473"/>
      <c r="G2580" s="290" t="s">
        <v>86</v>
      </c>
      <c r="H2580" s="291" t="str" cm="1">
        <f t="array" ref="H2580">IFERROR(INDEX(INVESTOR_LIST[INVESTOR NAME],MATCH(I2580,INVESTOR_LIST[INVESTOR CODE],0),)," ")</f>
        <v xml:space="preserve"> </v>
      </c>
      <c r="I2580" s="291"/>
      <c r="J2580" s="292" t="s">
        <v>174</v>
      </c>
      <c r="K2580" s="293"/>
      <c r="L2580" s="293">
        <v>9423.08</v>
      </c>
    </row>
    <row r="2581" spans="1:12" ht="11.25" customHeight="1" x14ac:dyDescent="0.2">
      <c r="A2581" s="280">
        <v>2023</v>
      </c>
      <c r="B2581" s="280">
        <v>3</v>
      </c>
      <c r="C2581" s="280">
        <v>9</v>
      </c>
      <c r="D2581" s="281">
        <f t="shared" si="293"/>
        <v>44994</v>
      </c>
      <c r="E2581" s="282">
        <f t="shared" si="294"/>
        <v>44994</v>
      </c>
      <c r="F2581" s="472" t="s">
        <v>1376</v>
      </c>
      <c r="G2581" s="283" t="s">
        <v>86</v>
      </c>
      <c r="H2581" s="284" t="str" cm="1">
        <f t="array" ref="H2581">IFERROR(INDEX(INVESTOR_LIST[INVESTOR NAME],MATCH(I2581,INVESTOR_LIST[INVESTOR CODE],0),)," ")</f>
        <v xml:space="preserve"> </v>
      </c>
      <c r="I2581" s="284"/>
      <c r="J2581" s="285" t="s">
        <v>131</v>
      </c>
      <c r="K2581" s="286">
        <v>4673.08</v>
      </c>
      <c r="L2581" s="286"/>
    </row>
    <row r="2582" spans="1:12" ht="11.25" customHeight="1" x14ac:dyDescent="0.2">
      <c r="A2582" s="287">
        <v>2023</v>
      </c>
      <c r="B2582" s="287">
        <v>3</v>
      </c>
      <c r="C2582" s="287">
        <v>9</v>
      </c>
      <c r="D2582" s="288">
        <f t="shared" si="293"/>
        <v>44994</v>
      </c>
      <c r="E2582" s="289">
        <f t="shared" si="294"/>
        <v>44994</v>
      </c>
      <c r="F2582" s="473"/>
      <c r="G2582" s="290" t="s">
        <v>86</v>
      </c>
      <c r="H2582" s="291" t="str" cm="1">
        <f t="array" ref="H2582">IFERROR(INDEX(INVESTOR_LIST[INVESTOR NAME],MATCH(I2582,INVESTOR_LIST[INVESTOR CODE],0),)," ")</f>
        <v xml:space="preserve"> </v>
      </c>
      <c r="I2582" s="291"/>
      <c r="J2582" s="292" t="s">
        <v>174</v>
      </c>
      <c r="K2582" s="293"/>
      <c r="L2582" s="293">
        <v>4673.08</v>
      </c>
    </row>
    <row r="2583" spans="1:12" ht="11.25" customHeight="1" x14ac:dyDescent="0.2">
      <c r="A2583" s="236">
        <v>2023</v>
      </c>
      <c r="B2583" s="236">
        <v>3</v>
      </c>
      <c r="C2583" s="236">
        <v>9</v>
      </c>
      <c r="D2583" s="237">
        <f t="shared" si="293"/>
        <v>44994</v>
      </c>
      <c r="E2583" s="238">
        <f t="shared" si="294"/>
        <v>44994</v>
      </c>
      <c r="F2583" s="476" t="s">
        <v>1118</v>
      </c>
      <c r="G2583" s="239" t="s">
        <v>86</v>
      </c>
      <c r="H2583" s="239" t="str" cm="1">
        <f t="array" ref="H2583">IFERROR(INDEX(INVESTOR_LIST[INVESTOR NAME],MATCH(I2583,INVESTOR_LIST[INVESTOR CODE],0),)," ")</f>
        <v xml:space="preserve"> </v>
      </c>
      <c r="I2583" s="240"/>
      <c r="J2583" s="241" t="s">
        <v>98</v>
      </c>
      <c r="K2583" s="242">
        <v>7012.0769230723381</v>
      </c>
      <c r="L2583" s="242"/>
    </row>
    <row r="2584" spans="1:12" ht="11.25" customHeight="1" x14ac:dyDescent="0.2">
      <c r="A2584" s="243">
        <v>2023</v>
      </c>
      <c r="B2584" s="243">
        <v>3</v>
      </c>
      <c r="C2584" s="243">
        <v>9</v>
      </c>
      <c r="D2584" s="248">
        <f t="shared" si="293"/>
        <v>44994</v>
      </c>
      <c r="E2584" s="249">
        <f t="shared" si="294"/>
        <v>44994</v>
      </c>
      <c r="F2584" s="477"/>
      <c r="G2584" s="244" t="s">
        <v>86</v>
      </c>
      <c r="H2584" s="244" t="str" cm="1">
        <f t="array" ref="H2584">IFERROR(INDEX(INVESTOR_LIST[INVESTOR NAME],MATCH(I2584,INVESTOR_LIST[INVESTOR CODE],0),)," ")</f>
        <v xml:space="preserve"> </v>
      </c>
      <c r="I2584" s="245"/>
      <c r="J2584" s="246" t="s">
        <v>82</v>
      </c>
      <c r="K2584" s="247"/>
      <c r="L2584" s="247">
        <v>7012.0769230723381</v>
      </c>
    </row>
    <row r="2585" spans="1:12" ht="11.25" customHeight="1" x14ac:dyDescent="0.2">
      <c r="A2585" s="236">
        <v>2023</v>
      </c>
      <c r="B2585" s="236">
        <v>3</v>
      </c>
      <c r="C2585" s="236">
        <v>9</v>
      </c>
      <c r="D2585" s="237">
        <f t="shared" si="293"/>
        <v>44994</v>
      </c>
      <c r="E2585" s="238">
        <f t="shared" si="294"/>
        <v>44994</v>
      </c>
      <c r="F2585" s="476" t="s">
        <v>1120</v>
      </c>
      <c r="G2585" s="239" t="s">
        <v>86</v>
      </c>
      <c r="H2585" s="239" t="str" cm="1">
        <f t="array" ref="H2585">IFERROR(INDEX(INVESTOR_LIST[INVESTOR NAME],MATCH(I2585,INVESTOR_LIST[INVESTOR CODE],0),)," ")</f>
        <v xml:space="preserve"> </v>
      </c>
      <c r="I2585" s="240"/>
      <c r="J2585" s="241" t="s">
        <v>87</v>
      </c>
      <c r="K2585" s="242">
        <v>2747.2527472527472</v>
      </c>
      <c r="L2585" s="242"/>
    </row>
    <row r="2586" spans="1:12" ht="11.25" customHeight="1" x14ac:dyDescent="0.2">
      <c r="A2586" s="243">
        <v>2023</v>
      </c>
      <c r="B2586" s="243">
        <v>3</v>
      </c>
      <c r="C2586" s="243">
        <v>9</v>
      </c>
      <c r="D2586" s="248">
        <f t="shared" si="293"/>
        <v>44994</v>
      </c>
      <c r="E2586" s="249">
        <f t="shared" si="294"/>
        <v>44994</v>
      </c>
      <c r="F2586" s="477"/>
      <c r="G2586" s="244" t="s">
        <v>86</v>
      </c>
      <c r="H2586" s="244" t="str" cm="1">
        <f t="array" ref="H2586">IFERROR(INDEX(INVESTOR_LIST[INVESTOR NAME],MATCH(I2586,INVESTOR_LIST[INVESTOR CODE],0),)," ")</f>
        <v xml:space="preserve"> </v>
      </c>
      <c r="I2586" s="245"/>
      <c r="J2586" s="246" t="s">
        <v>64</v>
      </c>
      <c r="K2586" s="247"/>
      <c r="L2586" s="247">
        <v>2747.2527472527472</v>
      </c>
    </row>
    <row r="2587" spans="1:12" ht="11.25" customHeight="1" x14ac:dyDescent="0.2">
      <c r="A2587" s="236">
        <v>2023</v>
      </c>
      <c r="B2587" s="236">
        <v>3</v>
      </c>
      <c r="C2587" s="236">
        <v>9</v>
      </c>
      <c r="D2587" s="237">
        <f t="shared" si="293"/>
        <v>44994</v>
      </c>
      <c r="E2587" s="238">
        <f t="shared" si="294"/>
        <v>44994</v>
      </c>
      <c r="F2587" s="476" t="s">
        <v>1121</v>
      </c>
      <c r="G2587" s="239" t="s">
        <v>86</v>
      </c>
      <c r="H2587" s="239" t="str" cm="1">
        <f t="array" ref="H2587">IFERROR(INDEX(INVESTOR_LIST[INVESTOR NAME],MATCH(I2587,INVESTOR_LIST[INVESTOR CODE],0),)," ")</f>
        <v xml:space="preserve"> </v>
      </c>
      <c r="I2587" s="240"/>
      <c r="J2587" s="241" t="s">
        <v>89</v>
      </c>
      <c r="K2587" s="242">
        <v>37481.461595447763</v>
      </c>
      <c r="L2587" s="242"/>
    </row>
    <row r="2588" spans="1:12" ht="11.25" customHeight="1" x14ac:dyDescent="0.2">
      <c r="A2588" s="243">
        <v>2023</v>
      </c>
      <c r="B2588" s="243">
        <v>3</v>
      </c>
      <c r="C2588" s="243">
        <v>9</v>
      </c>
      <c r="D2588" s="248">
        <f t="shared" si="293"/>
        <v>44994</v>
      </c>
      <c r="E2588" s="249">
        <f t="shared" si="294"/>
        <v>44994</v>
      </c>
      <c r="F2588" s="477"/>
      <c r="G2588" s="244" t="s">
        <v>86</v>
      </c>
      <c r="H2588" s="244" t="str" cm="1">
        <f t="array" ref="H2588">IFERROR(INDEX(INVESTOR_LIST[INVESTOR NAME],MATCH(I2588,INVESTOR_LIST[INVESTOR CODE],0),)," ")</f>
        <v xml:space="preserve"> </v>
      </c>
      <c r="I2588" s="245"/>
      <c r="J2588" s="246" t="s">
        <v>50</v>
      </c>
      <c r="K2588" s="247"/>
      <c r="L2588" s="247">
        <v>37481.461595447763</v>
      </c>
    </row>
    <row r="2589" spans="1:12" ht="11.25" customHeight="1" x14ac:dyDescent="0.2">
      <c r="A2589" s="236">
        <v>2023</v>
      </c>
      <c r="B2589" s="236">
        <v>3</v>
      </c>
      <c r="C2589" s="236">
        <v>9</v>
      </c>
      <c r="D2589" s="237">
        <f t="shared" si="293"/>
        <v>44994</v>
      </c>
      <c r="E2589" s="238">
        <f t="shared" si="294"/>
        <v>44994</v>
      </c>
      <c r="F2589" s="476" t="s">
        <v>1122</v>
      </c>
      <c r="G2589" s="239" t="s">
        <v>86</v>
      </c>
      <c r="H2589" s="239" t="str" cm="1">
        <f t="array" ref="H2589">IFERROR(INDEX(INVESTOR_LIST[INVESTOR NAME],MATCH(I2589,INVESTOR_LIST[INVESTOR CODE],0),)," ")</f>
        <v xml:space="preserve"> </v>
      </c>
      <c r="I2589" s="240"/>
      <c r="J2589" s="241" t="s">
        <v>91</v>
      </c>
      <c r="K2589" s="242">
        <v>3748.1461595447763</v>
      </c>
      <c r="L2589" s="242"/>
    </row>
    <row r="2590" spans="1:12" ht="11.25" customHeight="1" x14ac:dyDescent="0.2">
      <c r="A2590" s="243">
        <v>2023</v>
      </c>
      <c r="B2590" s="243">
        <v>3</v>
      </c>
      <c r="C2590" s="243">
        <v>9</v>
      </c>
      <c r="D2590" s="248">
        <f t="shared" si="293"/>
        <v>44994</v>
      </c>
      <c r="E2590" s="249">
        <f t="shared" si="294"/>
        <v>44994</v>
      </c>
      <c r="F2590" s="477"/>
      <c r="G2590" s="244" t="s">
        <v>86</v>
      </c>
      <c r="H2590" s="244" t="str" cm="1">
        <f t="array" ref="H2590">IFERROR(INDEX(INVESTOR_LIST[INVESTOR NAME],MATCH(I2590,INVESTOR_LIST[INVESTOR CODE],0),)," ")</f>
        <v xml:space="preserve"> </v>
      </c>
      <c r="I2590" s="245"/>
      <c r="J2590" s="246" t="s">
        <v>51</v>
      </c>
      <c r="K2590" s="247"/>
      <c r="L2590" s="247">
        <v>3748.1461595447763</v>
      </c>
    </row>
    <row r="2591" spans="1:12" ht="11.25" customHeight="1" x14ac:dyDescent="0.2">
      <c r="A2591" s="221">
        <v>2023</v>
      </c>
      <c r="B2591" s="221">
        <v>3</v>
      </c>
      <c r="C2591" s="221">
        <v>12</v>
      </c>
      <c r="D2591" s="231">
        <f t="shared" si="293"/>
        <v>44997</v>
      </c>
      <c r="E2591" s="233">
        <f t="shared" si="294"/>
        <v>44997</v>
      </c>
      <c r="F2591" s="478" t="s">
        <v>1309</v>
      </c>
      <c r="G2591" s="222" t="s">
        <v>1111</v>
      </c>
      <c r="H2591" s="223" t="str" cm="1">
        <f t="array" ref="H2591">IFERROR(INDEX(INVESTOR_LIST[INVESTOR NAME],MATCH(I2591,INVESTOR_LIST[INVESTOR CODE],0),)," ")</f>
        <v>MAISHA MUSSARRAT</v>
      </c>
      <c r="I2591" s="223" t="s">
        <v>1228</v>
      </c>
      <c r="J2591" s="224" t="s">
        <v>14</v>
      </c>
      <c r="K2591" s="225">
        <v>9930</v>
      </c>
      <c r="L2591" s="225"/>
    </row>
    <row r="2592" spans="1:12" ht="11.25" customHeight="1" x14ac:dyDescent="0.2">
      <c r="A2592" s="164">
        <v>2023</v>
      </c>
      <c r="B2592" s="164">
        <v>3</v>
      </c>
      <c r="C2592" s="164">
        <v>12</v>
      </c>
      <c r="D2592" s="156">
        <f t="shared" si="293"/>
        <v>44997</v>
      </c>
      <c r="E2592" s="235">
        <f t="shared" si="294"/>
        <v>44997</v>
      </c>
      <c r="F2592" s="480"/>
      <c r="G2592" s="208" t="s">
        <v>1111</v>
      </c>
      <c r="H2592" s="206" t="str" cm="1">
        <f t="array" ref="H2592">IFERROR(INDEX(INVESTOR_LIST[INVESTOR NAME],MATCH(I2592,INVESTOR_LIST[INVESTOR CODE],0),)," ")</f>
        <v>MAISHA MUSSARRAT</v>
      </c>
      <c r="I2592" s="206" t="s">
        <v>1228</v>
      </c>
      <c r="J2592" s="165" t="s">
        <v>1112</v>
      </c>
      <c r="K2592" s="205">
        <v>70</v>
      </c>
    </row>
    <row r="2593" spans="1:12" ht="11.25" customHeight="1" x14ac:dyDescent="0.2">
      <c r="A2593" s="226">
        <v>2023</v>
      </c>
      <c r="B2593" s="226">
        <v>3</v>
      </c>
      <c r="C2593" s="226">
        <v>12</v>
      </c>
      <c r="D2593" s="232">
        <f t="shared" si="293"/>
        <v>44997</v>
      </c>
      <c r="E2593" s="234">
        <f t="shared" si="294"/>
        <v>44997</v>
      </c>
      <c r="F2593" s="479"/>
      <c r="G2593" s="227" t="s">
        <v>1111</v>
      </c>
      <c r="H2593" s="228" t="str" cm="1">
        <f t="array" ref="H2593">IFERROR(INDEX(INVESTOR_LIST[INVESTOR NAME],MATCH(I2593,INVESTOR_LIST[INVESTOR CODE],0),)," ")</f>
        <v>MAISHA MUSSARRAT</v>
      </c>
      <c r="I2593" s="228" t="s">
        <v>1228</v>
      </c>
      <c r="J2593" s="229" t="s">
        <v>55</v>
      </c>
      <c r="K2593" s="230"/>
      <c r="L2593" s="230">
        <v>10000</v>
      </c>
    </row>
    <row r="2594" spans="1:12" ht="11.25" customHeight="1" x14ac:dyDescent="0.2">
      <c r="A2594" s="221">
        <v>2023</v>
      </c>
      <c r="B2594" s="221">
        <v>3</v>
      </c>
      <c r="C2594" s="221">
        <v>13</v>
      </c>
      <c r="D2594" s="231">
        <f t="shared" si="293"/>
        <v>44998</v>
      </c>
      <c r="E2594" s="233">
        <f t="shared" si="294"/>
        <v>44998</v>
      </c>
      <c r="F2594" s="478" t="s">
        <v>1115</v>
      </c>
      <c r="G2594" s="222" t="s">
        <v>1111</v>
      </c>
      <c r="H2594" s="223" t="str" cm="1">
        <f t="array" ref="H2594">IFERROR(INDEX(INVESTOR_LIST[INVESTOR NAME],MATCH(I2594,INVESTOR_LIST[INVESTOR CODE],0),)," ")</f>
        <v>MD. ATIQUR RAHMAN</v>
      </c>
      <c r="I2594" s="223" t="s">
        <v>660</v>
      </c>
      <c r="J2594" s="224" t="s">
        <v>14</v>
      </c>
      <c r="K2594" s="225">
        <v>2000000</v>
      </c>
      <c r="L2594" s="225"/>
    </row>
    <row r="2595" spans="1:12" ht="11.25" customHeight="1" x14ac:dyDescent="0.2">
      <c r="A2595" s="164">
        <v>2023</v>
      </c>
      <c r="B2595" s="164">
        <v>3</v>
      </c>
      <c r="C2595" s="164">
        <v>13</v>
      </c>
      <c r="D2595" s="156">
        <f t="shared" si="293"/>
        <v>44998</v>
      </c>
      <c r="E2595" s="235">
        <f t="shared" si="294"/>
        <v>44998</v>
      </c>
      <c r="F2595" s="480"/>
      <c r="G2595" s="208" t="s">
        <v>1111</v>
      </c>
      <c r="H2595" s="206" t="str" cm="1">
        <f t="array" ref="H2595">IFERROR(INDEX(INVESTOR_LIST[INVESTOR NAME],MATCH(I2595,INVESTOR_LIST[INVESTOR CODE],0),)," ")</f>
        <v>MD. ATIQUR RAHMAN</v>
      </c>
      <c r="I2595" s="206" t="s">
        <v>660</v>
      </c>
      <c r="J2595" s="165" t="s">
        <v>1112</v>
      </c>
      <c r="K2595" s="205">
        <v>18000</v>
      </c>
    </row>
    <row r="2596" spans="1:12" ht="11.25" customHeight="1" x14ac:dyDescent="0.2">
      <c r="A2596" s="226">
        <v>2023</v>
      </c>
      <c r="B2596" s="226">
        <v>3</v>
      </c>
      <c r="C2596" s="226">
        <v>13</v>
      </c>
      <c r="D2596" s="232">
        <f t="shared" si="293"/>
        <v>44998</v>
      </c>
      <c r="E2596" s="234">
        <f t="shared" si="294"/>
        <v>44998</v>
      </c>
      <c r="F2596" s="479"/>
      <c r="G2596" s="227" t="s">
        <v>1111</v>
      </c>
      <c r="H2596" s="228" t="str" cm="1">
        <f t="array" ref="H2596">IFERROR(INDEX(INVESTOR_LIST[INVESTOR NAME],MATCH(I2596,INVESTOR_LIST[INVESTOR CODE],0),)," ")</f>
        <v>MD. ATIQUR RAHMAN</v>
      </c>
      <c r="I2596" s="228" t="s">
        <v>660</v>
      </c>
      <c r="J2596" s="229" t="s">
        <v>55</v>
      </c>
      <c r="K2596" s="230"/>
      <c r="L2596" s="230">
        <v>2018000</v>
      </c>
    </row>
    <row r="2597" spans="1:12" ht="11.25" customHeight="1" x14ac:dyDescent="0.2">
      <c r="A2597" s="221">
        <v>2023</v>
      </c>
      <c r="B2597" s="221">
        <v>3</v>
      </c>
      <c r="C2597" s="221">
        <v>13</v>
      </c>
      <c r="D2597" s="231">
        <f t="shared" si="293"/>
        <v>44998</v>
      </c>
      <c r="E2597" s="233">
        <f>DATE(A2597,B2597,C2597)</f>
        <v>44998</v>
      </c>
      <c r="F2597" s="478" t="s">
        <v>1442</v>
      </c>
      <c r="G2597" s="222" t="s">
        <v>1111</v>
      </c>
      <c r="H2597" s="223" t="str" cm="1">
        <f t="array" ref="H2597">IFERROR(INDEX(INVESTOR_LIST[INVESTOR NAME],MATCH(I2597,INVESTOR_LIST[INVESTOR CODE],0),)," ")</f>
        <v xml:space="preserve"> </v>
      </c>
      <c r="I2597" s="223"/>
      <c r="J2597" s="224" t="s">
        <v>189</v>
      </c>
      <c r="K2597" s="225">
        <v>1575</v>
      </c>
      <c r="L2597" s="225"/>
    </row>
    <row r="2598" spans="1:12" ht="11.25" customHeight="1" x14ac:dyDescent="0.2">
      <c r="A2598" s="226">
        <v>2023</v>
      </c>
      <c r="B2598" s="226">
        <v>3</v>
      </c>
      <c r="C2598" s="226">
        <v>13</v>
      </c>
      <c r="D2598" s="232">
        <f t="shared" si="293"/>
        <v>44998</v>
      </c>
      <c r="E2598" s="234">
        <f>DATE(A2598,B2598,C2598)</f>
        <v>44998</v>
      </c>
      <c r="F2598" s="479"/>
      <c r="G2598" s="227" t="s">
        <v>1111</v>
      </c>
      <c r="H2598" s="228" t="str" cm="1">
        <f t="array" ref="H2598">IFERROR(INDEX(INVESTOR_LIST[INVESTOR NAME],MATCH(I2598,INVESTOR_LIST[INVESTOR CODE],0),)," ")</f>
        <v xml:space="preserve"> </v>
      </c>
      <c r="I2598" s="228"/>
      <c r="J2598" s="229" t="s">
        <v>55</v>
      </c>
      <c r="K2598" s="230"/>
      <c r="L2598" s="230">
        <v>1575</v>
      </c>
    </row>
    <row r="2599" spans="1:12" ht="11.25" customHeight="1" x14ac:dyDescent="0.2">
      <c r="A2599" s="221">
        <v>2023</v>
      </c>
      <c r="B2599" s="221">
        <v>3</v>
      </c>
      <c r="C2599" s="221">
        <v>13</v>
      </c>
      <c r="D2599" s="231">
        <f t="shared" si="293"/>
        <v>44998</v>
      </c>
      <c r="E2599" s="233">
        <f t="shared" ref="E2599:E2600" si="295">DATE(A2599,B2599,C2599)</f>
        <v>44998</v>
      </c>
      <c r="F2599" s="478" t="s">
        <v>1446</v>
      </c>
      <c r="G2599" s="222" t="s">
        <v>1111</v>
      </c>
      <c r="H2599" s="223" t="str" cm="1">
        <f t="array" ref="H2599">IFERROR(INDEX(INVESTOR_LIST[INVESTOR NAME],MATCH(I2599,INVESTOR_LIST[INVESTOR CODE],0),)," ")</f>
        <v xml:space="preserve"> </v>
      </c>
      <c r="I2599" s="223"/>
      <c r="J2599" s="224" t="s">
        <v>95</v>
      </c>
      <c r="K2599" s="225">
        <v>793.8</v>
      </c>
      <c r="L2599" s="225"/>
    </row>
    <row r="2600" spans="1:12" ht="11.25" customHeight="1" x14ac:dyDescent="0.2">
      <c r="A2600" s="226">
        <v>2023</v>
      </c>
      <c r="B2600" s="226">
        <v>3</v>
      </c>
      <c r="C2600" s="226">
        <v>13</v>
      </c>
      <c r="D2600" s="232">
        <f t="shared" si="293"/>
        <v>44998</v>
      </c>
      <c r="E2600" s="234">
        <f t="shared" si="295"/>
        <v>44998</v>
      </c>
      <c r="F2600" s="479"/>
      <c r="G2600" s="227" t="s">
        <v>1111</v>
      </c>
      <c r="H2600" s="228" t="str" cm="1">
        <f t="array" ref="H2600">IFERROR(INDEX(INVESTOR_LIST[INVESTOR NAME],MATCH(I2600,INVESTOR_LIST[INVESTOR CODE],0),)," ")</f>
        <v xml:space="preserve"> </v>
      </c>
      <c r="I2600" s="228"/>
      <c r="J2600" s="229" t="s">
        <v>55</v>
      </c>
      <c r="K2600" s="230"/>
      <c r="L2600" s="230">
        <v>793.8</v>
      </c>
    </row>
    <row r="2601" spans="1:12" ht="11.25" customHeight="1" x14ac:dyDescent="0.2">
      <c r="A2601" s="231">
        <v>2023</v>
      </c>
      <c r="B2601" s="231">
        <v>3</v>
      </c>
      <c r="C2601" s="231">
        <v>15</v>
      </c>
      <c r="D2601" s="221">
        <f t="shared" si="293"/>
        <v>45000</v>
      </c>
      <c r="E2601" s="233">
        <f t="shared" ref="E2601:E2602" si="296">DATE(A2601,B2601,C2601)</f>
        <v>45000</v>
      </c>
      <c r="F2601" s="478" t="s">
        <v>1472</v>
      </c>
      <c r="G2601" s="222" t="s">
        <v>1111</v>
      </c>
      <c r="H2601" s="222" t="str" cm="1">
        <f t="array" ref="H2601">IFERROR(INDEX(INVESTOR_LIST[INVESTOR NAME],MATCH(I2601,INVESTOR_LIST[INVESTOR CODE],0),)," ")</f>
        <v xml:space="preserve"> </v>
      </c>
      <c r="I2601" s="223"/>
      <c r="J2601" s="224" t="s">
        <v>50</v>
      </c>
      <c r="K2601" s="225">
        <v>150000</v>
      </c>
      <c r="L2601" s="225"/>
    </row>
    <row r="2602" spans="1:12" ht="11.25" customHeight="1" x14ac:dyDescent="0.2">
      <c r="A2602" s="232">
        <v>2023</v>
      </c>
      <c r="B2602" s="232">
        <v>3</v>
      </c>
      <c r="C2602" s="232">
        <v>15</v>
      </c>
      <c r="D2602" s="226">
        <f t="shared" si="293"/>
        <v>45000</v>
      </c>
      <c r="E2602" s="234">
        <f t="shared" si="296"/>
        <v>45000</v>
      </c>
      <c r="F2602" s="479"/>
      <c r="G2602" s="227" t="s">
        <v>1111</v>
      </c>
      <c r="H2602" s="227" t="str" cm="1">
        <f t="array" ref="H2602">IFERROR(INDEX(INVESTOR_LIST[INVESTOR NAME],MATCH(I2602,INVESTOR_LIST[INVESTOR CODE],0),)," ")</f>
        <v xml:space="preserve"> </v>
      </c>
      <c r="I2602" s="228"/>
      <c r="J2602" s="229" t="s">
        <v>55</v>
      </c>
      <c r="K2602" s="230"/>
      <c r="L2602" s="230">
        <v>150000</v>
      </c>
    </row>
    <row r="2603" spans="1:12" ht="11.25" customHeight="1" x14ac:dyDescent="0.2">
      <c r="A2603" s="221">
        <v>2023</v>
      </c>
      <c r="B2603" s="221">
        <v>3</v>
      </c>
      <c r="C2603" s="221">
        <v>16</v>
      </c>
      <c r="D2603" s="231">
        <f t="shared" si="293"/>
        <v>45001</v>
      </c>
      <c r="E2603" s="233">
        <f t="shared" ref="E2603:E2610" si="297">DATE(A2603,B2603,C2603)</f>
        <v>45001</v>
      </c>
      <c r="F2603" s="478" t="s">
        <v>1115</v>
      </c>
      <c r="G2603" s="222" t="s">
        <v>1111</v>
      </c>
      <c r="H2603" s="223" t="str" cm="1">
        <f t="array" ref="H2603">IFERROR(INDEX(INVESTOR_LIST[INVESTOR NAME],MATCH(I2603,INVESTOR_LIST[INVESTOR CODE],0),)," ")</f>
        <v>MD. TANZIRUL AMIN</v>
      </c>
      <c r="I2603" s="223" t="s">
        <v>957</v>
      </c>
      <c r="J2603" s="224" t="s">
        <v>14</v>
      </c>
      <c r="K2603" s="225">
        <v>50000</v>
      </c>
      <c r="L2603" s="225"/>
    </row>
    <row r="2604" spans="1:12" ht="11.25" customHeight="1" x14ac:dyDescent="0.2">
      <c r="A2604" s="164">
        <v>2023</v>
      </c>
      <c r="B2604" s="164">
        <v>3</v>
      </c>
      <c r="C2604" s="164">
        <v>16</v>
      </c>
      <c r="D2604" s="156">
        <f t="shared" si="293"/>
        <v>45001</v>
      </c>
      <c r="E2604" s="235">
        <f t="shared" si="297"/>
        <v>45001</v>
      </c>
      <c r="F2604" s="480"/>
      <c r="G2604" s="208" t="s">
        <v>1111</v>
      </c>
      <c r="H2604" s="206" t="str" cm="1">
        <f t="array" ref="H2604">IFERROR(INDEX(INVESTOR_LIST[INVESTOR NAME],MATCH(I2604,INVESTOR_LIST[INVESTOR CODE],0),)," ")</f>
        <v>MD. TANZIRUL AMIN</v>
      </c>
      <c r="I2604" s="206" t="s">
        <v>957</v>
      </c>
      <c r="J2604" s="165" t="s">
        <v>1112</v>
      </c>
      <c r="K2604" s="205">
        <v>450</v>
      </c>
    </row>
    <row r="2605" spans="1:12" ht="11.25" customHeight="1" x14ac:dyDescent="0.2">
      <c r="A2605" s="226">
        <v>2023</v>
      </c>
      <c r="B2605" s="226">
        <v>3</v>
      </c>
      <c r="C2605" s="226">
        <v>16</v>
      </c>
      <c r="D2605" s="232">
        <f t="shared" si="293"/>
        <v>45001</v>
      </c>
      <c r="E2605" s="234">
        <f t="shared" si="297"/>
        <v>45001</v>
      </c>
      <c r="F2605" s="479"/>
      <c r="G2605" s="227" t="s">
        <v>1111</v>
      </c>
      <c r="H2605" s="228" t="str" cm="1">
        <f t="array" ref="H2605">IFERROR(INDEX(INVESTOR_LIST[INVESTOR NAME],MATCH(I2605,INVESTOR_LIST[INVESTOR CODE],0),)," ")</f>
        <v>MD. TANZIRUL AMIN</v>
      </c>
      <c r="I2605" s="228" t="s">
        <v>957</v>
      </c>
      <c r="J2605" s="229" t="s">
        <v>55</v>
      </c>
      <c r="K2605" s="230"/>
      <c r="L2605" s="230">
        <v>50450</v>
      </c>
    </row>
    <row r="2606" spans="1:12" ht="11.25" customHeight="1" x14ac:dyDescent="0.2">
      <c r="A2606" s="221">
        <v>2023</v>
      </c>
      <c r="B2606" s="221">
        <v>3</v>
      </c>
      <c r="C2606" s="221">
        <v>16</v>
      </c>
      <c r="D2606" s="231">
        <f t="shared" si="293"/>
        <v>45001</v>
      </c>
      <c r="E2606" s="233">
        <f t="shared" si="297"/>
        <v>45001</v>
      </c>
      <c r="F2606" s="478" t="s">
        <v>1444</v>
      </c>
      <c r="G2606" s="222" t="s">
        <v>1111</v>
      </c>
      <c r="H2606" s="223" t="str" cm="1">
        <f t="array" ref="H2606">IFERROR(INDEX(INVESTOR_LIST[INVESTOR NAME],MATCH(I2606,INVESTOR_LIST[INVESTOR CODE],0),)," ")</f>
        <v xml:space="preserve"> </v>
      </c>
      <c r="I2606" s="223"/>
      <c r="J2606" s="224" t="s">
        <v>88</v>
      </c>
      <c r="K2606" s="225">
        <v>6000000</v>
      </c>
      <c r="L2606" s="225"/>
    </row>
    <row r="2607" spans="1:12" ht="11.25" customHeight="1" x14ac:dyDescent="0.2">
      <c r="A2607" s="164">
        <v>2023</v>
      </c>
      <c r="B2607" s="164">
        <v>3</v>
      </c>
      <c r="C2607" s="164">
        <v>16</v>
      </c>
      <c r="D2607" s="156">
        <f t="shared" si="293"/>
        <v>45001</v>
      </c>
      <c r="E2607" s="235">
        <f t="shared" ref="E2607" si="298">DATE(A2607,B2607,C2607)</f>
        <v>45001</v>
      </c>
      <c r="F2607" s="480"/>
      <c r="G2607" s="208" t="s">
        <v>1111</v>
      </c>
      <c r="J2607" s="165" t="s">
        <v>55</v>
      </c>
      <c r="K2607" s="205">
        <v>109500</v>
      </c>
      <c r="L2607" s="205"/>
    </row>
    <row r="2608" spans="1:12" ht="11.25" customHeight="1" x14ac:dyDescent="0.2">
      <c r="A2608" s="164">
        <v>2023</v>
      </c>
      <c r="B2608" s="164">
        <v>3</v>
      </c>
      <c r="C2608" s="164">
        <v>16</v>
      </c>
      <c r="D2608" s="156">
        <f t="shared" si="293"/>
        <v>45001</v>
      </c>
      <c r="E2608" s="235">
        <f t="shared" si="297"/>
        <v>45001</v>
      </c>
      <c r="F2608" s="480"/>
      <c r="G2608" s="208" t="s">
        <v>1111</v>
      </c>
      <c r="J2608" s="165" t="s">
        <v>63</v>
      </c>
      <c r="K2608" s="205">
        <v>3000</v>
      </c>
      <c r="L2608" s="205"/>
    </row>
    <row r="2609" spans="1:13" ht="11.25" customHeight="1" x14ac:dyDescent="0.2">
      <c r="A2609" s="164">
        <v>2023</v>
      </c>
      <c r="B2609" s="164">
        <v>3</v>
      </c>
      <c r="C2609" s="164">
        <v>16</v>
      </c>
      <c r="D2609" s="156">
        <f t="shared" si="293"/>
        <v>45001</v>
      </c>
      <c r="E2609" s="235">
        <f t="shared" si="297"/>
        <v>45001</v>
      </c>
      <c r="F2609" s="480"/>
      <c r="G2609" s="208" t="s">
        <v>1111</v>
      </c>
      <c r="J2609" s="165" t="s">
        <v>131</v>
      </c>
      <c r="K2609" s="205"/>
      <c r="L2609" s="205">
        <v>112500</v>
      </c>
    </row>
    <row r="2610" spans="1:13" ht="11.25" customHeight="1" x14ac:dyDescent="0.2">
      <c r="A2610" s="226">
        <v>2023</v>
      </c>
      <c r="B2610" s="226">
        <v>3</v>
      </c>
      <c r="C2610" s="226">
        <v>16</v>
      </c>
      <c r="D2610" s="232">
        <f t="shared" si="293"/>
        <v>45001</v>
      </c>
      <c r="E2610" s="234">
        <f t="shared" si="297"/>
        <v>45001</v>
      </c>
      <c r="F2610" s="479"/>
      <c r="G2610" s="227" t="s">
        <v>1111</v>
      </c>
      <c r="H2610" s="228" t="str" cm="1">
        <f t="array" ref="H2610">IFERROR(INDEX(INVESTOR_LIST[INVESTOR NAME],MATCH(I2610,INVESTOR_LIST[INVESTOR CODE],0),)," ")</f>
        <v xml:space="preserve"> </v>
      </c>
      <c r="I2610" s="228"/>
      <c r="J2610" s="229" t="s">
        <v>88</v>
      </c>
      <c r="K2610" s="230"/>
      <c r="L2610" s="230">
        <v>6000000</v>
      </c>
    </row>
    <row r="2611" spans="1:13" ht="11.25" customHeight="1" x14ac:dyDescent="0.2">
      <c r="A2611" s="221">
        <v>2023</v>
      </c>
      <c r="B2611" s="221">
        <v>3</v>
      </c>
      <c r="C2611" s="221">
        <v>16</v>
      </c>
      <c r="D2611" s="231">
        <f t="shared" si="293"/>
        <v>45001</v>
      </c>
      <c r="E2611" s="233">
        <f t="shared" ref="E2611:E2638" si="299">DATE(A2611,B2611,C2611)</f>
        <v>45001</v>
      </c>
      <c r="F2611" s="478" t="s">
        <v>1445</v>
      </c>
      <c r="G2611" s="222" t="s">
        <v>1111</v>
      </c>
      <c r="H2611" s="223" t="str" cm="1">
        <f t="array" ref="H2611">IFERROR(INDEX(INVESTOR_LIST[INVESTOR NAME],MATCH(I2611,INVESTOR_LIST[INVESTOR CODE],0),)," ")</f>
        <v xml:space="preserve"> </v>
      </c>
      <c r="I2611" s="223"/>
      <c r="J2611" s="224" t="s">
        <v>88</v>
      </c>
      <c r="K2611" s="225">
        <v>5000000</v>
      </c>
      <c r="L2611" s="225"/>
    </row>
    <row r="2612" spans="1:13" ht="11.25" customHeight="1" x14ac:dyDescent="0.2">
      <c r="A2612" s="164">
        <v>2023</v>
      </c>
      <c r="B2612" s="164">
        <v>3</v>
      </c>
      <c r="C2612" s="164">
        <v>16</v>
      </c>
      <c r="D2612" s="156">
        <f t="shared" si="293"/>
        <v>45001</v>
      </c>
      <c r="E2612" s="235">
        <f t="shared" si="299"/>
        <v>45001</v>
      </c>
      <c r="F2612" s="480"/>
      <c r="G2612" s="208" t="s">
        <v>1111</v>
      </c>
      <c r="J2612" s="165" t="s">
        <v>55</v>
      </c>
      <c r="K2612" s="205">
        <v>90750</v>
      </c>
      <c r="L2612" s="205"/>
    </row>
    <row r="2613" spans="1:13" ht="11.25" customHeight="1" x14ac:dyDescent="0.2">
      <c r="A2613" s="164">
        <v>2023</v>
      </c>
      <c r="B2613" s="164">
        <v>3</v>
      </c>
      <c r="C2613" s="164">
        <v>16</v>
      </c>
      <c r="D2613" s="156">
        <f t="shared" si="293"/>
        <v>45001</v>
      </c>
      <c r="E2613" s="235">
        <f t="shared" si="299"/>
        <v>45001</v>
      </c>
      <c r="F2613" s="480"/>
      <c r="G2613" s="208" t="s">
        <v>1111</v>
      </c>
      <c r="J2613" s="165" t="s">
        <v>63</v>
      </c>
      <c r="K2613" s="205">
        <v>3000</v>
      </c>
      <c r="L2613" s="205"/>
    </row>
    <row r="2614" spans="1:13" ht="11.25" customHeight="1" x14ac:dyDescent="0.2">
      <c r="A2614" s="164">
        <v>2023</v>
      </c>
      <c r="B2614" s="164">
        <v>3</v>
      </c>
      <c r="C2614" s="164">
        <v>16</v>
      </c>
      <c r="D2614" s="156">
        <f t="shared" si="293"/>
        <v>45001</v>
      </c>
      <c r="E2614" s="235">
        <f t="shared" si="299"/>
        <v>45001</v>
      </c>
      <c r="F2614" s="480"/>
      <c r="G2614" s="208" t="s">
        <v>1111</v>
      </c>
      <c r="J2614" s="165" t="s">
        <v>131</v>
      </c>
      <c r="K2614" s="205"/>
      <c r="L2614" s="205">
        <v>93750</v>
      </c>
    </row>
    <row r="2615" spans="1:13" ht="11.25" customHeight="1" x14ac:dyDescent="0.2">
      <c r="A2615" s="226">
        <v>2023</v>
      </c>
      <c r="B2615" s="226">
        <v>3</v>
      </c>
      <c r="C2615" s="226">
        <v>16</v>
      </c>
      <c r="D2615" s="232">
        <f t="shared" si="293"/>
        <v>45001</v>
      </c>
      <c r="E2615" s="234">
        <f t="shared" si="299"/>
        <v>45001</v>
      </c>
      <c r="F2615" s="479"/>
      <c r="G2615" s="227" t="s">
        <v>1111</v>
      </c>
      <c r="H2615" s="228" t="str" cm="1">
        <f t="array" ref="H2615">IFERROR(INDEX(INVESTOR_LIST[INVESTOR NAME],MATCH(I2615,INVESTOR_LIST[INVESTOR CODE],0),)," ")</f>
        <v xml:space="preserve"> </v>
      </c>
      <c r="I2615" s="228"/>
      <c r="J2615" s="229" t="s">
        <v>88</v>
      </c>
      <c r="K2615" s="230"/>
      <c r="L2615" s="230">
        <v>5000000</v>
      </c>
      <c r="M2615" s="166"/>
    </row>
    <row r="2616" spans="1:13" ht="11.25" customHeight="1" x14ac:dyDescent="0.2">
      <c r="A2616" s="221">
        <v>2023</v>
      </c>
      <c r="B2616" s="221">
        <v>3</v>
      </c>
      <c r="C2616" s="221">
        <v>16</v>
      </c>
      <c r="D2616" s="231">
        <f t="shared" si="293"/>
        <v>45001</v>
      </c>
      <c r="E2616" s="233">
        <f>DATE(A2616,B2616,C2616)</f>
        <v>45001</v>
      </c>
      <c r="F2616" s="478" t="s">
        <v>1450</v>
      </c>
      <c r="G2616" s="222" t="s">
        <v>1111</v>
      </c>
      <c r="H2616" s="222" t="str" cm="1">
        <f t="array" ref="H2616">IFERROR(INDEX(INVESTOR_LIST[INVESTOR NAME],MATCH(I2616,INVESTOR_LIST[INVESTOR CODE],0),)," ")</f>
        <v xml:space="preserve"> </v>
      </c>
      <c r="I2616" s="223"/>
      <c r="J2616" s="224" t="s">
        <v>80</v>
      </c>
      <c r="K2616" s="225">
        <v>3250000</v>
      </c>
      <c r="L2616" s="225"/>
    </row>
    <row r="2617" spans="1:13" ht="11.25" customHeight="1" x14ac:dyDescent="0.2">
      <c r="A2617" s="226">
        <v>2023</v>
      </c>
      <c r="B2617" s="226">
        <v>3</v>
      </c>
      <c r="C2617" s="226">
        <v>16</v>
      </c>
      <c r="D2617" s="226">
        <f t="shared" si="293"/>
        <v>45001</v>
      </c>
      <c r="E2617" s="234">
        <f>DATE(A2617,B2617,C2617)</f>
        <v>45001</v>
      </c>
      <c r="F2617" s="479"/>
      <c r="G2617" s="227" t="s">
        <v>1111</v>
      </c>
      <c r="H2617" s="228" t="str" cm="1">
        <f t="array" ref="H2617">IFERROR(INDEX(INVESTOR_LIST[INVESTOR NAME],MATCH(I2617,INVESTOR_LIST[INVESTOR CODE],0),)," ")</f>
        <v xml:space="preserve"> </v>
      </c>
      <c r="I2617" s="228"/>
      <c r="J2617" s="229" t="s">
        <v>196</v>
      </c>
      <c r="K2617" s="230"/>
      <c r="L2617" s="230">
        <v>3250000</v>
      </c>
    </row>
    <row r="2618" spans="1:13" ht="11.25" customHeight="1" x14ac:dyDescent="0.2">
      <c r="A2618" s="327">
        <v>2023</v>
      </c>
      <c r="B2618" s="327">
        <v>3</v>
      </c>
      <c r="C2618" s="327">
        <v>16</v>
      </c>
      <c r="D2618" s="328">
        <f t="shared" si="293"/>
        <v>45001</v>
      </c>
      <c r="E2618" s="329">
        <f t="shared" ref="E2618:E2619" si="300">DATE(A2618,B2618,C2618)</f>
        <v>45001</v>
      </c>
      <c r="F2618" s="474" t="s">
        <v>1459</v>
      </c>
      <c r="G2618" s="331" t="s">
        <v>86</v>
      </c>
      <c r="H2618" s="332" t="str" cm="1">
        <f t="array" ref="H2618">IFERROR(INDEX(INVESTOR_LIST[INVESTOR NAME],MATCH(I2618,INVESTOR_LIST[INVESTOR CODE],0),)," ")</f>
        <v xml:space="preserve"> </v>
      </c>
      <c r="I2618" s="333"/>
      <c r="J2618" s="334" t="s">
        <v>1621</v>
      </c>
      <c r="K2618" s="335">
        <v>2012.08</v>
      </c>
      <c r="L2618" s="336"/>
    </row>
    <row r="2619" spans="1:13" ht="11.25" customHeight="1" x14ac:dyDescent="0.2">
      <c r="A2619" s="327">
        <v>2023</v>
      </c>
      <c r="B2619" s="327">
        <v>3</v>
      </c>
      <c r="C2619" s="327">
        <v>16</v>
      </c>
      <c r="D2619" s="337">
        <f t="shared" si="293"/>
        <v>45001</v>
      </c>
      <c r="E2619" s="338">
        <f t="shared" si="300"/>
        <v>45001</v>
      </c>
      <c r="F2619" s="475"/>
      <c r="G2619" s="331" t="s">
        <v>86</v>
      </c>
      <c r="H2619" s="340" t="str" cm="1">
        <f t="array" ref="H2619">IFERROR(INDEX(INVESTOR_LIST[INVESTOR NAME],MATCH(I2619,INVESTOR_LIST[INVESTOR CODE],0),)," ")</f>
        <v xml:space="preserve"> </v>
      </c>
      <c r="I2619" s="333"/>
      <c r="J2619" s="334" t="s">
        <v>1613</v>
      </c>
      <c r="K2619" s="335"/>
      <c r="L2619" s="336">
        <v>2012.08</v>
      </c>
    </row>
    <row r="2620" spans="1:13" ht="11.25" customHeight="1" x14ac:dyDescent="0.2">
      <c r="A2620" s="280">
        <v>2023</v>
      </c>
      <c r="B2620" s="280">
        <v>3</v>
      </c>
      <c r="C2620" s="280">
        <v>16</v>
      </c>
      <c r="D2620" s="281">
        <f t="shared" si="293"/>
        <v>45001</v>
      </c>
      <c r="E2620" s="282">
        <f t="shared" si="299"/>
        <v>45001</v>
      </c>
      <c r="F2620" s="472" t="s">
        <v>1369</v>
      </c>
      <c r="G2620" s="283" t="s">
        <v>86</v>
      </c>
      <c r="H2620" s="284" t="str" cm="1">
        <f t="array" ref="H2620">IFERROR(INDEX(INVESTOR_LIST[INVESTOR NAME],MATCH(I2620,INVESTOR_LIST[INVESTOR CODE],0),)," ")</f>
        <v xml:space="preserve"> </v>
      </c>
      <c r="I2620" s="284"/>
      <c r="J2620" s="285" t="s">
        <v>131</v>
      </c>
      <c r="K2620" s="286">
        <v>86807.65</v>
      </c>
      <c r="L2620" s="286"/>
    </row>
    <row r="2621" spans="1:13" ht="11.25" customHeight="1" x14ac:dyDescent="0.2">
      <c r="A2621" s="287">
        <v>2023</v>
      </c>
      <c r="B2621" s="287">
        <v>3</v>
      </c>
      <c r="C2621" s="287">
        <v>16</v>
      </c>
      <c r="D2621" s="288">
        <f t="shared" si="293"/>
        <v>45001</v>
      </c>
      <c r="E2621" s="289">
        <f t="shared" si="299"/>
        <v>45001</v>
      </c>
      <c r="F2621" s="473"/>
      <c r="G2621" s="290" t="s">
        <v>86</v>
      </c>
      <c r="H2621" s="291" t="str" cm="1">
        <f t="array" ref="H2621">IFERROR(INDEX(INVESTOR_LIST[INVESTOR NAME],MATCH(I2621,INVESTOR_LIST[INVESTOR CODE],0),)," ")</f>
        <v xml:space="preserve"> </v>
      </c>
      <c r="I2621" s="291"/>
      <c r="J2621" s="292" t="s">
        <v>174</v>
      </c>
      <c r="K2621" s="293"/>
      <c r="L2621" s="293">
        <v>86807.65</v>
      </c>
    </row>
    <row r="2622" spans="1:13" ht="11.25" customHeight="1" x14ac:dyDescent="0.2">
      <c r="A2622" s="280">
        <v>2023</v>
      </c>
      <c r="B2622" s="280">
        <v>3</v>
      </c>
      <c r="C2622" s="280">
        <v>16</v>
      </c>
      <c r="D2622" s="281">
        <f t="shared" si="293"/>
        <v>45001</v>
      </c>
      <c r="E2622" s="282">
        <f t="shared" si="299"/>
        <v>45001</v>
      </c>
      <c r="F2622" s="472" t="s">
        <v>1295</v>
      </c>
      <c r="G2622" s="283" t="s">
        <v>86</v>
      </c>
      <c r="H2622" s="284" t="str" cm="1">
        <f t="array" ref="H2622">IFERROR(INDEX(INVESTOR_LIST[INVESTOR NAME],MATCH(I2622,INVESTOR_LIST[INVESTOR CODE],0),)," ")</f>
        <v xml:space="preserve"> </v>
      </c>
      <c r="I2622" s="284"/>
      <c r="J2622" s="285" t="s">
        <v>131</v>
      </c>
      <c r="K2622" s="286">
        <v>16923.080000000002</v>
      </c>
      <c r="L2622" s="286"/>
    </row>
    <row r="2623" spans="1:13" ht="11.25" customHeight="1" x14ac:dyDescent="0.2">
      <c r="A2623" s="287">
        <v>2023</v>
      </c>
      <c r="B2623" s="287">
        <v>3</v>
      </c>
      <c r="C2623" s="287">
        <v>16</v>
      </c>
      <c r="D2623" s="288">
        <f t="shared" si="293"/>
        <v>45001</v>
      </c>
      <c r="E2623" s="289">
        <f t="shared" si="299"/>
        <v>45001</v>
      </c>
      <c r="F2623" s="473"/>
      <c r="G2623" s="290" t="s">
        <v>86</v>
      </c>
      <c r="H2623" s="291" t="str" cm="1">
        <f t="array" ref="H2623">IFERROR(INDEX(INVESTOR_LIST[INVESTOR NAME],MATCH(I2623,INVESTOR_LIST[INVESTOR CODE],0),)," ")</f>
        <v xml:space="preserve"> </v>
      </c>
      <c r="I2623" s="291"/>
      <c r="J2623" s="292" t="s">
        <v>174</v>
      </c>
      <c r="K2623" s="293"/>
      <c r="L2623" s="293">
        <v>16923.080000000002</v>
      </c>
    </row>
    <row r="2624" spans="1:13" ht="11.25" customHeight="1" x14ac:dyDescent="0.2">
      <c r="A2624" s="280">
        <v>2023</v>
      </c>
      <c r="B2624" s="280">
        <v>3</v>
      </c>
      <c r="C2624" s="280">
        <v>16</v>
      </c>
      <c r="D2624" s="281">
        <f t="shared" si="293"/>
        <v>45001</v>
      </c>
      <c r="E2624" s="282">
        <f t="shared" si="299"/>
        <v>45001</v>
      </c>
      <c r="F2624" s="472" t="s">
        <v>1294</v>
      </c>
      <c r="G2624" s="283" t="s">
        <v>86</v>
      </c>
      <c r="H2624" s="284" t="str" cm="1">
        <f t="array" ref="H2624">IFERROR(INDEX(INVESTOR_LIST[INVESTOR NAME],MATCH(I2624,INVESTOR_LIST[INVESTOR CODE],0),)," ")</f>
        <v xml:space="preserve"> </v>
      </c>
      <c r="I2624" s="284"/>
      <c r="J2624" s="285" t="s">
        <v>131</v>
      </c>
      <c r="K2624" s="286">
        <v>9423.08</v>
      </c>
      <c r="L2624" s="286"/>
    </row>
    <row r="2625" spans="1:14" ht="11.25" customHeight="1" x14ac:dyDescent="0.2">
      <c r="A2625" s="287">
        <v>2023</v>
      </c>
      <c r="B2625" s="287">
        <v>3</v>
      </c>
      <c r="C2625" s="287">
        <v>16</v>
      </c>
      <c r="D2625" s="288">
        <f t="shared" si="293"/>
        <v>45001</v>
      </c>
      <c r="E2625" s="289">
        <f t="shared" si="299"/>
        <v>45001</v>
      </c>
      <c r="F2625" s="473"/>
      <c r="G2625" s="290" t="s">
        <v>86</v>
      </c>
      <c r="H2625" s="291" t="str" cm="1">
        <f t="array" ref="H2625">IFERROR(INDEX(INVESTOR_LIST[INVESTOR NAME],MATCH(I2625,INVESTOR_LIST[INVESTOR CODE],0),)," ")</f>
        <v xml:space="preserve"> </v>
      </c>
      <c r="I2625" s="291"/>
      <c r="J2625" s="292" t="s">
        <v>174</v>
      </c>
      <c r="K2625" s="293"/>
      <c r="L2625" s="293">
        <v>9423.08</v>
      </c>
    </row>
    <row r="2626" spans="1:14" ht="11.25" customHeight="1" x14ac:dyDescent="0.2">
      <c r="A2626" s="280">
        <v>2023</v>
      </c>
      <c r="B2626" s="280">
        <v>3</v>
      </c>
      <c r="C2626" s="280">
        <v>16</v>
      </c>
      <c r="D2626" s="281">
        <f t="shared" si="293"/>
        <v>45001</v>
      </c>
      <c r="E2626" s="282">
        <f t="shared" si="299"/>
        <v>45001</v>
      </c>
      <c r="F2626" s="472" t="s">
        <v>1376</v>
      </c>
      <c r="G2626" s="283" t="s">
        <v>86</v>
      </c>
      <c r="H2626" s="284" t="str" cm="1">
        <f t="array" ref="H2626">IFERROR(INDEX(INVESTOR_LIST[INVESTOR NAME],MATCH(I2626,INVESTOR_LIST[INVESTOR CODE],0),)," ")</f>
        <v xml:space="preserve"> </v>
      </c>
      <c r="I2626" s="284"/>
      <c r="J2626" s="285" t="s">
        <v>131</v>
      </c>
      <c r="K2626" s="286">
        <v>4673.08</v>
      </c>
      <c r="L2626" s="286"/>
    </row>
    <row r="2627" spans="1:14" ht="11.25" customHeight="1" x14ac:dyDescent="0.2">
      <c r="A2627" s="287">
        <v>2023</v>
      </c>
      <c r="B2627" s="287">
        <v>3</v>
      </c>
      <c r="C2627" s="287">
        <v>16</v>
      </c>
      <c r="D2627" s="288">
        <f t="shared" si="293"/>
        <v>45001</v>
      </c>
      <c r="E2627" s="289">
        <f t="shared" si="299"/>
        <v>45001</v>
      </c>
      <c r="F2627" s="473"/>
      <c r="G2627" s="290" t="s">
        <v>86</v>
      </c>
      <c r="H2627" s="291" t="str" cm="1">
        <f t="array" ref="H2627">IFERROR(INDEX(INVESTOR_LIST[INVESTOR NAME],MATCH(I2627,INVESTOR_LIST[INVESTOR CODE],0),)," ")</f>
        <v xml:space="preserve"> </v>
      </c>
      <c r="I2627" s="291"/>
      <c r="J2627" s="292" t="s">
        <v>174</v>
      </c>
      <c r="K2627" s="293"/>
      <c r="L2627" s="293">
        <v>4673.08</v>
      </c>
    </row>
    <row r="2628" spans="1:14" ht="11.25" customHeight="1" x14ac:dyDescent="0.2">
      <c r="A2628" s="236">
        <v>2023</v>
      </c>
      <c r="B2628" s="236">
        <v>3</v>
      </c>
      <c r="C2628" s="236">
        <v>16</v>
      </c>
      <c r="D2628" s="237">
        <f t="shared" si="293"/>
        <v>45001</v>
      </c>
      <c r="E2628" s="238">
        <f t="shared" si="299"/>
        <v>45001</v>
      </c>
      <c r="F2628" s="476" t="s">
        <v>1118</v>
      </c>
      <c r="G2628" s="239" t="s">
        <v>86</v>
      </c>
      <c r="H2628" s="239" t="str" cm="1">
        <f t="array" ref="H2628">IFERROR(INDEX(INVESTOR_LIST[INVESTOR NAME],MATCH(I2628,INVESTOR_LIST[INVESTOR CODE],0),)," ")</f>
        <v xml:space="preserve"> </v>
      </c>
      <c r="I2628" s="240"/>
      <c r="J2628" s="241" t="s">
        <v>98</v>
      </c>
      <c r="K2628" s="242">
        <v>7012.0769230872393</v>
      </c>
      <c r="L2628" s="242"/>
    </row>
    <row r="2629" spans="1:14" ht="11.25" customHeight="1" x14ac:dyDescent="0.2">
      <c r="A2629" s="243">
        <v>2023</v>
      </c>
      <c r="B2629" s="243">
        <v>3</v>
      </c>
      <c r="C2629" s="243">
        <v>16</v>
      </c>
      <c r="D2629" s="248">
        <f t="shared" si="293"/>
        <v>45001</v>
      </c>
      <c r="E2629" s="249">
        <f t="shared" si="299"/>
        <v>45001</v>
      </c>
      <c r="F2629" s="477"/>
      <c r="G2629" s="244" t="s">
        <v>86</v>
      </c>
      <c r="H2629" s="244" t="str" cm="1">
        <f t="array" ref="H2629">IFERROR(INDEX(INVESTOR_LIST[INVESTOR NAME],MATCH(I2629,INVESTOR_LIST[INVESTOR CODE],0),)," ")</f>
        <v xml:space="preserve"> </v>
      </c>
      <c r="I2629" s="245"/>
      <c r="J2629" s="246" t="s">
        <v>82</v>
      </c>
      <c r="K2629" s="247"/>
      <c r="L2629" s="247">
        <v>7012.0769230872393</v>
      </c>
    </row>
    <row r="2630" spans="1:14" ht="11.25" customHeight="1" x14ac:dyDescent="0.2">
      <c r="A2630" s="236">
        <v>2023</v>
      </c>
      <c r="B2630" s="236">
        <v>3</v>
      </c>
      <c r="C2630" s="236">
        <v>16</v>
      </c>
      <c r="D2630" s="237">
        <f t="shared" si="293"/>
        <v>45001</v>
      </c>
      <c r="E2630" s="238">
        <f t="shared" si="299"/>
        <v>45001</v>
      </c>
      <c r="F2630" s="476" t="s">
        <v>1120</v>
      </c>
      <c r="G2630" s="239" t="s">
        <v>86</v>
      </c>
      <c r="H2630" s="239" t="str" cm="1">
        <f t="array" ref="H2630">IFERROR(INDEX(INVESTOR_LIST[INVESTOR NAME],MATCH(I2630,INVESTOR_LIST[INVESTOR CODE],0),)," ")</f>
        <v xml:space="preserve"> </v>
      </c>
      <c r="I2630" s="240"/>
      <c r="J2630" s="241" t="s">
        <v>87</v>
      </c>
      <c r="K2630" s="242">
        <v>2747.2527472527472</v>
      </c>
      <c r="L2630" s="242"/>
    </row>
    <row r="2631" spans="1:14" ht="11.25" customHeight="1" x14ac:dyDescent="0.2">
      <c r="A2631" s="243">
        <v>2023</v>
      </c>
      <c r="B2631" s="243">
        <v>3</v>
      </c>
      <c r="C2631" s="243">
        <v>16</v>
      </c>
      <c r="D2631" s="248">
        <f t="shared" si="293"/>
        <v>45001</v>
      </c>
      <c r="E2631" s="249">
        <f t="shared" si="299"/>
        <v>45001</v>
      </c>
      <c r="F2631" s="477"/>
      <c r="G2631" s="244" t="s">
        <v>86</v>
      </c>
      <c r="H2631" s="244" t="str" cm="1">
        <f t="array" ref="H2631">IFERROR(INDEX(INVESTOR_LIST[INVESTOR NAME],MATCH(I2631,INVESTOR_LIST[INVESTOR CODE],0),)," ")</f>
        <v xml:space="preserve"> </v>
      </c>
      <c r="I2631" s="245"/>
      <c r="J2631" s="246" t="s">
        <v>64</v>
      </c>
      <c r="K2631" s="247"/>
      <c r="L2631" s="247">
        <v>2747.2527472527472</v>
      </c>
    </row>
    <row r="2632" spans="1:14" ht="11.25" customHeight="1" x14ac:dyDescent="0.2">
      <c r="A2632" s="236">
        <v>2023</v>
      </c>
      <c r="B2632" s="236">
        <v>3</v>
      </c>
      <c r="C2632" s="236">
        <v>16</v>
      </c>
      <c r="D2632" s="237">
        <f t="shared" si="293"/>
        <v>45001</v>
      </c>
      <c r="E2632" s="238">
        <f t="shared" si="299"/>
        <v>45001</v>
      </c>
      <c r="F2632" s="476" t="s">
        <v>1121</v>
      </c>
      <c r="G2632" s="239" t="s">
        <v>86</v>
      </c>
      <c r="H2632" s="239" t="str" cm="1">
        <f t="array" ref="H2632">IFERROR(INDEX(INVESTOR_LIST[INVESTOR NAME],MATCH(I2632,INVESTOR_LIST[INVESTOR CODE],0),)," ")</f>
        <v xml:space="preserve"> </v>
      </c>
      <c r="I2632" s="240"/>
      <c r="J2632" s="241" t="s">
        <v>89</v>
      </c>
      <c r="K2632" s="242">
        <v>37095.700692836384</v>
      </c>
      <c r="L2632" s="242"/>
    </row>
    <row r="2633" spans="1:14" ht="11.25" customHeight="1" x14ac:dyDescent="0.2">
      <c r="A2633" s="243">
        <v>2023</v>
      </c>
      <c r="B2633" s="243">
        <v>3</v>
      </c>
      <c r="C2633" s="243">
        <v>16</v>
      </c>
      <c r="D2633" s="248">
        <f t="shared" ref="D2633:D2696" si="301">DATE(A2633,B2633,C2633)</f>
        <v>45001</v>
      </c>
      <c r="E2633" s="249">
        <f t="shared" si="299"/>
        <v>45001</v>
      </c>
      <c r="F2633" s="477"/>
      <c r="G2633" s="244" t="s">
        <v>86</v>
      </c>
      <c r="H2633" s="244" t="str" cm="1">
        <f t="array" ref="H2633">IFERROR(INDEX(INVESTOR_LIST[INVESTOR NAME],MATCH(I2633,INVESTOR_LIST[INVESTOR CODE],0),)," ")</f>
        <v xml:space="preserve"> </v>
      </c>
      <c r="I2633" s="245"/>
      <c r="J2633" s="246" t="s">
        <v>50</v>
      </c>
      <c r="K2633" s="247"/>
      <c r="L2633" s="247">
        <v>37095.700692836384</v>
      </c>
    </row>
    <row r="2634" spans="1:14" ht="11.25" customHeight="1" x14ac:dyDescent="0.2">
      <c r="A2634" s="236">
        <v>2023</v>
      </c>
      <c r="B2634" s="236">
        <v>3</v>
      </c>
      <c r="C2634" s="236">
        <v>16</v>
      </c>
      <c r="D2634" s="237">
        <f t="shared" si="301"/>
        <v>45001</v>
      </c>
      <c r="E2634" s="238">
        <f t="shared" si="299"/>
        <v>45001</v>
      </c>
      <c r="F2634" s="476" t="s">
        <v>1122</v>
      </c>
      <c r="G2634" s="239" t="s">
        <v>86</v>
      </c>
      <c r="H2634" s="239" t="str" cm="1">
        <f t="array" ref="H2634">IFERROR(INDEX(INVESTOR_LIST[INVESTOR NAME],MATCH(I2634,INVESTOR_LIST[INVESTOR CODE],0),)," ")</f>
        <v xml:space="preserve"> </v>
      </c>
      <c r="I2634" s="240"/>
      <c r="J2634" s="241" t="s">
        <v>91</v>
      </c>
      <c r="K2634" s="242">
        <v>3709.570069283639</v>
      </c>
      <c r="L2634" s="242"/>
    </row>
    <row r="2635" spans="1:14" ht="11.25" customHeight="1" x14ac:dyDescent="0.2">
      <c r="A2635" s="243">
        <v>2023</v>
      </c>
      <c r="B2635" s="243">
        <v>3</v>
      </c>
      <c r="C2635" s="243">
        <v>16</v>
      </c>
      <c r="D2635" s="248">
        <f t="shared" si="301"/>
        <v>45001</v>
      </c>
      <c r="E2635" s="249">
        <f t="shared" si="299"/>
        <v>45001</v>
      </c>
      <c r="F2635" s="477"/>
      <c r="G2635" s="244" t="s">
        <v>86</v>
      </c>
      <c r="H2635" s="244" t="str" cm="1">
        <f t="array" ref="H2635">IFERROR(INDEX(INVESTOR_LIST[INVESTOR NAME],MATCH(I2635,INVESTOR_LIST[INVESTOR CODE],0),)," ")</f>
        <v xml:space="preserve"> </v>
      </c>
      <c r="I2635" s="245"/>
      <c r="J2635" s="246" t="s">
        <v>51</v>
      </c>
      <c r="K2635" s="247"/>
      <c r="L2635" s="247">
        <v>3709.570069283639</v>
      </c>
    </row>
    <row r="2636" spans="1:14" ht="11.25" customHeight="1" x14ac:dyDescent="0.2">
      <c r="A2636" s="221">
        <v>2023</v>
      </c>
      <c r="B2636" s="221">
        <v>3</v>
      </c>
      <c r="C2636" s="221">
        <v>20</v>
      </c>
      <c r="D2636" s="231">
        <f t="shared" si="301"/>
        <v>45005</v>
      </c>
      <c r="E2636" s="233">
        <f t="shared" si="299"/>
        <v>45005</v>
      </c>
      <c r="F2636" s="478" t="s">
        <v>802</v>
      </c>
      <c r="G2636" s="222" t="s">
        <v>1111</v>
      </c>
      <c r="H2636" s="223" t="str" cm="1">
        <f t="array" ref="H2636">IFERROR(INDEX(INVESTOR_LIST[INVESTOR NAME],MATCH(I2636,INVESTOR_LIST[INVESTOR CODE],0),)," ")</f>
        <v>KAZI AHSAN MARUF</v>
      </c>
      <c r="I2636" s="223" t="s">
        <v>372</v>
      </c>
      <c r="J2636" s="224" t="s">
        <v>55</v>
      </c>
      <c r="K2636" s="167">
        <v>75000</v>
      </c>
      <c r="L2636" s="225"/>
      <c r="N2636" s="205"/>
    </row>
    <row r="2637" spans="1:14" ht="11.25" customHeight="1" x14ac:dyDescent="0.2">
      <c r="A2637" s="164">
        <v>2023</v>
      </c>
      <c r="B2637" s="164">
        <v>3</v>
      </c>
      <c r="C2637" s="164">
        <v>20</v>
      </c>
      <c r="D2637" s="156">
        <f t="shared" si="301"/>
        <v>45005</v>
      </c>
      <c r="E2637" s="235">
        <f t="shared" si="299"/>
        <v>45005</v>
      </c>
      <c r="F2637" s="480"/>
      <c r="G2637" s="208" t="s">
        <v>1111</v>
      </c>
      <c r="H2637" s="206" t="str" cm="1">
        <f t="array" ref="H2637">IFERROR(INDEX(INVESTOR_LIST[INVESTOR NAME],MATCH(I2637,INVESTOR_LIST[INVESTOR CODE],0),)," ")</f>
        <v>KAZI AHSAN MARUF</v>
      </c>
      <c r="I2637" s="206" t="s">
        <v>372</v>
      </c>
      <c r="J2637" s="165" t="s">
        <v>1112</v>
      </c>
      <c r="K2637" s="205"/>
      <c r="L2637" s="205">
        <v>700</v>
      </c>
    </row>
    <row r="2638" spans="1:14" ht="11.25" customHeight="1" x14ac:dyDescent="0.2">
      <c r="A2638" s="226">
        <v>2023</v>
      </c>
      <c r="B2638" s="226">
        <v>3</v>
      </c>
      <c r="C2638" s="226">
        <v>20</v>
      </c>
      <c r="D2638" s="232">
        <f t="shared" si="301"/>
        <v>45005</v>
      </c>
      <c r="E2638" s="234">
        <f t="shared" si="299"/>
        <v>45005</v>
      </c>
      <c r="F2638" s="479"/>
      <c r="G2638" s="227" t="s">
        <v>1111</v>
      </c>
      <c r="H2638" s="228" t="str" cm="1">
        <f t="array" ref="H2638">IFERROR(INDEX(INVESTOR_LIST[INVESTOR NAME],MATCH(I2638,INVESTOR_LIST[INVESTOR CODE],0),)," ")</f>
        <v>KAZI AHSAN MARUF</v>
      </c>
      <c r="I2638" s="228" t="s">
        <v>372</v>
      </c>
      <c r="J2638" s="229" t="s">
        <v>14</v>
      </c>
      <c r="K2638" s="230"/>
      <c r="L2638" s="205">
        <v>74300</v>
      </c>
    </row>
    <row r="2639" spans="1:14" ht="11.25" customHeight="1" x14ac:dyDescent="0.2">
      <c r="A2639" s="221">
        <v>2023</v>
      </c>
      <c r="B2639" s="221">
        <v>3</v>
      </c>
      <c r="C2639" s="221">
        <v>20</v>
      </c>
      <c r="D2639" s="231">
        <f t="shared" si="301"/>
        <v>45005</v>
      </c>
      <c r="E2639" s="233">
        <f t="shared" ref="E2639:E2673" si="302">DATE(A2639,B2639,C2639)</f>
        <v>45005</v>
      </c>
      <c r="F2639" s="478" t="s">
        <v>802</v>
      </c>
      <c r="G2639" s="222" t="s">
        <v>1111</v>
      </c>
      <c r="H2639" s="223" t="str" cm="1">
        <f t="array" ref="H2639">IFERROR(INDEX(INVESTOR_LIST[INVESTOR NAME],MATCH(I2639,INVESTOR_LIST[INVESTOR CODE],0),)," ")</f>
        <v>HARI PADA SAHA</v>
      </c>
      <c r="I2639" s="223" t="s">
        <v>319</v>
      </c>
      <c r="J2639" s="224" t="s">
        <v>55</v>
      </c>
      <c r="K2639" s="167">
        <v>484517.76</v>
      </c>
      <c r="L2639" s="225"/>
    </row>
    <row r="2640" spans="1:14" ht="11.25" customHeight="1" x14ac:dyDescent="0.2">
      <c r="A2640" s="164">
        <v>2023</v>
      </c>
      <c r="B2640" s="164">
        <v>3</v>
      </c>
      <c r="C2640" s="164">
        <v>20</v>
      </c>
      <c r="D2640" s="156">
        <f t="shared" si="301"/>
        <v>45005</v>
      </c>
      <c r="E2640" s="235">
        <f t="shared" si="302"/>
        <v>45005</v>
      </c>
      <c r="F2640" s="480"/>
      <c r="G2640" s="208" t="s">
        <v>1111</v>
      </c>
      <c r="H2640" s="206" t="str" cm="1">
        <f t="array" ref="H2640">IFERROR(INDEX(INVESTOR_LIST[INVESTOR NAME],MATCH(I2640,INVESTOR_LIST[INVESTOR CODE],0),)," ")</f>
        <v>HARI PADA SAHA</v>
      </c>
      <c r="I2640" s="206" t="s">
        <v>319</v>
      </c>
      <c r="J2640" s="165" t="s">
        <v>1112</v>
      </c>
      <c r="L2640" s="205">
        <v>4507.76</v>
      </c>
    </row>
    <row r="2641" spans="1:13" ht="11.25" customHeight="1" x14ac:dyDescent="0.2">
      <c r="A2641" s="226">
        <v>2023</v>
      </c>
      <c r="B2641" s="226">
        <v>3</v>
      </c>
      <c r="C2641" s="226">
        <v>20</v>
      </c>
      <c r="D2641" s="232">
        <f t="shared" si="301"/>
        <v>45005</v>
      </c>
      <c r="E2641" s="234">
        <f t="shared" si="302"/>
        <v>45005</v>
      </c>
      <c r="F2641" s="479"/>
      <c r="G2641" s="227" t="s">
        <v>1111</v>
      </c>
      <c r="H2641" s="228" t="str" cm="1">
        <f t="array" ref="H2641">IFERROR(INDEX(INVESTOR_LIST[INVESTOR NAME],MATCH(I2641,INVESTOR_LIST[INVESTOR CODE],0),)," ")</f>
        <v>HARI PADA SAHA</v>
      </c>
      <c r="I2641" s="228" t="s">
        <v>319</v>
      </c>
      <c r="J2641" s="229" t="s">
        <v>14</v>
      </c>
      <c r="K2641" s="230"/>
      <c r="L2641" s="230">
        <v>480010</v>
      </c>
    </row>
    <row r="2642" spans="1:13" ht="11.25" customHeight="1" x14ac:dyDescent="0.2">
      <c r="A2642" s="221">
        <v>2023</v>
      </c>
      <c r="B2642" s="221">
        <v>3</v>
      </c>
      <c r="C2642" s="221">
        <v>21</v>
      </c>
      <c r="D2642" s="231">
        <f t="shared" si="301"/>
        <v>45006</v>
      </c>
      <c r="E2642" s="233">
        <f t="shared" si="302"/>
        <v>45006</v>
      </c>
      <c r="F2642" s="478" t="s">
        <v>1115</v>
      </c>
      <c r="G2642" s="222" t="s">
        <v>1111</v>
      </c>
      <c r="H2642" s="223" t="str" cm="1">
        <f t="array" ref="H2642">IFERROR(INDEX(INVESTOR_LIST[INVESTOR NAME],MATCH(I2642,INVESTOR_LIST[INVESTOR CODE],0),)," ")</f>
        <v>FARUQUE AHMED &amp; ZAHEDA BEGUM HENA</v>
      </c>
      <c r="I2642" s="223" t="s">
        <v>481</v>
      </c>
      <c r="J2642" s="224" t="s">
        <v>14</v>
      </c>
      <c r="K2642" s="225">
        <v>990690</v>
      </c>
      <c r="L2642" s="225"/>
    </row>
    <row r="2643" spans="1:13" ht="11.25" customHeight="1" x14ac:dyDescent="0.2">
      <c r="A2643" s="164">
        <v>2023</v>
      </c>
      <c r="B2643" s="164">
        <v>3</v>
      </c>
      <c r="C2643" s="164">
        <v>21</v>
      </c>
      <c r="D2643" s="156">
        <f t="shared" si="301"/>
        <v>45006</v>
      </c>
      <c r="E2643" s="235">
        <f t="shared" si="302"/>
        <v>45006</v>
      </c>
      <c r="F2643" s="480"/>
      <c r="G2643" s="208" t="s">
        <v>1111</v>
      </c>
      <c r="H2643" s="206" t="str" cm="1">
        <f t="array" ref="H2643">IFERROR(INDEX(INVESTOR_LIST[INVESTOR NAME],MATCH(I2643,INVESTOR_LIST[INVESTOR CODE],0),)," ")</f>
        <v>FARUQUE AHMED &amp; ZAHEDA BEGUM HENA</v>
      </c>
      <c r="I2643" s="206" t="s">
        <v>481</v>
      </c>
      <c r="J2643" s="165" t="s">
        <v>1112</v>
      </c>
      <c r="K2643" s="205">
        <v>9310</v>
      </c>
    </row>
    <row r="2644" spans="1:13" ht="11.25" customHeight="1" x14ac:dyDescent="0.2">
      <c r="A2644" s="226">
        <v>2023</v>
      </c>
      <c r="B2644" s="226">
        <v>3</v>
      </c>
      <c r="C2644" s="226">
        <v>21</v>
      </c>
      <c r="D2644" s="232">
        <f t="shared" si="301"/>
        <v>45006</v>
      </c>
      <c r="E2644" s="234">
        <f t="shared" si="302"/>
        <v>45006</v>
      </c>
      <c r="F2644" s="479"/>
      <c r="G2644" s="227" t="s">
        <v>1111</v>
      </c>
      <c r="H2644" s="228" t="str" cm="1">
        <f t="array" ref="H2644">IFERROR(INDEX(INVESTOR_LIST[INVESTOR NAME],MATCH(I2644,INVESTOR_LIST[INVESTOR CODE],0),)," ")</f>
        <v>FARUQUE AHMED &amp; ZAHEDA BEGUM HENA</v>
      </c>
      <c r="I2644" s="228" t="s">
        <v>481</v>
      </c>
      <c r="J2644" s="229" t="s">
        <v>55</v>
      </c>
      <c r="K2644" s="230"/>
      <c r="L2644" s="230">
        <v>1000000</v>
      </c>
    </row>
    <row r="2645" spans="1:13" ht="11.25" customHeight="1" x14ac:dyDescent="0.2">
      <c r="A2645" s="221">
        <v>2023</v>
      </c>
      <c r="B2645" s="221">
        <v>3</v>
      </c>
      <c r="C2645" s="221">
        <v>21</v>
      </c>
      <c r="D2645" s="231">
        <f t="shared" si="301"/>
        <v>45006</v>
      </c>
      <c r="E2645" s="233">
        <f t="shared" si="302"/>
        <v>45006</v>
      </c>
      <c r="F2645" s="478" t="s">
        <v>1391</v>
      </c>
      <c r="G2645" s="222" t="s">
        <v>1111</v>
      </c>
      <c r="H2645" s="223" t="str" cm="1">
        <f t="array" ref="H2645">IFERROR(INDEX(INVESTOR_LIST[INVESTOR NAME],MATCH(I2645,INVESTOR_LIST[INVESTOR CODE],0),)," ")</f>
        <v xml:space="preserve"> </v>
      </c>
      <c r="I2645" s="223"/>
      <c r="J2645" s="224" t="s">
        <v>63</v>
      </c>
      <c r="K2645" s="225">
        <v>100</v>
      </c>
      <c r="L2645" s="225"/>
    </row>
    <row r="2646" spans="1:13" ht="11.25" customHeight="1" x14ac:dyDescent="0.2">
      <c r="A2646" s="226">
        <v>2023</v>
      </c>
      <c r="B2646" s="226">
        <v>3</v>
      </c>
      <c r="C2646" s="226">
        <v>21</v>
      </c>
      <c r="D2646" s="232">
        <f t="shared" si="301"/>
        <v>45006</v>
      </c>
      <c r="E2646" s="234">
        <f t="shared" si="302"/>
        <v>45006</v>
      </c>
      <c r="F2646" s="479"/>
      <c r="G2646" s="227" t="s">
        <v>1111</v>
      </c>
      <c r="H2646" s="228" t="str" cm="1">
        <f t="array" ref="H2646">IFERROR(INDEX(INVESTOR_LIST[INVESTOR NAME],MATCH(I2646,INVESTOR_LIST[INVESTOR CODE],0),)," ")</f>
        <v xml:space="preserve"> </v>
      </c>
      <c r="I2646" s="228"/>
      <c r="J2646" s="229" t="s">
        <v>55</v>
      </c>
      <c r="K2646" s="230"/>
      <c r="L2646" s="230">
        <v>100</v>
      </c>
    </row>
    <row r="2647" spans="1:13" ht="11.25" customHeight="1" x14ac:dyDescent="0.2">
      <c r="A2647" s="221">
        <v>2023</v>
      </c>
      <c r="B2647" s="221">
        <v>3</v>
      </c>
      <c r="C2647" s="221">
        <v>22</v>
      </c>
      <c r="D2647" s="231">
        <f t="shared" si="301"/>
        <v>45007</v>
      </c>
      <c r="E2647" s="233">
        <f t="shared" si="302"/>
        <v>45007</v>
      </c>
      <c r="F2647" s="478" t="s">
        <v>1448</v>
      </c>
      <c r="G2647" s="222" t="s">
        <v>1111</v>
      </c>
      <c r="H2647" s="223" t="str" cm="1">
        <f t="array" ref="H2647">IFERROR(INDEX(INVESTOR_LIST[INVESTOR NAME],MATCH(I2647,INVESTOR_LIST[INVESTOR CODE],0),)," ")</f>
        <v xml:space="preserve"> </v>
      </c>
      <c r="I2647" s="223"/>
      <c r="J2647" s="224" t="s">
        <v>88</v>
      </c>
      <c r="K2647" s="225">
        <v>2000000</v>
      </c>
      <c r="L2647" s="225"/>
    </row>
    <row r="2648" spans="1:13" ht="11.25" customHeight="1" x14ac:dyDescent="0.2">
      <c r="A2648" s="164">
        <v>2023</v>
      </c>
      <c r="B2648" s="164">
        <v>3</v>
      </c>
      <c r="C2648" s="164">
        <v>22</v>
      </c>
      <c r="D2648" s="156">
        <f t="shared" si="301"/>
        <v>45007</v>
      </c>
      <c r="E2648" s="235">
        <f t="shared" si="302"/>
        <v>45007</v>
      </c>
      <c r="F2648" s="480"/>
      <c r="G2648" s="208" t="s">
        <v>1111</v>
      </c>
      <c r="J2648" s="165" t="s">
        <v>55</v>
      </c>
      <c r="K2648" s="205">
        <v>32000</v>
      </c>
      <c r="L2648" s="205"/>
    </row>
    <row r="2649" spans="1:13" ht="11.25" customHeight="1" x14ac:dyDescent="0.2">
      <c r="A2649" s="164">
        <v>2023</v>
      </c>
      <c r="B2649" s="164">
        <v>3</v>
      </c>
      <c r="C2649" s="164">
        <v>22</v>
      </c>
      <c r="D2649" s="156">
        <f t="shared" si="301"/>
        <v>45007</v>
      </c>
      <c r="E2649" s="235">
        <f t="shared" si="302"/>
        <v>45007</v>
      </c>
      <c r="F2649" s="480"/>
      <c r="G2649" s="208" t="s">
        <v>1111</v>
      </c>
      <c r="J2649" s="165" t="s">
        <v>63</v>
      </c>
      <c r="K2649" s="205">
        <v>3000</v>
      </c>
      <c r="L2649" s="205"/>
    </row>
    <row r="2650" spans="1:13" ht="11.25" customHeight="1" x14ac:dyDescent="0.2">
      <c r="A2650" s="164">
        <v>2023</v>
      </c>
      <c r="B2650" s="164">
        <v>3</v>
      </c>
      <c r="C2650" s="164">
        <v>22</v>
      </c>
      <c r="D2650" s="156">
        <f t="shared" si="301"/>
        <v>45007</v>
      </c>
      <c r="E2650" s="235">
        <f t="shared" si="302"/>
        <v>45007</v>
      </c>
      <c r="F2650" s="480"/>
      <c r="G2650" s="208" t="s">
        <v>1111</v>
      </c>
      <c r="J2650" s="165" t="s">
        <v>131</v>
      </c>
      <c r="K2650" s="205"/>
      <c r="L2650" s="205">
        <v>35000</v>
      </c>
    </row>
    <row r="2651" spans="1:13" ht="11.25" customHeight="1" x14ac:dyDescent="0.2">
      <c r="A2651" s="226">
        <v>2023</v>
      </c>
      <c r="B2651" s="226">
        <v>3</v>
      </c>
      <c r="C2651" s="226">
        <v>22</v>
      </c>
      <c r="D2651" s="232">
        <f t="shared" si="301"/>
        <v>45007</v>
      </c>
      <c r="E2651" s="234">
        <f t="shared" si="302"/>
        <v>45007</v>
      </c>
      <c r="F2651" s="479"/>
      <c r="G2651" s="227" t="s">
        <v>1111</v>
      </c>
      <c r="H2651" s="228" t="str" cm="1">
        <f t="array" ref="H2651">IFERROR(INDEX(INVESTOR_LIST[INVESTOR NAME],MATCH(I2651,INVESTOR_LIST[INVESTOR CODE],0),)," ")</f>
        <v xml:space="preserve"> </v>
      </c>
      <c r="I2651" s="228"/>
      <c r="J2651" s="229" t="s">
        <v>88</v>
      </c>
      <c r="K2651" s="230"/>
      <c r="L2651" s="230">
        <v>2000000</v>
      </c>
    </row>
    <row r="2652" spans="1:13" ht="11.25" customHeight="1" x14ac:dyDescent="0.2">
      <c r="A2652" s="221">
        <v>2023</v>
      </c>
      <c r="B2652" s="221">
        <v>3</v>
      </c>
      <c r="C2652" s="221">
        <v>22</v>
      </c>
      <c r="D2652" s="231">
        <f t="shared" si="301"/>
        <v>45007</v>
      </c>
      <c r="E2652" s="233">
        <f t="shared" si="302"/>
        <v>45007</v>
      </c>
      <c r="F2652" s="478" t="s">
        <v>1449</v>
      </c>
      <c r="G2652" s="222" t="s">
        <v>1111</v>
      </c>
      <c r="H2652" s="222" t="str" cm="1">
        <f t="array" ref="H2652">IFERROR(INDEX(INVESTOR_LIST[INVESTOR NAME],MATCH(I2652,INVESTOR_LIST[INVESTOR CODE],0),)," ")</f>
        <v xml:space="preserve"> </v>
      </c>
      <c r="I2652" s="223"/>
      <c r="J2652" s="224" t="s">
        <v>55</v>
      </c>
      <c r="K2652" s="225">
        <v>499569.4</v>
      </c>
      <c r="L2652" s="225"/>
    </row>
    <row r="2653" spans="1:13" ht="11.25" customHeight="1" x14ac:dyDescent="0.2">
      <c r="A2653" s="164">
        <v>2023</v>
      </c>
      <c r="B2653" s="164">
        <v>3</v>
      </c>
      <c r="C2653" s="164">
        <v>22</v>
      </c>
      <c r="D2653" s="156">
        <f t="shared" si="301"/>
        <v>45007</v>
      </c>
      <c r="E2653" s="235">
        <f t="shared" ref="E2653" si="303">DATE(A2653,B2653,C2653)</f>
        <v>45007</v>
      </c>
      <c r="F2653" s="480"/>
      <c r="G2653" s="208" t="s">
        <v>1111</v>
      </c>
      <c r="H2653" s="208"/>
      <c r="J2653" s="165" t="s">
        <v>63</v>
      </c>
      <c r="K2653" s="205">
        <v>430.6</v>
      </c>
      <c r="L2653" s="205"/>
    </row>
    <row r="2654" spans="1:13" ht="11.25" customHeight="1" x14ac:dyDescent="0.2">
      <c r="A2654" s="164">
        <v>2023</v>
      </c>
      <c r="B2654" s="164">
        <v>3</v>
      </c>
      <c r="C2654" s="164">
        <v>22</v>
      </c>
      <c r="D2654" s="156">
        <f t="shared" si="301"/>
        <v>45007</v>
      </c>
      <c r="E2654" s="235">
        <f t="shared" ref="E2654" si="304">DATE(A2654,B2654,C2654)</f>
        <v>45007</v>
      </c>
      <c r="F2654" s="480"/>
      <c r="G2654" s="208" t="s">
        <v>1111</v>
      </c>
      <c r="H2654" s="208"/>
      <c r="J2654" s="165" t="s">
        <v>1617</v>
      </c>
      <c r="K2654" s="205"/>
      <c r="L2654" s="205">
        <v>8612</v>
      </c>
    </row>
    <row r="2655" spans="1:13" ht="11.25" customHeight="1" x14ac:dyDescent="0.2">
      <c r="A2655" s="226">
        <v>2023</v>
      </c>
      <c r="B2655" s="226">
        <v>3</v>
      </c>
      <c r="C2655" s="226">
        <v>22</v>
      </c>
      <c r="D2655" s="226">
        <f t="shared" si="301"/>
        <v>45007</v>
      </c>
      <c r="E2655" s="234">
        <f t="shared" si="302"/>
        <v>45007</v>
      </c>
      <c r="F2655" s="479"/>
      <c r="G2655" s="208" t="s">
        <v>1111</v>
      </c>
      <c r="H2655" s="227"/>
      <c r="I2655" s="228"/>
      <c r="J2655" s="229" t="s">
        <v>1465</v>
      </c>
      <c r="K2655" s="294"/>
      <c r="L2655" s="230">
        <v>491388</v>
      </c>
      <c r="M2655" s="166"/>
    </row>
    <row r="2656" spans="1:13" ht="11.25" customHeight="1" x14ac:dyDescent="0.2">
      <c r="A2656" s="327">
        <v>2023</v>
      </c>
      <c r="B2656" s="327">
        <v>3</v>
      </c>
      <c r="C2656" s="327">
        <v>23</v>
      </c>
      <c r="D2656" s="328">
        <f t="shared" si="301"/>
        <v>45008</v>
      </c>
      <c r="E2656" s="329">
        <f t="shared" si="302"/>
        <v>45008</v>
      </c>
      <c r="F2656" s="474" t="s">
        <v>1459</v>
      </c>
      <c r="G2656" s="330" t="s">
        <v>86</v>
      </c>
      <c r="H2656" s="332" t="str" cm="1">
        <f t="array" ref="H2656">IFERROR(INDEX(INVESTOR_LIST[INVESTOR NAME],MATCH(I2656,INVESTOR_LIST[INVESTOR CODE],0),)," ")</f>
        <v xml:space="preserve"> </v>
      </c>
      <c r="I2656" s="333"/>
      <c r="J2656" s="334" t="s">
        <v>1621</v>
      </c>
      <c r="K2656" s="335">
        <v>1349.58</v>
      </c>
      <c r="L2656" s="336"/>
    </row>
    <row r="2657" spans="1:12" ht="11.25" customHeight="1" x14ac:dyDescent="0.2">
      <c r="A2657" s="327">
        <v>2023</v>
      </c>
      <c r="B2657" s="327">
        <v>3</v>
      </c>
      <c r="C2657" s="327">
        <v>23</v>
      </c>
      <c r="D2657" s="337">
        <f t="shared" si="301"/>
        <v>45008</v>
      </c>
      <c r="E2657" s="338">
        <f t="shared" si="302"/>
        <v>45008</v>
      </c>
      <c r="F2657" s="475"/>
      <c r="G2657" s="331" t="s">
        <v>86</v>
      </c>
      <c r="H2657" s="340" t="str" cm="1">
        <f t="array" ref="H2657">IFERROR(INDEX(INVESTOR_LIST[INVESTOR NAME],MATCH(I2657,INVESTOR_LIST[INVESTOR CODE],0),)," ")</f>
        <v xml:space="preserve"> </v>
      </c>
      <c r="I2657" s="333"/>
      <c r="J2657" s="334" t="s">
        <v>1613</v>
      </c>
      <c r="K2657" s="335"/>
      <c r="L2657" s="336">
        <v>1349.58</v>
      </c>
    </row>
    <row r="2658" spans="1:12" ht="11.25" customHeight="1" x14ac:dyDescent="0.2">
      <c r="A2658" s="280">
        <v>2023</v>
      </c>
      <c r="B2658" s="280">
        <v>3</v>
      </c>
      <c r="C2658" s="280">
        <v>23</v>
      </c>
      <c r="D2658" s="281">
        <f t="shared" si="301"/>
        <v>45008</v>
      </c>
      <c r="E2658" s="282">
        <f t="shared" si="302"/>
        <v>45008</v>
      </c>
      <c r="F2658" s="472" t="s">
        <v>1369</v>
      </c>
      <c r="G2658" s="283" t="s">
        <v>86</v>
      </c>
      <c r="H2658" s="284" t="str" cm="1">
        <f t="array" ref="H2658">IFERROR(INDEX(INVESTOR_LIST[INVESTOR NAME],MATCH(I2658,INVESTOR_LIST[INVESTOR CODE],0),)," ")</f>
        <v xml:space="preserve"> </v>
      </c>
      <c r="I2658" s="284"/>
      <c r="J2658" s="285" t="s">
        <v>131</v>
      </c>
      <c r="K2658" s="286">
        <v>86807.65</v>
      </c>
      <c r="L2658" s="286"/>
    </row>
    <row r="2659" spans="1:12" ht="11.25" customHeight="1" x14ac:dyDescent="0.2">
      <c r="A2659" s="287">
        <v>2023</v>
      </c>
      <c r="B2659" s="287">
        <v>3</v>
      </c>
      <c r="C2659" s="287">
        <v>23</v>
      </c>
      <c r="D2659" s="288">
        <f t="shared" si="301"/>
        <v>45008</v>
      </c>
      <c r="E2659" s="289">
        <f t="shared" si="302"/>
        <v>45008</v>
      </c>
      <c r="F2659" s="473"/>
      <c r="G2659" s="290" t="s">
        <v>86</v>
      </c>
      <c r="H2659" s="291" t="str" cm="1">
        <f t="array" ref="H2659">IFERROR(INDEX(INVESTOR_LIST[INVESTOR NAME],MATCH(I2659,INVESTOR_LIST[INVESTOR CODE],0),)," ")</f>
        <v xml:space="preserve"> </v>
      </c>
      <c r="I2659" s="291"/>
      <c r="J2659" s="292" t="s">
        <v>174</v>
      </c>
      <c r="K2659" s="293"/>
      <c r="L2659" s="293">
        <v>86807.65</v>
      </c>
    </row>
    <row r="2660" spans="1:12" ht="11.25" customHeight="1" x14ac:dyDescent="0.2">
      <c r="A2660" s="280">
        <v>2023</v>
      </c>
      <c r="B2660" s="280">
        <v>3</v>
      </c>
      <c r="C2660" s="280">
        <v>23</v>
      </c>
      <c r="D2660" s="281">
        <f t="shared" si="301"/>
        <v>45008</v>
      </c>
      <c r="E2660" s="282">
        <f t="shared" si="302"/>
        <v>45008</v>
      </c>
      <c r="F2660" s="472" t="s">
        <v>1295</v>
      </c>
      <c r="G2660" s="283" t="s">
        <v>86</v>
      </c>
      <c r="H2660" s="284" t="str" cm="1">
        <f t="array" ref="H2660">IFERROR(INDEX(INVESTOR_LIST[INVESTOR NAME],MATCH(I2660,INVESTOR_LIST[INVESTOR CODE],0),)," ")</f>
        <v xml:space="preserve"> </v>
      </c>
      <c r="I2660" s="284"/>
      <c r="J2660" s="285" t="s">
        <v>131</v>
      </c>
      <c r="K2660" s="286">
        <v>16923.080000000002</v>
      </c>
      <c r="L2660" s="286"/>
    </row>
    <row r="2661" spans="1:12" ht="11.25" customHeight="1" x14ac:dyDescent="0.2">
      <c r="A2661" s="287">
        <v>2023</v>
      </c>
      <c r="B2661" s="287">
        <v>3</v>
      </c>
      <c r="C2661" s="287">
        <v>23</v>
      </c>
      <c r="D2661" s="288">
        <f t="shared" si="301"/>
        <v>45008</v>
      </c>
      <c r="E2661" s="289">
        <f t="shared" si="302"/>
        <v>45008</v>
      </c>
      <c r="F2661" s="473"/>
      <c r="G2661" s="290" t="s">
        <v>86</v>
      </c>
      <c r="H2661" s="291" t="str" cm="1">
        <f t="array" ref="H2661">IFERROR(INDEX(INVESTOR_LIST[INVESTOR NAME],MATCH(I2661,INVESTOR_LIST[INVESTOR CODE],0),)," ")</f>
        <v xml:space="preserve"> </v>
      </c>
      <c r="I2661" s="291"/>
      <c r="J2661" s="292" t="s">
        <v>174</v>
      </c>
      <c r="K2661" s="293"/>
      <c r="L2661" s="293">
        <v>16923.080000000002</v>
      </c>
    </row>
    <row r="2662" spans="1:12" ht="11.25" customHeight="1" x14ac:dyDescent="0.2">
      <c r="A2662" s="280">
        <v>2023</v>
      </c>
      <c r="B2662" s="280">
        <v>3</v>
      </c>
      <c r="C2662" s="280">
        <v>23</v>
      </c>
      <c r="D2662" s="281">
        <f t="shared" si="301"/>
        <v>45008</v>
      </c>
      <c r="E2662" s="282">
        <f t="shared" si="302"/>
        <v>45008</v>
      </c>
      <c r="F2662" s="472" t="s">
        <v>1294</v>
      </c>
      <c r="G2662" s="283" t="s">
        <v>86</v>
      </c>
      <c r="H2662" s="284" t="str" cm="1">
        <f t="array" ref="H2662">IFERROR(INDEX(INVESTOR_LIST[INVESTOR NAME],MATCH(I2662,INVESTOR_LIST[INVESTOR CODE],0),)," ")</f>
        <v xml:space="preserve"> </v>
      </c>
      <c r="I2662" s="284"/>
      <c r="J2662" s="285" t="s">
        <v>131</v>
      </c>
      <c r="K2662" s="286">
        <v>9711.5400000000009</v>
      </c>
      <c r="L2662" s="286"/>
    </row>
    <row r="2663" spans="1:12" ht="11.25" customHeight="1" x14ac:dyDescent="0.2">
      <c r="A2663" s="287">
        <v>2023</v>
      </c>
      <c r="B2663" s="287">
        <v>3</v>
      </c>
      <c r="C2663" s="287">
        <v>23</v>
      </c>
      <c r="D2663" s="288">
        <f t="shared" si="301"/>
        <v>45008</v>
      </c>
      <c r="E2663" s="289">
        <f t="shared" si="302"/>
        <v>45008</v>
      </c>
      <c r="F2663" s="473"/>
      <c r="G2663" s="290" t="s">
        <v>86</v>
      </c>
      <c r="H2663" s="291" t="str" cm="1">
        <f t="array" ref="H2663">IFERROR(INDEX(INVESTOR_LIST[INVESTOR NAME],MATCH(I2663,INVESTOR_LIST[INVESTOR CODE],0),)," ")</f>
        <v xml:space="preserve"> </v>
      </c>
      <c r="I2663" s="291"/>
      <c r="J2663" s="292" t="s">
        <v>174</v>
      </c>
      <c r="K2663" s="293"/>
      <c r="L2663" s="293">
        <v>9711.5400000000009</v>
      </c>
    </row>
    <row r="2664" spans="1:12" ht="11.25" customHeight="1" x14ac:dyDescent="0.2">
      <c r="A2664" s="280">
        <v>2023</v>
      </c>
      <c r="B2664" s="280">
        <v>3</v>
      </c>
      <c r="C2664" s="280">
        <v>23</v>
      </c>
      <c r="D2664" s="281">
        <f t="shared" si="301"/>
        <v>45008</v>
      </c>
      <c r="E2664" s="282">
        <f t="shared" si="302"/>
        <v>45008</v>
      </c>
      <c r="F2664" s="472" t="s">
        <v>1376</v>
      </c>
      <c r="G2664" s="283" t="s">
        <v>86</v>
      </c>
      <c r="H2664" s="284" t="str" cm="1">
        <f t="array" ref="H2664">IFERROR(INDEX(INVESTOR_LIST[INVESTOR NAME],MATCH(I2664,INVESTOR_LIST[INVESTOR CODE],0),)," ")</f>
        <v xml:space="preserve"> </v>
      </c>
      <c r="I2664" s="284"/>
      <c r="J2664" s="285" t="s">
        <v>131</v>
      </c>
      <c r="K2664" s="286">
        <v>4673.08</v>
      </c>
      <c r="L2664" s="286"/>
    </row>
    <row r="2665" spans="1:12" ht="11.25" customHeight="1" x14ac:dyDescent="0.2">
      <c r="A2665" s="287">
        <v>2023</v>
      </c>
      <c r="B2665" s="287">
        <v>3</v>
      </c>
      <c r="C2665" s="287">
        <v>23</v>
      </c>
      <c r="D2665" s="288">
        <f t="shared" si="301"/>
        <v>45008</v>
      </c>
      <c r="E2665" s="289">
        <f t="shared" si="302"/>
        <v>45008</v>
      </c>
      <c r="F2665" s="473"/>
      <c r="G2665" s="290" t="s">
        <v>86</v>
      </c>
      <c r="H2665" s="291" t="str" cm="1">
        <f t="array" ref="H2665">IFERROR(INDEX(INVESTOR_LIST[INVESTOR NAME],MATCH(I2665,INVESTOR_LIST[INVESTOR CODE],0),)," ")</f>
        <v xml:space="preserve"> </v>
      </c>
      <c r="I2665" s="291"/>
      <c r="J2665" s="292" t="s">
        <v>174</v>
      </c>
      <c r="K2665" s="293"/>
      <c r="L2665" s="293">
        <v>4673.08</v>
      </c>
    </row>
    <row r="2666" spans="1:12" ht="11.25" customHeight="1" x14ac:dyDescent="0.2">
      <c r="A2666" s="236">
        <v>2023</v>
      </c>
      <c r="B2666" s="236">
        <v>3</v>
      </c>
      <c r="C2666" s="236">
        <v>23</v>
      </c>
      <c r="D2666" s="237">
        <f t="shared" si="301"/>
        <v>45008</v>
      </c>
      <c r="E2666" s="238">
        <f t="shared" si="302"/>
        <v>45008</v>
      </c>
      <c r="F2666" s="476" t="s">
        <v>1118</v>
      </c>
      <c r="G2666" s="239" t="s">
        <v>86</v>
      </c>
      <c r="H2666" s="239" t="str" cm="1">
        <f t="array" ref="H2666">IFERROR(INDEX(INVESTOR_LIST[INVESTOR NAME],MATCH(I2666,INVESTOR_LIST[INVESTOR CODE],0),)," ")</f>
        <v xml:space="preserve"> </v>
      </c>
      <c r="I2666" s="240"/>
      <c r="J2666" s="241" t="s">
        <v>82</v>
      </c>
      <c r="K2666" s="242">
        <v>4762.3846153914928</v>
      </c>
      <c r="L2666" s="242"/>
    </row>
    <row r="2667" spans="1:12" ht="11.25" customHeight="1" x14ac:dyDescent="0.2">
      <c r="A2667" s="243">
        <v>2023</v>
      </c>
      <c r="B2667" s="243">
        <v>3</v>
      </c>
      <c r="C2667" s="243">
        <v>23</v>
      </c>
      <c r="D2667" s="248">
        <f t="shared" si="301"/>
        <v>45008</v>
      </c>
      <c r="E2667" s="249">
        <f t="shared" si="302"/>
        <v>45008</v>
      </c>
      <c r="F2667" s="477"/>
      <c r="G2667" s="244" t="s">
        <v>86</v>
      </c>
      <c r="H2667" s="244" t="str" cm="1">
        <f t="array" ref="H2667">IFERROR(INDEX(INVESTOR_LIST[INVESTOR NAME],MATCH(I2667,INVESTOR_LIST[INVESTOR CODE],0),)," ")</f>
        <v xml:space="preserve"> </v>
      </c>
      <c r="I2667" s="245"/>
      <c r="J2667" s="246" t="s">
        <v>98</v>
      </c>
      <c r="K2667" s="247"/>
      <c r="L2667" s="247">
        <v>4762.3846153914928</v>
      </c>
    </row>
    <row r="2668" spans="1:12" ht="11.25" customHeight="1" x14ac:dyDescent="0.2">
      <c r="A2668" s="236">
        <v>2023</v>
      </c>
      <c r="B2668" s="236">
        <v>3</v>
      </c>
      <c r="C2668" s="236">
        <v>23</v>
      </c>
      <c r="D2668" s="237">
        <f t="shared" si="301"/>
        <v>45008</v>
      </c>
      <c r="E2668" s="238">
        <f t="shared" si="302"/>
        <v>45008</v>
      </c>
      <c r="F2668" s="476" t="s">
        <v>1120</v>
      </c>
      <c r="G2668" s="239" t="s">
        <v>86</v>
      </c>
      <c r="H2668" s="239" t="str" cm="1">
        <f t="array" ref="H2668">IFERROR(INDEX(INVESTOR_LIST[INVESTOR NAME],MATCH(I2668,INVESTOR_LIST[INVESTOR CODE],0),)," ")</f>
        <v xml:space="preserve"> </v>
      </c>
      <c r="I2668" s="240"/>
      <c r="J2668" s="241" t="s">
        <v>87</v>
      </c>
      <c r="K2668" s="242">
        <v>2747.2527472527472</v>
      </c>
      <c r="L2668" s="242"/>
    </row>
    <row r="2669" spans="1:12" ht="11.25" customHeight="1" x14ac:dyDescent="0.2">
      <c r="A2669" s="243">
        <v>2023</v>
      </c>
      <c r="B2669" s="243">
        <v>3</v>
      </c>
      <c r="C2669" s="243">
        <v>23</v>
      </c>
      <c r="D2669" s="248">
        <f t="shared" si="301"/>
        <v>45008</v>
      </c>
      <c r="E2669" s="249">
        <f t="shared" si="302"/>
        <v>45008</v>
      </c>
      <c r="F2669" s="477"/>
      <c r="G2669" s="244" t="s">
        <v>86</v>
      </c>
      <c r="H2669" s="244" t="str" cm="1">
        <f t="array" ref="H2669">IFERROR(INDEX(INVESTOR_LIST[INVESTOR NAME],MATCH(I2669,INVESTOR_LIST[INVESTOR CODE],0),)," ")</f>
        <v xml:space="preserve"> </v>
      </c>
      <c r="I2669" s="245"/>
      <c r="J2669" s="246" t="s">
        <v>64</v>
      </c>
      <c r="K2669" s="247"/>
      <c r="L2669" s="247">
        <v>2747.2527472527472</v>
      </c>
    </row>
    <row r="2670" spans="1:12" ht="11.25" customHeight="1" x14ac:dyDescent="0.2">
      <c r="A2670" s="236">
        <v>2023</v>
      </c>
      <c r="B2670" s="236">
        <v>3</v>
      </c>
      <c r="C2670" s="236">
        <v>23</v>
      </c>
      <c r="D2670" s="237">
        <f t="shared" si="301"/>
        <v>45008</v>
      </c>
      <c r="E2670" s="238">
        <f t="shared" si="302"/>
        <v>45008</v>
      </c>
      <c r="F2670" s="476" t="s">
        <v>1121</v>
      </c>
      <c r="G2670" s="239" t="s">
        <v>86</v>
      </c>
      <c r="H2670" s="239" t="str" cm="1">
        <f t="array" ref="H2670">IFERROR(INDEX(INVESTOR_LIST[INVESTOR NAME],MATCH(I2670,INVESTOR_LIST[INVESTOR CODE],0),)," ")</f>
        <v xml:space="preserve"> </v>
      </c>
      <c r="I2670" s="240"/>
      <c r="J2670" s="241" t="s">
        <v>89</v>
      </c>
      <c r="K2670" s="242">
        <v>37026.308767161514</v>
      </c>
      <c r="L2670" s="242"/>
    </row>
    <row r="2671" spans="1:12" ht="11.25" customHeight="1" x14ac:dyDescent="0.2">
      <c r="A2671" s="243">
        <v>2023</v>
      </c>
      <c r="B2671" s="243">
        <v>3</v>
      </c>
      <c r="C2671" s="243">
        <v>23</v>
      </c>
      <c r="D2671" s="248">
        <f t="shared" si="301"/>
        <v>45008</v>
      </c>
      <c r="E2671" s="249">
        <f t="shared" si="302"/>
        <v>45008</v>
      </c>
      <c r="F2671" s="477"/>
      <c r="G2671" s="244" t="s">
        <v>86</v>
      </c>
      <c r="H2671" s="244" t="str" cm="1">
        <f t="array" ref="H2671">IFERROR(INDEX(INVESTOR_LIST[INVESTOR NAME],MATCH(I2671,INVESTOR_LIST[INVESTOR CODE],0),)," ")</f>
        <v xml:space="preserve"> </v>
      </c>
      <c r="I2671" s="245"/>
      <c r="J2671" s="246" t="s">
        <v>50</v>
      </c>
      <c r="K2671" s="247"/>
      <c r="L2671" s="247">
        <v>37026.308767161514</v>
      </c>
    </row>
    <row r="2672" spans="1:12" ht="11.25" customHeight="1" x14ac:dyDescent="0.2">
      <c r="A2672" s="236">
        <v>2023</v>
      </c>
      <c r="B2672" s="236">
        <v>3</v>
      </c>
      <c r="C2672" s="236">
        <v>23</v>
      </c>
      <c r="D2672" s="237">
        <f t="shared" si="301"/>
        <v>45008</v>
      </c>
      <c r="E2672" s="238">
        <f t="shared" si="302"/>
        <v>45008</v>
      </c>
      <c r="F2672" s="476" t="s">
        <v>1122</v>
      </c>
      <c r="G2672" s="239" t="s">
        <v>86</v>
      </c>
      <c r="H2672" s="239" t="str" cm="1">
        <f t="array" ref="H2672">IFERROR(INDEX(INVESTOR_LIST[INVESTOR NAME],MATCH(I2672,INVESTOR_LIST[INVESTOR CODE],0),)," ")</f>
        <v xml:space="preserve"> </v>
      </c>
      <c r="I2672" s="240"/>
      <c r="J2672" s="241" t="s">
        <v>91</v>
      </c>
      <c r="K2672" s="242">
        <v>3702.6308767161513</v>
      </c>
      <c r="L2672" s="242"/>
    </row>
    <row r="2673" spans="1:13" ht="11.25" customHeight="1" x14ac:dyDescent="0.2">
      <c r="A2673" s="243">
        <v>2023</v>
      </c>
      <c r="B2673" s="243">
        <v>3</v>
      </c>
      <c r="C2673" s="243">
        <v>23</v>
      </c>
      <c r="D2673" s="248">
        <f t="shared" si="301"/>
        <v>45008</v>
      </c>
      <c r="E2673" s="249">
        <f t="shared" si="302"/>
        <v>45008</v>
      </c>
      <c r="F2673" s="477"/>
      <c r="G2673" s="244" t="s">
        <v>86</v>
      </c>
      <c r="H2673" s="244" t="str" cm="1">
        <f t="array" ref="H2673">IFERROR(INDEX(INVESTOR_LIST[INVESTOR NAME],MATCH(I2673,INVESTOR_LIST[INVESTOR CODE],0),)," ")</f>
        <v xml:space="preserve"> </v>
      </c>
      <c r="I2673" s="245"/>
      <c r="J2673" s="246" t="s">
        <v>51</v>
      </c>
      <c r="K2673" s="247"/>
      <c r="L2673" s="247">
        <v>3702.6308767161513</v>
      </c>
    </row>
    <row r="2674" spans="1:13" ht="11.25" customHeight="1" x14ac:dyDescent="0.2">
      <c r="A2674" s="221">
        <v>2023</v>
      </c>
      <c r="B2674" s="221">
        <v>3</v>
      </c>
      <c r="C2674" s="221">
        <v>27</v>
      </c>
      <c r="D2674" s="231">
        <f t="shared" si="301"/>
        <v>45012</v>
      </c>
      <c r="E2674" s="233">
        <f t="shared" ref="E2674:E2691" si="305">DATE(A2674,B2674,C2674)</f>
        <v>45012</v>
      </c>
      <c r="F2674" s="478" t="s">
        <v>802</v>
      </c>
      <c r="G2674" s="222" t="s">
        <v>1111</v>
      </c>
      <c r="H2674" s="223" t="str" cm="1">
        <f t="array" ref="H2674">IFERROR(INDEX(INVESTOR_LIST[INVESTOR NAME],MATCH(I2674,INVESTOR_LIST[INVESTOR CODE],0),)," ")</f>
        <v>FARUQUE AHMED &amp; ZAHEDA BEGUM HENA</v>
      </c>
      <c r="I2674" s="223" t="s">
        <v>481</v>
      </c>
      <c r="J2674" s="224" t="s">
        <v>55</v>
      </c>
      <c r="K2674" s="167">
        <v>1000000</v>
      </c>
      <c r="L2674" s="225"/>
    </row>
    <row r="2675" spans="1:13" ht="11.25" customHeight="1" x14ac:dyDescent="0.2">
      <c r="A2675" s="164">
        <v>2023</v>
      </c>
      <c r="B2675" s="164">
        <v>3</v>
      </c>
      <c r="C2675" s="164">
        <v>27</v>
      </c>
      <c r="D2675" s="156">
        <f t="shared" si="301"/>
        <v>45012</v>
      </c>
      <c r="E2675" s="235">
        <f t="shared" si="305"/>
        <v>45012</v>
      </c>
      <c r="F2675" s="480"/>
      <c r="G2675" s="208" t="s">
        <v>1111</v>
      </c>
      <c r="H2675" s="206" t="str" cm="1">
        <f t="array" ref="H2675">IFERROR(INDEX(INVESTOR_LIST[INVESTOR NAME],MATCH(I2675,INVESTOR_LIST[INVESTOR CODE],0),)," ")</f>
        <v>FARUQUE AHMED &amp; ZAHEDA BEGUM HENA</v>
      </c>
      <c r="I2675" s="206" t="s">
        <v>481</v>
      </c>
      <c r="J2675" s="165" t="s">
        <v>1112</v>
      </c>
      <c r="L2675" s="205">
        <v>9310</v>
      </c>
    </row>
    <row r="2676" spans="1:13" ht="11.25" customHeight="1" x14ac:dyDescent="0.2">
      <c r="A2676" s="226">
        <v>2023</v>
      </c>
      <c r="B2676" s="226">
        <v>3</v>
      </c>
      <c r="C2676" s="226">
        <v>27</v>
      </c>
      <c r="D2676" s="232">
        <f t="shared" si="301"/>
        <v>45012</v>
      </c>
      <c r="E2676" s="234">
        <f t="shared" si="305"/>
        <v>45012</v>
      </c>
      <c r="F2676" s="479"/>
      <c r="G2676" s="227" t="s">
        <v>1111</v>
      </c>
      <c r="H2676" s="228" t="str" cm="1">
        <f t="array" ref="H2676">IFERROR(INDEX(INVESTOR_LIST[INVESTOR NAME],MATCH(I2676,INVESTOR_LIST[INVESTOR CODE],0),)," ")</f>
        <v>FARUQUE AHMED &amp; ZAHEDA BEGUM HENA</v>
      </c>
      <c r="I2676" s="228" t="s">
        <v>481</v>
      </c>
      <c r="J2676" s="229" t="s">
        <v>14</v>
      </c>
      <c r="K2676" s="230"/>
      <c r="L2676" s="230">
        <v>990690</v>
      </c>
    </row>
    <row r="2677" spans="1:13" ht="11.25" customHeight="1" x14ac:dyDescent="0.2">
      <c r="A2677" s="221">
        <v>2023</v>
      </c>
      <c r="B2677" s="221">
        <v>3</v>
      </c>
      <c r="C2677" s="221">
        <v>27</v>
      </c>
      <c r="D2677" s="231">
        <f t="shared" si="301"/>
        <v>45012</v>
      </c>
      <c r="E2677" s="233">
        <f t="shared" si="305"/>
        <v>45012</v>
      </c>
      <c r="F2677" s="478" t="s">
        <v>1115</v>
      </c>
      <c r="G2677" s="222" t="s">
        <v>1111</v>
      </c>
      <c r="H2677" s="223" t="str" cm="1">
        <f t="array" ref="H2677">IFERROR(INDEX(INVESTOR_LIST[INVESTOR NAME],MATCH(I2677,INVESTOR_LIST[INVESTOR CODE],0),)," ")</f>
        <v>MD. NAHIDUR RASHID</v>
      </c>
      <c r="I2677" s="223" t="s">
        <v>818</v>
      </c>
      <c r="J2677" s="224" t="s">
        <v>14</v>
      </c>
      <c r="K2677" s="225">
        <v>1000000</v>
      </c>
      <c r="L2677" s="225"/>
    </row>
    <row r="2678" spans="1:13" ht="11.25" customHeight="1" x14ac:dyDescent="0.2">
      <c r="A2678" s="164">
        <v>2023</v>
      </c>
      <c r="B2678" s="164">
        <v>3</v>
      </c>
      <c r="C2678" s="164">
        <v>27</v>
      </c>
      <c r="D2678" s="156">
        <f t="shared" si="301"/>
        <v>45012</v>
      </c>
      <c r="E2678" s="235">
        <f t="shared" si="305"/>
        <v>45012</v>
      </c>
      <c r="F2678" s="480"/>
      <c r="G2678" s="208" t="s">
        <v>1111</v>
      </c>
      <c r="H2678" s="206" t="str" cm="1">
        <f t="array" ref="H2678">IFERROR(INDEX(INVESTOR_LIST[INVESTOR NAME],MATCH(I2678,INVESTOR_LIST[INVESTOR CODE],0),)," ")</f>
        <v>MD. NAHIDUR RASHID</v>
      </c>
      <c r="I2678" s="206" t="s">
        <v>818</v>
      </c>
      <c r="J2678" s="165" t="s">
        <v>1112</v>
      </c>
      <c r="K2678" s="205">
        <v>9800</v>
      </c>
    </row>
    <row r="2679" spans="1:13" ht="11.25" customHeight="1" x14ac:dyDescent="0.2">
      <c r="A2679" s="226">
        <v>2023</v>
      </c>
      <c r="B2679" s="226">
        <v>3</v>
      </c>
      <c r="C2679" s="226">
        <v>27</v>
      </c>
      <c r="D2679" s="232">
        <f t="shared" si="301"/>
        <v>45012</v>
      </c>
      <c r="E2679" s="234">
        <f t="shared" si="305"/>
        <v>45012</v>
      </c>
      <c r="F2679" s="479"/>
      <c r="G2679" s="227" t="s">
        <v>1111</v>
      </c>
      <c r="H2679" s="228" t="str" cm="1">
        <f t="array" ref="H2679">IFERROR(INDEX(INVESTOR_LIST[INVESTOR NAME],MATCH(I2679,INVESTOR_LIST[INVESTOR CODE],0),)," ")</f>
        <v>MD. NAHIDUR RASHID</v>
      </c>
      <c r="I2679" s="228" t="s">
        <v>818</v>
      </c>
      <c r="J2679" s="229" t="s">
        <v>55</v>
      </c>
      <c r="K2679" s="230"/>
      <c r="L2679" s="230">
        <v>1009800</v>
      </c>
    </row>
    <row r="2680" spans="1:13" ht="11.25" customHeight="1" x14ac:dyDescent="0.2">
      <c r="A2680" s="221">
        <v>2023</v>
      </c>
      <c r="B2680" s="221">
        <v>3</v>
      </c>
      <c r="C2680" s="221">
        <v>27</v>
      </c>
      <c r="D2680" s="231">
        <f t="shared" si="301"/>
        <v>45012</v>
      </c>
      <c r="E2680" s="233">
        <f t="shared" si="305"/>
        <v>45012</v>
      </c>
      <c r="F2680" s="478" t="s">
        <v>1449</v>
      </c>
      <c r="G2680" s="222" t="s">
        <v>1111</v>
      </c>
      <c r="H2680" s="222" t="str" cm="1">
        <f t="array" ref="H2680">IFERROR(INDEX(INVESTOR_LIST[INVESTOR NAME],MATCH(I2680,INVESTOR_LIST[INVESTOR CODE],0),)," ")</f>
        <v xml:space="preserve"> </v>
      </c>
      <c r="I2680" s="223"/>
      <c r="J2680" s="224" t="s">
        <v>55</v>
      </c>
      <c r="K2680" s="225">
        <v>999122.75</v>
      </c>
      <c r="L2680" s="225"/>
      <c r="M2680" s="166"/>
    </row>
    <row r="2681" spans="1:13" ht="11.25" customHeight="1" x14ac:dyDescent="0.2">
      <c r="A2681" s="164">
        <v>2023</v>
      </c>
      <c r="B2681" s="164">
        <v>3</v>
      </c>
      <c r="C2681" s="164">
        <v>27</v>
      </c>
      <c r="D2681" s="156">
        <f t="shared" si="301"/>
        <v>45012</v>
      </c>
      <c r="E2681" s="235">
        <f t="shared" si="305"/>
        <v>45012</v>
      </c>
      <c r="F2681" s="480"/>
      <c r="G2681" s="208" t="s">
        <v>1111</v>
      </c>
      <c r="H2681" s="208"/>
      <c r="J2681" s="165" t="s">
        <v>63</v>
      </c>
      <c r="K2681" s="205">
        <v>877.25</v>
      </c>
      <c r="L2681" s="205"/>
    </row>
    <row r="2682" spans="1:13" ht="11.25" customHeight="1" x14ac:dyDescent="0.2">
      <c r="A2682" s="164">
        <v>2023</v>
      </c>
      <c r="B2682" s="164">
        <v>3</v>
      </c>
      <c r="C2682" s="164">
        <v>27</v>
      </c>
      <c r="D2682" s="156">
        <f t="shared" si="301"/>
        <v>45012</v>
      </c>
      <c r="E2682" s="235">
        <f t="shared" si="305"/>
        <v>45012</v>
      </c>
      <c r="F2682" s="480"/>
      <c r="G2682" s="208" t="s">
        <v>1111</v>
      </c>
      <c r="H2682" s="208"/>
      <c r="J2682" s="165" t="s">
        <v>1617</v>
      </c>
      <c r="K2682" s="205"/>
      <c r="L2682" s="205">
        <v>17545</v>
      </c>
    </row>
    <row r="2683" spans="1:13" ht="11.25" customHeight="1" x14ac:dyDescent="0.2">
      <c r="A2683" s="226">
        <v>2023</v>
      </c>
      <c r="B2683" s="226">
        <v>3</v>
      </c>
      <c r="C2683" s="226">
        <v>27</v>
      </c>
      <c r="D2683" s="226">
        <f t="shared" si="301"/>
        <v>45012</v>
      </c>
      <c r="E2683" s="234">
        <f t="shared" si="305"/>
        <v>45012</v>
      </c>
      <c r="F2683" s="479"/>
      <c r="G2683" s="227" t="s">
        <v>1111</v>
      </c>
      <c r="H2683" s="227"/>
      <c r="I2683" s="228"/>
      <c r="J2683" s="229" t="s">
        <v>1465</v>
      </c>
      <c r="K2683" s="294"/>
      <c r="L2683" s="230">
        <v>982455</v>
      </c>
      <c r="M2683" s="166"/>
    </row>
    <row r="2684" spans="1:13" ht="11.25" customHeight="1" x14ac:dyDescent="0.2">
      <c r="A2684" s="221">
        <v>2023</v>
      </c>
      <c r="B2684" s="221">
        <v>3</v>
      </c>
      <c r="C2684" s="221">
        <v>27</v>
      </c>
      <c r="D2684" s="231">
        <f t="shared" si="301"/>
        <v>45012</v>
      </c>
      <c r="E2684" s="233">
        <f t="shared" si="305"/>
        <v>45012</v>
      </c>
      <c r="F2684" s="478" t="s">
        <v>1391</v>
      </c>
      <c r="G2684" s="222" t="s">
        <v>1111</v>
      </c>
      <c r="H2684" s="223" t="str" cm="1">
        <f t="array" ref="H2684">IFERROR(INDEX(INVESTOR_LIST[INVESTOR NAME],MATCH(I2684,INVESTOR_LIST[INVESTOR CODE],0),)," ")</f>
        <v xml:space="preserve"> </v>
      </c>
      <c r="I2684" s="223"/>
      <c r="J2684" s="224" t="s">
        <v>63</v>
      </c>
      <c r="K2684" s="225">
        <v>118</v>
      </c>
      <c r="L2684" s="225"/>
    </row>
    <row r="2685" spans="1:13" ht="11.25" customHeight="1" x14ac:dyDescent="0.2">
      <c r="A2685" s="226">
        <v>2023</v>
      </c>
      <c r="B2685" s="226">
        <v>3</v>
      </c>
      <c r="C2685" s="226">
        <v>27</v>
      </c>
      <c r="D2685" s="232">
        <f t="shared" si="301"/>
        <v>45012</v>
      </c>
      <c r="E2685" s="234">
        <f t="shared" si="305"/>
        <v>45012</v>
      </c>
      <c r="F2685" s="479"/>
      <c r="G2685" s="227" t="s">
        <v>1111</v>
      </c>
      <c r="H2685" s="228" t="str" cm="1">
        <f t="array" ref="H2685">IFERROR(INDEX(INVESTOR_LIST[INVESTOR NAME],MATCH(I2685,INVESTOR_LIST[INVESTOR CODE],0),)," ")</f>
        <v xml:space="preserve"> </v>
      </c>
      <c r="I2685" s="228"/>
      <c r="J2685" s="229" t="s">
        <v>55</v>
      </c>
      <c r="K2685" s="230"/>
      <c r="L2685" s="230">
        <v>118</v>
      </c>
    </row>
    <row r="2686" spans="1:13" ht="11.25" customHeight="1" x14ac:dyDescent="0.2">
      <c r="A2686" s="221">
        <v>2023</v>
      </c>
      <c r="B2686" s="221">
        <v>3</v>
      </c>
      <c r="C2686" s="221">
        <v>28</v>
      </c>
      <c r="D2686" s="231">
        <f t="shared" si="301"/>
        <v>45013</v>
      </c>
      <c r="E2686" s="233">
        <f t="shared" ref="E2686:E2687" si="306">DATE(A2686,B2686,C2686)</f>
        <v>45013</v>
      </c>
      <c r="F2686" s="478" t="s">
        <v>1391</v>
      </c>
      <c r="G2686" s="222" t="s">
        <v>1111</v>
      </c>
      <c r="H2686" s="223" t="str" cm="1">
        <f t="array" ref="H2686">IFERROR(INDEX(INVESTOR_LIST[INVESTOR NAME],MATCH(I2686,INVESTOR_LIST[INVESTOR CODE],0),)," ")</f>
        <v xml:space="preserve"> </v>
      </c>
      <c r="I2686" s="223"/>
      <c r="J2686" s="224" t="s">
        <v>63</v>
      </c>
      <c r="K2686" s="225">
        <v>100</v>
      </c>
      <c r="L2686" s="225"/>
    </row>
    <row r="2687" spans="1:13" ht="11.25" customHeight="1" x14ac:dyDescent="0.2">
      <c r="A2687" s="226">
        <v>2023</v>
      </c>
      <c r="B2687" s="226">
        <v>3</v>
      </c>
      <c r="C2687" s="226">
        <v>28</v>
      </c>
      <c r="D2687" s="232">
        <f t="shared" si="301"/>
        <v>45013</v>
      </c>
      <c r="E2687" s="234">
        <f t="shared" si="306"/>
        <v>45013</v>
      </c>
      <c r="F2687" s="479"/>
      <c r="G2687" s="227" t="s">
        <v>1111</v>
      </c>
      <c r="H2687" s="228" t="str" cm="1">
        <f t="array" ref="H2687">IFERROR(INDEX(INVESTOR_LIST[INVESTOR NAME],MATCH(I2687,INVESTOR_LIST[INVESTOR CODE],0),)," ")</f>
        <v xml:space="preserve"> </v>
      </c>
      <c r="I2687" s="228"/>
      <c r="J2687" s="229" t="s">
        <v>55</v>
      </c>
      <c r="K2687" s="230"/>
      <c r="L2687" s="230">
        <v>100</v>
      </c>
    </row>
    <row r="2688" spans="1:13" ht="11.25" customHeight="1" x14ac:dyDescent="0.2">
      <c r="A2688" s="221">
        <v>2023</v>
      </c>
      <c r="B2688" s="221">
        <v>3</v>
      </c>
      <c r="C2688" s="221">
        <v>28</v>
      </c>
      <c r="D2688" s="231">
        <f t="shared" si="301"/>
        <v>45013</v>
      </c>
      <c r="E2688" s="233">
        <f t="shared" si="305"/>
        <v>45013</v>
      </c>
      <c r="F2688" s="478" t="s">
        <v>1451</v>
      </c>
      <c r="G2688" s="222" t="s">
        <v>1111</v>
      </c>
      <c r="H2688" s="223" t="str" cm="1">
        <f t="array" ref="H2688">IFERROR(INDEX(INVESTOR_LIST[INVESTOR NAME],MATCH(I2688,INVESTOR_LIST[INVESTOR CODE],0),)," ")</f>
        <v xml:space="preserve"> </v>
      </c>
      <c r="I2688" s="223"/>
      <c r="J2688" s="224" t="s">
        <v>88</v>
      </c>
      <c r="K2688" s="225">
        <v>2000000</v>
      </c>
      <c r="L2688" s="225"/>
    </row>
    <row r="2689" spans="1:12" ht="11.25" customHeight="1" x14ac:dyDescent="0.2">
      <c r="A2689" s="164">
        <v>2023</v>
      </c>
      <c r="B2689" s="164">
        <v>3</v>
      </c>
      <c r="C2689" s="164">
        <v>28</v>
      </c>
      <c r="D2689" s="156">
        <f t="shared" si="301"/>
        <v>45013</v>
      </c>
      <c r="E2689" s="235">
        <f t="shared" si="305"/>
        <v>45013</v>
      </c>
      <c r="F2689" s="480"/>
      <c r="G2689" s="208" t="s">
        <v>1111</v>
      </c>
      <c r="J2689" s="165" t="s">
        <v>55</v>
      </c>
      <c r="K2689" s="205">
        <v>37500</v>
      </c>
      <c r="L2689" s="205"/>
    </row>
    <row r="2690" spans="1:12" ht="11.25" customHeight="1" x14ac:dyDescent="0.2">
      <c r="A2690" s="164">
        <v>2023</v>
      </c>
      <c r="B2690" s="164">
        <v>3</v>
      </c>
      <c r="C2690" s="164">
        <v>28</v>
      </c>
      <c r="D2690" s="156">
        <f t="shared" si="301"/>
        <v>45013</v>
      </c>
      <c r="E2690" s="235">
        <f t="shared" si="305"/>
        <v>45013</v>
      </c>
      <c r="F2690" s="480"/>
      <c r="G2690" s="208" t="s">
        <v>1111</v>
      </c>
      <c r="J2690" s="165" t="s">
        <v>131</v>
      </c>
      <c r="K2690" s="205"/>
      <c r="L2690" s="205">
        <v>37500</v>
      </c>
    </row>
    <row r="2691" spans="1:12" ht="11.25" customHeight="1" x14ac:dyDescent="0.2">
      <c r="A2691" s="226">
        <v>2023</v>
      </c>
      <c r="B2691" s="226">
        <v>3</v>
      </c>
      <c r="C2691" s="226">
        <v>28</v>
      </c>
      <c r="D2691" s="232">
        <f t="shared" si="301"/>
        <v>45013</v>
      </c>
      <c r="E2691" s="234">
        <f t="shared" si="305"/>
        <v>45013</v>
      </c>
      <c r="F2691" s="479"/>
      <c r="G2691" s="227" t="s">
        <v>1111</v>
      </c>
      <c r="H2691" s="228" t="str" cm="1">
        <f t="array" ref="H2691">IFERROR(INDEX(INVESTOR_LIST[INVESTOR NAME],MATCH(I2691,INVESTOR_LIST[INVESTOR CODE],0),)," ")</f>
        <v xml:space="preserve"> </v>
      </c>
      <c r="I2691" s="228"/>
      <c r="J2691" s="229" t="s">
        <v>88</v>
      </c>
      <c r="K2691" s="230"/>
      <c r="L2691" s="230">
        <v>2000000</v>
      </c>
    </row>
    <row r="2692" spans="1:12" ht="11.25" customHeight="1" x14ac:dyDescent="0.2">
      <c r="A2692" s="221">
        <v>2023</v>
      </c>
      <c r="B2692" s="221">
        <v>3</v>
      </c>
      <c r="C2692" s="221">
        <v>28</v>
      </c>
      <c r="D2692" s="231">
        <f t="shared" si="301"/>
        <v>45013</v>
      </c>
      <c r="E2692" s="233">
        <f t="shared" ref="E2692:E2705" si="307">DATE(A2692,B2692,C2692)</f>
        <v>45013</v>
      </c>
      <c r="F2692" s="478" t="s">
        <v>1452</v>
      </c>
      <c r="G2692" s="222" t="s">
        <v>1111</v>
      </c>
      <c r="H2692" s="223" t="str" cm="1">
        <f t="array" ref="H2692">IFERROR(INDEX(INVESTOR_LIST[INVESTOR NAME],MATCH(I2692,INVESTOR_LIST[INVESTOR CODE],0),)," ")</f>
        <v xml:space="preserve"> </v>
      </c>
      <c r="I2692" s="223"/>
      <c r="J2692" s="224" t="s">
        <v>88</v>
      </c>
      <c r="K2692" s="225">
        <v>2000000</v>
      </c>
      <c r="L2692" s="225"/>
    </row>
    <row r="2693" spans="1:12" ht="11.25" customHeight="1" x14ac:dyDescent="0.2">
      <c r="A2693" s="164">
        <v>2023</v>
      </c>
      <c r="B2693" s="164">
        <v>3</v>
      </c>
      <c r="C2693" s="164">
        <v>28</v>
      </c>
      <c r="D2693" s="156">
        <f t="shared" si="301"/>
        <v>45013</v>
      </c>
      <c r="E2693" s="235">
        <f t="shared" si="307"/>
        <v>45013</v>
      </c>
      <c r="F2693" s="480"/>
      <c r="G2693" s="208" t="s">
        <v>1111</v>
      </c>
      <c r="J2693" s="165" t="s">
        <v>55</v>
      </c>
      <c r="K2693" s="205">
        <v>37500</v>
      </c>
      <c r="L2693" s="205"/>
    </row>
    <row r="2694" spans="1:12" ht="11.25" customHeight="1" x14ac:dyDescent="0.2">
      <c r="A2694" s="164">
        <v>2023</v>
      </c>
      <c r="B2694" s="164">
        <v>3</v>
      </c>
      <c r="C2694" s="164">
        <v>28</v>
      </c>
      <c r="D2694" s="156">
        <f t="shared" si="301"/>
        <v>45013</v>
      </c>
      <c r="E2694" s="235">
        <f t="shared" si="307"/>
        <v>45013</v>
      </c>
      <c r="F2694" s="480"/>
      <c r="G2694" s="208" t="s">
        <v>1111</v>
      </c>
      <c r="J2694" s="165" t="s">
        <v>131</v>
      </c>
      <c r="K2694" s="205"/>
      <c r="L2694" s="205">
        <v>37500</v>
      </c>
    </row>
    <row r="2695" spans="1:12" ht="11.25" customHeight="1" x14ac:dyDescent="0.2">
      <c r="A2695" s="226">
        <v>2023</v>
      </c>
      <c r="B2695" s="226">
        <v>3</v>
      </c>
      <c r="C2695" s="226">
        <v>28</v>
      </c>
      <c r="D2695" s="232">
        <f t="shared" si="301"/>
        <v>45013</v>
      </c>
      <c r="E2695" s="234">
        <f t="shared" si="307"/>
        <v>45013</v>
      </c>
      <c r="F2695" s="479"/>
      <c r="G2695" s="227" t="s">
        <v>1111</v>
      </c>
      <c r="H2695" s="228" t="str" cm="1">
        <f t="array" ref="H2695">IFERROR(INDEX(INVESTOR_LIST[INVESTOR NAME],MATCH(I2695,INVESTOR_LIST[INVESTOR CODE],0),)," ")</f>
        <v xml:space="preserve"> </v>
      </c>
      <c r="I2695" s="228"/>
      <c r="J2695" s="229" t="s">
        <v>88</v>
      </c>
      <c r="K2695" s="230"/>
      <c r="L2695" s="230">
        <v>2000000</v>
      </c>
    </row>
    <row r="2696" spans="1:12" ht="11.25" customHeight="1" x14ac:dyDescent="0.2">
      <c r="A2696" s="221">
        <v>2023</v>
      </c>
      <c r="B2696" s="221">
        <v>3</v>
      </c>
      <c r="C2696" s="221">
        <v>28</v>
      </c>
      <c r="D2696" s="231">
        <f t="shared" si="301"/>
        <v>45013</v>
      </c>
      <c r="E2696" s="233">
        <f t="shared" si="307"/>
        <v>45013</v>
      </c>
      <c r="F2696" s="478" t="s">
        <v>1453</v>
      </c>
      <c r="G2696" s="222" t="s">
        <v>1111</v>
      </c>
      <c r="H2696" s="223" t="str" cm="1">
        <f t="array" ref="H2696">IFERROR(INDEX(INVESTOR_LIST[INVESTOR NAME],MATCH(I2696,INVESTOR_LIST[INVESTOR CODE],0),)," ")</f>
        <v xml:space="preserve"> </v>
      </c>
      <c r="I2696" s="223"/>
      <c r="J2696" s="224" t="s">
        <v>55</v>
      </c>
      <c r="K2696" s="225">
        <f>1994000+37500</f>
        <v>2031500</v>
      </c>
      <c r="L2696" s="225"/>
    </row>
    <row r="2697" spans="1:12" ht="11.25" customHeight="1" x14ac:dyDescent="0.2">
      <c r="A2697" s="164">
        <v>2023</v>
      </c>
      <c r="B2697" s="164">
        <v>3</v>
      </c>
      <c r="C2697" s="164">
        <v>28</v>
      </c>
      <c r="D2697" s="156">
        <f t="shared" ref="D2697:D2760" si="308">DATE(A2697,B2697,C2697)</f>
        <v>45013</v>
      </c>
      <c r="E2697" s="235">
        <f t="shared" si="307"/>
        <v>45013</v>
      </c>
      <c r="F2697" s="480"/>
      <c r="G2697" s="208" t="s">
        <v>1111</v>
      </c>
      <c r="J2697" s="165" t="s">
        <v>63</v>
      </c>
      <c r="K2697" s="205">
        <v>6000</v>
      </c>
      <c r="L2697" s="205"/>
    </row>
    <row r="2698" spans="1:12" ht="11.25" customHeight="1" x14ac:dyDescent="0.2">
      <c r="A2698" s="164">
        <v>2023</v>
      </c>
      <c r="B2698" s="164">
        <v>3</v>
      </c>
      <c r="C2698" s="164">
        <v>28</v>
      </c>
      <c r="D2698" s="156">
        <f t="shared" si="308"/>
        <v>45013</v>
      </c>
      <c r="E2698" s="235">
        <f t="shared" si="307"/>
        <v>45013</v>
      </c>
      <c r="F2698" s="480"/>
      <c r="G2698" s="208" t="s">
        <v>1111</v>
      </c>
      <c r="H2698" s="206" t="str" cm="1">
        <f t="array" ref="H2698">IFERROR(INDEX(INVESTOR_LIST[INVESTOR NAME],MATCH(I2698,INVESTOR_LIST[INVESTOR CODE],0),)," ")</f>
        <v xml:space="preserve"> </v>
      </c>
      <c r="J2698" s="165" t="s">
        <v>131</v>
      </c>
      <c r="K2698" s="156"/>
      <c r="L2698" s="205">
        <v>37500</v>
      </c>
    </row>
    <row r="2699" spans="1:12" ht="11.25" customHeight="1" x14ac:dyDescent="0.2">
      <c r="A2699" s="226">
        <v>2023</v>
      </c>
      <c r="B2699" s="226">
        <v>3</v>
      </c>
      <c r="C2699" s="226">
        <v>28</v>
      </c>
      <c r="D2699" s="232">
        <f t="shared" si="308"/>
        <v>45013</v>
      </c>
      <c r="E2699" s="234">
        <f t="shared" si="307"/>
        <v>45013</v>
      </c>
      <c r="F2699" s="479"/>
      <c r="G2699" s="227" t="s">
        <v>1111</v>
      </c>
      <c r="H2699" s="228" t="str" cm="1">
        <f t="array" ref="H2699">IFERROR(INDEX(INVESTOR_LIST[INVESTOR NAME],MATCH(I2699,INVESTOR_LIST[INVESTOR CODE],0),)," ")</f>
        <v xml:space="preserve"> </v>
      </c>
      <c r="I2699" s="228"/>
      <c r="J2699" s="229" t="s">
        <v>88</v>
      </c>
      <c r="K2699" s="230"/>
      <c r="L2699" s="230">
        <v>2000000</v>
      </c>
    </row>
    <row r="2700" spans="1:12" ht="11.25" customHeight="1" x14ac:dyDescent="0.2">
      <c r="A2700" s="221">
        <v>2023</v>
      </c>
      <c r="B2700" s="221">
        <v>3</v>
      </c>
      <c r="C2700" s="221">
        <v>28</v>
      </c>
      <c r="D2700" s="231">
        <f t="shared" si="308"/>
        <v>45013</v>
      </c>
      <c r="E2700" s="233">
        <f t="shared" si="307"/>
        <v>45013</v>
      </c>
      <c r="F2700" s="478" t="s">
        <v>1132</v>
      </c>
      <c r="G2700" s="222" t="s">
        <v>1111</v>
      </c>
      <c r="H2700" s="223" t="str" cm="1">
        <f t="array" ref="H2700">IFERROR(INDEX(INVESTOR_LIST[INVESTOR NAME],MATCH(I2700,INVESTOR_LIST[INVESTOR CODE],0),)," ")</f>
        <v xml:space="preserve"> </v>
      </c>
      <c r="I2700" s="223"/>
      <c r="J2700" s="224" t="s">
        <v>55</v>
      </c>
      <c r="K2700" s="167">
        <v>5000</v>
      </c>
      <c r="L2700" s="225"/>
    </row>
    <row r="2701" spans="1:12" ht="11.25" customHeight="1" x14ac:dyDescent="0.2">
      <c r="A2701" s="164">
        <v>2023</v>
      </c>
      <c r="B2701" s="164">
        <v>3</v>
      </c>
      <c r="C2701" s="164">
        <v>28</v>
      </c>
      <c r="D2701" s="156">
        <f t="shared" si="308"/>
        <v>45013</v>
      </c>
      <c r="E2701" s="235">
        <f t="shared" si="307"/>
        <v>45013</v>
      </c>
      <c r="F2701" s="480"/>
      <c r="G2701" s="208" t="s">
        <v>1111</v>
      </c>
      <c r="H2701" s="206" t="str" cm="1">
        <f t="array" ref="H2701">IFERROR(INDEX(INVESTOR_LIST[INVESTOR NAME],MATCH(I2701,INVESTOR_LIST[INVESTOR CODE],0),)," ")</f>
        <v xml:space="preserve"> </v>
      </c>
      <c r="J2701" s="165" t="s">
        <v>1112</v>
      </c>
      <c r="L2701" s="205">
        <v>50</v>
      </c>
    </row>
    <row r="2702" spans="1:12" ht="11.25" customHeight="1" x14ac:dyDescent="0.2">
      <c r="A2702" s="226">
        <v>2023</v>
      </c>
      <c r="B2702" s="226">
        <v>3</v>
      </c>
      <c r="C2702" s="226">
        <v>28</v>
      </c>
      <c r="D2702" s="232">
        <f t="shared" si="308"/>
        <v>45013</v>
      </c>
      <c r="E2702" s="234">
        <f t="shared" si="307"/>
        <v>45013</v>
      </c>
      <c r="F2702" s="479"/>
      <c r="G2702" s="227" t="s">
        <v>1111</v>
      </c>
      <c r="H2702" s="228" t="str" cm="1">
        <f t="array" ref="H2702">IFERROR(INDEX(INVESTOR_LIST[INVESTOR NAME],MATCH(I2702,INVESTOR_LIST[INVESTOR CODE],0),)," ")</f>
        <v xml:space="preserve"> </v>
      </c>
      <c r="I2702" s="228"/>
      <c r="J2702" s="229" t="s">
        <v>14</v>
      </c>
      <c r="K2702" s="230"/>
      <c r="L2702" s="230">
        <v>4950</v>
      </c>
    </row>
    <row r="2703" spans="1:12" ht="11.25" customHeight="1" x14ac:dyDescent="0.2">
      <c r="A2703" s="221">
        <v>2023</v>
      </c>
      <c r="B2703" s="221">
        <v>3</v>
      </c>
      <c r="C2703" s="221">
        <v>28</v>
      </c>
      <c r="D2703" s="231">
        <f t="shared" si="308"/>
        <v>45013</v>
      </c>
      <c r="E2703" s="233">
        <f t="shared" si="307"/>
        <v>45013</v>
      </c>
      <c r="F2703" s="478" t="s">
        <v>1115</v>
      </c>
      <c r="G2703" s="222" t="s">
        <v>1111</v>
      </c>
      <c r="H2703" s="223" t="str" cm="1">
        <f t="array" ref="H2703">IFERROR(INDEX(INVESTOR_LIST[INVESTOR NAME],MATCH(I2703,INVESTOR_LIST[INVESTOR CODE],0),)," ")</f>
        <v>FARUQUE AHMED &amp; ZAHEDA BEGUM HENA</v>
      </c>
      <c r="I2703" s="223" t="s">
        <v>481</v>
      </c>
      <c r="J2703" s="224" t="s">
        <v>14</v>
      </c>
      <c r="K2703" s="225">
        <v>990690</v>
      </c>
      <c r="L2703" s="225"/>
    </row>
    <row r="2704" spans="1:12" ht="11.25" customHeight="1" x14ac:dyDescent="0.2">
      <c r="A2704" s="164">
        <v>2023</v>
      </c>
      <c r="B2704" s="164">
        <v>3</v>
      </c>
      <c r="C2704" s="164">
        <v>28</v>
      </c>
      <c r="D2704" s="156">
        <f t="shared" si="308"/>
        <v>45013</v>
      </c>
      <c r="E2704" s="235">
        <f t="shared" si="307"/>
        <v>45013</v>
      </c>
      <c r="F2704" s="480"/>
      <c r="G2704" s="208" t="s">
        <v>1111</v>
      </c>
      <c r="H2704" s="206" t="str" cm="1">
        <f t="array" ref="H2704">IFERROR(INDEX(INVESTOR_LIST[INVESTOR NAME],MATCH(I2704,INVESTOR_LIST[INVESTOR CODE],0),)," ")</f>
        <v>FARUQUE AHMED &amp; ZAHEDA BEGUM HENA</v>
      </c>
      <c r="I2704" s="206" t="s">
        <v>481</v>
      </c>
      <c r="J2704" s="165" t="s">
        <v>1112</v>
      </c>
      <c r="K2704" s="205">
        <v>9310</v>
      </c>
    </row>
    <row r="2705" spans="1:12" ht="11.25" customHeight="1" x14ac:dyDescent="0.2">
      <c r="A2705" s="226">
        <v>2023</v>
      </c>
      <c r="B2705" s="226">
        <v>3</v>
      </c>
      <c r="C2705" s="226">
        <v>28</v>
      </c>
      <c r="D2705" s="232">
        <f t="shared" si="308"/>
        <v>45013</v>
      </c>
      <c r="E2705" s="234">
        <f t="shared" si="307"/>
        <v>45013</v>
      </c>
      <c r="F2705" s="479"/>
      <c r="G2705" s="227" t="s">
        <v>1111</v>
      </c>
      <c r="H2705" s="228" t="str" cm="1">
        <f t="array" ref="H2705">IFERROR(INDEX(INVESTOR_LIST[INVESTOR NAME],MATCH(I2705,INVESTOR_LIST[INVESTOR CODE],0),)," ")</f>
        <v>FARUQUE AHMED &amp; ZAHEDA BEGUM HENA</v>
      </c>
      <c r="I2705" s="228" t="s">
        <v>481</v>
      </c>
      <c r="J2705" s="229" t="s">
        <v>55</v>
      </c>
      <c r="K2705" s="230"/>
      <c r="L2705" s="230">
        <v>1000000</v>
      </c>
    </row>
    <row r="2706" spans="1:12" ht="11.25" customHeight="1" x14ac:dyDescent="0.2">
      <c r="A2706" s="221">
        <v>2023</v>
      </c>
      <c r="B2706" s="221">
        <v>3</v>
      </c>
      <c r="C2706" s="221">
        <v>29</v>
      </c>
      <c r="D2706" s="231">
        <f t="shared" si="308"/>
        <v>45014</v>
      </c>
      <c r="E2706" s="233">
        <f t="shared" ref="E2706:E2727" si="309">DATE(A2706,B2706,C2706)</f>
        <v>45014</v>
      </c>
      <c r="F2706" s="478" t="s">
        <v>1115</v>
      </c>
      <c r="G2706" s="222" t="s">
        <v>1111</v>
      </c>
      <c r="H2706" s="223" t="str" cm="1">
        <f t="array" ref="H2706">IFERROR(INDEX(INVESTOR_LIST[INVESTOR NAME],MATCH(I2706,INVESTOR_LIST[INVESTOR CODE],0),)," ")</f>
        <v>MD. SAIFUR RAHMAN</v>
      </c>
      <c r="I2706" s="223" t="s">
        <v>423</v>
      </c>
      <c r="J2706" s="224" t="s">
        <v>14</v>
      </c>
      <c r="K2706" s="225">
        <v>1000000</v>
      </c>
      <c r="L2706" s="225"/>
    </row>
    <row r="2707" spans="1:12" ht="11.25" customHeight="1" x14ac:dyDescent="0.2">
      <c r="A2707" s="164">
        <v>2023</v>
      </c>
      <c r="B2707" s="164">
        <v>3</v>
      </c>
      <c r="C2707" s="164">
        <v>29</v>
      </c>
      <c r="D2707" s="156">
        <f t="shared" si="308"/>
        <v>45014</v>
      </c>
      <c r="E2707" s="235">
        <f t="shared" si="309"/>
        <v>45014</v>
      </c>
      <c r="F2707" s="480"/>
      <c r="G2707" s="208" t="s">
        <v>1111</v>
      </c>
      <c r="H2707" s="206" t="str" cm="1">
        <f t="array" ref="H2707">IFERROR(INDEX(INVESTOR_LIST[INVESTOR NAME],MATCH(I2707,INVESTOR_LIST[INVESTOR CODE],0),)," ")</f>
        <v>MD. SAIFUR RAHMAN</v>
      </c>
      <c r="I2707" s="206" t="s">
        <v>423</v>
      </c>
      <c r="J2707" s="165" t="s">
        <v>1112</v>
      </c>
      <c r="K2707" s="205">
        <v>9800</v>
      </c>
    </row>
    <row r="2708" spans="1:12" ht="11.25" customHeight="1" x14ac:dyDescent="0.2">
      <c r="A2708" s="226">
        <v>2023</v>
      </c>
      <c r="B2708" s="226">
        <v>3</v>
      </c>
      <c r="C2708" s="226">
        <v>29</v>
      </c>
      <c r="D2708" s="232">
        <f t="shared" si="308"/>
        <v>45014</v>
      </c>
      <c r="E2708" s="234">
        <f t="shared" si="309"/>
        <v>45014</v>
      </c>
      <c r="F2708" s="479"/>
      <c r="G2708" s="227" t="s">
        <v>1111</v>
      </c>
      <c r="H2708" s="228" t="str" cm="1">
        <f t="array" ref="H2708">IFERROR(INDEX(INVESTOR_LIST[INVESTOR NAME],MATCH(I2708,INVESTOR_LIST[INVESTOR CODE],0),)," ")</f>
        <v>MD. SAIFUR RAHMAN</v>
      </c>
      <c r="I2708" s="228" t="s">
        <v>423</v>
      </c>
      <c r="J2708" s="229" t="s">
        <v>55</v>
      </c>
      <c r="K2708" s="230"/>
      <c r="L2708" s="230">
        <v>1009800</v>
      </c>
    </row>
    <row r="2709" spans="1:12" ht="11.25" customHeight="1" x14ac:dyDescent="0.2">
      <c r="A2709" s="280">
        <v>2023</v>
      </c>
      <c r="B2709" s="280">
        <v>3</v>
      </c>
      <c r="C2709" s="280">
        <v>30</v>
      </c>
      <c r="D2709" s="281">
        <f t="shared" si="308"/>
        <v>45015</v>
      </c>
      <c r="E2709" s="282">
        <f t="shared" si="309"/>
        <v>45015</v>
      </c>
      <c r="F2709" s="472" t="s">
        <v>1369</v>
      </c>
      <c r="G2709" s="283" t="s">
        <v>86</v>
      </c>
      <c r="H2709" s="284" t="str" cm="1">
        <f t="array" ref="H2709">IFERROR(INDEX(INVESTOR_LIST[INVESTOR NAME],MATCH(I2709,INVESTOR_LIST[INVESTOR CODE],0),)," ")</f>
        <v xml:space="preserve"> </v>
      </c>
      <c r="I2709" s="284"/>
      <c r="J2709" s="285" t="s">
        <v>131</v>
      </c>
      <c r="K2709" s="286">
        <v>84115.34</v>
      </c>
      <c r="L2709" s="286"/>
    </row>
    <row r="2710" spans="1:12" ht="11.25" customHeight="1" x14ac:dyDescent="0.2">
      <c r="A2710" s="287">
        <v>2023</v>
      </c>
      <c r="B2710" s="287">
        <v>3</v>
      </c>
      <c r="C2710" s="287">
        <v>30</v>
      </c>
      <c r="D2710" s="288">
        <f t="shared" si="308"/>
        <v>45015</v>
      </c>
      <c r="E2710" s="289">
        <f t="shared" si="309"/>
        <v>45015</v>
      </c>
      <c r="F2710" s="473"/>
      <c r="G2710" s="290" t="s">
        <v>86</v>
      </c>
      <c r="H2710" s="291" t="str" cm="1">
        <f t="array" ref="H2710">IFERROR(INDEX(INVESTOR_LIST[INVESTOR NAME],MATCH(I2710,INVESTOR_LIST[INVESTOR CODE],0),)," ")</f>
        <v xml:space="preserve"> </v>
      </c>
      <c r="I2710" s="291"/>
      <c r="J2710" s="292" t="s">
        <v>174</v>
      </c>
      <c r="K2710" s="293"/>
      <c r="L2710" s="293">
        <v>84115.34</v>
      </c>
    </row>
    <row r="2711" spans="1:12" ht="11.25" customHeight="1" x14ac:dyDescent="0.2">
      <c r="A2711" s="280">
        <v>2023</v>
      </c>
      <c r="B2711" s="280">
        <v>3</v>
      </c>
      <c r="C2711" s="280">
        <v>30</v>
      </c>
      <c r="D2711" s="281">
        <f t="shared" si="308"/>
        <v>45015</v>
      </c>
      <c r="E2711" s="282">
        <f t="shared" si="309"/>
        <v>45015</v>
      </c>
      <c r="F2711" s="472" t="s">
        <v>1295</v>
      </c>
      <c r="G2711" s="283" t="s">
        <v>86</v>
      </c>
      <c r="H2711" s="284" t="str" cm="1">
        <f t="array" ref="H2711">IFERROR(INDEX(INVESTOR_LIST[INVESTOR NAME],MATCH(I2711,INVESTOR_LIST[INVESTOR CODE],0),)," ")</f>
        <v xml:space="preserve"> </v>
      </c>
      <c r="I2711" s="284"/>
      <c r="J2711" s="285" t="s">
        <v>131</v>
      </c>
      <c r="K2711" s="286">
        <v>16923.080000000002</v>
      </c>
      <c r="L2711" s="286"/>
    </row>
    <row r="2712" spans="1:12" ht="11.25" customHeight="1" x14ac:dyDescent="0.2">
      <c r="A2712" s="287">
        <v>2023</v>
      </c>
      <c r="B2712" s="287">
        <v>3</v>
      </c>
      <c r="C2712" s="287">
        <v>30</v>
      </c>
      <c r="D2712" s="288">
        <f t="shared" si="308"/>
        <v>45015</v>
      </c>
      <c r="E2712" s="289">
        <f t="shared" si="309"/>
        <v>45015</v>
      </c>
      <c r="F2712" s="473"/>
      <c r="G2712" s="290" t="s">
        <v>86</v>
      </c>
      <c r="H2712" s="291" t="str" cm="1">
        <f t="array" ref="H2712">IFERROR(INDEX(INVESTOR_LIST[INVESTOR NAME],MATCH(I2712,INVESTOR_LIST[INVESTOR CODE],0),)," ")</f>
        <v xml:space="preserve"> </v>
      </c>
      <c r="I2712" s="291"/>
      <c r="J2712" s="292" t="s">
        <v>174</v>
      </c>
      <c r="K2712" s="293"/>
      <c r="L2712" s="293">
        <v>16923.080000000002</v>
      </c>
    </row>
    <row r="2713" spans="1:12" ht="11.25" customHeight="1" x14ac:dyDescent="0.2">
      <c r="A2713" s="280">
        <v>2023</v>
      </c>
      <c r="B2713" s="280">
        <v>3</v>
      </c>
      <c r="C2713" s="280">
        <v>30</v>
      </c>
      <c r="D2713" s="281">
        <f t="shared" si="308"/>
        <v>45015</v>
      </c>
      <c r="E2713" s="282">
        <f t="shared" si="309"/>
        <v>45015</v>
      </c>
      <c r="F2713" s="472" t="s">
        <v>1294</v>
      </c>
      <c r="G2713" s="283" t="s">
        <v>86</v>
      </c>
      <c r="H2713" s="284" t="str" cm="1">
        <f t="array" ref="H2713">IFERROR(INDEX(INVESTOR_LIST[INVESTOR NAME],MATCH(I2713,INVESTOR_LIST[INVESTOR CODE],0),)," ")</f>
        <v xml:space="preserve"> </v>
      </c>
      <c r="I2713" s="284"/>
      <c r="J2713" s="285" t="s">
        <v>131</v>
      </c>
      <c r="K2713" s="286">
        <v>9711.5400000000009</v>
      </c>
      <c r="L2713" s="286"/>
    </row>
    <row r="2714" spans="1:12" ht="11.25" customHeight="1" x14ac:dyDescent="0.2">
      <c r="A2714" s="287">
        <v>2023</v>
      </c>
      <c r="B2714" s="287">
        <v>3</v>
      </c>
      <c r="C2714" s="287">
        <v>30</v>
      </c>
      <c r="D2714" s="288">
        <f t="shared" si="308"/>
        <v>45015</v>
      </c>
      <c r="E2714" s="289">
        <f t="shared" si="309"/>
        <v>45015</v>
      </c>
      <c r="F2714" s="473"/>
      <c r="G2714" s="290" t="s">
        <v>86</v>
      </c>
      <c r="H2714" s="291" t="str" cm="1">
        <f t="array" ref="H2714">IFERROR(INDEX(INVESTOR_LIST[INVESTOR NAME],MATCH(I2714,INVESTOR_LIST[INVESTOR CODE],0),)," ")</f>
        <v xml:space="preserve"> </v>
      </c>
      <c r="I2714" s="291"/>
      <c r="J2714" s="292" t="s">
        <v>174</v>
      </c>
      <c r="K2714" s="293"/>
      <c r="L2714" s="293">
        <v>9711.5400000000009</v>
      </c>
    </row>
    <row r="2715" spans="1:12" ht="11.25" customHeight="1" x14ac:dyDescent="0.2">
      <c r="A2715" s="236">
        <v>2023</v>
      </c>
      <c r="B2715" s="236">
        <v>3</v>
      </c>
      <c r="C2715" s="236">
        <v>30</v>
      </c>
      <c r="D2715" s="237">
        <f t="shared" si="308"/>
        <v>45015</v>
      </c>
      <c r="E2715" s="238">
        <f t="shared" si="309"/>
        <v>45015</v>
      </c>
      <c r="F2715" s="476" t="s">
        <v>1118</v>
      </c>
      <c r="G2715" s="239" t="s">
        <v>86</v>
      </c>
      <c r="H2715" s="239" t="str" cm="1">
        <f t="array" ref="H2715">IFERROR(INDEX(INVESTOR_LIST[INVESTOR NAME],MATCH(I2715,INVESTOR_LIST[INVESTOR CODE],0),)," ")</f>
        <v xml:space="preserve"> </v>
      </c>
      <c r="I2715" s="240"/>
      <c r="J2715" s="241" t="s">
        <v>98</v>
      </c>
      <c r="K2715" s="242">
        <v>47454.964615389705</v>
      </c>
      <c r="L2715" s="242"/>
    </row>
    <row r="2716" spans="1:12" ht="11.25" customHeight="1" x14ac:dyDescent="0.2">
      <c r="A2716" s="243">
        <v>2023</v>
      </c>
      <c r="B2716" s="243">
        <v>3</v>
      </c>
      <c r="C2716" s="243">
        <v>30</v>
      </c>
      <c r="D2716" s="248">
        <f t="shared" si="308"/>
        <v>45015</v>
      </c>
      <c r="E2716" s="249">
        <f t="shared" si="309"/>
        <v>45015</v>
      </c>
      <c r="F2716" s="477"/>
      <c r="G2716" s="244" t="s">
        <v>86</v>
      </c>
      <c r="H2716" s="244" t="str" cm="1">
        <f t="array" ref="H2716">IFERROR(INDEX(INVESTOR_LIST[INVESTOR NAME],MATCH(I2716,INVESTOR_LIST[INVESTOR CODE],0),)," ")</f>
        <v xml:space="preserve"> </v>
      </c>
      <c r="I2716" s="245"/>
      <c r="J2716" s="246" t="s">
        <v>82</v>
      </c>
      <c r="K2716" s="247"/>
      <c r="L2716" s="247">
        <v>47454.964615389705</v>
      </c>
    </row>
    <row r="2717" spans="1:12" ht="11.25" customHeight="1" x14ac:dyDescent="0.2">
      <c r="A2717" s="236">
        <v>2023</v>
      </c>
      <c r="B2717" s="236">
        <v>3</v>
      </c>
      <c r="C2717" s="236">
        <v>30</v>
      </c>
      <c r="D2717" s="237">
        <f t="shared" si="308"/>
        <v>45015</v>
      </c>
      <c r="E2717" s="238">
        <f t="shared" si="309"/>
        <v>45015</v>
      </c>
      <c r="F2717" s="476" t="s">
        <v>1120</v>
      </c>
      <c r="G2717" s="239" t="s">
        <v>86</v>
      </c>
      <c r="H2717" s="239" t="str" cm="1">
        <f t="array" ref="H2717">IFERROR(INDEX(INVESTOR_LIST[INVESTOR NAME],MATCH(I2717,INVESTOR_LIST[INVESTOR CODE],0),)," ")</f>
        <v xml:space="preserve"> </v>
      </c>
      <c r="I2717" s="240"/>
      <c r="J2717" s="241" t="s">
        <v>87</v>
      </c>
      <c r="K2717" s="242">
        <v>2747.2527472527472</v>
      </c>
      <c r="L2717" s="242"/>
    </row>
    <row r="2718" spans="1:12" ht="11.25" customHeight="1" x14ac:dyDescent="0.2">
      <c r="A2718" s="243">
        <v>2023</v>
      </c>
      <c r="B2718" s="243">
        <v>3</v>
      </c>
      <c r="C2718" s="243">
        <v>30</v>
      </c>
      <c r="D2718" s="248">
        <f t="shared" si="308"/>
        <v>45015</v>
      </c>
      <c r="E2718" s="249">
        <f t="shared" si="309"/>
        <v>45015</v>
      </c>
      <c r="F2718" s="477"/>
      <c r="G2718" s="244" t="s">
        <v>86</v>
      </c>
      <c r="H2718" s="244" t="str" cm="1">
        <f t="array" ref="H2718">IFERROR(INDEX(INVESTOR_LIST[INVESTOR NAME],MATCH(I2718,INVESTOR_LIST[INVESTOR CODE],0),)," ")</f>
        <v xml:space="preserve"> </v>
      </c>
      <c r="I2718" s="245"/>
      <c r="J2718" s="246" t="s">
        <v>64</v>
      </c>
      <c r="K2718" s="247"/>
      <c r="L2718" s="247">
        <v>2747.2527472527472</v>
      </c>
    </row>
    <row r="2719" spans="1:12" ht="11.25" customHeight="1" x14ac:dyDescent="0.2">
      <c r="A2719" s="236">
        <v>2023</v>
      </c>
      <c r="B2719" s="236">
        <v>3</v>
      </c>
      <c r="C2719" s="236">
        <v>30</v>
      </c>
      <c r="D2719" s="237">
        <f t="shared" si="308"/>
        <v>45015</v>
      </c>
      <c r="E2719" s="238">
        <f t="shared" si="309"/>
        <v>45015</v>
      </c>
      <c r="F2719" s="476" t="s">
        <v>1121</v>
      </c>
      <c r="G2719" s="239" t="s">
        <v>86</v>
      </c>
      <c r="H2719" s="239" t="str" cm="1">
        <f t="array" ref="H2719">IFERROR(INDEX(INVESTOR_LIST[INVESTOR NAME],MATCH(I2719,INVESTOR_LIST[INVESTOR CODE],0),)," ")</f>
        <v xml:space="preserve"> </v>
      </c>
      <c r="I2719" s="240"/>
      <c r="J2719" s="241" t="s">
        <v>89</v>
      </c>
      <c r="K2719" s="242">
        <v>36662.04263889102</v>
      </c>
      <c r="L2719" s="242"/>
    </row>
    <row r="2720" spans="1:12" ht="11.25" customHeight="1" x14ac:dyDescent="0.2">
      <c r="A2720" s="243">
        <v>2023</v>
      </c>
      <c r="B2720" s="243">
        <v>3</v>
      </c>
      <c r="C2720" s="243">
        <v>30</v>
      </c>
      <c r="D2720" s="248">
        <f t="shared" si="308"/>
        <v>45015</v>
      </c>
      <c r="E2720" s="249">
        <f t="shared" si="309"/>
        <v>45015</v>
      </c>
      <c r="F2720" s="477"/>
      <c r="G2720" s="244" t="s">
        <v>86</v>
      </c>
      <c r="H2720" s="244" t="str" cm="1">
        <f t="array" ref="H2720">IFERROR(INDEX(INVESTOR_LIST[INVESTOR NAME],MATCH(I2720,INVESTOR_LIST[INVESTOR CODE],0),)," ")</f>
        <v xml:space="preserve"> </v>
      </c>
      <c r="I2720" s="245"/>
      <c r="J2720" s="246" t="s">
        <v>50</v>
      </c>
      <c r="K2720" s="247"/>
      <c r="L2720" s="247">
        <v>36662.04263889102</v>
      </c>
    </row>
    <row r="2721" spans="1:12" ht="11.25" customHeight="1" x14ac:dyDescent="0.2">
      <c r="A2721" s="236">
        <v>2023</v>
      </c>
      <c r="B2721" s="236">
        <v>3</v>
      </c>
      <c r="C2721" s="236">
        <v>30</v>
      </c>
      <c r="D2721" s="237">
        <f t="shared" si="308"/>
        <v>45015</v>
      </c>
      <c r="E2721" s="238">
        <f t="shared" si="309"/>
        <v>45015</v>
      </c>
      <c r="F2721" s="476" t="s">
        <v>1122</v>
      </c>
      <c r="G2721" s="239" t="s">
        <v>86</v>
      </c>
      <c r="H2721" s="239" t="str" cm="1">
        <f t="array" ref="H2721">IFERROR(INDEX(INVESTOR_LIST[INVESTOR NAME],MATCH(I2721,INVESTOR_LIST[INVESTOR CODE],0),)," ")</f>
        <v xml:space="preserve"> </v>
      </c>
      <c r="I2721" s="240"/>
      <c r="J2721" s="241" t="s">
        <v>91</v>
      </c>
      <c r="K2721" s="242">
        <v>3666.2042638891025</v>
      </c>
      <c r="L2721" s="242"/>
    </row>
    <row r="2722" spans="1:12" ht="11.25" customHeight="1" x14ac:dyDescent="0.2">
      <c r="A2722" s="243">
        <v>2023</v>
      </c>
      <c r="B2722" s="243">
        <v>3</v>
      </c>
      <c r="C2722" s="243">
        <v>30</v>
      </c>
      <c r="D2722" s="248">
        <f t="shared" si="308"/>
        <v>45015</v>
      </c>
      <c r="E2722" s="249">
        <f t="shared" si="309"/>
        <v>45015</v>
      </c>
      <c r="F2722" s="477"/>
      <c r="G2722" s="244" t="s">
        <v>86</v>
      </c>
      <c r="H2722" s="244" t="str" cm="1">
        <f t="array" ref="H2722">IFERROR(INDEX(INVESTOR_LIST[INVESTOR NAME],MATCH(I2722,INVESTOR_LIST[INVESTOR CODE],0),)," ")</f>
        <v xml:space="preserve"> </v>
      </c>
      <c r="I2722" s="245"/>
      <c r="J2722" s="246" t="s">
        <v>51</v>
      </c>
      <c r="K2722" s="247"/>
      <c r="L2722" s="247">
        <v>3666.2042638891025</v>
      </c>
    </row>
    <row r="2723" spans="1:12" ht="11.25" customHeight="1" x14ac:dyDescent="0.2">
      <c r="A2723" s="221">
        <v>2023</v>
      </c>
      <c r="B2723" s="221">
        <v>4</v>
      </c>
      <c r="C2723" s="221">
        <v>3</v>
      </c>
      <c r="D2723" s="231">
        <f t="shared" si="308"/>
        <v>45019</v>
      </c>
      <c r="E2723" s="233">
        <f t="shared" si="309"/>
        <v>45019</v>
      </c>
      <c r="F2723" s="478" t="s">
        <v>1470</v>
      </c>
      <c r="G2723" s="222" t="s">
        <v>1111</v>
      </c>
      <c r="H2723" s="223" t="str" cm="1">
        <f t="array" ref="H2723">IFERROR(INDEX(INVESTOR_LIST[INVESTOR NAME],MATCH(I2723,INVESTOR_LIST[INVESTOR CODE],0),)," ")</f>
        <v xml:space="preserve"> </v>
      </c>
      <c r="I2723" s="223"/>
      <c r="J2723" s="224" t="s">
        <v>194</v>
      </c>
      <c r="K2723" s="225">
        <v>91248.23</v>
      </c>
      <c r="L2723" s="225"/>
    </row>
    <row r="2724" spans="1:12" ht="11.25" customHeight="1" x14ac:dyDescent="0.2">
      <c r="A2724" s="226">
        <v>2023</v>
      </c>
      <c r="B2724" s="226">
        <v>4</v>
      </c>
      <c r="C2724" s="226">
        <v>3</v>
      </c>
      <c r="D2724" s="232">
        <f t="shared" si="308"/>
        <v>45019</v>
      </c>
      <c r="E2724" s="234">
        <f t="shared" si="309"/>
        <v>45019</v>
      </c>
      <c r="F2724" s="479"/>
      <c r="G2724" s="227" t="s">
        <v>1111</v>
      </c>
      <c r="H2724" s="228" t="str" cm="1">
        <f t="array" ref="H2724">IFERROR(INDEX(INVESTOR_LIST[INVESTOR NAME],MATCH(I2724,INVESTOR_LIST[INVESTOR CODE],0),)," ")</f>
        <v xml:space="preserve"> </v>
      </c>
      <c r="I2724" s="228"/>
      <c r="J2724" s="229" t="s">
        <v>55</v>
      </c>
      <c r="K2724" s="230"/>
      <c r="L2724" s="230">
        <v>91248.23</v>
      </c>
    </row>
    <row r="2725" spans="1:12" ht="11.25" customHeight="1" x14ac:dyDescent="0.2">
      <c r="A2725" s="221">
        <v>2023</v>
      </c>
      <c r="B2725" s="221">
        <v>4</v>
      </c>
      <c r="C2725" s="221">
        <v>3</v>
      </c>
      <c r="D2725" s="231">
        <f t="shared" si="308"/>
        <v>45019</v>
      </c>
      <c r="E2725" s="233">
        <f t="shared" si="309"/>
        <v>45019</v>
      </c>
      <c r="F2725" s="478" t="s">
        <v>1132</v>
      </c>
      <c r="G2725" s="222" t="s">
        <v>1111</v>
      </c>
      <c r="H2725" s="223" t="str" cm="1">
        <f t="array" ref="H2725">IFERROR(INDEX(INVESTOR_LIST[INVESTOR NAME],MATCH(I2725,INVESTOR_LIST[INVESTOR CODE],0),)," ")</f>
        <v xml:space="preserve"> </v>
      </c>
      <c r="I2725" s="223"/>
      <c r="J2725" s="224" t="s">
        <v>55</v>
      </c>
      <c r="K2725" s="167">
        <v>10000</v>
      </c>
      <c r="L2725" s="225"/>
    </row>
    <row r="2726" spans="1:12" ht="11.25" customHeight="1" x14ac:dyDescent="0.2">
      <c r="A2726" s="164">
        <v>2023</v>
      </c>
      <c r="B2726" s="164">
        <v>4</v>
      </c>
      <c r="C2726" s="164">
        <v>3</v>
      </c>
      <c r="D2726" s="156">
        <f t="shared" si="308"/>
        <v>45019</v>
      </c>
      <c r="E2726" s="235">
        <f t="shared" si="309"/>
        <v>45019</v>
      </c>
      <c r="F2726" s="480"/>
      <c r="G2726" s="208" t="s">
        <v>1111</v>
      </c>
      <c r="H2726" s="206" t="str" cm="1">
        <f t="array" ref="H2726">IFERROR(INDEX(INVESTOR_LIST[INVESTOR NAME],MATCH(I2726,INVESTOR_LIST[INVESTOR CODE],0),)," ")</f>
        <v xml:space="preserve"> </v>
      </c>
      <c r="J2726" s="165" t="s">
        <v>1112</v>
      </c>
      <c r="L2726" s="205">
        <v>100</v>
      </c>
    </row>
    <row r="2727" spans="1:12" ht="11.25" customHeight="1" x14ac:dyDescent="0.2">
      <c r="A2727" s="226">
        <v>2023</v>
      </c>
      <c r="B2727" s="226">
        <v>4</v>
      </c>
      <c r="C2727" s="226">
        <v>3</v>
      </c>
      <c r="D2727" s="232">
        <f t="shared" si="308"/>
        <v>45019</v>
      </c>
      <c r="E2727" s="234">
        <f t="shared" si="309"/>
        <v>45019</v>
      </c>
      <c r="F2727" s="479"/>
      <c r="G2727" s="227" t="s">
        <v>1111</v>
      </c>
      <c r="H2727" s="228" t="str" cm="1">
        <f t="array" ref="H2727">IFERROR(INDEX(INVESTOR_LIST[INVESTOR NAME],MATCH(I2727,INVESTOR_LIST[INVESTOR CODE],0),)," ")</f>
        <v xml:space="preserve"> </v>
      </c>
      <c r="I2727" s="228"/>
      <c r="J2727" s="229" t="s">
        <v>14</v>
      </c>
      <c r="K2727" s="230"/>
      <c r="L2727" s="230">
        <v>9900</v>
      </c>
    </row>
    <row r="2728" spans="1:12" ht="11.25" customHeight="1" x14ac:dyDescent="0.2">
      <c r="A2728" s="221">
        <v>2023</v>
      </c>
      <c r="B2728" s="221">
        <v>4</v>
      </c>
      <c r="C2728" s="221">
        <v>4</v>
      </c>
      <c r="D2728" s="231">
        <f t="shared" si="308"/>
        <v>45020</v>
      </c>
      <c r="E2728" s="233">
        <f t="shared" ref="E2728:E2730" si="310">DATE(A2728,B2728,C2728)</f>
        <v>45020</v>
      </c>
      <c r="F2728" s="478" t="s">
        <v>1115</v>
      </c>
      <c r="G2728" s="222" t="s">
        <v>1111</v>
      </c>
      <c r="H2728" s="223" t="str" cm="1">
        <f t="array" ref="H2728">IFERROR(INDEX(INVESTOR_LIST[INVESTOR NAME],MATCH(I2728,INVESTOR_LIST[INVESTOR CODE],0),)," ")</f>
        <v>SHUVA SAHA</v>
      </c>
      <c r="I2728" s="223" t="s">
        <v>370</v>
      </c>
      <c r="J2728" s="224" t="s">
        <v>14</v>
      </c>
      <c r="K2728" s="225">
        <v>98960</v>
      </c>
      <c r="L2728" s="225"/>
    </row>
    <row r="2729" spans="1:12" ht="11.25" customHeight="1" x14ac:dyDescent="0.2">
      <c r="A2729" s="164">
        <v>2023</v>
      </c>
      <c r="B2729" s="164">
        <v>4</v>
      </c>
      <c r="C2729" s="164">
        <v>4</v>
      </c>
      <c r="D2729" s="156">
        <f t="shared" si="308"/>
        <v>45020</v>
      </c>
      <c r="E2729" s="235">
        <f t="shared" si="310"/>
        <v>45020</v>
      </c>
      <c r="F2729" s="480"/>
      <c r="G2729" s="208" t="s">
        <v>1111</v>
      </c>
      <c r="H2729" s="206" t="str" cm="1">
        <f t="array" ref="H2729">IFERROR(INDEX(INVESTOR_LIST[INVESTOR NAME],MATCH(I2729,INVESTOR_LIST[INVESTOR CODE],0),)," ")</f>
        <v>SHUVA SAHA</v>
      </c>
      <c r="I2729" s="206" t="s">
        <v>370</v>
      </c>
      <c r="J2729" s="165" t="s">
        <v>1112</v>
      </c>
      <c r="K2729" s="205">
        <v>1040</v>
      </c>
    </row>
    <row r="2730" spans="1:12" ht="11.25" customHeight="1" x14ac:dyDescent="0.2">
      <c r="A2730" s="226">
        <v>2023</v>
      </c>
      <c r="B2730" s="226">
        <v>4</v>
      </c>
      <c r="C2730" s="226">
        <v>4</v>
      </c>
      <c r="D2730" s="232">
        <f t="shared" si="308"/>
        <v>45020</v>
      </c>
      <c r="E2730" s="234">
        <f t="shared" si="310"/>
        <v>45020</v>
      </c>
      <c r="F2730" s="479"/>
      <c r="G2730" s="227" t="s">
        <v>1111</v>
      </c>
      <c r="H2730" s="228" t="str" cm="1">
        <f t="array" ref="H2730">IFERROR(INDEX(INVESTOR_LIST[INVESTOR NAME],MATCH(I2730,INVESTOR_LIST[INVESTOR CODE],0),)," ")</f>
        <v>SHUVA SAHA</v>
      </c>
      <c r="I2730" s="228" t="s">
        <v>370</v>
      </c>
      <c r="J2730" s="229" t="s">
        <v>55</v>
      </c>
      <c r="K2730" s="230"/>
      <c r="L2730" s="230">
        <v>100000</v>
      </c>
    </row>
    <row r="2731" spans="1:12" ht="11.25" customHeight="1" x14ac:dyDescent="0.2">
      <c r="A2731" s="221">
        <v>2023</v>
      </c>
      <c r="B2731" s="221">
        <v>4</v>
      </c>
      <c r="C2731" s="221">
        <v>4</v>
      </c>
      <c r="D2731" s="231">
        <f t="shared" si="308"/>
        <v>45020</v>
      </c>
      <c r="E2731" s="233">
        <f t="shared" ref="E2731:E2734" si="311">DATE(A2731,B2731,C2731)</f>
        <v>45020</v>
      </c>
      <c r="F2731" s="478" t="s">
        <v>1458</v>
      </c>
      <c r="G2731" s="222" t="s">
        <v>1111</v>
      </c>
      <c r="H2731" s="223" t="str" cm="1">
        <f t="array" ref="H2731">IFERROR(INDEX(INVESTOR_LIST[INVESTOR NAME],MATCH(I2731,INVESTOR_LIST[INVESTOR CODE],0),)," ")</f>
        <v xml:space="preserve"> </v>
      </c>
      <c r="I2731" s="223"/>
      <c r="J2731" s="224" t="s">
        <v>55</v>
      </c>
      <c r="K2731" s="225">
        <v>3048750</v>
      </c>
      <c r="L2731" s="225"/>
    </row>
    <row r="2732" spans="1:12" ht="11.25" customHeight="1" x14ac:dyDescent="0.2">
      <c r="A2732" s="164">
        <v>2023</v>
      </c>
      <c r="B2732" s="164">
        <v>4</v>
      </c>
      <c r="C2732" s="164">
        <v>4</v>
      </c>
      <c r="D2732" s="156">
        <f t="shared" si="308"/>
        <v>45020</v>
      </c>
      <c r="E2732" s="235">
        <f t="shared" si="311"/>
        <v>45020</v>
      </c>
      <c r="F2732" s="480"/>
      <c r="G2732" s="208" t="s">
        <v>1111</v>
      </c>
      <c r="J2732" s="165" t="s">
        <v>63</v>
      </c>
      <c r="K2732" s="205">
        <v>12000</v>
      </c>
      <c r="L2732" s="205"/>
    </row>
    <row r="2733" spans="1:12" ht="11.25" customHeight="1" x14ac:dyDescent="0.2">
      <c r="A2733" s="164">
        <v>2023</v>
      </c>
      <c r="B2733" s="164">
        <v>4</v>
      </c>
      <c r="C2733" s="164">
        <v>4</v>
      </c>
      <c r="D2733" s="156">
        <f t="shared" si="308"/>
        <v>45020</v>
      </c>
      <c r="E2733" s="235">
        <f t="shared" si="311"/>
        <v>45020</v>
      </c>
      <c r="F2733" s="480"/>
      <c r="G2733" s="208" t="s">
        <v>1111</v>
      </c>
      <c r="H2733" s="206" t="str" cm="1">
        <f t="array" ref="H2733">IFERROR(INDEX(INVESTOR_LIST[INVESTOR NAME],MATCH(I2733,INVESTOR_LIST[INVESTOR CODE],0),)," ")</f>
        <v xml:space="preserve"> </v>
      </c>
      <c r="J2733" s="165" t="s">
        <v>131</v>
      </c>
      <c r="K2733" s="156"/>
      <c r="L2733" s="205">
        <v>60750</v>
      </c>
    </row>
    <row r="2734" spans="1:12" ht="11.25" customHeight="1" x14ac:dyDescent="0.2">
      <c r="A2734" s="226">
        <v>2023</v>
      </c>
      <c r="B2734" s="226">
        <v>4</v>
      </c>
      <c r="C2734" s="226">
        <v>4</v>
      </c>
      <c r="D2734" s="232">
        <f t="shared" si="308"/>
        <v>45020</v>
      </c>
      <c r="E2734" s="234">
        <f t="shared" si="311"/>
        <v>45020</v>
      </c>
      <c r="F2734" s="479"/>
      <c r="G2734" s="227" t="s">
        <v>1111</v>
      </c>
      <c r="H2734" s="228" t="str" cm="1">
        <f t="array" ref="H2734">IFERROR(INDEX(INVESTOR_LIST[INVESTOR NAME],MATCH(I2734,INVESTOR_LIST[INVESTOR CODE],0),)," ")</f>
        <v xml:space="preserve"> </v>
      </c>
      <c r="I2734" s="228"/>
      <c r="J2734" s="229" t="s">
        <v>88</v>
      </c>
      <c r="K2734" s="230"/>
      <c r="L2734" s="230">
        <v>3000000</v>
      </c>
    </row>
    <row r="2735" spans="1:12" ht="11.25" customHeight="1" x14ac:dyDescent="0.2">
      <c r="A2735" s="221">
        <v>2023</v>
      </c>
      <c r="B2735" s="221">
        <v>4</v>
      </c>
      <c r="C2735" s="221">
        <v>4</v>
      </c>
      <c r="D2735" s="231">
        <f t="shared" si="308"/>
        <v>45020</v>
      </c>
      <c r="E2735" s="233">
        <f>DATE(A2735,B2735,C2735)</f>
        <v>45020</v>
      </c>
      <c r="F2735" s="478" t="s">
        <v>1178</v>
      </c>
      <c r="G2735" s="222" t="s">
        <v>1111</v>
      </c>
      <c r="H2735" s="223" t="str" cm="1">
        <f t="array" ref="H2735">IFERROR(INDEX(INVESTOR_LIST[INVESTOR NAME],MATCH(I2735,INVESTOR_LIST[INVESTOR CODE],0),)," ")</f>
        <v xml:space="preserve"> </v>
      </c>
      <c r="I2735" s="223"/>
      <c r="J2735" s="224" t="s">
        <v>189</v>
      </c>
      <c r="K2735" s="225">
        <v>9000</v>
      </c>
      <c r="L2735" s="225"/>
    </row>
    <row r="2736" spans="1:12" ht="11.25" customHeight="1" x14ac:dyDescent="0.2">
      <c r="A2736" s="226">
        <v>2023</v>
      </c>
      <c r="B2736" s="226">
        <v>4</v>
      </c>
      <c r="C2736" s="226">
        <v>4</v>
      </c>
      <c r="D2736" s="232">
        <f t="shared" si="308"/>
        <v>45020</v>
      </c>
      <c r="E2736" s="234">
        <f>DATE(A2736,B2736,C2736)</f>
        <v>45020</v>
      </c>
      <c r="F2736" s="479"/>
      <c r="G2736" s="227" t="s">
        <v>1111</v>
      </c>
      <c r="H2736" s="228" t="str" cm="1">
        <f t="array" ref="H2736">IFERROR(INDEX(INVESTOR_LIST[INVESTOR NAME],MATCH(I2736,INVESTOR_LIST[INVESTOR CODE],0),)," ")</f>
        <v xml:space="preserve"> </v>
      </c>
      <c r="I2736" s="228"/>
      <c r="J2736" s="229" t="s">
        <v>55</v>
      </c>
      <c r="K2736" s="230"/>
      <c r="L2736" s="230">
        <v>9000</v>
      </c>
    </row>
    <row r="2737" spans="1:13" ht="11.25" customHeight="1" x14ac:dyDescent="0.2">
      <c r="A2737" s="221">
        <v>2023</v>
      </c>
      <c r="B2737" s="221">
        <v>4</v>
      </c>
      <c r="C2737" s="221">
        <v>4</v>
      </c>
      <c r="D2737" s="231">
        <f t="shared" si="308"/>
        <v>45020</v>
      </c>
      <c r="E2737" s="233">
        <f t="shared" ref="E2737:E2738" si="312">DATE(A2737,B2737,C2737)</f>
        <v>45020</v>
      </c>
      <c r="F2737" s="478" t="s">
        <v>1391</v>
      </c>
      <c r="G2737" s="222" t="s">
        <v>1111</v>
      </c>
      <c r="H2737" s="223" t="str" cm="1">
        <f t="array" ref="H2737">IFERROR(INDEX(INVESTOR_LIST[INVESTOR NAME],MATCH(I2737,INVESTOR_LIST[INVESTOR CODE],0),)," ")</f>
        <v xml:space="preserve"> </v>
      </c>
      <c r="I2737" s="223"/>
      <c r="J2737" s="224" t="s">
        <v>63</v>
      </c>
      <c r="K2737" s="225">
        <v>60</v>
      </c>
      <c r="L2737" s="225"/>
    </row>
    <row r="2738" spans="1:13" ht="11.25" customHeight="1" x14ac:dyDescent="0.2">
      <c r="A2738" s="226">
        <v>2023</v>
      </c>
      <c r="B2738" s="226">
        <v>4</v>
      </c>
      <c r="C2738" s="226">
        <v>4</v>
      </c>
      <c r="D2738" s="232">
        <f t="shared" si="308"/>
        <v>45020</v>
      </c>
      <c r="E2738" s="234">
        <f t="shared" si="312"/>
        <v>45020</v>
      </c>
      <c r="F2738" s="479"/>
      <c r="G2738" s="227" t="s">
        <v>1111</v>
      </c>
      <c r="H2738" s="228" t="str" cm="1">
        <f t="array" ref="H2738">IFERROR(INDEX(INVESTOR_LIST[INVESTOR NAME],MATCH(I2738,INVESTOR_LIST[INVESTOR CODE],0),)," ")</f>
        <v xml:space="preserve"> </v>
      </c>
      <c r="I2738" s="228"/>
      <c r="J2738" s="229" t="s">
        <v>55</v>
      </c>
      <c r="K2738" s="230"/>
      <c r="L2738" s="230">
        <v>60</v>
      </c>
    </row>
    <row r="2739" spans="1:13" ht="11.25" customHeight="1" x14ac:dyDescent="0.2">
      <c r="A2739" s="221">
        <v>2023</v>
      </c>
      <c r="B2739" s="221">
        <v>4</v>
      </c>
      <c r="C2739" s="221">
        <v>5</v>
      </c>
      <c r="D2739" s="231">
        <f t="shared" si="308"/>
        <v>45021</v>
      </c>
      <c r="E2739" s="233">
        <f>DATE(A2739,B2739,C2739)</f>
        <v>45021</v>
      </c>
      <c r="F2739" s="478" t="s">
        <v>1471</v>
      </c>
      <c r="G2739" s="222" t="s">
        <v>1111</v>
      </c>
      <c r="H2739" s="222" t="str" cm="1">
        <f t="array" ref="H2739">IFERROR(INDEX(INVESTOR_LIST[INVESTOR NAME],MATCH(I2739,INVESTOR_LIST[INVESTOR CODE],0),)," ")</f>
        <v xml:space="preserve"> </v>
      </c>
      <c r="I2739" s="223"/>
      <c r="J2739" s="224" t="s">
        <v>196</v>
      </c>
      <c r="K2739" s="225">
        <v>680000</v>
      </c>
      <c r="L2739" s="225"/>
      <c r="M2739" s="166"/>
    </row>
    <row r="2740" spans="1:13" ht="11.25" customHeight="1" x14ac:dyDescent="0.2">
      <c r="A2740" s="164">
        <v>2023</v>
      </c>
      <c r="B2740" s="164">
        <v>4</v>
      </c>
      <c r="C2740" s="164">
        <v>5</v>
      </c>
      <c r="D2740" s="156">
        <f t="shared" si="308"/>
        <v>45021</v>
      </c>
      <c r="E2740" s="235">
        <f>DATE(A2740,B2740,C2740)</f>
        <v>45021</v>
      </c>
      <c r="F2740" s="480"/>
      <c r="G2740" s="208" t="s">
        <v>1111</v>
      </c>
      <c r="H2740" s="208"/>
      <c r="J2740" s="165" t="s">
        <v>197</v>
      </c>
      <c r="K2740" s="205">
        <v>3000</v>
      </c>
      <c r="L2740" s="205"/>
      <c r="M2740" s="166"/>
    </row>
    <row r="2741" spans="1:13" ht="11.25" customHeight="1" x14ac:dyDescent="0.2">
      <c r="A2741" s="164">
        <v>2023</v>
      </c>
      <c r="B2741" s="164">
        <v>4</v>
      </c>
      <c r="C2741" s="164">
        <v>5</v>
      </c>
      <c r="D2741" s="164">
        <f t="shared" si="308"/>
        <v>45021</v>
      </c>
      <c r="E2741" s="235">
        <f>DATE(A2741,B2741,C2741)</f>
        <v>45021</v>
      </c>
      <c r="F2741" s="480"/>
      <c r="G2741" s="208" t="s">
        <v>1111</v>
      </c>
      <c r="H2741" s="208" t="str" cm="1">
        <f t="array" ref="H2741">IFERROR(INDEX(INVESTOR_LIST[INVESTOR NAME],MATCH(I2741,INVESTOR_LIST[INVESTOR CODE],0),)," ")</f>
        <v xml:space="preserve"> </v>
      </c>
      <c r="J2741" s="165" t="s">
        <v>63</v>
      </c>
      <c r="K2741" s="205">
        <v>115</v>
      </c>
      <c r="L2741" s="205"/>
    </row>
    <row r="2742" spans="1:13" ht="11.25" customHeight="1" x14ac:dyDescent="0.2">
      <c r="A2742" s="226">
        <v>2023</v>
      </c>
      <c r="B2742" s="226">
        <v>4</v>
      </c>
      <c r="C2742" s="226">
        <v>5</v>
      </c>
      <c r="D2742" s="226">
        <f t="shared" si="308"/>
        <v>45021</v>
      </c>
      <c r="E2742" s="234">
        <f>DATE(A2742,B2742,C2742)</f>
        <v>45021</v>
      </c>
      <c r="F2742" s="479"/>
      <c r="G2742" s="227" t="s">
        <v>1111</v>
      </c>
      <c r="H2742" s="228" t="str" cm="1">
        <f t="array" ref="H2742">IFERROR(INDEX(INVESTOR_LIST[INVESTOR NAME],MATCH(I2742,INVESTOR_LIST[INVESTOR CODE],0),)," ")</f>
        <v xml:space="preserve"> </v>
      </c>
      <c r="I2742" s="228"/>
      <c r="J2742" s="229" t="s">
        <v>55</v>
      </c>
      <c r="K2742" s="230"/>
      <c r="L2742" s="230">
        <v>683115</v>
      </c>
    </row>
    <row r="2743" spans="1:13" ht="11.25" customHeight="1" x14ac:dyDescent="0.2">
      <c r="A2743" s="221">
        <v>2023</v>
      </c>
      <c r="B2743" s="221">
        <v>4</v>
      </c>
      <c r="C2743" s="221">
        <v>6</v>
      </c>
      <c r="D2743" s="231">
        <f t="shared" si="308"/>
        <v>45022</v>
      </c>
      <c r="E2743" s="233">
        <f t="shared" ref="E2743:E2768" si="313">DATE(A2743,B2743,C2743)</f>
        <v>45022</v>
      </c>
      <c r="F2743" s="478" t="s">
        <v>1132</v>
      </c>
      <c r="G2743" s="222" t="s">
        <v>1111</v>
      </c>
      <c r="H2743" s="223" t="str" cm="1">
        <f t="array" ref="H2743">IFERROR(INDEX(INVESTOR_LIST[INVESTOR NAME],MATCH(I2743,INVESTOR_LIST[INVESTOR CODE],0),)," ")</f>
        <v xml:space="preserve"> </v>
      </c>
      <c r="I2743" s="223"/>
      <c r="J2743" s="224" t="s">
        <v>55</v>
      </c>
      <c r="K2743" s="167">
        <v>5000</v>
      </c>
      <c r="L2743" s="225"/>
    </row>
    <row r="2744" spans="1:13" ht="11.25" customHeight="1" x14ac:dyDescent="0.2">
      <c r="A2744" s="164">
        <v>2023</v>
      </c>
      <c r="B2744" s="164">
        <v>4</v>
      </c>
      <c r="C2744" s="164">
        <v>6</v>
      </c>
      <c r="D2744" s="156">
        <f t="shared" si="308"/>
        <v>45022</v>
      </c>
      <c r="E2744" s="235">
        <f t="shared" si="313"/>
        <v>45022</v>
      </c>
      <c r="F2744" s="480"/>
      <c r="G2744" s="208" t="s">
        <v>1111</v>
      </c>
      <c r="H2744" s="206" t="str" cm="1">
        <f t="array" ref="H2744">IFERROR(INDEX(INVESTOR_LIST[INVESTOR NAME],MATCH(I2744,INVESTOR_LIST[INVESTOR CODE],0),)," ")</f>
        <v xml:space="preserve"> </v>
      </c>
      <c r="J2744" s="165" t="s">
        <v>1112</v>
      </c>
      <c r="L2744" s="205">
        <v>50</v>
      </c>
    </row>
    <row r="2745" spans="1:13" ht="11.25" customHeight="1" x14ac:dyDescent="0.2">
      <c r="A2745" s="226">
        <v>2023</v>
      </c>
      <c r="B2745" s="226">
        <v>4</v>
      </c>
      <c r="C2745" s="226">
        <v>6</v>
      </c>
      <c r="D2745" s="232">
        <f t="shared" si="308"/>
        <v>45022</v>
      </c>
      <c r="E2745" s="234">
        <f t="shared" si="313"/>
        <v>45022</v>
      </c>
      <c r="F2745" s="479"/>
      <c r="G2745" s="227" t="s">
        <v>1111</v>
      </c>
      <c r="H2745" s="228" t="str" cm="1">
        <f t="array" ref="H2745">IFERROR(INDEX(INVESTOR_LIST[INVESTOR NAME],MATCH(I2745,INVESTOR_LIST[INVESTOR CODE],0),)," ")</f>
        <v xml:space="preserve"> </v>
      </c>
      <c r="I2745" s="228"/>
      <c r="J2745" s="229" t="s">
        <v>14</v>
      </c>
      <c r="K2745" s="230"/>
      <c r="L2745" s="230">
        <v>4950</v>
      </c>
    </row>
    <row r="2746" spans="1:13" ht="11.25" customHeight="1" x14ac:dyDescent="0.2">
      <c r="A2746" s="280">
        <v>2023</v>
      </c>
      <c r="B2746" s="280">
        <v>4</v>
      </c>
      <c r="C2746" s="280">
        <v>6</v>
      </c>
      <c r="D2746" s="281">
        <f t="shared" si="308"/>
        <v>45022</v>
      </c>
      <c r="E2746" s="282">
        <f t="shared" si="313"/>
        <v>45022</v>
      </c>
      <c r="F2746" s="472" t="s">
        <v>1369</v>
      </c>
      <c r="G2746" s="283" t="s">
        <v>86</v>
      </c>
      <c r="H2746" s="284" t="str" cm="1">
        <f t="array" ref="H2746">IFERROR(INDEX(INVESTOR_LIST[INVESTOR NAME],MATCH(I2746,INVESTOR_LIST[INVESTOR CODE],0),)," ")</f>
        <v xml:space="preserve"> </v>
      </c>
      <c r="I2746" s="284"/>
      <c r="J2746" s="285" t="s">
        <v>131</v>
      </c>
      <c r="K2746" s="286">
        <v>84115.34</v>
      </c>
      <c r="L2746" s="286"/>
    </row>
    <row r="2747" spans="1:13" ht="11.25" customHeight="1" x14ac:dyDescent="0.2">
      <c r="A2747" s="287">
        <v>2023</v>
      </c>
      <c r="B2747" s="287">
        <v>4</v>
      </c>
      <c r="C2747" s="287">
        <v>6</v>
      </c>
      <c r="D2747" s="288">
        <f t="shared" si="308"/>
        <v>45022</v>
      </c>
      <c r="E2747" s="289">
        <f t="shared" si="313"/>
        <v>45022</v>
      </c>
      <c r="F2747" s="473"/>
      <c r="G2747" s="290" t="s">
        <v>86</v>
      </c>
      <c r="H2747" s="291" t="str" cm="1">
        <f t="array" ref="H2747">IFERROR(INDEX(INVESTOR_LIST[INVESTOR NAME],MATCH(I2747,INVESTOR_LIST[INVESTOR CODE],0),)," ")</f>
        <v xml:space="preserve"> </v>
      </c>
      <c r="I2747" s="291"/>
      <c r="J2747" s="292" t="s">
        <v>174</v>
      </c>
      <c r="K2747" s="293"/>
      <c r="L2747" s="293">
        <v>84115.34</v>
      </c>
    </row>
    <row r="2748" spans="1:13" ht="11.25" customHeight="1" x14ac:dyDescent="0.2">
      <c r="A2748" s="280">
        <v>2023</v>
      </c>
      <c r="B2748" s="280">
        <v>4</v>
      </c>
      <c r="C2748" s="280">
        <v>6</v>
      </c>
      <c r="D2748" s="281">
        <f t="shared" si="308"/>
        <v>45022</v>
      </c>
      <c r="E2748" s="282">
        <f t="shared" si="313"/>
        <v>45022</v>
      </c>
      <c r="F2748" s="472" t="s">
        <v>1295</v>
      </c>
      <c r="G2748" s="283" t="s">
        <v>86</v>
      </c>
      <c r="H2748" s="284" t="str" cm="1">
        <f t="array" ref="H2748">IFERROR(INDEX(INVESTOR_LIST[INVESTOR NAME],MATCH(I2748,INVESTOR_LIST[INVESTOR CODE],0),)," ")</f>
        <v xml:space="preserve"> </v>
      </c>
      <c r="I2748" s="284"/>
      <c r="J2748" s="285" t="s">
        <v>131</v>
      </c>
      <c r="K2748" s="286">
        <v>16923.080000000002</v>
      </c>
      <c r="L2748" s="286"/>
    </row>
    <row r="2749" spans="1:13" ht="11.25" customHeight="1" x14ac:dyDescent="0.2">
      <c r="A2749" s="287">
        <v>2023</v>
      </c>
      <c r="B2749" s="287">
        <v>4</v>
      </c>
      <c r="C2749" s="287">
        <v>6</v>
      </c>
      <c r="D2749" s="288">
        <f t="shared" si="308"/>
        <v>45022</v>
      </c>
      <c r="E2749" s="289">
        <f t="shared" si="313"/>
        <v>45022</v>
      </c>
      <c r="F2749" s="473"/>
      <c r="G2749" s="290" t="s">
        <v>86</v>
      </c>
      <c r="H2749" s="291" t="str" cm="1">
        <f t="array" ref="H2749">IFERROR(INDEX(INVESTOR_LIST[INVESTOR NAME],MATCH(I2749,INVESTOR_LIST[INVESTOR CODE],0),)," ")</f>
        <v xml:space="preserve"> </v>
      </c>
      <c r="I2749" s="291"/>
      <c r="J2749" s="292" t="s">
        <v>174</v>
      </c>
      <c r="K2749" s="293"/>
      <c r="L2749" s="293">
        <v>16923.080000000002</v>
      </c>
    </row>
    <row r="2750" spans="1:13" ht="11.25" customHeight="1" x14ac:dyDescent="0.2">
      <c r="A2750" s="280">
        <v>2023</v>
      </c>
      <c r="B2750" s="280">
        <v>4</v>
      </c>
      <c r="C2750" s="280">
        <v>6</v>
      </c>
      <c r="D2750" s="281">
        <f t="shared" si="308"/>
        <v>45022</v>
      </c>
      <c r="E2750" s="282">
        <f t="shared" si="313"/>
        <v>45022</v>
      </c>
      <c r="F2750" s="472" t="s">
        <v>1294</v>
      </c>
      <c r="G2750" s="283" t="s">
        <v>86</v>
      </c>
      <c r="H2750" s="284" t="str" cm="1">
        <f t="array" ref="H2750">IFERROR(INDEX(INVESTOR_LIST[INVESTOR NAME],MATCH(I2750,INVESTOR_LIST[INVESTOR CODE],0),)," ")</f>
        <v xml:space="preserve"> </v>
      </c>
      <c r="I2750" s="284"/>
      <c r="J2750" s="285" t="s">
        <v>131</v>
      </c>
      <c r="K2750" s="286">
        <v>9711.5400000000009</v>
      </c>
      <c r="L2750" s="286"/>
    </row>
    <row r="2751" spans="1:13" ht="11.25" customHeight="1" x14ac:dyDescent="0.2">
      <c r="A2751" s="287">
        <v>2023</v>
      </c>
      <c r="B2751" s="287">
        <v>4</v>
      </c>
      <c r="C2751" s="287">
        <v>6</v>
      </c>
      <c r="D2751" s="288">
        <f t="shared" si="308"/>
        <v>45022</v>
      </c>
      <c r="E2751" s="289">
        <f t="shared" si="313"/>
        <v>45022</v>
      </c>
      <c r="F2751" s="473"/>
      <c r="G2751" s="290" t="s">
        <v>86</v>
      </c>
      <c r="H2751" s="291" t="str" cm="1">
        <f t="array" ref="H2751">IFERROR(INDEX(INVESTOR_LIST[INVESTOR NAME],MATCH(I2751,INVESTOR_LIST[INVESTOR CODE],0),)," ")</f>
        <v xml:space="preserve"> </v>
      </c>
      <c r="I2751" s="291"/>
      <c r="J2751" s="292" t="s">
        <v>174</v>
      </c>
      <c r="K2751" s="293"/>
      <c r="L2751" s="293">
        <v>9711.5400000000009</v>
      </c>
    </row>
    <row r="2752" spans="1:13" ht="11.25" customHeight="1" x14ac:dyDescent="0.2">
      <c r="A2752" s="236">
        <v>2023</v>
      </c>
      <c r="B2752" s="236">
        <v>4</v>
      </c>
      <c r="C2752" s="236">
        <v>6</v>
      </c>
      <c r="D2752" s="237">
        <f t="shared" si="308"/>
        <v>45022</v>
      </c>
      <c r="E2752" s="238">
        <f t="shared" si="313"/>
        <v>45022</v>
      </c>
      <c r="F2752" s="476" t="s">
        <v>1118</v>
      </c>
      <c r="G2752" s="239" t="s">
        <v>86</v>
      </c>
      <c r="H2752" s="239" t="str" cm="1">
        <f t="array" ref="H2752">IFERROR(INDEX(INVESTOR_LIST[INVESTOR NAME],MATCH(I2752,INVESTOR_LIST[INVESTOR CODE],0),)," ")</f>
        <v xml:space="preserve"> </v>
      </c>
      <c r="I2752" s="240"/>
      <c r="J2752" s="241" t="s">
        <v>98</v>
      </c>
      <c r="K2752" s="242">
        <v>527500</v>
      </c>
      <c r="L2752" s="242"/>
    </row>
    <row r="2753" spans="1:12" ht="11.25" customHeight="1" x14ac:dyDescent="0.2">
      <c r="A2753" s="243">
        <v>2023</v>
      </c>
      <c r="B2753" s="243">
        <v>4</v>
      </c>
      <c r="C2753" s="243">
        <v>6</v>
      </c>
      <c r="D2753" s="248">
        <f t="shared" si="308"/>
        <v>45022</v>
      </c>
      <c r="E2753" s="249">
        <f t="shared" si="313"/>
        <v>45022</v>
      </c>
      <c r="F2753" s="477"/>
      <c r="G2753" s="244" t="s">
        <v>86</v>
      </c>
      <c r="H2753" s="244" t="str" cm="1">
        <f t="array" ref="H2753">IFERROR(INDEX(INVESTOR_LIST[INVESTOR NAME],MATCH(I2753,INVESTOR_LIST[INVESTOR CODE],0),)," ")</f>
        <v xml:space="preserve"> </v>
      </c>
      <c r="I2753" s="245"/>
      <c r="J2753" s="246" t="s">
        <v>82</v>
      </c>
      <c r="K2753" s="247"/>
      <c r="L2753" s="247">
        <v>527500</v>
      </c>
    </row>
    <row r="2754" spans="1:12" ht="11.25" customHeight="1" x14ac:dyDescent="0.2">
      <c r="A2754" s="236">
        <v>2023</v>
      </c>
      <c r="B2754" s="236">
        <v>4</v>
      </c>
      <c r="C2754" s="236">
        <v>6</v>
      </c>
      <c r="D2754" s="237">
        <f t="shared" si="308"/>
        <v>45022</v>
      </c>
      <c r="E2754" s="238">
        <f t="shared" si="313"/>
        <v>45022</v>
      </c>
      <c r="F2754" s="476" t="s">
        <v>1120</v>
      </c>
      <c r="G2754" s="239" t="s">
        <v>86</v>
      </c>
      <c r="H2754" s="239" t="str" cm="1">
        <f t="array" ref="H2754">IFERROR(INDEX(INVESTOR_LIST[INVESTOR NAME],MATCH(I2754,INVESTOR_LIST[INVESTOR CODE],0),)," ")</f>
        <v xml:space="preserve"> </v>
      </c>
      <c r="I2754" s="240"/>
      <c r="J2754" s="241" t="s">
        <v>87</v>
      </c>
      <c r="K2754" s="242">
        <v>2747.2527472527472</v>
      </c>
      <c r="L2754" s="242"/>
    </row>
    <row r="2755" spans="1:12" ht="11.25" customHeight="1" x14ac:dyDescent="0.2">
      <c r="A2755" s="243">
        <v>2023</v>
      </c>
      <c r="B2755" s="243">
        <v>4</v>
      </c>
      <c r="C2755" s="243">
        <v>6</v>
      </c>
      <c r="D2755" s="248">
        <f t="shared" si="308"/>
        <v>45022</v>
      </c>
      <c r="E2755" s="249">
        <f t="shared" si="313"/>
        <v>45022</v>
      </c>
      <c r="F2755" s="477"/>
      <c r="G2755" s="244" t="s">
        <v>86</v>
      </c>
      <c r="H2755" s="244" t="str" cm="1">
        <f t="array" ref="H2755">IFERROR(INDEX(INVESTOR_LIST[INVESTOR NAME],MATCH(I2755,INVESTOR_LIST[INVESTOR CODE],0),)," ")</f>
        <v xml:space="preserve"> </v>
      </c>
      <c r="I2755" s="245"/>
      <c r="J2755" s="246" t="s">
        <v>64</v>
      </c>
      <c r="K2755" s="247"/>
      <c r="L2755" s="247">
        <v>2747.2527472527472</v>
      </c>
    </row>
    <row r="2756" spans="1:12" ht="11.25" customHeight="1" x14ac:dyDescent="0.2">
      <c r="A2756" s="236">
        <v>2023</v>
      </c>
      <c r="B2756" s="236">
        <v>4</v>
      </c>
      <c r="C2756" s="236">
        <v>6</v>
      </c>
      <c r="D2756" s="237">
        <f t="shared" si="308"/>
        <v>45022</v>
      </c>
      <c r="E2756" s="238">
        <f t="shared" si="313"/>
        <v>45022</v>
      </c>
      <c r="F2756" s="476" t="s">
        <v>1121</v>
      </c>
      <c r="G2756" s="239" t="s">
        <v>86</v>
      </c>
      <c r="H2756" s="239" t="str" cm="1">
        <f t="array" ref="H2756">IFERROR(INDEX(INVESTOR_LIST[INVESTOR NAME],MATCH(I2756,INVESTOR_LIST[INVESTOR CODE],0),)," ")</f>
        <v xml:space="preserve"> </v>
      </c>
      <c r="I2756" s="240"/>
      <c r="J2756" s="241" t="s">
        <v>89</v>
      </c>
      <c r="K2756" s="242">
        <v>36737.475567804482</v>
      </c>
      <c r="L2756" s="242"/>
    </row>
    <row r="2757" spans="1:12" ht="11.25" customHeight="1" x14ac:dyDescent="0.2">
      <c r="A2757" s="243">
        <v>2023</v>
      </c>
      <c r="B2757" s="243">
        <v>4</v>
      </c>
      <c r="C2757" s="243">
        <v>6</v>
      </c>
      <c r="D2757" s="248">
        <f t="shared" si="308"/>
        <v>45022</v>
      </c>
      <c r="E2757" s="249">
        <f t="shared" si="313"/>
        <v>45022</v>
      </c>
      <c r="F2757" s="477"/>
      <c r="G2757" s="244" t="s">
        <v>86</v>
      </c>
      <c r="H2757" s="244" t="str" cm="1">
        <f t="array" ref="H2757">IFERROR(INDEX(INVESTOR_LIST[INVESTOR NAME],MATCH(I2757,INVESTOR_LIST[INVESTOR CODE],0),)," ")</f>
        <v xml:space="preserve"> </v>
      </c>
      <c r="I2757" s="245"/>
      <c r="J2757" s="246" t="s">
        <v>50</v>
      </c>
      <c r="K2757" s="247"/>
      <c r="L2757" s="247">
        <v>36737.475567804482</v>
      </c>
    </row>
    <row r="2758" spans="1:12" ht="11.25" customHeight="1" x14ac:dyDescent="0.2">
      <c r="A2758" s="236">
        <v>2023</v>
      </c>
      <c r="B2758" s="236">
        <v>4</v>
      </c>
      <c r="C2758" s="236">
        <v>6</v>
      </c>
      <c r="D2758" s="237">
        <f t="shared" si="308"/>
        <v>45022</v>
      </c>
      <c r="E2758" s="238">
        <f t="shared" si="313"/>
        <v>45022</v>
      </c>
      <c r="F2758" s="476" t="s">
        <v>1122</v>
      </c>
      <c r="G2758" s="239" t="s">
        <v>86</v>
      </c>
      <c r="H2758" s="239" t="str" cm="1">
        <f t="array" ref="H2758">IFERROR(INDEX(INVESTOR_LIST[INVESTOR NAME],MATCH(I2758,INVESTOR_LIST[INVESTOR CODE],0),)," ")</f>
        <v xml:space="preserve"> </v>
      </c>
      <c r="I2758" s="240"/>
      <c r="J2758" s="241" t="s">
        <v>91</v>
      </c>
      <c r="K2758" s="242">
        <v>3673.7475567804481</v>
      </c>
      <c r="L2758" s="242"/>
    </row>
    <row r="2759" spans="1:12" ht="11.25" customHeight="1" x14ac:dyDescent="0.2">
      <c r="A2759" s="243">
        <v>2023</v>
      </c>
      <c r="B2759" s="243">
        <v>4</v>
      </c>
      <c r="C2759" s="243">
        <v>6</v>
      </c>
      <c r="D2759" s="248">
        <f t="shared" si="308"/>
        <v>45022</v>
      </c>
      <c r="E2759" s="249">
        <f t="shared" si="313"/>
        <v>45022</v>
      </c>
      <c r="F2759" s="477"/>
      <c r="G2759" s="244" t="s">
        <v>86</v>
      </c>
      <c r="H2759" s="244" t="str" cm="1">
        <f t="array" ref="H2759">IFERROR(INDEX(INVESTOR_LIST[INVESTOR NAME],MATCH(I2759,INVESTOR_LIST[INVESTOR CODE],0),)," ")</f>
        <v xml:space="preserve"> </v>
      </c>
      <c r="I2759" s="245"/>
      <c r="J2759" s="246" t="s">
        <v>51</v>
      </c>
      <c r="K2759" s="247"/>
      <c r="L2759" s="247">
        <v>3673.7475567804481</v>
      </c>
    </row>
    <row r="2760" spans="1:12" ht="11.25" customHeight="1" x14ac:dyDescent="0.2">
      <c r="A2760" s="221">
        <v>2023</v>
      </c>
      <c r="B2760" s="221">
        <v>4</v>
      </c>
      <c r="C2760" s="221">
        <v>10</v>
      </c>
      <c r="D2760" s="231">
        <f t="shared" si="308"/>
        <v>45026</v>
      </c>
      <c r="E2760" s="233">
        <f t="shared" si="313"/>
        <v>45026</v>
      </c>
      <c r="F2760" s="478" t="s">
        <v>1115</v>
      </c>
      <c r="G2760" s="222" t="s">
        <v>1111</v>
      </c>
      <c r="H2760" s="223" t="str" cm="1">
        <f t="array" ref="H2760">IFERROR(INDEX(INVESTOR_LIST[INVESTOR NAME],MATCH(I2760,INVESTOR_LIST[INVESTOR CODE],0),)," ")</f>
        <v>SWADESH RANJAN SAHA</v>
      </c>
      <c r="I2760" s="223" t="s">
        <v>410</v>
      </c>
      <c r="J2760" s="224" t="s">
        <v>14</v>
      </c>
      <c r="K2760" s="225">
        <v>200000</v>
      </c>
      <c r="L2760" s="225"/>
    </row>
    <row r="2761" spans="1:12" ht="11.25" customHeight="1" x14ac:dyDescent="0.2">
      <c r="A2761" s="164">
        <v>2023</v>
      </c>
      <c r="B2761" s="164">
        <v>4</v>
      </c>
      <c r="C2761" s="164">
        <v>10</v>
      </c>
      <c r="D2761" s="156">
        <f t="shared" ref="D2761:D2824" si="314">DATE(A2761,B2761,C2761)</f>
        <v>45026</v>
      </c>
      <c r="E2761" s="235">
        <f t="shared" si="313"/>
        <v>45026</v>
      </c>
      <c r="F2761" s="480"/>
      <c r="G2761" s="208" t="s">
        <v>1111</v>
      </c>
      <c r="H2761" s="206" t="str" cm="1">
        <f t="array" ref="H2761">IFERROR(INDEX(INVESTOR_LIST[INVESTOR NAME],MATCH(I2761,INVESTOR_LIST[INVESTOR CODE],0),)," ")</f>
        <v>SWADESH RANJAN SAHA</v>
      </c>
      <c r="I2761" s="206" t="s">
        <v>410</v>
      </c>
      <c r="J2761" s="165" t="s">
        <v>1112</v>
      </c>
      <c r="K2761" s="205">
        <v>2600</v>
      </c>
    </row>
    <row r="2762" spans="1:12" ht="11.25" customHeight="1" x14ac:dyDescent="0.2">
      <c r="A2762" s="226">
        <v>2023</v>
      </c>
      <c r="B2762" s="226">
        <v>4</v>
      </c>
      <c r="C2762" s="226">
        <v>10</v>
      </c>
      <c r="D2762" s="232">
        <f t="shared" si="314"/>
        <v>45026</v>
      </c>
      <c r="E2762" s="234">
        <f t="shared" si="313"/>
        <v>45026</v>
      </c>
      <c r="F2762" s="479"/>
      <c r="G2762" s="227" t="s">
        <v>1111</v>
      </c>
      <c r="H2762" s="228" t="str" cm="1">
        <f t="array" ref="H2762">IFERROR(INDEX(INVESTOR_LIST[INVESTOR NAME],MATCH(I2762,INVESTOR_LIST[INVESTOR CODE],0),)," ")</f>
        <v>SWADESH RANJAN SAHA</v>
      </c>
      <c r="I2762" s="228" t="s">
        <v>410</v>
      </c>
      <c r="J2762" s="229" t="s">
        <v>55</v>
      </c>
      <c r="K2762" s="230"/>
      <c r="L2762" s="230">
        <v>202600</v>
      </c>
    </row>
    <row r="2763" spans="1:12" ht="11.25" customHeight="1" x14ac:dyDescent="0.2">
      <c r="A2763" s="221">
        <v>2023</v>
      </c>
      <c r="B2763" s="221">
        <v>4</v>
      </c>
      <c r="C2763" s="221">
        <v>10</v>
      </c>
      <c r="D2763" s="231">
        <f t="shared" si="314"/>
        <v>45026</v>
      </c>
      <c r="E2763" s="233">
        <f t="shared" si="313"/>
        <v>45026</v>
      </c>
      <c r="F2763" s="478" t="s">
        <v>1391</v>
      </c>
      <c r="G2763" s="222" t="s">
        <v>1111</v>
      </c>
      <c r="H2763" s="223" t="str" cm="1">
        <f t="array" ref="H2763">IFERROR(INDEX(INVESTOR_LIST[INVESTOR NAME],MATCH(I2763,INVESTOR_LIST[INVESTOR CODE],0),)," ")</f>
        <v xml:space="preserve"> </v>
      </c>
      <c r="I2763" s="223"/>
      <c r="J2763" s="224" t="s">
        <v>63</v>
      </c>
      <c r="K2763" s="225">
        <v>58</v>
      </c>
      <c r="L2763" s="225"/>
    </row>
    <row r="2764" spans="1:12" ht="11.25" customHeight="1" x14ac:dyDescent="0.2">
      <c r="A2764" s="226">
        <v>2023</v>
      </c>
      <c r="B2764" s="226">
        <v>4</v>
      </c>
      <c r="C2764" s="226">
        <v>10</v>
      </c>
      <c r="D2764" s="232">
        <f t="shared" si="314"/>
        <v>45026</v>
      </c>
      <c r="E2764" s="234">
        <f t="shared" si="313"/>
        <v>45026</v>
      </c>
      <c r="F2764" s="479"/>
      <c r="G2764" s="227" t="s">
        <v>1111</v>
      </c>
      <c r="H2764" s="228" t="str" cm="1">
        <f t="array" ref="H2764">IFERROR(INDEX(INVESTOR_LIST[INVESTOR NAME],MATCH(I2764,INVESTOR_LIST[INVESTOR CODE],0),)," ")</f>
        <v xml:space="preserve"> </v>
      </c>
      <c r="I2764" s="228"/>
      <c r="J2764" s="229" t="s">
        <v>55</v>
      </c>
      <c r="K2764" s="230"/>
      <c r="L2764" s="230">
        <v>58</v>
      </c>
    </row>
    <row r="2765" spans="1:12" ht="11.25" customHeight="1" x14ac:dyDescent="0.2">
      <c r="A2765" s="231">
        <v>2023</v>
      </c>
      <c r="B2765" s="231">
        <v>4</v>
      </c>
      <c r="C2765" s="231">
        <v>10</v>
      </c>
      <c r="D2765" s="221">
        <f t="shared" si="314"/>
        <v>45026</v>
      </c>
      <c r="E2765" s="233">
        <f t="shared" si="313"/>
        <v>45026</v>
      </c>
      <c r="F2765" s="478" t="s">
        <v>1472</v>
      </c>
      <c r="G2765" s="222" t="s">
        <v>1111</v>
      </c>
      <c r="H2765" s="222" t="str" cm="1">
        <f t="array" ref="H2765">IFERROR(INDEX(INVESTOR_LIST[INVESTOR NAME],MATCH(I2765,INVESTOR_LIST[INVESTOR CODE],0),)," ")</f>
        <v xml:space="preserve"> </v>
      </c>
      <c r="I2765" s="223"/>
      <c r="J2765" s="224" t="s">
        <v>50</v>
      </c>
      <c r="K2765" s="225">
        <v>350000</v>
      </c>
      <c r="L2765" s="225"/>
    </row>
    <row r="2766" spans="1:12" ht="11.25" customHeight="1" x14ac:dyDescent="0.2">
      <c r="A2766" s="232">
        <v>2023</v>
      </c>
      <c r="B2766" s="232">
        <v>4</v>
      </c>
      <c r="C2766" s="232">
        <v>10</v>
      </c>
      <c r="D2766" s="226">
        <f t="shared" si="314"/>
        <v>45026</v>
      </c>
      <c r="E2766" s="234">
        <f t="shared" si="313"/>
        <v>45026</v>
      </c>
      <c r="F2766" s="479"/>
      <c r="G2766" s="227" t="s">
        <v>1111</v>
      </c>
      <c r="H2766" s="227" t="str" cm="1">
        <f t="array" ref="H2766">IFERROR(INDEX(INVESTOR_LIST[INVESTOR NAME],MATCH(I2766,INVESTOR_LIST[INVESTOR CODE],0),)," ")</f>
        <v xml:space="preserve"> </v>
      </c>
      <c r="I2766" s="228"/>
      <c r="J2766" s="229" t="s">
        <v>55</v>
      </c>
      <c r="K2766" s="230"/>
      <c r="L2766" s="230">
        <v>350000</v>
      </c>
    </row>
    <row r="2767" spans="1:12" ht="11.25" customHeight="1" x14ac:dyDescent="0.2">
      <c r="A2767" s="221">
        <v>2023</v>
      </c>
      <c r="B2767" s="221">
        <v>4</v>
      </c>
      <c r="C2767" s="221">
        <v>12</v>
      </c>
      <c r="D2767" s="231">
        <f t="shared" si="314"/>
        <v>45028</v>
      </c>
      <c r="E2767" s="233">
        <f t="shared" si="313"/>
        <v>45028</v>
      </c>
      <c r="F2767" s="478" t="s">
        <v>1473</v>
      </c>
      <c r="G2767" s="222" t="s">
        <v>1111</v>
      </c>
      <c r="H2767" s="223" t="str" cm="1">
        <f t="array" ref="H2767">IFERROR(INDEX(INVESTOR_LIST[INVESTOR NAME],MATCH(I2767,INVESTOR_LIST[INVESTOR CODE],0),)," ")</f>
        <v xml:space="preserve"> </v>
      </c>
      <c r="I2767" s="223"/>
      <c r="J2767" s="224" t="s">
        <v>55</v>
      </c>
      <c r="K2767" s="225">
        <v>369367.5</v>
      </c>
      <c r="L2767" s="225"/>
    </row>
    <row r="2768" spans="1:12" ht="11.25" customHeight="1" x14ac:dyDescent="0.2">
      <c r="A2768" s="226">
        <v>2023</v>
      </c>
      <c r="B2768" s="226">
        <v>4</v>
      </c>
      <c r="C2768" s="226">
        <v>12</v>
      </c>
      <c r="D2768" s="232">
        <f t="shared" si="314"/>
        <v>45028</v>
      </c>
      <c r="E2768" s="234">
        <f t="shared" si="313"/>
        <v>45028</v>
      </c>
      <c r="F2768" s="479"/>
      <c r="G2768" s="227" t="s">
        <v>1111</v>
      </c>
      <c r="H2768" s="228" t="str" cm="1">
        <f t="array" ref="H2768">IFERROR(INDEX(INVESTOR_LIST[INVESTOR NAME],MATCH(I2768,INVESTOR_LIST[INVESTOR CODE],0),)," ")</f>
        <v xml:space="preserve"> </v>
      </c>
      <c r="I2768" s="228"/>
      <c r="J2768" s="229" t="s">
        <v>192</v>
      </c>
      <c r="K2768" s="230"/>
      <c r="L2768" s="230">
        <v>369367.5</v>
      </c>
    </row>
    <row r="2769" spans="1:12" ht="11.25" customHeight="1" x14ac:dyDescent="0.2">
      <c r="A2769" s="280">
        <v>2023</v>
      </c>
      <c r="B2769" s="280">
        <v>4</v>
      </c>
      <c r="C2769" s="280">
        <v>13</v>
      </c>
      <c r="D2769" s="281">
        <f t="shared" si="314"/>
        <v>45029</v>
      </c>
      <c r="E2769" s="282">
        <f t="shared" ref="E2769:E2782" si="315">DATE(A2769,B2769,C2769)</f>
        <v>45029</v>
      </c>
      <c r="F2769" s="472" t="s">
        <v>1369</v>
      </c>
      <c r="G2769" s="283" t="s">
        <v>86</v>
      </c>
      <c r="H2769" s="284" t="str" cm="1">
        <f t="array" ref="H2769">IFERROR(INDEX(INVESTOR_LIST[INVESTOR NAME],MATCH(I2769,INVESTOR_LIST[INVESTOR CODE],0),)," ")</f>
        <v xml:space="preserve"> </v>
      </c>
      <c r="I2769" s="284"/>
      <c r="J2769" s="285" t="s">
        <v>131</v>
      </c>
      <c r="K2769" s="286">
        <v>84115.34</v>
      </c>
      <c r="L2769" s="286"/>
    </row>
    <row r="2770" spans="1:12" ht="11.25" customHeight="1" x14ac:dyDescent="0.2">
      <c r="A2770" s="287">
        <v>2023</v>
      </c>
      <c r="B2770" s="287">
        <v>4</v>
      </c>
      <c r="C2770" s="287">
        <v>13</v>
      </c>
      <c r="D2770" s="288">
        <f t="shared" si="314"/>
        <v>45029</v>
      </c>
      <c r="E2770" s="289">
        <f t="shared" si="315"/>
        <v>45029</v>
      </c>
      <c r="F2770" s="473"/>
      <c r="G2770" s="290" t="s">
        <v>86</v>
      </c>
      <c r="H2770" s="291" t="str" cm="1">
        <f t="array" ref="H2770">IFERROR(INDEX(INVESTOR_LIST[INVESTOR NAME],MATCH(I2770,INVESTOR_LIST[INVESTOR CODE],0),)," ")</f>
        <v xml:space="preserve"> </v>
      </c>
      <c r="I2770" s="291"/>
      <c r="J2770" s="292" t="s">
        <v>174</v>
      </c>
      <c r="K2770" s="293"/>
      <c r="L2770" s="293">
        <v>84115.34</v>
      </c>
    </row>
    <row r="2771" spans="1:12" ht="11.25" customHeight="1" x14ac:dyDescent="0.2">
      <c r="A2771" s="280">
        <v>2023</v>
      </c>
      <c r="B2771" s="280">
        <v>4</v>
      </c>
      <c r="C2771" s="280">
        <v>13</v>
      </c>
      <c r="D2771" s="281">
        <f t="shared" si="314"/>
        <v>45029</v>
      </c>
      <c r="E2771" s="282">
        <f t="shared" si="315"/>
        <v>45029</v>
      </c>
      <c r="F2771" s="472" t="s">
        <v>1295</v>
      </c>
      <c r="G2771" s="283" t="s">
        <v>86</v>
      </c>
      <c r="H2771" s="284" t="str" cm="1">
        <f t="array" ref="H2771">IFERROR(INDEX(INVESTOR_LIST[INVESTOR NAME],MATCH(I2771,INVESTOR_LIST[INVESTOR CODE],0),)," ")</f>
        <v xml:space="preserve"> </v>
      </c>
      <c r="I2771" s="284"/>
      <c r="J2771" s="285" t="s">
        <v>131</v>
      </c>
      <c r="K2771" s="286">
        <v>16923.080000000002</v>
      </c>
      <c r="L2771" s="286"/>
    </row>
    <row r="2772" spans="1:12" ht="11.25" customHeight="1" x14ac:dyDescent="0.2">
      <c r="A2772" s="287">
        <v>2023</v>
      </c>
      <c r="B2772" s="287">
        <v>4</v>
      </c>
      <c r="C2772" s="287">
        <v>13</v>
      </c>
      <c r="D2772" s="288">
        <f t="shared" si="314"/>
        <v>45029</v>
      </c>
      <c r="E2772" s="289">
        <f t="shared" si="315"/>
        <v>45029</v>
      </c>
      <c r="F2772" s="473"/>
      <c r="G2772" s="290" t="s">
        <v>86</v>
      </c>
      <c r="H2772" s="291" t="str" cm="1">
        <f t="array" ref="H2772">IFERROR(INDEX(INVESTOR_LIST[INVESTOR NAME],MATCH(I2772,INVESTOR_LIST[INVESTOR CODE],0),)," ")</f>
        <v xml:space="preserve"> </v>
      </c>
      <c r="I2772" s="291"/>
      <c r="J2772" s="292" t="s">
        <v>174</v>
      </c>
      <c r="K2772" s="293"/>
      <c r="L2772" s="293">
        <v>16923.080000000002</v>
      </c>
    </row>
    <row r="2773" spans="1:12" ht="11.25" customHeight="1" x14ac:dyDescent="0.2">
      <c r="A2773" s="280">
        <v>2023</v>
      </c>
      <c r="B2773" s="280">
        <v>4</v>
      </c>
      <c r="C2773" s="280">
        <v>13</v>
      </c>
      <c r="D2773" s="281">
        <f t="shared" si="314"/>
        <v>45029</v>
      </c>
      <c r="E2773" s="282">
        <f t="shared" si="315"/>
        <v>45029</v>
      </c>
      <c r="F2773" s="472" t="s">
        <v>1294</v>
      </c>
      <c r="G2773" s="283" t="s">
        <v>86</v>
      </c>
      <c r="H2773" s="284" t="str" cm="1">
        <f t="array" ref="H2773">IFERROR(INDEX(INVESTOR_LIST[INVESTOR NAME],MATCH(I2773,INVESTOR_LIST[INVESTOR CODE],0),)," ")</f>
        <v xml:space="preserve"> </v>
      </c>
      <c r="I2773" s="284"/>
      <c r="J2773" s="285" t="s">
        <v>131</v>
      </c>
      <c r="K2773" s="286">
        <v>9711.5400000000009</v>
      </c>
      <c r="L2773" s="286"/>
    </row>
    <row r="2774" spans="1:12" ht="11.25" customHeight="1" x14ac:dyDescent="0.2">
      <c r="A2774" s="287">
        <v>2023</v>
      </c>
      <c r="B2774" s="287">
        <v>4</v>
      </c>
      <c r="C2774" s="287">
        <v>13</v>
      </c>
      <c r="D2774" s="288">
        <f t="shared" si="314"/>
        <v>45029</v>
      </c>
      <c r="E2774" s="289">
        <f t="shared" si="315"/>
        <v>45029</v>
      </c>
      <c r="F2774" s="473"/>
      <c r="G2774" s="290" t="s">
        <v>86</v>
      </c>
      <c r="H2774" s="291" t="str" cm="1">
        <f t="array" ref="H2774">IFERROR(INDEX(INVESTOR_LIST[INVESTOR NAME],MATCH(I2774,INVESTOR_LIST[INVESTOR CODE],0),)," ")</f>
        <v xml:space="preserve"> </v>
      </c>
      <c r="I2774" s="291"/>
      <c r="J2774" s="292" t="s">
        <v>174</v>
      </c>
      <c r="K2774" s="293"/>
      <c r="L2774" s="293">
        <v>9711.5400000000009</v>
      </c>
    </row>
    <row r="2775" spans="1:12" ht="11.25" customHeight="1" x14ac:dyDescent="0.2">
      <c r="A2775" s="236">
        <v>2023</v>
      </c>
      <c r="B2775" s="236">
        <v>4</v>
      </c>
      <c r="C2775" s="236">
        <v>13</v>
      </c>
      <c r="D2775" s="237">
        <f t="shared" si="314"/>
        <v>45029</v>
      </c>
      <c r="E2775" s="238">
        <f t="shared" si="315"/>
        <v>45029</v>
      </c>
      <c r="F2775" s="476" t="s">
        <v>1118</v>
      </c>
      <c r="G2775" s="239" t="s">
        <v>86</v>
      </c>
      <c r="H2775" s="239" t="str" cm="1">
        <f t="array" ref="H2775">IFERROR(INDEX(INVESTOR_LIST[INVESTOR NAME],MATCH(I2775,INVESTOR_LIST[INVESTOR CODE],0),)," ")</f>
        <v xml:space="preserve"> </v>
      </c>
      <c r="I2775" s="240"/>
      <c r="J2775" s="241" t="s">
        <v>98</v>
      </c>
      <c r="K2775" s="242">
        <v>325000.0353846103</v>
      </c>
      <c r="L2775" s="242"/>
    </row>
    <row r="2776" spans="1:12" ht="11.25" customHeight="1" x14ac:dyDescent="0.2">
      <c r="A2776" s="243">
        <v>2023</v>
      </c>
      <c r="B2776" s="243">
        <v>4</v>
      </c>
      <c r="C2776" s="243">
        <v>13</v>
      </c>
      <c r="D2776" s="248">
        <f t="shared" si="314"/>
        <v>45029</v>
      </c>
      <c r="E2776" s="249">
        <f t="shared" si="315"/>
        <v>45029</v>
      </c>
      <c r="F2776" s="477"/>
      <c r="G2776" s="244" t="s">
        <v>86</v>
      </c>
      <c r="H2776" s="244" t="str" cm="1">
        <f t="array" ref="H2776">IFERROR(INDEX(INVESTOR_LIST[INVESTOR NAME],MATCH(I2776,INVESTOR_LIST[INVESTOR CODE],0),)," ")</f>
        <v xml:space="preserve"> </v>
      </c>
      <c r="I2776" s="245"/>
      <c r="J2776" s="246" t="s">
        <v>82</v>
      </c>
      <c r="K2776" s="247"/>
      <c r="L2776" s="247">
        <v>325000.0353846103</v>
      </c>
    </row>
    <row r="2777" spans="1:12" ht="11.25" customHeight="1" x14ac:dyDescent="0.2">
      <c r="A2777" s="236">
        <v>2023</v>
      </c>
      <c r="B2777" s="236">
        <v>4</v>
      </c>
      <c r="C2777" s="236">
        <v>13</v>
      </c>
      <c r="D2777" s="237">
        <f t="shared" si="314"/>
        <v>45029</v>
      </c>
      <c r="E2777" s="238">
        <f t="shared" si="315"/>
        <v>45029</v>
      </c>
      <c r="F2777" s="476" t="s">
        <v>1120</v>
      </c>
      <c r="G2777" s="239" t="s">
        <v>86</v>
      </c>
      <c r="H2777" s="239" t="str" cm="1">
        <f t="array" ref="H2777">IFERROR(INDEX(INVESTOR_LIST[INVESTOR NAME],MATCH(I2777,INVESTOR_LIST[INVESTOR CODE],0),)," ")</f>
        <v xml:space="preserve"> </v>
      </c>
      <c r="I2777" s="240"/>
      <c r="J2777" s="241" t="s">
        <v>87</v>
      </c>
      <c r="K2777" s="242">
        <v>2747.2527472527472</v>
      </c>
      <c r="L2777" s="242"/>
    </row>
    <row r="2778" spans="1:12" ht="11.25" customHeight="1" x14ac:dyDescent="0.2">
      <c r="A2778" s="243">
        <v>2023</v>
      </c>
      <c r="B2778" s="243">
        <v>4</v>
      </c>
      <c r="C2778" s="243">
        <v>13</v>
      </c>
      <c r="D2778" s="248">
        <f t="shared" si="314"/>
        <v>45029</v>
      </c>
      <c r="E2778" s="249">
        <f t="shared" si="315"/>
        <v>45029</v>
      </c>
      <c r="F2778" s="477"/>
      <c r="G2778" s="244" t="s">
        <v>86</v>
      </c>
      <c r="H2778" s="244" t="str" cm="1">
        <f t="array" ref="H2778">IFERROR(INDEX(INVESTOR_LIST[INVESTOR NAME],MATCH(I2778,INVESTOR_LIST[INVESTOR CODE],0),)," ")</f>
        <v xml:space="preserve"> </v>
      </c>
      <c r="I2778" s="245"/>
      <c r="J2778" s="246" t="s">
        <v>64</v>
      </c>
      <c r="K2778" s="247"/>
      <c r="L2778" s="247">
        <v>2747.2527472527472</v>
      </c>
    </row>
    <row r="2779" spans="1:12" ht="11.25" customHeight="1" x14ac:dyDescent="0.2">
      <c r="A2779" s="236">
        <v>2023</v>
      </c>
      <c r="B2779" s="236">
        <v>4</v>
      </c>
      <c r="C2779" s="236">
        <v>13</v>
      </c>
      <c r="D2779" s="237">
        <f t="shared" si="314"/>
        <v>45029</v>
      </c>
      <c r="E2779" s="238">
        <f t="shared" si="315"/>
        <v>45029</v>
      </c>
      <c r="F2779" s="476" t="s">
        <v>1121</v>
      </c>
      <c r="G2779" s="239" t="s">
        <v>86</v>
      </c>
      <c r="H2779" s="239" t="str" cm="1">
        <f t="array" ref="H2779">IFERROR(INDEX(INVESTOR_LIST[INVESTOR NAME],MATCH(I2779,INVESTOR_LIST[INVESTOR CODE],0),)," ")</f>
        <v xml:space="preserve"> </v>
      </c>
      <c r="I2779" s="240"/>
      <c r="J2779" s="241" t="s">
        <v>89</v>
      </c>
      <c r="K2779" s="242">
        <v>36845.514218598357</v>
      </c>
      <c r="L2779" s="242"/>
    </row>
    <row r="2780" spans="1:12" ht="11.25" customHeight="1" x14ac:dyDescent="0.2">
      <c r="A2780" s="243">
        <v>2023</v>
      </c>
      <c r="B2780" s="243">
        <v>4</v>
      </c>
      <c r="C2780" s="243">
        <v>13</v>
      </c>
      <c r="D2780" s="248">
        <f t="shared" si="314"/>
        <v>45029</v>
      </c>
      <c r="E2780" s="249">
        <f t="shared" si="315"/>
        <v>45029</v>
      </c>
      <c r="F2780" s="477"/>
      <c r="G2780" s="244" t="s">
        <v>86</v>
      </c>
      <c r="H2780" s="244" t="str" cm="1">
        <f t="array" ref="H2780">IFERROR(INDEX(INVESTOR_LIST[INVESTOR NAME],MATCH(I2780,INVESTOR_LIST[INVESTOR CODE],0),)," ")</f>
        <v xml:space="preserve"> </v>
      </c>
      <c r="I2780" s="245"/>
      <c r="J2780" s="246" t="s">
        <v>50</v>
      </c>
      <c r="K2780" s="247"/>
      <c r="L2780" s="247">
        <v>36845.514218598357</v>
      </c>
    </row>
    <row r="2781" spans="1:12" ht="11.25" customHeight="1" x14ac:dyDescent="0.2">
      <c r="A2781" s="236">
        <v>2023</v>
      </c>
      <c r="B2781" s="236">
        <v>4</v>
      </c>
      <c r="C2781" s="236">
        <v>13</v>
      </c>
      <c r="D2781" s="237">
        <f t="shared" si="314"/>
        <v>45029</v>
      </c>
      <c r="E2781" s="238">
        <f t="shared" si="315"/>
        <v>45029</v>
      </c>
      <c r="F2781" s="476" t="s">
        <v>1122</v>
      </c>
      <c r="G2781" s="239" t="s">
        <v>86</v>
      </c>
      <c r="H2781" s="239" t="str" cm="1">
        <f t="array" ref="H2781">IFERROR(INDEX(INVESTOR_LIST[INVESTOR NAME],MATCH(I2781,INVESTOR_LIST[INVESTOR CODE],0),)," ")</f>
        <v xml:space="preserve"> </v>
      </c>
      <c r="I2781" s="240"/>
      <c r="J2781" s="241" t="s">
        <v>91</v>
      </c>
      <c r="K2781" s="242">
        <v>3684.551421859836</v>
      </c>
      <c r="L2781" s="242"/>
    </row>
    <row r="2782" spans="1:12" ht="11.25" customHeight="1" x14ac:dyDescent="0.2">
      <c r="A2782" s="243">
        <v>2023</v>
      </c>
      <c r="B2782" s="243">
        <v>4</v>
      </c>
      <c r="C2782" s="243">
        <v>13</v>
      </c>
      <c r="D2782" s="248">
        <f t="shared" si="314"/>
        <v>45029</v>
      </c>
      <c r="E2782" s="249">
        <f t="shared" si="315"/>
        <v>45029</v>
      </c>
      <c r="F2782" s="477"/>
      <c r="G2782" s="244" t="s">
        <v>86</v>
      </c>
      <c r="H2782" s="244" t="str" cm="1">
        <f t="array" ref="H2782">IFERROR(INDEX(INVESTOR_LIST[INVESTOR NAME],MATCH(I2782,INVESTOR_LIST[INVESTOR CODE],0),)," ")</f>
        <v xml:space="preserve"> </v>
      </c>
      <c r="I2782" s="245"/>
      <c r="J2782" s="246" t="s">
        <v>51</v>
      </c>
      <c r="K2782" s="247"/>
      <c r="L2782" s="247">
        <v>3684.551421859836</v>
      </c>
    </row>
    <row r="2783" spans="1:12" ht="11.25" customHeight="1" x14ac:dyDescent="0.2">
      <c r="A2783" s="221">
        <v>2023</v>
      </c>
      <c r="B2783" s="221">
        <v>4</v>
      </c>
      <c r="C2783" s="221">
        <v>17</v>
      </c>
      <c r="D2783" s="231">
        <f t="shared" si="314"/>
        <v>45033</v>
      </c>
      <c r="E2783" s="233">
        <f>DATE(A2783,B2783,C2783)</f>
        <v>45033</v>
      </c>
      <c r="F2783" s="478" t="s">
        <v>1494</v>
      </c>
      <c r="G2783" s="222" t="s">
        <v>1111</v>
      </c>
      <c r="H2783" s="223" t="str" cm="1">
        <f t="array" ref="H2783">IFERROR(INDEX(INVESTOR_LIST[INVESTOR NAME],MATCH(I2783,INVESTOR_LIST[INVESTOR CODE],0),)," ")</f>
        <v xml:space="preserve"> </v>
      </c>
      <c r="I2783" s="223"/>
      <c r="J2783" s="224" t="s">
        <v>189</v>
      </c>
      <c r="K2783" s="225">
        <v>1575</v>
      </c>
      <c r="L2783" s="225"/>
    </row>
    <row r="2784" spans="1:12" ht="11.25" customHeight="1" x14ac:dyDescent="0.2">
      <c r="A2784" s="226">
        <v>2023</v>
      </c>
      <c r="B2784" s="226">
        <v>4</v>
      </c>
      <c r="C2784" s="226">
        <v>17</v>
      </c>
      <c r="D2784" s="232">
        <f t="shared" si="314"/>
        <v>45033</v>
      </c>
      <c r="E2784" s="234">
        <f>DATE(A2784,B2784,C2784)</f>
        <v>45033</v>
      </c>
      <c r="F2784" s="479"/>
      <c r="G2784" s="227" t="s">
        <v>1111</v>
      </c>
      <c r="H2784" s="228" t="str" cm="1">
        <f t="array" ref="H2784">IFERROR(INDEX(INVESTOR_LIST[INVESTOR NAME],MATCH(I2784,INVESTOR_LIST[INVESTOR CODE],0),)," ")</f>
        <v xml:space="preserve"> </v>
      </c>
      <c r="I2784" s="228"/>
      <c r="J2784" s="229" t="s">
        <v>55</v>
      </c>
      <c r="K2784" s="230"/>
      <c r="L2784" s="230">
        <v>1575</v>
      </c>
    </row>
    <row r="2785" spans="1:12" ht="11.25" customHeight="1" x14ac:dyDescent="0.2">
      <c r="A2785" s="221">
        <v>2023</v>
      </c>
      <c r="B2785" s="221">
        <v>4</v>
      </c>
      <c r="C2785" s="221">
        <v>18</v>
      </c>
      <c r="D2785" s="231">
        <f t="shared" si="314"/>
        <v>45034</v>
      </c>
      <c r="E2785" s="233">
        <f>DATE(A2785,B2785,C2785)</f>
        <v>45034</v>
      </c>
      <c r="F2785" s="478" t="s">
        <v>1178</v>
      </c>
      <c r="G2785" s="222" t="s">
        <v>1111</v>
      </c>
      <c r="H2785" s="223" t="str" cm="1">
        <f t="array" ref="H2785">IFERROR(INDEX(INVESTOR_LIST[INVESTOR NAME],MATCH(I2785,INVESTOR_LIST[INVESTOR CODE],0),)," ")</f>
        <v xml:space="preserve"> </v>
      </c>
      <c r="I2785" s="223"/>
      <c r="J2785" s="224" t="s">
        <v>189</v>
      </c>
      <c r="K2785" s="225">
        <v>10500</v>
      </c>
      <c r="L2785" s="225"/>
    </row>
    <row r="2786" spans="1:12" ht="11.25" customHeight="1" x14ac:dyDescent="0.2">
      <c r="A2786" s="226">
        <v>2023</v>
      </c>
      <c r="B2786" s="226">
        <v>4</v>
      </c>
      <c r="C2786" s="226">
        <v>18</v>
      </c>
      <c r="D2786" s="232">
        <f t="shared" si="314"/>
        <v>45034</v>
      </c>
      <c r="E2786" s="234">
        <f>DATE(A2786,B2786,C2786)</f>
        <v>45034</v>
      </c>
      <c r="F2786" s="479"/>
      <c r="G2786" s="227" t="s">
        <v>1111</v>
      </c>
      <c r="H2786" s="228" t="str" cm="1">
        <f t="array" ref="H2786">IFERROR(INDEX(INVESTOR_LIST[INVESTOR NAME],MATCH(I2786,INVESTOR_LIST[INVESTOR CODE],0),)," ")</f>
        <v xml:space="preserve"> </v>
      </c>
      <c r="I2786" s="228"/>
      <c r="J2786" s="229" t="s">
        <v>55</v>
      </c>
      <c r="K2786" s="230"/>
      <c r="L2786" s="230">
        <v>10500</v>
      </c>
    </row>
    <row r="2787" spans="1:12" ht="11.25" customHeight="1" x14ac:dyDescent="0.2">
      <c r="A2787" s="280">
        <v>2023</v>
      </c>
      <c r="B2787" s="280">
        <v>4</v>
      </c>
      <c r="C2787" s="280">
        <v>18</v>
      </c>
      <c r="D2787" s="281">
        <f t="shared" si="314"/>
        <v>45034</v>
      </c>
      <c r="E2787" s="282">
        <f t="shared" ref="E2787:E2810" si="316">DATE(A2787,B2787,C2787)</f>
        <v>45034</v>
      </c>
      <c r="F2787" s="472" t="s">
        <v>1369</v>
      </c>
      <c r="G2787" s="283" t="s">
        <v>86</v>
      </c>
      <c r="H2787" s="284" t="str" cm="1">
        <f t="array" ref="H2787">IFERROR(INDEX(INVESTOR_LIST[INVESTOR NAME],MATCH(I2787,INVESTOR_LIST[INVESTOR CODE],0),)," ")</f>
        <v xml:space="preserve"> </v>
      </c>
      <c r="I2787" s="284"/>
      <c r="J2787" s="285" t="s">
        <v>131</v>
      </c>
      <c r="K2787" s="286">
        <v>84115.34</v>
      </c>
      <c r="L2787" s="286"/>
    </row>
    <row r="2788" spans="1:12" ht="11.25" customHeight="1" x14ac:dyDescent="0.2">
      <c r="A2788" s="287">
        <v>2023</v>
      </c>
      <c r="B2788" s="287">
        <v>4</v>
      </c>
      <c r="C2788" s="287">
        <v>18</v>
      </c>
      <c r="D2788" s="288">
        <f t="shared" si="314"/>
        <v>45034</v>
      </c>
      <c r="E2788" s="289">
        <f t="shared" si="316"/>
        <v>45034</v>
      </c>
      <c r="F2788" s="473"/>
      <c r="G2788" s="290" t="s">
        <v>86</v>
      </c>
      <c r="H2788" s="291" t="str" cm="1">
        <f t="array" ref="H2788">IFERROR(INDEX(INVESTOR_LIST[INVESTOR NAME],MATCH(I2788,INVESTOR_LIST[INVESTOR CODE],0),)," ")</f>
        <v xml:space="preserve"> </v>
      </c>
      <c r="I2788" s="291"/>
      <c r="J2788" s="292" t="s">
        <v>174</v>
      </c>
      <c r="K2788" s="293"/>
      <c r="L2788" s="293">
        <v>84115.34</v>
      </c>
    </row>
    <row r="2789" spans="1:12" ht="11.25" customHeight="1" x14ac:dyDescent="0.2">
      <c r="A2789" s="280">
        <v>2023</v>
      </c>
      <c r="B2789" s="280">
        <v>4</v>
      </c>
      <c r="C2789" s="280">
        <v>18</v>
      </c>
      <c r="D2789" s="281">
        <f t="shared" si="314"/>
        <v>45034</v>
      </c>
      <c r="E2789" s="282">
        <f t="shared" si="316"/>
        <v>45034</v>
      </c>
      <c r="F2789" s="472" t="s">
        <v>1295</v>
      </c>
      <c r="G2789" s="283" t="s">
        <v>86</v>
      </c>
      <c r="H2789" s="284" t="str" cm="1">
        <f t="array" ref="H2789">IFERROR(INDEX(INVESTOR_LIST[INVESTOR NAME],MATCH(I2789,INVESTOR_LIST[INVESTOR CODE],0),)," ")</f>
        <v xml:space="preserve"> </v>
      </c>
      <c r="I2789" s="284"/>
      <c r="J2789" s="285" t="s">
        <v>131</v>
      </c>
      <c r="K2789" s="286">
        <v>16923.080000000002</v>
      </c>
      <c r="L2789" s="286"/>
    </row>
    <row r="2790" spans="1:12" ht="11.25" customHeight="1" x14ac:dyDescent="0.2">
      <c r="A2790" s="287">
        <v>2023</v>
      </c>
      <c r="B2790" s="287">
        <v>4</v>
      </c>
      <c r="C2790" s="287">
        <v>18</v>
      </c>
      <c r="D2790" s="288">
        <f t="shared" si="314"/>
        <v>45034</v>
      </c>
      <c r="E2790" s="289">
        <f t="shared" si="316"/>
        <v>45034</v>
      </c>
      <c r="F2790" s="473"/>
      <c r="G2790" s="290" t="s">
        <v>86</v>
      </c>
      <c r="H2790" s="291" t="str" cm="1">
        <f t="array" ref="H2790">IFERROR(INDEX(INVESTOR_LIST[INVESTOR NAME],MATCH(I2790,INVESTOR_LIST[INVESTOR CODE],0),)," ")</f>
        <v xml:space="preserve"> </v>
      </c>
      <c r="I2790" s="291"/>
      <c r="J2790" s="292" t="s">
        <v>174</v>
      </c>
      <c r="K2790" s="293"/>
      <c r="L2790" s="293">
        <v>16923.080000000002</v>
      </c>
    </row>
    <row r="2791" spans="1:12" ht="11.25" customHeight="1" x14ac:dyDescent="0.2">
      <c r="A2791" s="280">
        <v>2023</v>
      </c>
      <c r="B2791" s="280">
        <v>4</v>
      </c>
      <c r="C2791" s="280">
        <v>18</v>
      </c>
      <c r="D2791" s="281">
        <f t="shared" si="314"/>
        <v>45034</v>
      </c>
      <c r="E2791" s="282">
        <f t="shared" si="316"/>
        <v>45034</v>
      </c>
      <c r="F2791" s="472" t="s">
        <v>1294</v>
      </c>
      <c r="G2791" s="283" t="s">
        <v>86</v>
      </c>
      <c r="H2791" s="284" t="str" cm="1">
        <f t="array" ref="H2791">IFERROR(INDEX(INVESTOR_LIST[INVESTOR NAME],MATCH(I2791,INVESTOR_LIST[INVESTOR CODE],0),)," ")</f>
        <v xml:space="preserve"> </v>
      </c>
      <c r="I2791" s="284"/>
      <c r="J2791" s="285" t="s">
        <v>131</v>
      </c>
      <c r="K2791" s="286">
        <v>9711.5400000000009</v>
      </c>
      <c r="L2791" s="286"/>
    </row>
    <row r="2792" spans="1:12" ht="11.25" customHeight="1" x14ac:dyDescent="0.2">
      <c r="A2792" s="287">
        <v>2023</v>
      </c>
      <c r="B2792" s="287">
        <v>4</v>
      </c>
      <c r="C2792" s="287">
        <v>18</v>
      </c>
      <c r="D2792" s="288">
        <f t="shared" si="314"/>
        <v>45034</v>
      </c>
      <c r="E2792" s="289">
        <f t="shared" si="316"/>
        <v>45034</v>
      </c>
      <c r="F2792" s="473"/>
      <c r="G2792" s="290" t="s">
        <v>86</v>
      </c>
      <c r="H2792" s="291" t="str" cm="1">
        <f t="array" ref="H2792">IFERROR(INDEX(INVESTOR_LIST[INVESTOR NAME],MATCH(I2792,INVESTOR_LIST[INVESTOR CODE],0),)," ")</f>
        <v xml:space="preserve"> </v>
      </c>
      <c r="I2792" s="291"/>
      <c r="J2792" s="292" t="s">
        <v>174</v>
      </c>
      <c r="K2792" s="293"/>
      <c r="L2792" s="293">
        <v>9711.5400000000009</v>
      </c>
    </row>
    <row r="2793" spans="1:12" ht="11.25" customHeight="1" x14ac:dyDescent="0.2">
      <c r="A2793" s="236">
        <v>2023</v>
      </c>
      <c r="B2793" s="236">
        <v>4</v>
      </c>
      <c r="C2793" s="236">
        <v>18</v>
      </c>
      <c r="D2793" s="237">
        <f t="shared" si="314"/>
        <v>45034</v>
      </c>
      <c r="E2793" s="238">
        <f t="shared" si="316"/>
        <v>45034</v>
      </c>
      <c r="F2793" s="476" t="s">
        <v>1118</v>
      </c>
      <c r="G2793" s="239" t="s">
        <v>86</v>
      </c>
      <c r="H2793" s="239" t="str" cm="1">
        <f t="array" ref="H2793">IFERROR(INDEX(INVESTOR_LIST[INVESTOR NAME],MATCH(I2793,INVESTOR_LIST[INVESTOR CODE],0),)," ")</f>
        <v xml:space="preserve"> </v>
      </c>
      <c r="I2793" s="240"/>
      <c r="J2793" s="241" t="s">
        <v>82</v>
      </c>
      <c r="K2793" s="242">
        <v>417500</v>
      </c>
      <c r="L2793" s="242"/>
    </row>
    <row r="2794" spans="1:12" ht="11.25" customHeight="1" x14ac:dyDescent="0.2">
      <c r="A2794" s="243">
        <v>2023</v>
      </c>
      <c r="B2794" s="243">
        <v>4</v>
      </c>
      <c r="C2794" s="243">
        <v>18</v>
      </c>
      <c r="D2794" s="248">
        <f t="shared" si="314"/>
        <v>45034</v>
      </c>
      <c r="E2794" s="249">
        <f t="shared" si="316"/>
        <v>45034</v>
      </c>
      <c r="F2794" s="477"/>
      <c r="G2794" s="244" t="s">
        <v>86</v>
      </c>
      <c r="H2794" s="244" t="str" cm="1">
        <f t="array" ref="H2794">IFERROR(INDEX(INVESTOR_LIST[INVESTOR NAME],MATCH(I2794,INVESTOR_LIST[INVESTOR CODE],0),)," ")</f>
        <v xml:space="preserve"> </v>
      </c>
      <c r="I2794" s="245"/>
      <c r="J2794" s="246" t="s">
        <v>98</v>
      </c>
      <c r="K2794" s="247"/>
      <c r="L2794" s="247">
        <v>417500</v>
      </c>
    </row>
    <row r="2795" spans="1:12" ht="11.25" customHeight="1" x14ac:dyDescent="0.2">
      <c r="A2795" s="236">
        <v>2023</v>
      </c>
      <c r="B2795" s="236">
        <v>4</v>
      </c>
      <c r="C2795" s="236">
        <v>18</v>
      </c>
      <c r="D2795" s="237">
        <f t="shared" si="314"/>
        <v>45034</v>
      </c>
      <c r="E2795" s="238">
        <f t="shared" si="316"/>
        <v>45034</v>
      </c>
      <c r="F2795" s="476" t="s">
        <v>1120</v>
      </c>
      <c r="G2795" s="239" t="s">
        <v>86</v>
      </c>
      <c r="H2795" s="239" t="str" cm="1">
        <f t="array" ref="H2795">IFERROR(INDEX(INVESTOR_LIST[INVESTOR NAME],MATCH(I2795,INVESTOR_LIST[INVESTOR CODE],0),)," ")</f>
        <v xml:space="preserve"> </v>
      </c>
      <c r="I2795" s="240"/>
      <c r="J2795" s="241" t="s">
        <v>87</v>
      </c>
      <c r="K2795" s="242">
        <v>2747.2527472527472</v>
      </c>
      <c r="L2795" s="242"/>
    </row>
    <row r="2796" spans="1:12" ht="11.25" customHeight="1" x14ac:dyDescent="0.2">
      <c r="A2796" s="243">
        <v>2023</v>
      </c>
      <c r="B2796" s="243">
        <v>4</v>
      </c>
      <c r="C2796" s="243">
        <v>18</v>
      </c>
      <c r="D2796" s="248">
        <f t="shared" si="314"/>
        <v>45034</v>
      </c>
      <c r="E2796" s="249">
        <f t="shared" si="316"/>
        <v>45034</v>
      </c>
      <c r="F2796" s="477"/>
      <c r="G2796" s="244" t="s">
        <v>86</v>
      </c>
      <c r="H2796" s="244" t="str" cm="1">
        <f t="array" ref="H2796">IFERROR(INDEX(INVESTOR_LIST[INVESTOR NAME],MATCH(I2796,INVESTOR_LIST[INVESTOR CODE],0),)," ")</f>
        <v xml:space="preserve"> </v>
      </c>
      <c r="I2796" s="245"/>
      <c r="J2796" s="246" t="s">
        <v>64</v>
      </c>
      <c r="K2796" s="247"/>
      <c r="L2796" s="247">
        <v>2747.2527472527472</v>
      </c>
    </row>
    <row r="2797" spans="1:12" ht="11.25" customHeight="1" x14ac:dyDescent="0.2">
      <c r="A2797" s="236">
        <v>2023</v>
      </c>
      <c r="B2797" s="236">
        <v>4</v>
      </c>
      <c r="C2797" s="236">
        <v>18</v>
      </c>
      <c r="D2797" s="237">
        <f t="shared" si="314"/>
        <v>45034</v>
      </c>
      <c r="E2797" s="238">
        <f t="shared" si="316"/>
        <v>45034</v>
      </c>
      <c r="F2797" s="476" t="s">
        <v>1121</v>
      </c>
      <c r="G2797" s="239" t="s">
        <v>86</v>
      </c>
      <c r="H2797" s="239" t="str" cm="1">
        <f t="array" ref="H2797">IFERROR(INDEX(INVESTOR_LIST[INVESTOR NAME],MATCH(I2797,INVESTOR_LIST[INVESTOR CODE],0),)," ")</f>
        <v xml:space="preserve"> </v>
      </c>
      <c r="I2797" s="240"/>
      <c r="J2797" s="241" t="s">
        <v>89</v>
      </c>
      <c r="K2797" s="242">
        <v>36775.879149677647</v>
      </c>
      <c r="L2797" s="242"/>
    </row>
    <row r="2798" spans="1:12" ht="11.25" customHeight="1" x14ac:dyDescent="0.2">
      <c r="A2798" s="243">
        <v>2023</v>
      </c>
      <c r="B2798" s="243">
        <v>4</v>
      </c>
      <c r="C2798" s="243">
        <v>18</v>
      </c>
      <c r="D2798" s="248">
        <f t="shared" si="314"/>
        <v>45034</v>
      </c>
      <c r="E2798" s="249">
        <f t="shared" si="316"/>
        <v>45034</v>
      </c>
      <c r="F2798" s="477"/>
      <c r="G2798" s="244" t="s">
        <v>86</v>
      </c>
      <c r="H2798" s="244" t="str" cm="1">
        <f t="array" ref="H2798">IFERROR(INDEX(INVESTOR_LIST[INVESTOR NAME],MATCH(I2798,INVESTOR_LIST[INVESTOR CODE],0),)," ")</f>
        <v xml:space="preserve"> </v>
      </c>
      <c r="I2798" s="245"/>
      <c r="J2798" s="246" t="s">
        <v>50</v>
      </c>
      <c r="K2798" s="247"/>
      <c r="L2798" s="247">
        <v>36775.879149677647</v>
      </c>
    </row>
    <row r="2799" spans="1:12" ht="11.25" customHeight="1" x14ac:dyDescent="0.2">
      <c r="A2799" s="236">
        <v>2023</v>
      </c>
      <c r="B2799" s="236">
        <v>4</v>
      </c>
      <c r="C2799" s="236">
        <v>18</v>
      </c>
      <c r="D2799" s="237">
        <f t="shared" si="314"/>
        <v>45034</v>
      </c>
      <c r="E2799" s="238">
        <f t="shared" si="316"/>
        <v>45034</v>
      </c>
      <c r="F2799" s="476" t="s">
        <v>1122</v>
      </c>
      <c r="G2799" s="239" t="s">
        <v>86</v>
      </c>
      <c r="H2799" s="239" t="str" cm="1">
        <f t="array" ref="H2799">IFERROR(INDEX(INVESTOR_LIST[INVESTOR NAME],MATCH(I2799,INVESTOR_LIST[INVESTOR CODE],0),)," ")</f>
        <v xml:space="preserve"> </v>
      </c>
      <c r="I2799" s="240"/>
      <c r="J2799" s="241" t="s">
        <v>91</v>
      </c>
      <c r="K2799" s="242">
        <v>3677.5879149677644</v>
      </c>
      <c r="L2799" s="242"/>
    </row>
    <row r="2800" spans="1:12" ht="11.25" customHeight="1" x14ac:dyDescent="0.2">
      <c r="A2800" s="243">
        <v>2023</v>
      </c>
      <c r="B2800" s="243">
        <v>4</v>
      </c>
      <c r="C2800" s="243">
        <v>18</v>
      </c>
      <c r="D2800" s="248">
        <f t="shared" si="314"/>
        <v>45034</v>
      </c>
      <c r="E2800" s="249">
        <f t="shared" si="316"/>
        <v>45034</v>
      </c>
      <c r="F2800" s="477"/>
      <c r="G2800" s="244" t="s">
        <v>86</v>
      </c>
      <c r="H2800" s="244" t="str" cm="1">
        <f t="array" ref="H2800">IFERROR(INDEX(INVESTOR_LIST[INVESTOR NAME],MATCH(I2800,INVESTOR_LIST[INVESTOR CODE],0),)," ")</f>
        <v xml:space="preserve"> </v>
      </c>
      <c r="I2800" s="245"/>
      <c r="J2800" s="246" t="s">
        <v>51</v>
      </c>
      <c r="K2800" s="247"/>
      <c r="L2800" s="247">
        <v>3677.5879149677644</v>
      </c>
    </row>
    <row r="2801" spans="1:13" ht="11.25" customHeight="1" x14ac:dyDescent="0.2">
      <c r="A2801" s="221">
        <v>2023</v>
      </c>
      <c r="B2801" s="221">
        <v>4</v>
      </c>
      <c r="C2801" s="221">
        <v>24</v>
      </c>
      <c r="D2801" s="221">
        <f t="shared" si="314"/>
        <v>45040</v>
      </c>
      <c r="E2801" s="233">
        <f t="shared" si="316"/>
        <v>45040</v>
      </c>
      <c r="F2801" s="478" t="s">
        <v>1495</v>
      </c>
      <c r="G2801" s="222" t="s">
        <v>1111</v>
      </c>
      <c r="H2801" s="222" t="str" cm="1">
        <f t="array" ref="H2801">IFERROR(INDEX(INVESTOR_LIST[INVESTOR NAME],MATCH(I2801,INVESTOR_LIST[INVESTOR CODE],0),)," ")</f>
        <v xml:space="preserve"> </v>
      </c>
      <c r="I2801" s="223"/>
      <c r="J2801" s="224" t="s">
        <v>80</v>
      </c>
      <c r="K2801" s="225">
        <v>61820</v>
      </c>
      <c r="L2801" s="225"/>
    </row>
    <row r="2802" spans="1:13" ht="11.25" customHeight="1" x14ac:dyDescent="0.2">
      <c r="A2802" s="164">
        <v>2023</v>
      </c>
      <c r="B2802" s="164">
        <v>4</v>
      </c>
      <c r="C2802" s="164">
        <v>24</v>
      </c>
      <c r="D2802" s="164">
        <f t="shared" si="314"/>
        <v>45040</v>
      </c>
      <c r="E2802" s="235">
        <f t="shared" si="316"/>
        <v>45040</v>
      </c>
      <c r="F2802" s="480"/>
      <c r="G2802" s="208" t="s">
        <v>1111</v>
      </c>
      <c r="H2802" s="208" t="str" cm="1">
        <f t="array" ref="H2802">IFERROR(INDEX(INVESTOR_LIST[INVESTOR NAME],MATCH(I2802,INVESTOR_LIST[INVESTOR CODE],0),)," ")</f>
        <v xml:space="preserve"> </v>
      </c>
      <c r="J2802" s="165" t="s">
        <v>55</v>
      </c>
      <c r="K2802" s="205">
        <v>618180</v>
      </c>
      <c r="L2802" s="205"/>
      <c r="M2802" s="166"/>
    </row>
    <row r="2803" spans="1:13" ht="11.25" customHeight="1" x14ac:dyDescent="0.2">
      <c r="A2803" s="226">
        <v>2023</v>
      </c>
      <c r="B2803" s="226">
        <v>4</v>
      </c>
      <c r="C2803" s="226">
        <v>24</v>
      </c>
      <c r="D2803" s="226">
        <f t="shared" si="314"/>
        <v>45040</v>
      </c>
      <c r="E2803" s="234">
        <f t="shared" si="316"/>
        <v>45040</v>
      </c>
      <c r="F2803" s="479"/>
      <c r="G2803" s="227" t="s">
        <v>1111</v>
      </c>
      <c r="H2803" s="228" t="str" cm="1">
        <f t="array" ref="H2803">IFERROR(INDEX(INVESTOR_LIST[INVESTOR NAME],MATCH(I2803,INVESTOR_LIST[INVESTOR CODE],0),)," ")</f>
        <v xml:space="preserve"> </v>
      </c>
      <c r="I2803" s="228"/>
      <c r="J2803" s="229" t="s">
        <v>196</v>
      </c>
      <c r="K2803" s="230"/>
      <c r="L2803" s="230">
        <v>680000</v>
      </c>
    </row>
    <row r="2804" spans="1:13" ht="11.25" customHeight="1" x14ac:dyDescent="0.2">
      <c r="A2804" s="231">
        <v>2023</v>
      </c>
      <c r="B2804" s="231">
        <v>4</v>
      </c>
      <c r="C2804" s="231">
        <v>25</v>
      </c>
      <c r="D2804" s="221">
        <f t="shared" si="314"/>
        <v>45041</v>
      </c>
      <c r="E2804" s="233">
        <f t="shared" si="316"/>
        <v>45041</v>
      </c>
      <c r="F2804" s="478" t="s">
        <v>1472</v>
      </c>
      <c r="G2804" s="222" t="s">
        <v>1111</v>
      </c>
      <c r="H2804" s="222" t="str" cm="1">
        <f t="array" ref="H2804">IFERROR(INDEX(INVESTOR_LIST[INVESTOR NAME],MATCH(I2804,INVESTOR_LIST[INVESTOR CODE],0),)," ")</f>
        <v xml:space="preserve"> </v>
      </c>
      <c r="I2804" s="223"/>
      <c r="J2804" s="224" t="s">
        <v>50</v>
      </c>
      <c r="K2804" s="225">
        <v>200000</v>
      </c>
      <c r="L2804" s="225"/>
    </row>
    <row r="2805" spans="1:13" ht="11.25" customHeight="1" x14ac:dyDescent="0.2">
      <c r="A2805" s="232">
        <v>2023</v>
      </c>
      <c r="B2805" s="232">
        <v>4</v>
      </c>
      <c r="C2805" s="232">
        <v>25</v>
      </c>
      <c r="D2805" s="226">
        <f t="shared" si="314"/>
        <v>45041</v>
      </c>
      <c r="E2805" s="234">
        <f t="shared" si="316"/>
        <v>45041</v>
      </c>
      <c r="F2805" s="479"/>
      <c r="G2805" s="227" t="s">
        <v>1111</v>
      </c>
      <c r="H2805" s="227" t="str" cm="1">
        <f t="array" ref="H2805">IFERROR(INDEX(INVESTOR_LIST[INVESTOR NAME],MATCH(I2805,INVESTOR_LIST[INVESTOR CODE],0),)," ")</f>
        <v xml:space="preserve"> </v>
      </c>
      <c r="I2805" s="228"/>
      <c r="J2805" s="229" t="s">
        <v>55</v>
      </c>
      <c r="K2805" s="230"/>
      <c r="L2805" s="230">
        <v>200000</v>
      </c>
    </row>
    <row r="2806" spans="1:13" ht="11.25" customHeight="1" x14ac:dyDescent="0.2">
      <c r="A2806" s="221">
        <v>2023</v>
      </c>
      <c r="B2806" s="221">
        <v>4</v>
      </c>
      <c r="C2806" s="221">
        <v>26</v>
      </c>
      <c r="D2806" s="231">
        <f t="shared" si="314"/>
        <v>45042</v>
      </c>
      <c r="E2806" s="233">
        <f t="shared" si="316"/>
        <v>45042</v>
      </c>
      <c r="F2806" s="478" t="s">
        <v>1196</v>
      </c>
      <c r="G2806" s="222" t="s">
        <v>1111</v>
      </c>
      <c r="H2806" s="223" t="str" cm="1">
        <f t="array" ref="H2806">IFERROR(INDEX(INVESTOR_LIST[INVESTOR NAME],MATCH(I2806,INVESTOR_LIST[INVESTOR CODE],0),)," ")</f>
        <v xml:space="preserve"> </v>
      </c>
      <c r="I2806" s="223"/>
      <c r="J2806" s="224" t="s">
        <v>95</v>
      </c>
      <c r="K2806" s="225">
        <v>46000</v>
      </c>
      <c r="L2806" s="225" t="s">
        <v>1119</v>
      </c>
    </row>
    <row r="2807" spans="1:13" ht="11.25" customHeight="1" x14ac:dyDescent="0.2">
      <c r="A2807" s="226">
        <v>2023</v>
      </c>
      <c r="B2807" s="226">
        <v>4</v>
      </c>
      <c r="C2807" s="226">
        <v>26</v>
      </c>
      <c r="D2807" s="232">
        <f t="shared" si="314"/>
        <v>45042</v>
      </c>
      <c r="E2807" s="234">
        <f t="shared" si="316"/>
        <v>45042</v>
      </c>
      <c r="F2807" s="479"/>
      <c r="G2807" s="227" t="s">
        <v>1111</v>
      </c>
      <c r="H2807" s="228" t="str" cm="1">
        <f t="array" ref="H2807">IFERROR(INDEX(INVESTOR_LIST[INVESTOR NAME],MATCH(I2807,INVESTOR_LIST[INVESTOR CODE],0),)," ")</f>
        <v xml:space="preserve"> </v>
      </c>
      <c r="I2807" s="228"/>
      <c r="J2807" s="229" t="s">
        <v>55</v>
      </c>
      <c r="K2807" s="230" t="s">
        <v>1119</v>
      </c>
      <c r="L2807" s="230">
        <v>46000</v>
      </c>
    </row>
    <row r="2808" spans="1:13" ht="11.25" customHeight="1" x14ac:dyDescent="0.2">
      <c r="A2808" s="221">
        <v>2023</v>
      </c>
      <c r="B2808" s="221">
        <v>4</v>
      </c>
      <c r="C2808" s="221">
        <v>27</v>
      </c>
      <c r="D2808" s="231">
        <f t="shared" si="314"/>
        <v>45043</v>
      </c>
      <c r="E2808" s="233">
        <f t="shared" si="316"/>
        <v>45043</v>
      </c>
      <c r="F2808" s="478" t="s">
        <v>1132</v>
      </c>
      <c r="G2808" s="222" t="s">
        <v>1111</v>
      </c>
      <c r="H2808" s="223" t="str" cm="1">
        <f t="array" ref="H2808">IFERROR(INDEX(INVESTOR_LIST[INVESTOR NAME],MATCH(I2808,INVESTOR_LIST[INVESTOR CODE],0),)," ")</f>
        <v xml:space="preserve"> </v>
      </c>
      <c r="I2808" s="223"/>
      <c r="J2808" s="224" t="s">
        <v>55</v>
      </c>
      <c r="K2808" s="167">
        <v>15000</v>
      </c>
      <c r="L2808" s="225"/>
    </row>
    <row r="2809" spans="1:13" ht="11.25" customHeight="1" x14ac:dyDescent="0.2">
      <c r="A2809" s="164">
        <v>2023</v>
      </c>
      <c r="B2809" s="164">
        <v>4</v>
      </c>
      <c r="C2809" s="164">
        <v>27</v>
      </c>
      <c r="D2809" s="156">
        <f t="shared" si="314"/>
        <v>45043</v>
      </c>
      <c r="E2809" s="235">
        <f t="shared" si="316"/>
        <v>45043</v>
      </c>
      <c r="F2809" s="480"/>
      <c r="G2809" s="208" t="s">
        <v>1111</v>
      </c>
      <c r="H2809" s="206" t="str" cm="1">
        <f t="array" ref="H2809">IFERROR(INDEX(INVESTOR_LIST[INVESTOR NAME],MATCH(I2809,INVESTOR_LIST[INVESTOR CODE],0),)," ")</f>
        <v xml:space="preserve"> </v>
      </c>
      <c r="J2809" s="165" t="s">
        <v>1112</v>
      </c>
      <c r="L2809" s="205">
        <v>220</v>
      </c>
    </row>
    <row r="2810" spans="1:13" ht="11.25" customHeight="1" x14ac:dyDescent="0.2">
      <c r="A2810" s="226">
        <v>2023</v>
      </c>
      <c r="B2810" s="226">
        <v>4</v>
      </c>
      <c r="C2810" s="226">
        <v>27</v>
      </c>
      <c r="D2810" s="232">
        <f t="shared" si="314"/>
        <v>45043</v>
      </c>
      <c r="E2810" s="234">
        <f t="shared" si="316"/>
        <v>45043</v>
      </c>
      <c r="F2810" s="479"/>
      <c r="G2810" s="227" t="s">
        <v>1111</v>
      </c>
      <c r="H2810" s="228" t="str" cm="1">
        <f t="array" ref="H2810">IFERROR(INDEX(INVESTOR_LIST[INVESTOR NAME],MATCH(I2810,INVESTOR_LIST[INVESTOR CODE],0),)," ")</f>
        <v xml:space="preserve"> </v>
      </c>
      <c r="I2810" s="228"/>
      <c r="J2810" s="229" t="s">
        <v>14</v>
      </c>
      <c r="K2810" s="230"/>
      <c r="L2810" s="230">
        <v>14780</v>
      </c>
    </row>
    <row r="2811" spans="1:13" ht="11.25" customHeight="1" x14ac:dyDescent="0.2">
      <c r="A2811" s="280">
        <v>2023</v>
      </c>
      <c r="B2811" s="280">
        <v>4</v>
      </c>
      <c r="C2811" s="280">
        <v>27</v>
      </c>
      <c r="D2811" s="281">
        <f t="shared" si="314"/>
        <v>45043</v>
      </c>
      <c r="E2811" s="282">
        <f t="shared" ref="E2811:E2833" si="317">DATE(A2811,B2811,C2811)</f>
        <v>45043</v>
      </c>
      <c r="F2811" s="472" t="s">
        <v>1369</v>
      </c>
      <c r="G2811" s="283" t="s">
        <v>86</v>
      </c>
      <c r="H2811" s="284" t="str" cm="1">
        <f t="array" ref="H2811">IFERROR(INDEX(INVESTOR_LIST[INVESTOR NAME],MATCH(I2811,INVESTOR_LIST[INVESTOR CODE],0),)," ")</f>
        <v xml:space="preserve"> </v>
      </c>
      <c r="I2811" s="284"/>
      <c r="J2811" s="285" t="s">
        <v>131</v>
      </c>
      <c r="K2811" s="286">
        <v>84115.34</v>
      </c>
      <c r="L2811" s="286"/>
    </row>
    <row r="2812" spans="1:13" ht="11.25" customHeight="1" x14ac:dyDescent="0.2">
      <c r="A2812" s="287">
        <v>2023</v>
      </c>
      <c r="B2812" s="287">
        <v>4</v>
      </c>
      <c r="C2812" s="287">
        <v>27</v>
      </c>
      <c r="D2812" s="288">
        <f t="shared" si="314"/>
        <v>45043</v>
      </c>
      <c r="E2812" s="289">
        <f t="shared" si="317"/>
        <v>45043</v>
      </c>
      <c r="F2812" s="473"/>
      <c r="G2812" s="290" t="s">
        <v>86</v>
      </c>
      <c r="H2812" s="291" t="str" cm="1">
        <f t="array" ref="H2812">IFERROR(INDEX(INVESTOR_LIST[INVESTOR NAME],MATCH(I2812,INVESTOR_LIST[INVESTOR CODE],0),)," ")</f>
        <v xml:space="preserve"> </v>
      </c>
      <c r="I2812" s="291"/>
      <c r="J2812" s="292" t="s">
        <v>174</v>
      </c>
      <c r="K2812" s="293"/>
      <c r="L2812" s="293">
        <v>84115.34</v>
      </c>
    </row>
    <row r="2813" spans="1:13" ht="11.25" customHeight="1" x14ac:dyDescent="0.2">
      <c r="A2813" s="280">
        <v>2023</v>
      </c>
      <c r="B2813" s="280">
        <v>4</v>
      </c>
      <c r="C2813" s="280">
        <v>27</v>
      </c>
      <c r="D2813" s="281">
        <f t="shared" si="314"/>
        <v>45043</v>
      </c>
      <c r="E2813" s="282">
        <f t="shared" si="317"/>
        <v>45043</v>
      </c>
      <c r="F2813" s="472" t="s">
        <v>1295</v>
      </c>
      <c r="G2813" s="283" t="s">
        <v>86</v>
      </c>
      <c r="H2813" s="284" t="str" cm="1">
        <f t="array" ref="H2813">IFERROR(INDEX(INVESTOR_LIST[INVESTOR NAME],MATCH(I2813,INVESTOR_LIST[INVESTOR CODE],0),)," ")</f>
        <v xml:space="preserve"> </v>
      </c>
      <c r="I2813" s="284"/>
      <c r="J2813" s="285" t="s">
        <v>131</v>
      </c>
      <c r="K2813" s="286">
        <v>16923.080000000002</v>
      </c>
      <c r="L2813" s="286"/>
    </row>
    <row r="2814" spans="1:13" ht="11.25" customHeight="1" x14ac:dyDescent="0.2">
      <c r="A2814" s="287">
        <v>2023</v>
      </c>
      <c r="B2814" s="287">
        <v>4</v>
      </c>
      <c r="C2814" s="287">
        <v>27</v>
      </c>
      <c r="D2814" s="288">
        <f t="shared" si="314"/>
        <v>45043</v>
      </c>
      <c r="E2814" s="289">
        <f t="shared" si="317"/>
        <v>45043</v>
      </c>
      <c r="F2814" s="473"/>
      <c r="G2814" s="290" t="s">
        <v>86</v>
      </c>
      <c r="H2814" s="291" t="str" cm="1">
        <f t="array" ref="H2814">IFERROR(INDEX(INVESTOR_LIST[INVESTOR NAME],MATCH(I2814,INVESTOR_LIST[INVESTOR CODE],0),)," ")</f>
        <v xml:space="preserve"> </v>
      </c>
      <c r="I2814" s="291"/>
      <c r="J2814" s="292" t="s">
        <v>174</v>
      </c>
      <c r="K2814" s="293"/>
      <c r="L2814" s="293">
        <v>16923.080000000002</v>
      </c>
    </row>
    <row r="2815" spans="1:13" ht="11.25" customHeight="1" x14ac:dyDescent="0.2">
      <c r="A2815" s="280">
        <v>2023</v>
      </c>
      <c r="B2815" s="280">
        <v>4</v>
      </c>
      <c r="C2815" s="280">
        <v>27</v>
      </c>
      <c r="D2815" s="281">
        <f t="shared" si="314"/>
        <v>45043</v>
      </c>
      <c r="E2815" s="282">
        <f t="shared" si="317"/>
        <v>45043</v>
      </c>
      <c r="F2815" s="472" t="s">
        <v>1294</v>
      </c>
      <c r="G2815" s="283" t="s">
        <v>86</v>
      </c>
      <c r="H2815" s="284" t="str" cm="1">
        <f t="array" ref="H2815">IFERROR(INDEX(INVESTOR_LIST[INVESTOR NAME],MATCH(I2815,INVESTOR_LIST[INVESTOR CODE],0),)," ")</f>
        <v xml:space="preserve"> </v>
      </c>
      <c r="I2815" s="284"/>
      <c r="J2815" s="285" t="s">
        <v>131</v>
      </c>
      <c r="K2815" s="286">
        <v>9711.5400000000009</v>
      </c>
      <c r="L2815" s="286"/>
    </row>
    <row r="2816" spans="1:13" ht="11.25" customHeight="1" x14ac:dyDescent="0.2">
      <c r="A2816" s="287">
        <v>2023</v>
      </c>
      <c r="B2816" s="287">
        <v>4</v>
      </c>
      <c r="C2816" s="287">
        <v>27</v>
      </c>
      <c r="D2816" s="288">
        <f t="shared" si="314"/>
        <v>45043</v>
      </c>
      <c r="E2816" s="289">
        <f t="shared" si="317"/>
        <v>45043</v>
      </c>
      <c r="F2816" s="473"/>
      <c r="G2816" s="290" t="s">
        <v>86</v>
      </c>
      <c r="H2816" s="291" t="str" cm="1">
        <f t="array" ref="H2816">IFERROR(INDEX(INVESTOR_LIST[INVESTOR NAME],MATCH(I2816,INVESTOR_LIST[INVESTOR CODE],0),)," ")</f>
        <v xml:space="preserve"> </v>
      </c>
      <c r="I2816" s="291"/>
      <c r="J2816" s="292" t="s">
        <v>174</v>
      </c>
      <c r="K2816" s="293"/>
      <c r="L2816" s="293">
        <v>9711.5400000000009</v>
      </c>
    </row>
    <row r="2817" spans="1:12" ht="11.25" customHeight="1" x14ac:dyDescent="0.2">
      <c r="A2817" s="236">
        <v>2023</v>
      </c>
      <c r="B2817" s="236">
        <v>4</v>
      </c>
      <c r="C2817" s="236">
        <v>27</v>
      </c>
      <c r="D2817" s="237">
        <f t="shared" si="314"/>
        <v>45043</v>
      </c>
      <c r="E2817" s="238">
        <f t="shared" si="317"/>
        <v>45043</v>
      </c>
      <c r="F2817" s="476" t="s">
        <v>1118</v>
      </c>
      <c r="G2817" s="239" t="s">
        <v>86</v>
      </c>
      <c r="H2817" s="239" t="str" cm="1">
        <f t="array" ref="H2817">IFERROR(INDEX(INVESTOR_LIST[INVESTOR NAME],MATCH(I2817,INVESTOR_LIST[INVESTOR CODE],0),)," ")</f>
        <v xml:space="preserve"> </v>
      </c>
      <c r="I2817" s="240"/>
      <c r="J2817" s="241" t="s">
        <v>82</v>
      </c>
      <c r="K2817" s="242">
        <v>62500</v>
      </c>
      <c r="L2817" s="242"/>
    </row>
    <row r="2818" spans="1:12" ht="11.25" customHeight="1" x14ac:dyDescent="0.2">
      <c r="A2818" s="243">
        <v>2023</v>
      </c>
      <c r="B2818" s="243">
        <v>4</v>
      </c>
      <c r="C2818" s="243">
        <v>27</v>
      </c>
      <c r="D2818" s="248">
        <f t="shared" si="314"/>
        <v>45043</v>
      </c>
      <c r="E2818" s="249">
        <f t="shared" si="317"/>
        <v>45043</v>
      </c>
      <c r="F2818" s="477"/>
      <c r="G2818" s="244" t="s">
        <v>86</v>
      </c>
      <c r="H2818" s="244" t="str" cm="1">
        <f t="array" ref="H2818">IFERROR(INDEX(INVESTOR_LIST[INVESTOR NAME],MATCH(I2818,INVESTOR_LIST[INVESTOR CODE],0),)," ")</f>
        <v xml:space="preserve"> </v>
      </c>
      <c r="I2818" s="245"/>
      <c r="J2818" s="246" t="s">
        <v>98</v>
      </c>
      <c r="K2818" s="247"/>
      <c r="L2818" s="247">
        <v>62500</v>
      </c>
    </row>
    <row r="2819" spans="1:12" ht="11.25" customHeight="1" x14ac:dyDescent="0.2">
      <c r="A2819" s="236">
        <v>2023</v>
      </c>
      <c r="B2819" s="236">
        <v>4</v>
      </c>
      <c r="C2819" s="236">
        <v>27</v>
      </c>
      <c r="D2819" s="237">
        <f t="shared" si="314"/>
        <v>45043</v>
      </c>
      <c r="E2819" s="238">
        <f t="shared" si="317"/>
        <v>45043</v>
      </c>
      <c r="F2819" s="476" t="s">
        <v>1120</v>
      </c>
      <c r="G2819" s="239" t="s">
        <v>86</v>
      </c>
      <c r="H2819" s="239" t="str" cm="1">
        <f t="array" ref="H2819">IFERROR(INDEX(INVESTOR_LIST[INVESTOR NAME],MATCH(I2819,INVESTOR_LIST[INVESTOR CODE],0),)," ")</f>
        <v xml:space="preserve"> </v>
      </c>
      <c r="I2819" s="240"/>
      <c r="J2819" s="241" t="s">
        <v>87</v>
      </c>
      <c r="K2819" s="242">
        <v>2747.2527472527472</v>
      </c>
      <c r="L2819" s="242"/>
    </row>
    <row r="2820" spans="1:12" ht="11.25" customHeight="1" x14ac:dyDescent="0.2">
      <c r="A2820" s="243">
        <v>2023</v>
      </c>
      <c r="B2820" s="243">
        <v>4</v>
      </c>
      <c r="C2820" s="243">
        <v>27</v>
      </c>
      <c r="D2820" s="248">
        <f t="shared" si="314"/>
        <v>45043</v>
      </c>
      <c r="E2820" s="249">
        <f t="shared" si="317"/>
        <v>45043</v>
      </c>
      <c r="F2820" s="477"/>
      <c r="G2820" s="244" t="s">
        <v>86</v>
      </c>
      <c r="H2820" s="244" t="str" cm="1">
        <f t="array" ref="H2820">IFERROR(INDEX(INVESTOR_LIST[INVESTOR NAME],MATCH(I2820,INVESTOR_LIST[INVESTOR CODE],0),)," ")</f>
        <v xml:space="preserve"> </v>
      </c>
      <c r="I2820" s="245"/>
      <c r="J2820" s="246" t="s">
        <v>64</v>
      </c>
      <c r="K2820" s="247"/>
      <c r="L2820" s="247">
        <v>2747.2527472527472</v>
      </c>
    </row>
    <row r="2821" spans="1:12" ht="11.25" customHeight="1" x14ac:dyDescent="0.2">
      <c r="A2821" s="236">
        <v>2023</v>
      </c>
      <c r="B2821" s="236">
        <v>4</v>
      </c>
      <c r="C2821" s="236">
        <v>27</v>
      </c>
      <c r="D2821" s="237">
        <f t="shared" si="314"/>
        <v>45043</v>
      </c>
      <c r="E2821" s="238">
        <f t="shared" si="317"/>
        <v>45043</v>
      </c>
      <c r="F2821" s="476" t="s">
        <v>1121</v>
      </c>
      <c r="G2821" s="239" t="s">
        <v>86</v>
      </c>
      <c r="H2821" s="239" t="str" cm="1">
        <f t="array" ref="H2821">IFERROR(INDEX(INVESTOR_LIST[INVESTOR NAME],MATCH(I2821,INVESTOR_LIST[INVESTOR CODE],0),)," ")</f>
        <v xml:space="preserve"> </v>
      </c>
      <c r="I2821" s="240"/>
      <c r="J2821" s="241" t="s">
        <v>89</v>
      </c>
      <c r="K2821" s="242">
        <v>36768.004003559967</v>
      </c>
      <c r="L2821" s="242"/>
    </row>
    <row r="2822" spans="1:12" ht="11.25" customHeight="1" x14ac:dyDescent="0.2">
      <c r="A2822" s="243">
        <v>2023</v>
      </c>
      <c r="B2822" s="243">
        <v>4</v>
      </c>
      <c r="C2822" s="243">
        <v>27</v>
      </c>
      <c r="D2822" s="248">
        <f t="shared" si="314"/>
        <v>45043</v>
      </c>
      <c r="E2822" s="249">
        <f t="shared" si="317"/>
        <v>45043</v>
      </c>
      <c r="F2822" s="477"/>
      <c r="G2822" s="244" t="s">
        <v>86</v>
      </c>
      <c r="H2822" s="244" t="str" cm="1">
        <f t="array" ref="H2822">IFERROR(INDEX(INVESTOR_LIST[INVESTOR NAME],MATCH(I2822,INVESTOR_LIST[INVESTOR CODE],0),)," ")</f>
        <v xml:space="preserve"> </v>
      </c>
      <c r="I2822" s="245"/>
      <c r="J2822" s="246" t="s">
        <v>50</v>
      </c>
      <c r="K2822" s="247"/>
      <c r="L2822" s="247">
        <v>36768.004003559967</v>
      </c>
    </row>
    <row r="2823" spans="1:12" ht="11.25" customHeight="1" x14ac:dyDescent="0.2">
      <c r="A2823" s="236">
        <v>2023</v>
      </c>
      <c r="B2823" s="236">
        <v>4</v>
      </c>
      <c r="C2823" s="236">
        <v>27</v>
      </c>
      <c r="D2823" s="237">
        <f t="shared" si="314"/>
        <v>45043</v>
      </c>
      <c r="E2823" s="238">
        <f t="shared" si="317"/>
        <v>45043</v>
      </c>
      <c r="F2823" s="476" t="s">
        <v>1122</v>
      </c>
      <c r="G2823" s="239" t="s">
        <v>86</v>
      </c>
      <c r="H2823" s="239" t="str" cm="1">
        <f t="array" ref="H2823">IFERROR(INDEX(INVESTOR_LIST[INVESTOR NAME],MATCH(I2823,INVESTOR_LIST[INVESTOR CODE],0),)," ")</f>
        <v xml:space="preserve"> </v>
      </c>
      <c r="I2823" s="240"/>
      <c r="J2823" s="241" t="s">
        <v>91</v>
      </c>
      <c r="K2823" s="242">
        <v>3676.8004003559972</v>
      </c>
      <c r="L2823" s="242"/>
    </row>
    <row r="2824" spans="1:12" ht="11.25" customHeight="1" x14ac:dyDescent="0.2">
      <c r="A2824" s="243">
        <v>2023</v>
      </c>
      <c r="B2824" s="243">
        <v>4</v>
      </c>
      <c r="C2824" s="243">
        <v>27</v>
      </c>
      <c r="D2824" s="248">
        <f t="shared" si="314"/>
        <v>45043</v>
      </c>
      <c r="E2824" s="249">
        <f t="shared" si="317"/>
        <v>45043</v>
      </c>
      <c r="F2824" s="477"/>
      <c r="G2824" s="244" t="s">
        <v>86</v>
      </c>
      <c r="H2824" s="244" t="str" cm="1">
        <f t="array" ref="H2824">IFERROR(INDEX(INVESTOR_LIST[INVESTOR NAME],MATCH(I2824,INVESTOR_LIST[INVESTOR CODE],0),)," ")</f>
        <v xml:space="preserve"> </v>
      </c>
      <c r="I2824" s="245"/>
      <c r="J2824" s="246" t="s">
        <v>51</v>
      </c>
      <c r="K2824" s="247"/>
      <c r="L2824" s="247">
        <v>3676.8004003559972</v>
      </c>
    </row>
    <row r="2825" spans="1:12" ht="11.25" customHeight="1" x14ac:dyDescent="0.2">
      <c r="A2825" s="231">
        <v>2023</v>
      </c>
      <c r="B2825" s="231">
        <v>4</v>
      </c>
      <c r="C2825" s="231">
        <v>30</v>
      </c>
      <c r="D2825" s="221">
        <f t="shared" ref="D2825:D2888" si="318">DATE(A2825,B2825,C2825)</f>
        <v>45046</v>
      </c>
      <c r="E2825" s="233">
        <f t="shared" si="317"/>
        <v>45046</v>
      </c>
      <c r="F2825" s="478" t="s">
        <v>1472</v>
      </c>
      <c r="G2825" s="222" t="s">
        <v>1111</v>
      </c>
      <c r="H2825" s="222" t="str" cm="1">
        <f t="array" ref="H2825">IFERROR(INDEX(INVESTOR_LIST[INVESTOR NAME],MATCH(I2825,INVESTOR_LIST[INVESTOR CODE],0),)," ")</f>
        <v xml:space="preserve"> </v>
      </c>
      <c r="I2825" s="223"/>
      <c r="J2825" s="224" t="s">
        <v>50</v>
      </c>
      <c r="K2825" s="225">
        <v>200000</v>
      </c>
      <c r="L2825" s="225"/>
    </row>
    <row r="2826" spans="1:12" ht="11.25" customHeight="1" x14ac:dyDescent="0.2">
      <c r="A2826" s="232">
        <v>2023</v>
      </c>
      <c r="B2826" s="232">
        <v>4</v>
      </c>
      <c r="C2826" s="232">
        <v>30</v>
      </c>
      <c r="D2826" s="226">
        <f t="shared" si="318"/>
        <v>45046</v>
      </c>
      <c r="E2826" s="234">
        <f t="shared" si="317"/>
        <v>45046</v>
      </c>
      <c r="F2826" s="479"/>
      <c r="G2826" s="227" t="s">
        <v>1111</v>
      </c>
      <c r="H2826" s="227" t="str" cm="1">
        <f t="array" ref="H2826">IFERROR(INDEX(INVESTOR_LIST[INVESTOR NAME],MATCH(I2826,INVESTOR_LIST[INVESTOR CODE],0),)," ")</f>
        <v xml:space="preserve"> </v>
      </c>
      <c r="I2826" s="228"/>
      <c r="J2826" s="229" t="s">
        <v>55</v>
      </c>
      <c r="K2826" s="230"/>
      <c r="L2826" s="230">
        <v>200000</v>
      </c>
    </row>
    <row r="2827" spans="1:12" ht="11.25" customHeight="1" x14ac:dyDescent="0.2">
      <c r="A2827" s="221">
        <v>2023</v>
      </c>
      <c r="B2827" s="221">
        <v>4</v>
      </c>
      <c r="C2827" s="221">
        <v>30</v>
      </c>
      <c r="D2827" s="221">
        <f t="shared" si="318"/>
        <v>45046</v>
      </c>
      <c r="E2827" s="233">
        <f t="shared" si="317"/>
        <v>45046</v>
      </c>
      <c r="F2827" s="478" t="s">
        <v>1301</v>
      </c>
      <c r="G2827" s="222" t="s">
        <v>86</v>
      </c>
      <c r="H2827" s="222" t="str" cm="1">
        <f t="array" ref="H2827">IFERROR(INDEX(INVESTOR_LIST[INVESTOR NAME],MATCH(I2827,INVESTOR_LIST[INVESTOR CODE],0),)," ")</f>
        <v xml:space="preserve"> </v>
      </c>
      <c r="I2827" s="223"/>
      <c r="J2827" s="165" t="s">
        <v>199</v>
      </c>
      <c r="K2827" s="225">
        <v>117787.6</v>
      </c>
      <c r="L2827" s="225"/>
    </row>
    <row r="2828" spans="1:12" ht="11.25" customHeight="1" x14ac:dyDescent="0.2">
      <c r="A2828" s="164">
        <v>2023</v>
      </c>
      <c r="B2828" s="164">
        <v>4</v>
      </c>
      <c r="C2828" s="164">
        <v>30</v>
      </c>
      <c r="D2828" s="164">
        <f t="shared" si="318"/>
        <v>45046</v>
      </c>
      <c r="E2828" s="235">
        <f t="shared" si="317"/>
        <v>45046</v>
      </c>
      <c r="F2828" s="480"/>
      <c r="G2828" s="208" t="s">
        <v>86</v>
      </c>
      <c r="H2828" s="208"/>
      <c r="J2828" s="165" t="s">
        <v>960</v>
      </c>
      <c r="K2828" s="205">
        <v>212.4</v>
      </c>
      <c r="L2828" s="205"/>
    </row>
    <row r="2829" spans="1:12" ht="11.25" customHeight="1" x14ac:dyDescent="0.2">
      <c r="A2829" s="164">
        <v>2023</v>
      </c>
      <c r="B2829" s="164">
        <v>4</v>
      </c>
      <c r="C2829" s="164">
        <v>30</v>
      </c>
      <c r="D2829" s="164">
        <f t="shared" si="318"/>
        <v>45046</v>
      </c>
      <c r="E2829" s="235">
        <f t="shared" si="317"/>
        <v>45046</v>
      </c>
      <c r="F2829" s="480"/>
      <c r="G2829" s="208" t="s">
        <v>86</v>
      </c>
      <c r="H2829" s="208"/>
      <c r="J2829" s="165" t="s">
        <v>200</v>
      </c>
      <c r="K2829" s="205"/>
      <c r="L2829" s="205">
        <v>18000</v>
      </c>
    </row>
    <row r="2830" spans="1:12" ht="11.25" customHeight="1" x14ac:dyDescent="0.2">
      <c r="A2830" s="226">
        <v>2023</v>
      </c>
      <c r="B2830" s="226">
        <v>4</v>
      </c>
      <c r="C2830" s="226">
        <v>30</v>
      </c>
      <c r="D2830" s="226">
        <f t="shared" si="318"/>
        <v>45046</v>
      </c>
      <c r="E2830" s="234">
        <f t="shared" si="317"/>
        <v>45046</v>
      </c>
      <c r="F2830" s="479"/>
      <c r="G2830" s="227" t="s">
        <v>86</v>
      </c>
      <c r="H2830" s="228" t="str" cm="1">
        <f t="array" ref="H2830">IFERROR(INDEX(INVESTOR_LIST[INVESTOR NAME],MATCH(I2830,INVESTOR_LIST[INVESTOR CODE],0),)," ")</f>
        <v xml:space="preserve"> </v>
      </c>
      <c r="I2830" s="228"/>
      <c r="J2830" s="229" t="s">
        <v>80</v>
      </c>
      <c r="K2830" s="230"/>
      <c r="L2830" s="230">
        <v>100000</v>
      </c>
    </row>
    <row r="2831" spans="1:12" ht="11.25" customHeight="1" x14ac:dyDescent="0.2">
      <c r="A2831" s="221">
        <v>2023</v>
      </c>
      <c r="B2831" s="221">
        <v>5</v>
      </c>
      <c r="C2831" s="221">
        <v>2</v>
      </c>
      <c r="D2831" s="231">
        <f t="shared" si="318"/>
        <v>45048</v>
      </c>
      <c r="E2831" s="233">
        <f t="shared" si="317"/>
        <v>45048</v>
      </c>
      <c r="F2831" s="478" t="s">
        <v>1115</v>
      </c>
      <c r="G2831" s="222" t="s">
        <v>1111</v>
      </c>
      <c r="H2831" s="223" t="str" cm="1">
        <f t="array" ref="H2831">IFERROR(INDEX(INVESTOR_LIST[INVESTOR NAME],MATCH(I2831,INVESTOR_LIST[INVESTOR CODE],0),)," ")</f>
        <v>SHARMIN JAHAN SHANTA</v>
      </c>
      <c r="I2831" s="223" t="s">
        <v>806</v>
      </c>
      <c r="J2831" s="224" t="s">
        <v>14</v>
      </c>
      <c r="K2831" s="225">
        <v>50000</v>
      </c>
      <c r="L2831" s="225"/>
    </row>
    <row r="2832" spans="1:12" ht="11.25" customHeight="1" x14ac:dyDescent="0.2">
      <c r="A2832" s="164">
        <v>2023</v>
      </c>
      <c r="B2832" s="164">
        <v>5</v>
      </c>
      <c r="C2832" s="164">
        <v>2</v>
      </c>
      <c r="D2832" s="156">
        <f t="shared" si="318"/>
        <v>45048</v>
      </c>
      <c r="E2832" s="235">
        <f t="shared" si="317"/>
        <v>45048</v>
      </c>
      <c r="F2832" s="480"/>
      <c r="G2832" s="208" t="s">
        <v>1111</v>
      </c>
      <c r="H2832" s="206" t="str" cm="1">
        <f t="array" ref="H2832">IFERROR(INDEX(INVESTOR_LIST[INVESTOR NAME],MATCH(I2832,INVESTOR_LIST[INVESTOR CODE],0),)," ")</f>
        <v>SHARMIN JAHAN SHANTA</v>
      </c>
      <c r="I2832" s="206" t="s">
        <v>806</v>
      </c>
      <c r="J2832" s="165" t="s">
        <v>1112</v>
      </c>
      <c r="K2832" s="205">
        <v>745</v>
      </c>
    </row>
    <row r="2833" spans="1:13" ht="11.25" customHeight="1" x14ac:dyDescent="0.2">
      <c r="A2833" s="226">
        <v>2023</v>
      </c>
      <c r="B2833" s="226">
        <v>5</v>
      </c>
      <c r="C2833" s="226">
        <v>2</v>
      </c>
      <c r="D2833" s="232">
        <f t="shared" si="318"/>
        <v>45048</v>
      </c>
      <c r="E2833" s="234">
        <f t="shared" si="317"/>
        <v>45048</v>
      </c>
      <c r="F2833" s="479"/>
      <c r="G2833" s="227" t="s">
        <v>1111</v>
      </c>
      <c r="H2833" s="228" t="str" cm="1">
        <f t="array" ref="H2833">IFERROR(INDEX(INVESTOR_LIST[INVESTOR NAME],MATCH(I2833,INVESTOR_LIST[INVESTOR CODE],0),)," ")</f>
        <v>SHARMIN JAHAN SHANTA</v>
      </c>
      <c r="I2833" s="228" t="s">
        <v>806</v>
      </c>
      <c r="J2833" s="229" t="s">
        <v>55</v>
      </c>
      <c r="K2833" s="230"/>
      <c r="L2833" s="230">
        <v>50745</v>
      </c>
    </row>
    <row r="2834" spans="1:13" ht="11.25" customHeight="1" x14ac:dyDescent="0.2">
      <c r="A2834" s="221">
        <v>2023</v>
      </c>
      <c r="B2834" s="221">
        <v>5</v>
      </c>
      <c r="C2834" s="221">
        <v>2</v>
      </c>
      <c r="D2834" s="221">
        <f t="shared" si="318"/>
        <v>45048</v>
      </c>
      <c r="E2834" s="233">
        <f t="shared" ref="E2834:E2856" si="319">DATE(A2834,B2834,C2834)</f>
        <v>45048</v>
      </c>
      <c r="F2834" s="478" t="s">
        <v>1496</v>
      </c>
      <c r="G2834" s="222" t="s">
        <v>86</v>
      </c>
      <c r="H2834" s="222" t="str" cm="1">
        <f t="array" ref="H2834">IFERROR(INDEX(INVESTOR_LIST[INVESTOR NAME],MATCH(I2834,INVESTOR_LIST[INVESTOR CODE],0),)," ")</f>
        <v xml:space="preserve"> </v>
      </c>
      <c r="I2834" s="223"/>
      <c r="J2834" s="165" t="s">
        <v>199</v>
      </c>
      <c r="K2834" s="225">
        <v>190656.2</v>
      </c>
      <c r="L2834" s="225"/>
    </row>
    <row r="2835" spans="1:13" ht="11.25" customHeight="1" x14ac:dyDescent="0.2">
      <c r="A2835" s="164">
        <v>2023</v>
      </c>
      <c r="B2835" s="164">
        <v>5</v>
      </c>
      <c r="C2835" s="164">
        <v>2</v>
      </c>
      <c r="D2835" s="164">
        <f t="shared" si="318"/>
        <v>45048</v>
      </c>
      <c r="E2835" s="235">
        <f t="shared" si="319"/>
        <v>45048</v>
      </c>
      <c r="F2835" s="480"/>
      <c r="G2835" s="208" t="s">
        <v>86</v>
      </c>
      <c r="H2835" s="208"/>
      <c r="J2835" s="165" t="s">
        <v>960</v>
      </c>
      <c r="K2835" s="205">
        <v>343.8</v>
      </c>
      <c r="L2835" s="205"/>
    </row>
    <row r="2836" spans="1:13" ht="11.25" customHeight="1" x14ac:dyDescent="0.2">
      <c r="A2836" s="164">
        <v>2023</v>
      </c>
      <c r="B2836" s="164">
        <v>5</v>
      </c>
      <c r="C2836" s="164">
        <v>2</v>
      </c>
      <c r="D2836" s="164">
        <f t="shared" si="318"/>
        <v>45048</v>
      </c>
      <c r="E2836" s="235">
        <f t="shared" si="319"/>
        <v>45048</v>
      </c>
      <c r="F2836" s="480"/>
      <c r="G2836" s="208" t="s">
        <v>86</v>
      </c>
      <c r="H2836" s="208"/>
      <c r="J2836" s="165" t="s">
        <v>200</v>
      </c>
      <c r="K2836" s="205"/>
      <c r="L2836" s="205">
        <v>41000</v>
      </c>
    </row>
    <row r="2837" spans="1:13" ht="11.25" customHeight="1" x14ac:dyDescent="0.2">
      <c r="A2837" s="226">
        <v>2023</v>
      </c>
      <c r="B2837" s="226">
        <v>5</v>
      </c>
      <c r="C2837" s="226">
        <v>2</v>
      </c>
      <c r="D2837" s="226">
        <f t="shared" si="318"/>
        <v>45048</v>
      </c>
      <c r="E2837" s="234">
        <f t="shared" si="319"/>
        <v>45048</v>
      </c>
      <c r="F2837" s="479"/>
      <c r="G2837" s="227" t="s">
        <v>86</v>
      </c>
      <c r="H2837" s="228" t="str" cm="1">
        <f t="array" ref="H2837">IFERROR(INDEX(INVESTOR_LIST[INVESTOR NAME],MATCH(I2837,INVESTOR_LIST[INVESTOR CODE],0),)," ")</f>
        <v xml:space="preserve"> </v>
      </c>
      <c r="I2837" s="228"/>
      <c r="J2837" s="229" t="s">
        <v>80</v>
      </c>
      <c r="K2837" s="230"/>
      <c r="L2837" s="230">
        <v>150000</v>
      </c>
    </row>
    <row r="2838" spans="1:13" ht="11.25" customHeight="1" x14ac:dyDescent="0.2">
      <c r="A2838" s="221">
        <v>2023</v>
      </c>
      <c r="B2838" s="221">
        <v>5</v>
      </c>
      <c r="C2838" s="221">
        <v>3</v>
      </c>
      <c r="D2838" s="231">
        <f t="shared" si="318"/>
        <v>45049</v>
      </c>
      <c r="E2838" s="233">
        <f t="shared" si="319"/>
        <v>45049</v>
      </c>
      <c r="F2838" s="478" t="s">
        <v>1115</v>
      </c>
      <c r="G2838" s="222" t="s">
        <v>1111</v>
      </c>
      <c r="H2838" s="223" t="str" cm="1">
        <f t="array" ref="H2838">IFERROR(INDEX(INVESTOR_LIST[INVESTOR NAME],MATCH(I2838,INVESTOR_LIST[INVESTOR CODE],0),)," ")</f>
        <v>MD. NIAZ MURSHED</v>
      </c>
      <c r="I2838" s="223" t="s">
        <v>571</v>
      </c>
      <c r="J2838" s="224" t="s">
        <v>14</v>
      </c>
      <c r="K2838" s="225">
        <v>246330</v>
      </c>
      <c r="L2838" s="225"/>
    </row>
    <row r="2839" spans="1:13" ht="11.25" customHeight="1" x14ac:dyDescent="0.2">
      <c r="A2839" s="164">
        <v>2023</v>
      </c>
      <c r="B2839" s="164">
        <v>5</v>
      </c>
      <c r="C2839" s="164">
        <v>3</v>
      </c>
      <c r="D2839" s="156">
        <f t="shared" si="318"/>
        <v>45049</v>
      </c>
      <c r="E2839" s="235">
        <f t="shared" si="319"/>
        <v>45049</v>
      </c>
      <c r="F2839" s="480"/>
      <c r="G2839" s="208" t="s">
        <v>1111</v>
      </c>
      <c r="H2839" s="206" t="str" cm="1">
        <f t="array" ref="H2839">IFERROR(INDEX(INVESTOR_LIST[INVESTOR NAME],MATCH(I2839,INVESTOR_LIST[INVESTOR CODE],0),)," ")</f>
        <v>MD. NIAZ MURSHED</v>
      </c>
      <c r="I2839" s="206" t="s">
        <v>571</v>
      </c>
      <c r="J2839" s="165" t="s">
        <v>1112</v>
      </c>
      <c r="K2839" s="205">
        <v>3670</v>
      </c>
    </row>
    <row r="2840" spans="1:13" ht="11.25" customHeight="1" x14ac:dyDescent="0.2">
      <c r="A2840" s="226">
        <v>2023</v>
      </c>
      <c r="B2840" s="226">
        <v>5</v>
      </c>
      <c r="C2840" s="226">
        <v>3</v>
      </c>
      <c r="D2840" s="232">
        <f t="shared" si="318"/>
        <v>45049</v>
      </c>
      <c r="E2840" s="234">
        <f t="shared" si="319"/>
        <v>45049</v>
      </c>
      <c r="F2840" s="479"/>
      <c r="G2840" s="227" t="s">
        <v>1111</v>
      </c>
      <c r="H2840" s="228" t="str" cm="1">
        <f t="array" ref="H2840">IFERROR(INDEX(INVESTOR_LIST[INVESTOR NAME],MATCH(I2840,INVESTOR_LIST[INVESTOR CODE],0),)," ")</f>
        <v>MD. NIAZ MURSHED</v>
      </c>
      <c r="I2840" s="228" t="s">
        <v>571</v>
      </c>
      <c r="J2840" s="229" t="s">
        <v>55</v>
      </c>
      <c r="K2840" s="230"/>
      <c r="L2840" s="230">
        <v>250000</v>
      </c>
    </row>
    <row r="2841" spans="1:13" ht="11.25" customHeight="1" x14ac:dyDescent="0.2">
      <c r="A2841" s="221">
        <v>2023</v>
      </c>
      <c r="B2841" s="221">
        <v>5</v>
      </c>
      <c r="C2841" s="221">
        <v>3</v>
      </c>
      <c r="D2841" s="231">
        <f t="shared" si="318"/>
        <v>45049</v>
      </c>
      <c r="E2841" s="233">
        <f>DATE(A2841,B2841,C2841)</f>
        <v>45049</v>
      </c>
      <c r="F2841" s="478" t="s">
        <v>1303</v>
      </c>
      <c r="G2841" s="222" t="s">
        <v>1111</v>
      </c>
      <c r="H2841" s="223" t="str" cm="1">
        <f t="array" ref="H2841">IFERROR(INDEX(INVESTOR_LIST[INVESTOR NAME],MATCH(I2841,INVESTOR_LIST[INVESTOR CODE],0),)," ")</f>
        <v xml:space="preserve"> </v>
      </c>
      <c r="I2841" s="223"/>
      <c r="J2841" s="224" t="s">
        <v>55</v>
      </c>
      <c r="K2841" s="225">
        <v>117787.6</v>
      </c>
      <c r="L2841" s="225"/>
    </row>
    <row r="2842" spans="1:13" ht="11.25" customHeight="1" x14ac:dyDescent="0.2">
      <c r="A2842" s="226">
        <v>2023</v>
      </c>
      <c r="B2842" s="226">
        <v>5</v>
      </c>
      <c r="C2842" s="226">
        <v>3</v>
      </c>
      <c r="D2842" s="232">
        <f t="shared" si="318"/>
        <v>45049</v>
      </c>
      <c r="E2842" s="234">
        <f>DATE(A2842,B2842,C2842)</f>
        <v>45049</v>
      </c>
      <c r="F2842" s="479"/>
      <c r="G2842" s="227" t="s">
        <v>1111</v>
      </c>
      <c r="H2842" s="228" t="str" cm="1">
        <f t="array" ref="H2842">IFERROR(INDEX(INVESTOR_LIST[INVESTOR NAME],MATCH(I2842,INVESTOR_LIST[INVESTOR CODE],0),)," ")</f>
        <v xml:space="preserve"> </v>
      </c>
      <c r="I2842" s="228"/>
      <c r="J2842" s="229" t="s">
        <v>199</v>
      </c>
      <c r="K2842" s="230"/>
      <c r="L2842" s="230">
        <v>117787.6</v>
      </c>
      <c r="M2842" s="166"/>
    </row>
    <row r="2843" spans="1:13" ht="11.25" customHeight="1" x14ac:dyDescent="0.2">
      <c r="A2843" s="280">
        <v>2023</v>
      </c>
      <c r="B2843" s="280">
        <v>5</v>
      </c>
      <c r="C2843" s="280">
        <v>3</v>
      </c>
      <c r="D2843" s="281">
        <f t="shared" si="318"/>
        <v>45049</v>
      </c>
      <c r="E2843" s="282">
        <f t="shared" si="319"/>
        <v>45049</v>
      </c>
      <c r="F2843" s="472" t="s">
        <v>1369</v>
      </c>
      <c r="G2843" s="283" t="s">
        <v>86</v>
      </c>
      <c r="H2843" s="284" t="str" cm="1">
        <f t="array" ref="H2843">IFERROR(INDEX(INVESTOR_LIST[INVESTOR NAME],MATCH(I2843,INVESTOR_LIST[INVESTOR CODE],0),)," ")</f>
        <v xml:space="preserve"> </v>
      </c>
      <c r="I2843" s="284"/>
      <c r="J2843" s="285" t="s">
        <v>131</v>
      </c>
      <c r="K2843" s="286">
        <v>84115.34</v>
      </c>
      <c r="L2843" s="286"/>
    </row>
    <row r="2844" spans="1:13" ht="11.25" customHeight="1" x14ac:dyDescent="0.2">
      <c r="A2844" s="287">
        <v>2023</v>
      </c>
      <c r="B2844" s="287">
        <v>5</v>
      </c>
      <c r="C2844" s="287">
        <v>3</v>
      </c>
      <c r="D2844" s="288">
        <f t="shared" si="318"/>
        <v>45049</v>
      </c>
      <c r="E2844" s="289">
        <f t="shared" si="319"/>
        <v>45049</v>
      </c>
      <c r="F2844" s="473"/>
      <c r="G2844" s="290" t="s">
        <v>86</v>
      </c>
      <c r="H2844" s="291" t="str" cm="1">
        <f t="array" ref="H2844">IFERROR(INDEX(INVESTOR_LIST[INVESTOR NAME],MATCH(I2844,INVESTOR_LIST[INVESTOR CODE],0),)," ")</f>
        <v xml:space="preserve"> </v>
      </c>
      <c r="I2844" s="291"/>
      <c r="J2844" s="292" t="s">
        <v>174</v>
      </c>
      <c r="K2844" s="293"/>
      <c r="L2844" s="293">
        <v>84115.34</v>
      </c>
    </row>
    <row r="2845" spans="1:13" ht="11.25" customHeight="1" x14ac:dyDescent="0.2">
      <c r="A2845" s="280">
        <v>2023</v>
      </c>
      <c r="B2845" s="280">
        <v>5</v>
      </c>
      <c r="C2845" s="280">
        <v>3</v>
      </c>
      <c r="D2845" s="281">
        <f t="shared" si="318"/>
        <v>45049</v>
      </c>
      <c r="E2845" s="282">
        <f t="shared" si="319"/>
        <v>45049</v>
      </c>
      <c r="F2845" s="472" t="s">
        <v>1295</v>
      </c>
      <c r="G2845" s="283" t="s">
        <v>86</v>
      </c>
      <c r="H2845" s="284" t="str" cm="1">
        <f t="array" ref="H2845">IFERROR(INDEX(INVESTOR_LIST[INVESTOR NAME],MATCH(I2845,INVESTOR_LIST[INVESTOR CODE],0),)," ")</f>
        <v xml:space="preserve"> </v>
      </c>
      <c r="I2845" s="284"/>
      <c r="J2845" s="285" t="s">
        <v>131</v>
      </c>
      <c r="K2845" s="286">
        <v>16923.080000000002</v>
      </c>
      <c r="L2845" s="286"/>
    </row>
    <row r="2846" spans="1:13" ht="11.25" customHeight="1" x14ac:dyDescent="0.2">
      <c r="A2846" s="287">
        <v>2023</v>
      </c>
      <c r="B2846" s="287">
        <v>5</v>
      </c>
      <c r="C2846" s="287">
        <v>3</v>
      </c>
      <c r="D2846" s="288">
        <f t="shared" si="318"/>
        <v>45049</v>
      </c>
      <c r="E2846" s="289">
        <f t="shared" si="319"/>
        <v>45049</v>
      </c>
      <c r="F2846" s="473"/>
      <c r="G2846" s="290" t="s">
        <v>86</v>
      </c>
      <c r="H2846" s="291" t="str" cm="1">
        <f t="array" ref="H2846">IFERROR(INDEX(INVESTOR_LIST[INVESTOR NAME],MATCH(I2846,INVESTOR_LIST[INVESTOR CODE],0),)," ")</f>
        <v xml:space="preserve"> </v>
      </c>
      <c r="I2846" s="291"/>
      <c r="J2846" s="292" t="s">
        <v>174</v>
      </c>
      <c r="K2846" s="293"/>
      <c r="L2846" s="293">
        <v>16923.080000000002</v>
      </c>
    </row>
    <row r="2847" spans="1:13" ht="11.25" customHeight="1" x14ac:dyDescent="0.2">
      <c r="A2847" s="280">
        <v>2023</v>
      </c>
      <c r="B2847" s="280">
        <v>5</v>
      </c>
      <c r="C2847" s="280">
        <v>3</v>
      </c>
      <c r="D2847" s="281">
        <f t="shared" si="318"/>
        <v>45049</v>
      </c>
      <c r="E2847" s="282">
        <f t="shared" si="319"/>
        <v>45049</v>
      </c>
      <c r="F2847" s="472" t="s">
        <v>1294</v>
      </c>
      <c r="G2847" s="283" t="s">
        <v>86</v>
      </c>
      <c r="H2847" s="284" t="str" cm="1">
        <f t="array" ref="H2847">IFERROR(INDEX(INVESTOR_LIST[INVESTOR NAME],MATCH(I2847,INVESTOR_LIST[INVESTOR CODE],0),)," ")</f>
        <v xml:space="preserve"> </v>
      </c>
      <c r="I2847" s="284"/>
      <c r="J2847" s="285" t="s">
        <v>131</v>
      </c>
      <c r="K2847" s="286">
        <v>9711.5400000000009</v>
      </c>
      <c r="L2847" s="286"/>
    </row>
    <row r="2848" spans="1:13" ht="11.25" customHeight="1" x14ac:dyDescent="0.2">
      <c r="A2848" s="287">
        <v>2023</v>
      </c>
      <c r="B2848" s="287">
        <v>5</v>
      </c>
      <c r="C2848" s="287">
        <v>3</v>
      </c>
      <c r="D2848" s="288">
        <f t="shared" si="318"/>
        <v>45049</v>
      </c>
      <c r="E2848" s="289">
        <f t="shared" si="319"/>
        <v>45049</v>
      </c>
      <c r="F2848" s="473"/>
      <c r="G2848" s="290" t="s">
        <v>86</v>
      </c>
      <c r="H2848" s="291" t="str" cm="1">
        <f t="array" ref="H2848">IFERROR(INDEX(INVESTOR_LIST[INVESTOR NAME],MATCH(I2848,INVESTOR_LIST[INVESTOR CODE],0),)," ")</f>
        <v xml:space="preserve"> </v>
      </c>
      <c r="I2848" s="291"/>
      <c r="J2848" s="292" t="s">
        <v>174</v>
      </c>
      <c r="K2848" s="293"/>
      <c r="L2848" s="293">
        <v>9711.5400000000009</v>
      </c>
    </row>
    <row r="2849" spans="1:13" ht="11.25" customHeight="1" x14ac:dyDescent="0.2">
      <c r="A2849" s="236">
        <v>2023</v>
      </c>
      <c r="B2849" s="236">
        <v>5</v>
      </c>
      <c r="C2849" s="236">
        <v>3</v>
      </c>
      <c r="D2849" s="237">
        <f t="shared" si="318"/>
        <v>45049</v>
      </c>
      <c r="E2849" s="238">
        <f t="shared" si="319"/>
        <v>45049</v>
      </c>
      <c r="F2849" s="476" t="s">
        <v>1118</v>
      </c>
      <c r="G2849" s="239" t="s">
        <v>86</v>
      </c>
      <c r="H2849" s="239" t="str" cm="1">
        <f t="array" ref="H2849">IFERROR(INDEX(INVESTOR_LIST[INVESTOR NAME],MATCH(I2849,INVESTOR_LIST[INVESTOR CODE],0),)," ")</f>
        <v xml:space="preserve"> </v>
      </c>
      <c r="I2849" s="240"/>
      <c r="J2849" s="241" t="s">
        <v>98</v>
      </c>
      <c r="K2849" s="242">
        <v>662500</v>
      </c>
      <c r="L2849" s="242"/>
    </row>
    <row r="2850" spans="1:13" ht="11.25" customHeight="1" x14ac:dyDescent="0.2">
      <c r="A2850" s="243">
        <v>2023</v>
      </c>
      <c r="B2850" s="243">
        <v>5</v>
      </c>
      <c r="C2850" s="243">
        <v>3</v>
      </c>
      <c r="D2850" s="248">
        <f t="shared" si="318"/>
        <v>45049</v>
      </c>
      <c r="E2850" s="249">
        <f t="shared" si="319"/>
        <v>45049</v>
      </c>
      <c r="F2850" s="477"/>
      <c r="G2850" s="244" t="s">
        <v>86</v>
      </c>
      <c r="H2850" s="244" t="str" cm="1">
        <f t="array" ref="H2850">IFERROR(INDEX(INVESTOR_LIST[INVESTOR NAME],MATCH(I2850,INVESTOR_LIST[INVESTOR CODE],0),)," ")</f>
        <v xml:space="preserve"> </v>
      </c>
      <c r="I2850" s="245"/>
      <c r="J2850" s="246" t="s">
        <v>82</v>
      </c>
      <c r="K2850" s="247"/>
      <c r="L2850" s="247">
        <v>662500</v>
      </c>
    </row>
    <row r="2851" spans="1:13" ht="11.25" customHeight="1" x14ac:dyDescent="0.2">
      <c r="A2851" s="236">
        <v>2023</v>
      </c>
      <c r="B2851" s="236">
        <v>5</v>
      </c>
      <c r="C2851" s="236">
        <v>3</v>
      </c>
      <c r="D2851" s="237">
        <f t="shared" si="318"/>
        <v>45049</v>
      </c>
      <c r="E2851" s="238">
        <f t="shared" si="319"/>
        <v>45049</v>
      </c>
      <c r="F2851" s="476" t="s">
        <v>1120</v>
      </c>
      <c r="G2851" s="239" t="s">
        <v>86</v>
      </c>
      <c r="H2851" s="239" t="str" cm="1">
        <f t="array" ref="H2851">IFERROR(INDEX(INVESTOR_LIST[INVESTOR NAME],MATCH(I2851,INVESTOR_LIST[INVESTOR CODE],0),)," ")</f>
        <v xml:space="preserve"> </v>
      </c>
      <c r="I2851" s="240"/>
      <c r="J2851" s="241" t="s">
        <v>87</v>
      </c>
      <c r="K2851" s="242">
        <v>2747.2527472527472</v>
      </c>
      <c r="L2851" s="242"/>
    </row>
    <row r="2852" spans="1:13" ht="11.25" customHeight="1" x14ac:dyDescent="0.2">
      <c r="A2852" s="243">
        <v>2023</v>
      </c>
      <c r="B2852" s="243">
        <v>5</v>
      </c>
      <c r="C2852" s="243">
        <v>3</v>
      </c>
      <c r="D2852" s="248">
        <f t="shared" si="318"/>
        <v>45049</v>
      </c>
      <c r="E2852" s="249">
        <f t="shared" si="319"/>
        <v>45049</v>
      </c>
      <c r="F2852" s="477"/>
      <c r="G2852" s="244" t="s">
        <v>86</v>
      </c>
      <c r="H2852" s="244" t="str" cm="1">
        <f t="array" ref="H2852">IFERROR(INDEX(INVESTOR_LIST[INVESTOR NAME],MATCH(I2852,INVESTOR_LIST[INVESTOR CODE],0),)," ")</f>
        <v xml:space="preserve"> </v>
      </c>
      <c r="I2852" s="245"/>
      <c r="J2852" s="246" t="s">
        <v>64</v>
      </c>
      <c r="K2852" s="247"/>
      <c r="L2852" s="247">
        <v>2747.2527472527472</v>
      </c>
    </row>
    <row r="2853" spans="1:13" ht="11.25" customHeight="1" x14ac:dyDescent="0.2">
      <c r="A2853" s="236">
        <v>2023</v>
      </c>
      <c r="B2853" s="236">
        <v>5</v>
      </c>
      <c r="C2853" s="236">
        <v>3</v>
      </c>
      <c r="D2853" s="237">
        <f t="shared" si="318"/>
        <v>45049</v>
      </c>
      <c r="E2853" s="238">
        <f t="shared" si="319"/>
        <v>45049</v>
      </c>
      <c r="F2853" s="476" t="s">
        <v>1121</v>
      </c>
      <c r="G2853" s="239" t="s">
        <v>86</v>
      </c>
      <c r="H2853" s="239" t="str" cm="1">
        <f t="array" ref="H2853">IFERROR(INDEX(INVESTOR_LIST[INVESTOR NAME],MATCH(I2853,INVESTOR_LIST[INVESTOR CODE],0),)," ")</f>
        <v xml:space="preserve"> </v>
      </c>
      <c r="I2853" s="240"/>
      <c r="J2853" s="241" t="s">
        <v>89</v>
      </c>
      <c r="K2853" s="242">
        <v>36864.687984877055</v>
      </c>
      <c r="L2853" s="242"/>
    </row>
    <row r="2854" spans="1:13" ht="11.25" customHeight="1" x14ac:dyDescent="0.2">
      <c r="A2854" s="243">
        <v>2023</v>
      </c>
      <c r="B2854" s="243">
        <v>5</v>
      </c>
      <c r="C2854" s="243">
        <v>3</v>
      </c>
      <c r="D2854" s="248">
        <f t="shared" si="318"/>
        <v>45049</v>
      </c>
      <c r="E2854" s="249">
        <f t="shared" si="319"/>
        <v>45049</v>
      </c>
      <c r="F2854" s="477"/>
      <c r="G2854" s="244" t="s">
        <v>86</v>
      </c>
      <c r="H2854" s="244" t="str" cm="1">
        <f t="array" ref="H2854">IFERROR(INDEX(INVESTOR_LIST[INVESTOR NAME],MATCH(I2854,INVESTOR_LIST[INVESTOR CODE],0),)," ")</f>
        <v xml:space="preserve"> </v>
      </c>
      <c r="I2854" s="245"/>
      <c r="J2854" s="246" t="s">
        <v>50</v>
      </c>
      <c r="K2854" s="247"/>
      <c r="L2854" s="247">
        <v>36864.687984877055</v>
      </c>
    </row>
    <row r="2855" spans="1:13" ht="11.25" customHeight="1" x14ac:dyDescent="0.2">
      <c r="A2855" s="236">
        <v>2023</v>
      </c>
      <c r="B2855" s="236">
        <v>5</v>
      </c>
      <c r="C2855" s="236">
        <v>3</v>
      </c>
      <c r="D2855" s="237">
        <f t="shared" si="318"/>
        <v>45049</v>
      </c>
      <c r="E2855" s="238">
        <f t="shared" si="319"/>
        <v>45049</v>
      </c>
      <c r="F2855" s="476" t="s">
        <v>1122</v>
      </c>
      <c r="G2855" s="239" t="s">
        <v>86</v>
      </c>
      <c r="H2855" s="239" t="str" cm="1">
        <f t="array" ref="H2855">IFERROR(INDEX(INVESTOR_LIST[INVESTOR NAME],MATCH(I2855,INVESTOR_LIST[INVESTOR CODE],0),)," ")</f>
        <v xml:space="preserve"> </v>
      </c>
      <c r="I2855" s="240"/>
      <c r="J2855" s="241" t="s">
        <v>91</v>
      </c>
      <c r="K2855" s="242">
        <v>3686.468798487706</v>
      </c>
      <c r="L2855" s="242"/>
    </row>
    <row r="2856" spans="1:13" ht="11.25" customHeight="1" x14ac:dyDescent="0.2">
      <c r="A2856" s="243">
        <v>2023</v>
      </c>
      <c r="B2856" s="243">
        <v>5</v>
      </c>
      <c r="C2856" s="243">
        <v>3</v>
      </c>
      <c r="D2856" s="248">
        <f t="shared" si="318"/>
        <v>45049</v>
      </c>
      <c r="E2856" s="249">
        <f t="shared" si="319"/>
        <v>45049</v>
      </c>
      <c r="F2856" s="477"/>
      <c r="G2856" s="244" t="s">
        <v>86</v>
      </c>
      <c r="H2856" s="244" t="str" cm="1">
        <f t="array" ref="H2856">IFERROR(INDEX(INVESTOR_LIST[INVESTOR NAME],MATCH(I2856,INVESTOR_LIST[INVESTOR CODE],0),)," ")</f>
        <v xml:space="preserve"> </v>
      </c>
      <c r="I2856" s="245"/>
      <c r="J2856" s="246" t="s">
        <v>51</v>
      </c>
      <c r="K2856" s="247"/>
      <c r="L2856" s="247">
        <v>3686.468798487706</v>
      </c>
    </row>
    <row r="2857" spans="1:13" ht="11.25" customHeight="1" x14ac:dyDescent="0.2">
      <c r="A2857" s="221">
        <v>2023</v>
      </c>
      <c r="B2857" s="221">
        <v>5</v>
      </c>
      <c r="C2857" s="221">
        <v>7</v>
      </c>
      <c r="D2857" s="231">
        <f t="shared" si="318"/>
        <v>45053</v>
      </c>
      <c r="E2857" s="233">
        <f t="shared" ref="E2857:E2870" si="320">DATE(A2857,B2857,C2857)</f>
        <v>45053</v>
      </c>
      <c r="F2857" s="478" t="s">
        <v>1115</v>
      </c>
      <c r="G2857" s="222" t="s">
        <v>1111</v>
      </c>
      <c r="H2857" s="223" t="str" cm="1">
        <f t="array" ref="H2857">IFERROR(INDEX(INVESTOR_LIST[INVESTOR NAME],MATCH(I2857,INVESTOR_LIST[INVESTOR CODE],0),)," ")</f>
        <v>NAYEEMA TASNEEM</v>
      </c>
      <c r="I2857" s="223" t="s">
        <v>922</v>
      </c>
      <c r="J2857" s="224" t="s">
        <v>14</v>
      </c>
      <c r="K2857" s="225">
        <v>39250</v>
      </c>
      <c r="L2857" s="225"/>
    </row>
    <row r="2858" spans="1:13" ht="11.25" customHeight="1" x14ac:dyDescent="0.2">
      <c r="A2858" s="164">
        <v>2023</v>
      </c>
      <c r="B2858" s="164">
        <v>5</v>
      </c>
      <c r="C2858" s="164">
        <v>7</v>
      </c>
      <c r="D2858" s="156">
        <f t="shared" si="318"/>
        <v>45053</v>
      </c>
      <c r="E2858" s="235">
        <f t="shared" si="320"/>
        <v>45053</v>
      </c>
      <c r="F2858" s="480"/>
      <c r="G2858" s="208" t="s">
        <v>1111</v>
      </c>
      <c r="H2858" s="206" t="str" cm="1">
        <f t="array" ref="H2858">IFERROR(INDEX(INVESTOR_LIST[INVESTOR NAME],MATCH(I2858,INVESTOR_LIST[INVESTOR CODE],0),)," ")</f>
        <v>NAYEEMA TASNEEM</v>
      </c>
      <c r="I2858" s="206" t="s">
        <v>922</v>
      </c>
      <c r="J2858" s="165" t="s">
        <v>1112</v>
      </c>
      <c r="K2858" s="205">
        <v>750</v>
      </c>
    </row>
    <row r="2859" spans="1:13" ht="11.25" customHeight="1" x14ac:dyDescent="0.2">
      <c r="A2859" s="226">
        <v>2023</v>
      </c>
      <c r="B2859" s="226">
        <v>5</v>
      </c>
      <c r="C2859" s="226">
        <v>7</v>
      </c>
      <c r="D2859" s="232">
        <f t="shared" si="318"/>
        <v>45053</v>
      </c>
      <c r="E2859" s="234">
        <f t="shared" si="320"/>
        <v>45053</v>
      </c>
      <c r="F2859" s="479"/>
      <c r="G2859" s="227" t="s">
        <v>1111</v>
      </c>
      <c r="H2859" s="228" t="str" cm="1">
        <f t="array" ref="H2859">IFERROR(INDEX(INVESTOR_LIST[INVESTOR NAME],MATCH(I2859,INVESTOR_LIST[INVESTOR CODE],0),)," ")</f>
        <v>NAYEEMA TASNEEM</v>
      </c>
      <c r="I2859" s="228" t="s">
        <v>922</v>
      </c>
      <c r="J2859" s="229" t="s">
        <v>55</v>
      </c>
      <c r="K2859" s="230"/>
      <c r="L2859" s="230">
        <v>40000</v>
      </c>
    </row>
    <row r="2860" spans="1:13" ht="11.25" customHeight="1" x14ac:dyDescent="0.2">
      <c r="A2860" s="221">
        <v>2023</v>
      </c>
      <c r="B2860" s="221">
        <v>5</v>
      </c>
      <c r="C2860" s="221">
        <v>7</v>
      </c>
      <c r="D2860" s="231">
        <f t="shared" si="318"/>
        <v>45053</v>
      </c>
      <c r="E2860" s="233">
        <f>DATE(A2860,B2860,C2860)</f>
        <v>45053</v>
      </c>
      <c r="F2860" s="478" t="s">
        <v>1497</v>
      </c>
      <c r="G2860" s="222" t="s">
        <v>1111</v>
      </c>
      <c r="H2860" s="223" t="str" cm="1">
        <f t="array" ref="H2860">IFERROR(INDEX(INVESTOR_LIST[INVESTOR NAME],MATCH(I2860,INVESTOR_LIST[INVESTOR CODE],0),)," ")</f>
        <v xml:space="preserve"> </v>
      </c>
      <c r="I2860" s="223"/>
      <c r="J2860" s="224" t="s">
        <v>55</v>
      </c>
      <c r="K2860" s="225">
        <v>190656.2</v>
      </c>
      <c r="L2860" s="225"/>
    </row>
    <row r="2861" spans="1:13" ht="11.25" customHeight="1" x14ac:dyDescent="0.2">
      <c r="A2861" s="226">
        <v>2023</v>
      </c>
      <c r="B2861" s="226">
        <v>5</v>
      </c>
      <c r="C2861" s="226">
        <v>7</v>
      </c>
      <c r="D2861" s="232">
        <f t="shared" si="318"/>
        <v>45053</v>
      </c>
      <c r="E2861" s="234">
        <f>DATE(A2861,B2861,C2861)</f>
        <v>45053</v>
      </c>
      <c r="F2861" s="479"/>
      <c r="G2861" s="227" t="s">
        <v>1111</v>
      </c>
      <c r="H2861" s="228" t="str" cm="1">
        <f t="array" ref="H2861">IFERROR(INDEX(INVESTOR_LIST[INVESTOR NAME],MATCH(I2861,INVESTOR_LIST[INVESTOR CODE],0),)," ")</f>
        <v xml:space="preserve"> </v>
      </c>
      <c r="I2861" s="228"/>
      <c r="J2861" s="229" t="s">
        <v>199</v>
      </c>
      <c r="K2861" s="230"/>
      <c r="L2861" s="230">
        <v>190656.2</v>
      </c>
      <c r="M2861" s="166"/>
    </row>
    <row r="2862" spans="1:13" ht="11.25" customHeight="1" x14ac:dyDescent="0.2">
      <c r="A2862" s="221">
        <v>2023</v>
      </c>
      <c r="B2862" s="221">
        <v>5</v>
      </c>
      <c r="C2862" s="221">
        <v>8</v>
      </c>
      <c r="D2862" s="231">
        <f t="shared" si="318"/>
        <v>45054</v>
      </c>
      <c r="E2862" s="233">
        <f t="shared" si="320"/>
        <v>45054</v>
      </c>
      <c r="F2862" s="478" t="s">
        <v>1132</v>
      </c>
      <c r="G2862" s="222" t="s">
        <v>1111</v>
      </c>
      <c r="H2862" s="223" t="str" cm="1">
        <f t="array" ref="H2862">IFERROR(INDEX(INVESTOR_LIST[INVESTOR NAME],MATCH(I2862,INVESTOR_LIST[INVESTOR CODE],0),)," ")</f>
        <v xml:space="preserve"> </v>
      </c>
      <c r="I2862" s="223"/>
      <c r="J2862" s="224" t="s">
        <v>55</v>
      </c>
      <c r="K2862" s="167">
        <v>5000</v>
      </c>
      <c r="L2862" s="225"/>
    </row>
    <row r="2863" spans="1:13" ht="11.25" customHeight="1" x14ac:dyDescent="0.2">
      <c r="A2863" s="164">
        <v>2023</v>
      </c>
      <c r="B2863" s="164">
        <v>5</v>
      </c>
      <c r="C2863" s="164">
        <v>8</v>
      </c>
      <c r="D2863" s="156">
        <f t="shared" si="318"/>
        <v>45054</v>
      </c>
      <c r="E2863" s="235">
        <f t="shared" si="320"/>
        <v>45054</v>
      </c>
      <c r="F2863" s="480"/>
      <c r="G2863" s="208" t="s">
        <v>1111</v>
      </c>
      <c r="H2863" s="206" t="str" cm="1">
        <f t="array" ref="H2863">IFERROR(INDEX(INVESTOR_LIST[INVESTOR NAME],MATCH(I2863,INVESTOR_LIST[INVESTOR CODE],0),)," ")</f>
        <v xml:space="preserve"> </v>
      </c>
      <c r="J2863" s="165" t="s">
        <v>1112</v>
      </c>
      <c r="L2863" s="205">
        <v>90</v>
      </c>
    </row>
    <row r="2864" spans="1:13" ht="11.25" customHeight="1" x14ac:dyDescent="0.2">
      <c r="A2864" s="226">
        <v>2023</v>
      </c>
      <c r="B2864" s="226">
        <v>5</v>
      </c>
      <c r="C2864" s="226">
        <v>8</v>
      </c>
      <c r="D2864" s="232">
        <f t="shared" si="318"/>
        <v>45054</v>
      </c>
      <c r="E2864" s="234">
        <f t="shared" si="320"/>
        <v>45054</v>
      </c>
      <c r="F2864" s="479"/>
      <c r="G2864" s="227" t="s">
        <v>1111</v>
      </c>
      <c r="H2864" s="228" t="str" cm="1">
        <f t="array" ref="H2864">IFERROR(INDEX(INVESTOR_LIST[INVESTOR NAME],MATCH(I2864,INVESTOR_LIST[INVESTOR CODE],0),)," ")</f>
        <v xml:space="preserve"> </v>
      </c>
      <c r="I2864" s="228"/>
      <c r="J2864" s="229" t="s">
        <v>14</v>
      </c>
      <c r="K2864" s="230"/>
      <c r="L2864" s="230">
        <v>4910</v>
      </c>
    </row>
    <row r="2865" spans="1:13" ht="11.25" customHeight="1" x14ac:dyDescent="0.2">
      <c r="A2865" s="231">
        <v>2023</v>
      </c>
      <c r="B2865" s="231">
        <v>5</v>
      </c>
      <c r="C2865" s="231">
        <v>8</v>
      </c>
      <c r="D2865" s="221">
        <f t="shared" si="318"/>
        <v>45054</v>
      </c>
      <c r="E2865" s="233">
        <f t="shared" si="320"/>
        <v>45054</v>
      </c>
      <c r="F2865" s="478" t="s">
        <v>1498</v>
      </c>
      <c r="G2865" s="222" t="s">
        <v>1111</v>
      </c>
      <c r="H2865" s="222" t="str" cm="1">
        <f t="array" ref="H2865">IFERROR(INDEX(INVESTOR_LIST[INVESTOR NAME],MATCH(I2865,INVESTOR_LIST[INVESTOR CODE],0),)," ")</f>
        <v xml:space="preserve"> </v>
      </c>
      <c r="I2865" s="223"/>
      <c r="J2865" s="224" t="s">
        <v>50</v>
      </c>
      <c r="K2865" s="225">
        <v>801042</v>
      </c>
      <c r="L2865" s="225"/>
    </row>
    <row r="2866" spans="1:13" ht="11.25" customHeight="1" x14ac:dyDescent="0.2">
      <c r="A2866" s="232">
        <v>2023</v>
      </c>
      <c r="B2866" s="232">
        <v>5</v>
      </c>
      <c r="C2866" s="232">
        <v>8</v>
      </c>
      <c r="D2866" s="226">
        <f t="shared" si="318"/>
        <v>45054</v>
      </c>
      <c r="E2866" s="234">
        <f t="shared" si="320"/>
        <v>45054</v>
      </c>
      <c r="F2866" s="479"/>
      <c r="G2866" s="227" t="s">
        <v>1111</v>
      </c>
      <c r="H2866" s="227" t="str" cm="1">
        <f t="array" ref="H2866">IFERROR(INDEX(INVESTOR_LIST[INVESTOR NAME],MATCH(I2866,INVESTOR_LIST[INVESTOR CODE],0),)," ")</f>
        <v xml:space="preserve"> </v>
      </c>
      <c r="I2866" s="228"/>
      <c r="J2866" s="229" t="s">
        <v>55</v>
      </c>
      <c r="K2866" s="230"/>
      <c r="L2866" s="230">
        <v>801042</v>
      </c>
    </row>
    <row r="2867" spans="1:13" ht="11.25" customHeight="1" x14ac:dyDescent="0.2">
      <c r="A2867" s="221">
        <v>2023</v>
      </c>
      <c r="B2867" s="221">
        <v>5</v>
      </c>
      <c r="C2867" s="221">
        <v>8</v>
      </c>
      <c r="D2867" s="231">
        <f t="shared" si="318"/>
        <v>45054</v>
      </c>
      <c r="E2867" s="233">
        <f t="shared" si="320"/>
        <v>45054</v>
      </c>
      <c r="F2867" s="478" t="s">
        <v>1499</v>
      </c>
      <c r="G2867" s="222" t="s">
        <v>1111</v>
      </c>
      <c r="H2867" s="223" t="str" cm="1">
        <f t="array" ref="H2867">IFERROR(INDEX(INVESTOR_LIST[INVESTOR NAME],MATCH(I2867,INVESTOR_LIST[INVESTOR CODE],0),)," ")</f>
        <v xml:space="preserve"> </v>
      </c>
      <c r="I2867" s="223"/>
      <c r="J2867" s="224" t="s">
        <v>55</v>
      </c>
      <c r="K2867" s="225">
        <v>161500</v>
      </c>
      <c r="L2867" s="225"/>
    </row>
    <row r="2868" spans="1:13" ht="11.25" customHeight="1" x14ac:dyDescent="0.2">
      <c r="A2868" s="226">
        <v>2023</v>
      </c>
      <c r="B2868" s="226">
        <v>5</v>
      </c>
      <c r="C2868" s="226">
        <v>8</v>
      </c>
      <c r="D2868" s="232">
        <f t="shared" si="318"/>
        <v>45054</v>
      </c>
      <c r="E2868" s="234">
        <f t="shared" si="320"/>
        <v>45054</v>
      </c>
      <c r="F2868" s="479"/>
      <c r="G2868" s="227" t="s">
        <v>1111</v>
      </c>
      <c r="H2868" s="228" t="str" cm="1">
        <f t="array" ref="H2868">IFERROR(INDEX(INVESTOR_LIST[INVESTOR NAME],MATCH(I2868,INVESTOR_LIST[INVESTOR CODE],0),)," ")</f>
        <v xml:space="preserve"> </v>
      </c>
      <c r="I2868" s="228"/>
      <c r="J2868" s="229" t="s">
        <v>192</v>
      </c>
      <c r="K2868" s="230"/>
      <c r="L2868" s="230">
        <v>161500</v>
      </c>
    </row>
    <row r="2869" spans="1:13" ht="11.25" customHeight="1" x14ac:dyDescent="0.2">
      <c r="A2869" s="221">
        <v>2023</v>
      </c>
      <c r="B2869" s="221">
        <v>5</v>
      </c>
      <c r="C2869" s="221">
        <v>8</v>
      </c>
      <c r="D2869" s="231">
        <f t="shared" si="318"/>
        <v>45054</v>
      </c>
      <c r="E2869" s="233">
        <f t="shared" si="320"/>
        <v>45054</v>
      </c>
      <c r="F2869" s="478" t="s">
        <v>1114</v>
      </c>
      <c r="G2869" s="222" t="s">
        <v>1111</v>
      </c>
      <c r="H2869" s="223" t="str" cm="1">
        <f t="array" ref="H2869">IFERROR(INDEX(INVESTOR_LIST[INVESTOR NAME],MATCH(I2869,INVESTOR_LIST[INVESTOR CODE],0),)," ")</f>
        <v xml:space="preserve"> </v>
      </c>
      <c r="I2869" s="223"/>
      <c r="J2869" s="224" t="s">
        <v>63</v>
      </c>
      <c r="K2869" s="225">
        <v>10</v>
      </c>
      <c r="L2869" s="225"/>
    </row>
    <row r="2870" spans="1:13" ht="11.25" customHeight="1" x14ac:dyDescent="0.2">
      <c r="A2870" s="226">
        <v>2023</v>
      </c>
      <c r="B2870" s="226">
        <v>5</v>
      </c>
      <c r="C2870" s="226">
        <v>8</v>
      </c>
      <c r="D2870" s="232">
        <f t="shared" si="318"/>
        <v>45054</v>
      </c>
      <c r="E2870" s="234">
        <f t="shared" si="320"/>
        <v>45054</v>
      </c>
      <c r="F2870" s="479"/>
      <c r="G2870" s="227" t="s">
        <v>1111</v>
      </c>
      <c r="H2870" s="228" t="str" cm="1">
        <f t="array" ref="H2870">IFERROR(INDEX(INVESTOR_LIST[INVESTOR NAME],MATCH(I2870,INVESTOR_LIST[INVESTOR CODE],0),)," ")</f>
        <v xml:space="preserve"> </v>
      </c>
      <c r="I2870" s="228"/>
      <c r="J2870" s="229" t="s">
        <v>55</v>
      </c>
      <c r="K2870" s="230"/>
      <c r="L2870" s="230">
        <v>10</v>
      </c>
    </row>
    <row r="2871" spans="1:13" ht="11.25" customHeight="1" x14ac:dyDescent="0.2">
      <c r="A2871" s="221">
        <v>2023</v>
      </c>
      <c r="B2871" s="221">
        <v>5</v>
      </c>
      <c r="C2871" s="221">
        <v>10</v>
      </c>
      <c r="D2871" s="231">
        <f t="shared" si="318"/>
        <v>45056</v>
      </c>
      <c r="E2871" s="233">
        <f>DATE(A2871,B2871,C2871)</f>
        <v>45056</v>
      </c>
      <c r="F2871" s="478" t="s">
        <v>1511</v>
      </c>
      <c r="G2871" s="222" t="s">
        <v>1111</v>
      </c>
      <c r="H2871" s="222" t="str" cm="1">
        <f t="array" ref="H2871">IFERROR(INDEX(INVESTOR_LIST[INVESTOR NAME],MATCH(I2871,INVESTOR_LIST[INVESTOR CODE],0),)," ")</f>
        <v xml:space="preserve"> </v>
      </c>
      <c r="I2871" s="223"/>
      <c r="J2871" s="224" t="s">
        <v>196</v>
      </c>
      <c r="K2871" s="225">
        <v>2400000</v>
      </c>
      <c r="L2871" s="225"/>
      <c r="M2871" s="166"/>
    </row>
    <row r="2872" spans="1:13" ht="11.25" customHeight="1" x14ac:dyDescent="0.2">
      <c r="A2872" s="164">
        <v>2023</v>
      </c>
      <c r="B2872" s="164">
        <v>5</v>
      </c>
      <c r="C2872" s="164">
        <v>10</v>
      </c>
      <c r="D2872" s="164">
        <f t="shared" si="318"/>
        <v>45056</v>
      </c>
      <c r="E2872" s="235">
        <f>DATE(A2872,B2872,C2872)</f>
        <v>45056</v>
      </c>
      <c r="F2872" s="480"/>
      <c r="G2872" s="208" t="s">
        <v>1111</v>
      </c>
      <c r="H2872" s="208" t="str" cm="1">
        <f t="array" ref="H2872">IFERROR(INDEX(INVESTOR_LIST[INVESTOR NAME],MATCH(I2872,INVESTOR_LIST[INVESTOR CODE],0),)," ")</f>
        <v xml:space="preserve"> </v>
      </c>
      <c r="J2872" s="165" t="s">
        <v>63</v>
      </c>
      <c r="K2872" s="205">
        <v>115</v>
      </c>
      <c r="L2872" s="205"/>
    </row>
    <row r="2873" spans="1:13" ht="11.25" customHeight="1" x14ac:dyDescent="0.2">
      <c r="A2873" s="226">
        <v>2023</v>
      </c>
      <c r="B2873" s="226">
        <v>5</v>
      </c>
      <c r="C2873" s="226">
        <v>10</v>
      </c>
      <c r="D2873" s="226">
        <f t="shared" si="318"/>
        <v>45056</v>
      </c>
      <c r="E2873" s="234">
        <f>DATE(A2873,B2873,C2873)</f>
        <v>45056</v>
      </c>
      <c r="F2873" s="479"/>
      <c r="G2873" s="227" t="s">
        <v>1111</v>
      </c>
      <c r="H2873" s="228" t="str" cm="1">
        <f t="array" ref="H2873">IFERROR(INDEX(INVESTOR_LIST[INVESTOR NAME],MATCH(I2873,INVESTOR_LIST[INVESTOR CODE],0),)," ")</f>
        <v xml:space="preserve"> </v>
      </c>
      <c r="I2873" s="228"/>
      <c r="J2873" s="229" t="s">
        <v>55</v>
      </c>
      <c r="K2873" s="230"/>
      <c r="L2873" s="230">
        <v>2400115</v>
      </c>
    </row>
    <row r="2874" spans="1:13" ht="11.25" customHeight="1" x14ac:dyDescent="0.2">
      <c r="A2874" s="221">
        <v>2023</v>
      </c>
      <c r="B2874" s="221">
        <v>5</v>
      </c>
      <c r="C2874" s="221">
        <v>10</v>
      </c>
      <c r="D2874" s="221">
        <f t="shared" si="318"/>
        <v>45056</v>
      </c>
      <c r="E2874" s="233">
        <f t="shared" ref="E2874:E2879" si="321">DATE(A2874,B2874,C2874)</f>
        <v>45056</v>
      </c>
      <c r="F2874" s="478" t="s">
        <v>1496</v>
      </c>
      <c r="G2874" s="222" t="s">
        <v>86</v>
      </c>
      <c r="H2874" s="222" t="str" cm="1">
        <f t="array" ref="H2874">IFERROR(INDEX(INVESTOR_LIST[INVESTOR NAME],MATCH(I2874,INVESTOR_LIST[INVESTOR CODE],0),)," ")</f>
        <v xml:space="preserve"> </v>
      </c>
      <c r="I2874" s="223"/>
      <c r="J2874" s="165" t="s">
        <v>199</v>
      </c>
      <c r="K2874" s="225">
        <v>496105.4</v>
      </c>
      <c r="L2874" s="225"/>
    </row>
    <row r="2875" spans="1:13" ht="11.25" customHeight="1" x14ac:dyDescent="0.2">
      <c r="A2875" s="164">
        <v>2023</v>
      </c>
      <c r="B2875" s="164">
        <v>5</v>
      </c>
      <c r="C2875" s="164">
        <v>10</v>
      </c>
      <c r="D2875" s="164">
        <f t="shared" si="318"/>
        <v>45056</v>
      </c>
      <c r="E2875" s="235">
        <f t="shared" si="321"/>
        <v>45056</v>
      </c>
      <c r="F2875" s="480"/>
      <c r="G2875" s="208" t="s">
        <v>86</v>
      </c>
      <c r="H2875" s="208"/>
      <c r="J2875" s="165" t="s">
        <v>960</v>
      </c>
      <c r="K2875" s="205">
        <v>894.6</v>
      </c>
      <c r="L2875" s="205"/>
    </row>
    <row r="2876" spans="1:13" ht="11.25" customHeight="1" x14ac:dyDescent="0.2">
      <c r="A2876" s="164">
        <v>2023</v>
      </c>
      <c r="B2876" s="164">
        <v>5</v>
      </c>
      <c r="C2876" s="164">
        <v>10</v>
      </c>
      <c r="D2876" s="164">
        <f t="shared" si="318"/>
        <v>45056</v>
      </c>
      <c r="E2876" s="235">
        <f t="shared" si="321"/>
        <v>45056</v>
      </c>
      <c r="F2876" s="480"/>
      <c r="G2876" s="208" t="s">
        <v>86</v>
      </c>
      <c r="H2876" s="208"/>
      <c r="J2876" s="165" t="s">
        <v>200</v>
      </c>
      <c r="K2876" s="205"/>
      <c r="L2876" s="205">
        <v>197000</v>
      </c>
    </row>
    <row r="2877" spans="1:13" ht="11.25" customHeight="1" x14ac:dyDescent="0.2">
      <c r="A2877" s="226">
        <v>2023</v>
      </c>
      <c r="B2877" s="226">
        <v>5</v>
      </c>
      <c r="C2877" s="226">
        <v>10</v>
      </c>
      <c r="D2877" s="226">
        <f t="shared" si="318"/>
        <v>45056</v>
      </c>
      <c r="E2877" s="234">
        <f t="shared" si="321"/>
        <v>45056</v>
      </c>
      <c r="F2877" s="479"/>
      <c r="G2877" s="227" t="s">
        <v>86</v>
      </c>
      <c r="H2877" s="228" t="str" cm="1">
        <f t="array" ref="H2877">IFERROR(INDEX(INVESTOR_LIST[INVESTOR NAME],MATCH(I2877,INVESTOR_LIST[INVESTOR CODE],0),)," ")</f>
        <v xml:space="preserve"> </v>
      </c>
      <c r="I2877" s="228"/>
      <c r="J2877" s="229" t="s">
        <v>80</v>
      </c>
      <c r="K2877" s="230"/>
      <c r="L2877" s="230">
        <v>300000</v>
      </c>
    </row>
    <row r="2878" spans="1:13" ht="11.25" customHeight="1" x14ac:dyDescent="0.2">
      <c r="A2878" s="221">
        <v>2023</v>
      </c>
      <c r="B2878" s="221">
        <v>5</v>
      </c>
      <c r="C2878" s="221">
        <v>10</v>
      </c>
      <c r="D2878" s="231">
        <f t="shared" si="318"/>
        <v>45056</v>
      </c>
      <c r="E2878" s="233">
        <f t="shared" si="321"/>
        <v>45056</v>
      </c>
      <c r="F2878" s="478" t="s">
        <v>1514</v>
      </c>
      <c r="G2878" s="222" t="s">
        <v>1111</v>
      </c>
      <c r="H2878" s="223" t="str" cm="1">
        <f t="array" ref="H2878">IFERROR(INDEX(INVESTOR_LIST[INVESTOR NAME],MATCH(I2878,INVESTOR_LIST[INVESTOR CODE],0),)," ")</f>
        <v xml:space="preserve"> </v>
      </c>
      <c r="I2878" s="223"/>
      <c r="J2878" s="224" t="s">
        <v>192</v>
      </c>
      <c r="K2878" s="225">
        <v>350625</v>
      </c>
      <c r="L2878" s="225"/>
    </row>
    <row r="2879" spans="1:13" ht="11.25" customHeight="1" x14ac:dyDescent="0.2">
      <c r="A2879" s="226">
        <v>2023</v>
      </c>
      <c r="B2879" s="226">
        <v>5</v>
      </c>
      <c r="C2879" s="226">
        <v>10</v>
      </c>
      <c r="D2879" s="232">
        <f t="shared" si="318"/>
        <v>45056</v>
      </c>
      <c r="E2879" s="234">
        <f t="shared" si="321"/>
        <v>45056</v>
      </c>
      <c r="F2879" s="479"/>
      <c r="G2879" s="227" t="s">
        <v>1111</v>
      </c>
      <c r="H2879" s="228" t="str" cm="1">
        <f t="array" ref="H2879">IFERROR(INDEX(INVESTOR_LIST[INVESTOR NAME],MATCH(I2879,INVESTOR_LIST[INVESTOR CODE],0),)," ")</f>
        <v xml:space="preserve"> </v>
      </c>
      <c r="I2879" s="228"/>
      <c r="J2879" s="229" t="s">
        <v>191</v>
      </c>
      <c r="K2879" s="230"/>
      <c r="L2879" s="230">
        <v>350625</v>
      </c>
    </row>
    <row r="2880" spans="1:13" ht="11.25" customHeight="1" x14ac:dyDescent="0.2">
      <c r="A2880" s="280">
        <v>2023</v>
      </c>
      <c r="B2880" s="280">
        <v>5</v>
      </c>
      <c r="C2880" s="280">
        <v>11</v>
      </c>
      <c r="D2880" s="281">
        <f t="shared" si="318"/>
        <v>45057</v>
      </c>
      <c r="E2880" s="282">
        <f t="shared" ref="E2880:E2893" si="322">DATE(A2880,B2880,C2880)</f>
        <v>45057</v>
      </c>
      <c r="F2880" s="472" t="s">
        <v>1369</v>
      </c>
      <c r="G2880" s="283" t="s">
        <v>86</v>
      </c>
      <c r="H2880" s="284" t="str" cm="1">
        <f t="array" ref="H2880">IFERROR(INDEX(INVESTOR_LIST[INVESTOR NAME],MATCH(I2880,INVESTOR_LIST[INVESTOR CODE],0),)," ")</f>
        <v xml:space="preserve"> </v>
      </c>
      <c r="I2880" s="284"/>
      <c r="J2880" s="285" t="s">
        <v>131</v>
      </c>
      <c r="K2880" s="286">
        <v>84115.34</v>
      </c>
      <c r="L2880" s="286"/>
    </row>
    <row r="2881" spans="1:12" ht="11.25" customHeight="1" x14ac:dyDescent="0.2">
      <c r="A2881" s="287">
        <v>2023</v>
      </c>
      <c r="B2881" s="287">
        <v>5</v>
      </c>
      <c r="C2881" s="287">
        <v>11</v>
      </c>
      <c r="D2881" s="288">
        <f t="shared" si="318"/>
        <v>45057</v>
      </c>
      <c r="E2881" s="289">
        <f t="shared" si="322"/>
        <v>45057</v>
      </c>
      <c r="F2881" s="473"/>
      <c r="G2881" s="290" t="s">
        <v>86</v>
      </c>
      <c r="H2881" s="291" t="str" cm="1">
        <f t="array" ref="H2881">IFERROR(INDEX(INVESTOR_LIST[INVESTOR NAME],MATCH(I2881,INVESTOR_LIST[INVESTOR CODE],0),)," ")</f>
        <v xml:space="preserve"> </v>
      </c>
      <c r="I2881" s="291"/>
      <c r="J2881" s="292" t="s">
        <v>174</v>
      </c>
      <c r="K2881" s="293"/>
      <c r="L2881" s="293">
        <v>84115.34</v>
      </c>
    </row>
    <row r="2882" spans="1:12" ht="11.25" customHeight="1" x14ac:dyDescent="0.2">
      <c r="A2882" s="280">
        <v>2023</v>
      </c>
      <c r="B2882" s="280">
        <v>5</v>
      </c>
      <c r="C2882" s="280">
        <v>11</v>
      </c>
      <c r="D2882" s="281">
        <f t="shared" si="318"/>
        <v>45057</v>
      </c>
      <c r="E2882" s="282">
        <f t="shared" si="322"/>
        <v>45057</v>
      </c>
      <c r="F2882" s="472" t="s">
        <v>1295</v>
      </c>
      <c r="G2882" s="283" t="s">
        <v>86</v>
      </c>
      <c r="H2882" s="284" t="str" cm="1">
        <f t="array" ref="H2882">IFERROR(INDEX(INVESTOR_LIST[INVESTOR NAME],MATCH(I2882,INVESTOR_LIST[INVESTOR CODE],0),)," ")</f>
        <v xml:space="preserve"> </v>
      </c>
      <c r="I2882" s="284"/>
      <c r="J2882" s="285" t="s">
        <v>131</v>
      </c>
      <c r="K2882" s="286">
        <v>16923.080000000002</v>
      </c>
      <c r="L2882" s="286"/>
    </row>
    <row r="2883" spans="1:12" ht="11.25" customHeight="1" x14ac:dyDescent="0.2">
      <c r="A2883" s="287">
        <v>2023</v>
      </c>
      <c r="B2883" s="287">
        <v>5</v>
      </c>
      <c r="C2883" s="287">
        <v>11</v>
      </c>
      <c r="D2883" s="288">
        <f t="shared" si="318"/>
        <v>45057</v>
      </c>
      <c r="E2883" s="289">
        <f t="shared" si="322"/>
        <v>45057</v>
      </c>
      <c r="F2883" s="473"/>
      <c r="G2883" s="290" t="s">
        <v>86</v>
      </c>
      <c r="H2883" s="291" t="str" cm="1">
        <f t="array" ref="H2883">IFERROR(INDEX(INVESTOR_LIST[INVESTOR NAME],MATCH(I2883,INVESTOR_LIST[INVESTOR CODE],0),)," ")</f>
        <v xml:space="preserve"> </v>
      </c>
      <c r="I2883" s="291"/>
      <c r="J2883" s="292" t="s">
        <v>174</v>
      </c>
      <c r="K2883" s="293"/>
      <c r="L2883" s="293">
        <v>16923.080000000002</v>
      </c>
    </row>
    <row r="2884" spans="1:12" ht="11.25" customHeight="1" x14ac:dyDescent="0.2">
      <c r="A2884" s="280">
        <v>2023</v>
      </c>
      <c r="B2884" s="280">
        <v>5</v>
      </c>
      <c r="C2884" s="280">
        <v>11</v>
      </c>
      <c r="D2884" s="281">
        <f t="shared" si="318"/>
        <v>45057</v>
      </c>
      <c r="E2884" s="282">
        <f t="shared" si="322"/>
        <v>45057</v>
      </c>
      <c r="F2884" s="472" t="s">
        <v>1294</v>
      </c>
      <c r="G2884" s="283" t="s">
        <v>86</v>
      </c>
      <c r="H2884" s="284" t="str" cm="1">
        <f t="array" ref="H2884">IFERROR(INDEX(INVESTOR_LIST[INVESTOR NAME],MATCH(I2884,INVESTOR_LIST[INVESTOR CODE],0),)," ")</f>
        <v xml:space="preserve"> </v>
      </c>
      <c r="I2884" s="284"/>
      <c r="J2884" s="285" t="s">
        <v>131</v>
      </c>
      <c r="K2884" s="286">
        <v>9711.5400000000009</v>
      </c>
      <c r="L2884" s="286"/>
    </row>
    <row r="2885" spans="1:12" ht="11.25" customHeight="1" x14ac:dyDescent="0.2">
      <c r="A2885" s="287">
        <v>2023</v>
      </c>
      <c r="B2885" s="287">
        <v>5</v>
      </c>
      <c r="C2885" s="287">
        <v>11</v>
      </c>
      <c r="D2885" s="288">
        <f t="shared" si="318"/>
        <v>45057</v>
      </c>
      <c r="E2885" s="289">
        <f t="shared" si="322"/>
        <v>45057</v>
      </c>
      <c r="F2885" s="473"/>
      <c r="G2885" s="290" t="s">
        <v>86</v>
      </c>
      <c r="H2885" s="291" t="str" cm="1">
        <f t="array" ref="H2885">IFERROR(INDEX(INVESTOR_LIST[INVESTOR NAME],MATCH(I2885,INVESTOR_LIST[INVESTOR CODE],0),)," ")</f>
        <v xml:space="preserve"> </v>
      </c>
      <c r="I2885" s="291"/>
      <c r="J2885" s="292" t="s">
        <v>174</v>
      </c>
      <c r="K2885" s="293"/>
      <c r="L2885" s="293">
        <v>9711.5400000000009</v>
      </c>
    </row>
    <row r="2886" spans="1:12" ht="11.25" customHeight="1" x14ac:dyDescent="0.2">
      <c r="A2886" s="236">
        <v>2023</v>
      </c>
      <c r="B2886" s="236">
        <v>5</v>
      </c>
      <c r="C2886" s="236">
        <v>11</v>
      </c>
      <c r="D2886" s="237">
        <f t="shared" si="318"/>
        <v>45057</v>
      </c>
      <c r="E2886" s="238">
        <f t="shared" si="322"/>
        <v>45057</v>
      </c>
      <c r="F2886" s="476" t="s">
        <v>1118</v>
      </c>
      <c r="G2886" s="239" t="s">
        <v>86</v>
      </c>
      <c r="H2886" s="239" t="str" cm="1">
        <f t="array" ref="H2886">IFERROR(INDEX(INVESTOR_LIST[INVESTOR NAME],MATCH(I2886,INVESTOR_LIST[INVESTOR CODE],0),)," ")</f>
        <v xml:space="preserve"> </v>
      </c>
      <c r="I2886" s="240"/>
      <c r="J2886" s="241" t="s">
        <v>98</v>
      </c>
      <c r="K2886" s="242">
        <v>465182</v>
      </c>
      <c r="L2886" s="242"/>
    </row>
    <row r="2887" spans="1:12" ht="11.25" customHeight="1" x14ac:dyDescent="0.2">
      <c r="A2887" s="243">
        <v>2023</v>
      </c>
      <c r="B2887" s="243">
        <v>5</v>
      </c>
      <c r="C2887" s="243">
        <v>11</v>
      </c>
      <c r="D2887" s="248">
        <f t="shared" si="318"/>
        <v>45057</v>
      </c>
      <c r="E2887" s="249">
        <f t="shared" si="322"/>
        <v>45057</v>
      </c>
      <c r="F2887" s="477"/>
      <c r="G2887" s="244" t="s">
        <v>86</v>
      </c>
      <c r="H2887" s="244" t="str" cm="1">
        <f t="array" ref="H2887">IFERROR(INDEX(INVESTOR_LIST[INVESTOR NAME],MATCH(I2887,INVESTOR_LIST[INVESTOR CODE],0),)," ")</f>
        <v xml:space="preserve"> </v>
      </c>
      <c r="I2887" s="245"/>
      <c r="J2887" s="246" t="s">
        <v>82</v>
      </c>
      <c r="K2887" s="247"/>
      <c r="L2887" s="247">
        <v>465182</v>
      </c>
    </row>
    <row r="2888" spans="1:12" ht="11.25" customHeight="1" x14ac:dyDescent="0.2">
      <c r="A2888" s="236">
        <v>2023</v>
      </c>
      <c r="B2888" s="236">
        <v>5</v>
      </c>
      <c r="C2888" s="236">
        <v>11</v>
      </c>
      <c r="D2888" s="237">
        <f t="shared" si="318"/>
        <v>45057</v>
      </c>
      <c r="E2888" s="238">
        <f t="shared" si="322"/>
        <v>45057</v>
      </c>
      <c r="F2888" s="476" t="s">
        <v>1120</v>
      </c>
      <c r="G2888" s="239" t="s">
        <v>86</v>
      </c>
      <c r="H2888" s="239" t="str" cm="1">
        <f t="array" ref="H2888">IFERROR(INDEX(INVESTOR_LIST[INVESTOR NAME],MATCH(I2888,INVESTOR_LIST[INVESTOR CODE],0),)," ")</f>
        <v xml:space="preserve"> </v>
      </c>
      <c r="I2888" s="240"/>
      <c r="J2888" s="241" t="s">
        <v>87</v>
      </c>
      <c r="K2888" s="242">
        <v>2747.2527472527472</v>
      </c>
      <c r="L2888" s="242"/>
    </row>
    <row r="2889" spans="1:12" ht="11.25" customHeight="1" x14ac:dyDescent="0.2">
      <c r="A2889" s="243">
        <v>2023</v>
      </c>
      <c r="B2889" s="243">
        <v>5</v>
      </c>
      <c r="C2889" s="243">
        <v>11</v>
      </c>
      <c r="D2889" s="248">
        <f t="shared" ref="D2889:D2952" si="323">DATE(A2889,B2889,C2889)</f>
        <v>45057</v>
      </c>
      <c r="E2889" s="249">
        <f t="shared" si="322"/>
        <v>45057</v>
      </c>
      <c r="F2889" s="477"/>
      <c r="G2889" s="244" t="s">
        <v>86</v>
      </c>
      <c r="H2889" s="244" t="str" cm="1">
        <f t="array" ref="H2889">IFERROR(INDEX(INVESTOR_LIST[INVESTOR NAME],MATCH(I2889,INVESTOR_LIST[INVESTOR CODE],0),)," ")</f>
        <v xml:space="preserve"> </v>
      </c>
      <c r="I2889" s="245"/>
      <c r="J2889" s="246" t="s">
        <v>64</v>
      </c>
      <c r="K2889" s="247"/>
      <c r="L2889" s="247">
        <v>2747.2527472527472</v>
      </c>
    </row>
    <row r="2890" spans="1:12" ht="11.25" customHeight="1" x14ac:dyDescent="0.2">
      <c r="A2890" s="236">
        <v>2023</v>
      </c>
      <c r="B2890" s="236">
        <v>5</v>
      </c>
      <c r="C2890" s="236">
        <v>11</v>
      </c>
      <c r="D2890" s="237">
        <f t="shared" si="323"/>
        <v>45057</v>
      </c>
      <c r="E2890" s="238">
        <f t="shared" si="322"/>
        <v>45057</v>
      </c>
      <c r="F2890" s="476" t="s">
        <v>1121</v>
      </c>
      <c r="G2890" s="239" t="s">
        <v>86</v>
      </c>
      <c r="H2890" s="239" t="str" cm="1">
        <f t="array" ref="H2890">IFERROR(INDEX(INVESTOR_LIST[INVESTOR NAME],MATCH(I2890,INVESTOR_LIST[INVESTOR CODE],0),)," ")</f>
        <v xml:space="preserve"> </v>
      </c>
      <c r="I2890" s="240"/>
      <c r="J2890" s="241" t="s">
        <v>89</v>
      </c>
      <c r="K2890" s="242">
        <v>36968.678167659629</v>
      </c>
      <c r="L2890" s="242"/>
    </row>
    <row r="2891" spans="1:12" ht="11.25" customHeight="1" x14ac:dyDescent="0.2">
      <c r="A2891" s="243">
        <v>2023</v>
      </c>
      <c r="B2891" s="243">
        <v>5</v>
      </c>
      <c r="C2891" s="243">
        <v>11</v>
      </c>
      <c r="D2891" s="248">
        <f t="shared" si="323"/>
        <v>45057</v>
      </c>
      <c r="E2891" s="249">
        <f t="shared" si="322"/>
        <v>45057</v>
      </c>
      <c r="F2891" s="477"/>
      <c r="G2891" s="244" t="s">
        <v>86</v>
      </c>
      <c r="H2891" s="244" t="str" cm="1">
        <f t="array" ref="H2891">IFERROR(INDEX(INVESTOR_LIST[INVESTOR NAME],MATCH(I2891,INVESTOR_LIST[INVESTOR CODE],0),)," ")</f>
        <v xml:space="preserve"> </v>
      </c>
      <c r="I2891" s="245"/>
      <c r="J2891" s="246" t="s">
        <v>50</v>
      </c>
      <c r="K2891" s="247"/>
      <c r="L2891" s="247">
        <v>36968.678167659629</v>
      </c>
    </row>
    <row r="2892" spans="1:12" ht="11.25" customHeight="1" x14ac:dyDescent="0.2">
      <c r="A2892" s="236">
        <v>2023</v>
      </c>
      <c r="B2892" s="236">
        <v>5</v>
      </c>
      <c r="C2892" s="236">
        <v>11</v>
      </c>
      <c r="D2892" s="237">
        <f t="shared" si="323"/>
        <v>45057</v>
      </c>
      <c r="E2892" s="238">
        <f t="shared" si="322"/>
        <v>45057</v>
      </c>
      <c r="F2892" s="476" t="s">
        <v>1122</v>
      </c>
      <c r="G2892" s="239" t="s">
        <v>86</v>
      </c>
      <c r="H2892" s="239" t="str" cm="1">
        <f t="array" ref="H2892">IFERROR(INDEX(INVESTOR_LIST[INVESTOR NAME],MATCH(I2892,INVESTOR_LIST[INVESTOR CODE],0),)," ")</f>
        <v xml:space="preserve"> </v>
      </c>
      <c r="I2892" s="240"/>
      <c r="J2892" s="241" t="s">
        <v>91</v>
      </c>
      <c r="K2892" s="242">
        <v>3696.8678167659627</v>
      </c>
      <c r="L2892" s="242"/>
    </row>
    <row r="2893" spans="1:12" ht="11.25" customHeight="1" x14ac:dyDescent="0.2">
      <c r="A2893" s="243">
        <v>2023</v>
      </c>
      <c r="B2893" s="243">
        <v>5</v>
      </c>
      <c r="C2893" s="243">
        <v>11</v>
      </c>
      <c r="D2893" s="248">
        <f t="shared" si="323"/>
        <v>45057</v>
      </c>
      <c r="E2893" s="249">
        <f t="shared" si="322"/>
        <v>45057</v>
      </c>
      <c r="F2893" s="477"/>
      <c r="G2893" s="244" t="s">
        <v>86</v>
      </c>
      <c r="H2893" s="244" t="str" cm="1">
        <f t="array" ref="H2893">IFERROR(INDEX(INVESTOR_LIST[INVESTOR NAME],MATCH(I2893,INVESTOR_LIST[INVESTOR CODE],0),)," ")</f>
        <v xml:space="preserve"> </v>
      </c>
      <c r="I2893" s="245"/>
      <c r="J2893" s="246" t="s">
        <v>51</v>
      </c>
      <c r="K2893" s="247"/>
      <c r="L2893" s="247">
        <v>3696.8678167659627</v>
      </c>
    </row>
    <row r="2894" spans="1:12" ht="11.25" customHeight="1" x14ac:dyDescent="0.2">
      <c r="A2894" s="221">
        <v>2023</v>
      </c>
      <c r="B2894" s="221">
        <v>5</v>
      </c>
      <c r="C2894" s="221">
        <v>14</v>
      </c>
      <c r="D2894" s="231">
        <f t="shared" si="323"/>
        <v>45060</v>
      </c>
      <c r="E2894" s="233">
        <f>DATE(A2894,B2894,C2894)</f>
        <v>45060</v>
      </c>
      <c r="F2894" s="478" t="s">
        <v>1115</v>
      </c>
      <c r="G2894" s="222" t="s">
        <v>1111</v>
      </c>
      <c r="H2894" s="223" t="str" cm="1">
        <f t="array" ref="H2894">IFERROR(INDEX(INVESTOR_LIST[INVESTOR NAME],MATCH(I2894,INVESTOR_LIST[INVESTOR CODE],0),)," ")</f>
        <v>ASIF AHMED</v>
      </c>
      <c r="I2894" s="223" t="s">
        <v>379</v>
      </c>
      <c r="J2894" s="224" t="s">
        <v>14</v>
      </c>
      <c r="K2894" s="225">
        <v>150000</v>
      </c>
      <c r="L2894" s="225"/>
    </row>
    <row r="2895" spans="1:12" ht="11.25" customHeight="1" x14ac:dyDescent="0.2">
      <c r="A2895" s="164">
        <v>2023</v>
      </c>
      <c r="B2895" s="164">
        <v>5</v>
      </c>
      <c r="C2895" s="164">
        <v>14</v>
      </c>
      <c r="D2895" s="156">
        <f t="shared" si="323"/>
        <v>45060</v>
      </c>
      <c r="E2895" s="235">
        <f>DATE(A2895,B2895,C2895)</f>
        <v>45060</v>
      </c>
      <c r="F2895" s="480"/>
      <c r="G2895" s="208" t="s">
        <v>1111</v>
      </c>
      <c r="H2895" s="206" t="str" cm="1">
        <f t="array" ref="H2895">IFERROR(INDEX(INVESTOR_LIST[INVESTOR NAME],MATCH(I2895,INVESTOR_LIST[INVESTOR CODE],0),)," ")</f>
        <v>ASIF AHMED</v>
      </c>
      <c r="I2895" s="206" t="s">
        <v>379</v>
      </c>
      <c r="J2895" s="165" t="s">
        <v>1112</v>
      </c>
      <c r="K2895" s="205">
        <v>2865</v>
      </c>
    </row>
    <row r="2896" spans="1:12" ht="11.25" customHeight="1" x14ac:dyDescent="0.2">
      <c r="A2896" s="226">
        <v>2023</v>
      </c>
      <c r="B2896" s="226">
        <v>5</v>
      </c>
      <c r="C2896" s="226">
        <v>14</v>
      </c>
      <c r="D2896" s="232">
        <f t="shared" si="323"/>
        <v>45060</v>
      </c>
      <c r="E2896" s="234">
        <f>DATE(A2896,B2896,C2896)</f>
        <v>45060</v>
      </c>
      <c r="F2896" s="479"/>
      <c r="G2896" s="227" t="s">
        <v>1111</v>
      </c>
      <c r="H2896" s="228" t="str" cm="1">
        <f t="array" ref="H2896">IFERROR(INDEX(INVESTOR_LIST[INVESTOR NAME],MATCH(I2896,INVESTOR_LIST[INVESTOR CODE],0),)," ")</f>
        <v>ASIF AHMED</v>
      </c>
      <c r="I2896" s="228" t="s">
        <v>379</v>
      </c>
      <c r="J2896" s="229" t="s">
        <v>55</v>
      </c>
      <c r="K2896" s="230"/>
      <c r="L2896" s="230">
        <v>152865</v>
      </c>
    </row>
    <row r="2897" spans="1:13" ht="11.25" customHeight="1" x14ac:dyDescent="0.2">
      <c r="A2897" s="221">
        <v>2023</v>
      </c>
      <c r="B2897" s="221">
        <v>5</v>
      </c>
      <c r="C2897" s="221">
        <v>14</v>
      </c>
      <c r="D2897" s="231">
        <f t="shared" si="323"/>
        <v>45060</v>
      </c>
      <c r="E2897" s="233">
        <f>DATE(A2897,B2897,C2897)</f>
        <v>45060</v>
      </c>
      <c r="F2897" s="478" t="s">
        <v>1497</v>
      </c>
      <c r="G2897" s="222" t="s">
        <v>1111</v>
      </c>
      <c r="H2897" s="223" t="str" cm="1">
        <f t="array" ref="H2897">IFERROR(INDEX(INVESTOR_LIST[INVESTOR NAME],MATCH(I2897,INVESTOR_LIST[INVESTOR CODE],0),)," ")</f>
        <v xml:space="preserve"> </v>
      </c>
      <c r="I2897" s="223"/>
      <c r="J2897" s="224" t="s">
        <v>55</v>
      </c>
      <c r="K2897" s="225">
        <v>496105.4</v>
      </c>
      <c r="L2897" s="225"/>
    </row>
    <row r="2898" spans="1:13" ht="11.25" customHeight="1" x14ac:dyDescent="0.2">
      <c r="A2898" s="226">
        <v>2023</v>
      </c>
      <c r="B2898" s="226">
        <v>5</v>
      </c>
      <c r="C2898" s="226">
        <v>14</v>
      </c>
      <c r="D2898" s="232">
        <f t="shared" si="323"/>
        <v>45060</v>
      </c>
      <c r="E2898" s="234">
        <f>DATE(A2898,B2898,C2898)</f>
        <v>45060</v>
      </c>
      <c r="F2898" s="479"/>
      <c r="G2898" s="227" t="s">
        <v>1111</v>
      </c>
      <c r="H2898" s="228" t="str" cm="1">
        <f t="array" ref="H2898">IFERROR(INDEX(INVESTOR_LIST[INVESTOR NAME],MATCH(I2898,INVESTOR_LIST[INVESTOR CODE],0),)," ")</f>
        <v xml:space="preserve"> </v>
      </c>
      <c r="I2898" s="228"/>
      <c r="J2898" s="229" t="s">
        <v>199</v>
      </c>
      <c r="K2898" s="230"/>
      <c r="L2898" s="230">
        <v>496105.4</v>
      </c>
      <c r="M2898" s="166"/>
    </row>
    <row r="2899" spans="1:13" ht="11.25" customHeight="1" x14ac:dyDescent="0.2">
      <c r="A2899" s="221">
        <v>2023</v>
      </c>
      <c r="B2899" s="221">
        <v>5</v>
      </c>
      <c r="C2899" s="221">
        <v>15</v>
      </c>
      <c r="D2899" s="221">
        <f t="shared" si="323"/>
        <v>45061</v>
      </c>
      <c r="E2899" s="233">
        <f t="shared" ref="E2899:E2902" si="324">DATE(A2899,B2899,C2899)</f>
        <v>45061</v>
      </c>
      <c r="F2899" s="478" t="s">
        <v>1496</v>
      </c>
      <c r="G2899" s="222" t="s">
        <v>86</v>
      </c>
      <c r="H2899" s="222" t="str" cm="1">
        <f t="array" ref="H2899">IFERROR(INDEX(INVESTOR_LIST[INVESTOR NAME],MATCH(I2899,INVESTOR_LIST[INVESTOR CODE],0),)," ")</f>
        <v xml:space="preserve"> </v>
      </c>
      <c r="I2899" s="223"/>
      <c r="J2899" s="165" t="s">
        <v>199</v>
      </c>
      <c r="K2899" s="225">
        <v>726097.47</v>
      </c>
      <c r="L2899" s="225"/>
    </row>
    <row r="2900" spans="1:13" ht="11.25" customHeight="1" x14ac:dyDescent="0.2">
      <c r="A2900" s="164">
        <v>2023</v>
      </c>
      <c r="B2900" s="164">
        <v>5</v>
      </c>
      <c r="C2900" s="164">
        <v>15</v>
      </c>
      <c r="D2900" s="164">
        <f t="shared" si="323"/>
        <v>45061</v>
      </c>
      <c r="E2900" s="235">
        <f t="shared" si="324"/>
        <v>45061</v>
      </c>
      <c r="F2900" s="480"/>
      <c r="G2900" s="208" t="s">
        <v>86</v>
      </c>
      <c r="H2900" s="208"/>
      <c r="J2900" s="165" t="s">
        <v>960</v>
      </c>
      <c r="K2900" s="205">
        <v>1309.33</v>
      </c>
      <c r="L2900" s="205"/>
    </row>
    <row r="2901" spans="1:13" ht="11.25" customHeight="1" x14ac:dyDescent="0.2">
      <c r="A2901" s="164">
        <v>2023</v>
      </c>
      <c r="B2901" s="164">
        <v>5</v>
      </c>
      <c r="C2901" s="164">
        <v>15</v>
      </c>
      <c r="D2901" s="164">
        <f t="shared" si="323"/>
        <v>45061</v>
      </c>
      <c r="E2901" s="235">
        <f t="shared" si="324"/>
        <v>45061</v>
      </c>
      <c r="F2901" s="480"/>
      <c r="G2901" s="208" t="s">
        <v>86</v>
      </c>
      <c r="H2901" s="208"/>
      <c r="J2901" s="165" t="s">
        <v>200</v>
      </c>
      <c r="K2901" s="205"/>
      <c r="L2901" s="205">
        <v>227406.8</v>
      </c>
    </row>
    <row r="2902" spans="1:13" ht="11.25" customHeight="1" x14ac:dyDescent="0.2">
      <c r="A2902" s="226">
        <v>2023</v>
      </c>
      <c r="B2902" s="226">
        <v>5</v>
      </c>
      <c r="C2902" s="226">
        <v>15</v>
      </c>
      <c r="D2902" s="226">
        <f t="shared" si="323"/>
        <v>45061</v>
      </c>
      <c r="E2902" s="234">
        <f t="shared" si="324"/>
        <v>45061</v>
      </c>
      <c r="F2902" s="479"/>
      <c r="G2902" s="227" t="s">
        <v>86</v>
      </c>
      <c r="H2902" s="228" t="str" cm="1">
        <f t="array" ref="H2902">IFERROR(INDEX(INVESTOR_LIST[INVESTOR NAME],MATCH(I2902,INVESTOR_LIST[INVESTOR CODE],0),)," ")</f>
        <v xml:space="preserve"> </v>
      </c>
      <c r="I2902" s="228"/>
      <c r="J2902" s="229" t="s">
        <v>80</v>
      </c>
      <c r="K2902" s="230"/>
      <c r="L2902" s="230">
        <v>500000</v>
      </c>
    </row>
    <row r="2903" spans="1:13" ht="11.25" customHeight="1" x14ac:dyDescent="0.2">
      <c r="A2903" s="221">
        <v>2023</v>
      </c>
      <c r="B2903" s="221">
        <v>5</v>
      </c>
      <c r="C2903" s="221">
        <v>16</v>
      </c>
      <c r="D2903" s="231">
        <f t="shared" si="323"/>
        <v>45062</v>
      </c>
      <c r="E2903" s="233">
        <f>DATE(A2903,B2903,C2903)</f>
        <v>45062</v>
      </c>
      <c r="F2903" s="478" t="s">
        <v>1512</v>
      </c>
      <c r="G2903" s="222" t="s">
        <v>1111</v>
      </c>
      <c r="H2903" s="223" t="str" cm="1">
        <f t="array" ref="H2903">IFERROR(INDEX(INVESTOR_LIST[INVESTOR NAME],MATCH(I2903,INVESTOR_LIST[INVESTOR CODE],0),)," ")</f>
        <v xml:space="preserve"> </v>
      </c>
      <c r="I2903" s="223"/>
      <c r="J2903" s="224" t="s">
        <v>189</v>
      </c>
      <c r="K2903" s="225">
        <v>1575</v>
      </c>
      <c r="L2903" s="225"/>
    </row>
    <row r="2904" spans="1:13" ht="11.25" customHeight="1" x14ac:dyDescent="0.2">
      <c r="A2904" s="226">
        <v>2023</v>
      </c>
      <c r="B2904" s="226">
        <v>5</v>
      </c>
      <c r="C2904" s="226">
        <v>16</v>
      </c>
      <c r="D2904" s="232">
        <f t="shared" si="323"/>
        <v>45062</v>
      </c>
      <c r="E2904" s="234">
        <f>DATE(A2904,B2904,C2904)</f>
        <v>45062</v>
      </c>
      <c r="F2904" s="479"/>
      <c r="G2904" s="227" t="s">
        <v>1111</v>
      </c>
      <c r="H2904" s="228" t="str" cm="1">
        <f t="array" ref="H2904">IFERROR(INDEX(INVESTOR_LIST[INVESTOR NAME],MATCH(I2904,INVESTOR_LIST[INVESTOR CODE],0),)," ")</f>
        <v xml:space="preserve"> </v>
      </c>
      <c r="I2904" s="228"/>
      <c r="J2904" s="229" t="s">
        <v>55</v>
      </c>
      <c r="K2904" s="230"/>
      <c r="L2904" s="230">
        <v>1575</v>
      </c>
    </row>
    <row r="2905" spans="1:13" ht="11.25" customHeight="1" x14ac:dyDescent="0.2">
      <c r="A2905" s="221">
        <v>2023</v>
      </c>
      <c r="B2905" s="221">
        <v>5</v>
      </c>
      <c r="C2905" s="221">
        <v>16</v>
      </c>
      <c r="D2905" s="221">
        <f t="shared" si="323"/>
        <v>45062</v>
      </c>
      <c r="E2905" s="233">
        <f t="shared" ref="E2905:E2908" si="325">DATE(A2905,B2905,C2905)</f>
        <v>45062</v>
      </c>
      <c r="F2905" s="478" t="s">
        <v>1496</v>
      </c>
      <c r="G2905" s="222" t="s">
        <v>86</v>
      </c>
      <c r="H2905" s="222" t="str" cm="1">
        <f t="array" ref="H2905">IFERROR(INDEX(INVESTOR_LIST[INVESTOR NAME],MATCH(I2905,INVESTOR_LIST[INVESTOR CODE],0),)," ")</f>
        <v xml:space="preserve"> </v>
      </c>
      <c r="I2905" s="223"/>
      <c r="J2905" s="165" t="s">
        <v>199</v>
      </c>
      <c r="K2905" s="225">
        <v>1183865.2</v>
      </c>
      <c r="L2905" s="225"/>
    </row>
    <row r="2906" spans="1:13" ht="11.25" customHeight="1" x14ac:dyDescent="0.2">
      <c r="A2906" s="164">
        <v>2023</v>
      </c>
      <c r="B2906" s="164">
        <v>5</v>
      </c>
      <c r="C2906" s="164">
        <v>16</v>
      </c>
      <c r="D2906" s="164">
        <f t="shared" si="323"/>
        <v>45062</v>
      </c>
      <c r="E2906" s="235">
        <f t="shared" si="325"/>
        <v>45062</v>
      </c>
      <c r="F2906" s="480"/>
      <c r="G2906" s="208" t="s">
        <v>86</v>
      </c>
      <c r="H2906" s="208"/>
      <c r="J2906" s="165" t="s">
        <v>960</v>
      </c>
      <c r="K2906" s="205">
        <v>2134.8000000000002</v>
      </c>
      <c r="L2906" s="205"/>
    </row>
    <row r="2907" spans="1:13" ht="11.25" customHeight="1" x14ac:dyDescent="0.2">
      <c r="A2907" s="164">
        <v>2023</v>
      </c>
      <c r="B2907" s="164">
        <v>5</v>
      </c>
      <c r="C2907" s="164">
        <v>16</v>
      </c>
      <c r="D2907" s="164">
        <f t="shared" si="323"/>
        <v>45062</v>
      </c>
      <c r="E2907" s="235">
        <f t="shared" si="325"/>
        <v>45062</v>
      </c>
      <c r="F2907" s="480"/>
      <c r="G2907" s="208" t="s">
        <v>86</v>
      </c>
      <c r="H2907" s="208"/>
      <c r="J2907" s="165" t="s">
        <v>200</v>
      </c>
      <c r="K2907" s="205"/>
      <c r="L2907" s="205">
        <v>386000</v>
      </c>
    </row>
    <row r="2908" spans="1:13" ht="11.25" customHeight="1" x14ac:dyDescent="0.2">
      <c r="A2908" s="226">
        <v>2023</v>
      </c>
      <c r="B2908" s="226">
        <v>5</v>
      </c>
      <c r="C2908" s="226">
        <v>16</v>
      </c>
      <c r="D2908" s="226">
        <f t="shared" si="323"/>
        <v>45062</v>
      </c>
      <c r="E2908" s="234">
        <f t="shared" si="325"/>
        <v>45062</v>
      </c>
      <c r="F2908" s="479"/>
      <c r="G2908" s="227" t="s">
        <v>86</v>
      </c>
      <c r="H2908" s="228" t="str" cm="1">
        <f t="array" ref="H2908">IFERROR(INDEX(INVESTOR_LIST[INVESTOR NAME],MATCH(I2908,INVESTOR_LIST[INVESTOR CODE],0),)," ")</f>
        <v xml:space="preserve"> </v>
      </c>
      <c r="I2908" s="228"/>
      <c r="J2908" s="229" t="s">
        <v>80</v>
      </c>
      <c r="K2908" s="230"/>
      <c r="L2908" s="230">
        <v>800000</v>
      </c>
    </row>
    <row r="2909" spans="1:13" ht="11.25" customHeight="1" x14ac:dyDescent="0.2">
      <c r="A2909" s="221">
        <v>2023</v>
      </c>
      <c r="B2909" s="221">
        <v>5</v>
      </c>
      <c r="C2909" s="221">
        <v>17</v>
      </c>
      <c r="D2909" s="221">
        <f t="shared" si="323"/>
        <v>45063</v>
      </c>
      <c r="E2909" s="233">
        <f t="shared" ref="E2909:E2912" si="326">DATE(A2909,B2909,C2909)</f>
        <v>45063</v>
      </c>
      <c r="F2909" s="478" t="s">
        <v>1496</v>
      </c>
      <c r="G2909" s="222" t="s">
        <v>86</v>
      </c>
      <c r="H2909" s="222" t="str" cm="1">
        <f t="array" ref="H2909">IFERROR(INDEX(INVESTOR_LIST[INVESTOR NAME],MATCH(I2909,INVESTOR_LIST[INVESTOR CODE],0),)," ")</f>
        <v xml:space="preserve"> </v>
      </c>
      <c r="I2909" s="223"/>
      <c r="J2909" s="165" t="s">
        <v>199</v>
      </c>
      <c r="K2909" s="225">
        <v>527548.69999999995</v>
      </c>
      <c r="L2909" s="225"/>
    </row>
    <row r="2910" spans="1:13" ht="11.25" customHeight="1" x14ac:dyDescent="0.2">
      <c r="A2910" s="164">
        <v>2023</v>
      </c>
      <c r="B2910" s="164">
        <v>5</v>
      </c>
      <c r="C2910" s="164">
        <v>17</v>
      </c>
      <c r="D2910" s="164">
        <f t="shared" si="323"/>
        <v>45063</v>
      </c>
      <c r="E2910" s="235">
        <f t="shared" si="326"/>
        <v>45063</v>
      </c>
      <c r="F2910" s="480"/>
      <c r="G2910" s="208" t="s">
        <v>86</v>
      </c>
      <c r="H2910" s="208"/>
      <c r="J2910" s="165" t="s">
        <v>960</v>
      </c>
      <c r="K2910" s="205">
        <v>951.3</v>
      </c>
      <c r="L2910" s="205"/>
    </row>
    <row r="2911" spans="1:13" ht="11.25" customHeight="1" x14ac:dyDescent="0.2">
      <c r="A2911" s="164">
        <v>2023</v>
      </c>
      <c r="B2911" s="164">
        <v>5</v>
      </c>
      <c r="C2911" s="164">
        <v>17</v>
      </c>
      <c r="D2911" s="164">
        <f t="shared" si="323"/>
        <v>45063</v>
      </c>
      <c r="E2911" s="235">
        <f t="shared" si="326"/>
        <v>45063</v>
      </c>
      <c r="F2911" s="480"/>
      <c r="G2911" s="208" t="s">
        <v>86</v>
      </c>
      <c r="H2911" s="208"/>
      <c r="J2911" s="165" t="s">
        <v>200</v>
      </c>
      <c r="K2911" s="205"/>
      <c r="L2911" s="205">
        <v>178500</v>
      </c>
    </row>
    <row r="2912" spans="1:13" ht="11.25" customHeight="1" x14ac:dyDescent="0.2">
      <c r="A2912" s="226">
        <v>2023</v>
      </c>
      <c r="B2912" s="226">
        <v>5</v>
      </c>
      <c r="C2912" s="226">
        <v>17</v>
      </c>
      <c r="D2912" s="226">
        <f t="shared" si="323"/>
        <v>45063</v>
      </c>
      <c r="E2912" s="234">
        <f t="shared" si="326"/>
        <v>45063</v>
      </c>
      <c r="F2912" s="479"/>
      <c r="G2912" s="227" t="s">
        <v>86</v>
      </c>
      <c r="H2912" s="228" t="str" cm="1">
        <f t="array" ref="H2912">IFERROR(INDEX(INVESTOR_LIST[INVESTOR NAME],MATCH(I2912,INVESTOR_LIST[INVESTOR CODE],0),)," ")</f>
        <v xml:space="preserve"> </v>
      </c>
      <c r="I2912" s="228"/>
      <c r="J2912" s="229" t="s">
        <v>80</v>
      </c>
      <c r="K2912" s="230"/>
      <c r="L2912" s="230">
        <v>350000</v>
      </c>
    </row>
    <row r="2913" spans="1:13" ht="11.25" customHeight="1" x14ac:dyDescent="0.2">
      <c r="A2913" s="221">
        <v>2023</v>
      </c>
      <c r="B2913" s="221">
        <v>5</v>
      </c>
      <c r="C2913" s="221">
        <v>17</v>
      </c>
      <c r="D2913" s="231">
        <f t="shared" si="323"/>
        <v>45063</v>
      </c>
      <c r="E2913" s="233">
        <f t="shared" ref="E2913:E2918" si="327">DATE(A2913,B2913,C2913)</f>
        <v>45063</v>
      </c>
      <c r="F2913" s="478" t="s">
        <v>1497</v>
      </c>
      <c r="G2913" s="222" t="s">
        <v>1111</v>
      </c>
      <c r="H2913" s="223" t="str" cm="1">
        <f t="array" ref="H2913">IFERROR(INDEX(INVESTOR_LIST[INVESTOR NAME],MATCH(I2913,INVESTOR_LIST[INVESTOR CODE],0),)," ")</f>
        <v xml:space="preserve"> </v>
      </c>
      <c r="I2913" s="223"/>
      <c r="J2913" s="224" t="s">
        <v>55</v>
      </c>
      <c r="K2913" s="225">
        <v>726097.47</v>
      </c>
      <c r="L2913" s="225"/>
    </row>
    <row r="2914" spans="1:13" ht="11.25" customHeight="1" x14ac:dyDescent="0.2">
      <c r="A2914" s="226">
        <v>2023</v>
      </c>
      <c r="B2914" s="226">
        <v>5</v>
      </c>
      <c r="C2914" s="226">
        <v>17</v>
      </c>
      <c r="D2914" s="232">
        <f t="shared" si="323"/>
        <v>45063</v>
      </c>
      <c r="E2914" s="234">
        <f t="shared" si="327"/>
        <v>45063</v>
      </c>
      <c r="F2914" s="479"/>
      <c r="G2914" s="227" t="s">
        <v>1111</v>
      </c>
      <c r="H2914" s="228" t="str" cm="1">
        <f t="array" ref="H2914">IFERROR(INDEX(INVESTOR_LIST[INVESTOR NAME],MATCH(I2914,INVESTOR_LIST[INVESTOR CODE],0),)," ")</f>
        <v xml:space="preserve"> </v>
      </c>
      <c r="I2914" s="228"/>
      <c r="J2914" s="229" t="s">
        <v>199</v>
      </c>
      <c r="K2914" s="230"/>
      <c r="L2914" s="230">
        <v>726097.47</v>
      </c>
      <c r="M2914" s="166"/>
    </row>
    <row r="2915" spans="1:13" ht="11.25" customHeight="1" x14ac:dyDescent="0.2">
      <c r="A2915" s="221">
        <v>2023</v>
      </c>
      <c r="B2915" s="221">
        <v>5</v>
      </c>
      <c r="C2915" s="221">
        <v>18</v>
      </c>
      <c r="D2915" s="231">
        <f t="shared" si="323"/>
        <v>45064</v>
      </c>
      <c r="E2915" s="233">
        <f t="shared" si="327"/>
        <v>45064</v>
      </c>
      <c r="F2915" s="478" t="s">
        <v>1178</v>
      </c>
      <c r="G2915" s="222" t="s">
        <v>1111</v>
      </c>
      <c r="H2915" s="223" t="str" cm="1">
        <f t="array" ref="H2915">IFERROR(INDEX(INVESTOR_LIST[INVESTOR NAME],MATCH(I2915,INVESTOR_LIST[INVESTOR CODE],0),)," ")</f>
        <v xml:space="preserve"> </v>
      </c>
      <c r="I2915" s="223"/>
      <c r="J2915" s="224" t="s">
        <v>189</v>
      </c>
      <c r="K2915" s="225">
        <v>13750</v>
      </c>
      <c r="L2915" s="225"/>
    </row>
    <row r="2916" spans="1:13" ht="11.25" customHeight="1" x14ac:dyDescent="0.2">
      <c r="A2916" s="226">
        <v>2023</v>
      </c>
      <c r="B2916" s="226">
        <v>5</v>
      </c>
      <c r="C2916" s="226">
        <v>18</v>
      </c>
      <c r="D2916" s="232">
        <f t="shared" si="323"/>
        <v>45064</v>
      </c>
      <c r="E2916" s="234">
        <f t="shared" si="327"/>
        <v>45064</v>
      </c>
      <c r="F2916" s="479"/>
      <c r="G2916" s="227" t="s">
        <v>1111</v>
      </c>
      <c r="H2916" s="228" t="str" cm="1">
        <f t="array" ref="H2916">IFERROR(INDEX(INVESTOR_LIST[INVESTOR NAME],MATCH(I2916,INVESTOR_LIST[INVESTOR CODE],0),)," ")</f>
        <v xml:space="preserve"> </v>
      </c>
      <c r="I2916" s="228"/>
      <c r="J2916" s="229" t="s">
        <v>55</v>
      </c>
      <c r="K2916" s="230"/>
      <c r="L2916" s="230">
        <v>13750</v>
      </c>
    </row>
    <row r="2917" spans="1:13" ht="11.25" customHeight="1" x14ac:dyDescent="0.2">
      <c r="A2917" s="221">
        <v>2023</v>
      </c>
      <c r="B2917" s="221">
        <v>5</v>
      </c>
      <c r="C2917" s="221">
        <v>18</v>
      </c>
      <c r="D2917" s="231">
        <f t="shared" si="323"/>
        <v>45064</v>
      </c>
      <c r="E2917" s="233">
        <f t="shared" si="327"/>
        <v>45064</v>
      </c>
      <c r="F2917" s="478" t="s">
        <v>1497</v>
      </c>
      <c r="G2917" s="222" t="s">
        <v>1111</v>
      </c>
      <c r="H2917" s="223" t="str" cm="1">
        <f t="array" ref="H2917">IFERROR(INDEX(INVESTOR_LIST[INVESTOR NAME],MATCH(I2917,INVESTOR_LIST[INVESTOR CODE],0),)," ")</f>
        <v xml:space="preserve"> </v>
      </c>
      <c r="I2917" s="223"/>
      <c r="J2917" s="224" t="s">
        <v>55</v>
      </c>
      <c r="K2917" s="225">
        <v>1183865.2</v>
      </c>
      <c r="L2917" s="225"/>
    </row>
    <row r="2918" spans="1:13" ht="11.25" customHeight="1" x14ac:dyDescent="0.2">
      <c r="A2918" s="226">
        <v>2023</v>
      </c>
      <c r="B2918" s="226">
        <v>5</v>
      </c>
      <c r="C2918" s="226">
        <v>18</v>
      </c>
      <c r="D2918" s="232">
        <f t="shared" si="323"/>
        <v>45064</v>
      </c>
      <c r="E2918" s="234">
        <f t="shared" si="327"/>
        <v>45064</v>
      </c>
      <c r="F2918" s="479"/>
      <c r="G2918" s="227" t="s">
        <v>1111</v>
      </c>
      <c r="H2918" s="228" t="str" cm="1">
        <f t="array" ref="H2918">IFERROR(INDEX(INVESTOR_LIST[INVESTOR NAME],MATCH(I2918,INVESTOR_LIST[INVESTOR CODE],0),)," ")</f>
        <v xml:space="preserve"> </v>
      </c>
      <c r="I2918" s="228"/>
      <c r="J2918" s="229" t="s">
        <v>199</v>
      </c>
      <c r="K2918" s="230"/>
      <c r="L2918" s="230">
        <v>1183865.2</v>
      </c>
      <c r="M2918" s="166"/>
    </row>
    <row r="2919" spans="1:13" ht="11.25" customHeight="1" x14ac:dyDescent="0.2">
      <c r="A2919" s="221">
        <v>2023</v>
      </c>
      <c r="B2919" s="221">
        <v>5</v>
      </c>
      <c r="C2919" s="221">
        <v>18</v>
      </c>
      <c r="D2919" s="231">
        <f t="shared" si="323"/>
        <v>45064</v>
      </c>
      <c r="E2919" s="233">
        <f t="shared" ref="E2919:E2943" si="328">DATE(A2919,B2919,C2919)</f>
        <v>45064</v>
      </c>
      <c r="F2919" s="478" t="s">
        <v>1513</v>
      </c>
      <c r="G2919" s="222" t="s">
        <v>1111</v>
      </c>
      <c r="H2919" s="223" t="str" cm="1">
        <f t="array" ref="H2919">IFERROR(INDEX(INVESTOR_LIST[INVESTOR NAME],MATCH(I2919,INVESTOR_LIST[INVESTOR CODE],0),)," ")</f>
        <v xml:space="preserve"> </v>
      </c>
      <c r="I2919" s="223"/>
      <c r="J2919" s="224" t="s">
        <v>95</v>
      </c>
      <c r="K2919" s="225">
        <v>14.75</v>
      </c>
      <c r="L2919" s="225"/>
    </row>
    <row r="2920" spans="1:13" ht="11.25" customHeight="1" x14ac:dyDescent="0.2">
      <c r="A2920" s="226">
        <v>2023</v>
      </c>
      <c r="B2920" s="226">
        <v>5</v>
      </c>
      <c r="C2920" s="226">
        <v>18</v>
      </c>
      <c r="D2920" s="232">
        <f t="shared" si="323"/>
        <v>45064</v>
      </c>
      <c r="E2920" s="234">
        <f t="shared" si="328"/>
        <v>45064</v>
      </c>
      <c r="F2920" s="479"/>
      <c r="G2920" s="227" t="s">
        <v>1111</v>
      </c>
      <c r="H2920" s="228" t="str" cm="1">
        <f t="array" ref="H2920">IFERROR(INDEX(INVESTOR_LIST[INVESTOR NAME],MATCH(I2920,INVESTOR_LIST[INVESTOR CODE],0),)," ")</f>
        <v xml:space="preserve"> </v>
      </c>
      <c r="I2920" s="228"/>
      <c r="J2920" s="229" t="s">
        <v>55</v>
      </c>
      <c r="K2920" s="230"/>
      <c r="L2920" s="230">
        <v>14.75</v>
      </c>
    </row>
    <row r="2921" spans="1:13" ht="11.25" customHeight="1" x14ac:dyDescent="0.2">
      <c r="A2921" s="280">
        <v>2023</v>
      </c>
      <c r="B2921" s="280">
        <v>5</v>
      </c>
      <c r="C2921" s="280">
        <v>18</v>
      </c>
      <c r="D2921" s="281">
        <f t="shared" si="323"/>
        <v>45064</v>
      </c>
      <c r="E2921" s="282">
        <f t="shared" si="328"/>
        <v>45064</v>
      </c>
      <c r="F2921" s="472" t="s">
        <v>1369</v>
      </c>
      <c r="G2921" s="283" t="s">
        <v>86</v>
      </c>
      <c r="H2921" s="284" t="str" cm="1">
        <f t="array" ref="H2921">IFERROR(INDEX(INVESTOR_LIST[INVESTOR NAME],MATCH(I2921,INVESTOR_LIST[INVESTOR CODE],0),)," ")</f>
        <v xml:space="preserve"> </v>
      </c>
      <c r="I2921" s="284"/>
      <c r="J2921" s="285" t="s">
        <v>131</v>
      </c>
      <c r="K2921" s="286">
        <v>84115.34</v>
      </c>
      <c r="L2921" s="286"/>
    </row>
    <row r="2922" spans="1:13" ht="11.25" customHeight="1" x14ac:dyDescent="0.2">
      <c r="A2922" s="287">
        <v>2023</v>
      </c>
      <c r="B2922" s="287">
        <v>5</v>
      </c>
      <c r="C2922" s="287">
        <v>18</v>
      </c>
      <c r="D2922" s="288">
        <f t="shared" si="323"/>
        <v>45064</v>
      </c>
      <c r="E2922" s="289">
        <f t="shared" si="328"/>
        <v>45064</v>
      </c>
      <c r="F2922" s="473"/>
      <c r="G2922" s="290" t="s">
        <v>86</v>
      </c>
      <c r="H2922" s="291" t="str" cm="1">
        <f t="array" ref="H2922">IFERROR(INDEX(INVESTOR_LIST[INVESTOR NAME],MATCH(I2922,INVESTOR_LIST[INVESTOR CODE],0),)," ")</f>
        <v xml:space="preserve"> </v>
      </c>
      <c r="I2922" s="291"/>
      <c r="J2922" s="292" t="s">
        <v>174</v>
      </c>
      <c r="K2922" s="293"/>
      <c r="L2922" s="293">
        <v>84115.34</v>
      </c>
    </row>
    <row r="2923" spans="1:13" ht="11.25" customHeight="1" x14ac:dyDescent="0.2">
      <c r="A2923" s="280">
        <v>2023</v>
      </c>
      <c r="B2923" s="280">
        <v>5</v>
      </c>
      <c r="C2923" s="280">
        <v>18</v>
      </c>
      <c r="D2923" s="281">
        <f t="shared" si="323"/>
        <v>45064</v>
      </c>
      <c r="E2923" s="282">
        <f t="shared" si="328"/>
        <v>45064</v>
      </c>
      <c r="F2923" s="472" t="s">
        <v>1295</v>
      </c>
      <c r="G2923" s="283" t="s">
        <v>86</v>
      </c>
      <c r="H2923" s="284" t="str" cm="1">
        <f t="array" ref="H2923">IFERROR(INDEX(INVESTOR_LIST[INVESTOR NAME],MATCH(I2923,INVESTOR_LIST[INVESTOR CODE],0),)," ")</f>
        <v xml:space="preserve"> </v>
      </c>
      <c r="I2923" s="284"/>
      <c r="J2923" s="285" t="s">
        <v>131</v>
      </c>
      <c r="K2923" s="286">
        <v>16923.080000000002</v>
      </c>
      <c r="L2923" s="286"/>
    </row>
    <row r="2924" spans="1:13" ht="11.25" customHeight="1" x14ac:dyDescent="0.2">
      <c r="A2924" s="287">
        <v>2023</v>
      </c>
      <c r="B2924" s="287">
        <v>5</v>
      </c>
      <c r="C2924" s="287">
        <v>18</v>
      </c>
      <c r="D2924" s="288">
        <f t="shared" si="323"/>
        <v>45064</v>
      </c>
      <c r="E2924" s="289">
        <f t="shared" si="328"/>
        <v>45064</v>
      </c>
      <c r="F2924" s="473"/>
      <c r="G2924" s="290" t="s">
        <v>86</v>
      </c>
      <c r="H2924" s="291" t="str" cm="1">
        <f t="array" ref="H2924">IFERROR(INDEX(INVESTOR_LIST[INVESTOR NAME],MATCH(I2924,INVESTOR_LIST[INVESTOR CODE],0),)," ")</f>
        <v xml:space="preserve"> </v>
      </c>
      <c r="I2924" s="291"/>
      <c r="J2924" s="292" t="s">
        <v>174</v>
      </c>
      <c r="K2924" s="293"/>
      <c r="L2924" s="293">
        <v>16923.080000000002</v>
      </c>
    </row>
    <row r="2925" spans="1:13" ht="11.25" customHeight="1" x14ac:dyDescent="0.2">
      <c r="A2925" s="280">
        <v>2023</v>
      </c>
      <c r="B2925" s="280">
        <v>5</v>
      </c>
      <c r="C2925" s="280">
        <v>18</v>
      </c>
      <c r="D2925" s="281">
        <f t="shared" si="323"/>
        <v>45064</v>
      </c>
      <c r="E2925" s="282">
        <f t="shared" si="328"/>
        <v>45064</v>
      </c>
      <c r="F2925" s="472" t="s">
        <v>1294</v>
      </c>
      <c r="G2925" s="283" t="s">
        <v>86</v>
      </c>
      <c r="H2925" s="284" t="str" cm="1">
        <f t="array" ref="H2925">IFERROR(INDEX(INVESTOR_LIST[INVESTOR NAME],MATCH(I2925,INVESTOR_LIST[INVESTOR CODE],0),)," ")</f>
        <v xml:space="preserve"> </v>
      </c>
      <c r="I2925" s="284"/>
      <c r="J2925" s="285" t="s">
        <v>131</v>
      </c>
      <c r="K2925" s="286">
        <v>9711.5400000000009</v>
      </c>
      <c r="L2925" s="286"/>
    </row>
    <row r="2926" spans="1:13" ht="11.25" customHeight="1" x14ac:dyDescent="0.2">
      <c r="A2926" s="287">
        <v>2023</v>
      </c>
      <c r="B2926" s="287">
        <v>5</v>
      </c>
      <c r="C2926" s="287">
        <v>18</v>
      </c>
      <c r="D2926" s="288">
        <f t="shared" si="323"/>
        <v>45064</v>
      </c>
      <c r="E2926" s="289">
        <f t="shared" si="328"/>
        <v>45064</v>
      </c>
      <c r="F2926" s="473"/>
      <c r="G2926" s="290" t="s">
        <v>86</v>
      </c>
      <c r="H2926" s="291" t="str" cm="1">
        <f t="array" ref="H2926">IFERROR(INDEX(INVESTOR_LIST[INVESTOR NAME],MATCH(I2926,INVESTOR_LIST[INVESTOR CODE],0),)," ")</f>
        <v xml:space="preserve"> </v>
      </c>
      <c r="I2926" s="291"/>
      <c r="J2926" s="292" t="s">
        <v>174</v>
      </c>
      <c r="K2926" s="293"/>
      <c r="L2926" s="293">
        <v>9711.5400000000009</v>
      </c>
    </row>
    <row r="2927" spans="1:13" ht="11.25" customHeight="1" x14ac:dyDescent="0.2">
      <c r="A2927" s="236">
        <v>2023</v>
      </c>
      <c r="B2927" s="236">
        <v>5</v>
      </c>
      <c r="C2927" s="236">
        <v>18</v>
      </c>
      <c r="D2927" s="237">
        <f t="shared" si="323"/>
        <v>45064</v>
      </c>
      <c r="E2927" s="238">
        <f t="shared" si="328"/>
        <v>45064</v>
      </c>
      <c r="F2927" s="476" t="s">
        <v>1118</v>
      </c>
      <c r="G2927" s="239" t="s">
        <v>86</v>
      </c>
      <c r="H2927" s="239" t="str" cm="1">
        <f t="array" ref="H2927">IFERROR(INDEX(INVESTOR_LIST[INVESTOR NAME],MATCH(I2927,INVESTOR_LIST[INVESTOR CODE],0),)," ")</f>
        <v xml:space="preserve"> </v>
      </c>
      <c r="I2927" s="240"/>
      <c r="J2927" s="241" t="s">
        <v>82</v>
      </c>
      <c r="K2927" s="242">
        <v>1068448.799999997</v>
      </c>
      <c r="L2927" s="242"/>
    </row>
    <row r="2928" spans="1:13" ht="11.25" customHeight="1" x14ac:dyDescent="0.2">
      <c r="A2928" s="243">
        <v>2023</v>
      </c>
      <c r="B2928" s="243">
        <v>5</v>
      </c>
      <c r="C2928" s="243">
        <v>18</v>
      </c>
      <c r="D2928" s="248">
        <f t="shared" si="323"/>
        <v>45064</v>
      </c>
      <c r="E2928" s="249">
        <f t="shared" si="328"/>
        <v>45064</v>
      </c>
      <c r="F2928" s="477"/>
      <c r="G2928" s="244" t="s">
        <v>86</v>
      </c>
      <c r="H2928" s="244" t="str" cm="1">
        <f t="array" ref="H2928">IFERROR(INDEX(INVESTOR_LIST[INVESTOR NAME],MATCH(I2928,INVESTOR_LIST[INVESTOR CODE],0),)," ")</f>
        <v xml:space="preserve"> </v>
      </c>
      <c r="I2928" s="245"/>
      <c r="J2928" s="246" t="s">
        <v>98</v>
      </c>
      <c r="K2928" s="247"/>
      <c r="L2928" s="247">
        <v>1068448.799999997</v>
      </c>
    </row>
    <row r="2929" spans="1:13" ht="11.25" customHeight="1" x14ac:dyDescent="0.2">
      <c r="A2929" s="236">
        <v>2023</v>
      </c>
      <c r="B2929" s="236">
        <v>5</v>
      </c>
      <c r="C2929" s="236">
        <v>18</v>
      </c>
      <c r="D2929" s="237">
        <f t="shared" si="323"/>
        <v>45064</v>
      </c>
      <c r="E2929" s="238">
        <f t="shared" si="328"/>
        <v>45064</v>
      </c>
      <c r="F2929" s="476" t="s">
        <v>1120</v>
      </c>
      <c r="G2929" s="239" t="s">
        <v>86</v>
      </c>
      <c r="H2929" s="239" t="str" cm="1">
        <f t="array" ref="H2929">IFERROR(INDEX(INVESTOR_LIST[INVESTOR NAME],MATCH(I2929,INVESTOR_LIST[INVESTOR CODE],0),)," ")</f>
        <v xml:space="preserve"> </v>
      </c>
      <c r="I2929" s="240"/>
      <c r="J2929" s="241" t="s">
        <v>87</v>
      </c>
      <c r="K2929" s="242">
        <v>2747.2527472527472</v>
      </c>
      <c r="L2929" s="242"/>
    </row>
    <row r="2930" spans="1:13" ht="11.25" customHeight="1" x14ac:dyDescent="0.2">
      <c r="A2930" s="243">
        <v>2023</v>
      </c>
      <c r="B2930" s="243">
        <v>5</v>
      </c>
      <c r="C2930" s="243">
        <v>18</v>
      </c>
      <c r="D2930" s="248">
        <f t="shared" si="323"/>
        <v>45064</v>
      </c>
      <c r="E2930" s="249">
        <f t="shared" si="328"/>
        <v>45064</v>
      </c>
      <c r="F2930" s="477"/>
      <c r="G2930" s="244" t="s">
        <v>86</v>
      </c>
      <c r="H2930" s="244" t="str" cm="1">
        <f t="array" ref="H2930">IFERROR(INDEX(INVESTOR_LIST[INVESTOR NAME],MATCH(I2930,INVESTOR_LIST[INVESTOR CODE],0),)," ")</f>
        <v xml:space="preserve"> </v>
      </c>
      <c r="I2930" s="245"/>
      <c r="J2930" s="246" t="s">
        <v>64</v>
      </c>
      <c r="K2930" s="247"/>
      <c r="L2930" s="247">
        <v>2747.2527472527472</v>
      </c>
    </row>
    <row r="2931" spans="1:13" ht="11.25" customHeight="1" x14ac:dyDescent="0.2">
      <c r="A2931" s="236">
        <v>2023</v>
      </c>
      <c r="B2931" s="236">
        <v>5</v>
      </c>
      <c r="C2931" s="236">
        <v>18</v>
      </c>
      <c r="D2931" s="237">
        <f t="shared" si="323"/>
        <v>45064</v>
      </c>
      <c r="E2931" s="238">
        <f t="shared" si="328"/>
        <v>45064</v>
      </c>
      <c r="F2931" s="476" t="s">
        <v>1121</v>
      </c>
      <c r="G2931" s="239" t="s">
        <v>86</v>
      </c>
      <c r="H2931" s="239" t="str" cm="1">
        <f t="array" ref="H2931">IFERROR(INDEX(INVESTOR_LIST[INVESTOR NAME],MATCH(I2931,INVESTOR_LIST[INVESTOR CODE],0),)," ")</f>
        <v xml:space="preserve"> </v>
      </c>
      <c r="I2931" s="240"/>
      <c r="J2931" s="241" t="s">
        <v>89</v>
      </c>
      <c r="K2931" s="242">
        <v>36992.079125595847</v>
      </c>
      <c r="L2931" s="242"/>
    </row>
    <row r="2932" spans="1:13" ht="11.25" customHeight="1" x14ac:dyDescent="0.2">
      <c r="A2932" s="243">
        <v>2023</v>
      </c>
      <c r="B2932" s="243">
        <v>5</v>
      </c>
      <c r="C2932" s="243">
        <v>18</v>
      </c>
      <c r="D2932" s="248">
        <f t="shared" si="323"/>
        <v>45064</v>
      </c>
      <c r="E2932" s="249">
        <f t="shared" si="328"/>
        <v>45064</v>
      </c>
      <c r="F2932" s="477"/>
      <c r="G2932" s="244" t="s">
        <v>86</v>
      </c>
      <c r="H2932" s="244" t="str" cm="1">
        <f t="array" ref="H2932">IFERROR(INDEX(INVESTOR_LIST[INVESTOR NAME],MATCH(I2932,INVESTOR_LIST[INVESTOR CODE],0),)," ")</f>
        <v xml:space="preserve"> </v>
      </c>
      <c r="I2932" s="245"/>
      <c r="J2932" s="246" t="s">
        <v>50</v>
      </c>
      <c r="K2932" s="247"/>
      <c r="L2932" s="247">
        <v>36992.079125595847</v>
      </c>
    </row>
    <row r="2933" spans="1:13" ht="11.25" customHeight="1" x14ac:dyDescent="0.2">
      <c r="A2933" s="236">
        <v>2023</v>
      </c>
      <c r="B2933" s="236">
        <v>5</v>
      </c>
      <c r="C2933" s="236">
        <v>18</v>
      </c>
      <c r="D2933" s="237">
        <f t="shared" si="323"/>
        <v>45064</v>
      </c>
      <c r="E2933" s="238">
        <f t="shared" si="328"/>
        <v>45064</v>
      </c>
      <c r="F2933" s="476" t="s">
        <v>1122</v>
      </c>
      <c r="G2933" s="239" t="s">
        <v>86</v>
      </c>
      <c r="H2933" s="239" t="str" cm="1">
        <f t="array" ref="H2933">IFERROR(INDEX(INVESTOR_LIST[INVESTOR NAME],MATCH(I2933,INVESTOR_LIST[INVESTOR CODE],0),)," ")</f>
        <v xml:space="preserve"> </v>
      </c>
      <c r="I2933" s="240"/>
      <c r="J2933" s="241" t="s">
        <v>91</v>
      </c>
      <c r="K2933" s="242">
        <v>3699.2079125595847</v>
      </c>
      <c r="L2933" s="242"/>
    </row>
    <row r="2934" spans="1:13" ht="11.25" customHeight="1" x14ac:dyDescent="0.2">
      <c r="A2934" s="243">
        <v>2023</v>
      </c>
      <c r="B2934" s="243">
        <v>5</v>
      </c>
      <c r="C2934" s="243">
        <v>18</v>
      </c>
      <c r="D2934" s="248">
        <f t="shared" si="323"/>
        <v>45064</v>
      </c>
      <c r="E2934" s="249">
        <f t="shared" si="328"/>
        <v>45064</v>
      </c>
      <c r="F2934" s="477"/>
      <c r="G2934" s="244" t="s">
        <v>86</v>
      </c>
      <c r="H2934" s="244" t="str" cm="1">
        <f t="array" ref="H2934">IFERROR(INDEX(INVESTOR_LIST[INVESTOR NAME],MATCH(I2934,INVESTOR_LIST[INVESTOR CODE],0),)," ")</f>
        <v xml:space="preserve"> </v>
      </c>
      <c r="I2934" s="245"/>
      <c r="J2934" s="246" t="s">
        <v>51</v>
      </c>
      <c r="K2934" s="247"/>
      <c r="L2934" s="247">
        <v>3699.2079125595847</v>
      </c>
    </row>
    <row r="2935" spans="1:13" ht="11.25" customHeight="1" x14ac:dyDescent="0.2">
      <c r="A2935" s="221">
        <v>2023</v>
      </c>
      <c r="B2935" s="221">
        <v>5</v>
      </c>
      <c r="C2935" s="221">
        <v>21</v>
      </c>
      <c r="D2935" s="221">
        <f t="shared" si="323"/>
        <v>45067</v>
      </c>
      <c r="E2935" s="233">
        <f t="shared" si="328"/>
        <v>45067</v>
      </c>
      <c r="F2935" s="478" t="s">
        <v>1515</v>
      </c>
      <c r="G2935" s="222" t="s">
        <v>1111</v>
      </c>
      <c r="H2935" s="222" t="str" cm="1">
        <f t="array" ref="H2935">IFERROR(INDEX(INVESTOR_LIST[INVESTOR NAME],MATCH(I2935,INVESTOR_LIST[INVESTOR CODE],0),)," ")</f>
        <v xml:space="preserve"> </v>
      </c>
      <c r="I2935" s="223"/>
      <c r="J2935" s="224" t="s">
        <v>80</v>
      </c>
      <c r="K2935" s="225">
        <v>48030</v>
      </c>
      <c r="L2935" s="225"/>
    </row>
    <row r="2936" spans="1:13" ht="11.25" customHeight="1" x14ac:dyDescent="0.2">
      <c r="A2936" s="164">
        <v>2023</v>
      </c>
      <c r="B2936" s="164">
        <v>5</v>
      </c>
      <c r="C2936" s="164">
        <v>21</v>
      </c>
      <c r="D2936" s="164">
        <f t="shared" si="323"/>
        <v>45067</v>
      </c>
      <c r="E2936" s="235">
        <f t="shared" si="328"/>
        <v>45067</v>
      </c>
      <c r="F2936" s="480"/>
      <c r="G2936" s="208" t="s">
        <v>1111</v>
      </c>
      <c r="H2936" s="208" t="str" cm="1">
        <f t="array" ref="H2936">IFERROR(INDEX(INVESTOR_LIST[INVESTOR NAME],MATCH(I2936,INVESTOR_LIST[INVESTOR CODE],0),)," ")</f>
        <v xml:space="preserve"> </v>
      </c>
      <c r="J2936" s="165" t="s">
        <v>55</v>
      </c>
      <c r="K2936" s="205">
        <v>2351970</v>
      </c>
      <c r="L2936" s="205"/>
      <c r="M2936" s="166"/>
    </row>
    <row r="2937" spans="1:13" ht="11.25" customHeight="1" x14ac:dyDescent="0.2">
      <c r="A2937" s="226">
        <v>2023</v>
      </c>
      <c r="B2937" s="226">
        <v>5</v>
      </c>
      <c r="C2937" s="226">
        <v>21</v>
      </c>
      <c r="D2937" s="226">
        <f t="shared" si="323"/>
        <v>45067</v>
      </c>
      <c r="E2937" s="234">
        <f t="shared" si="328"/>
        <v>45067</v>
      </c>
      <c r="F2937" s="479"/>
      <c r="G2937" s="227" t="s">
        <v>1111</v>
      </c>
      <c r="H2937" s="228" t="str" cm="1">
        <f t="array" ref="H2937">IFERROR(INDEX(INVESTOR_LIST[INVESTOR NAME],MATCH(I2937,INVESTOR_LIST[INVESTOR CODE],0),)," ")</f>
        <v xml:space="preserve"> </v>
      </c>
      <c r="I2937" s="228"/>
      <c r="J2937" s="229" t="s">
        <v>196</v>
      </c>
      <c r="K2937" s="230"/>
      <c r="L2937" s="230">
        <v>2400000</v>
      </c>
    </row>
    <row r="2938" spans="1:13" ht="11.25" customHeight="1" x14ac:dyDescent="0.2">
      <c r="A2938" s="221">
        <v>2023</v>
      </c>
      <c r="B2938" s="221">
        <v>5</v>
      </c>
      <c r="C2938" s="221">
        <v>21</v>
      </c>
      <c r="D2938" s="231">
        <f t="shared" si="323"/>
        <v>45067</v>
      </c>
      <c r="E2938" s="233">
        <f t="shared" si="328"/>
        <v>45067</v>
      </c>
      <c r="F2938" s="478" t="s">
        <v>1497</v>
      </c>
      <c r="G2938" s="222" t="s">
        <v>1111</v>
      </c>
      <c r="H2938" s="223" t="str" cm="1">
        <f t="array" ref="H2938">IFERROR(INDEX(INVESTOR_LIST[INVESTOR NAME],MATCH(I2938,INVESTOR_LIST[INVESTOR CODE],0),)," ")</f>
        <v xml:space="preserve"> </v>
      </c>
      <c r="I2938" s="223"/>
      <c r="J2938" s="224" t="s">
        <v>55</v>
      </c>
      <c r="K2938" s="225">
        <v>527548.69999999995</v>
      </c>
      <c r="L2938" s="225"/>
    </row>
    <row r="2939" spans="1:13" ht="11.25" customHeight="1" x14ac:dyDescent="0.2">
      <c r="A2939" s="226">
        <v>2023</v>
      </c>
      <c r="B2939" s="226">
        <v>5</v>
      </c>
      <c r="C2939" s="226">
        <v>21</v>
      </c>
      <c r="D2939" s="232">
        <f t="shared" si="323"/>
        <v>45067</v>
      </c>
      <c r="E2939" s="234">
        <f t="shared" si="328"/>
        <v>45067</v>
      </c>
      <c r="F2939" s="479"/>
      <c r="G2939" s="227" t="s">
        <v>1111</v>
      </c>
      <c r="H2939" s="228" t="str" cm="1">
        <f t="array" ref="H2939">IFERROR(INDEX(INVESTOR_LIST[INVESTOR NAME],MATCH(I2939,INVESTOR_LIST[INVESTOR CODE],0),)," ")</f>
        <v xml:space="preserve"> </v>
      </c>
      <c r="I2939" s="228"/>
      <c r="J2939" s="229" t="s">
        <v>199</v>
      </c>
      <c r="K2939" s="230"/>
      <c r="L2939" s="230">
        <v>527548.69999999995</v>
      </c>
      <c r="M2939" s="166"/>
    </row>
    <row r="2940" spans="1:13" ht="11.25" customHeight="1" x14ac:dyDescent="0.2">
      <c r="A2940" s="221">
        <v>2023</v>
      </c>
      <c r="B2940" s="221">
        <v>5</v>
      </c>
      <c r="C2940" s="221">
        <v>21</v>
      </c>
      <c r="D2940" s="221">
        <f t="shared" si="323"/>
        <v>45067</v>
      </c>
      <c r="E2940" s="233">
        <f t="shared" si="328"/>
        <v>45067</v>
      </c>
      <c r="F2940" s="478" t="s">
        <v>1301</v>
      </c>
      <c r="G2940" s="222" t="s">
        <v>86</v>
      </c>
      <c r="H2940" s="222" t="str" cm="1">
        <f t="array" ref="H2940">IFERROR(INDEX(INVESTOR_LIST[INVESTOR NAME],MATCH(I2940,INVESTOR_LIST[INVESTOR CODE],0),)," ")</f>
        <v xml:space="preserve"> </v>
      </c>
      <c r="I2940" s="223"/>
      <c r="J2940" s="165" t="s">
        <v>199</v>
      </c>
      <c r="K2940" s="225">
        <v>359851.1</v>
      </c>
      <c r="L2940" s="225"/>
    </row>
    <row r="2941" spans="1:13" ht="11.25" customHeight="1" x14ac:dyDescent="0.2">
      <c r="A2941" s="164">
        <v>2023</v>
      </c>
      <c r="B2941" s="164">
        <v>5</v>
      </c>
      <c r="C2941" s="164">
        <v>21</v>
      </c>
      <c r="D2941" s="164">
        <f t="shared" si="323"/>
        <v>45067</v>
      </c>
      <c r="E2941" s="235">
        <f t="shared" si="328"/>
        <v>45067</v>
      </c>
      <c r="F2941" s="480"/>
      <c r="G2941" s="208" t="s">
        <v>86</v>
      </c>
      <c r="H2941" s="208"/>
      <c r="J2941" s="165" t="s">
        <v>960</v>
      </c>
      <c r="K2941" s="205">
        <v>648.9</v>
      </c>
      <c r="L2941" s="205"/>
    </row>
    <row r="2942" spans="1:13" ht="11.25" customHeight="1" x14ac:dyDescent="0.2">
      <c r="A2942" s="164">
        <v>2023</v>
      </c>
      <c r="B2942" s="164">
        <v>5</v>
      </c>
      <c r="C2942" s="164">
        <v>21</v>
      </c>
      <c r="D2942" s="164">
        <f t="shared" si="323"/>
        <v>45067</v>
      </c>
      <c r="E2942" s="235">
        <f t="shared" si="328"/>
        <v>45067</v>
      </c>
      <c r="F2942" s="480"/>
      <c r="G2942" s="208" t="s">
        <v>86</v>
      </c>
      <c r="H2942" s="208"/>
      <c r="J2942" s="165" t="s">
        <v>200</v>
      </c>
      <c r="K2942" s="205"/>
      <c r="L2942" s="205">
        <v>110500</v>
      </c>
    </row>
    <row r="2943" spans="1:13" ht="11.25" customHeight="1" x14ac:dyDescent="0.2">
      <c r="A2943" s="226">
        <v>2023</v>
      </c>
      <c r="B2943" s="226">
        <v>5</v>
      </c>
      <c r="C2943" s="226">
        <v>21</v>
      </c>
      <c r="D2943" s="226">
        <f t="shared" si="323"/>
        <v>45067</v>
      </c>
      <c r="E2943" s="234">
        <f t="shared" si="328"/>
        <v>45067</v>
      </c>
      <c r="F2943" s="479"/>
      <c r="G2943" s="227" t="s">
        <v>86</v>
      </c>
      <c r="H2943" s="228" t="str" cm="1">
        <f t="array" ref="H2943">IFERROR(INDEX(INVESTOR_LIST[INVESTOR NAME],MATCH(I2943,INVESTOR_LIST[INVESTOR CODE],0),)," ")</f>
        <v xml:space="preserve"> </v>
      </c>
      <c r="I2943" s="228"/>
      <c r="J2943" s="229" t="s">
        <v>80</v>
      </c>
      <c r="K2943" s="230"/>
      <c r="L2943" s="230">
        <v>250000</v>
      </c>
    </row>
    <row r="2944" spans="1:13" ht="11.25" customHeight="1" x14ac:dyDescent="0.2">
      <c r="A2944" s="221">
        <v>2023</v>
      </c>
      <c r="B2944" s="221">
        <v>5</v>
      </c>
      <c r="C2944" s="221">
        <v>22</v>
      </c>
      <c r="D2944" s="221">
        <f t="shared" si="323"/>
        <v>45068</v>
      </c>
      <c r="E2944" s="233">
        <f t="shared" ref="E2944:E2954" si="329">DATE(A2944,B2944,C2944)</f>
        <v>45068</v>
      </c>
      <c r="F2944" s="478" t="s">
        <v>1301</v>
      </c>
      <c r="G2944" s="222" t="s">
        <v>86</v>
      </c>
      <c r="H2944" s="222" t="str" cm="1">
        <f t="array" ref="H2944">IFERROR(INDEX(INVESTOR_LIST[INVESTOR NAME],MATCH(I2944,INVESTOR_LIST[INVESTOR CODE],0),)," ")</f>
        <v xml:space="preserve"> </v>
      </c>
      <c r="I2944" s="223"/>
      <c r="J2944" s="165" t="s">
        <v>199</v>
      </c>
      <c r="K2944" s="225">
        <v>301456.40000000002</v>
      </c>
      <c r="L2944" s="225"/>
    </row>
    <row r="2945" spans="1:13" ht="11.25" customHeight="1" x14ac:dyDescent="0.2">
      <c r="A2945" s="164">
        <v>2023</v>
      </c>
      <c r="B2945" s="164">
        <v>5</v>
      </c>
      <c r="C2945" s="164">
        <v>22</v>
      </c>
      <c r="D2945" s="164">
        <f t="shared" si="323"/>
        <v>45068</v>
      </c>
      <c r="E2945" s="235">
        <f t="shared" si="329"/>
        <v>45068</v>
      </c>
      <c r="F2945" s="480"/>
      <c r="G2945" s="208" t="s">
        <v>86</v>
      </c>
      <c r="H2945" s="208"/>
      <c r="J2945" s="165" t="s">
        <v>960</v>
      </c>
      <c r="K2945" s="205">
        <v>543.6</v>
      </c>
      <c r="L2945" s="205"/>
    </row>
    <row r="2946" spans="1:13" ht="11.25" customHeight="1" x14ac:dyDescent="0.2">
      <c r="A2946" s="164">
        <v>2023</v>
      </c>
      <c r="B2946" s="164">
        <v>5</v>
      </c>
      <c r="C2946" s="164">
        <v>22</v>
      </c>
      <c r="D2946" s="164">
        <f t="shared" si="323"/>
        <v>45068</v>
      </c>
      <c r="E2946" s="235">
        <f t="shared" si="329"/>
        <v>45068</v>
      </c>
      <c r="F2946" s="480"/>
      <c r="G2946" s="208" t="s">
        <v>86</v>
      </c>
      <c r="H2946" s="208"/>
      <c r="J2946" s="165" t="s">
        <v>200</v>
      </c>
      <c r="K2946" s="205"/>
      <c r="L2946" s="205">
        <v>102000</v>
      </c>
    </row>
    <row r="2947" spans="1:13" ht="11.25" customHeight="1" x14ac:dyDescent="0.2">
      <c r="A2947" s="226">
        <v>2023</v>
      </c>
      <c r="B2947" s="226">
        <v>5</v>
      </c>
      <c r="C2947" s="226">
        <v>22</v>
      </c>
      <c r="D2947" s="226">
        <f t="shared" si="323"/>
        <v>45068</v>
      </c>
      <c r="E2947" s="234">
        <f t="shared" si="329"/>
        <v>45068</v>
      </c>
      <c r="F2947" s="479"/>
      <c r="G2947" s="227" t="s">
        <v>86</v>
      </c>
      <c r="H2947" s="228" t="str" cm="1">
        <f t="array" ref="H2947">IFERROR(INDEX(INVESTOR_LIST[INVESTOR NAME],MATCH(I2947,INVESTOR_LIST[INVESTOR CODE],0),)," ")</f>
        <v xml:space="preserve"> </v>
      </c>
      <c r="I2947" s="228"/>
      <c r="J2947" s="229" t="s">
        <v>80</v>
      </c>
      <c r="K2947" s="230"/>
      <c r="L2947" s="230">
        <v>200000</v>
      </c>
    </row>
    <row r="2948" spans="1:13" ht="11.25" customHeight="1" x14ac:dyDescent="0.2">
      <c r="A2948" s="221">
        <v>2023</v>
      </c>
      <c r="B2948" s="221">
        <v>5</v>
      </c>
      <c r="C2948" s="221">
        <v>23</v>
      </c>
      <c r="D2948" s="231">
        <f t="shared" si="323"/>
        <v>45069</v>
      </c>
      <c r="E2948" s="233">
        <f t="shared" si="329"/>
        <v>45069</v>
      </c>
      <c r="F2948" s="478" t="s">
        <v>1303</v>
      </c>
      <c r="G2948" s="222" t="s">
        <v>1111</v>
      </c>
      <c r="H2948" s="223" t="str" cm="1">
        <f t="array" ref="H2948">IFERROR(INDEX(INVESTOR_LIST[INVESTOR NAME],MATCH(I2948,INVESTOR_LIST[INVESTOR CODE],0),)," ")</f>
        <v xml:space="preserve"> </v>
      </c>
      <c r="I2948" s="223"/>
      <c r="J2948" s="224" t="s">
        <v>55</v>
      </c>
      <c r="K2948" s="225">
        <v>359851.1</v>
      </c>
      <c r="L2948" s="225"/>
    </row>
    <row r="2949" spans="1:13" ht="11.25" customHeight="1" x14ac:dyDescent="0.2">
      <c r="A2949" s="226">
        <v>2023</v>
      </c>
      <c r="B2949" s="226">
        <v>5</v>
      </c>
      <c r="C2949" s="226">
        <v>23</v>
      </c>
      <c r="D2949" s="232">
        <f t="shared" si="323"/>
        <v>45069</v>
      </c>
      <c r="E2949" s="234">
        <f t="shared" si="329"/>
        <v>45069</v>
      </c>
      <c r="F2949" s="479"/>
      <c r="G2949" s="227" t="s">
        <v>1111</v>
      </c>
      <c r="H2949" s="228" t="str" cm="1">
        <f t="array" ref="H2949">IFERROR(INDEX(INVESTOR_LIST[INVESTOR NAME],MATCH(I2949,INVESTOR_LIST[INVESTOR CODE],0),)," ")</f>
        <v xml:space="preserve"> </v>
      </c>
      <c r="I2949" s="228"/>
      <c r="J2949" s="229" t="s">
        <v>199</v>
      </c>
      <c r="K2949" s="230"/>
      <c r="L2949" s="230">
        <v>359851.1</v>
      </c>
      <c r="M2949" s="166"/>
    </row>
    <row r="2950" spans="1:13" ht="11.25" customHeight="1" x14ac:dyDescent="0.2">
      <c r="A2950" s="221">
        <v>2023</v>
      </c>
      <c r="B2950" s="221">
        <v>5</v>
      </c>
      <c r="C2950" s="221">
        <v>23</v>
      </c>
      <c r="D2950" s="231">
        <f t="shared" si="323"/>
        <v>45069</v>
      </c>
      <c r="E2950" s="233">
        <f t="shared" si="329"/>
        <v>45069</v>
      </c>
      <c r="F2950" s="478" t="s">
        <v>1516</v>
      </c>
      <c r="G2950" s="222" t="s">
        <v>86</v>
      </c>
      <c r="H2950" s="222" t="str" cm="1">
        <f t="array" ref="H2950">IFERROR(INDEX(INVESTOR_LIST[INVESTOR NAME],MATCH(I2950,INVESTOR_LIST[INVESTOR CODE],0),)," ")</f>
        <v xml:space="preserve"> </v>
      </c>
      <c r="I2950" s="223"/>
      <c r="J2950" s="224" t="s">
        <v>80</v>
      </c>
      <c r="K2950" s="225">
        <v>577700</v>
      </c>
      <c r="L2950" s="225"/>
    </row>
    <row r="2951" spans="1:13" ht="11.25" customHeight="1" x14ac:dyDescent="0.2">
      <c r="A2951" s="164">
        <v>2023</v>
      </c>
      <c r="B2951" s="164">
        <v>5</v>
      </c>
      <c r="C2951" s="164">
        <v>23</v>
      </c>
      <c r="D2951" s="164">
        <f t="shared" si="323"/>
        <v>45069</v>
      </c>
      <c r="E2951" s="235">
        <f t="shared" si="329"/>
        <v>45069</v>
      </c>
      <c r="F2951" s="480"/>
      <c r="G2951" s="208" t="s">
        <v>86</v>
      </c>
      <c r="H2951" s="208"/>
      <c r="J2951" s="165" t="s">
        <v>960</v>
      </c>
      <c r="K2951" s="205">
        <v>1039.8599999999999</v>
      </c>
      <c r="L2951" s="205"/>
    </row>
    <row r="2952" spans="1:13" ht="11.25" customHeight="1" x14ac:dyDescent="0.2">
      <c r="A2952" s="226">
        <v>2023</v>
      </c>
      <c r="B2952" s="226">
        <v>5</v>
      </c>
      <c r="C2952" s="226">
        <v>23</v>
      </c>
      <c r="D2952" s="226">
        <f t="shared" si="323"/>
        <v>45069</v>
      </c>
      <c r="E2952" s="234">
        <f t="shared" si="329"/>
        <v>45069</v>
      </c>
      <c r="F2952" s="479"/>
      <c r="G2952" s="227" t="s">
        <v>86</v>
      </c>
      <c r="H2952" s="227"/>
      <c r="I2952" s="228"/>
      <c r="J2952" s="229" t="s">
        <v>961</v>
      </c>
      <c r="K2952" s="294"/>
      <c r="L2952" s="230">
        <v>578739.86</v>
      </c>
    </row>
    <row r="2953" spans="1:13" ht="11.25" customHeight="1" x14ac:dyDescent="0.2">
      <c r="A2953" s="221">
        <v>2023</v>
      </c>
      <c r="B2953" s="221">
        <v>5</v>
      </c>
      <c r="C2953" s="221">
        <v>23</v>
      </c>
      <c r="D2953" s="231">
        <f t="shared" ref="D2953:D3016" si="330">DATE(A2953,B2953,C2953)</f>
        <v>45069</v>
      </c>
      <c r="E2953" s="233">
        <f t="shared" si="329"/>
        <v>45069</v>
      </c>
      <c r="F2953" s="478" t="s">
        <v>1520</v>
      </c>
      <c r="G2953" s="222" t="s">
        <v>1111</v>
      </c>
      <c r="H2953" s="223" t="str" cm="1">
        <f t="array" ref="H2953">IFERROR(INDEX(INVESTOR_LIST[INVESTOR NAME],MATCH(I2953,INVESTOR_LIST[INVESTOR CODE],0),)," ")</f>
        <v xml:space="preserve"> </v>
      </c>
      <c r="I2953" s="223"/>
      <c r="J2953" s="224" t="s">
        <v>192</v>
      </c>
      <c r="K2953" s="225">
        <v>25000</v>
      </c>
      <c r="L2953" s="225"/>
    </row>
    <row r="2954" spans="1:13" ht="11.25" customHeight="1" x14ac:dyDescent="0.2">
      <c r="A2954" s="226">
        <v>2023</v>
      </c>
      <c r="B2954" s="226">
        <v>5</v>
      </c>
      <c r="C2954" s="226">
        <v>23</v>
      </c>
      <c r="D2954" s="232">
        <f t="shared" si="330"/>
        <v>45069</v>
      </c>
      <c r="E2954" s="234">
        <f t="shared" si="329"/>
        <v>45069</v>
      </c>
      <c r="F2954" s="479"/>
      <c r="G2954" s="227" t="s">
        <v>1111</v>
      </c>
      <c r="H2954" s="228" t="str" cm="1">
        <f t="array" ref="H2954">IFERROR(INDEX(INVESTOR_LIST[INVESTOR NAME],MATCH(I2954,INVESTOR_LIST[INVESTOR CODE],0),)," ")</f>
        <v xml:space="preserve"> </v>
      </c>
      <c r="I2954" s="228"/>
      <c r="J2954" s="229" t="s">
        <v>191</v>
      </c>
      <c r="K2954" s="230"/>
      <c r="L2954" s="230">
        <v>25000</v>
      </c>
    </row>
    <row r="2955" spans="1:13" ht="11.25" customHeight="1" x14ac:dyDescent="0.2">
      <c r="A2955" s="221">
        <v>2023</v>
      </c>
      <c r="B2955" s="221">
        <v>5</v>
      </c>
      <c r="C2955" s="221">
        <v>24</v>
      </c>
      <c r="D2955" s="231">
        <f t="shared" si="330"/>
        <v>45070</v>
      </c>
      <c r="E2955" s="233">
        <f>DATE(A2955,B2955,C2955)</f>
        <v>45070</v>
      </c>
      <c r="F2955" s="478" t="s">
        <v>1517</v>
      </c>
      <c r="G2955" s="222" t="s">
        <v>1111</v>
      </c>
      <c r="H2955" s="223" t="str" cm="1">
        <f t="array" ref="H2955">IFERROR(INDEX(INVESTOR_LIST[INVESTOR NAME],MATCH(I2955,INVESTOR_LIST[INVESTOR CODE],0),)," ")</f>
        <v xml:space="preserve"> </v>
      </c>
      <c r="I2955" s="223"/>
      <c r="J2955" s="224" t="s">
        <v>961</v>
      </c>
      <c r="K2955" s="225">
        <v>578739.86</v>
      </c>
      <c r="L2955" s="225"/>
    </row>
    <row r="2956" spans="1:13" ht="11.25" customHeight="1" x14ac:dyDescent="0.2">
      <c r="A2956" s="226">
        <v>2023</v>
      </c>
      <c r="B2956" s="226">
        <v>5</v>
      </c>
      <c r="C2956" s="226">
        <v>24</v>
      </c>
      <c r="D2956" s="232">
        <f t="shared" si="330"/>
        <v>45070</v>
      </c>
      <c r="E2956" s="234">
        <f>DATE(A2956,B2956,C2956)</f>
        <v>45070</v>
      </c>
      <c r="F2956" s="479"/>
      <c r="G2956" s="227" t="s">
        <v>1111</v>
      </c>
      <c r="H2956" s="228" t="str" cm="1">
        <f t="array" ref="H2956">IFERROR(INDEX(INVESTOR_LIST[INVESTOR NAME],MATCH(I2956,INVESTOR_LIST[INVESTOR CODE],0),)," ")</f>
        <v xml:space="preserve"> </v>
      </c>
      <c r="I2956" s="228"/>
      <c r="J2956" s="229" t="s">
        <v>55</v>
      </c>
      <c r="K2956" s="230"/>
      <c r="L2956" s="230">
        <v>578739.86</v>
      </c>
    </row>
    <row r="2957" spans="1:13" ht="11.25" customHeight="1" x14ac:dyDescent="0.2">
      <c r="A2957" s="221">
        <v>2023</v>
      </c>
      <c r="B2957" s="221">
        <v>5</v>
      </c>
      <c r="C2957" s="221">
        <v>23</v>
      </c>
      <c r="D2957" s="221">
        <f t="shared" si="330"/>
        <v>45069</v>
      </c>
      <c r="E2957" s="233">
        <f t="shared" ref="E2957:E2971" si="331">DATE(A2957,B2957,C2957)</f>
        <v>45069</v>
      </c>
      <c r="F2957" s="478" t="s">
        <v>1392</v>
      </c>
      <c r="G2957" s="222" t="s">
        <v>86</v>
      </c>
      <c r="H2957" s="222" t="str" cm="1">
        <f t="array" ref="H2957">IFERROR(INDEX(INVESTOR_LIST[INVESTOR NAME],MATCH(I2957,INVESTOR_LIST[INVESTOR CODE],0),)," ")</f>
        <v xml:space="preserve"> </v>
      </c>
      <c r="I2957" s="223"/>
      <c r="J2957" s="224" t="s">
        <v>80</v>
      </c>
      <c r="K2957" s="225">
        <v>1443000</v>
      </c>
      <c r="L2957" s="225"/>
    </row>
    <row r="2958" spans="1:13" ht="11.25" customHeight="1" x14ac:dyDescent="0.2">
      <c r="A2958" s="164">
        <v>2023</v>
      </c>
      <c r="B2958" s="164">
        <v>5</v>
      </c>
      <c r="C2958" s="164">
        <v>23</v>
      </c>
      <c r="D2958" s="164">
        <f t="shared" si="330"/>
        <v>45069</v>
      </c>
      <c r="E2958" s="235">
        <f t="shared" si="331"/>
        <v>45069</v>
      </c>
      <c r="F2958" s="480"/>
      <c r="G2958" s="208" t="s">
        <v>86</v>
      </c>
      <c r="H2958" s="208"/>
      <c r="J2958" s="165" t="s">
        <v>960</v>
      </c>
      <c r="K2958" s="205">
        <f>2597.4+4338.77</f>
        <v>6936.17</v>
      </c>
      <c r="L2958" s="205"/>
    </row>
    <row r="2959" spans="1:13" ht="11.25" customHeight="1" x14ac:dyDescent="0.2">
      <c r="A2959" s="164">
        <v>2023</v>
      </c>
      <c r="B2959" s="164">
        <v>5</v>
      </c>
      <c r="C2959" s="164">
        <v>23</v>
      </c>
      <c r="D2959" s="164">
        <f t="shared" si="330"/>
        <v>45069</v>
      </c>
      <c r="E2959" s="235">
        <f t="shared" si="331"/>
        <v>45069</v>
      </c>
      <c r="F2959" s="480"/>
      <c r="G2959" s="208" t="s">
        <v>86</v>
      </c>
      <c r="H2959" s="208"/>
      <c r="J2959" s="165" t="s">
        <v>199</v>
      </c>
      <c r="K2959" s="263">
        <v>960489.83</v>
      </c>
      <c r="L2959" s="205"/>
    </row>
    <row r="2960" spans="1:13" ht="11.25" customHeight="1" x14ac:dyDescent="0.2">
      <c r="A2960" s="164">
        <v>2023</v>
      </c>
      <c r="B2960" s="164">
        <v>5</v>
      </c>
      <c r="C2960" s="164">
        <v>23</v>
      </c>
      <c r="D2960" s="164">
        <f t="shared" si="330"/>
        <v>45069</v>
      </c>
      <c r="E2960" s="235">
        <f t="shared" si="331"/>
        <v>45069</v>
      </c>
      <c r="F2960" s="480"/>
      <c r="G2960" s="208" t="s">
        <v>86</v>
      </c>
      <c r="H2960" s="208"/>
      <c r="J2960" s="165" t="s">
        <v>200</v>
      </c>
      <c r="K2960" s="263">
        <v>150101.71</v>
      </c>
      <c r="L2960" s="156"/>
    </row>
    <row r="2961" spans="1:13" ht="11.25" customHeight="1" x14ac:dyDescent="0.2">
      <c r="A2961" s="226">
        <v>2023</v>
      </c>
      <c r="B2961" s="226">
        <v>5</v>
      </c>
      <c r="C2961" s="226">
        <v>23</v>
      </c>
      <c r="D2961" s="226">
        <f t="shared" si="330"/>
        <v>45069</v>
      </c>
      <c r="E2961" s="234">
        <f t="shared" si="331"/>
        <v>45069</v>
      </c>
      <c r="F2961" s="479"/>
      <c r="G2961" s="227" t="s">
        <v>86</v>
      </c>
      <c r="H2961" s="228" t="str" cm="1">
        <f t="array" ref="H2961">IFERROR(INDEX(INVESTOR_LIST[INVESTOR NAME],MATCH(I2961,INVESTOR_LIST[INVESTOR CODE],0),)," ")</f>
        <v xml:space="preserve"> </v>
      </c>
      <c r="I2961" s="228"/>
      <c r="J2961" s="229" t="s">
        <v>80</v>
      </c>
      <c r="K2961" s="230"/>
      <c r="L2961" s="230">
        <v>2560527.71</v>
      </c>
    </row>
    <row r="2962" spans="1:13" ht="11.25" customHeight="1" x14ac:dyDescent="0.2">
      <c r="A2962" s="221">
        <v>2023</v>
      </c>
      <c r="B2962" s="221">
        <v>5</v>
      </c>
      <c r="C2962" s="221">
        <v>24</v>
      </c>
      <c r="D2962" s="221">
        <f t="shared" si="330"/>
        <v>45070</v>
      </c>
      <c r="E2962" s="233">
        <f t="shared" si="331"/>
        <v>45070</v>
      </c>
      <c r="F2962" s="478" t="s">
        <v>1496</v>
      </c>
      <c r="G2962" s="222" t="s">
        <v>86</v>
      </c>
      <c r="H2962" s="222" t="str" cm="1">
        <f t="array" ref="H2962">IFERROR(INDEX(INVESTOR_LIST[INVESTOR NAME],MATCH(I2962,INVESTOR_LIST[INVESTOR CODE],0),)," ")</f>
        <v xml:space="preserve"> </v>
      </c>
      <c r="I2962" s="223"/>
      <c r="J2962" s="165" t="s">
        <v>199</v>
      </c>
      <c r="K2962" s="225">
        <v>2022852.3</v>
      </c>
      <c r="L2962" s="225"/>
    </row>
    <row r="2963" spans="1:13" ht="11.25" customHeight="1" x14ac:dyDescent="0.2">
      <c r="A2963" s="164">
        <v>2023</v>
      </c>
      <c r="B2963" s="164">
        <v>5</v>
      </c>
      <c r="C2963" s="164">
        <v>24</v>
      </c>
      <c r="D2963" s="164">
        <f t="shared" si="330"/>
        <v>45070</v>
      </c>
      <c r="E2963" s="235">
        <f t="shared" si="331"/>
        <v>45070</v>
      </c>
      <c r="F2963" s="480"/>
      <c r="G2963" s="208" t="s">
        <v>86</v>
      </c>
      <c r="H2963" s="208"/>
      <c r="J2963" s="165" t="s">
        <v>960</v>
      </c>
      <c r="K2963" s="205">
        <v>3647.7</v>
      </c>
      <c r="L2963" s="205"/>
    </row>
    <row r="2964" spans="1:13" ht="11.25" customHeight="1" x14ac:dyDescent="0.2">
      <c r="A2964" s="164">
        <v>2023</v>
      </c>
      <c r="B2964" s="164">
        <v>5</v>
      </c>
      <c r="C2964" s="164">
        <v>24</v>
      </c>
      <c r="D2964" s="164">
        <f t="shared" si="330"/>
        <v>45070</v>
      </c>
      <c r="E2964" s="235">
        <f t="shared" si="331"/>
        <v>45070</v>
      </c>
      <c r="F2964" s="480"/>
      <c r="G2964" s="208" t="s">
        <v>86</v>
      </c>
      <c r="H2964" s="208"/>
      <c r="J2964" s="165" t="s">
        <v>200</v>
      </c>
      <c r="K2964" s="205">
        <v>127013.63</v>
      </c>
      <c r="L2964" s="205"/>
    </row>
    <row r="2965" spans="1:13" ht="11.25" customHeight="1" x14ac:dyDescent="0.2">
      <c r="A2965" s="226">
        <v>2023</v>
      </c>
      <c r="B2965" s="226">
        <v>5</v>
      </c>
      <c r="C2965" s="226">
        <v>24</v>
      </c>
      <c r="D2965" s="226">
        <f t="shared" si="330"/>
        <v>45070</v>
      </c>
      <c r="E2965" s="234">
        <f t="shared" si="331"/>
        <v>45070</v>
      </c>
      <c r="F2965" s="479"/>
      <c r="G2965" s="227" t="s">
        <v>86</v>
      </c>
      <c r="H2965" s="228" t="str" cm="1">
        <f t="array" ref="H2965">IFERROR(INDEX(INVESTOR_LIST[INVESTOR NAME],MATCH(I2965,INVESTOR_LIST[INVESTOR CODE],0),)," ")</f>
        <v xml:space="preserve"> </v>
      </c>
      <c r="I2965" s="228"/>
      <c r="J2965" s="229" t="s">
        <v>80</v>
      </c>
      <c r="K2965" s="230"/>
      <c r="L2965" s="230">
        <v>2153513.63</v>
      </c>
    </row>
    <row r="2966" spans="1:13" ht="11.25" customHeight="1" x14ac:dyDescent="0.2">
      <c r="A2966" s="221">
        <v>2023</v>
      </c>
      <c r="B2966" s="221">
        <v>5</v>
      </c>
      <c r="C2966" s="221">
        <v>24</v>
      </c>
      <c r="D2966" s="221">
        <f t="shared" si="330"/>
        <v>45070</v>
      </c>
      <c r="E2966" s="233">
        <f t="shared" si="331"/>
        <v>45070</v>
      </c>
      <c r="F2966" s="478" t="s">
        <v>1301</v>
      </c>
      <c r="G2966" s="222" t="s">
        <v>86</v>
      </c>
      <c r="H2966" s="222" t="str" cm="1">
        <f t="array" ref="H2966">IFERROR(INDEX(INVESTOR_LIST[INVESTOR NAME],MATCH(I2966,INVESTOR_LIST[INVESTOR CODE],0),)," ")</f>
        <v xml:space="preserve"> </v>
      </c>
      <c r="I2966" s="223"/>
      <c r="J2966" s="165" t="s">
        <v>199</v>
      </c>
      <c r="K2966" s="225">
        <v>2334220.83</v>
      </c>
      <c r="L2966" s="225"/>
    </row>
    <row r="2967" spans="1:13" ht="11.25" customHeight="1" x14ac:dyDescent="0.2">
      <c r="A2967" s="164">
        <v>2023</v>
      </c>
      <c r="B2967" s="164">
        <v>5</v>
      </c>
      <c r="C2967" s="164">
        <v>24</v>
      </c>
      <c r="D2967" s="164">
        <f t="shared" si="330"/>
        <v>45070</v>
      </c>
      <c r="E2967" s="235">
        <f t="shared" si="331"/>
        <v>45070</v>
      </c>
      <c r="F2967" s="480"/>
      <c r="G2967" s="208" t="s">
        <v>86</v>
      </c>
      <c r="H2967" s="208"/>
      <c r="J2967" s="165" t="s">
        <v>960</v>
      </c>
      <c r="K2967" s="205">
        <v>4209.17</v>
      </c>
      <c r="L2967" s="205"/>
    </row>
    <row r="2968" spans="1:13" ht="11.25" customHeight="1" x14ac:dyDescent="0.2">
      <c r="A2968" s="164">
        <v>2023</v>
      </c>
      <c r="B2968" s="164">
        <v>5</v>
      </c>
      <c r="C2968" s="164">
        <v>24</v>
      </c>
      <c r="D2968" s="164">
        <f t="shared" si="330"/>
        <v>45070</v>
      </c>
      <c r="E2968" s="235">
        <f t="shared" si="331"/>
        <v>45070</v>
      </c>
      <c r="F2968" s="480"/>
      <c r="G2968" s="208" t="s">
        <v>86</v>
      </c>
      <c r="H2968" s="208"/>
      <c r="J2968" s="165" t="s">
        <v>200</v>
      </c>
      <c r="K2968" s="205">
        <v>15083.63</v>
      </c>
      <c r="L2968" s="205"/>
    </row>
    <row r="2969" spans="1:13" ht="11.25" customHeight="1" x14ac:dyDescent="0.2">
      <c r="A2969" s="226">
        <v>2023</v>
      </c>
      <c r="B2969" s="226">
        <v>5</v>
      </c>
      <c r="C2969" s="226">
        <v>24</v>
      </c>
      <c r="D2969" s="226">
        <f t="shared" si="330"/>
        <v>45070</v>
      </c>
      <c r="E2969" s="234">
        <f t="shared" si="331"/>
        <v>45070</v>
      </c>
      <c r="F2969" s="479"/>
      <c r="G2969" s="227" t="s">
        <v>86</v>
      </c>
      <c r="H2969" s="228" t="str" cm="1">
        <f t="array" ref="H2969">IFERROR(INDEX(INVESTOR_LIST[INVESTOR NAME],MATCH(I2969,INVESTOR_LIST[INVESTOR CODE],0),)," ")</f>
        <v xml:space="preserve"> </v>
      </c>
      <c r="I2969" s="228"/>
      <c r="J2969" s="229" t="s">
        <v>80</v>
      </c>
      <c r="K2969" s="230"/>
      <c r="L2969" s="230">
        <v>2353513.63</v>
      </c>
    </row>
    <row r="2970" spans="1:13" ht="11.25" customHeight="1" x14ac:dyDescent="0.2">
      <c r="A2970" s="221">
        <v>2023</v>
      </c>
      <c r="B2970" s="221">
        <v>5</v>
      </c>
      <c r="C2970" s="221">
        <v>25</v>
      </c>
      <c r="D2970" s="231">
        <f t="shared" si="330"/>
        <v>45071</v>
      </c>
      <c r="E2970" s="233">
        <f t="shared" si="331"/>
        <v>45071</v>
      </c>
      <c r="F2970" s="478" t="s">
        <v>1303</v>
      </c>
      <c r="G2970" s="222" t="s">
        <v>1111</v>
      </c>
      <c r="H2970" s="223" t="str" cm="1">
        <f t="array" ref="H2970">IFERROR(INDEX(INVESTOR_LIST[INVESTOR NAME],MATCH(I2970,INVESTOR_LIST[INVESTOR CODE],0),)," ")</f>
        <v xml:space="preserve"> </v>
      </c>
      <c r="I2970" s="223"/>
      <c r="J2970" s="224" t="s">
        <v>55</v>
      </c>
      <c r="K2970" s="225">
        <v>301456.40000000002</v>
      </c>
      <c r="L2970" s="225"/>
    </row>
    <row r="2971" spans="1:13" ht="11.25" customHeight="1" x14ac:dyDescent="0.2">
      <c r="A2971" s="226">
        <v>2023</v>
      </c>
      <c r="B2971" s="226">
        <v>5</v>
      </c>
      <c r="C2971" s="226">
        <v>25</v>
      </c>
      <c r="D2971" s="232">
        <f t="shared" si="330"/>
        <v>45071</v>
      </c>
      <c r="E2971" s="234">
        <f t="shared" si="331"/>
        <v>45071</v>
      </c>
      <c r="F2971" s="479"/>
      <c r="G2971" s="227" t="s">
        <v>1111</v>
      </c>
      <c r="H2971" s="228" t="str" cm="1">
        <f t="array" ref="H2971">IFERROR(INDEX(INVESTOR_LIST[INVESTOR NAME],MATCH(I2971,INVESTOR_LIST[INVESTOR CODE],0),)," ")</f>
        <v xml:space="preserve"> </v>
      </c>
      <c r="I2971" s="228"/>
      <c r="J2971" s="229" t="s">
        <v>199</v>
      </c>
      <c r="K2971" s="230"/>
      <c r="L2971" s="230">
        <v>301456.40000000002</v>
      </c>
      <c r="M2971" s="166"/>
    </row>
    <row r="2972" spans="1:13" ht="11.25" customHeight="1" x14ac:dyDescent="0.2">
      <c r="A2972" s="221">
        <v>2023</v>
      </c>
      <c r="B2972" s="221">
        <v>5</v>
      </c>
      <c r="C2972" s="221">
        <v>25</v>
      </c>
      <c r="D2972" s="231">
        <f t="shared" si="330"/>
        <v>45071</v>
      </c>
      <c r="E2972" s="233">
        <f t="shared" ref="E2972:E2996" si="332">DATE(A2972,B2972,C2972)</f>
        <v>45071</v>
      </c>
      <c r="F2972" s="478" t="s">
        <v>1303</v>
      </c>
      <c r="G2972" s="222" t="s">
        <v>1111</v>
      </c>
      <c r="H2972" s="223" t="str" cm="1">
        <f t="array" ref="H2972">IFERROR(INDEX(INVESTOR_LIST[INVESTOR NAME],MATCH(I2972,INVESTOR_LIST[INVESTOR CODE],0),)," ")</f>
        <v xml:space="preserve"> </v>
      </c>
      <c r="I2972" s="223"/>
      <c r="J2972" s="224" t="s">
        <v>55</v>
      </c>
      <c r="K2972" s="225">
        <v>960489.83</v>
      </c>
      <c r="L2972" s="225"/>
    </row>
    <row r="2973" spans="1:13" ht="11.25" customHeight="1" x14ac:dyDescent="0.2">
      <c r="A2973" s="226">
        <v>2023</v>
      </c>
      <c r="B2973" s="226">
        <v>5</v>
      </c>
      <c r="C2973" s="226">
        <v>25</v>
      </c>
      <c r="D2973" s="232">
        <f t="shared" si="330"/>
        <v>45071</v>
      </c>
      <c r="E2973" s="234">
        <f t="shared" si="332"/>
        <v>45071</v>
      </c>
      <c r="F2973" s="479"/>
      <c r="G2973" s="227" t="s">
        <v>1111</v>
      </c>
      <c r="H2973" s="228" t="str" cm="1">
        <f t="array" ref="H2973">IFERROR(INDEX(INVESTOR_LIST[INVESTOR NAME],MATCH(I2973,INVESTOR_LIST[INVESTOR CODE],0),)," ")</f>
        <v xml:space="preserve"> </v>
      </c>
      <c r="I2973" s="228"/>
      <c r="J2973" s="229" t="s">
        <v>199</v>
      </c>
      <c r="K2973" s="230"/>
      <c r="L2973" s="230">
        <v>960489.83</v>
      </c>
      <c r="M2973" s="166"/>
    </row>
    <row r="2974" spans="1:13" ht="11.25" customHeight="1" x14ac:dyDescent="0.2">
      <c r="A2974" s="221">
        <v>2023</v>
      </c>
      <c r="B2974" s="221">
        <v>5</v>
      </c>
      <c r="C2974" s="221">
        <v>25</v>
      </c>
      <c r="D2974" s="221">
        <f t="shared" si="330"/>
        <v>45071</v>
      </c>
      <c r="E2974" s="233">
        <f t="shared" si="332"/>
        <v>45071</v>
      </c>
      <c r="F2974" s="478" t="s">
        <v>1301</v>
      </c>
      <c r="G2974" s="222" t="s">
        <v>86</v>
      </c>
      <c r="H2974" s="222" t="str" cm="1">
        <f t="array" ref="H2974">IFERROR(INDEX(INVESTOR_LIST[INVESTOR NAME],MATCH(I2974,INVESTOR_LIST[INVESTOR CODE],0),)," ")</f>
        <v xml:space="preserve"> </v>
      </c>
      <c r="I2974" s="223"/>
      <c r="J2974" s="165" t="s">
        <v>199</v>
      </c>
      <c r="K2974" s="225">
        <v>3507097.34</v>
      </c>
      <c r="L2974" s="225"/>
    </row>
    <row r="2975" spans="1:13" ht="11.25" customHeight="1" x14ac:dyDescent="0.2">
      <c r="A2975" s="164">
        <v>2023</v>
      </c>
      <c r="B2975" s="164">
        <v>5</v>
      </c>
      <c r="C2975" s="164">
        <v>25</v>
      </c>
      <c r="D2975" s="164">
        <f t="shared" si="330"/>
        <v>45071</v>
      </c>
      <c r="E2975" s="235">
        <f t="shared" si="332"/>
        <v>45071</v>
      </c>
      <c r="F2975" s="480"/>
      <c r="G2975" s="208" t="s">
        <v>86</v>
      </c>
      <c r="H2975" s="208"/>
      <c r="J2975" s="165" t="s">
        <v>960</v>
      </c>
      <c r="K2975" s="205">
        <v>6324.16</v>
      </c>
      <c r="L2975" s="205"/>
    </row>
    <row r="2976" spans="1:13" ht="11.25" customHeight="1" x14ac:dyDescent="0.2">
      <c r="A2976" s="164">
        <v>2023</v>
      </c>
      <c r="B2976" s="164">
        <v>5</v>
      </c>
      <c r="C2976" s="164">
        <v>25</v>
      </c>
      <c r="D2976" s="164">
        <f t="shared" si="330"/>
        <v>45071</v>
      </c>
      <c r="E2976" s="235">
        <f t="shared" si="332"/>
        <v>45071</v>
      </c>
      <c r="F2976" s="480"/>
      <c r="G2976" s="208" t="s">
        <v>86</v>
      </c>
      <c r="H2976" s="208"/>
      <c r="J2976" s="165" t="s">
        <v>200</v>
      </c>
      <c r="K2976" s="205">
        <v>78362.47</v>
      </c>
      <c r="L2976" s="205"/>
    </row>
    <row r="2977" spans="1:12" ht="11.25" customHeight="1" x14ac:dyDescent="0.2">
      <c r="A2977" s="226">
        <v>2023</v>
      </c>
      <c r="B2977" s="226">
        <v>5</v>
      </c>
      <c r="C2977" s="226">
        <v>25</v>
      </c>
      <c r="D2977" s="226">
        <f t="shared" si="330"/>
        <v>45071</v>
      </c>
      <c r="E2977" s="234">
        <f t="shared" si="332"/>
        <v>45071</v>
      </c>
      <c r="F2977" s="479"/>
      <c r="G2977" s="227" t="s">
        <v>86</v>
      </c>
      <c r="H2977" s="228" t="str" cm="1">
        <f t="array" ref="H2977">IFERROR(INDEX(INVESTOR_LIST[INVESTOR NAME],MATCH(I2977,INVESTOR_LIST[INVESTOR CODE],0),)," ")</f>
        <v xml:space="preserve"> </v>
      </c>
      <c r="I2977" s="228"/>
      <c r="J2977" s="229" t="s">
        <v>80</v>
      </c>
      <c r="K2977" s="230"/>
      <c r="L2977" s="230">
        <v>3591783.97</v>
      </c>
    </row>
    <row r="2978" spans="1:12" ht="11.25" customHeight="1" x14ac:dyDescent="0.2">
      <c r="A2978" s="280">
        <v>2023</v>
      </c>
      <c r="B2978" s="280">
        <v>5</v>
      </c>
      <c r="C2978" s="280">
        <v>25</v>
      </c>
      <c r="D2978" s="281">
        <f t="shared" si="330"/>
        <v>45071</v>
      </c>
      <c r="E2978" s="282">
        <f t="shared" si="332"/>
        <v>45071</v>
      </c>
      <c r="F2978" s="472" t="s">
        <v>1369</v>
      </c>
      <c r="G2978" s="283" t="s">
        <v>86</v>
      </c>
      <c r="H2978" s="284" t="str" cm="1">
        <f t="array" ref="H2978">IFERROR(INDEX(INVESTOR_LIST[INVESTOR NAME],MATCH(I2978,INVESTOR_LIST[INVESTOR CODE],0),)," ")</f>
        <v xml:space="preserve"> </v>
      </c>
      <c r="I2978" s="284"/>
      <c r="J2978" s="285" t="s">
        <v>131</v>
      </c>
      <c r="K2978" s="286">
        <v>84115.34</v>
      </c>
      <c r="L2978" s="286"/>
    </row>
    <row r="2979" spans="1:12" ht="11.25" customHeight="1" x14ac:dyDescent="0.2">
      <c r="A2979" s="287">
        <v>2023</v>
      </c>
      <c r="B2979" s="287">
        <v>5</v>
      </c>
      <c r="C2979" s="287">
        <v>25</v>
      </c>
      <c r="D2979" s="288">
        <f t="shared" si="330"/>
        <v>45071</v>
      </c>
      <c r="E2979" s="289">
        <f t="shared" si="332"/>
        <v>45071</v>
      </c>
      <c r="F2979" s="473"/>
      <c r="G2979" s="290" t="s">
        <v>86</v>
      </c>
      <c r="H2979" s="291" t="str" cm="1">
        <f t="array" ref="H2979">IFERROR(INDEX(INVESTOR_LIST[INVESTOR NAME],MATCH(I2979,INVESTOR_LIST[INVESTOR CODE],0),)," ")</f>
        <v xml:space="preserve"> </v>
      </c>
      <c r="I2979" s="291"/>
      <c r="J2979" s="292" t="s">
        <v>174</v>
      </c>
      <c r="K2979" s="293"/>
      <c r="L2979" s="293">
        <v>84115.34</v>
      </c>
    </row>
    <row r="2980" spans="1:12" ht="11.25" customHeight="1" x14ac:dyDescent="0.2">
      <c r="A2980" s="280">
        <v>2023</v>
      </c>
      <c r="B2980" s="280">
        <v>5</v>
      </c>
      <c r="C2980" s="280">
        <v>25</v>
      </c>
      <c r="D2980" s="281">
        <f t="shared" si="330"/>
        <v>45071</v>
      </c>
      <c r="E2980" s="282">
        <f t="shared" si="332"/>
        <v>45071</v>
      </c>
      <c r="F2980" s="472" t="s">
        <v>1295</v>
      </c>
      <c r="G2980" s="283" t="s">
        <v>86</v>
      </c>
      <c r="H2980" s="284" t="str" cm="1">
        <f t="array" ref="H2980">IFERROR(INDEX(INVESTOR_LIST[INVESTOR NAME],MATCH(I2980,INVESTOR_LIST[INVESTOR CODE],0),)," ")</f>
        <v xml:space="preserve"> </v>
      </c>
      <c r="I2980" s="284"/>
      <c r="J2980" s="285" t="s">
        <v>131</v>
      </c>
      <c r="K2980" s="286">
        <v>16923.080000000002</v>
      </c>
      <c r="L2980" s="286"/>
    </row>
    <row r="2981" spans="1:12" ht="11.25" customHeight="1" x14ac:dyDescent="0.2">
      <c r="A2981" s="287">
        <v>2023</v>
      </c>
      <c r="B2981" s="287">
        <v>5</v>
      </c>
      <c r="C2981" s="287">
        <v>25</v>
      </c>
      <c r="D2981" s="288">
        <f t="shared" si="330"/>
        <v>45071</v>
      </c>
      <c r="E2981" s="289">
        <f t="shared" si="332"/>
        <v>45071</v>
      </c>
      <c r="F2981" s="473"/>
      <c r="G2981" s="290" t="s">
        <v>86</v>
      </c>
      <c r="H2981" s="291" t="str" cm="1">
        <f t="array" ref="H2981">IFERROR(INDEX(INVESTOR_LIST[INVESTOR NAME],MATCH(I2981,INVESTOR_LIST[INVESTOR CODE],0),)," ")</f>
        <v xml:space="preserve"> </v>
      </c>
      <c r="I2981" s="291"/>
      <c r="J2981" s="292" t="s">
        <v>174</v>
      </c>
      <c r="K2981" s="293"/>
      <c r="L2981" s="293">
        <v>16923.080000000002</v>
      </c>
    </row>
    <row r="2982" spans="1:12" ht="11.25" customHeight="1" x14ac:dyDescent="0.2">
      <c r="A2982" s="280">
        <v>2023</v>
      </c>
      <c r="B2982" s="280">
        <v>5</v>
      </c>
      <c r="C2982" s="280">
        <v>25</v>
      </c>
      <c r="D2982" s="281">
        <f t="shared" si="330"/>
        <v>45071</v>
      </c>
      <c r="E2982" s="282">
        <f t="shared" si="332"/>
        <v>45071</v>
      </c>
      <c r="F2982" s="472" t="s">
        <v>1294</v>
      </c>
      <c r="G2982" s="283" t="s">
        <v>86</v>
      </c>
      <c r="H2982" s="284" t="str" cm="1">
        <f t="array" ref="H2982">IFERROR(INDEX(INVESTOR_LIST[INVESTOR NAME],MATCH(I2982,INVESTOR_LIST[INVESTOR CODE],0),)," ")</f>
        <v xml:space="preserve"> </v>
      </c>
      <c r="I2982" s="284"/>
      <c r="J2982" s="285" t="s">
        <v>131</v>
      </c>
      <c r="K2982" s="286">
        <v>9711.5400000000009</v>
      </c>
      <c r="L2982" s="286"/>
    </row>
    <row r="2983" spans="1:12" ht="11.25" customHeight="1" x14ac:dyDescent="0.2">
      <c r="A2983" s="287">
        <v>2023</v>
      </c>
      <c r="B2983" s="287">
        <v>5</v>
      </c>
      <c r="C2983" s="287">
        <v>25</v>
      </c>
      <c r="D2983" s="288">
        <f t="shared" si="330"/>
        <v>45071</v>
      </c>
      <c r="E2983" s="289">
        <f t="shared" si="332"/>
        <v>45071</v>
      </c>
      <c r="F2983" s="473"/>
      <c r="G2983" s="290" t="s">
        <v>86</v>
      </c>
      <c r="H2983" s="291" t="str" cm="1">
        <f t="array" ref="H2983">IFERROR(INDEX(INVESTOR_LIST[INVESTOR NAME],MATCH(I2983,INVESTOR_LIST[INVESTOR CODE],0),)," ")</f>
        <v xml:space="preserve"> </v>
      </c>
      <c r="I2983" s="291"/>
      <c r="J2983" s="292" t="s">
        <v>174</v>
      </c>
      <c r="K2983" s="293"/>
      <c r="L2983" s="293">
        <v>9711.5400000000009</v>
      </c>
    </row>
    <row r="2984" spans="1:12" ht="11.25" customHeight="1" x14ac:dyDescent="0.2">
      <c r="A2984" s="236">
        <v>2023</v>
      </c>
      <c r="B2984" s="236">
        <v>5</v>
      </c>
      <c r="C2984" s="236">
        <v>25</v>
      </c>
      <c r="D2984" s="237">
        <f t="shared" si="330"/>
        <v>45071</v>
      </c>
      <c r="E2984" s="238">
        <f t="shared" si="332"/>
        <v>45071</v>
      </c>
      <c r="F2984" s="476" t="s">
        <v>1118</v>
      </c>
      <c r="G2984" s="239" t="s">
        <v>86</v>
      </c>
      <c r="H2984" s="239" t="str" cm="1">
        <f t="array" ref="H2984">IFERROR(INDEX(INVESTOR_LIST[INVESTOR NAME],MATCH(I2984,INVESTOR_LIST[INVESTOR CODE],0),)," ")</f>
        <v xml:space="preserve"> </v>
      </c>
      <c r="I2984" s="240"/>
      <c r="J2984" s="241" t="s">
        <v>98</v>
      </c>
      <c r="K2984" s="242">
        <v>6177.9399999827147</v>
      </c>
      <c r="L2984" s="242"/>
    </row>
    <row r="2985" spans="1:12" ht="11.25" customHeight="1" x14ac:dyDescent="0.2">
      <c r="A2985" s="243">
        <v>2023</v>
      </c>
      <c r="B2985" s="243">
        <v>5</v>
      </c>
      <c r="C2985" s="243">
        <v>25</v>
      </c>
      <c r="D2985" s="248">
        <f t="shared" si="330"/>
        <v>45071</v>
      </c>
      <c r="E2985" s="249">
        <f t="shared" si="332"/>
        <v>45071</v>
      </c>
      <c r="F2985" s="477"/>
      <c r="G2985" s="244" t="s">
        <v>86</v>
      </c>
      <c r="H2985" s="244" t="str" cm="1">
        <f t="array" ref="H2985">IFERROR(INDEX(INVESTOR_LIST[INVESTOR NAME],MATCH(I2985,INVESTOR_LIST[INVESTOR CODE],0),)," ")</f>
        <v xml:space="preserve"> </v>
      </c>
      <c r="I2985" s="245"/>
      <c r="J2985" s="246" t="s">
        <v>82</v>
      </c>
      <c r="K2985" s="247"/>
      <c r="L2985" s="247">
        <v>6177.9399999827147</v>
      </c>
    </row>
    <row r="2986" spans="1:12" ht="11.25" customHeight="1" x14ac:dyDescent="0.2">
      <c r="A2986" s="236">
        <v>2023</v>
      </c>
      <c r="B2986" s="236">
        <v>5</v>
      </c>
      <c r="C2986" s="236">
        <v>25</v>
      </c>
      <c r="D2986" s="237">
        <f t="shared" si="330"/>
        <v>45071</v>
      </c>
      <c r="E2986" s="238">
        <f t="shared" si="332"/>
        <v>45071</v>
      </c>
      <c r="F2986" s="476" t="s">
        <v>1120</v>
      </c>
      <c r="G2986" s="239" t="s">
        <v>86</v>
      </c>
      <c r="H2986" s="239" t="str" cm="1">
        <f t="array" ref="H2986">IFERROR(INDEX(INVESTOR_LIST[INVESTOR NAME],MATCH(I2986,INVESTOR_LIST[INVESTOR CODE],0),)," ")</f>
        <v xml:space="preserve"> </v>
      </c>
      <c r="I2986" s="240"/>
      <c r="J2986" s="241" t="s">
        <v>87</v>
      </c>
      <c r="K2986" s="242">
        <v>2747.2527472527472</v>
      </c>
      <c r="L2986" s="242"/>
    </row>
    <row r="2987" spans="1:12" ht="11.25" customHeight="1" x14ac:dyDescent="0.2">
      <c r="A2987" s="243">
        <v>2023</v>
      </c>
      <c r="B2987" s="243">
        <v>5</v>
      </c>
      <c r="C2987" s="243">
        <v>25</v>
      </c>
      <c r="D2987" s="248">
        <f t="shared" si="330"/>
        <v>45071</v>
      </c>
      <c r="E2987" s="249">
        <f t="shared" si="332"/>
        <v>45071</v>
      </c>
      <c r="F2987" s="477"/>
      <c r="G2987" s="244" t="s">
        <v>86</v>
      </c>
      <c r="H2987" s="244" t="str" cm="1">
        <f t="array" ref="H2987">IFERROR(INDEX(INVESTOR_LIST[INVESTOR NAME],MATCH(I2987,INVESTOR_LIST[INVESTOR CODE],0),)," ")</f>
        <v xml:space="preserve"> </v>
      </c>
      <c r="I2987" s="245"/>
      <c r="J2987" s="246" t="s">
        <v>64</v>
      </c>
      <c r="K2987" s="247"/>
      <c r="L2987" s="247">
        <v>2747.2527472527472</v>
      </c>
    </row>
    <row r="2988" spans="1:12" ht="11.25" customHeight="1" x14ac:dyDescent="0.2">
      <c r="A2988" s="236">
        <v>2023</v>
      </c>
      <c r="B2988" s="236">
        <v>5</v>
      </c>
      <c r="C2988" s="236">
        <v>25</v>
      </c>
      <c r="D2988" s="237">
        <f t="shared" si="330"/>
        <v>45071</v>
      </c>
      <c r="E2988" s="238">
        <f t="shared" si="332"/>
        <v>45071</v>
      </c>
      <c r="F2988" s="476" t="s">
        <v>1121</v>
      </c>
      <c r="G2988" s="239" t="s">
        <v>86</v>
      </c>
      <c r="H2988" s="239" t="str" cm="1">
        <f t="array" ref="H2988">IFERROR(INDEX(INVESTOR_LIST[INVESTOR NAME],MATCH(I2988,INVESTOR_LIST[INVESTOR CODE],0),)," ")</f>
        <v xml:space="preserve"> </v>
      </c>
      <c r="I2988" s="240"/>
      <c r="J2988" s="241" t="s">
        <v>89</v>
      </c>
      <c r="K2988" s="242">
        <v>73942.649928197294</v>
      </c>
      <c r="L2988" s="242"/>
    </row>
    <row r="2989" spans="1:12" ht="11.25" customHeight="1" x14ac:dyDescent="0.2">
      <c r="A2989" s="243">
        <v>2023</v>
      </c>
      <c r="B2989" s="243">
        <v>5</v>
      </c>
      <c r="C2989" s="243">
        <v>25</v>
      </c>
      <c r="D2989" s="248">
        <f t="shared" si="330"/>
        <v>45071</v>
      </c>
      <c r="E2989" s="249">
        <f t="shared" si="332"/>
        <v>45071</v>
      </c>
      <c r="F2989" s="477"/>
      <c r="G2989" s="244" t="s">
        <v>86</v>
      </c>
      <c r="H2989" s="244" t="str" cm="1">
        <f t="array" ref="H2989">IFERROR(INDEX(INVESTOR_LIST[INVESTOR NAME],MATCH(I2989,INVESTOR_LIST[INVESTOR CODE],0),)," ")</f>
        <v xml:space="preserve"> </v>
      </c>
      <c r="I2989" s="245"/>
      <c r="J2989" s="246" t="s">
        <v>50</v>
      </c>
      <c r="K2989" s="247"/>
      <c r="L2989" s="247">
        <v>73942.649928197294</v>
      </c>
    </row>
    <row r="2990" spans="1:12" ht="11.25" customHeight="1" x14ac:dyDescent="0.2">
      <c r="A2990" s="236">
        <v>2023</v>
      </c>
      <c r="B2990" s="236">
        <v>5</v>
      </c>
      <c r="C2990" s="236">
        <v>25</v>
      </c>
      <c r="D2990" s="237">
        <f t="shared" si="330"/>
        <v>45071</v>
      </c>
      <c r="E2990" s="238">
        <f t="shared" si="332"/>
        <v>45071</v>
      </c>
      <c r="F2990" s="476" t="s">
        <v>1122</v>
      </c>
      <c r="G2990" s="239" t="s">
        <v>86</v>
      </c>
      <c r="H2990" s="239" t="str" cm="1">
        <f t="array" ref="H2990">IFERROR(INDEX(INVESTOR_LIST[INVESTOR NAME],MATCH(I2990,INVESTOR_LIST[INVESTOR CODE],0),)," ")</f>
        <v xml:space="preserve"> </v>
      </c>
      <c r="I2990" s="240"/>
      <c r="J2990" s="241" t="s">
        <v>91</v>
      </c>
      <c r="K2990" s="242">
        <v>3697.1324964098649</v>
      </c>
      <c r="L2990" s="242"/>
    </row>
    <row r="2991" spans="1:12" ht="11.25" customHeight="1" x14ac:dyDescent="0.2">
      <c r="A2991" s="243">
        <v>2023</v>
      </c>
      <c r="B2991" s="243">
        <v>5</v>
      </c>
      <c r="C2991" s="243">
        <v>25</v>
      </c>
      <c r="D2991" s="248">
        <f t="shared" si="330"/>
        <v>45071</v>
      </c>
      <c r="E2991" s="249">
        <f t="shared" si="332"/>
        <v>45071</v>
      </c>
      <c r="F2991" s="477"/>
      <c r="G2991" s="244" t="s">
        <v>86</v>
      </c>
      <c r="H2991" s="244" t="str" cm="1">
        <f t="array" ref="H2991">IFERROR(INDEX(INVESTOR_LIST[INVESTOR NAME],MATCH(I2991,INVESTOR_LIST[INVESTOR CODE],0),)," ")</f>
        <v xml:space="preserve"> </v>
      </c>
      <c r="I2991" s="245"/>
      <c r="J2991" s="246" t="s">
        <v>51</v>
      </c>
      <c r="K2991" s="247"/>
      <c r="L2991" s="247">
        <v>3697.1324964098649</v>
      </c>
    </row>
    <row r="2992" spans="1:12" ht="11.25" customHeight="1" x14ac:dyDescent="0.2">
      <c r="A2992" s="221">
        <v>2023</v>
      </c>
      <c r="B2992" s="221">
        <v>5</v>
      </c>
      <c r="C2992" s="221">
        <v>28</v>
      </c>
      <c r="D2992" s="231">
        <f t="shared" si="330"/>
        <v>45074</v>
      </c>
      <c r="E2992" s="233">
        <f t="shared" si="332"/>
        <v>45074</v>
      </c>
      <c r="F2992" s="478" t="s">
        <v>802</v>
      </c>
      <c r="G2992" s="222" t="s">
        <v>1111</v>
      </c>
      <c r="H2992" s="223" t="str" cm="1">
        <f t="array" ref="H2992">IFERROR(INDEX(INVESTOR_LIST[INVESTOR NAME],MATCH(I2992,INVESTOR_LIST[INVESTOR CODE],0),)," ")</f>
        <v>SANDHANI AML SLIC FIXED INCOME FUND</v>
      </c>
      <c r="I2992" s="223" t="s">
        <v>1481</v>
      </c>
      <c r="J2992" s="224" t="s">
        <v>55</v>
      </c>
      <c r="K2992" s="167">
        <v>3999717</v>
      </c>
      <c r="L2992" s="225"/>
    </row>
    <row r="2993" spans="1:13" ht="11.25" customHeight="1" x14ac:dyDescent="0.2">
      <c r="A2993" s="164">
        <v>2023</v>
      </c>
      <c r="B2993" s="164">
        <v>5</v>
      </c>
      <c r="C2993" s="164">
        <v>28</v>
      </c>
      <c r="D2993" s="156">
        <f t="shared" si="330"/>
        <v>45074</v>
      </c>
      <c r="E2993" s="235">
        <f t="shared" si="332"/>
        <v>45074</v>
      </c>
      <c r="F2993" s="480"/>
      <c r="G2993" s="208" t="s">
        <v>1111</v>
      </c>
      <c r="H2993" s="206" t="str" cm="1">
        <f t="array" ref="H2993">IFERROR(INDEX(INVESTOR_LIST[INVESTOR NAME],MATCH(I2993,INVESTOR_LIST[INVESTOR CODE],0),)," ")</f>
        <v>SANDHANI AML SLIC FIXED INCOME FUND</v>
      </c>
      <c r="I2993" s="206" t="s">
        <v>1481</v>
      </c>
      <c r="J2993" s="165" t="s">
        <v>14</v>
      </c>
      <c r="L2993" s="205">
        <v>3907500</v>
      </c>
    </row>
    <row r="2994" spans="1:13" ht="11.25" customHeight="1" x14ac:dyDescent="0.2">
      <c r="A2994" s="226">
        <v>2023</v>
      </c>
      <c r="B2994" s="226">
        <v>5</v>
      </c>
      <c r="C2994" s="226">
        <v>28</v>
      </c>
      <c r="D2994" s="232">
        <f t="shared" si="330"/>
        <v>45074</v>
      </c>
      <c r="E2994" s="234">
        <f t="shared" si="332"/>
        <v>45074</v>
      </c>
      <c r="F2994" s="479"/>
      <c r="G2994" s="227" t="s">
        <v>1111</v>
      </c>
      <c r="H2994" s="228" t="str" cm="1">
        <f t="array" ref="H2994">IFERROR(INDEX(INVESTOR_LIST[INVESTOR NAME],MATCH(I2994,INVESTOR_LIST[INVESTOR CODE],0),)," ")</f>
        <v>SANDHANI AML SLIC FIXED INCOME FUND</v>
      </c>
      <c r="I2994" s="228" t="s">
        <v>1481</v>
      </c>
      <c r="J2994" s="229" t="s">
        <v>1112</v>
      </c>
      <c r="K2994" s="230"/>
      <c r="L2994" s="230">
        <v>92217</v>
      </c>
    </row>
    <row r="2995" spans="1:13" ht="11.25" customHeight="1" x14ac:dyDescent="0.2">
      <c r="A2995" s="221">
        <v>2023</v>
      </c>
      <c r="B2995" s="221">
        <v>5</v>
      </c>
      <c r="C2995" s="221">
        <v>28</v>
      </c>
      <c r="D2995" s="231">
        <f t="shared" si="330"/>
        <v>45074</v>
      </c>
      <c r="E2995" s="233">
        <f t="shared" si="332"/>
        <v>45074</v>
      </c>
      <c r="F2995" s="478" t="s">
        <v>1518</v>
      </c>
      <c r="G2995" s="222" t="s">
        <v>1111</v>
      </c>
      <c r="H2995" s="223" t="str" cm="1">
        <f t="array" ref="H2995">IFERROR(INDEX(INVESTOR_LIST[INVESTOR NAME],MATCH(I2995,INVESTOR_LIST[INVESTOR CODE],0),)," ")</f>
        <v xml:space="preserve"> </v>
      </c>
      <c r="I2995" s="223"/>
      <c r="J2995" s="224" t="s">
        <v>63</v>
      </c>
      <c r="K2995" s="225">
        <v>60</v>
      </c>
      <c r="L2995" s="225"/>
    </row>
    <row r="2996" spans="1:13" ht="11.25" customHeight="1" x14ac:dyDescent="0.2">
      <c r="A2996" s="226">
        <v>2023</v>
      </c>
      <c r="B2996" s="226">
        <v>5</v>
      </c>
      <c r="C2996" s="226">
        <v>28</v>
      </c>
      <c r="D2996" s="232">
        <f t="shared" si="330"/>
        <v>45074</v>
      </c>
      <c r="E2996" s="234">
        <f t="shared" si="332"/>
        <v>45074</v>
      </c>
      <c r="F2996" s="479"/>
      <c r="G2996" s="227" t="s">
        <v>1111</v>
      </c>
      <c r="H2996" s="228" t="str" cm="1">
        <f t="array" ref="H2996">IFERROR(INDEX(INVESTOR_LIST[INVESTOR NAME],MATCH(I2996,INVESTOR_LIST[INVESTOR CODE],0),)," ")</f>
        <v xml:space="preserve"> </v>
      </c>
      <c r="I2996" s="228"/>
      <c r="J2996" s="229" t="s">
        <v>55</v>
      </c>
      <c r="K2996" s="230"/>
      <c r="L2996" s="230">
        <v>60</v>
      </c>
    </row>
    <row r="2997" spans="1:13" ht="11.25" customHeight="1" x14ac:dyDescent="0.2">
      <c r="A2997" s="221">
        <v>2023</v>
      </c>
      <c r="B2997" s="221">
        <v>5</v>
      </c>
      <c r="C2997" s="221">
        <v>28</v>
      </c>
      <c r="D2997" s="231">
        <f t="shared" si="330"/>
        <v>45074</v>
      </c>
      <c r="E2997" s="233">
        <f>DATE(A2997,B2997,C2997)</f>
        <v>45074</v>
      </c>
      <c r="F2997" s="478" t="s">
        <v>1115</v>
      </c>
      <c r="G2997" s="222" t="s">
        <v>1111</v>
      </c>
      <c r="H2997" s="223" t="str" cm="1">
        <f t="array" ref="H2997">IFERROR(INDEX(INVESTOR_LIST[INVESTOR NAME],MATCH(I2997,INVESTOR_LIST[INVESTOR CODE],0),)," ")</f>
        <v>TAPASH KUMAR PAUL</v>
      </c>
      <c r="I2997" s="223" t="s">
        <v>1329</v>
      </c>
      <c r="J2997" s="224" t="s">
        <v>14</v>
      </c>
      <c r="K2997" s="225">
        <v>100400</v>
      </c>
      <c r="L2997" s="225"/>
    </row>
    <row r="2998" spans="1:13" ht="11.25" customHeight="1" x14ac:dyDescent="0.2">
      <c r="A2998" s="164">
        <v>2023</v>
      </c>
      <c r="B2998" s="164">
        <v>5</v>
      </c>
      <c r="C2998" s="164">
        <v>28</v>
      </c>
      <c r="D2998" s="156">
        <f t="shared" si="330"/>
        <v>45074</v>
      </c>
      <c r="E2998" s="235">
        <f>DATE(A2998,B2998,C2998)</f>
        <v>45074</v>
      </c>
      <c r="F2998" s="480"/>
      <c r="G2998" s="208" t="s">
        <v>1111</v>
      </c>
      <c r="H2998" s="206" t="str" cm="1">
        <f t="array" ref="H2998">IFERROR(INDEX(INVESTOR_LIST[INVESTOR NAME],MATCH(I2998,INVESTOR_LIST[INVESTOR CODE],0),)," ")</f>
        <v>TAPASH KUMAR PAUL</v>
      </c>
      <c r="I2998" s="206" t="s">
        <v>1329</v>
      </c>
      <c r="J2998" s="165" t="s">
        <v>1112</v>
      </c>
      <c r="K2998" s="205">
        <v>2289.12</v>
      </c>
    </row>
    <row r="2999" spans="1:13" ht="11.25" customHeight="1" x14ac:dyDescent="0.2">
      <c r="A2999" s="226">
        <v>2023</v>
      </c>
      <c r="B2999" s="226">
        <v>5</v>
      </c>
      <c r="C2999" s="226">
        <v>28</v>
      </c>
      <c r="D2999" s="232">
        <f t="shared" si="330"/>
        <v>45074</v>
      </c>
      <c r="E2999" s="234">
        <f>DATE(A2999,B2999,C2999)</f>
        <v>45074</v>
      </c>
      <c r="F2999" s="479"/>
      <c r="G2999" s="227" t="s">
        <v>1111</v>
      </c>
      <c r="H2999" s="228" t="str" cm="1">
        <f t="array" ref="H2999">IFERROR(INDEX(INVESTOR_LIST[INVESTOR NAME],MATCH(I2999,INVESTOR_LIST[INVESTOR CODE],0),)," ")</f>
        <v>TAPASH KUMAR PAUL</v>
      </c>
      <c r="I2999" s="228" t="s">
        <v>1329</v>
      </c>
      <c r="J2999" s="229" t="s">
        <v>55</v>
      </c>
      <c r="K2999" s="230"/>
      <c r="L2999" s="230">
        <v>102689.12</v>
      </c>
    </row>
    <row r="3000" spans="1:13" ht="11.25" customHeight="1" x14ac:dyDescent="0.2">
      <c r="A3000" s="221">
        <v>2023</v>
      </c>
      <c r="B3000" s="221">
        <v>5</v>
      </c>
      <c r="C3000" s="221">
        <v>28</v>
      </c>
      <c r="D3000" s="221">
        <f t="shared" si="330"/>
        <v>45074</v>
      </c>
      <c r="E3000" s="233">
        <f t="shared" ref="E3000:E3003" si="333">DATE(A3000,B3000,C3000)</f>
        <v>45074</v>
      </c>
      <c r="F3000" s="478" t="s">
        <v>1496</v>
      </c>
      <c r="G3000" s="222" t="s">
        <v>86</v>
      </c>
      <c r="H3000" s="222" t="str" cm="1">
        <f t="array" ref="H3000">IFERROR(INDEX(INVESTOR_LIST[INVESTOR NAME],MATCH(I3000,INVESTOR_LIST[INVESTOR CODE],0),)," ")</f>
        <v xml:space="preserve"> </v>
      </c>
      <c r="I3000" s="223"/>
      <c r="J3000" s="165" t="s">
        <v>199</v>
      </c>
      <c r="K3000" s="225">
        <v>2029839.7</v>
      </c>
      <c r="L3000" s="225"/>
    </row>
    <row r="3001" spans="1:13" ht="11.25" customHeight="1" x14ac:dyDescent="0.2">
      <c r="A3001" s="164">
        <v>2023</v>
      </c>
      <c r="B3001" s="164">
        <v>5</v>
      </c>
      <c r="C3001" s="164">
        <v>28</v>
      </c>
      <c r="D3001" s="164">
        <f t="shared" si="330"/>
        <v>45074</v>
      </c>
      <c r="E3001" s="235">
        <f t="shared" si="333"/>
        <v>45074</v>
      </c>
      <c r="F3001" s="480"/>
      <c r="G3001" s="208" t="s">
        <v>86</v>
      </c>
      <c r="H3001" s="208"/>
      <c r="J3001" s="165" t="s">
        <v>960</v>
      </c>
      <c r="K3001" s="205">
        <v>3660.3</v>
      </c>
      <c r="L3001" s="205"/>
    </row>
    <row r="3002" spans="1:13" ht="11.25" customHeight="1" x14ac:dyDescent="0.2">
      <c r="A3002" s="164">
        <v>2023</v>
      </c>
      <c r="B3002" s="164">
        <v>5</v>
      </c>
      <c r="C3002" s="164">
        <v>28</v>
      </c>
      <c r="D3002" s="164">
        <f t="shared" si="330"/>
        <v>45074</v>
      </c>
      <c r="E3002" s="235">
        <f t="shared" si="333"/>
        <v>45074</v>
      </c>
      <c r="F3002" s="480"/>
      <c r="G3002" s="208" t="s">
        <v>86</v>
      </c>
      <c r="H3002" s="208"/>
      <c r="J3002" s="165" t="s">
        <v>200</v>
      </c>
      <c r="K3002" s="205">
        <v>120013.63</v>
      </c>
      <c r="L3002" s="205"/>
    </row>
    <row r="3003" spans="1:13" ht="11.25" customHeight="1" x14ac:dyDescent="0.2">
      <c r="A3003" s="226">
        <v>2023</v>
      </c>
      <c r="B3003" s="226">
        <v>5</v>
      </c>
      <c r="C3003" s="226">
        <v>28</v>
      </c>
      <c r="D3003" s="226">
        <f t="shared" si="330"/>
        <v>45074</v>
      </c>
      <c r="E3003" s="234">
        <f t="shared" si="333"/>
        <v>45074</v>
      </c>
      <c r="F3003" s="479"/>
      <c r="G3003" s="227" t="s">
        <v>86</v>
      </c>
      <c r="H3003" s="228" t="str" cm="1">
        <f t="array" ref="H3003">IFERROR(INDEX(INVESTOR_LIST[INVESTOR NAME],MATCH(I3003,INVESTOR_LIST[INVESTOR CODE],0),)," ")</f>
        <v xml:space="preserve"> </v>
      </c>
      <c r="I3003" s="228"/>
      <c r="J3003" s="229" t="s">
        <v>80</v>
      </c>
      <c r="K3003" s="230"/>
      <c r="L3003" s="230">
        <v>2153513.63</v>
      </c>
    </row>
    <row r="3004" spans="1:13" ht="11.25" customHeight="1" x14ac:dyDescent="0.2">
      <c r="A3004" s="221">
        <v>2023</v>
      </c>
      <c r="B3004" s="221">
        <v>5</v>
      </c>
      <c r="C3004" s="221">
        <v>29</v>
      </c>
      <c r="D3004" s="231">
        <f t="shared" si="330"/>
        <v>45075</v>
      </c>
      <c r="E3004" s="233">
        <f t="shared" ref="E3004:E3019" si="334">DATE(A3004,B3004,C3004)</f>
        <v>45075</v>
      </c>
      <c r="F3004" s="478" t="s">
        <v>1132</v>
      </c>
      <c r="G3004" s="222" t="s">
        <v>1111</v>
      </c>
      <c r="H3004" s="223" t="str" cm="1">
        <f t="array" ref="H3004">IFERROR(INDEX(INVESTOR_LIST[INVESTOR NAME],MATCH(I3004,INVESTOR_LIST[INVESTOR CODE],0),)," ")</f>
        <v xml:space="preserve"> </v>
      </c>
      <c r="I3004" s="223"/>
      <c r="J3004" s="224" t="s">
        <v>55</v>
      </c>
      <c r="K3004" s="167">
        <v>15000</v>
      </c>
      <c r="L3004" s="225"/>
    </row>
    <row r="3005" spans="1:13" ht="11.25" customHeight="1" x14ac:dyDescent="0.2">
      <c r="A3005" s="164">
        <v>2023</v>
      </c>
      <c r="B3005" s="164">
        <v>5</v>
      </c>
      <c r="C3005" s="164">
        <v>29</v>
      </c>
      <c r="D3005" s="156">
        <f t="shared" si="330"/>
        <v>45075</v>
      </c>
      <c r="E3005" s="235">
        <f t="shared" si="334"/>
        <v>45075</v>
      </c>
      <c r="F3005" s="480"/>
      <c r="G3005" s="208" t="s">
        <v>1111</v>
      </c>
      <c r="H3005" s="206" t="str" cm="1">
        <f t="array" ref="H3005">IFERROR(INDEX(INVESTOR_LIST[INVESTOR NAME],MATCH(I3005,INVESTOR_LIST[INVESTOR CODE],0),)," ")</f>
        <v xml:space="preserve"> </v>
      </c>
      <c r="J3005" s="165" t="s">
        <v>14</v>
      </c>
      <c r="L3005" s="205">
        <v>14670</v>
      </c>
    </row>
    <row r="3006" spans="1:13" ht="11.25" customHeight="1" x14ac:dyDescent="0.2">
      <c r="A3006" s="226">
        <v>2023</v>
      </c>
      <c r="B3006" s="226">
        <v>5</v>
      </c>
      <c r="C3006" s="226">
        <v>29</v>
      </c>
      <c r="D3006" s="232">
        <f t="shared" si="330"/>
        <v>45075</v>
      </c>
      <c r="E3006" s="234">
        <f t="shared" si="334"/>
        <v>45075</v>
      </c>
      <c r="F3006" s="479"/>
      <c r="G3006" s="227" t="s">
        <v>1111</v>
      </c>
      <c r="H3006" s="228" t="str" cm="1">
        <f t="array" ref="H3006">IFERROR(INDEX(INVESTOR_LIST[INVESTOR NAME],MATCH(I3006,INVESTOR_LIST[INVESTOR CODE],0),)," ")</f>
        <v xml:space="preserve"> </v>
      </c>
      <c r="I3006" s="228"/>
      <c r="J3006" s="229" t="s">
        <v>1112</v>
      </c>
      <c r="K3006" s="230"/>
      <c r="L3006" s="230">
        <v>330</v>
      </c>
    </row>
    <row r="3007" spans="1:13" ht="11.25" customHeight="1" x14ac:dyDescent="0.2">
      <c r="A3007" s="221">
        <v>2023</v>
      </c>
      <c r="B3007" s="221">
        <v>5</v>
      </c>
      <c r="C3007" s="221">
        <v>29</v>
      </c>
      <c r="D3007" s="231">
        <f t="shared" si="330"/>
        <v>45075</v>
      </c>
      <c r="E3007" s="233">
        <f t="shared" si="334"/>
        <v>45075</v>
      </c>
      <c r="F3007" s="478" t="s">
        <v>1303</v>
      </c>
      <c r="G3007" s="222" t="s">
        <v>1111</v>
      </c>
      <c r="H3007" s="223" t="str" cm="1">
        <f t="array" ref="H3007">IFERROR(INDEX(INVESTOR_LIST[INVESTOR NAME],MATCH(I3007,INVESTOR_LIST[INVESTOR CODE],0),)," ")</f>
        <v xml:space="preserve"> </v>
      </c>
      <c r="I3007" s="223"/>
      <c r="J3007" s="224" t="s">
        <v>55</v>
      </c>
      <c r="K3007" s="225">
        <v>2334220.83</v>
      </c>
      <c r="L3007" s="225"/>
    </row>
    <row r="3008" spans="1:13" ht="11.25" customHeight="1" x14ac:dyDescent="0.2">
      <c r="A3008" s="226">
        <v>2023</v>
      </c>
      <c r="B3008" s="226">
        <v>5</v>
      </c>
      <c r="C3008" s="226">
        <v>29</v>
      </c>
      <c r="D3008" s="232">
        <f t="shared" si="330"/>
        <v>45075</v>
      </c>
      <c r="E3008" s="234">
        <f t="shared" si="334"/>
        <v>45075</v>
      </c>
      <c r="F3008" s="479"/>
      <c r="G3008" s="227" t="s">
        <v>1111</v>
      </c>
      <c r="H3008" s="228" t="str" cm="1">
        <f t="array" ref="H3008">IFERROR(INDEX(INVESTOR_LIST[INVESTOR NAME],MATCH(I3008,INVESTOR_LIST[INVESTOR CODE],0),)," ")</f>
        <v xml:space="preserve"> </v>
      </c>
      <c r="I3008" s="228"/>
      <c r="J3008" s="229" t="s">
        <v>199</v>
      </c>
      <c r="K3008" s="230"/>
      <c r="L3008" s="230">
        <v>2334220.83</v>
      </c>
      <c r="M3008" s="166"/>
    </row>
    <row r="3009" spans="1:13" ht="11.25" customHeight="1" x14ac:dyDescent="0.2">
      <c r="A3009" s="221">
        <v>2023</v>
      </c>
      <c r="B3009" s="221">
        <v>5</v>
      </c>
      <c r="C3009" s="221">
        <v>29</v>
      </c>
      <c r="D3009" s="231">
        <f t="shared" si="330"/>
        <v>45075</v>
      </c>
      <c r="E3009" s="233">
        <f t="shared" si="334"/>
        <v>45075</v>
      </c>
      <c r="F3009" s="478" t="s">
        <v>802</v>
      </c>
      <c r="G3009" s="222" t="s">
        <v>1111</v>
      </c>
      <c r="H3009" s="223" t="str" cm="1">
        <f t="array" ref="H3009">IFERROR(INDEX(INVESTOR_LIST[INVESTOR NAME],MATCH(I3009,INVESTOR_LIST[INVESTOR CODE],0),)," ")</f>
        <v>VANGUARD AML GROWTH FUND</v>
      </c>
      <c r="I3009" s="223" t="s">
        <v>896</v>
      </c>
      <c r="J3009" s="224" t="s">
        <v>55</v>
      </c>
      <c r="K3009" s="167">
        <v>1023000</v>
      </c>
      <c r="L3009" s="225"/>
    </row>
    <row r="3010" spans="1:13" ht="11.25" customHeight="1" x14ac:dyDescent="0.2">
      <c r="A3010" s="164">
        <v>2023</v>
      </c>
      <c r="B3010" s="164">
        <v>5</v>
      </c>
      <c r="C3010" s="164">
        <v>29</v>
      </c>
      <c r="D3010" s="156">
        <f t="shared" si="330"/>
        <v>45075</v>
      </c>
      <c r="E3010" s="235">
        <f t="shared" si="334"/>
        <v>45075</v>
      </c>
      <c r="F3010" s="480"/>
      <c r="G3010" s="208" t="s">
        <v>1111</v>
      </c>
      <c r="H3010" s="206" t="str" cm="1">
        <f t="array" ref="H3010">IFERROR(INDEX(INVESTOR_LIST[INVESTOR NAME],MATCH(I3010,INVESTOR_LIST[INVESTOR CODE],0),)," ")</f>
        <v>VANGUARD AML GROWTH FUND</v>
      </c>
      <c r="I3010" s="206" t="s">
        <v>896</v>
      </c>
      <c r="J3010" s="165" t="s">
        <v>14</v>
      </c>
      <c r="L3010" s="205">
        <v>1000000</v>
      </c>
    </row>
    <row r="3011" spans="1:13" ht="11.25" customHeight="1" x14ac:dyDescent="0.2">
      <c r="A3011" s="226">
        <v>2023</v>
      </c>
      <c r="B3011" s="226">
        <v>5</v>
      </c>
      <c r="C3011" s="226">
        <v>29</v>
      </c>
      <c r="D3011" s="232">
        <f t="shared" si="330"/>
        <v>45075</v>
      </c>
      <c r="E3011" s="234">
        <f t="shared" si="334"/>
        <v>45075</v>
      </c>
      <c r="F3011" s="479"/>
      <c r="G3011" s="227" t="s">
        <v>1111</v>
      </c>
      <c r="H3011" s="228" t="str" cm="1">
        <f t="array" ref="H3011">IFERROR(INDEX(INVESTOR_LIST[INVESTOR NAME],MATCH(I3011,INVESTOR_LIST[INVESTOR CODE],0),)," ")</f>
        <v>VANGUARD AML GROWTH FUND</v>
      </c>
      <c r="I3011" s="228" t="s">
        <v>896</v>
      </c>
      <c r="J3011" s="229" t="s">
        <v>1112</v>
      </c>
      <c r="K3011" s="230"/>
      <c r="L3011" s="230">
        <v>23000</v>
      </c>
    </row>
    <row r="3012" spans="1:13" ht="11.25" customHeight="1" x14ac:dyDescent="0.2">
      <c r="A3012" s="221">
        <v>2023</v>
      </c>
      <c r="B3012" s="221">
        <v>5</v>
      </c>
      <c r="C3012" s="221">
        <v>29</v>
      </c>
      <c r="D3012" s="231">
        <f t="shared" si="330"/>
        <v>45075</v>
      </c>
      <c r="E3012" s="233">
        <f t="shared" si="334"/>
        <v>45075</v>
      </c>
      <c r="F3012" s="478" t="s">
        <v>1518</v>
      </c>
      <c r="G3012" s="222" t="s">
        <v>1111</v>
      </c>
      <c r="H3012" s="223" t="str" cm="1">
        <f t="array" ref="H3012">IFERROR(INDEX(INVESTOR_LIST[INVESTOR NAME],MATCH(I3012,INVESTOR_LIST[INVESTOR CODE],0),)," ")</f>
        <v xml:space="preserve"> </v>
      </c>
      <c r="I3012" s="223"/>
      <c r="J3012" s="224" t="s">
        <v>63</v>
      </c>
      <c r="K3012" s="225">
        <v>60</v>
      </c>
      <c r="L3012" s="225"/>
    </row>
    <row r="3013" spans="1:13" ht="11.25" customHeight="1" x14ac:dyDescent="0.2">
      <c r="A3013" s="226">
        <v>2023</v>
      </c>
      <c r="B3013" s="226">
        <v>5</v>
      </c>
      <c r="C3013" s="226">
        <v>29</v>
      </c>
      <c r="D3013" s="232">
        <f t="shared" si="330"/>
        <v>45075</v>
      </c>
      <c r="E3013" s="234">
        <f t="shared" si="334"/>
        <v>45075</v>
      </c>
      <c r="F3013" s="479"/>
      <c r="G3013" s="227" t="s">
        <v>1111</v>
      </c>
      <c r="H3013" s="228" t="str" cm="1">
        <f t="array" ref="H3013">IFERROR(INDEX(INVESTOR_LIST[INVESTOR NAME],MATCH(I3013,INVESTOR_LIST[INVESTOR CODE],0),)," ")</f>
        <v xml:space="preserve"> </v>
      </c>
      <c r="I3013" s="228"/>
      <c r="J3013" s="229" t="s">
        <v>55</v>
      </c>
      <c r="K3013" s="230"/>
      <c r="L3013" s="230">
        <v>60</v>
      </c>
    </row>
    <row r="3014" spans="1:13" ht="11.25" customHeight="1" x14ac:dyDescent="0.2">
      <c r="A3014" s="221">
        <v>2023</v>
      </c>
      <c r="B3014" s="221">
        <v>5</v>
      </c>
      <c r="C3014" s="221">
        <v>29</v>
      </c>
      <c r="D3014" s="231">
        <f t="shared" si="330"/>
        <v>45075</v>
      </c>
      <c r="E3014" s="233">
        <f t="shared" si="334"/>
        <v>45075</v>
      </c>
      <c r="F3014" s="478" t="s">
        <v>1519</v>
      </c>
      <c r="G3014" s="222" t="s">
        <v>1111</v>
      </c>
      <c r="H3014" s="223" t="str" cm="1">
        <f t="array" ref="H3014">IFERROR(INDEX(INVESTOR_LIST[INVESTOR NAME],MATCH(I3014,INVESTOR_LIST[INVESTOR CODE],0),)," ")</f>
        <v xml:space="preserve"> </v>
      </c>
      <c r="I3014" s="223"/>
      <c r="J3014" s="224" t="s">
        <v>55</v>
      </c>
      <c r="K3014" s="225">
        <v>5529949.6399999997</v>
      </c>
      <c r="L3014" s="225"/>
    </row>
    <row r="3015" spans="1:13" ht="11.25" customHeight="1" x14ac:dyDescent="0.2">
      <c r="A3015" s="226">
        <v>2023</v>
      </c>
      <c r="B3015" s="226">
        <v>5</v>
      </c>
      <c r="C3015" s="226">
        <v>29</v>
      </c>
      <c r="D3015" s="232">
        <f t="shared" si="330"/>
        <v>45075</v>
      </c>
      <c r="E3015" s="234">
        <f t="shared" si="334"/>
        <v>45075</v>
      </c>
      <c r="F3015" s="479"/>
      <c r="G3015" s="227" t="s">
        <v>1111</v>
      </c>
      <c r="H3015" s="228" t="str" cm="1">
        <f t="array" ref="H3015">IFERROR(INDEX(INVESTOR_LIST[INVESTOR NAME],MATCH(I3015,INVESTOR_LIST[INVESTOR CODE],0),)," ")</f>
        <v xml:space="preserve"> </v>
      </c>
      <c r="I3015" s="228"/>
      <c r="J3015" s="229" t="s">
        <v>199</v>
      </c>
      <c r="K3015" s="230"/>
      <c r="L3015" s="230">
        <v>5529949.6399999997</v>
      </c>
      <c r="M3015" s="166"/>
    </row>
    <row r="3016" spans="1:13" ht="11.25" customHeight="1" x14ac:dyDescent="0.2">
      <c r="A3016" s="221">
        <v>2023</v>
      </c>
      <c r="B3016" s="221">
        <v>5</v>
      </c>
      <c r="C3016" s="221">
        <v>29</v>
      </c>
      <c r="D3016" s="221">
        <f t="shared" si="330"/>
        <v>45075</v>
      </c>
      <c r="E3016" s="233">
        <f t="shared" si="334"/>
        <v>45075</v>
      </c>
      <c r="F3016" s="478" t="s">
        <v>1496</v>
      </c>
      <c r="G3016" s="222" t="s">
        <v>86</v>
      </c>
      <c r="H3016" s="222" t="str" cm="1">
        <f t="array" ref="H3016">IFERROR(INDEX(INVESTOR_LIST[INVESTOR NAME],MATCH(I3016,INVESTOR_LIST[INVESTOR CODE],0),)," ")</f>
        <v xml:space="preserve"> </v>
      </c>
      <c r="I3016" s="223"/>
      <c r="J3016" s="165" t="s">
        <v>199</v>
      </c>
      <c r="K3016" s="225">
        <v>3072206.06</v>
      </c>
      <c r="L3016" s="225"/>
    </row>
    <row r="3017" spans="1:13" ht="11.25" customHeight="1" x14ac:dyDescent="0.2">
      <c r="A3017" s="164">
        <v>2023</v>
      </c>
      <c r="B3017" s="164">
        <v>5</v>
      </c>
      <c r="C3017" s="164">
        <v>29</v>
      </c>
      <c r="D3017" s="164">
        <f t="shared" ref="D3017:D3080" si="335">DATE(A3017,B3017,C3017)</f>
        <v>45075</v>
      </c>
      <c r="E3017" s="235">
        <f t="shared" si="334"/>
        <v>45075</v>
      </c>
      <c r="F3017" s="480"/>
      <c r="G3017" s="208" t="s">
        <v>86</v>
      </c>
      <c r="H3017" s="208"/>
      <c r="J3017" s="165" t="s">
        <v>960</v>
      </c>
      <c r="K3017" s="205">
        <v>5539.94</v>
      </c>
      <c r="L3017" s="205"/>
    </row>
    <row r="3018" spans="1:13" ht="11.25" customHeight="1" x14ac:dyDescent="0.2">
      <c r="A3018" s="164">
        <v>2023</v>
      </c>
      <c r="B3018" s="164">
        <v>5</v>
      </c>
      <c r="C3018" s="164">
        <v>29</v>
      </c>
      <c r="D3018" s="164">
        <f t="shared" si="335"/>
        <v>45075</v>
      </c>
      <c r="E3018" s="235">
        <f t="shared" si="334"/>
        <v>45075</v>
      </c>
      <c r="F3018" s="480"/>
      <c r="G3018" s="208" t="s">
        <v>86</v>
      </c>
      <c r="H3018" s="208"/>
      <c r="J3018" s="165" t="s">
        <v>200</v>
      </c>
      <c r="K3018" s="205">
        <v>186980.67</v>
      </c>
      <c r="L3018" s="205"/>
    </row>
    <row r="3019" spans="1:13" ht="11.25" customHeight="1" x14ac:dyDescent="0.2">
      <c r="A3019" s="226">
        <v>2023</v>
      </c>
      <c r="B3019" s="226">
        <v>5</v>
      </c>
      <c r="C3019" s="226">
        <v>29</v>
      </c>
      <c r="D3019" s="226">
        <f t="shared" si="335"/>
        <v>45075</v>
      </c>
      <c r="E3019" s="234">
        <f t="shared" si="334"/>
        <v>45075</v>
      </c>
      <c r="F3019" s="479"/>
      <c r="G3019" s="227" t="s">
        <v>86</v>
      </c>
      <c r="H3019" s="228" t="str" cm="1">
        <f t="array" ref="H3019">IFERROR(INDEX(INVESTOR_LIST[INVESTOR NAME],MATCH(I3019,INVESTOR_LIST[INVESTOR CODE],0),)," ")</f>
        <v xml:space="preserve"> </v>
      </c>
      <c r="I3019" s="228"/>
      <c r="J3019" s="229" t="s">
        <v>80</v>
      </c>
      <c r="K3019" s="230"/>
      <c r="L3019" s="230">
        <v>3264726.67</v>
      </c>
    </row>
    <row r="3020" spans="1:13" ht="11.25" customHeight="1" x14ac:dyDescent="0.2">
      <c r="A3020" s="221">
        <v>2023</v>
      </c>
      <c r="B3020" s="221">
        <v>5</v>
      </c>
      <c r="C3020" s="221">
        <v>30</v>
      </c>
      <c r="D3020" s="231">
        <f t="shared" si="335"/>
        <v>45076</v>
      </c>
      <c r="E3020" s="233">
        <f t="shared" ref="E3020:E3027" si="336">DATE(A3020,B3020,C3020)</f>
        <v>45076</v>
      </c>
      <c r="F3020" s="478" t="s">
        <v>1497</v>
      </c>
      <c r="G3020" s="222" t="s">
        <v>1111</v>
      </c>
      <c r="H3020" s="223" t="str" cm="1">
        <f t="array" ref="H3020">IFERROR(INDEX(INVESTOR_LIST[INVESTOR NAME],MATCH(I3020,INVESTOR_LIST[INVESTOR CODE],0),)," ")</f>
        <v xml:space="preserve"> </v>
      </c>
      <c r="I3020" s="223"/>
      <c r="J3020" s="224" t="s">
        <v>55</v>
      </c>
      <c r="K3020" s="225">
        <v>2029839.7</v>
      </c>
      <c r="L3020" s="225"/>
    </row>
    <row r="3021" spans="1:13" ht="11.25" customHeight="1" x14ac:dyDescent="0.2">
      <c r="A3021" s="226">
        <v>2023</v>
      </c>
      <c r="B3021" s="226">
        <v>5</v>
      </c>
      <c r="C3021" s="226">
        <v>30</v>
      </c>
      <c r="D3021" s="232">
        <f t="shared" si="335"/>
        <v>45076</v>
      </c>
      <c r="E3021" s="234">
        <f t="shared" si="336"/>
        <v>45076</v>
      </c>
      <c r="F3021" s="479"/>
      <c r="G3021" s="227" t="s">
        <v>1111</v>
      </c>
      <c r="H3021" s="228" t="str" cm="1">
        <f t="array" ref="H3021">IFERROR(INDEX(INVESTOR_LIST[INVESTOR NAME],MATCH(I3021,INVESTOR_LIST[INVESTOR CODE],0),)," ")</f>
        <v xml:space="preserve"> </v>
      </c>
      <c r="I3021" s="228"/>
      <c r="J3021" s="229" t="s">
        <v>199</v>
      </c>
      <c r="K3021" s="230"/>
      <c r="L3021" s="230">
        <v>2029839.7</v>
      </c>
      <c r="M3021" s="166"/>
    </row>
    <row r="3022" spans="1:13" ht="11.25" customHeight="1" x14ac:dyDescent="0.2">
      <c r="A3022" s="221">
        <v>2023</v>
      </c>
      <c r="B3022" s="221">
        <v>5</v>
      </c>
      <c r="C3022" s="221">
        <v>30</v>
      </c>
      <c r="D3022" s="221">
        <f t="shared" si="335"/>
        <v>45076</v>
      </c>
      <c r="E3022" s="233">
        <f t="shared" si="336"/>
        <v>45076</v>
      </c>
      <c r="F3022" s="478" t="s">
        <v>1301</v>
      </c>
      <c r="G3022" s="222" t="s">
        <v>86</v>
      </c>
      <c r="H3022" s="222" t="str" cm="1">
        <f t="array" ref="H3022">IFERROR(INDEX(INVESTOR_LIST[INVESTOR NAME],MATCH(I3022,INVESTOR_LIST[INVESTOR CODE],0),)," ")</f>
        <v xml:space="preserve"> </v>
      </c>
      <c r="I3022" s="223"/>
      <c r="J3022" s="165" t="s">
        <v>199</v>
      </c>
      <c r="K3022" s="225">
        <v>2243818.84</v>
      </c>
      <c r="L3022" s="225"/>
    </row>
    <row r="3023" spans="1:13" ht="11.25" customHeight="1" x14ac:dyDescent="0.2">
      <c r="A3023" s="164">
        <v>2023</v>
      </c>
      <c r="B3023" s="164">
        <v>5</v>
      </c>
      <c r="C3023" s="164">
        <v>30</v>
      </c>
      <c r="D3023" s="164">
        <f t="shared" si="335"/>
        <v>45076</v>
      </c>
      <c r="E3023" s="235">
        <f t="shared" si="336"/>
        <v>45076</v>
      </c>
      <c r="F3023" s="480"/>
      <c r="G3023" s="208" t="s">
        <v>86</v>
      </c>
      <c r="H3023" s="208"/>
      <c r="J3023" s="165" t="s">
        <v>960</v>
      </c>
      <c r="K3023" s="205">
        <v>4046.16</v>
      </c>
      <c r="L3023" s="205"/>
    </row>
    <row r="3024" spans="1:13" ht="11.25" customHeight="1" x14ac:dyDescent="0.2">
      <c r="A3024" s="164">
        <v>2023</v>
      </c>
      <c r="B3024" s="164">
        <v>5</v>
      </c>
      <c r="C3024" s="164">
        <v>30</v>
      </c>
      <c r="D3024" s="164">
        <f t="shared" si="335"/>
        <v>45076</v>
      </c>
      <c r="E3024" s="235">
        <f t="shared" si="336"/>
        <v>45076</v>
      </c>
      <c r="F3024" s="480"/>
      <c r="G3024" s="208" t="s">
        <v>86</v>
      </c>
      <c r="H3024" s="208"/>
      <c r="J3024" s="165" t="s">
        <v>200</v>
      </c>
      <c r="K3024" s="205"/>
      <c r="L3024" s="205">
        <v>27165</v>
      </c>
    </row>
    <row r="3025" spans="1:13" ht="11.25" customHeight="1" x14ac:dyDescent="0.2">
      <c r="A3025" s="226">
        <v>2023</v>
      </c>
      <c r="B3025" s="226">
        <v>5</v>
      </c>
      <c r="C3025" s="226">
        <v>30</v>
      </c>
      <c r="D3025" s="226">
        <f t="shared" si="335"/>
        <v>45076</v>
      </c>
      <c r="E3025" s="234">
        <f t="shared" si="336"/>
        <v>45076</v>
      </c>
      <c r="F3025" s="479"/>
      <c r="G3025" s="227" t="s">
        <v>86</v>
      </c>
      <c r="H3025" s="228" t="str" cm="1">
        <f t="array" ref="H3025">IFERROR(INDEX(INVESTOR_LIST[INVESTOR NAME],MATCH(I3025,INVESTOR_LIST[INVESTOR CODE],0),)," ")</f>
        <v xml:space="preserve"> </v>
      </c>
      <c r="I3025" s="228"/>
      <c r="J3025" s="229" t="s">
        <v>80</v>
      </c>
      <c r="K3025" s="230"/>
      <c r="L3025" s="230">
        <v>2220700</v>
      </c>
    </row>
    <row r="3026" spans="1:13" ht="11.25" customHeight="1" x14ac:dyDescent="0.2">
      <c r="A3026" s="221">
        <v>2023</v>
      </c>
      <c r="B3026" s="221">
        <v>5</v>
      </c>
      <c r="C3026" s="221">
        <v>31</v>
      </c>
      <c r="D3026" s="231">
        <f t="shared" si="335"/>
        <v>45077</v>
      </c>
      <c r="E3026" s="233">
        <f t="shared" si="336"/>
        <v>45077</v>
      </c>
      <c r="F3026" s="478" t="s">
        <v>1303</v>
      </c>
      <c r="G3026" s="222" t="s">
        <v>1111</v>
      </c>
      <c r="H3026" s="223" t="str" cm="1">
        <f t="array" ref="H3026">IFERROR(INDEX(INVESTOR_LIST[INVESTOR NAME],MATCH(I3026,INVESTOR_LIST[INVESTOR CODE],0),)," ")</f>
        <v xml:space="preserve"> </v>
      </c>
      <c r="I3026" s="223"/>
      <c r="J3026" s="224" t="s">
        <v>55</v>
      </c>
      <c r="K3026" s="225">
        <v>2243818.84</v>
      </c>
      <c r="L3026" s="225"/>
    </row>
    <row r="3027" spans="1:13" ht="11.25" customHeight="1" x14ac:dyDescent="0.2">
      <c r="A3027" s="226">
        <v>2023</v>
      </c>
      <c r="B3027" s="226">
        <v>5</v>
      </c>
      <c r="C3027" s="226">
        <v>31</v>
      </c>
      <c r="D3027" s="232">
        <f t="shared" si="335"/>
        <v>45077</v>
      </c>
      <c r="E3027" s="234">
        <f t="shared" si="336"/>
        <v>45077</v>
      </c>
      <c r="F3027" s="479"/>
      <c r="G3027" s="227" t="s">
        <v>1111</v>
      </c>
      <c r="H3027" s="228" t="str" cm="1">
        <f t="array" ref="H3027">IFERROR(INDEX(INVESTOR_LIST[INVESTOR NAME],MATCH(I3027,INVESTOR_LIST[INVESTOR CODE],0),)," ")</f>
        <v xml:space="preserve"> </v>
      </c>
      <c r="I3027" s="228"/>
      <c r="J3027" s="229" t="s">
        <v>199</v>
      </c>
      <c r="K3027" s="230"/>
      <c r="L3027" s="230">
        <v>2243818.84</v>
      </c>
      <c r="M3027" s="166"/>
    </row>
    <row r="3028" spans="1:13" ht="11.25" customHeight="1" x14ac:dyDescent="0.2">
      <c r="A3028" s="221">
        <v>2023</v>
      </c>
      <c r="B3028" s="221">
        <v>5</v>
      </c>
      <c r="C3028" s="221">
        <v>31</v>
      </c>
      <c r="D3028" s="231">
        <f t="shared" si="335"/>
        <v>45077</v>
      </c>
      <c r="E3028" s="233">
        <f t="shared" ref="E3028:E3029" si="337">DATE(A3028,B3028,C3028)</f>
        <v>45077</v>
      </c>
      <c r="F3028" s="478" t="s">
        <v>1497</v>
      </c>
      <c r="G3028" s="222" t="s">
        <v>1111</v>
      </c>
      <c r="H3028" s="223" t="str" cm="1">
        <f t="array" ref="H3028">IFERROR(INDEX(INVESTOR_LIST[INVESTOR NAME],MATCH(I3028,INVESTOR_LIST[INVESTOR CODE],0),)," ")</f>
        <v xml:space="preserve"> </v>
      </c>
      <c r="I3028" s="223"/>
      <c r="J3028" s="224" t="s">
        <v>55</v>
      </c>
      <c r="K3028" s="225">
        <v>3072206.06</v>
      </c>
      <c r="L3028" s="225"/>
    </row>
    <row r="3029" spans="1:13" ht="11.25" customHeight="1" x14ac:dyDescent="0.2">
      <c r="A3029" s="226">
        <v>2023</v>
      </c>
      <c r="B3029" s="226">
        <v>5</v>
      </c>
      <c r="C3029" s="226">
        <v>31</v>
      </c>
      <c r="D3029" s="232">
        <f t="shared" si="335"/>
        <v>45077</v>
      </c>
      <c r="E3029" s="234">
        <f t="shared" si="337"/>
        <v>45077</v>
      </c>
      <c r="F3029" s="479"/>
      <c r="G3029" s="227" t="s">
        <v>1111</v>
      </c>
      <c r="H3029" s="228" t="str" cm="1">
        <f t="array" ref="H3029">IFERROR(INDEX(INVESTOR_LIST[INVESTOR NAME],MATCH(I3029,INVESTOR_LIST[INVESTOR CODE],0),)," ")</f>
        <v xml:space="preserve"> </v>
      </c>
      <c r="I3029" s="228"/>
      <c r="J3029" s="229" t="s">
        <v>199</v>
      </c>
      <c r="K3029" s="230"/>
      <c r="L3029" s="230">
        <v>3072206.06</v>
      </c>
      <c r="M3029" s="166"/>
    </row>
    <row r="3030" spans="1:13" ht="11.25" customHeight="1" x14ac:dyDescent="0.2">
      <c r="A3030" s="221">
        <v>2023</v>
      </c>
      <c r="B3030" s="221">
        <v>6</v>
      </c>
      <c r="C3030" s="221">
        <v>1</v>
      </c>
      <c r="D3030" s="231">
        <f t="shared" si="335"/>
        <v>45078</v>
      </c>
      <c r="E3030" s="233">
        <f>DATE(A3030,B3030,C3030)</f>
        <v>45078</v>
      </c>
      <c r="F3030" s="478" t="s">
        <v>1115</v>
      </c>
      <c r="G3030" s="222" t="s">
        <v>1111</v>
      </c>
      <c r="H3030" s="223" t="str" cm="1">
        <f t="array" ref="H3030">IFERROR(INDEX(INVESTOR_LIST[INVESTOR NAME],MATCH(I3030,INVESTOR_LIST[INVESTOR CODE],0),)," ")</f>
        <v>NAYEEMA TASNEEM</v>
      </c>
      <c r="I3030" s="223" t="s">
        <v>922</v>
      </c>
      <c r="J3030" s="224" t="s">
        <v>14</v>
      </c>
      <c r="K3030" s="225">
        <v>68440</v>
      </c>
      <c r="L3030" s="225"/>
    </row>
    <row r="3031" spans="1:13" ht="11.25" customHeight="1" x14ac:dyDescent="0.2">
      <c r="A3031" s="164">
        <v>2023</v>
      </c>
      <c r="B3031" s="164">
        <v>6</v>
      </c>
      <c r="C3031" s="164">
        <v>1</v>
      </c>
      <c r="D3031" s="156">
        <f t="shared" si="335"/>
        <v>45078</v>
      </c>
      <c r="E3031" s="235">
        <f>DATE(A3031,B3031,C3031)</f>
        <v>45078</v>
      </c>
      <c r="F3031" s="480"/>
      <c r="G3031" s="208" t="s">
        <v>1111</v>
      </c>
      <c r="H3031" s="206" t="str" cm="1">
        <f t="array" ref="H3031">IFERROR(INDEX(INVESTOR_LIST[INVESTOR NAME],MATCH(I3031,INVESTOR_LIST[INVESTOR CODE],0),)," ")</f>
        <v>NAYEEMA TASNEEM</v>
      </c>
      <c r="I3031" s="206" t="s">
        <v>922</v>
      </c>
      <c r="J3031" s="165" t="s">
        <v>1112</v>
      </c>
      <c r="K3031" s="205">
        <v>1560</v>
      </c>
    </row>
    <row r="3032" spans="1:13" ht="11.25" customHeight="1" x14ac:dyDescent="0.2">
      <c r="A3032" s="226">
        <v>2023</v>
      </c>
      <c r="B3032" s="226">
        <v>6</v>
      </c>
      <c r="C3032" s="226">
        <v>1</v>
      </c>
      <c r="D3032" s="232">
        <f t="shared" si="335"/>
        <v>45078</v>
      </c>
      <c r="E3032" s="234">
        <f>DATE(A3032,B3032,C3032)</f>
        <v>45078</v>
      </c>
      <c r="F3032" s="479"/>
      <c r="G3032" s="227" t="s">
        <v>1111</v>
      </c>
      <c r="H3032" s="228" t="str" cm="1">
        <f t="array" ref="H3032">IFERROR(INDEX(INVESTOR_LIST[INVESTOR NAME],MATCH(I3032,INVESTOR_LIST[INVESTOR CODE],0),)," ")</f>
        <v>NAYEEMA TASNEEM</v>
      </c>
      <c r="I3032" s="228" t="s">
        <v>922</v>
      </c>
      <c r="J3032" s="229" t="s">
        <v>55</v>
      </c>
      <c r="K3032" s="230"/>
      <c r="L3032" s="230">
        <v>70000</v>
      </c>
    </row>
    <row r="3033" spans="1:13" ht="11.25" customHeight="1" x14ac:dyDescent="0.2">
      <c r="A3033" s="280">
        <v>2023</v>
      </c>
      <c r="B3033" s="280">
        <v>6</v>
      </c>
      <c r="C3033" s="280">
        <v>1</v>
      </c>
      <c r="D3033" s="281">
        <f t="shared" si="335"/>
        <v>45078</v>
      </c>
      <c r="E3033" s="282">
        <f t="shared" ref="E3033:E3078" si="338">DATE(A3033,B3033,C3033)</f>
        <v>45078</v>
      </c>
      <c r="F3033" s="472" t="s">
        <v>1369</v>
      </c>
      <c r="G3033" s="283" t="s">
        <v>86</v>
      </c>
      <c r="H3033" s="284" t="str" cm="1">
        <f t="array" ref="H3033">IFERROR(INDEX(INVESTOR_LIST[INVESTOR NAME],MATCH(I3033,INVESTOR_LIST[INVESTOR CODE],0),)," ")</f>
        <v xml:space="preserve"> </v>
      </c>
      <c r="I3033" s="284"/>
      <c r="J3033" s="285" t="s">
        <v>131</v>
      </c>
      <c r="K3033" s="286">
        <v>84115.34</v>
      </c>
      <c r="L3033" s="286"/>
    </row>
    <row r="3034" spans="1:13" ht="11.25" customHeight="1" x14ac:dyDescent="0.2">
      <c r="A3034" s="287">
        <v>2023</v>
      </c>
      <c r="B3034" s="287">
        <v>6</v>
      </c>
      <c r="C3034" s="287">
        <v>1</v>
      </c>
      <c r="D3034" s="288">
        <f t="shared" si="335"/>
        <v>45078</v>
      </c>
      <c r="E3034" s="289">
        <f t="shared" si="338"/>
        <v>45078</v>
      </c>
      <c r="F3034" s="473"/>
      <c r="G3034" s="290" t="s">
        <v>86</v>
      </c>
      <c r="H3034" s="291" t="str" cm="1">
        <f t="array" ref="H3034">IFERROR(INDEX(INVESTOR_LIST[INVESTOR NAME],MATCH(I3034,INVESTOR_LIST[INVESTOR CODE],0),)," ")</f>
        <v xml:space="preserve"> </v>
      </c>
      <c r="I3034" s="291"/>
      <c r="J3034" s="292" t="s">
        <v>174</v>
      </c>
      <c r="K3034" s="293"/>
      <c r="L3034" s="293">
        <v>84115.34</v>
      </c>
    </row>
    <row r="3035" spans="1:13" ht="11.25" customHeight="1" x14ac:dyDescent="0.2">
      <c r="A3035" s="280">
        <v>2023</v>
      </c>
      <c r="B3035" s="280">
        <v>6</v>
      </c>
      <c r="C3035" s="280">
        <v>1</v>
      </c>
      <c r="D3035" s="281">
        <f t="shared" si="335"/>
        <v>45078</v>
      </c>
      <c r="E3035" s="282">
        <f t="shared" si="338"/>
        <v>45078</v>
      </c>
      <c r="F3035" s="472" t="s">
        <v>1295</v>
      </c>
      <c r="G3035" s="283" t="s">
        <v>86</v>
      </c>
      <c r="H3035" s="284" t="str" cm="1">
        <f t="array" ref="H3035">IFERROR(INDEX(INVESTOR_LIST[INVESTOR NAME],MATCH(I3035,INVESTOR_LIST[INVESTOR CODE],0),)," ")</f>
        <v xml:space="preserve"> </v>
      </c>
      <c r="I3035" s="284"/>
      <c r="J3035" s="285" t="s">
        <v>131</v>
      </c>
      <c r="K3035" s="286">
        <v>16923.080000000002</v>
      </c>
      <c r="L3035" s="286"/>
    </row>
    <row r="3036" spans="1:13" ht="11.25" customHeight="1" x14ac:dyDescent="0.2">
      <c r="A3036" s="287">
        <v>2023</v>
      </c>
      <c r="B3036" s="287">
        <v>6</v>
      </c>
      <c r="C3036" s="287">
        <v>1</v>
      </c>
      <c r="D3036" s="288">
        <f t="shared" si="335"/>
        <v>45078</v>
      </c>
      <c r="E3036" s="289">
        <f t="shared" si="338"/>
        <v>45078</v>
      </c>
      <c r="F3036" s="473"/>
      <c r="G3036" s="290" t="s">
        <v>86</v>
      </c>
      <c r="H3036" s="291" t="str" cm="1">
        <f t="array" ref="H3036">IFERROR(INDEX(INVESTOR_LIST[INVESTOR NAME],MATCH(I3036,INVESTOR_LIST[INVESTOR CODE],0),)," ")</f>
        <v xml:space="preserve"> </v>
      </c>
      <c r="I3036" s="291"/>
      <c r="J3036" s="292" t="s">
        <v>174</v>
      </c>
      <c r="K3036" s="293"/>
      <c r="L3036" s="293">
        <v>16923.080000000002</v>
      </c>
    </row>
    <row r="3037" spans="1:13" ht="11.25" customHeight="1" x14ac:dyDescent="0.2">
      <c r="A3037" s="280">
        <v>2023</v>
      </c>
      <c r="B3037" s="280">
        <v>6</v>
      </c>
      <c r="C3037" s="280">
        <v>1</v>
      </c>
      <c r="D3037" s="281">
        <f t="shared" si="335"/>
        <v>45078</v>
      </c>
      <c r="E3037" s="282">
        <f t="shared" si="338"/>
        <v>45078</v>
      </c>
      <c r="F3037" s="472" t="s">
        <v>1294</v>
      </c>
      <c r="G3037" s="283" t="s">
        <v>86</v>
      </c>
      <c r="H3037" s="284" t="str" cm="1">
        <f t="array" ref="H3037">IFERROR(INDEX(INVESTOR_LIST[INVESTOR NAME],MATCH(I3037,INVESTOR_LIST[INVESTOR CODE],0),)," ")</f>
        <v xml:space="preserve"> </v>
      </c>
      <c r="I3037" s="284"/>
      <c r="J3037" s="285" t="s">
        <v>131</v>
      </c>
      <c r="K3037" s="286">
        <v>9711.5400000000009</v>
      </c>
      <c r="L3037" s="286"/>
    </row>
    <row r="3038" spans="1:13" ht="11.25" customHeight="1" x14ac:dyDescent="0.2">
      <c r="A3038" s="287">
        <v>2023</v>
      </c>
      <c r="B3038" s="287">
        <v>6</v>
      </c>
      <c r="C3038" s="287">
        <v>1</v>
      </c>
      <c r="D3038" s="288">
        <f t="shared" si="335"/>
        <v>45078</v>
      </c>
      <c r="E3038" s="289">
        <f t="shared" si="338"/>
        <v>45078</v>
      </c>
      <c r="F3038" s="473"/>
      <c r="G3038" s="290" t="s">
        <v>86</v>
      </c>
      <c r="H3038" s="291" t="str" cm="1">
        <f t="array" ref="H3038">IFERROR(INDEX(INVESTOR_LIST[INVESTOR NAME],MATCH(I3038,INVESTOR_LIST[INVESTOR CODE],0),)," ")</f>
        <v xml:space="preserve"> </v>
      </c>
      <c r="I3038" s="291"/>
      <c r="J3038" s="292" t="s">
        <v>174</v>
      </c>
      <c r="K3038" s="293"/>
      <c r="L3038" s="293">
        <v>9711.5400000000009</v>
      </c>
    </row>
    <row r="3039" spans="1:13" ht="11.25" customHeight="1" x14ac:dyDescent="0.2">
      <c r="A3039" s="236">
        <v>2023</v>
      </c>
      <c r="B3039" s="236">
        <v>6</v>
      </c>
      <c r="C3039" s="236">
        <v>1</v>
      </c>
      <c r="D3039" s="237">
        <f t="shared" si="335"/>
        <v>45078</v>
      </c>
      <c r="E3039" s="238">
        <f t="shared" si="338"/>
        <v>45078</v>
      </c>
      <c r="F3039" s="476" t="s">
        <v>1118</v>
      </c>
      <c r="G3039" s="239" t="s">
        <v>86</v>
      </c>
      <c r="H3039" s="239" t="str" cm="1">
        <f t="array" ref="H3039">IFERROR(INDEX(INVESTOR_LIST[INVESTOR NAME],MATCH(I3039,INVESTOR_LIST[INVESTOR CODE],0),)," ")</f>
        <v xml:space="preserve"> </v>
      </c>
      <c r="I3039" s="240"/>
      <c r="J3039" s="241" t="s">
        <v>98</v>
      </c>
      <c r="K3039" s="242">
        <v>163323.70000000298</v>
      </c>
      <c r="L3039" s="242"/>
    </row>
    <row r="3040" spans="1:13" ht="11.25" customHeight="1" x14ac:dyDescent="0.2">
      <c r="A3040" s="243">
        <v>2023</v>
      </c>
      <c r="B3040" s="243">
        <v>6</v>
      </c>
      <c r="C3040" s="243">
        <v>1</v>
      </c>
      <c r="D3040" s="248">
        <f t="shared" si="335"/>
        <v>45078</v>
      </c>
      <c r="E3040" s="249">
        <f t="shared" si="338"/>
        <v>45078</v>
      </c>
      <c r="F3040" s="477"/>
      <c r="G3040" s="244" t="s">
        <v>86</v>
      </c>
      <c r="H3040" s="244" t="str" cm="1">
        <f t="array" ref="H3040">IFERROR(INDEX(INVESTOR_LIST[INVESTOR NAME],MATCH(I3040,INVESTOR_LIST[INVESTOR CODE],0),)," ")</f>
        <v xml:space="preserve"> </v>
      </c>
      <c r="I3040" s="245"/>
      <c r="J3040" s="246" t="s">
        <v>82</v>
      </c>
      <c r="K3040" s="247"/>
      <c r="L3040" s="247">
        <v>163323.70000000298</v>
      </c>
    </row>
    <row r="3041" spans="1:12" ht="11.25" customHeight="1" x14ac:dyDescent="0.2">
      <c r="A3041" s="236">
        <v>2023</v>
      </c>
      <c r="B3041" s="236">
        <v>6</v>
      </c>
      <c r="C3041" s="236">
        <v>1</v>
      </c>
      <c r="D3041" s="237">
        <f t="shared" si="335"/>
        <v>45078</v>
      </c>
      <c r="E3041" s="238">
        <f t="shared" si="338"/>
        <v>45078</v>
      </c>
      <c r="F3041" s="476" t="s">
        <v>1120</v>
      </c>
      <c r="G3041" s="239" t="s">
        <v>86</v>
      </c>
      <c r="H3041" s="239" t="str" cm="1">
        <f t="array" ref="H3041">IFERROR(INDEX(INVESTOR_LIST[INVESTOR NAME],MATCH(I3041,INVESTOR_LIST[INVESTOR CODE],0),)," ")</f>
        <v xml:space="preserve"> </v>
      </c>
      <c r="I3041" s="240"/>
      <c r="J3041" s="241" t="s">
        <v>87</v>
      </c>
      <c r="K3041" s="242">
        <v>2747.2527472527472</v>
      </c>
      <c r="L3041" s="242"/>
    </row>
    <row r="3042" spans="1:12" ht="11.25" customHeight="1" x14ac:dyDescent="0.2">
      <c r="A3042" s="243">
        <v>2023</v>
      </c>
      <c r="B3042" s="243">
        <v>6</v>
      </c>
      <c r="C3042" s="243">
        <v>1</v>
      </c>
      <c r="D3042" s="248">
        <f t="shared" si="335"/>
        <v>45078</v>
      </c>
      <c r="E3042" s="249">
        <f t="shared" si="338"/>
        <v>45078</v>
      </c>
      <c r="F3042" s="477"/>
      <c r="G3042" s="244" t="s">
        <v>86</v>
      </c>
      <c r="H3042" s="244" t="str" cm="1">
        <f t="array" ref="H3042">IFERROR(INDEX(INVESTOR_LIST[INVESTOR NAME],MATCH(I3042,INVESTOR_LIST[INVESTOR CODE],0),)," ")</f>
        <v xml:space="preserve"> </v>
      </c>
      <c r="I3042" s="245"/>
      <c r="J3042" s="246" t="s">
        <v>64</v>
      </c>
      <c r="K3042" s="247"/>
      <c r="L3042" s="247">
        <v>2747.2527472527472</v>
      </c>
    </row>
    <row r="3043" spans="1:12" ht="11.25" customHeight="1" x14ac:dyDescent="0.2">
      <c r="A3043" s="236">
        <v>2023</v>
      </c>
      <c r="B3043" s="236">
        <v>6</v>
      </c>
      <c r="C3043" s="236">
        <v>1</v>
      </c>
      <c r="D3043" s="237">
        <f t="shared" si="335"/>
        <v>45078</v>
      </c>
      <c r="E3043" s="238">
        <f t="shared" si="338"/>
        <v>45078</v>
      </c>
      <c r="F3043" s="476" t="s">
        <v>1121</v>
      </c>
      <c r="G3043" s="239" t="s">
        <v>86</v>
      </c>
      <c r="H3043" s="239" t="str" cm="1">
        <f t="array" ref="H3043">IFERROR(INDEX(INVESTOR_LIST[INVESTOR NAME],MATCH(I3043,INVESTOR_LIST[INVESTOR CODE],0),)," ")</f>
        <v xml:space="preserve"> </v>
      </c>
      <c r="I3043" s="240"/>
      <c r="J3043" s="241" t="s">
        <v>89</v>
      </c>
      <c r="K3043" s="242">
        <v>37889.405503488677</v>
      </c>
      <c r="L3043" s="242"/>
    </row>
    <row r="3044" spans="1:12" ht="11.25" customHeight="1" x14ac:dyDescent="0.2">
      <c r="A3044" s="243">
        <v>2023</v>
      </c>
      <c r="B3044" s="243">
        <v>6</v>
      </c>
      <c r="C3044" s="243">
        <v>1</v>
      </c>
      <c r="D3044" s="248">
        <f t="shared" si="335"/>
        <v>45078</v>
      </c>
      <c r="E3044" s="249">
        <f t="shared" si="338"/>
        <v>45078</v>
      </c>
      <c r="F3044" s="477"/>
      <c r="G3044" s="244" t="s">
        <v>86</v>
      </c>
      <c r="H3044" s="244" t="str" cm="1">
        <f t="array" ref="H3044">IFERROR(INDEX(INVESTOR_LIST[INVESTOR NAME],MATCH(I3044,INVESTOR_LIST[INVESTOR CODE],0),)," ")</f>
        <v xml:space="preserve"> </v>
      </c>
      <c r="I3044" s="245"/>
      <c r="J3044" s="246" t="s">
        <v>50</v>
      </c>
      <c r="K3044" s="247"/>
      <c r="L3044" s="247">
        <v>37889.405503488677</v>
      </c>
    </row>
    <row r="3045" spans="1:12" ht="11.25" customHeight="1" x14ac:dyDescent="0.2">
      <c r="A3045" s="236">
        <v>2023</v>
      </c>
      <c r="B3045" s="236">
        <v>6</v>
      </c>
      <c r="C3045" s="236">
        <v>1</v>
      </c>
      <c r="D3045" s="237">
        <f t="shared" si="335"/>
        <v>45078</v>
      </c>
      <c r="E3045" s="238">
        <f t="shared" si="338"/>
        <v>45078</v>
      </c>
      <c r="F3045" s="476" t="s">
        <v>1122</v>
      </c>
      <c r="G3045" s="239" t="s">
        <v>86</v>
      </c>
      <c r="H3045" s="239" t="str" cm="1">
        <f t="array" ref="H3045">IFERROR(INDEX(INVESTOR_LIST[INVESTOR NAME],MATCH(I3045,INVESTOR_LIST[INVESTOR CODE],0),)," ")</f>
        <v xml:space="preserve"> </v>
      </c>
      <c r="I3045" s="240"/>
      <c r="J3045" s="241" t="s">
        <v>91</v>
      </c>
      <c r="K3045" s="242">
        <v>3788.9405503488674</v>
      </c>
      <c r="L3045" s="242"/>
    </row>
    <row r="3046" spans="1:12" ht="11.25" customHeight="1" x14ac:dyDescent="0.2">
      <c r="A3046" s="243">
        <v>2023</v>
      </c>
      <c r="B3046" s="243">
        <v>6</v>
      </c>
      <c r="C3046" s="243">
        <v>1</v>
      </c>
      <c r="D3046" s="248">
        <f t="shared" si="335"/>
        <v>45078</v>
      </c>
      <c r="E3046" s="249">
        <f t="shared" si="338"/>
        <v>45078</v>
      </c>
      <c r="F3046" s="477"/>
      <c r="G3046" s="244" t="s">
        <v>86</v>
      </c>
      <c r="H3046" s="244" t="str" cm="1">
        <f t="array" ref="H3046">IFERROR(INDEX(INVESTOR_LIST[INVESTOR NAME],MATCH(I3046,INVESTOR_LIST[INVESTOR CODE],0),)," ")</f>
        <v xml:space="preserve"> </v>
      </c>
      <c r="I3046" s="245"/>
      <c r="J3046" s="246" t="s">
        <v>51</v>
      </c>
      <c r="K3046" s="247"/>
      <c r="L3046" s="247">
        <v>3788.9405503488674</v>
      </c>
    </row>
    <row r="3047" spans="1:12" ht="11.25" customHeight="1" x14ac:dyDescent="0.2">
      <c r="A3047" s="156">
        <v>2023</v>
      </c>
      <c r="B3047" s="156">
        <v>6</v>
      </c>
      <c r="C3047" s="231">
        <v>2</v>
      </c>
      <c r="D3047" s="221">
        <f t="shared" si="335"/>
        <v>45079</v>
      </c>
      <c r="E3047" s="271">
        <f t="shared" si="338"/>
        <v>45079</v>
      </c>
      <c r="F3047" s="478" t="s">
        <v>1526</v>
      </c>
      <c r="G3047" s="222" t="s">
        <v>1111</v>
      </c>
      <c r="H3047" s="222"/>
      <c r="I3047" s="223"/>
      <c r="J3047" s="224" t="s">
        <v>88</v>
      </c>
      <c r="K3047" s="225">
        <v>8727731.6643125005</v>
      </c>
      <c r="L3047" s="225"/>
    </row>
    <row r="3048" spans="1:12" ht="11.25" customHeight="1" x14ac:dyDescent="0.2">
      <c r="A3048" s="156">
        <v>2023</v>
      </c>
      <c r="B3048" s="156">
        <v>6</v>
      </c>
      <c r="C3048" s="156">
        <v>2</v>
      </c>
      <c r="D3048" s="221">
        <f t="shared" si="335"/>
        <v>45079</v>
      </c>
      <c r="E3048" s="271">
        <f t="shared" si="338"/>
        <v>45079</v>
      </c>
      <c r="F3048" s="480"/>
      <c r="G3048" s="208" t="s">
        <v>1111</v>
      </c>
      <c r="H3048" s="208" t="str" cm="1">
        <f t="array" ref="H3048">IFERROR(INDEX([2]!INVESTOR_LIST[INVESTOR NAME],MATCH(I3048,[2]!INVESTOR_LIST[INVESTOR CODE],0),)," ")</f>
        <v xml:space="preserve"> </v>
      </c>
      <c r="J3048" s="165" t="s">
        <v>131</v>
      </c>
      <c r="K3048" s="205"/>
      <c r="L3048" s="205">
        <v>165885.76431250013</v>
      </c>
    </row>
    <row r="3049" spans="1:12" ht="11.25" customHeight="1" x14ac:dyDescent="0.2">
      <c r="A3049" s="232">
        <v>2023</v>
      </c>
      <c r="B3049" s="232">
        <v>6</v>
      </c>
      <c r="C3049" s="232">
        <v>2</v>
      </c>
      <c r="D3049" s="350">
        <f t="shared" si="335"/>
        <v>45079</v>
      </c>
      <c r="E3049" s="351">
        <f t="shared" si="338"/>
        <v>45079</v>
      </c>
      <c r="F3049" s="479"/>
      <c r="G3049" s="227" t="s">
        <v>1111</v>
      </c>
      <c r="H3049" s="227"/>
      <c r="I3049" s="228"/>
      <c r="J3049" s="229" t="s">
        <v>88</v>
      </c>
      <c r="K3049" s="230"/>
      <c r="L3049" s="230">
        <v>8561845.9000000004</v>
      </c>
    </row>
    <row r="3050" spans="1:12" ht="11.25" customHeight="1" x14ac:dyDescent="0.2">
      <c r="A3050" s="156">
        <v>2023</v>
      </c>
      <c r="B3050" s="156">
        <v>6</v>
      </c>
      <c r="C3050" s="231">
        <v>2</v>
      </c>
      <c r="D3050" s="221">
        <f t="shared" si="335"/>
        <v>45079</v>
      </c>
      <c r="E3050" s="271">
        <f t="shared" si="338"/>
        <v>45079</v>
      </c>
      <c r="F3050" s="478" t="s">
        <v>1527</v>
      </c>
      <c r="G3050" s="222" t="s">
        <v>1111</v>
      </c>
      <c r="H3050" s="222"/>
      <c r="I3050" s="223"/>
      <c r="J3050" s="224" t="s">
        <v>88</v>
      </c>
      <c r="K3050" s="225">
        <v>8727731.6643125005</v>
      </c>
      <c r="L3050" s="225"/>
    </row>
    <row r="3051" spans="1:12" ht="11.25" customHeight="1" x14ac:dyDescent="0.2">
      <c r="A3051" s="156">
        <v>2023</v>
      </c>
      <c r="B3051" s="156">
        <v>6</v>
      </c>
      <c r="C3051" s="156">
        <v>2</v>
      </c>
      <c r="D3051" s="221">
        <f t="shared" si="335"/>
        <v>45079</v>
      </c>
      <c r="E3051" s="271">
        <f t="shared" si="338"/>
        <v>45079</v>
      </c>
      <c r="F3051" s="480"/>
      <c r="G3051" s="208" t="s">
        <v>1111</v>
      </c>
      <c r="H3051" s="208" t="str" cm="1">
        <f t="array" ref="H3051">IFERROR(INDEX([2]!INVESTOR_LIST[INVESTOR NAME],MATCH(I3051,[2]!INVESTOR_LIST[INVESTOR CODE],0),)," ")</f>
        <v xml:space="preserve"> </v>
      </c>
      <c r="J3051" s="165" t="s">
        <v>131</v>
      </c>
      <c r="K3051" s="205"/>
      <c r="L3051" s="205">
        <v>165885.76431250013</v>
      </c>
    </row>
    <row r="3052" spans="1:12" ht="11.25" customHeight="1" x14ac:dyDescent="0.2">
      <c r="A3052" s="232">
        <v>2023</v>
      </c>
      <c r="B3052" s="232">
        <v>6</v>
      </c>
      <c r="C3052" s="232">
        <v>2</v>
      </c>
      <c r="D3052" s="350">
        <f t="shared" si="335"/>
        <v>45079</v>
      </c>
      <c r="E3052" s="351">
        <f t="shared" si="338"/>
        <v>45079</v>
      </c>
      <c r="F3052" s="479"/>
      <c r="G3052" s="227" t="s">
        <v>1111</v>
      </c>
      <c r="H3052" s="227"/>
      <c r="I3052" s="228"/>
      <c r="J3052" s="229" t="s">
        <v>88</v>
      </c>
      <c r="K3052" s="230"/>
      <c r="L3052" s="230">
        <v>8561845.9000000004</v>
      </c>
    </row>
    <row r="3053" spans="1:12" ht="11.25" customHeight="1" x14ac:dyDescent="0.2">
      <c r="A3053" s="156">
        <v>2023</v>
      </c>
      <c r="B3053" s="156">
        <v>6</v>
      </c>
      <c r="C3053" s="231">
        <v>2</v>
      </c>
      <c r="D3053" s="221">
        <f t="shared" si="335"/>
        <v>45079</v>
      </c>
      <c r="E3053" s="271">
        <f t="shared" si="338"/>
        <v>45079</v>
      </c>
      <c r="F3053" s="478" t="s">
        <v>1528</v>
      </c>
      <c r="G3053" s="222" t="s">
        <v>1111</v>
      </c>
      <c r="H3053" s="222"/>
      <c r="I3053" s="223"/>
      <c r="J3053" s="224" t="s">
        <v>88</v>
      </c>
      <c r="K3053" s="225">
        <v>8727731.6643125005</v>
      </c>
      <c r="L3053" s="225"/>
    </row>
    <row r="3054" spans="1:12" ht="11.25" customHeight="1" x14ac:dyDescent="0.2">
      <c r="A3054" s="156">
        <v>2023</v>
      </c>
      <c r="B3054" s="156">
        <v>6</v>
      </c>
      <c r="C3054" s="156">
        <v>2</v>
      </c>
      <c r="D3054" s="221">
        <f t="shared" si="335"/>
        <v>45079</v>
      </c>
      <c r="E3054" s="271">
        <f t="shared" si="338"/>
        <v>45079</v>
      </c>
      <c r="F3054" s="480"/>
      <c r="G3054" s="208" t="s">
        <v>1111</v>
      </c>
      <c r="H3054" s="208" t="str" cm="1">
        <f t="array" ref="H3054">IFERROR(INDEX([2]!INVESTOR_LIST[INVESTOR NAME],MATCH(I3054,[2]!INVESTOR_LIST[INVESTOR CODE],0),)," ")</f>
        <v xml:space="preserve"> </v>
      </c>
      <c r="J3054" s="165" t="s">
        <v>131</v>
      </c>
      <c r="K3054" s="205"/>
      <c r="L3054" s="205">
        <v>165885.76431250013</v>
      </c>
    </row>
    <row r="3055" spans="1:12" ht="11.25" customHeight="1" x14ac:dyDescent="0.2">
      <c r="A3055" s="232">
        <v>2023</v>
      </c>
      <c r="B3055" s="232">
        <v>6</v>
      </c>
      <c r="C3055" s="232">
        <v>2</v>
      </c>
      <c r="D3055" s="350">
        <f t="shared" si="335"/>
        <v>45079</v>
      </c>
      <c r="E3055" s="351">
        <f t="shared" si="338"/>
        <v>45079</v>
      </c>
      <c r="F3055" s="479"/>
      <c r="G3055" s="227" t="s">
        <v>1111</v>
      </c>
      <c r="H3055" s="227"/>
      <c r="I3055" s="228"/>
      <c r="J3055" s="229" t="s">
        <v>88</v>
      </c>
      <c r="K3055" s="230"/>
      <c r="L3055" s="230">
        <v>8561845.9000000004</v>
      </c>
    </row>
    <row r="3056" spans="1:12" ht="11.25" customHeight="1" x14ac:dyDescent="0.2">
      <c r="A3056" s="156">
        <v>2023</v>
      </c>
      <c r="B3056" s="156">
        <v>6</v>
      </c>
      <c r="C3056" s="231">
        <v>2</v>
      </c>
      <c r="D3056" s="221">
        <f t="shared" si="335"/>
        <v>45079</v>
      </c>
      <c r="E3056" s="271">
        <f t="shared" si="338"/>
        <v>45079</v>
      </c>
      <c r="F3056" s="478" t="s">
        <v>1529</v>
      </c>
      <c r="G3056" s="222" t="s">
        <v>1111</v>
      </c>
      <c r="H3056" s="222"/>
      <c r="I3056" s="223"/>
      <c r="J3056" s="224" t="s">
        <v>88</v>
      </c>
      <c r="K3056" s="225">
        <v>8727731.6643125005</v>
      </c>
      <c r="L3056" s="225"/>
    </row>
    <row r="3057" spans="1:12" ht="11.25" customHeight="1" x14ac:dyDescent="0.2">
      <c r="A3057" s="156">
        <v>2023</v>
      </c>
      <c r="B3057" s="156">
        <v>6</v>
      </c>
      <c r="C3057" s="156">
        <v>2</v>
      </c>
      <c r="D3057" s="221">
        <f t="shared" si="335"/>
        <v>45079</v>
      </c>
      <c r="E3057" s="271">
        <f t="shared" si="338"/>
        <v>45079</v>
      </c>
      <c r="F3057" s="480"/>
      <c r="G3057" s="208" t="s">
        <v>1111</v>
      </c>
      <c r="H3057" s="208" t="str" cm="1">
        <f t="array" ref="H3057">IFERROR(INDEX([2]!INVESTOR_LIST[INVESTOR NAME],MATCH(I3057,[2]!INVESTOR_LIST[INVESTOR CODE],0),)," ")</f>
        <v xml:space="preserve"> </v>
      </c>
      <c r="J3057" s="165" t="s">
        <v>131</v>
      </c>
      <c r="K3057" s="205"/>
      <c r="L3057" s="205">
        <v>165885.76431250013</v>
      </c>
    </row>
    <row r="3058" spans="1:12" ht="11.25" customHeight="1" x14ac:dyDescent="0.2">
      <c r="A3058" s="232">
        <v>2023</v>
      </c>
      <c r="B3058" s="232">
        <v>6</v>
      </c>
      <c r="C3058" s="232">
        <v>2</v>
      </c>
      <c r="D3058" s="350">
        <f t="shared" si="335"/>
        <v>45079</v>
      </c>
      <c r="E3058" s="351">
        <f t="shared" si="338"/>
        <v>45079</v>
      </c>
      <c r="F3058" s="479"/>
      <c r="G3058" s="227" t="s">
        <v>1111</v>
      </c>
      <c r="H3058" s="227"/>
      <c r="I3058" s="228"/>
      <c r="J3058" s="229" t="s">
        <v>88</v>
      </c>
      <c r="K3058" s="230"/>
      <c r="L3058" s="230">
        <v>8561845.9000000004</v>
      </c>
    </row>
    <row r="3059" spans="1:12" ht="11.25" customHeight="1" x14ac:dyDescent="0.2">
      <c r="A3059" s="156">
        <v>2023</v>
      </c>
      <c r="B3059" s="156">
        <v>6</v>
      </c>
      <c r="C3059" s="231">
        <v>2</v>
      </c>
      <c r="D3059" s="221">
        <f t="shared" si="335"/>
        <v>45079</v>
      </c>
      <c r="E3059" s="271">
        <f t="shared" si="338"/>
        <v>45079</v>
      </c>
      <c r="F3059" s="478" t="s">
        <v>1530</v>
      </c>
      <c r="G3059" s="222" t="s">
        <v>1111</v>
      </c>
      <c r="H3059" s="222"/>
      <c r="I3059" s="223"/>
      <c r="J3059" s="224" t="s">
        <v>88</v>
      </c>
      <c r="K3059" s="225">
        <v>6545034.2118875002</v>
      </c>
      <c r="L3059" s="225"/>
    </row>
    <row r="3060" spans="1:12" ht="11.25" customHeight="1" x14ac:dyDescent="0.2">
      <c r="A3060" s="156">
        <v>2023</v>
      </c>
      <c r="B3060" s="156">
        <v>6</v>
      </c>
      <c r="C3060" s="156">
        <v>2</v>
      </c>
      <c r="D3060" s="221">
        <f t="shared" si="335"/>
        <v>45079</v>
      </c>
      <c r="E3060" s="271">
        <f t="shared" si="338"/>
        <v>45079</v>
      </c>
      <c r="F3060" s="480"/>
      <c r="G3060" s="208" t="s">
        <v>1111</v>
      </c>
      <c r="H3060" s="208" t="str" cm="1">
        <f t="array" ref="H3060">IFERROR(INDEX([2]!INVESTOR_LIST[INVESTOR NAME],MATCH(I3060,[2]!INVESTOR_LIST[INVESTOR CODE],0),)," ")</f>
        <v xml:space="preserve"> </v>
      </c>
      <c r="J3060" s="165" t="s">
        <v>131</v>
      </c>
      <c r="K3060" s="205"/>
      <c r="L3060" s="205">
        <v>124399.79188750032</v>
      </c>
    </row>
    <row r="3061" spans="1:12" ht="11.25" customHeight="1" x14ac:dyDescent="0.2">
      <c r="A3061" s="232">
        <v>2023</v>
      </c>
      <c r="B3061" s="232">
        <v>6</v>
      </c>
      <c r="C3061" s="232">
        <v>2</v>
      </c>
      <c r="D3061" s="350">
        <f t="shared" si="335"/>
        <v>45079</v>
      </c>
      <c r="E3061" s="351">
        <f t="shared" si="338"/>
        <v>45079</v>
      </c>
      <c r="F3061" s="479"/>
      <c r="G3061" s="227" t="s">
        <v>1111</v>
      </c>
      <c r="H3061" s="227"/>
      <c r="I3061" s="228"/>
      <c r="J3061" s="229" t="s">
        <v>88</v>
      </c>
      <c r="K3061" s="230"/>
      <c r="L3061" s="230">
        <v>6420634.4199999999</v>
      </c>
    </row>
    <row r="3062" spans="1:12" ht="11.25" customHeight="1" x14ac:dyDescent="0.2">
      <c r="A3062" s="156">
        <v>2023</v>
      </c>
      <c r="B3062" s="156">
        <v>6</v>
      </c>
      <c r="C3062" s="231">
        <v>2</v>
      </c>
      <c r="D3062" s="221">
        <f t="shared" si="335"/>
        <v>45079</v>
      </c>
      <c r="E3062" s="271">
        <f t="shared" si="338"/>
        <v>45079</v>
      </c>
      <c r="F3062" s="478" t="s">
        <v>1531</v>
      </c>
      <c r="G3062" s="222" t="s">
        <v>1111</v>
      </c>
      <c r="H3062" s="222"/>
      <c r="I3062" s="223"/>
      <c r="J3062" s="224" t="s">
        <v>88</v>
      </c>
      <c r="K3062" s="225">
        <v>6545034.2118875002</v>
      </c>
      <c r="L3062" s="225"/>
    </row>
    <row r="3063" spans="1:12" ht="11.25" customHeight="1" x14ac:dyDescent="0.2">
      <c r="A3063" s="156">
        <v>2023</v>
      </c>
      <c r="B3063" s="156">
        <v>6</v>
      </c>
      <c r="C3063" s="156">
        <v>2</v>
      </c>
      <c r="D3063" s="221">
        <f t="shared" si="335"/>
        <v>45079</v>
      </c>
      <c r="E3063" s="271">
        <f t="shared" si="338"/>
        <v>45079</v>
      </c>
      <c r="F3063" s="480"/>
      <c r="G3063" s="208" t="s">
        <v>1111</v>
      </c>
      <c r="H3063" s="208" t="str" cm="1">
        <f t="array" ref="H3063">IFERROR(INDEX([2]!INVESTOR_LIST[INVESTOR NAME],MATCH(I3063,[2]!INVESTOR_LIST[INVESTOR CODE],0),)," ")</f>
        <v xml:space="preserve"> </v>
      </c>
      <c r="J3063" s="165" t="s">
        <v>131</v>
      </c>
      <c r="K3063" s="205"/>
      <c r="L3063" s="205">
        <v>124399.79188750032</v>
      </c>
    </row>
    <row r="3064" spans="1:12" ht="11.25" customHeight="1" x14ac:dyDescent="0.2">
      <c r="A3064" s="232">
        <v>2023</v>
      </c>
      <c r="B3064" s="232">
        <v>6</v>
      </c>
      <c r="C3064" s="232">
        <v>2</v>
      </c>
      <c r="D3064" s="350">
        <f t="shared" si="335"/>
        <v>45079</v>
      </c>
      <c r="E3064" s="351">
        <f t="shared" si="338"/>
        <v>45079</v>
      </c>
      <c r="F3064" s="479"/>
      <c r="G3064" s="227" t="s">
        <v>1111</v>
      </c>
      <c r="H3064" s="227"/>
      <c r="I3064" s="228"/>
      <c r="J3064" s="229" t="s">
        <v>88</v>
      </c>
      <c r="K3064" s="230"/>
      <c r="L3064" s="230">
        <v>6420634.4199999999</v>
      </c>
    </row>
    <row r="3065" spans="1:12" ht="11.25" customHeight="1" x14ac:dyDescent="0.2">
      <c r="A3065" s="156">
        <v>2023</v>
      </c>
      <c r="B3065" s="156">
        <v>6</v>
      </c>
      <c r="C3065" s="231">
        <v>2</v>
      </c>
      <c r="D3065" s="221">
        <f t="shared" si="335"/>
        <v>45079</v>
      </c>
      <c r="E3065" s="271">
        <f t="shared" si="338"/>
        <v>45079</v>
      </c>
      <c r="F3065" s="478" t="s">
        <v>1532</v>
      </c>
      <c r="G3065" s="222" t="s">
        <v>1111</v>
      </c>
      <c r="H3065" s="222"/>
      <c r="I3065" s="223"/>
      <c r="J3065" s="224" t="s">
        <v>88</v>
      </c>
      <c r="K3065" s="225">
        <v>5453685.4958687508</v>
      </c>
      <c r="L3065" s="225"/>
    </row>
    <row r="3066" spans="1:12" ht="11.25" customHeight="1" x14ac:dyDescent="0.2">
      <c r="A3066" s="156">
        <v>2023</v>
      </c>
      <c r="B3066" s="156">
        <v>6</v>
      </c>
      <c r="C3066" s="156">
        <v>2</v>
      </c>
      <c r="D3066" s="221">
        <f t="shared" si="335"/>
        <v>45079</v>
      </c>
      <c r="E3066" s="271">
        <f t="shared" si="338"/>
        <v>45079</v>
      </c>
      <c r="F3066" s="480"/>
      <c r="G3066" s="208" t="s">
        <v>1111</v>
      </c>
      <c r="H3066" s="208" t="str" cm="1">
        <f t="array" ref="H3066">IFERROR(INDEX([2]!INVESTOR_LIST[INVESTOR NAME],MATCH(I3066,[2]!INVESTOR_LIST[INVESTOR CODE],0),)," ")</f>
        <v xml:space="preserve"> </v>
      </c>
      <c r="J3066" s="165" t="s">
        <v>131</v>
      </c>
      <c r="K3066" s="205"/>
      <c r="L3066" s="205">
        <v>103656.80586875044</v>
      </c>
    </row>
    <row r="3067" spans="1:12" ht="11.25" customHeight="1" x14ac:dyDescent="0.2">
      <c r="A3067" s="232">
        <v>2023</v>
      </c>
      <c r="B3067" s="232">
        <v>6</v>
      </c>
      <c r="C3067" s="232">
        <v>2</v>
      </c>
      <c r="D3067" s="350">
        <f t="shared" si="335"/>
        <v>45079</v>
      </c>
      <c r="E3067" s="351">
        <f t="shared" si="338"/>
        <v>45079</v>
      </c>
      <c r="F3067" s="479"/>
      <c r="G3067" s="227" t="s">
        <v>1111</v>
      </c>
      <c r="H3067" s="227"/>
      <c r="I3067" s="228"/>
      <c r="J3067" s="229" t="s">
        <v>88</v>
      </c>
      <c r="K3067" s="230"/>
      <c r="L3067" s="230">
        <v>5350028.6900000004</v>
      </c>
    </row>
    <row r="3068" spans="1:12" ht="11.25" customHeight="1" x14ac:dyDescent="0.2">
      <c r="A3068" s="221">
        <v>2023</v>
      </c>
      <c r="B3068" s="221">
        <v>6</v>
      </c>
      <c r="C3068" s="221">
        <v>5</v>
      </c>
      <c r="D3068" s="231">
        <f t="shared" si="335"/>
        <v>45082</v>
      </c>
      <c r="E3068" s="233">
        <f t="shared" ref="E3068:E3072" si="339">DATE(A3068,B3068,C3068)</f>
        <v>45082</v>
      </c>
      <c r="F3068" s="478" t="s">
        <v>1518</v>
      </c>
      <c r="G3068" s="222" t="s">
        <v>1111</v>
      </c>
      <c r="H3068" s="223" t="str" cm="1">
        <f t="array" ref="H3068">IFERROR(INDEX(INVESTOR_LIST[INVESTOR NAME],MATCH(I3068,INVESTOR_LIST[INVESTOR CODE],0),)," ")</f>
        <v xml:space="preserve"> </v>
      </c>
      <c r="I3068" s="223"/>
      <c r="J3068" s="224" t="s">
        <v>63</v>
      </c>
      <c r="K3068" s="225">
        <v>100</v>
      </c>
      <c r="L3068" s="225"/>
    </row>
    <row r="3069" spans="1:12" ht="11.25" customHeight="1" x14ac:dyDescent="0.2">
      <c r="A3069" s="226">
        <v>2023</v>
      </c>
      <c r="B3069" s="226">
        <v>6</v>
      </c>
      <c r="C3069" s="226">
        <v>5</v>
      </c>
      <c r="D3069" s="232">
        <f t="shared" si="335"/>
        <v>45082</v>
      </c>
      <c r="E3069" s="234">
        <f t="shared" si="339"/>
        <v>45082</v>
      </c>
      <c r="F3069" s="479"/>
      <c r="G3069" s="227" t="s">
        <v>1111</v>
      </c>
      <c r="H3069" s="228" t="str" cm="1">
        <f t="array" ref="H3069">IFERROR(INDEX(INVESTOR_LIST[INVESTOR NAME],MATCH(I3069,INVESTOR_LIST[INVESTOR CODE],0),)," ")</f>
        <v xml:space="preserve"> </v>
      </c>
      <c r="I3069" s="228"/>
      <c r="J3069" s="229" t="s">
        <v>55</v>
      </c>
      <c r="K3069" s="230"/>
      <c r="L3069" s="230">
        <v>100</v>
      </c>
    </row>
    <row r="3070" spans="1:12" ht="11.25" customHeight="1" x14ac:dyDescent="0.2">
      <c r="A3070" s="221">
        <v>2023</v>
      </c>
      <c r="B3070" s="221">
        <v>6</v>
      </c>
      <c r="C3070" s="221">
        <v>6</v>
      </c>
      <c r="D3070" s="231">
        <f t="shared" si="335"/>
        <v>45083</v>
      </c>
      <c r="E3070" s="233">
        <f t="shared" si="339"/>
        <v>45083</v>
      </c>
      <c r="F3070" s="478" t="s">
        <v>1132</v>
      </c>
      <c r="G3070" s="222" t="s">
        <v>1111</v>
      </c>
      <c r="H3070" s="223" t="str" cm="1">
        <f t="array" ref="H3070">IFERROR(INDEX(INVESTOR_LIST[INVESTOR NAME],MATCH(I3070,INVESTOR_LIST[INVESTOR CODE],0),)," ")</f>
        <v xml:space="preserve"> </v>
      </c>
      <c r="I3070" s="223"/>
      <c r="J3070" s="224" t="s">
        <v>55</v>
      </c>
      <c r="K3070" s="167">
        <v>5000</v>
      </c>
      <c r="L3070" s="225"/>
    </row>
    <row r="3071" spans="1:12" ht="11.25" customHeight="1" x14ac:dyDescent="0.2">
      <c r="A3071" s="164">
        <v>2023</v>
      </c>
      <c r="B3071" s="164">
        <v>6</v>
      </c>
      <c r="C3071" s="164">
        <v>6</v>
      </c>
      <c r="D3071" s="156">
        <f t="shared" si="335"/>
        <v>45083</v>
      </c>
      <c r="E3071" s="235">
        <f t="shared" si="339"/>
        <v>45083</v>
      </c>
      <c r="F3071" s="480"/>
      <c r="G3071" s="208" t="s">
        <v>1111</v>
      </c>
      <c r="H3071" s="206" t="str" cm="1">
        <f t="array" ref="H3071">IFERROR(INDEX(INVESTOR_LIST[INVESTOR NAME],MATCH(I3071,INVESTOR_LIST[INVESTOR CODE],0),)," ")</f>
        <v xml:space="preserve"> </v>
      </c>
      <c r="J3071" s="165" t="s">
        <v>14</v>
      </c>
      <c r="L3071" s="205">
        <v>4890</v>
      </c>
    </row>
    <row r="3072" spans="1:12" ht="11.25" customHeight="1" x14ac:dyDescent="0.2">
      <c r="A3072" s="226">
        <v>2023</v>
      </c>
      <c r="B3072" s="226">
        <v>6</v>
      </c>
      <c r="C3072" s="226">
        <v>6</v>
      </c>
      <c r="D3072" s="232">
        <f t="shared" si="335"/>
        <v>45083</v>
      </c>
      <c r="E3072" s="234">
        <f t="shared" si="339"/>
        <v>45083</v>
      </c>
      <c r="F3072" s="479"/>
      <c r="G3072" s="227" t="s">
        <v>1111</v>
      </c>
      <c r="H3072" s="228" t="str" cm="1">
        <f t="array" ref="H3072">IFERROR(INDEX(INVESTOR_LIST[INVESTOR NAME],MATCH(I3072,INVESTOR_LIST[INVESTOR CODE],0),)," ")</f>
        <v xml:space="preserve"> </v>
      </c>
      <c r="I3072" s="228"/>
      <c r="J3072" s="229" t="s">
        <v>1112</v>
      </c>
      <c r="K3072" s="230"/>
      <c r="L3072" s="230">
        <v>110</v>
      </c>
    </row>
    <row r="3073" spans="1:12" ht="11.25" customHeight="1" x14ac:dyDescent="0.2">
      <c r="A3073" s="221">
        <v>2023</v>
      </c>
      <c r="B3073" s="221">
        <v>6</v>
      </c>
      <c r="C3073" s="221">
        <v>8</v>
      </c>
      <c r="D3073" s="231">
        <f t="shared" si="335"/>
        <v>45085</v>
      </c>
      <c r="E3073" s="233">
        <f t="shared" si="338"/>
        <v>45085</v>
      </c>
      <c r="F3073" s="478" t="s">
        <v>1518</v>
      </c>
      <c r="G3073" s="222" t="s">
        <v>1111</v>
      </c>
      <c r="H3073" s="223" t="str" cm="1">
        <f t="array" ref="H3073">IFERROR(INDEX(INVESTOR_LIST[INVESTOR NAME],MATCH(I3073,INVESTOR_LIST[INVESTOR CODE],0),)," ")</f>
        <v xml:space="preserve"> </v>
      </c>
      <c r="I3073" s="223"/>
      <c r="J3073" s="224" t="s">
        <v>63</v>
      </c>
      <c r="K3073" s="225">
        <v>172.5</v>
      </c>
      <c r="L3073" s="225"/>
    </row>
    <row r="3074" spans="1:12" ht="11.25" customHeight="1" x14ac:dyDescent="0.2">
      <c r="A3074" s="226">
        <v>2023</v>
      </c>
      <c r="B3074" s="226">
        <v>6</v>
      </c>
      <c r="C3074" s="226">
        <v>8</v>
      </c>
      <c r="D3074" s="232">
        <f t="shared" si="335"/>
        <v>45085</v>
      </c>
      <c r="E3074" s="234">
        <f t="shared" si="338"/>
        <v>45085</v>
      </c>
      <c r="F3074" s="479"/>
      <c r="G3074" s="227" t="s">
        <v>1111</v>
      </c>
      <c r="H3074" s="228" t="str" cm="1">
        <f t="array" ref="H3074">IFERROR(INDEX(INVESTOR_LIST[INVESTOR NAME],MATCH(I3074,INVESTOR_LIST[INVESTOR CODE],0),)," ")</f>
        <v xml:space="preserve"> </v>
      </c>
      <c r="I3074" s="228"/>
      <c r="J3074" s="229" t="s">
        <v>55</v>
      </c>
      <c r="K3074" s="230"/>
      <c r="L3074" s="230">
        <v>172.5</v>
      </c>
    </row>
    <row r="3075" spans="1:12" ht="11.25" customHeight="1" x14ac:dyDescent="0.2">
      <c r="A3075" s="221">
        <v>2023</v>
      </c>
      <c r="B3075" s="221">
        <v>6</v>
      </c>
      <c r="C3075" s="221">
        <v>8</v>
      </c>
      <c r="D3075" s="221">
        <f t="shared" si="335"/>
        <v>45085</v>
      </c>
      <c r="E3075" s="233">
        <f t="shared" si="338"/>
        <v>45085</v>
      </c>
      <c r="F3075" s="478" t="s">
        <v>1301</v>
      </c>
      <c r="G3075" s="222" t="s">
        <v>86</v>
      </c>
      <c r="H3075" s="222" t="str" cm="1">
        <f t="array" ref="H3075">IFERROR(INDEX(INVESTOR_LIST[INVESTOR NAME],MATCH(I3075,INVESTOR_LIST[INVESTOR CODE],0),)," ")</f>
        <v xml:space="preserve"> </v>
      </c>
      <c r="I3075" s="223"/>
      <c r="J3075" s="165" t="s">
        <v>199</v>
      </c>
      <c r="K3075" s="225">
        <v>444302.81</v>
      </c>
      <c r="L3075" s="225"/>
    </row>
    <row r="3076" spans="1:12" ht="11.25" customHeight="1" x14ac:dyDescent="0.2">
      <c r="A3076" s="164">
        <v>2023</v>
      </c>
      <c r="B3076" s="164">
        <v>6</v>
      </c>
      <c r="C3076" s="164">
        <v>8</v>
      </c>
      <c r="D3076" s="164">
        <f t="shared" si="335"/>
        <v>45085</v>
      </c>
      <c r="E3076" s="235">
        <f t="shared" si="338"/>
        <v>45085</v>
      </c>
      <c r="F3076" s="480"/>
      <c r="G3076" s="208" t="s">
        <v>86</v>
      </c>
      <c r="H3076" s="208"/>
      <c r="J3076" s="165" t="s">
        <v>960</v>
      </c>
      <c r="K3076" s="205">
        <v>801.19</v>
      </c>
      <c r="L3076" s="205"/>
    </row>
    <row r="3077" spans="1:12" ht="11.25" customHeight="1" x14ac:dyDescent="0.2">
      <c r="A3077" s="164">
        <v>2023</v>
      </c>
      <c r="B3077" s="164">
        <v>6</v>
      </c>
      <c r="C3077" s="164">
        <v>8</v>
      </c>
      <c r="D3077" s="164">
        <f t="shared" si="335"/>
        <v>45085</v>
      </c>
      <c r="E3077" s="235">
        <f t="shared" si="338"/>
        <v>45085</v>
      </c>
      <c r="F3077" s="480"/>
      <c r="G3077" s="208" t="s">
        <v>86</v>
      </c>
      <c r="H3077" s="208"/>
      <c r="J3077" s="165" t="s">
        <v>200</v>
      </c>
      <c r="K3077" s="205"/>
      <c r="L3077" s="205">
        <v>383284</v>
      </c>
    </row>
    <row r="3078" spans="1:12" ht="11.25" customHeight="1" x14ac:dyDescent="0.2">
      <c r="A3078" s="226">
        <v>2023</v>
      </c>
      <c r="B3078" s="226">
        <v>6</v>
      </c>
      <c r="C3078" s="226">
        <v>8</v>
      </c>
      <c r="D3078" s="226">
        <f t="shared" si="335"/>
        <v>45085</v>
      </c>
      <c r="E3078" s="234">
        <f t="shared" si="338"/>
        <v>45085</v>
      </c>
      <c r="F3078" s="479"/>
      <c r="G3078" s="227" t="s">
        <v>86</v>
      </c>
      <c r="H3078" s="228" t="str" cm="1">
        <f t="array" ref="H3078">IFERROR(INDEX(INVESTOR_LIST[INVESTOR NAME],MATCH(I3078,INVESTOR_LIST[INVESTOR CODE],0),)," ")</f>
        <v xml:space="preserve"> </v>
      </c>
      <c r="I3078" s="228"/>
      <c r="J3078" s="229" t="s">
        <v>80</v>
      </c>
      <c r="K3078" s="230"/>
      <c r="L3078" s="230">
        <v>61820</v>
      </c>
    </row>
    <row r="3079" spans="1:12" ht="11.25" customHeight="1" x14ac:dyDescent="0.2">
      <c r="A3079" s="280">
        <v>2023</v>
      </c>
      <c r="B3079" s="280">
        <v>6</v>
      </c>
      <c r="C3079" s="280">
        <v>8</v>
      </c>
      <c r="D3079" s="281">
        <f t="shared" si="335"/>
        <v>45085</v>
      </c>
      <c r="E3079" s="282">
        <f t="shared" ref="E3079:E3094" si="340">DATE(A3079,B3079,C3079)</f>
        <v>45085</v>
      </c>
      <c r="F3079" s="472" t="s">
        <v>1369</v>
      </c>
      <c r="G3079" s="283" t="s">
        <v>86</v>
      </c>
      <c r="H3079" s="284" t="str" cm="1">
        <f t="array" ref="H3079">IFERROR(INDEX(INVESTOR_LIST[INVESTOR NAME],MATCH(I3079,INVESTOR_LIST[INVESTOR CODE],0),)," ")</f>
        <v xml:space="preserve"> </v>
      </c>
      <c r="I3079" s="284"/>
      <c r="J3079" s="285" t="s">
        <v>131</v>
      </c>
      <c r="K3079" s="286">
        <v>86636.43</v>
      </c>
      <c r="L3079" s="286"/>
    </row>
    <row r="3080" spans="1:12" ht="11.25" customHeight="1" x14ac:dyDescent="0.2">
      <c r="A3080" s="287">
        <v>2023</v>
      </c>
      <c r="B3080" s="287">
        <v>6</v>
      </c>
      <c r="C3080" s="287">
        <v>8</v>
      </c>
      <c r="D3080" s="288">
        <f t="shared" si="335"/>
        <v>45085</v>
      </c>
      <c r="E3080" s="289">
        <f t="shared" si="340"/>
        <v>45085</v>
      </c>
      <c r="F3080" s="473"/>
      <c r="G3080" s="290" t="s">
        <v>86</v>
      </c>
      <c r="H3080" s="291" t="str" cm="1">
        <f t="array" ref="H3080">IFERROR(INDEX(INVESTOR_LIST[INVESTOR NAME],MATCH(I3080,INVESTOR_LIST[INVESTOR CODE],0),)," ")</f>
        <v xml:space="preserve"> </v>
      </c>
      <c r="I3080" s="291"/>
      <c r="J3080" s="292" t="s">
        <v>174</v>
      </c>
      <c r="K3080" s="293"/>
      <c r="L3080" s="293">
        <v>86636.43</v>
      </c>
    </row>
    <row r="3081" spans="1:12" ht="11.25" customHeight="1" x14ac:dyDescent="0.2">
      <c r="A3081" s="280">
        <v>2023</v>
      </c>
      <c r="B3081" s="280">
        <v>6</v>
      </c>
      <c r="C3081" s="280">
        <v>8</v>
      </c>
      <c r="D3081" s="281">
        <f t="shared" ref="D3081:D3144" si="341">DATE(A3081,B3081,C3081)</f>
        <v>45085</v>
      </c>
      <c r="E3081" s="282">
        <f t="shared" si="340"/>
        <v>45085</v>
      </c>
      <c r="F3081" s="472" t="s">
        <v>1295</v>
      </c>
      <c r="G3081" s="283" t="s">
        <v>86</v>
      </c>
      <c r="H3081" s="284" t="str" cm="1">
        <f t="array" ref="H3081">IFERROR(INDEX(INVESTOR_LIST[INVESTOR NAME],MATCH(I3081,INVESTOR_LIST[INVESTOR CODE],0),)," ")</f>
        <v xml:space="preserve"> </v>
      </c>
      <c r="I3081" s="284"/>
      <c r="J3081" s="285" t="s">
        <v>131</v>
      </c>
      <c r="K3081" s="286">
        <v>16923.080000000002</v>
      </c>
      <c r="L3081" s="286"/>
    </row>
    <row r="3082" spans="1:12" ht="11.25" customHeight="1" x14ac:dyDescent="0.2">
      <c r="A3082" s="287">
        <v>2023</v>
      </c>
      <c r="B3082" s="287">
        <v>6</v>
      </c>
      <c r="C3082" s="287">
        <v>8</v>
      </c>
      <c r="D3082" s="288">
        <f t="shared" si="341"/>
        <v>45085</v>
      </c>
      <c r="E3082" s="289">
        <f t="shared" si="340"/>
        <v>45085</v>
      </c>
      <c r="F3082" s="473"/>
      <c r="G3082" s="290" t="s">
        <v>86</v>
      </c>
      <c r="H3082" s="291" t="str" cm="1">
        <f t="array" ref="H3082">IFERROR(INDEX(INVESTOR_LIST[INVESTOR NAME],MATCH(I3082,INVESTOR_LIST[INVESTOR CODE],0),)," ")</f>
        <v xml:space="preserve"> </v>
      </c>
      <c r="I3082" s="291"/>
      <c r="J3082" s="292" t="s">
        <v>174</v>
      </c>
      <c r="K3082" s="293"/>
      <c r="L3082" s="293">
        <v>16923.080000000002</v>
      </c>
    </row>
    <row r="3083" spans="1:12" ht="11.25" customHeight="1" x14ac:dyDescent="0.2">
      <c r="A3083" s="280">
        <v>2023</v>
      </c>
      <c r="B3083" s="280">
        <v>6</v>
      </c>
      <c r="C3083" s="280">
        <v>8</v>
      </c>
      <c r="D3083" s="281">
        <f t="shared" si="341"/>
        <v>45085</v>
      </c>
      <c r="E3083" s="282">
        <f t="shared" si="340"/>
        <v>45085</v>
      </c>
      <c r="F3083" s="472" t="s">
        <v>1294</v>
      </c>
      <c r="G3083" s="283" t="s">
        <v>86</v>
      </c>
      <c r="H3083" s="284" t="str" cm="1">
        <f t="array" ref="H3083">IFERROR(INDEX(INVESTOR_LIST[INVESTOR NAME],MATCH(I3083,INVESTOR_LIST[INVESTOR CODE],0),)," ")</f>
        <v xml:space="preserve"> </v>
      </c>
      <c r="I3083" s="284"/>
      <c r="J3083" s="285" t="s">
        <v>131</v>
      </c>
      <c r="K3083" s="286">
        <v>9711.5400000000009</v>
      </c>
      <c r="L3083" s="286"/>
    </row>
    <row r="3084" spans="1:12" ht="11.25" customHeight="1" x14ac:dyDescent="0.2">
      <c r="A3084" s="287">
        <v>2023</v>
      </c>
      <c r="B3084" s="287">
        <v>6</v>
      </c>
      <c r="C3084" s="287">
        <v>8</v>
      </c>
      <c r="D3084" s="288">
        <f t="shared" si="341"/>
        <v>45085</v>
      </c>
      <c r="E3084" s="289">
        <f t="shared" si="340"/>
        <v>45085</v>
      </c>
      <c r="F3084" s="473"/>
      <c r="G3084" s="290" t="s">
        <v>86</v>
      </c>
      <c r="H3084" s="291" t="str" cm="1">
        <f t="array" ref="H3084">IFERROR(INDEX(INVESTOR_LIST[INVESTOR NAME],MATCH(I3084,INVESTOR_LIST[INVESTOR CODE],0),)," ")</f>
        <v xml:space="preserve"> </v>
      </c>
      <c r="I3084" s="291"/>
      <c r="J3084" s="292" t="s">
        <v>174</v>
      </c>
      <c r="K3084" s="293"/>
      <c r="L3084" s="293">
        <v>9711.5400000000009</v>
      </c>
    </row>
    <row r="3085" spans="1:12" ht="11.25" customHeight="1" x14ac:dyDescent="0.2">
      <c r="A3085" s="236">
        <v>2023</v>
      </c>
      <c r="B3085" s="236">
        <v>6</v>
      </c>
      <c r="C3085" s="236">
        <v>8</v>
      </c>
      <c r="D3085" s="237">
        <f t="shared" si="341"/>
        <v>45085</v>
      </c>
      <c r="E3085" s="238">
        <f t="shared" si="340"/>
        <v>45085</v>
      </c>
      <c r="F3085" s="476" t="s">
        <v>1118</v>
      </c>
      <c r="G3085" s="239" t="s">
        <v>86</v>
      </c>
      <c r="H3085" s="239" t="str" cm="1">
        <f t="array" ref="H3085">IFERROR(INDEX(INVESTOR_LIST[INVESTOR NAME],MATCH(I3085,INVESTOR_LIST[INVESTOR CODE],0),)," ")</f>
        <v xml:space="preserve"> </v>
      </c>
      <c r="I3085" s="240"/>
      <c r="J3085" s="241" t="s">
        <v>82</v>
      </c>
      <c r="K3085" s="242">
        <v>168965.69999998808</v>
      </c>
      <c r="L3085" s="242"/>
    </row>
    <row r="3086" spans="1:12" ht="11.25" customHeight="1" x14ac:dyDescent="0.2">
      <c r="A3086" s="243">
        <v>2023</v>
      </c>
      <c r="B3086" s="243">
        <v>6</v>
      </c>
      <c r="C3086" s="243">
        <v>8</v>
      </c>
      <c r="D3086" s="248">
        <f t="shared" si="341"/>
        <v>45085</v>
      </c>
      <c r="E3086" s="249">
        <f t="shared" si="340"/>
        <v>45085</v>
      </c>
      <c r="F3086" s="477"/>
      <c r="G3086" s="244" t="s">
        <v>86</v>
      </c>
      <c r="H3086" s="244" t="str" cm="1">
        <f t="array" ref="H3086">IFERROR(INDEX(INVESTOR_LIST[INVESTOR NAME],MATCH(I3086,INVESTOR_LIST[INVESTOR CODE],0),)," ")</f>
        <v xml:space="preserve"> </v>
      </c>
      <c r="I3086" s="245"/>
      <c r="J3086" s="246" t="s">
        <v>98</v>
      </c>
      <c r="K3086" s="247"/>
      <c r="L3086" s="247">
        <v>168965.69999998808</v>
      </c>
    </row>
    <row r="3087" spans="1:12" ht="11.25" customHeight="1" x14ac:dyDescent="0.2">
      <c r="A3087" s="236">
        <v>2023</v>
      </c>
      <c r="B3087" s="236">
        <v>6</v>
      </c>
      <c r="C3087" s="236">
        <v>8</v>
      </c>
      <c r="D3087" s="237">
        <f t="shared" si="341"/>
        <v>45085</v>
      </c>
      <c r="E3087" s="238">
        <f t="shared" si="340"/>
        <v>45085</v>
      </c>
      <c r="F3087" s="476" t="s">
        <v>1120</v>
      </c>
      <c r="G3087" s="239" t="s">
        <v>86</v>
      </c>
      <c r="H3087" s="239" t="str" cm="1">
        <f t="array" ref="H3087">IFERROR(INDEX(INVESTOR_LIST[INVESTOR NAME],MATCH(I3087,INVESTOR_LIST[INVESTOR CODE],0),)," ")</f>
        <v xml:space="preserve"> </v>
      </c>
      <c r="I3087" s="240"/>
      <c r="J3087" s="241" t="s">
        <v>87</v>
      </c>
      <c r="K3087" s="242">
        <v>2747.2527472527472</v>
      </c>
      <c r="L3087" s="242"/>
    </row>
    <row r="3088" spans="1:12" ht="11.25" customHeight="1" x14ac:dyDescent="0.2">
      <c r="A3088" s="243">
        <v>2023</v>
      </c>
      <c r="B3088" s="243">
        <v>6</v>
      </c>
      <c r="C3088" s="243">
        <v>8</v>
      </c>
      <c r="D3088" s="248">
        <f t="shared" si="341"/>
        <v>45085</v>
      </c>
      <c r="E3088" s="249">
        <f t="shared" si="340"/>
        <v>45085</v>
      </c>
      <c r="F3088" s="477"/>
      <c r="G3088" s="244" t="s">
        <v>86</v>
      </c>
      <c r="H3088" s="244" t="str" cm="1">
        <f t="array" ref="H3088">IFERROR(INDEX(INVESTOR_LIST[INVESTOR NAME],MATCH(I3088,INVESTOR_LIST[INVESTOR CODE],0),)," ")</f>
        <v xml:space="preserve"> </v>
      </c>
      <c r="I3088" s="245"/>
      <c r="J3088" s="246" t="s">
        <v>64</v>
      </c>
      <c r="K3088" s="247"/>
      <c r="L3088" s="247">
        <v>2747.2527472527472</v>
      </c>
    </row>
    <row r="3089" spans="1:13" ht="11.25" customHeight="1" x14ac:dyDescent="0.2">
      <c r="A3089" s="236">
        <v>2023</v>
      </c>
      <c r="B3089" s="236">
        <v>6</v>
      </c>
      <c r="C3089" s="236">
        <v>8</v>
      </c>
      <c r="D3089" s="237">
        <f t="shared" si="341"/>
        <v>45085</v>
      </c>
      <c r="E3089" s="238">
        <f t="shared" si="340"/>
        <v>45085</v>
      </c>
      <c r="F3089" s="476" t="s">
        <v>1121</v>
      </c>
      <c r="G3089" s="239" t="s">
        <v>86</v>
      </c>
      <c r="H3089" s="239" t="str" cm="1">
        <f t="array" ref="H3089">IFERROR(INDEX(INVESTOR_LIST[INVESTOR NAME],MATCH(I3089,INVESTOR_LIST[INVESTOR CODE],0),)," ")</f>
        <v xml:space="preserve"> </v>
      </c>
      <c r="I3089" s="240"/>
      <c r="J3089" s="241" t="s">
        <v>89</v>
      </c>
      <c r="K3089" s="242">
        <v>37944.61513064232</v>
      </c>
      <c r="L3089" s="242"/>
    </row>
    <row r="3090" spans="1:13" ht="11.25" customHeight="1" x14ac:dyDescent="0.2">
      <c r="A3090" s="243">
        <v>2023</v>
      </c>
      <c r="B3090" s="243">
        <v>6</v>
      </c>
      <c r="C3090" s="243">
        <v>8</v>
      </c>
      <c r="D3090" s="248">
        <f t="shared" si="341"/>
        <v>45085</v>
      </c>
      <c r="E3090" s="249">
        <f t="shared" si="340"/>
        <v>45085</v>
      </c>
      <c r="F3090" s="477"/>
      <c r="G3090" s="244" t="s">
        <v>86</v>
      </c>
      <c r="H3090" s="244" t="str" cm="1">
        <f t="array" ref="H3090">IFERROR(INDEX(INVESTOR_LIST[INVESTOR NAME],MATCH(I3090,INVESTOR_LIST[INVESTOR CODE],0),)," ")</f>
        <v xml:space="preserve"> </v>
      </c>
      <c r="I3090" s="245"/>
      <c r="J3090" s="246" t="s">
        <v>50</v>
      </c>
      <c r="K3090" s="247"/>
      <c r="L3090" s="247">
        <v>37944.61513064232</v>
      </c>
    </row>
    <row r="3091" spans="1:13" ht="11.25" customHeight="1" x14ac:dyDescent="0.2">
      <c r="A3091" s="236">
        <v>2023</v>
      </c>
      <c r="B3091" s="236">
        <v>6</v>
      </c>
      <c r="C3091" s="236">
        <v>8</v>
      </c>
      <c r="D3091" s="237">
        <f t="shared" si="341"/>
        <v>45085</v>
      </c>
      <c r="E3091" s="238">
        <f t="shared" si="340"/>
        <v>45085</v>
      </c>
      <c r="F3091" s="476" t="s">
        <v>1122</v>
      </c>
      <c r="G3091" s="239" t="s">
        <v>86</v>
      </c>
      <c r="H3091" s="239" t="str" cm="1">
        <f t="array" ref="H3091">IFERROR(INDEX(INVESTOR_LIST[INVESTOR NAME],MATCH(I3091,INVESTOR_LIST[INVESTOR CODE],0),)," ")</f>
        <v xml:space="preserve"> </v>
      </c>
      <c r="I3091" s="240"/>
      <c r="J3091" s="241" t="s">
        <v>91</v>
      </c>
      <c r="K3091" s="242">
        <v>3794.4615130642314</v>
      </c>
      <c r="L3091" s="242"/>
    </row>
    <row r="3092" spans="1:13" ht="11.25" customHeight="1" x14ac:dyDescent="0.2">
      <c r="A3092" s="243">
        <v>2023</v>
      </c>
      <c r="B3092" s="243">
        <v>6</v>
      </c>
      <c r="C3092" s="243">
        <v>8</v>
      </c>
      <c r="D3092" s="248">
        <f t="shared" si="341"/>
        <v>45085</v>
      </c>
      <c r="E3092" s="249">
        <f t="shared" si="340"/>
        <v>45085</v>
      </c>
      <c r="F3092" s="477"/>
      <c r="G3092" s="244" t="s">
        <v>86</v>
      </c>
      <c r="H3092" s="244" t="str" cm="1">
        <f t="array" ref="H3092">IFERROR(INDEX(INVESTOR_LIST[INVESTOR NAME],MATCH(I3092,INVESTOR_LIST[INVESTOR CODE],0),)," ")</f>
        <v xml:space="preserve"> </v>
      </c>
      <c r="I3092" s="245"/>
      <c r="J3092" s="246" t="s">
        <v>51</v>
      </c>
      <c r="K3092" s="247"/>
      <c r="L3092" s="247">
        <v>3794.4615130642314</v>
      </c>
    </row>
    <row r="3093" spans="1:13" ht="11.25" customHeight="1" x14ac:dyDescent="0.2">
      <c r="A3093" s="221">
        <v>2023</v>
      </c>
      <c r="B3093" s="221">
        <v>6</v>
      </c>
      <c r="C3093" s="221">
        <v>12</v>
      </c>
      <c r="D3093" s="231">
        <f t="shared" si="341"/>
        <v>45089</v>
      </c>
      <c r="E3093" s="233">
        <f t="shared" si="340"/>
        <v>45089</v>
      </c>
      <c r="F3093" s="478" t="s">
        <v>1303</v>
      </c>
      <c r="G3093" s="222" t="s">
        <v>1111</v>
      </c>
      <c r="H3093" s="223" t="str" cm="1">
        <f t="array" ref="H3093">IFERROR(INDEX(INVESTOR_LIST[INVESTOR NAME],MATCH(I3093,INVESTOR_LIST[INVESTOR CODE],0),)," ")</f>
        <v xml:space="preserve"> </v>
      </c>
      <c r="I3093" s="223"/>
      <c r="J3093" s="224" t="s">
        <v>55</v>
      </c>
      <c r="K3093" s="225">
        <v>444302.81</v>
      </c>
      <c r="L3093" s="225"/>
    </row>
    <row r="3094" spans="1:13" ht="11.25" customHeight="1" x14ac:dyDescent="0.2">
      <c r="A3094" s="226">
        <v>2023</v>
      </c>
      <c r="B3094" s="226">
        <v>6</v>
      </c>
      <c r="C3094" s="226">
        <v>12</v>
      </c>
      <c r="D3094" s="232">
        <f t="shared" si="341"/>
        <v>45089</v>
      </c>
      <c r="E3094" s="234">
        <f t="shared" si="340"/>
        <v>45089</v>
      </c>
      <c r="F3094" s="479"/>
      <c r="G3094" s="227" t="s">
        <v>1111</v>
      </c>
      <c r="H3094" s="228" t="str" cm="1">
        <f t="array" ref="H3094">IFERROR(INDEX(INVESTOR_LIST[INVESTOR NAME],MATCH(I3094,INVESTOR_LIST[INVESTOR CODE],0),)," ")</f>
        <v xml:space="preserve"> </v>
      </c>
      <c r="I3094" s="228"/>
      <c r="J3094" s="229" t="s">
        <v>199</v>
      </c>
      <c r="K3094" s="230"/>
      <c r="L3094" s="230">
        <v>444302.81</v>
      </c>
      <c r="M3094" s="166"/>
    </row>
    <row r="3095" spans="1:13" ht="11.25" customHeight="1" x14ac:dyDescent="0.2">
      <c r="A3095" s="221">
        <v>2023</v>
      </c>
      <c r="B3095" s="221">
        <v>6</v>
      </c>
      <c r="C3095" s="221">
        <v>14</v>
      </c>
      <c r="D3095" s="231">
        <f t="shared" si="341"/>
        <v>45091</v>
      </c>
      <c r="E3095" s="233">
        <f t="shared" ref="E3095:E3102" si="342">DATE(A3095,B3095,C3095)</f>
        <v>45091</v>
      </c>
      <c r="F3095" s="478" t="s">
        <v>1522</v>
      </c>
      <c r="G3095" s="222" t="s">
        <v>1111</v>
      </c>
      <c r="H3095" s="222" t="str" cm="1">
        <f t="array" ref="H3095">IFERROR(INDEX(INVESTOR_LIST[INVESTOR NAME],MATCH(I3095,INVESTOR_LIST[INVESTOR CODE],0),)," ")</f>
        <v xml:space="preserve"> </v>
      </c>
      <c r="I3095" s="223"/>
      <c r="J3095" s="224" t="s">
        <v>196</v>
      </c>
      <c r="K3095" s="225">
        <v>5000000</v>
      </c>
      <c r="L3095" s="225"/>
      <c r="M3095" s="166"/>
    </row>
    <row r="3096" spans="1:13" ht="11.25" customHeight="1" x14ac:dyDescent="0.2">
      <c r="A3096" s="164">
        <v>2023</v>
      </c>
      <c r="B3096" s="164">
        <v>6</v>
      </c>
      <c r="C3096" s="164">
        <v>14</v>
      </c>
      <c r="D3096" s="164">
        <f t="shared" si="341"/>
        <v>45091</v>
      </c>
      <c r="E3096" s="235">
        <f t="shared" si="342"/>
        <v>45091</v>
      </c>
      <c r="F3096" s="480"/>
      <c r="G3096" s="208" t="s">
        <v>1111</v>
      </c>
      <c r="H3096" s="208" t="str" cm="1">
        <f t="array" ref="H3096">IFERROR(INDEX(INVESTOR_LIST[INVESTOR NAME],MATCH(I3096,INVESTOR_LIST[INVESTOR CODE],0),)," ")</f>
        <v xml:space="preserve"> </v>
      </c>
      <c r="J3096" s="165" t="s">
        <v>63</v>
      </c>
      <c r="K3096" s="205">
        <v>115</v>
      </c>
      <c r="L3096" s="205"/>
    </row>
    <row r="3097" spans="1:13" ht="11.25" customHeight="1" x14ac:dyDescent="0.2">
      <c r="A3097" s="226">
        <v>2023</v>
      </c>
      <c r="B3097" s="226">
        <v>6</v>
      </c>
      <c r="C3097" s="226">
        <v>14</v>
      </c>
      <c r="D3097" s="226">
        <f t="shared" si="341"/>
        <v>45091</v>
      </c>
      <c r="E3097" s="234">
        <f t="shared" si="342"/>
        <v>45091</v>
      </c>
      <c r="F3097" s="479"/>
      <c r="G3097" s="227" t="s">
        <v>1111</v>
      </c>
      <c r="H3097" s="228" t="str" cm="1">
        <f t="array" ref="H3097">IFERROR(INDEX(INVESTOR_LIST[INVESTOR NAME],MATCH(I3097,INVESTOR_LIST[INVESTOR CODE],0),)," ")</f>
        <v xml:space="preserve"> </v>
      </c>
      <c r="I3097" s="228"/>
      <c r="J3097" s="229" t="s">
        <v>55</v>
      </c>
      <c r="K3097" s="230"/>
      <c r="L3097" s="230">
        <v>5000115</v>
      </c>
    </row>
    <row r="3098" spans="1:13" ht="11.25" customHeight="1" x14ac:dyDescent="0.2">
      <c r="A3098" s="221">
        <v>2023</v>
      </c>
      <c r="B3098" s="221">
        <v>6</v>
      </c>
      <c r="C3098" s="221">
        <v>15</v>
      </c>
      <c r="D3098" s="231">
        <f t="shared" si="341"/>
        <v>45092</v>
      </c>
      <c r="E3098" s="233">
        <f t="shared" si="342"/>
        <v>45092</v>
      </c>
      <c r="F3098" s="478" t="s">
        <v>1115</v>
      </c>
      <c r="G3098" s="222" t="s">
        <v>1111</v>
      </c>
      <c r="H3098" s="223" t="str" cm="1">
        <f t="array" ref="H3098">IFERROR(INDEX(INVESTOR_LIST[INVESTOR NAME],MATCH(I3098,INVESTOR_LIST[INVESTOR CODE],0),)," ")</f>
        <v>RAFIQUL ANOWAR</v>
      </c>
      <c r="I3098" s="223" t="s">
        <v>442</v>
      </c>
      <c r="J3098" s="224" t="s">
        <v>14</v>
      </c>
      <c r="K3098" s="225">
        <v>10000000</v>
      </c>
      <c r="L3098" s="225"/>
    </row>
    <row r="3099" spans="1:13" ht="11.25" customHeight="1" x14ac:dyDescent="0.2">
      <c r="A3099" s="164">
        <v>2023</v>
      </c>
      <c r="B3099" s="164">
        <v>6</v>
      </c>
      <c r="C3099" s="164">
        <v>15</v>
      </c>
      <c r="D3099" s="156">
        <f t="shared" si="341"/>
        <v>45092</v>
      </c>
      <c r="E3099" s="235">
        <f t="shared" si="342"/>
        <v>45092</v>
      </c>
      <c r="F3099" s="480"/>
      <c r="G3099" s="208" t="s">
        <v>1111</v>
      </c>
      <c r="H3099" s="206" t="str" cm="1">
        <f t="array" ref="H3099">IFERROR(INDEX(INVESTOR_LIST[INVESTOR NAME],MATCH(I3099,INVESTOR_LIST[INVESTOR CODE],0),)," ")</f>
        <v>RAFIQUL ANOWAR</v>
      </c>
      <c r="I3099" s="206" t="s">
        <v>442</v>
      </c>
      <c r="J3099" s="165" t="s">
        <v>1112</v>
      </c>
      <c r="K3099" s="205">
        <v>241000</v>
      </c>
    </row>
    <row r="3100" spans="1:13" ht="11.25" customHeight="1" x14ac:dyDescent="0.2">
      <c r="A3100" s="226">
        <v>2023</v>
      </c>
      <c r="B3100" s="226">
        <v>6</v>
      </c>
      <c r="C3100" s="226">
        <v>15</v>
      </c>
      <c r="D3100" s="232">
        <f t="shared" si="341"/>
        <v>45092</v>
      </c>
      <c r="E3100" s="234">
        <f t="shared" si="342"/>
        <v>45092</v>
      </c>
      <c r="F3100" s="479"/>
      <c r="G3100" s="227" t="s">
        <v>1111</v>
      </c>
      <c r="H3100" s="228" t="str" cm="1">
        <f t="array" ref="H3100">IFERROR(INDEX(INVESTOR_LIST[INVESTOR NAME],MATCH(I3100,INVESTOR_LIST[INVESTOR CODE],0),)," ")</f>
        <v>RAFIQUL ANOWAR</v>
      </c>
      <c r="I3100" s="228" t="s">
        <v>442</v>
      </c>
      <c r="J3100" s="229" t="s">
        <v>55</v>
      </c>
      <c r="K3100" s="230"/>
      <c r="L3100" s="230">
        <v>10241000</v>
      </c>
    </row>
    <row r="3101" spans="1:13" ht="11.25" customHeight="1" x14ac:dyDescent="0.2">
      <c r="A3101" s="221">
        <v>2023</v>
      </c>
      <c r="B3101" s="221">
        <v>6</v>
      </c>
      <c r="C3101" s="221">
        <v>15</v>
      </c>
      <c r="D3101" s="231">
        <f t="shared" si="341"/>
        <v>45092</v>
      </c>
      <c r="E3101" s="233">
        <f t="shared" si="342"/>
        <v>45092</v>
      </c>
      <c r="F3101" s="478" t="s">
        <v>1523</v>
      </c>
      <c r="G3101" s="222" t="s">
        <v>1111</v>
      </c>
      <c r="H3101" s="223" t="str" cm="1">
        <f t="array" ref="H3101">IFERROR(INDEX(INVESTOR_LIST[INVESTOR NAME],MATCH(I3101,INVESTOR_LIST[INVESTOR CODE],0),)," ")</f>
        <v xml:space="preserve"> </v>
      </c>
      <c r="I3101" s="223"/>
      <c r="J3101" s="224" t="s">
        <v>189</v>
      </c>
      <c r="K3101" s="225">
        <v>1575</v>
      </c>
      <c r="L3101" s="225"/>
    </row>
    <row r="3102" spans="1:13" ht="11.25" customHeight="1" x14ac:dyDescent="0.2">
      <c r="A3102" s="226">
        <v>2023</v>
      </c>
      <c r="B3102" s="226">
        <v>6</v>
      </c>
      <c r="C3102" s="226">
        <v>15</v>
      </c>
      <c r="D3102" s="232">
        <f t="shared" si="341"/>
        <v>45092</v>
      </c>
      <c r="E3102" s="234">
        <f t="shared" si="342"/>
        <v>45092</v>
      </c>
      <c r="F3102" s="479"/>
      <c r="G3102" s="227" t="s">
        <v>1111</v>
      </c>
      <c r="H3102" s="228" t="str" cm="1">
        <f t="array" ref="H3102">IFERROR(INDEX(INVESTOR_LIST[INVESTOR NAME],MATCH(I3102,INVESTOR_LIST[INVESTOR CODE],0),)," ")</f>
        <v xml:space="preserve"> </v>
      </c>
      <c r="I3102" s="228"/>
      <c r="J3102" s="229" t="s">
        <v>55</v>
      </c>
      <c r="K3102" s="230"/>
      <c r="L3102" s="230">
        <v>1575</v>
      </c>
    </row>
    <row r="3103" spans="1:13" ht="11.25" customHeight="1" x14ac:dyDescent="0.2">
      <c r="A3103" s="221">
        <v>2023</v>
      </c>
      <c r="B3103" s="221">
        <v>6</v>
      </c>
      <c r="C3103" s="221">
        <v>15</v>
      </c>
      <c r="D3103" s="231">
        <f t="shared" si="341"/>
        <v>45092</v>
      </c>
      <c r="E3103" s="233">
        <f t="shared" ref="E3103:E3109" si="343">DATE(A3103,B3103,C3103)</f>
        <v>45092</v>
      </c>
      <c r="F3103" s="478" t="s">
        <v>1178</v>
      </c>
      <c r="G3103" s="222" t="s">
        <v>1111</v>
      </c>
      <c r="H3103" s="223" t="str" cm="1">
        <f t="array" ref="H3103">IFERROR(INDEX(INVESTOR_LIST[INVESTOR NAME],MATCH(I3103,INVESTOR_LIST[INVESTOR CODE],0),)," ")</f>
        <v xml:space="preserve"> </v>
      </c>
      <c r="I3103" s="223"/>
      <c r="J3103" s="224" t="s">
        <v>189</v>
      </c>
      <c r="K3103" s="225">
        <v>8000</v>
      </c>
      <c r="L3103" s="225"/>
    </row>
    <row r="3104" spans="1:13" ht="11.25" customHeight="1" x14ac:dyDescent="0.2">
      <c r="A3104" s="226">
        <v>2023</v>
      </c>
      <c r="B3104" s="226">
        <v>6</v>
      </c>
      <c r="C3104" s="226">
        <v>15</v>
      </c>
      <c r="D3104" s="232">
        <f t="shared" si="341"/>
        <v>45092</v>
      </c>
      <c r="E3104" s="234">
        <f t="shared" si="343"/>
        <v>45092</v>
      </c>
      <c r="F3104" s="479"/>
      <c r="G3104" s="227" t="s">
        <v>1111</v>
      </c>
      <c r="H3104" s="228" t="str" cm="1">
        <f t="array" ref="H3104">IFERROR(INDEX(INVESTOR_LIST[INVESTOR NAME],MATCH(I3104,INVESTOR_LIST[INVESTOR CODE],0),)," ")</f>
        <v xml:space="preserve"> </v>
      </c>
      <c r="I3104" s="228"/>
      <c r="J3104" s="229" t="s">
        <v>55</v>
      </c>
      <c r="K3104" s="230"/>
      <c r="L3104" s="230">
        <v>8000</v>
      </c>
    </row>
    <row r="3105" spans="1:12" ht="11.25" customHeight="1" x14ac:dyDescent="0.2">
      <c r="A3105" s="221">
        <v>2023</v>
      </c>
      <c r="B3105" s="221">
        <v>6</v>
      </c>
      <c r="C3105" s="221">
        <v>15</v>
      </c>
      <c r="D3105" s="231">
        <f t="shared" si="341"/>
        <v>45092</v>
      </c>
      <c r="E3105" s="233">
        <f t="shared" si="343"/>
        <v>45092</v>
      </c>
      <c r="F3105" s="478" t="s">
        <v>1363</v>
      </c>
      <c r="G3105" s="222" t="s">
        <v>1111</v>
      </c>
      <c r="H3105" s="223" t="str" cm="1">
        <f t="array" ref="H3105">IFERROR(INDEX(INVESTOR_LIST[INVESTOR NAME],MATCH(I3105,INVESTOR_LIST[INVESTOR CODE],0),)," ")</f>
        <v xml:space="preserve"> </v>
      </c>
      <c r="I3105" s="223"/>
      <c r="J3105" s="224" t="s">
        <v>88</v>
      </c>
      <c r="K3105" s="225">
        <v>2500000</v>
      </c>
      <c r="L3105" s="225"/>
    </row>
    <row r="3106" spans="1:12" ht="11.25" customHeight="1" x14ac:dyDescent="0.2">
      <c r="A3106" s="164">
        <v>2023</v>
      </c>
      <c r="B3106" s="164">
        <v>6</v>
      </c>
      <c r="C3106" s="164">
        <v>15</v>
      </c>
      <c r="D3106" s="156">
        <f t="shared" si="341"/>
        <v>45092</v>
      </c>
      <c r="E3106" s="235">
        <f t="shared" si="343"/>
        <v>45092</v>
      </c>
      <c r="F3106" s="480"/>
      <c r="G3106" s="208" t="s">
        <v>1111</v>
      </c>
      <c r="J3106" s="165" t="s">
        <v>55</v>
      </c>
      <c r="K3106" s="205">
        <v>84500</v>
      </c>
      <c r="L3106" s="205"/>
    </row>
    <row r="3107" spans="1:12" ht="11.25" customHeight="1" x14ac:dyDescent="0.2">
      <c r="A3107" s="164">
        <v>2023</v>
      </c>
      <c r="B3107" s="164">
        <v>6</v>
      </c>
      <c r="C3107" s="164">
        <v>15</v>
      </c>
      <c r="D3107" s="156">
        <f t="shared" si="341"/>
        <v>45092</v>
      </c>
      <c r="E3107" s="235">
        <f t="shared" ref="E3107" si="344">DATE(A3107,B3107,C3107)</f>
        <v>45092</v>
      </c>
      <c r="F3107" s="480"/>
      <c r="G3107" s="208" t="s">
        <v>1111</v>
      </c>
      <c r="J3107" s="165" t="s">
        <v>63</v>
      </c>
      <c r="K3107" s="205">
        <v>3000</v>
      </c>
      <c r="L3107" s="205"/>
    </row>
    <row r="3108" spans="1:12" ht="11.25" customHeight="1" x14ac:dyDescent="0.2">
      <c r="A3108" s="164">
        <v>2023</v>
      </c>
      <c r="B3108" s="164">
        <v>6</v>
      </c>
      <c r="C3108" s="164">
        <v>15</v>
      </c>
      <c r="D3108" s="156">
        <f t="shared" si="341"/>
        <v>45092</v>
      </c>
      <c r="E3108" s="235">
        <f t="shared" si="343"/>
        <v>45092</v>
      </c>
      <c r="F3108" s="480"/>
      <c r="G3108" s="208" t="s">
        <v>1111</v>
      </c>
      <c r="J3108" s="165" t="s">
        <v>131</v>
      </c>
      <c r="K3108" s="205"/>
      <c r="L3108" s="205">
        <v>87500</v>
      </c>
    </row>
    <row r="3109" spans="1:12" ht="11.25" customHeight="1" x14ac:dyDescent="0.2">
      <c r="A3109" s="226">
        <v>2023</v>
      </c>
      <c r="B3109" s="226">
        <v>6</v>
      </c>
      <c r="C3109" s="226">
        <v>15</v>
      </c>
      <c r="D3109" s="232">
        <f t="shared" si="341"/>
        <v>45092</v>
      </c>
      <c r="E3109" s="234">
        <f t="shared" si="343"/>
        <v>45092</v>
      </c>
      <c r="F3109" s="479"/>
      <c r="G3109" s="208" t="s">
        <v>1111</v>
      </c>
      <c r="H3109" s="228" t="str" cm="1">
        <f t="array" ref="H3109">IFERROR(INDEX(INVESTOR_LIST[INVESTOR NAME],MATCH(I3109,INVESTOR_LIST[INVESTOR CODE],0),)," ")</f>
        <v xml:space="preserve"> </v>
      </c>
      <c r="I3109" s="228"/>
      <c r="J3109" s="229" t="s">
        <v>88</v>
      </c>
      <c r="K3109" s="230"/>
      <c r="L3109" s="230">
        <v>2500000</v>
      </c>
    </row>
    <row r="3110" spans="1:12" ht="11.25" customHeight="1" x14ac:dyDescent="0.2">
      <c r="A3110" s="221">
        <v>2023</v>
      </c>
      <c r="B3110" s="221">
        <v>6</v>
      </c>
      <c r="C3110" s="221">
        <v>15</v>
      </c>
      <c r="D3110" s="231">
        <f t="shared" si="341"/>
        <v>45092</v>
      </c>
      <c r="E3110" s="233">
        <f t="shared" ref="E3110:E3114" si="345">DATE(A3110,B3110,C3110)</f>
        <v>45092</v>
      </c>
      <c r="F3110" s="478" t="s">
        <v>1524</v>
      </c>
      <c r="G3110" s="222" t="s">
        <v>1111</v>
      </c>
      <c r="H3110" s="223" t="str" cm="1">
        <f t="array" ref="H3110">IFERROR(INDEX(INVESTOR_LIST[INVESTOR NAME],MATCH(I3110,INVESTOR_LIST[INVESTOR CODE],0),)," ")</f>
        <v xml:space="preserve"> </v>
      </c>
      <c r="I3110" s="223"/>
      <c r="J3110" s="224" t="s">
        <v>88</v>
      </c>
      <c r="K3110" s="225">
        <v>2500000</v>
      </c>
      <c r="L3110" s="225"/>
    </row>
    <row r="3111" spans="1:12" ht="11.25" customHeight="1" x14ac:dyDescent="0.2">
      <c r="A3111" s="164">
        <v>2023</v>
      </c>
      <c r="B3111" s="164">
        <v>6</v>
      </c>
      <c r="C3111" s="164">
        <v>15</v>
      </c>
      <c r="D3111" s="156">
        <f t="shared" si="341"/>
        <v>45092</v>
      </c>
      <c r="E3111" s="235">
        <f t="shared" si="345"/>
        <v>45092</v>
      </c>
      <c r="F3111" s="480"/>
      <c r="G3111" s="208" t="s">
        <v>1111</v>
      </c>
      <c r="J3111" s="165" t="s">
        <v>55</v>
      </c>
      <c r="K3111" s="205">
        <v>84500</v>
      </c>
      <c r="L3111" s="205"/>
    </row>
    <row r="3112" spans="1:12" ht="11.25" customHeight="1" x14ac:dyDescent="0.2">
      <c r="A3112" s="164">
        <v>2023</v>
      </c>
      <c r="B3112" s="164">
        <v>6</v>
      </c>
      <c r="C3112" s="164">
        <v>15</v>
      </c>
      <c r="D3112" s="156">
        <f t="shared" si="341"/>
        <v>45092</v>
      </c>
      <c r="E3112" s="235">
        <f t="shared" ref="E3112" si="346">DATE(A3112,B3112,C3112)</f>
        <v>45092</v>
      </c>
      <c r="F3112" s="480"/>
      <c r="G3112" s="208" t="s">
        <v>1111</v>
      </c>
      <c r="J3112" s="165" t="s">
        <v>63</v>
      </c>
      <c r="K3112" s="205">
        <v>3000</v>
      </c>
      <c r="L3112" s="205"/>
    </row>
    <row r="3113" spans="1:12" ht="11.25" customHeight="1" x14ac:dyDescent="0.2">
      <c r="A3113" s="164">
        <v>2023</v>
      </c>
      <c r="B3113" s="164">
        <v>6</v>
      </c>
      <c r="C3113" s="164">
        <v>15</v>
      </c>
      <c r="D3113" s="156">
        <f t="shared" si="341"/>
        <v>45092</v>
      </c>
      <c r="E3113" s="235">
        <f t="shared" si="345"/>
        <v>45092</v>
      </c>
      <c r="F3113" s="480"/>
      <c r="G3113" s="208" t="s">
        <v>1111</v>
      </c>
      <c r="J3113" s="165" t="s">
        <v>131</v>
      </c>
      <c r="K3113" s="205"/>
      <c r="L3113" s="205">
        <v>87500</v>
      </c>
    </row>
    <row r="3114" spans="1:12" ht="11.25" customHeight="1" x14ac:dyDescent="0.2">
      <c r="A3114" s="226">
        <v>2023</v>
      </c>
      <c r="B3114" s="226">
        <v>6</v>
      </c>
      <c r="C3114" s="226">
        <v>15</v>
      </c>
      <c r="D3114" s="232">
        <f t="shared" si="341"/>
        <v>45092</v>
      </c>
      <c r="E3114" s="234">
        <f t="shared" si="345"/>
        <v>45092</v>
      </c>
      <c r="F3114" s="479"/>
      <c r="G3114" s="208" t="s">
        <v>1111</v>
      </c>
      <c r="H3114" s="228" t="str" cm="1">
        <f t="array" ref="H3114">IFERROR(INDEX(INVESTOR_LIST[INVESTOR NAME],MATCH(I3114,INVESTOR_LIST[INVESTOR CODE],0),)," ")</f>
        <v xml:space="preserve"> </v>
      </c>
      <c r="I3114" s="228"/>
      <c r="J3114" s="229" t="s">
        <v>88</v>
      </c>
      <c r="K3114" s="230"/>
      <c r="L3114" s="230">
        <v>2500000</v>
      </c>
    </row>
    <row r="3115" spans="1:12" ht="11.25" customHeight="1" x14ac:dyDescent="0.2">
      <c r="A3115" s="221">
        <v>2023</v>
      </c>
      <c r="B3115" s="221">
        <v>6</v>
      </c>
      <c r="C3115" s="221">
        <v>15</v>
      </c>
      <c r="D3115" s="231">
        <f t="shared" si="341"/>
        <v>45092</v>
      </c>
      <c r="E3115" s="233">
        <f t="shared" ref="E3115:E3162" si="347">DATE(A3115,B3115,C3115)</f>
        <v>45092</v>
      </c>
      <c r="F3115" s="478" t="s">
        <v>1448</v>
      </c>
      <c r="G3115" s="222" t="s">
        <v>1111</v>
      </c>
      <c r="H3115" s="223" t="str" cm="1">
        <f t="array" ref="H3115">IFERROR(INDEX(INVESTOR_LIST[INVESTOR NAME],MATCH(I3115,INVESTOR_LIST[INVESTOR CODE],0),)," ")</f>
        <v xml:space="preserve"> </v>
      </c>
      <c r="I3115" s="223"/>
      <c r="J3115" s="224" t="s">
        <v>88</v>
      </c>
      <c r="K3115" s="225">
        <v>2000000</v>
      </c>
      <c r="L3115" s="225"/>
    </row>
    <row r="3116" spans="1:12" ht="11.25" customHeight="1" x14ac:dyDescent="0.2">
      <c r="A3116" s="164">
        <v>2023</v>
      </c>
      <c r="B3116" s="164">
        <v>6</v>
      </c>
      <c r="C3116" s="164">
        <v>15</v>
      </c>
      <c r="D3116" s="156">
        <f t="shared" si="341"/>
        <v>45092</v>
      </c>
      <c r="E3116" s="235">
        <f t="shared" si="347"/>
        <v>45092</v>
      </c>
      <c r="F3116" s="480"/>
      <c r="G3116" s="208" t="s">
        <v>1111</v>
      </c>
      <c r="J3116" s="165" t="s">
        <v>55</v>
      </c>
      <c r="K3116" s="205">
        <v>35750</v>
      </c>
      <c r="L3116" s="205"/>
    </row>
    <row r="3117" spans="1:12" ht="11.25" customHeight="1" x14ac:dyDescent="0.2">
      <c r="A3117" s="164">
        <v>2023</v>
      </c>
      <c r="B3117" s="164">
        <v>6</v>
      </c>
      <c r="C3117" s="164">
        <v>15</v>
      </c>
      <c r="D3117" s="156">
        <f t="shared" si="341"/>
        <v>45092</v>
      </c>
      <c r="E3117" s="235">
        <f t="shared" ref="E3117" si="348">DATE(A3117,B3117,C3117)</f>
        <v>45092</v>
      </c>
      <c r="F3117" s="480"/>
      <c r="G3117" s="208" t="s">
        <v>1111</v>
      </c>
      <c r="J3117" s="165" t="s">
        <v>63</v>
      </c>
      <c r="K3117" s="205">
        <v>3000</v>
      </c>
      <c r="L3117" s="205"/>
    </row>
    <row r="3118" spans="1:12" ht="11.25" customHeight="1" x14ac:dyDescent="0.2">
      <c r="A3118" s="164">
        <v>2023</v>
      </c>
      <c r="B3118" s="164">
        <v>6</v>
      </c>
      <c r="C3118" s="164">
        <v>15</v>
      </c>
      <c r="D3118" s="156">
        <f t="shared" si="341"/>
        <v>45092</v>
      </c>
      <c r="E3118" s="235">
        <f t="shared" si="347"/>
        <v>45092</v>
      </c>
      <c r="F3118" s="480"/>
      <c r="G3118" s="208" t="s">
        <v>1111</v>
      </c>
      <c r="J3118" s="165" t="s">
        <v>131</v>
      </c>
      <c r="K3118" s="205"/>
      <c r="L3118" s="205">
        <v>38750</v>
      </c>
    </row>
    <row r="3119" spans="1:12" ht="11.25" customHeight="1" x14ac:dyDescent="0.2">
      <c r="A3119" s="226">
        <v>2023</v>
      </c>
      <c r="B3119" s="226">
        <v>6</v>
      </c>
      <c r="C3119" s="226">
        <v>15</v>
      </c>
      <c r="D3119" s="232">
        <f t="shared" si="341"/>
        <v>45092</v>
      </c>
      <c r="E3119" s="234">
        <f t="shared" si="347"/>
        <v>45092</v>
      </c>
      <c r="F3119" s="479"/>
      <c r="G3119" s="227" t="s">
        <v>1111</v>
      </c>
      <c r="H3119" s="228" t="str" cm="1">
        <f t="array" ref="H3119">IFERROR(INDEX(INVESTOR_LIST[INVESTOR NAME],MATCH(I3119,INVESTOR_LIST[INVESTOR CODE],0),)," ")</f>
        <v xml:space="preserve"> </v>
      </c>
      <c r="I3119" s="228"/>
      <c r="J3119" s="229" t="s">
        <v>88</v>
      </c>
      <c r="K3119" s="230"/>
      <c r="L3119" s="230">
        <v>2000000</v>
      </c>
    </row>
    <row r="3120" spans="1:12" ht="11.25" customHeight="1" x14ac:dyDescent="0.2">
      <c r="A3120" s="221">
        <v>2023</v>
      </c>
      <c r="B3120" s="221">
        <v>6</v>
      </c>
      <c r="C3120" s="221">
        <v>15</v>
      </c>
      <c r="D3120" s="231">
        <f t="shared" si="341"/>
        <v>45092</v>
      </c>
      <c r="E3120" s="233">
        <f t="shared" si="347"/>
        <v>45092</v>
      </c>
      <c r="F3120" s="478" t="s">
        <v>1518</v>
      </c>
      <c r="G3120" s="222" t="s">
        <v>1111</v>
      </c>
      <c r="H3120" s="223" t="str" cm="1">
        <f t="array" ref="H3120">IFERROR(INDEX(INVESTOR_LIST[INVESTOR NAME],MATCH(I3120,INVESTOR_LIST[INVESTOR CODE],0),)," ")</f>
        <v xml:space="preserve"> </v>
      </c>
      <c r="I3120" s="223"/>
      <c r="J3120" s="224" t="s">
        <v>63</v>
      </c>
      <c r="K3120" s="225">
        <v>100</v>
      </c>
      <c r="L3120" s="225"/>
    </row>
    <row r="3121" spans="1:12" ht="11.25" customHeight="1" x14ac:dyDescent="0.2">
      <c r="A3121" s="226">
        <v>2023</v>
      </c>
      <c r="B3121" s="226">
        <v>6</v>
      </c>
      <c r="C3121" s="226">
        <v>15</v>
      </c>
      <c r="D3121" s="232">
        <f t="shared" si="341"/>
        <v>45092</v>
      </c>
      <c r="E3121" s="234">
        <f t="shared" si="347"/>
        <v>45092</v>
      </c>
      <c r="F3121" s="479"/>
      <c r="G3121" s="227" t="s">
        <v>1111</v>
      </c>
      <c r="H3121" s="228" t="str" cm="1">
        <f t="array" ref="H3121">IFERROR(INDEX(INVESTOR_LIST[INVESTOR NAME],MATCH(I3121,INVESTOR_LIST[INVESTOR CODE],0),)," ")</f>
        <v xml:space="preserve"> </v>
      </c>
      <c r="I3121" s="228"/>
      <c r="J3121" s="229" t="s">
        <v>55</v>
      </c>
      <c r="K3121" s="230"/>
      <c r="L3121" s="230">
        <v>100</v>
      </c>
    </row>
    <row r="3122" spans="1:12" ht="11.25" customHeight="1" x14ac:dyDescent="0.2">
      <c r="A3122" s="221">
        <v>2023</v>
      </c>
      <c r="B3122" s="221">
        <v>6</v>
      </c>
      <c r="C3122" s="221">
        <v>15</v>
      </c>
      <c r="D3122" s="221">
        <f t="shared" si="341"/>
        <v>45092</v>
      </c>
      <c r="E3122" s="233">
        <f t="shared" si="347"/>
        <v>45092</v>
      </c>
      <c r="F3122" s="478" t="s">
        <v>1301</v>
      </c>
      <c r="G3122" s="222" t="s">
        <v>86</v>
      </c>
      <c r="H3122" s="222" t="str" cm="1">
        <f t="array" ref="H3122">IFERROR(INDEX(INVESTOR_LIST[INVESTOR NAME],MATCH(I3122,INVESTOR_LIST[INVESTOR CODE],0),)," ")</f>
        <v xml:space="preserve"> </v>
      </c>
      <c r="I3122" s="223"/>
      <c r="J3122" s="165" t="s">
        <v>199</v>
      </c>
      <c r="K3122" s="225">
        <v>154378.22</v>
      </c>
      <c r="L3122" s="225"/>
    </row>
    <row r="3123" spans="1:12" ht="11.25" customHeight="1" x14ac:dyDescent="0.2">
      <c r="A3123" s="164">
        <v>2023</v>
      </c>
      <c r="B3123" s="164">
        <v>6</v>
      </c>
      <c r="C3123" s="164">
        <v>15</v>
      </c>
      <c r="D3123" s="164">
        <f t="shared" si="341"/>
        <v>45092</v>
      </c>
      <c r="E3123" s="235">
        <f t="shared" si="347"/>
        <v>45092</v>
      </c>
      <c r="F3123" s="480"/>
      <c r="G3123" s="208" t="s">
        <v>86</v>
      </c>
      <c r="H3123" s="208"/>
      <c r="J3123" s="165" t="s">
        <v>960</v>
      </c>
      <c r="K3123" s="205">
        <v>278.38</v>
      </c>
      <c r="L3123" s="205"/>
    </row>
    <row r="3124" spans="1:12" ht="11.25" customHeight="1" x14ac:dyDescent="0.2">
      <c r="A3124" s="164">
        <v>2023</v>
      </c>
      <c r="B3124" s="164">
        <v>6</v>
      </c>
      <c r="C3124" s="164">
        <v>15</v>
      </c>
      <c r="D3124" s="164">
        <f t="shared" si="341"/>
        <v>45092</v>
      </c>
      <c r="E3124" s="235">
        <f t="shared" si="347"/>
        <v>45092</v>
      </c>
      <c r="F3124" s="480"/>
      <c r="G3124" s="208" t="s">
        <v>86</v>
      </c>
      <c r="H3124" s="208"/>
      <c r="J3124" s="165" t="s">
        <v>200</v>
      </c>
      <c r="K3124" s="205"/>
      <c r="L3124" s="205">
        <v>106626.6</v>
      </c>
    </row>
    <row r="3125" spans="1:12" ht="11.25" customHeight="1" x14ac:dyDescent="0.2">
      <c r="A3125" s="226">
        <v>2023</v>
      </c>
      <c r="B3125" s="226">
        <v>6</v>
      </c>
      <c r="C3125" s="226">
        <v>15</v>
      </c>
      <c r="D3125" s="226">
        <f t="shared" si="341"/>
        <v>45092</v>
      </c>
      <c r="E3125" s="234">
        <f t="shared" si="347"/>
        <v>45092</v>
      </c>
      <c r="F3125" s="479"/>
      <c r="G3125" s="227" t="s">
        <v>86</v>
      </c>
      <c r="H3125" s="228" t="str" cm="1">
        <f t="array" ref="H3125">IFERROR(INDEX(INVESTOR_LIST[INVESTOR NAME],MATCH(I3125,INVESTOR_LIST[INVESTOR CODE],0),)," ")</f>
        <v xml:space="preserve"> </v>
      </c>
      <c r="I3125" s="228"/>
      <c r="J3125" s="229" t="s">
        <v>80</v>
      </c>
      <c r="K3125" s="230"/>
      <c r="L3125" s="230">
        <v>48030</v>
      </c>
    </row>
    <row r="3126" spans="1:12" ht="11.25" customHeight="1" x14ac:dyDescent="0.2">
      <c r="A3126" s="280">
        <v>2023</v>
      </c>
      <c r="B3126" s="280">
        <v>6</v>
      </c>
      <c r="C3126" s="280">
        <v>15</v>
      </c>
      <c r="D3126" s="281">
        <f t="shared" si="341"/>
        <v>45092</v>
      </c>
      <c r="E3126" s="282">
        <f t="shared" si="347"/>
        <v>45092</v>
      </c>
      <c r="F3126" s="472" t="s">
        <v>1369</v>
      </c>
      <c r="G3126" s="283" t="s">
        <v>86</v>
      </c>
      <c r="H3126" s="284" t="str" cm="1">
        <f t="array" ref="H3126">IFERROR(INDEX(INVESTOR_LIST[INVESTOR NAME],MATCH(I3126,INVESTOR_LIST[INVESTOR CODE],0),)," ")</f>
        <v xml:space="preserve"> </v>
      </c>
      <c r="I3126" s="284"/>
      <c r="J3126" s="285" t="s">
        <v>131</v>
      </c>
      <c r="K3126" s="286">
        <v>86636.43</v>
      </c>
      <c r="L3126" s="286"/>
    </row>
    <row r="3127" spans="1:12" ht="11.25" customHeight="1" x14ac:dyDescent="0.2">
      <c r="A3127" s="287">
        <v>2023</v>
      </c>
      <c r="B3127" s="287">
        <v>6</v>
      </c>
      <c r="C3127" s="287">
        <v>15</v>
      </c>
      <c r="D3127" s="288">
        <f t="shared" si="341"/>
        <v>45092</v>
      </c>
      <c r="E3127" s="289">
        <f t="shared" si="347"/>
        <v>45092</v>
      </c>
      <c r="F3127" s="473"/>
      <c r="G3127" s="290" t="s">
        <v>86</v>
      </c>
      <c r="H3127" s="291" t="str" cm="1">
        <f t="array" ref="H3127">IFERROR(INDEX(INVESTOR_LIST[INVESTOR NAME],MATCH(I3127,INVESTOR_LIST[INVESTOR CODE],0),)," ")</f>
        <v xml:space="preserve"> </v>
      </c>
      <c r="I3127" s="291"/>
      <c r="J3127" s="292" t="s">
        <v>174</v>
      </c>
      <c r="K3127" s="293"/>
      <c r="L3127" s="293">
        <v>86636.43</v>
      </c>
    </row>
    <row r="3128" spans="1:12" ht="11.25" customHeight="1" x14ac:dyDescent="0.2">
      <c r="A3128" s="280">
        <v>2023</v>
      </c>
      <c r="B3128" s="280">
        <v>6</v>
      </c>
      <c r="C3128" s="280">
        <v>15</v>
      </c>
      <c r="D3128" s="281">
        <f t="shared" si="341"/>
        <v>45092</v>
      </c>
      <c r="E3128" s="282">
        <f t="shared" si="347"/>
        <v>45092</v>
      </c>
      <c r="F3128" s="472" t="s">
        <v>1295</v>
      </c>
      <c r="G3128" s="283" t="s">
        <v>86</v>
      </c>
      <c r="H3128" s="284" t="str" cm="1">
        <f t="array" ref="H3128">IFERROR(INDEX(INVESTOR_LIST[INVESTOR NAME],MATCH(I3128,INVESTOR_LIST[INVESTOR CODE],0),)," ")</f>
        <v xml:space="preserve"> </v>
      </c>
      <c r="I3128" s="284"/>
      <c r="J3128" s="285" t="s">
        <v>131</v>
      </c>
      <c r="K3128" s="286">
        <v>17028.849999999999</v>
      </c>
      <c r="L3128" s="286"/>
    </row>
    <row r="3129" spans="1:12" ht="11.25" customHeight="1" x14ac:dyDescent="0.2">
      <c r="A3129" s="287">
        <v>2023</v>
      </c>
      <c r="B3129" s="287">
        <v>6</v>
      </c>
      <c r="C3129" s="287">
        <v>15</v>
      </c>
      <c r="D3129" s="288">
        <f t="shared" si="341"/>
        <v>45092</v>
      </c>
      <c r="E3129" s="289">
        <f t="shared" si="347"/>
        <v>45092</v>
      </c>
      <c r="F3129" s="473"/>
      <c r="G3129" s="290" t="s">
        <v>86</v>
      </c>
      <c r="H3129" s="291" t="str" cm="1">
        <f t="array" ref="H3129">IFERROR(INDEX(INVESTOR_LIST[INVESTOR NAME],MATCH(I3129,INVESTOR_LIST[INVESTOR CODE],0),)," ")</f>
        <v xml:space="preserve"> </v>
      </c>
      <c r="I3129" s="291"/>
      <c r="J3129" s="292" t="s">
        <v>174</v>
      </c>
      <c r="K3129" s="293"/>
      <c r="L3129" s="293">
        <v>17028.849999999999</v>
      </c>
    </row>
    <row r="3130" spans="1:12" ht="11.25" customHeight="1" x14ac:dyDescent="0.2">
      <c r="A3130" s="280">
        <v>2023</v>
      </c>
      <c r="B3130" s="280">
        <v>6</v>
      </c>
      <c r="C3130" s="280">
        <v>15</v>
      </c>
      <c r="D3130" s="281">
        <f t="shared" si="341"/>
        <v>45092</v>
      </c>
      <c r="E3130" s="282">
        <f t="shared" si="347"/>
        <v>45092</v>
      </c>
      <c r="F3130" s="472" t="s">
        <v>1294</v>
      </c>
      <c r="G3130" s="283" t="s">
        <v>86</v>
      </c>
      <c r="H3130" s="284" t="str" cm="1">
        <f t="array" ref="H3130">IFERROR(INDEX(INVESTOR_LIST[INVESTOR NAME],MATCH(I3130,INVESTOR_LIST[INVESTOR CODE],0),)," ")</f>
        <v xml:space="preserve"> </v>
      </c>
      <c r="I3130" s="284"/>
      <c r="J3130" s="285" t="s">
        <v>131</v>
      </c>
      <c r="K3130" s="286">
        <v>10769.23</v>
      </c>
      <c r="L3130" s="286"/>
    </row>
    <row r="3131" spans="1:12" ht="11.25" customHeight="1" x14ac:dyDescent="0.2">
      <c r="A3131" s="287">
        <v>2023</v>
      </c>
      <c r="B3131" s="287">
        <v>6</v>
      </c>
      <c r="C3131" s="287">
        <v>15</v>
      </c>
      <c r="D3131" s="288">
        <f t="shared" si="341"/>
        <v>45092</v>
      </c>
      <c r="E3131" s="289">
        <f t="shared" si="347"/>
        <v>45092</v>
      </c>
      <c r="F3131" s="473"/>
      <c r="G3131" s="290" t="s">
        <v>86</v>
      </c>
      <c r="H3131" s="291" t="str" cm="1">
        <f t="array" ref="H3131">IFERROR(INDEX(INVESTOR_LIST[INVESTOR NAME],MATCH(I3131,INVESTOR_LIST[INVESTOR CODE],0),)," ")</f>
        <v xml:space="preserve"> </v>
      </c>
      <c r="I3131" s="291"/>
      <c r="J3131" s="292" t="s">
        <v>174</v>
      </c>
      <c r="K3131" s="293"/>
      <c r="L3131" s="293">
        <v>10769.23</v>
      </c>
    </row>
    <row r="3132" spans="1:12" ht="11.25" customHeight="1" x14ac:dyDescent="0.2">
      <c r="A3132" s="236">
        <v>2023</v>
      </c>
      <c r="B3132" s="236">
        <v>6</v>
      </c>
      <c r="C3132" s="236">
        <v>15</v>
      </c>
      <c r="D3132" s="237">
        <f t="shared" si="341"/>
        <v>45092</v>
      </c>
      <c r="E3132" s="238">
        <f t="shared" si="347"/>
        <v>45092</v>
      </c>
      <c r="F3132" s="476" t="s">
        <v>1118</v>
      </c>
      <c r="G3132" s="239" t="s">
        <v>86</v>
      </c>
      <c r="H3132" s="239" t="str" cm="1">
        <f t="array" ref="H3132">IFERROR(INDEX(INVESTOR_LIST[INVESTOR NAME],MATCH(I3132,INVESTOR_LIST[INVESTOR CODE],0),)," ")</f>
        <v xml:space="preserve"> </v>
      </c>
      <c r="I3132" s="240"/>
      <c r="J3132" s="241" t="s">
        <v>82</v>
      </c>
      <c r="K3132" s="242">
        <v>63879.90000000596</v>
      </c>
      <c r="L3132" s="242"/>
    </row>
    <row r="3133" spans="1:12" ht="11.25" customHeight="1" x14ac:dyDescent="0.2">
      <c r="A3133" s="243">
        <v>2023</v>
      </c>
      <c r="B3133" s="243">
        <v>6</v>
      </c>
      <c r="C3133" s="243">
        <v>15</v>
      </c>
      <c r="D3133" s="248">
        <f t="shared" si="341"/>
        <v>45092</v>
      </c>
      <c r="E3133" s="249">
        <f t="shared" si="347"/>
        <v>45092</v>
      </c>
      <c r="F3133" s="477"/>
      <c r="G3133" s="244" t="s">
        <v>86</v>
      </c>
      <c r="H3133" s="244" t="str" cm="1">
        <f t="array" ref="H3133">IFERROR(INDEX(INVESTOR_LIST[INVESTOR NAME],MATCH(I3133,INVESTOR_LIST[INVESTOR CODE],0),)," ")</f>
        <v xml:space="preserve"> </v>
      </c>
      <c r="I3133" s="245"/>
      <c r="J3133" s="246" t="s">
        <v>98</v>
      </c>
      <c r="K3133" s="247"/>
      <c r="L3133" s="247">
        <v>63879.90000000596</v>
      </c>
    </row>
    <row r="3134" spans="1:12" ht="11.25" customHeight="1" x14ac:dyDescent="0.2">
      <c r="A3134" s="236">
        <v>2023</v>
      </c>
      <c r="B3134" s="236">
        <v>6</v>
      </c>
      <c r="C3134" s="236">
        <v>15</v>
      </c>
      <c r="D3134" s="237">
        <f t="shared" si="341"/>
        <v>45092</v>
      </c>
      <c r="E3134" s="238">
        <f t="shared" si="347"/>
        <v>45092</v>
      </c>
      <c r="F3134" s="476" t="s">
        <v>1120</v>
      </c>
      <c r="G3134" s="239" t="s">
        <v>86</v>
      </c>
      <c r="H3134" s="239" t="str" cm="1">
        <f t="array" ref="H3134">IFERROR(INDEX(INVESTOR_LIST[INVESTOR NAME],MATCH(I3134,INVESTOR_LIST[INVESTOR CODE],0),)," ")</f>
        <v xml:space="preserve"> </v>
      </c>
      <c r="I3134" s="240"/>
      <c r="J3134" s="241" t="s">
        <v>87</v>
      </c>
      <c r="K3134" s="242">
        <v>2747.2527472527472</v>
      </c>
      <c r="L3134" s="242"/>
    </row>
    <row r="3135" spans="1:12" ht="11.25" customHeight="1" x14ac:dyDescent="0.2">
      <c r="A3135" s="243">
        <v>2023</v>
      </c>
      <c r="B3135" s="243">
        <v>6</v>
      </c>
      <c r="C3135" s="243">
        <v>15</v>
      </c>
      <c r="D3135" s="248">
        <f t="shared" si="341"/>
        <v>45092</v>
      </c>
      <c r="E3135" s="249">
        <f t="shared" si="347"/>
        <v>45092</v>
      </c>
      <c r="F3135" s="477"/>
      <c r="G3135" s="244" t="s">
        <v>86</v>
      </c>
      <c r="H3135" s="244" t="str" cm="1">
        <f t="array" ref="H3135">IFERROR(INDEX(INVESTOR_LIST[INVESTOR NAME],MATCH(I3135,INVESTOR_LIST[INVESTOR CODE],0),)," ")</f>
        <v xml:space="preserve"> </v>
      </c>
      <c r="I3135" s="245"/>
      <c r="J3135" s="246" t="s">
        <v>64</v>
      </c>
      <c r="K3135" s="247"/>
      <c r="L3135" s="247">
        <v>2747.2527472527472</v>
      </c>
    </row>
    <row r="3136" spans="1:12" ht="11.25" customHeight="1" x14ac:dyDescent="0.2">
      <c r="A3136" s="236">
        <v>2023</v>
      </c>
      <c r="B3136" s="236">
        <v>6</v>
      </c>
      <c r="C3136" s="236">
        <v>15</v>
      </c>
      <c r="D3136" s="237">
        <f t="shared" si="341"/>
        <v>45092</v>
      </c>
      <c r="E3136" s="238">
        <f t="shared" si="347"/>
        <v>45092</v>
      </c>
      <c r="F3136" s="476" t="s">
        <v>1121</v>
      </c>
      <c r="G3136" s="239" t="s">
        <v>86</v>
      </c>
      <c r="H3136" s="239" t="str" cm="1">
        <f t="array" ref="H3136">IFERROR(INDEX(INVESTOR_LIST[INVESTOR NAME],MATCH(I3136,INVESTOR_LIST[INVESTOR CODE],0),)," ")</f>
        <v xml:space="preserve"> </v>
      </c>
      <c r="I3136" s="240"/>
      <c r="J3136" s="241" t="s">
        <v>89</v>
      </c>
      <c r="K3136" s="242">
        <v>35993.197149990207</v>
      </c>
      <c r="L3136" s="242"/>
    </row>
    <row r="3137" spans="1:13" ht="11.25" customHeight="1" x14ac:dyDescent="0.2">
      <c r="A3137" s="243">
        <v>2023</v>
      </c>
      <c r="B3137" s="243">
        <v>6</v>
      </c>
      <c r="C3137" s="243">
        <v>15</v>
      </c>
      <c r="D3137" s="248">
        <f t="shared" si="341"/>
        <v>45092</v>
      </c>
      <c r="E3137" s="249">
        <f t="shared" si="347"/>
        <v>45092</v>
      </c>
      <c r="F3137" s="477"/>
      <c r="G3137" s="244" t="s">
        <v>86</v>
      </c>
      <c r="H3137" s="244" t="str" cm="1">
        <f t="array" ref="H3137">IFERROR(INDEX(INVESTOR_LIST[INVESTOR NAME],MATCH(I3137,INVESTOR_LIST[INVESTOR CODE],0),)," ")</f>
        <v xml:space="preserve"> </v>
      </c>
      <c r="I3137" s="245"/>
      <c r="J3137" s="246" t="s">
        <v>50</v>
      </c>
      <c r="K3137" s="247"/>
      <c r="L3137" s="247">
        <v>35993.197149990207</v>
      </c>
    </row>
    <row r="3138" spans="1:13" ht="11.25" customHeight="1" x14ac:dyDescent="0.2">
      <c r="A3138" s="236">
        <v>2023</v>
      </c>
      <c r="B3138" s="236">
        <v>6</v>
      </c>
      <c r="C3138" s="236">
        <v>15</v>
      </c>
      <c r="D3138" s="237">
        <f t="shared" si="341"/>
        <v>45092</v>
      </c>
      <c r="E3138" s="238">
        <f t="shared" si="347"/>
        <v>45092</v>
      </c>
      <c r="F3138" s="476" t="s">
        <v>1122</v>
      </c>
      <c r="G3138" s="239" t="s">
        <v>86</v>
      </c>
      <c r="H3138" s="239" t="str" cm="1">
        <f t="array" ref="H3138">IFERROR(INDEX(INVESTOR_LIST[INVESTOR NAME],MATCH(I3138,INVESTOR_LIST[INVESTOR CODE],0),)," ")</f>
        <v xml:space="preserve"> </v>
      </c>
      <c r="I3138" s="240"/>
      <c r="J3138" s="241" t="s">
        <v>91</v>
      </c>
      <c r="K3138" s="242">
        <v>3599.3197149990206</v>
      </c>
      <c r="L3138" s="242"/>
    </row>
    <row r="3139" spans="1:13" ht="11.25" customHeight="1" x14ac:dyDescent="0.2">
      <c r="A3139" s="243">
        <v>2023</v>
      </c>
      <c r="B3139" s="243">
        <v>6</v>
      </c>
      <c r="C3139" s="243">
        <v>15</v>
      </c>
      <c r="D3139" s="248">
        <f t="shared" si="341"/>
        <v>45092</v>
      </c>
      <c r="E3139" s="249">
        <f t="shared" si="347"/>
        <v>45092</v>
      </c>
      <c r="F3139" s="477"/>
      <c r="G3139" s="244" t="s">
        <v>86</v>
      </c>
      <c r="H3139" s="244" t="str" cm="1">
        <f t="array" ref="H3139">IFERROR(INDEX(INVESTOR_LIST[INVESTOR NAME],MATCH(I3139,INVESTOR_LIST[INVESTOR CODE],0),)," ")</f>
        <v xml:space="preserve"> </v>
      </c>
      <c r="I3139" s="245"/>
      <c r="J3139" s="246" t="s">
        <v>51</v>
      </c>
      <c r="K3139" s="247"/>
      <c r="L3139" s="247">
        <v>3599.3197149990206</v>
      </c>
    </row>
    <row r="3140" spans="1:13" ht="11.25" customHeight="1" x14ac:dyDescent="0.2">
      <c r="A3140" s="221">
        <v>2023</v>
      </c>
      <c r="B3140" s="221">
        <v>6</v>
      </c>
      <c r="C3140" s="221">
        <v>19</v>
      </c>
      <c r="D3140" s="231">
        <f t="shared" si="341"/>
        <v>45096</v>
      </c>
      <c r="E3140" s="233">
        <f t="shared" si="347"/>
        <v>45096</v>
      </c>
      <c r="F3140" s="478" t="s">
        <v>1525</v>
      </c>
      <c r="G3140" s="222" t="s">
        <v>1111</v>
      </c>
      <c r="H3140" s="223" t="str" cm="1">
        <f t="array" ref="H3140">IFERROR(INDEX(INVESTOR_LIST[INVESTOR NAME],MATCH(I3140,INVESTOR_LIST[INVESTOR CODE],0),)," ")</f>
        <v xml:space="preserve"> </v>
      </c>
      <c r="I3140" s="223"/>
      <c r="J3140" s="224" t="s">
        <v>55</v>
      </c>
      <c r="K3140" s="225">
        <v>350625</v>
      </c>
      <c r="L3140" s="225"/>
    </row>
    <row r="3141" spans="1:13" ht="11.25" customHeight="1" x14ac:dyDescent="0.2">
      <c r="A3141" s="226">
        <v>2023</v>
      </c>
      <c r="B3141" s="226">
        <v>6</v>
      </c>
      <c r="C3141" s="226">
        <v>19</v>
      </c>
      <c r="D3141" s="232">
        <f t="shared" si="341"/>
        <v>45096</v>
      </c>
      <c r="E3141" s="234">
        <f t="shared" si="347"/>
        <v>45096</v>
      </c>
      <c r="F3141" s="479"/>
      <c r="G3141" s="227" t="s">
        <v>1111</v>
      </c>
      <c r="H3141" s="228" t="str" cm="1">
        <f t="array" ref="H3141">IFERROR(INDEX(INVESTOR_LIST[INVESTOR NAME],MATCH(I3141,INVESTOR_LIST[INVESTOR CODE],0),)," ")</f>
        <v xml:space="preserve"> </v>
      </c>
      <c r="I3141" s="228"/>
      <c r="J3141" s="229" t="s">
        <v>192</v>
      </c>
      <c r="K3141" s="230"/>
      <c r="L3141" s="230">
        <v>350625</v>
      </c>
    </row>
    <row r="3142" spans="1:13" ht="11.25" customHeight="1" x14ac:dyDescent="0.2">
      <c r="A3142" s="221">
        <v>2023</v>
      </c>
      <c r="B3142" s="221">
        <v>6</v>
      </c>
      <c r="C3142" s="221">
        <v>19</v>
      </c>
      <c r="D3142" s="231">
        <f t="shared" si="341"/>
        <v>45096</v>
      </c>
      <c r="E3142" s="233">
        <f t="shared" si="347"/>
        <v>45096</v>
      </c>
      <c r="F3142" s="478" t="s">
        <v>802</v>
      </c>
      <c r="G3142" s="222" t="s">
        <v>1111</v>
      </c>
      <c r="H3142" s="223" t="str" cm="1">
        <f t="array" ref="H3142">IFERROR(INDEX(INVESTOR_LIST[INVESTOR NAME],MATCH(I3142,INVESTOR_LIST[INVESTOR CODE],0),)," ")</f>
        <v>MEHEDI HASSAN RONI</v>
      </c>
      <c r="I3142" s="223" t="s">
        <v>673</v>
      </c>
      <c r="J3142" s="224" t="s">
        <v>55</v>
      </c>
      <c r="K3142" s="167">
        <v>300000</v>
      </c>
      <c r="L3142" s="225"/>
    </row>
    <row r="3143" spans="1:13" ht="11.25" customHeight="1" x14ac:dyDescent="0.2">
      <c r="A3143" s="164">
        <v>2023</v>
      </c>
      <c r="B3143" s="164">
        <v>6</v>
      </c>
      <c r="C3143" s="164">
        <v>19</v>
      </c>
      <c r="D3143" s="156">
        <f t="shared" si="341"/>
        <v>45096</v>
      </c>
      <c r="E3143" s="235">
        <f t="shared" si="347"/>
        <v>45096</v>
      </c>
      <c r="F3143" s="480"/>
      <c r="G3143" s="208" t="s">
        <v>1111</v>
      </c>
      <c r="H3143" s="206" t="str" cm="1">
        <f t="array" ref="H3143">IFERROR(INDEX(INVESTOR_LIST[INVESTOR NAME],MATCH(I3143,INVESTOR_LIST[INVESTOR CODE],0),)," ")</f>
        <v>MEHEDI HASSAN RONI</v>
      </c>
      <c r="I3143" s="206" t="s">
        <v>673</v>
      </c>
      <c r="J3143" s="165" t="s">
        <v>14</v>
      </c>
      <c r="L3143" s="205">
        <v>292830</v>
      </c>
    </row>
    <row r="3144" spans="1:13" ht="11.25" customHeight="1" x14ac:dyDescent="0.2">
      <c r="A3144" s="226">
        <v>2023</v>
      </c>
      <c r="B3144" s="226">
        <v>6</v>
      </c>
      <c r="C3144" s="226">
        <v>19</v>
      </c>
      <c r="D3144" s="232">
        <f t="shared" si="341"/>
        <v>45096</v>
      </c>
      <c r="E3144" s="234">
        <f t="shared" si="347"/>
        <v>45096</v>
      </c>
      <c r="F3144" s="479"/>
      <c r="G3144" s="227" t="s">
        <v>1111</v>
      </c>
      <c r="H3144" s="228" t="str" cm="1">
        <f t="array" ref="H3144">IFERROR(INDEX(INVESTOR_LIST[INVESTOR NAME],MATCH(I3144,INVESTOR_LIST[INVESTOR CODE],0),)," ")</f>
        <v>MEHEDI HASSAN RONI</v>
      </c>
      <c r="I3144" s="228" t="s">
        <v>673</v>
      </c>
      <c r="J3144" s="229" t="s">
        <v>1112</v>
      </c>
      <c r="K3144" s="230"/>
      <c r="L3144" s="230">
        <v>7170</v>
      </c>
    </row>
    <row r="3145" spans="1:13" ht="11.25" customHeight="1" x14ac:dyDescent="0.2">
      <c r="A3145" s="221">
        <v>2023</v>
      </c>
      <c r="B3145" s="221">
        <v>6</v>
      </c>
      <c r="C3145" s="221">
        <v>19</v>
      </c>
      <c r="D3145" s="231">
        <f t="shared" ref="D3145:D3208" si="349">DATE(A3145,B3145,C3145)</f>
        <v>45096</v>
      </c>
      <c r="E3145" s="233">
        <f t="shared" si="347"/>
        <v>45096</v>
      </c>
      <c r="F3145" s="478" t="s">
        <v>1303</v>
      </c>
      <c r="G3145" s="222" t="s">
        <v>1111</v>
      </c>
      <c r="H3145" s="223" t="str" cm="1">
        <f t="array" ref="H3145">IFERROR(INDEX(INVESTOR_LIST[INVESTOR NAME],MATCH(I3145,INVESTOR_LIST[INVESTOR CODE],0),)," ")</f>
        <v xml:space="preserve"> </v>
      </c>
      <c r="I3145" s="223"/>
      <c r="J3145" s="224" t="s">
        <v>55</v>
      </c>
      <c r="K3145" s="225">
        <v>154378.22</v>
      </c>
      <c r="L3145" s="225"/>
    </row>
    <row r="3146" spans="1:13" ht="11.25" customHeight="1" x14ac:dyDescent="0.2">
      <c r="A3146" s="226">
        <v>2023</v>
      </c>
      <c r="B3146" s="226">
        <v>6</v>
      </c>
      <c r="C3146" s="226">
        <v>19</v>
      </c>
      <c r="D3146" s="232">
        <f t="shared" si="349"/>
        <v>45096</v>
      </c>
      <c r="E3146" s="234">
        <f t="shared" si="347"/>
        <v>45096</v>
      </c>
      <c r="F3146" s="479"/>
      <c r="G3146" s="227" t="s">
        <v>1111</v>
      </c>
      <c r="H3146" s="228" t="str" cm="1">
        <f t="array" ref="H3146">IFERROR(INDEX(INVESTOR_LIST[INVESTOR NAME],MATCH(I3146,INVESTOR_LIST[INVESTOR CODE],0),)," ")</f>
        <v xml:space="preserve"> </v>
      </c>
      <c r="I3146" s="228"/>
      <c r="J3146" s="229" t="s">
        <v>199</v>
      </c>
      <c r="K3146" s="230"/>
      <c r="L3146" s="230">
        <v>154378.22</v>
      </c>
      <c r="M3146" s="166"/>
    </row>
    <row r="3147" spans="1:13" ht="11.25" customHeight="1" x14ac:dyDescent="0.2">
      <c r="A3147" s="221">
        <v>2023</v>
      </c>
      <c r="B3147" s="221">
        <v>6</v>
      </c>
      <c r="C3147" s="221">
        <v>20</v>
      </c>
      <c r="D3147" s="231">
        <f t="shared" si="349"/>
        <v>45097</v>
      </c>
      <c r="E3147" s="233">
        <f t="shared" si="347"/>
        <v>45097</v>
      </c>
      <c r="F3147" s="478" t="s">
        <v>1444</v>
      </c>
      <c r="G3147" s="222" t="s">
        <v>1111</v>
      </c>
      <c r="H3147" s="223" t="str" cm="1">
        <f t="array" ref="H3147">IFERROR(INDEX(INVESTOR_LIST[INVESTOR NAME],MATCH(I3147,INVESTOR_LIST[INVESTOR CODE],0),)," ")</f>
        <v xml:space="preserve"> </v>
      </c>
      <c r="I3147" s="223"/>
      <c r="J3147" s="224" t="s">
        <v>88</v>
      </c>
      <c r="K3147" s="225">
        <v>6000000</v>
      </c>
      <c r="L3147" s="225"/>
    </row>
    <row r="3148" spans="1:13" ht="11.25" customHeight="1" x14ac:dyDescent="0.2">
      <c r="A3148" s="164">
        <v>2023</v>
      </c>
      <c r="B3148" s="164">
        <v>6</v>
      </c>
      <c r="C3148" s="164">
        <v>20</v>
      </c>
      <c r="D3148" s="156">
        <f t="shared" si="349"/>
        <v>45097</v>
      </c>
      <c r="E3148" s="235">
        <f t="shared" si="347"/>
        <v>45097</v>
      </c>
      <c r="F3148" s="480"/>
      <c r="G3148" s="208" t="s">
        <v>1111</v>
      </c>
      <c r="J3148" s="165" t="s">
        <v>55</v>
      </c>
      <c r="K3148" s="205">
        <v>120000</v>
      </c>
      <c r="L3148" s="205"/>
    </row>
    <row r="3149" spans="1:13" ht="11.25" customHeight="1" x14ac:dyDescent="0.2">
      <c r="A3149" s="164">
        <v>2023</v>
      </c>
      <c r="B3149" s="164">
        <v>6</v>
      </c>
      <c r="C3149" s="164">
        <v>20</v>
      </c>
      <c r="D3149" s="156">
        <f t="shared" si="349"/>
        <v>45097</v>
      </c>
      <c r="E3149" s="235">
        <f t="shared" si="347"/>
        <v>45097</v>
      </c>
      <c r="F3149" s="480"/>
      <c r="G3149" s="208" t="s">
        <v>1111</v>
      </c>
      <c r="J3149" s="165" t="s">
        <v>131</v>
      </c>
      <c r="K3149" s="205"/>
      <c r="L3149" s="205">
        <v>120000</v>
      </c>
    </row>
    <row r="3150" spans="1:13" ht="11.25" customHeight="1" x14ac:dyDescent="0.2">
      <c r="A3150" s="226">
        <v>2023</v>
      </c>
      <c r="B3150" s="226">
        <v>6</v>
      </c>
      <c r="C3150" s="226">
        <v>20</v>
      </c>
      <c r="D3150" s="232">
        <f t="shared" si="349"/>
        <v>45097</v>
      </c>
      <c r="E3150" s="234">
        <f t="shared" si="347"/>
        <v>45097</v>
      </c>
      <c r="F3150" s="479"/>
      <c r="G3150" s="208" t="s">
        <v>1111</v>
      </c>
      <c r="H3150" s="228" t="str" cm="1">
        <f t="array" ref="H3150">IFERROR(INDEX(INVESTOR_LIST[INVESTOR NAME],MATCH(I3150,INVESTOR_LIST[INVESTOR CODE],0),)," ")</f>
        <v xml:space="preserve"> </v>
      </c>
      <c r="I3150" s="228"/>
      <c r="J3150" s="229" t="s">
        <v>88</v>
      </c>
      <c r="K3150" s="230"/>
      <c r="L3150" s="230">
        <v>6000000</v>
      </c>
    </row>
    <row r="3151" spans="1:13" ht="11.25" customHeight="1" x14ac:dyDescent="0.2">
      <c r="A3151" s="221">
        <v>2023</v>
      </c>
      <c r="B3151" s="221">
        <v>6</v>
      </c>
      <c r="C3151" s="221">
        <v>20</v>
      </c>
      <c r="D3151" s="231">
        <f t="shared" si="349"/>
        <v>45097</v>
      </c>
      <c r="E3151" s="233">
        <f t="shared" ref="E3151:E3154" si="350">DATE(A3151,B3151,C3151)</f>
        <v>45097</v>
      </c>
      <c r="F3151" s="478" t="s">
        <v>1445</v>
      </c>
      <c r="G3151" s="222" t="s">
        <v>1111</v>
      </c>
      <c r="H3151" s="223" t="str" cm="1">
        <f t="array" ref="H3151">IFERROR(INDEX(INVESTOR_LIST[INVESTOR NAME],MATCH(I3151,INVESTOR_LIST[INVESTOR CODE],0),)," ")</f>
        <v xml:space="preserve"> </v>
      </c>
      <c r="I3151" s="223"/>
      <c r="J3151" s="224" t="s">
        <v>88</v>
      </c>
      <c r="K3151" s="225">
        <v>5000000</v>
      </c>
      <c r="L3151" s="225"/>
    </row>
    <row r="3152" spans="1:13" ht="11.25" customHeight="1" x14ac:dyDescent="0.2">
      <c r="A3152" s="164">
        <v>2023</v>
      </c>
      <c r="B3152" s="164">
        <v>6</v>
      </c>
      <c r="C3152" s="164">
        <v>20</v>
      </c>
      <c r="D3152" s="156">
        <f t="shared" si="349"/>
        <v>45097</v>
      </c>
      <c r="E3152" s="235">
        <f t="shared" si="350"/>
        <v>45097</v>
      </c>
      <c r="F3152" s="480"/>
      <c r="G3152" s="208" t="s">
        <v>1111</v>
      </c>
      <c r="J3152" s="165" t="s">
        <v>55</v>
      </c>
      <c r="K3152" s="205">
        <v>100000</v>
      </c>
      <c r="L3152" s="205"/>
    </row>
    <row r="3153" spans="1:12" ht="11.25" customHeight="1" x14ac:dyDescent="0.2">
      <c r="A3153" s="164">
        <v>2023</v>
      </c>
      <c r="B3153" s="164">
        <v>6</v>
      </c>
      <c r="C3153" s="164">
        <v>20</v>
      </c>
      <c r="D3153" s="156">
        <f t="shared" si="349"/>
        <v>45097</v>
      </c>
      <c r="E3153" s="235">
        <f t="shared" si="350"/>
        <v>45097</v>
      </c>
      <c r="F3153" s="480"/>
      <c r="G3153" s="208" t="s">
        <v>1111</v>
      </c>
      <c r="J3153" s="165" t="s">
        <v>131</v>
      </c>
      <c r="K3153" s="205"/>
      <c r="L3153" s="205">
        <v>100000</v>
      </c>
    </row>
    <row r="3154" spans="1:12" ht="11.25" customHeight="1" x14ac:dyDescent="0.2">
      <c r="A3154" s="226">
        <v>2023</v>
      </c>
      <c r="B3154" s="226">
        <v>6</v>
      </c>
      <c r="C3154" s="226">
        <v>20</v>
      </c>
      <c r="D3154" s="232">
        <f t="shared" si="349"/>
        <v>45097</v>
      </c>
      <c r="E3154" s="234">
        <f t="shared" si="350"/>
        <v>45097</v>
      </c>
      <c r="F3154" s="479"/>
      <c r="G3154" s="208" t="s">
        <v>1111</v>
      </c>
      <c r="H3154" s="228" t="str" cm="1">
        <f t="array" ref="H3154">IFERROR(INDEX(INVESTOR_LIST[INVESTOR NAME],MATCH(I3154,INVESTOR_LIST[INVESTOR CODE],0),)," ")</f>
        <v xml:space="preserve"> </v>
      </c>
      <c r="I3154" s="228"/>
      <c r="J3154" s="229" t="s">
        <v>88</v>
      </c>
      <c r="K3154" s="230"/>
      <c r="L3154" s="230">
        <v>5000000</v>
      </c>
    </row>
    <row r="3155" spans="1:12" ht="11.25" customHeight="1" x14ac:dyDescent="0.2">
      <c r="A3155" s="221">
        <v>2023</v>
      </c>
      <c r="B3155" s="221">
        <v>6</v>
      </c>
      <c r="C3155" s="221">
        <v>21</v>
      </c>
      <c r="D3155" s="231">
        <f t="shared" si="349"/>
        <v>45098</v>
      </c>
      <c r="E3155" s="233">
        <f t="shared" si="347"/>
        <v>45098</v>
      </c>
      <c r="F3155" s="478" t="s">
        <v>1115</v>
      </c>
      <c r="G3155" s="222" t="s">
        <v>1111</v>
      </c>
      <c r="H3155" s="223" t="str" cm="1">
        <f t="array" ref="H3155">IFERROR(INDEX(INVESTOR_LIST[INVESTOR NAME],MATCH(I3155,INVESTOR_LIST[INVESTOR CODE],0),)," ")</f>
        <v>UNICAP SECURITIES LIMITED</v>
      </c>
      <c r="I3155" s="223" t="s">
        <v>347</v>
      </c>
      <c r="J3155" s="224" t="s">
        <v>14</v>
      </c>
      <c r="K3155" s="225">
        <v>5000000</v>
      </c>
      <c r="L3155" s="225"/>
    </row>
    <row r="3156" spans="1:12" ht="11.25" customHeight="1" x14ac:dyDescent="0.2">
      <c r="A3156" s="164">
        <v>2023</v>
      </c>
      <c r="B3156" s="164">
        <v>6</v>
      </c>
      <c r="C3156" s="164">
        <v>21</v>
      </c>
      <c r="D3156" s="156">
        <f t="shared" si="349"/>
        <v>45098</v>
      </c>
      <c r="E3156" s="235">
        <f t="shared" si="347"/>
        <v>45098</v>
      </c>
      <c r="F3156" s="480"/>
      <c r="G3156" s="208" t="s">
        <v>1111</v>
      </c>
      <c r="H3156" s="206" t="str" cm="1">
        <f t="array" ref="H3156">IFERROR(INDEX(INVESTOR_LIST[INVESTOR NAME],MATCH(I3156,INVESTOR_LIST[INVESTOR CODE],0),)," ")</f>
        <v>UNICAP SECURITIES LIMITED</v>
      </c>
      <c r="I3156" s="206" t="s">
        <v>347</v>
      </c>
      <c r="J3156" s="165" t="s">
        <v>1112</v>
      </c>
      <c r="K3156" s="205">
        <v>120500</v>
      </c>
    </row>
    <row r="3157" spans="1:12" ht="11.25" customHeight="1" x14ac:dyDescent="0.2">
      <c r="A3157" s="226">
        <v>2023</v>
      </c>
      <c r="B3157" s="226">
        <v>6</v>
      </c>
      <c r="C3157" s="226">
        <v>21</v>
      </c>
      <c r="D3157" s="232">
        <f t="shared" si="349"/>
        <v>45098</v>
      </c>
      <c r="E3157" s="234">
        <f t="shared" si="347"/>
        <v>45098</v>
      </c>
      <c r="F3157" s="479"/>
      <c r="G3157" s="227" t="s">
        <v>1111</v>
      </c>
      <c r="H3157" s="228" t="str" cm="1">
        <f t="array" ref="H3157">IFERROR(INDEX(INVESTOR_LIST[INVESTOR NAME],MATCH(I3157,INVESTOR_LIST[INVESTOR CODE],0),)," ")</f>
        <v>UNICAP SECURITIES LIMITED</v>
      </c>
      <c r="I3157" s="228" t="s">
        <v>347</v>
      </c>
      <c r="J3157" s="229" t="s">
        <v>55</v>
      </c>
      <c r="K3157" s="230"/>
      <c r="L3157" s="230">
        <v>5120500</v>
      </c>
    </row>
    <row r="3158" spans="1:12" ht="11.25" customHeight="1" x14ac:dyDescent="0.2">
      <c r="A3158" s="221">
        <v>2023</v>
      </c>
      <c r="B3158" s="221">
        <v>6</v>
      </c>
      <c r="C3158" s="221">
        <v>21</v>
      </c>
      <c r="D3158" s="231">
        <f t="shared" si="349"/>
        <v>45098</v>
      </c>
      <c r="E3158" s="233">
        <f t="shared" ref="E3158:E3159" si="351">DATE(A3158,B3158,C3158)</f>
        <v>45098</v>
      </c>
      <c r="F3158" s="478" t="s">
        <v>1518</v>
      </c>
      <c r="G3158" s="222" t="s">
        <v>1111</v>
      </c>
      <c r="H3158" s="223" t="str" cm="1">
        <f t="array" ref="H3158">IFERROR(INDEX(INVESTOR_LIST[INVESTOR NAME],MATCH(I3158,INVESTOR_LIST[INVESTOR CODE],0),)," ")</f>
        <v xml:space="preserve"> </v>
      </c>
      <c r="I3158" s="223"/>
      <c r="J3158" s="224" t="s">
        <v>63</v>
      </c>
      <c r="K3158" s="225">
        <v>100</v>
      </c>
      <c r="L3158" s="225"/>
    </row>
    <row r="3159" spans="1:12" ht="11.25" customHeight="1" x14ac:dyDescent="0.2">
      <c r="A3159" s="226">
        <v>2023</v>
      </c>
      <c r="B3159" s="226">
        <v>6</v>
      </c>
      <c r="C3159" s="226">
        <v>21</v>
      </c>
      <c r="D3159" s="232">
        <f t="shared" si="349"/>
        <v>45098</v>
      </c>
      <c r="E3159" s="234">
        <f t="shared" si="351"/>
        <v>45098</v>
      </c>
      <c r="F3159" s="479"/>
      <c r="G3159" s="227" t="s">
        <v>1111</v>
      </c>
      <c r="H3159" s="228" t="str" cm="1">
        <f t="array" ref="H3159">IFERROR(INDEX(INVESTOR_LIST[INVESTOR NAME],MATCH(I3159,INVESTOR_LIST[INVESTOR CODE],0),)," ")</f>
        <v xml:space="preserve"> </v>
      </c>
      <c r="I3159" s="228"/>
      <c r="J3159" s="229" t="s">
        <v>55</v>
      </c>
      <c r="K3159" s="230"/>
      <c r="L3159" s="230">
        <v>100</v>
      </c>
    </row>
    <row r="3160" spans="1:12" ht="11.25" customHeight="1" x14ac:dyDescent="0.2">
      <c r="A3160" s="221">
        <v>2023</v>
      </c>
      <c r="B3160" s="221">
        <v>6</v>
      </c>
      <c r="C3160" s="221">
        <v>22</v>
      </c>
      <c r="D3160" s="231">
        <f t="shared" si="349"/>
        <v>45099</v>
      </c>
      <c r="E3160" s="233">
        <f t="shared" si="347"/>
        <v>45099</v>
      </c>
      <c r="F3160" s="478" t="s">
        <v>802</v>
      </c>
      <c r="G3160" s="222" t="s">
        <v>1111</v>
      </c>
      <c r="H3160" s="223" t="str" cm="1">
        <f t="array" ref="H3160">IFERROR(INDEX(INVESTOR_LIST[INVESTOR NAME],MATCH(I3160,INVESTOR_LIST[INVESTOR CODE],0),)," ")</f>
        <v>MASTURA MUNIAT</v>
      </c>
      <c r="I3160" s="223" t="s">
        <v>679</v>
      </c>
      <c r="J3160" s="224" t="s">
        <v>55</v>
      </c>
      <c r="K3160" s="167">
        <v>200000</v>
      </c>
      <c r="L3160" s="225"/>
    </row>
    <row r="3161" spans="1:12" ht="11.25" customHeight="1" x14ac:dyDescent="0.2">
      <c r="A3161" s="164">
        <v>2023</v>
      </c>
      <c r="B3161" s="164">
        <v>6</v>
      </c>
      <c r="C3161" s="164">
        <v>22</v>
      </c>
      <c r="D3161" s="156">
        <f t="shared" si="349"/>
        <v>45099</v>
      </c>
      <c r="E3161" s="235">
        <f t="shared" si="347"/>
        <v>45099</v>
      </c>
      <c r="F3161" s="480"/>
      <c r="G3161" s="208" t="s">
        <v>1111</v>
      </c>
      <c r="H3161" s="206" t="str" cm="1">
        <f t="array" ref="H3161">IFERROR(INDEX(INVESTOR_LIST[INVESTOR NAME],MATCH(I3161,INVESTOR_LIST[INVESTOR CODE],0),)," ")</f>
        <v>MASTURA MUNIAT</v>
      </c>
      <c r="I3161" s="206" t="s">
        <v>679</v>
      </c>
      <c r="J3161" s="165" t="s">
        <v>14</v>
      </c>
      <c r="L3161" s="205">
        <v>195220</v>
      </c>
    </row>
    <row r="3162" spans="1:12" ht="11.25" customHeight="1" x14ac:dyDescent="0.2">
      <c r="A3162" s="226">
        <v>2023</v>
      </c>
      <c r="B3162" s="226">
        <v>6</v>
      </c>
      <c r="C3162" s="226">
        <v>22</v>
      </c>
      <c r="D3162" s="232">
        <f t="shared" si="349"/>
        <v>45099</v>
      </c>
      <c r="E3162" s="234">
        <f t="shared" si="347"/>
        <v>45099</v>
      </c>
      <c r="F3162" s="479"/>
      <c r="G3162" s="227" t="s">
        <v>1111</v>
      </c>
      <c r="H3162" s="228" t="str" cm="1">
        <f t="array" ref="H3162">IFERROR(INDEX(INVESTOR_LIST[INVESTOR NAME],MATCH(I3162,INVESTOR_LIST[INVESTOR CODE],0),)," ")</f>
        <v>MASTURA MUNIAT</v>
      </c>
      <c r="I3162" s="228" t="s">
        <v>679</v>
      </c>
      <c r="J3162" s="229" t="s">
        <v>1112</v>
      </c>
      <c r="K3162" s="230"/>
      <c r="L3162" s="230">
        <v>4780</v>
      </c>
    </row>
    <row r="3163" spans="1:12" ht="11.25" customHeight="1" x14ac:dyDescent="0.2">
      <c r="A3163" s="221">
        <v>2023</v>
      </c>
      <c r="B3163" s="221">
        <v>6</v>
      </c>
      <c r="C3163" s="221">
        <v>22</v>
      </c>
      <c r="D3163" s="231">
        <f t="shared" si="349"/>
        <v>45099</v>
      </c>
      <c r="E3163" s="233">
        <f t="shared" ref="E3163:E3187" si="352">DATE(A3163,B3163,C3163)</f>
        <v>45099</v>
      </c>
      <c r="F3163" s="478" t="s">
        <v>802</v>
      </c>
      <c r="G3163" s="222" t="s">
        <v>1111</v>
      </c>
      <c r="H3163" s="223" t="str" cm="1">
        <f t="array" ref="H3163">IFERROR(INDEX(INVESTOR_LIST[INVESTOR NAME],MATCH(I3163,INVESTOR_LIST[INVESTOR CODE],0),)," ")</f>
        <v>MUBTASIN KABIR</v>
      </c>
      <c r="I3163" s="223" t="s">
        <v>1578</v>
      </c>
      <c r="J3163" s="224" t="s">
        <v>55</v>
      </c>
      <c r="K3163" s="167">
        <v>250000</v>
      </c>
      <c r="L3163" s="225"/>
    </row>
    <row r="3164" spans="1:12" ht="11.25" customHeight="1" x14ac:dyDescent="0.2">
      <c r="A3164" s="164">
        <v>2023</v>
      </c>
      <c r="B3164" s="164">
        <v>6</v>
      </c>
      <c r="C3164" s="164">
        <v>22</v>
      </c>
      <c r="D3164" s="156">
        <f t="shared" si="349"/>
        <v>45099</v>
      </c>
      <c r="E3164" s="235">
        <f t="shared" si="352"/>
        <v>45099</v>
      </c>
      <c r="F3164" s="480"/>
      <c r="G3164" s="208" t="s">
        <v>1111</v>
      </c>
      <c r="H3164" s="206" t="str" cm="1">
        <f t="array" ref="H3164">IFERROR(INDEX(INVESTOR_LIST[INVESTOR NAME],MATCH(I3164,INVESTOR_LIST[INVESTOR CODE],0),)," ")</f>
        <v>MUBTASIN KABIR</v>
      </c>
      <c r="I3164" s="206" t="s">
        <v>1578</v>
      </c>
      <c r="J3164" s="165" t="s">
        <v>14</v>
      </c>
      <c r="L3164" s="205">
        <v>244020</v>
      </c>
    </row>
    <row r="3165" spans="1:12" ht="11.25" customHeight="1" x14ac:dyDescent="0.2">
      <c r="A3165" s="226">
        <v>2023</v>
      </c>
      <c r="B3165" s="226">
        <v>6</v>
      </c>
      <c r="C3165" s="226">
        <v>22</v>
      </c>
      <c r="D3165" s="232">
        <f t="shared" si="349"/>
        <v>45099</v>
      </c>
      <c r="E3165" s="234">
        <f t="shared" si="352"/>
        <v>45099</v>
      </c>
      <c r="F3165" s="479"/>
      <c r="G3165" s="227" t="s">
        <v>1111</v>
      </c>
      <c r="H3165" s="228" t="str" cm="1">
        <f t="array" ref="H3165">IFERROR(INDEX(INVESTOR_LIST[INVESTOR NAME],MATCH(I3165,INVESTOR_LIST[INVESTOR CODE],0),)," ")</f>
        <v>MUBTASIN KABIR</v>
      </c>
      <c r="I3165" s="228" t="s">
        <v>1578</v>
      </c>
      <c r="J3165" s="229" t="s">
        <v>1112</v>
      </c>
      <c r="K3165" s="230"/>
      <c r="L3165" s="230">
        <v>5980</v>
      </c>
    </row>
    <row r="3166" spans="1:12" ht="11.25" customHeight="1" x14ac:dyDescent="0.2">
      <c r="A3166" s="280">
        <v>2023</v>
      </c>
      <c r="B3166" s="280">
        <v>6</v>
      </c>
      <c r="C3166" s="280">
        <v>22</v>
      </c>
      <c r="D3166" s="281">
        <f t="shared" si="349"/>
        <v>45099</v>
      </c>
      <c r="E3166" s="282">
        <f t="shared" si="352"/>
        <v>45099</v>
      </c>
      <c r="F3166" s="472" t="s">
        <v>1369</v>
      </c>
      <c r="G3166" s="283" t="s">
        <v>86</v>
      </c>
      <c r="H3166" s="284" t="str" cm="1">
        <f t="array" ref="H3166">IFERROR(INDEX(INVESTOR_LIST[INVESTOR NAME],MATCH(I3166,INVESTOR_LIST[INVESTOR CODE],0),)," ")</f>
        <v xml:space="preserve"> </v>
      </c>
      <c r="I3166" s="284"/>
      <c r="J3166" s="285" t="s">
        <v>131</v>
      </c>
      <c r="K3166" s="286">
        <v>88199.51</v>
      </c>
      <c r="L3166" s="286"/>
    </row>
    <row r="3167" spans="1:12" ht="11.25" customHeight="1" x14ac:dyDescent="0.2">
      <c r="A3167" s="287">
        <v>2023</v>
      </c>
      <c r="B3167" s="287">
        <v>6</v>
      </c>
      <c r="C3167" s="287">
        <v>22</v>
      </c>
      <c r="D3167" s="288">
        <f t="shared" si="349"/>
        <v>45099</v>
      </c>
      <c r="E3167" s="289">
        <f t="shared" si="352"/>
        <v>45099</v>
      </c>
      <c r="F3167" s="473"/>
      <c r="G3167" s="290" t="s">
        <v>86</v>
      </c>
      <c r="H3167" s="291" t="str" cm="1">
        <f t="array" ref="H3167">IFERROR(INDEX(INVESTOR_LIST[INVESTOR NAME],MATCH(I3167,INVESTOR_LIST[INVESTOR CODE],0),)," ")</f>
        <v xml:space="preserve"> </v>
      </c>
      <c r="I3167" s="291"/>
      <c r="J3167" s="292" t="s">
        <v>174</v>
      </c>
      <c r="K3167" s="293"/>
      <c r="L3167" s="293">
        <v>88199.51</v>
      </c>
    </row>
    <row r="3168" spans="1:12" ht="11.25" customHeight="1" x14ac:dyDescent="0.2">
      <c r="A3168" s="280">
        <v>2023</v>
      </c>
      <c r="B3168" s="280">
        <v>6</v>
      </c>
      <c r="C3168" s="280">
        <v>22</v>
      </c>
      <c r="D3168" s="281">
        <f t="shared" si="349"/>
        <v>45099</v>
      </c>
      <c r="E3168" s="282">
        <f t="shared" si="352"/>
        <v>45099</v>
      </c>
      <c r="F3168" s="472" t="s">
        <v>1295</v>
      </c>
      <c r="G3168" s="283" t="s">
        <v>86</v>
      </c>
      <c r="H3168" s="284" t="str" cm="1">
        <f t="array" ref="H3168">IFERROR(INDEX(INVESTOR_LIST[INVESTOR NAME],MATCH(I3168,INVESTOR_LIST[INVESTOR CODE],0),)," ")</f>
        <v xml:space="preserve"> </v>
      </c>
      <c r="I3168" s="284"/>
      <c r="J3168" s="285" t="s">
        <v>131</v>
      </c>
      <c r="K3168" s="286">
        <v>17028.849999999999</v>
      </c>
      <c r="L3168" s="286"/>
    </row>
    <row r="3169" spans="1:13" ht="11.25" customHeight="1" x14ac:dyDescent="0.2">
      <c r="A3169" s="287">
        <v>2023</v>
      </c>
      <c r="B3169" s="287">
        <v>6</v>
      </c>
      <c r="C3169" s="287">
        <v>22</v>
      </c>
      <c r="D3169" s="288">
        <f t="shared" si="349"/>
        <v>45099</v>
      </c>
      <c r="E3169" s="289">
        <f t="shared" si="352"/>
        <v>45099</v>
      </c>
      <c r="F3169" s="473"/>
      <c r="G3169" s="290" t="s">
        <v>86</v>
      </c>
      <c r="H3169" s="291" t="str" cm="1">
        <f t="array" ref="H3169">IFERROR(INDEX(INVESTOR_LIST[INVESTOR NAME],MATCH(I3169,INVESTOR_LIST[INVESTOR CODE],0),)," ")</f>
        <v xml:space="preserve"> </v>
      </c>
      <c r="I3169" s="291"/>
      <c r="J3169" s="292" t="s">
        <v>174</v>
      </c>
      <c r="K3169" s="293"/>
      <c r="L3169" s="293">
        <v>17028.849999999999</v>
      </c>
    </row>
    <row r="3170" spans="1:13" ht="11.25" customHeight="1" x14ac:dyDescent="0.2">
      <c r="A3170" s="280">
        <v>2023</v>
      </c>
      <c r="B3170" s="280">
        <v>6</v>
      </c>
      <c r="C3170" s="280">
        <v>22</v>
      </c>
      <c r="D3170" s="281">
        <f t="shared" si="349"/>
        <v>45099</v>
      </c>
      <c r="E3170" s="282">
        <f t="shared" si="352"/>
        <v>45099</v>
      </c>
      <c r="F3170" s="472" t="s">
        <v>1294</v>
      </c>
      <c r="G3170" s="283" t="s">
        <v>86</v>
      </c>
      <c r="H3170" s="284" t="str" cm="1">
        <f t="array" ref="H3170">IFERROR(INDEX(INVESTOR_LIST[INVESTOR NAME],MATCH(I3170,INVESTOR_LIST[INVESTOR CODE],0),)," ")</f>
        <v xml:space="preserve"> </v>
      </c>
      <c r="I3170" s="284"/>
      <c r="J3170" s="285" t="s">
        <v>131</v>
      </c>
      <c r="K3170" s="286">
        <v>10769.23</v>
      </c>
      <c r="L3170" s="286"/>
    </row>
    <row r="3171" spans="1:13" ht="11.25" customHeight="1" x14ac:dyDescent="0.2">
      <c r="A3171" s="287">
        <v>2023</v>
      </c>
      <c r="B3171" s="287">
        <v>6</v>
      </c>
      <c r="C3171" s="287">
        <v>22</v>
      </c>
      <c r="D3171" s="288">
        <f t="shared" si="349"/>
        <v>45099</v>
      </c>
      <c r="E3171" s="289">
        <f t="shared" si="352"/>
        <v>45099</v>
      </c>
      <c r="F3171" s="473"/>
      <c r="G3171" s="290" t="s">
        <v>86</v>
      </c>
      <c r="H3171" s="291" t="str" cm="1">
        <f t="array" ref="H3171">IFERROR(INDEX(INVESTOR_LIST[INVESTOR NAME],MATCH(I3171,INVESTOR_LIST[INVESTOR CODE],0),)," ")</f>
        <v xml:space="preserve"> </v>
      </c>
      <c r="I3171" s="291"/>
      <c r="J3171" s="292" t="s">
        <v>174</v>
      </c>
      <c r="K3171" s="293"/>
      <c r="L3171" s="293">
        <v>10769.23</v>
      </c>
    </row>
    <row r="3172" spans="1:13" ht="11.25" customHeight="1" x14ac:dyDescent="0.2">
      <c r="A3172" s="236">
        <v>2023</v>
      </c>
      <c r="B3172" s="236">
        <v>6</v>
      </c>
      <c r="C3172" s="236">
        <v>22</v>
      </c>
      <c r="D3172" s="237">
        <f t="shared" si="349"/>
        <v>45099</v>
      </c>
      <c r="E3172" s="238">
        <f t="shared" si="352"/>
        <v>45099</v>
      </c>
      <c r="F3172" s="476" t="s">
        <v>1118</v>
      </c>
      <c r="G3172" s="239" t="s">
        <v>86</v>
      </c>
      <c r="H3172" s="239" t="str" cm="1">
        <f t="array" ref="H3172">IFERROR(INDEX(INVESTOR_LIST[INVESTOR NAME],MATCH(I3172,INVESTOR_LIST[INVESTOR CODE],0),)," ")</f>
        <v xml:space="preserve"> </v>
      </c>
      <c r="I3172" s="240"/>
      <c r="J3172" s="241" t="s">
        <v>98</v>
      </c>
      <c r="K3172" s="242">
        <v>2500</v>
      </c>
      <c r="L3172" s="242"/>
    </row>
    <row r="3173" spans="1:13" ht="11.25" customHeight="1" x14ac:dyDescent="0.2">
      <c r="A3173" s="243">
        <v>2023</v>
      </c>
      <c r="B3173" s="243">
        <v>6</v>
      </c>
      <c r="C3173" s="243">
        <v>22</v>
      </c>
      <c r="D3173" s="248">
        <f t="shared" si="349"/>
        <v>45099</v>
      </c>
      <c r="E3173" s="249">
        <f t="shared" si="352"/>
        <v>45099</v>
      </c>
      <c r="F3173" s="477"/>
      <c r="G3173" s="244" t="s">
        <v>86</v>
      </c>
      <c r="H3173" s="244" t="str" cm="1">
        <f t="array" ref="H3173">IFERROR(INDEX(INVESTOR_LIST[INVESTOR NAME],MATCH(I3173,INVESTOR_LIST[INVESTOR CODE],0),)," ")</f>
        <v xml:space="preserve"> </v>
      </c>
      <c r="I3173" s="245"/>
      <c r="J3173" s="246" t="s">
        <v>82</v>
      </c>
      <c r="K3173" s="247"/>
      <c r="L3173" s="247">
        <v>2500</v>
      </c>
    </row>
    <row r="3174" spans="1:13" ht="11.25" customHeight="1" x14ac:dyDescent="0.2">
      <c r="A3174" s="236">
        <v>2023</v>
      </c>
      <c r="B3174" s="236">
        <v>6</v>
      </c>
      <c r="C3174" s="236">
        <v>22</v>
      </c>
      <c r="D3174" s="237">
        <f t="shared" si="349"/>
        <v>45099</v>
      </c>
      <c r="E3174" s="238">
        <f t="shared" si="352"/>
        <v>45099</v>
      </c>
      <c r="F3174" s="476" t="s">
        <v>1120</v>
      </c>
      <c r="G3174" s="239" t="s">
        <v>86</v>
      </c>
      <c r="H3174" s="239" t="str" cm="1">
        <f t="array" ref="H3174">IFERROR(INDEX(INVESTOR_LIST[INVESTOR NAME],MATCH(I3174,INVESTOR_LIST[INVESTOR CODE],0),)," ")</f>
        <v xml:space="preserve"> </v>
      </c>
      <c r="I3174" s="240"/>
      <c r="J3174" s="241" t="s">
        <v>87</v>
      </c>
      <c r="K3174" s="242">
        <v>2747.2527472527472</v>
      </c>
      <c r="L3174" s="242"/>
    </row>
    <row r="3175" spans="1:13" ht="11.25" customHeight="1" x14ac:dyDescent="0.2">
      <c r="A3175" s="243">
        <v>2023</v>
      </c>
      <c r="B3175" s="243">
        <v>6</v>
      </c>
      <c r="C3175" s="243">
        <v>22</v>
      </c>
      <c r="D3175" s="248">
        <f t="shared" si="349"/>
        <v>45099</v>
      </c>
      <c r="E3175" s="249">
        <f t="shared" si="352"/>
        <v>45099</v>
      </c>
      <c r="F3175" s="477"/>
      <c r="G3175" s="244" t="s">
        <v>86</v>
      </c>
      <c r="H3175" s="244" t="str" cm="1">
        <f t="array" ref="H3175">IFERROR(INDEX(INVESTOR_LIST[INVESTOR NAME],MATCH(I3175,INVESTOR_LIST[INVESTOR CODE],0),)," ")</f>
        <v xml:space="preserve"> </v>
      </c>
      <c r="I3175" s="245"/>
      <c r="J3175" s="246" t="s">
        <v>64</v>
      </c>
      <c r="K3175" s="247"/>
      <c r="L3175" s="247">
        <v>2747.2527472527472</v>
      </c>
    </row>
    <row r="3176" spans="1:13" ht="11.25" customHeight="1" x14ac:dyDescent="0.2">
      <c r="A3176" s="236">
        <v>2023</v>
      </c>
      <c r="B3176" s="236">
        <v>6</v>
      </c>
      <c r="C3176" s="236">
        <v>22</v>
      </c>
      <c r="D3176" s="237">
        <f t="shared" si="349"/>
        <v>45099</v>
      </c>
      <c r="E3176" s="238">
        <f t="shared" si="352"/>
        <v>45099</v>
      </c>
      <c r="F3176" s="476" t="s">
        <v>1121</v>
      </c>
      <c r="G3176" s="239" t="s">
        <v>86</v>
      </c>
      <c r="H3176" s="239" t="str" cm="1">
        <f t="array" ref="H3176">IFERROR(INDEX(INVESTOR_LIST[INVESTOR NAME],MATCH(I3176,INVESTOR_LIST[INVESTOR CODE],0),)," ")</f>
        <v xml:space="preserve"> </v>
      </c>
      <c r="I3176" s="240"/>
      <c r="J3176" s="241" t="s">
        <v>89</v>
      </c>
      <c r="K3176" s="242">
        <v>35167.342884680154</v>
      </c>
      <c r="L3176" s="242"/>
    </row>
    <row r="3177" spans="1:13" ht="11.25" customHeight="1" x14ac:dyDescent="0.2">
      <c r="A3177" s="243">
        <v>2023</v>
      </c>
      <c r="B3177" s="243">
        <v>6</v>
      </c>
      <c r="C3177" s="243">
        <v>22</v>
      </c>
      <c r="D3177" s="248">
        <f t="shared" si="349"/>
        <v>45099</v>
      </c>
      <c r="E3177" s="249">
        <f t="shared" si="352"/>
        <v>45099</v>
      </c>
      <c r="F3177" s="477"/>
      <c r="G3177" s="244" t="s">
        <v>86</v>
      </c>
      <c r="H3177" s="244" t="str" cm="1">
        <f t="array" ref="H3177">IFERROR(INDEX(INVESTOR_LIST[INVESTOR NAME],MATCH(I3177,INVESTOR_LIST[INVESTOR CODE],0),)," ")</f>
        <v xml:space="preserve"> </v>
      </c>
      <c r="I3177" s="245"/>
      <c r="J3177" s="246" t="s">
        <v>50</v>
      </c>
      <c r="K3177" s="247"/>
      <c r="L3177" s="247">
        <v>35167.342884680154</v>
      </c>
    </row>
    <row r="3178" spans="1:13" ht="11.25" customHeight="1" x14ac:dyDescent="0.2">
      <c r="A3178" s="236">
        <v>2023</v>
      </c>
      <c r="B3178" s="236">
        <v>6</v>
      </c>
      <c r="C3178" s="236">
        <v>22</v>
      </c>
      <c r="D3178" s="237">
        <f t="shared" si="349"/>
        <v>45099</v>
      </c>
      <c r="E3178" s="238">
        <f t="shared" si="352"/>
        <v>45099</v>
      </c>
      <c r="F3178" s="476" t="s">
        <v>1122</v>
      </c>
      <c r="G3178" s="239" t="s">
        <v>86</v>
      </c>
      <c r="H3178" s="239" t="str" cm="1">
        <f t="array" ref="H3178">IFERROR(INDEX(INVESTOR_LIST[INVESTOR NAME],MATCH(I3178,INVESTOR_LIST[INVESTOR CODE],0),)," ")</f>
        <v xml:space="preserve"> </v>
      </c>
      <c r="I3178" s="240"/>
      <c r="J3178" s="241" t="s">
        <v>91</v>
      </c>
      <c r="K3178" s="242">
        <v>3516.7342884680161</v>
      </c>
      <c r="L3178" s="242"/>
    </row>
    <row r="3179" spans="1:13" ht="11.25" customHeight="1" x14ac:dyDescent="0.2">
      <c r="A3179" s="243">
        <v>2023</v>
      </c>
      <c r="B3179" s="243">
        <v>6</v>
      </c>
      <c r="C3179" s="243">
        <v>22</v>
      </c>
      <c r="D3179" s="248">
        <f t="shared" si="349"/>
        <v>45099</v>
      </c>
      <c r="E3179" s="249">
        <f t="shared" si="352"/>
        <v>45099</v>
      </c>
      <c r="F3179" s="477"/>
      <c r="G3179" s="244" t="s">
        <v>86</v>
      </c>
      <c r="H3179" s="244" t="str" cm="1">
        <f t="array" ref="H3179">IFERROR(INDEX(INVESTOR_LIST[INVESTOR NAME],MATCH(I3179,INVESTOR_LIST[INVESTOR CODE],0),)," ")</f>
        <v xml:space="preserve"> </v>
      </c>
      <c r="I3179" s="245"/>
      <c r="J3179" s="246" t="s">
        <v>51</v>
      </c>
      <c r="K3179" s="247"/>
      <c r="L3179" s="247">
        <v>3516.7342884680161</v>
      </c>
    </row>
    <row r="3180" spans="1:13" ht="11.25" customHeight="1" x14ac:dyDescent="0.2">
      <c r="A3180" s="221">
        <v>2023</v>
      </c>
      <c r="B3180" s="221">
        <v>6</v>
      </c>
      <c r="C3180" s="221">
        <v>25</v>
      </c>
      <c r="D3180" s="231">
        <f t="shared" si="349"/>
        <v>45102</v>
      </c>
      <c r="E3180" s="233">
        <f t="shared" si="352"/>
        <v>45102</v>
      </c>
      <c r="F3180" s="478" t="s">
        <v>1581</v>
      </c>
      <c r="G3180" s="222" t="s">
        <v>1111</v>
      </c>
      <c r="H3180" s="223" t="str" cm="1">
        <f t="array" ref="H3180">IFERROR(INDEX(INVESTOR_LIST[INVESTOR NAME],MATCH(I3180,INVESTOR_LIST[INVESTOR CODE],0),)," ")</f>
        <v>MAZED AHMED ABDULLAH</v>
      </c>
      <c r="I3180" s="223" t="s">
        <v>1224</v>
      </c>
      <c r="J3180" s="224" t="s">
        <v>55</v>
      </c>
      <c r="K3180" s="167">
        <v>1000000</v>
      </c>
      <c r="L3180" s="225"/>
    </row>
    <row r="3181" spans="1:13" ht="11.25" customHeight="1" x14ac:dyDescent="0.2">
      <c r="A3181" s="164">
        <v>2023</v>
      </c>
      <c r="B3181" s="164">
        <v>6</v>
      </c>
      <c r="C3181" s="164">
        <v>25</v>
      </c>
      <c r="D3181" s="156">
        <f t="shared" si="349"/>
        <v>45102</v>
      </c>
      <c r="E3181" s="235">
        <f t="shared" si="352"/>
        <v>45102</v>
      </c>
      <c r="F3181" s="480"/>
      <c r="G3181" s="208" t="s">
        <v>1111</v>
      </c>
      <c r="H3181" s="206" t="str" cm="1">
        <f t="array" ref="H3181">IFERROR(INDEX(INVESTOR_LIST[INVESTOR NAME],MATCH(I3181,INVESTOR_LIST[INVESTOR CODE],0),)," ")</f>
        <v>MAZED AHMED ABDULLAH</v>
      </c>
      <c r="I3181" s="206" t="s">
        <v>1224</v>
      </c>
      <c r="J3181" s="165" t="s">
        <v>14</v>
      </c>
      <c r="L3181" s="205">
        <v>975600</v>
      </c>
    </row>
    <row r="3182" spans="1:13" ht="11.25" customHeight="1" x14ac:dyDescent="0.2">
      <c r="A3182" s="226">
        <v>2023</v>
      </c>
      <c r="B3182" s="226">
        <v>6</v>
      </c>
      <c r="C3182" s="226">
        <v>25</v>
      </c>
      <c r="D3182" s="232">
        <f t="shared" si="349"/>
        <v>45102</v>
      </c>
      <c r="E3182" s="234">
        <f t="shared" si="352"/>
        <v>45102</v>
      </c>
      <c r="F3182" s="479"/>
      <c r="G3182" s="227" t="s">
        <v>1111</v>
      </c>
      <c r="H3182" s="228" t="str" cm="1">
        <f t="array" ref="H3182">IFERROR(INDEX(INVESTOR_LIST[INVESTOR NAME],MATCH(I3182,INVESTOR_LIST[INVESTOR CODE],0),)," ")</f>
        <v>MAZED AHMED ABDULLAH</v>
      </c>
      <c r="I3182" s="228" t="s">
        <v>1224</v>
      </c>
      <c r="J3182" s="229" t="s">
        <v>1112</v>
      </c>
      <c r="K3182" s="230"/>
      <c r="L3182" s="230">
        <v>24400</v>
      </c>
    </row>
    <row r="3183" spans="1:13" ht="11.25" customHeight="1" x14ac:dyDescent="0.2">
      <c r="A3183" s="221">
        <v>2023</v>
      </c>
      <c r="B3183" s="221">
        <v>6</v>
      </c>
      <c r="C3183" s="221">
        <v>25</v>
      </c>
      <c r="D3183" s="221">
        <f t="shared" si="349"/>
        <v>45102</v>
      </c>
      <c r="E3183" s="233">
        <f t="shared" si="352"/>
        <v>45102</v>
      </c>
      <c r="F3183" s="478" t="s">
        <v>1582</v>
      </c>
      <c r="G3183" s="222" t="s">
        <v>1111</v>
      </c>
      <c r="H3183" s="222" t="str" cm="1">
        <f t="array" ref="H3183">IFERROR(INDEX(INVESTOR_LIST[INVESTOR NAME],MATCH(I3183,INVESTOR_LIST[INVESTOR CODE],0),)," ")</f>
        <v xml:space="preserve"> </v>
      </c>
      <c r="I3183" s="223"/>
      <c r="J3183" s="224" t="s">
        <v>80</v>
      </c>
      <c r="K3183" s="225">
        <v>90310</v>
      </c>
      <c r="L3183" s="225"/>
    </row>
    <row r="3184" spans="1:13" ht="11.25" customHeight="1" x14ac:dyDescent="0.2">
      <c r="A3184" s="164">
        <v>2023</v>
      </c>
      <c r="B3184" s="164">
        <v>6</v>
      </c>
      <c r="C3184" s="164">
        <v>25</v>
      </c>
      <c r="D3184" s="164">
        <f t="shared" si="349"/>
        <v>45102</v>
      </c>
      <c r="E3184" s="235">
        <f t="shared" si="352"/>
        <v>45102</v>
      </c>
      <c r="F3184" s="480"/>
      <c r="G3184" s="208" t="s">
        <v>1111</v>
      </c>
      <c r="H3184" s="208" t="str" cm="1">
        <f t="array" ref="H3184">IFERROR(INDEX(INVESTOR_LIST[INVESTOR NAME],MATCH(I3184,INVESTOR_LIST[INVESTOR CODE],0),)," ")</f>
        <v xml:space="preserve"> </v>
      </c>
      <c r="J3184" s="165" t="s">
        <v>55</v>
      </c>
      <c r="K3184" s="205">
        <v>4909690</v>
      </c>
      <c r="L3184" s="205"/>
      <c r="M3184" s="166"/>
    </row>
    <row r="3185" spans="1:12" ht="11.25" customHeight="1" x14ac:dyDescent="0.2">
      <c r="A3185" s="226">
        <v>2023</v>
      </c>
      <c r="B3185" s="226">
        <v>6</v>
      </c>
      <c r="C3185" s="226">
        <v>25</v>
      </c>
      <c r="D3185" s="226">
        <f t="shared" si="349"/>
        <v>45102</v>
      </c>
      <c r="E3185" s="234">
        <f t="shared" si="352"/>
        <v>45102</v>
      </c>
      <c r="F3185" s="479"/>
      <c r="G3185" s="227" t="s">
        <v>1111</v>
      </c>
      <c r="H3185" s="228" t="str" cm="1">
        <f t="array" ref="H3185">IFERROR(INDEX(INVESTOR_LIST[INVESTOR NAME],MATCH(I3185,INVESTOR_LIST[INVESTOR CODE],0),)," ")</f>
        <v xml:space="preserve"> </v>
      </c>
      <c r="I3185" s="228"/>
      <c r="J3185" s="229" t="s">
        <v>196</v>
      </c>
      <c r="K3185" s="230"/>
      <c r="L3185" s="230">
        <v>5000000</v>
      </c>
    </row>
    <row r="3186" spans="1:12" ht="11.25" customHeight="1" x14ac:dyDescent="0.2">
      <c r="A3186" s="221">
        <v>2023</v>
      </c>
      <c r="B3186" s="221">
        <v>6</v>
      </c>
      <c r="C3186" s="221">
        <v>26</v>
      </c>
      <c r="D3186" s="231">
        <f t="shared" si="349"/>
        <v>45103</v>
      </c>
      <c r="E3186" s="233">
        <f t="shared" si="352"/>
        <v>45103</v>
      </c>
      <c r="F3186" s="478" t="s">
        <v>1583</v>
      </c>
      <c r="G3186" s="222" t="s">
        <v>1111</v>
      </c>
      <c r="H3186" s="223" t="str" cm="1">
        <f t="array" ref="H3186">IFERROR(INDEX(INVESTOR_LIST[INVESTOR NAME],MATCH(I3186,INVESTOR_LIST[INVESTOR CODE],0),)," ")</f>
        <v xml:space="preserve"> </v>
      </c>
      <c r="I3186" s="223"/>
      <c r="J3186" s="224" t="s">
        <v>88</v>
      </c>
      <c r="K3186" s="225">
        <v>4000000</v>
      </c>
      <c r="L3186" s="225"/>
    </row>
    <row r="3187" spans="1:12" ht="11.25" customHeight="1" x14ac:dyDescent="0.2">
      <c r="A3187" s="164">
        <v>2023</v>
      </c>
      <c r="B3187" s="164">
        <v>6</v>
      </c>
      <c r="C3187" s="164">
        <v>26</v>
      </c>
      <c r="D3187" s="156">
        <f t="shared" si="349"/>
        <v>45103</v>
      </c>
      <c r="E3187" s="235">
        <f t="shared" si="352"/>
        <v>45103</v>
      </c>
      <c r="F3187" s="480"/>
      <c r="G3187" s="208" t="s">
        <v>1111</v>
      </c>
      <c r="J3187" s="165" t="s">
        <v>55</v>
      </c>
      <c r="K3187" s="205"/>
      <c r="L3187" s="205">
        <v>4000000</v>
      </c>
    </row>
    <row r="3188" spans="1:12" ht="11.25" customHeight="1" x14ac:dyDescent="0.2">
      <c r="A3188" s="221">
        <v>2023</v>
      </c>
      <c r="B3188" s="221">
        <v>6</v>
      </c>
      <c r="C3188" s="221">
        <v>26</v>
      </c>
      <c r="D3188" s="231">
        <f t="shared" si="349"/>
        <v>45103</v>
      </c>
      <c r="E3188" s="233">
        <f t="shared" ref="E3188:E3193" si="353">DATE(A3188,B3188,C3188)</f>
        <v>45103</v>
      </c>
      <c r="F3188" s="478" t="s">
        <v>1583</v>
      </c>
      <c r="G3188" s="222" t="s">
        <v>1111</v>
      </c>
      <c r="H3188" s="223" t="str" cm="1">
        <f t="array" ref="H3188">IFERROR(INDEX(INVESTOR_LIST[INVESTOR NAME],MATCH(I3188,INVESTOR_LIST[INVESTOR CODE],0),)," ")</f>
        <v xml:space="preserve"> </v>
      </c>
      <c r="I3188" s="223"/>
      <c r="J3188" s="224" t="s">
        <v>88</v>
      </c>
      <c r="K3188" s="225">
        <v>4000000</v>
      </c>
      <c r="L3188" s="225"/>
    </row>
    <row r="3189" spans="1:12" ht="11.25" customHeight="1" x14ac:dyDescent="0.2">
      <c r="A3189" s="226">
        <v>2023</v>
      </c>
      <c r="B3189" s="226">
        <v>6</v>
      </c>
      <c r="C3189" s="226">
        <v>26</v>
      </c>
      <c r="D3189" s="232">
        <f t="shared" si="349"/>
        <v>45103</v>
      </c>
      <c r="E3189" s="234">
        <f t="shared" si="353"/>
        <v>45103</v>
      </c>
      <c r="F3189" s="479"/>
      <c r="G3189" s="227" t="s">
        <v>1111</v>
      </c>
      <c r="H3189" s="228"/>
      <c r="I3189" s="228"/>
      <c r="J3189" s="229" t="s">
        <v>55</v>
      </c>
      <c r="K3189" s="230"/>
      <c r="L3189" s="230">
        <v>4000000</v>
      </c>
    </row>
    <row r="3190" spans="1:12" ht="11.25" customHeight="1" x14ac:dyDescent="0.2">
      <c r="A3190" s="221">
        <v>2023</v>
      </c>
      <c r="B3190" s="221">
        <v>6</v>
      </c>
      <c r="C3190" s="221">
        <v>26</v>
      </c>
      <c r="D3190" s="231">
        <f t="shared" si="349"/>
        <v>45103</v>
      </c>
      <c r="E3190" s="233">
        <f t="shared" si="353"/>
        <v>45103</v>
      </c>
      <c r="F3190" s="478" t="s">
        <v>1451</v>
      </c>
      <c r="G3190" s="222" t="s">
        <v>1111</v>
      </c>
      <c r="H3190" s="223" t="str" cm="1">
        <f t="array" ref="H3190">IFERROR(INDEX(INVESTOR_LIST[INVESTOR NAME],MATCH(I3190,INVESTOR_LIST[INVESTOR CODE],0),)," ")</f>
        <v xml:space="preserve"> </v>
      </c>
      <c r="I3190" s="223"/>
      <c r="J3190" s="224" t="s">
        <v>88</v>
      </c>
      <c r="K3190" s="225">
        <v>2000000</v>
      </c>
      <c r="L3190" s="225"/>
    </row>
    <row r="3191" spans="1:12" ht="11.25" customHeight="1" x14ac:dyDescent="0.2">
      <c r="A3191" s="164">
        <v>2023</v>
      </c>
      <c r="B3191" s="164">
        <v>6</v>
      </c>
      <c r="C3191" s="164">
        <v>26</v>
      </c>
      <c r="D3191" s="156">
        <f t="shared" si="349"/>
        <v>45103</v>
      </c>
      <c r="E3191" s="235">
        <f t="shared" si="353"/>
        <v>45103</v>
      </c>
      <c r="F3191" s="480"/>
      <c r="G3191" s="208" t="s">
        <v>1111</v>
      </c>
      <c r="J3191" s="165" t="s">
        <v>55</v>
      </c>
      <c r="K3191" s="205">
        <v>38750</v>
      </c>
      <c r="L3191" s="205"/>
    </row>
    <row r="3192" spans="1:12" ht="11.25" customHeight="1" x14ac:dyDescent="0.2">
      <c r="A3192" s="164">
        <v>2023</v>
      </c>
      <c r="B3192" s="164">
        <v>6</v>
      </c>
      <c r="C3192" s="164">
        <v>26</v>
      </c>
      <c r="D3192" s="156">
        <f t="shared" si="349"/>
        <v>45103</v>
      </c>
      <c r="E3192" s="235">
        <f t="shared" si="353"/>
        <v>45103</v>
      </c>
      <c r="F3192" s="480"/>
      <c r="G3192" s="208" t="s">
        <v>1111</v>
      </c>
      <c r="J3192" s="165" t="s">
        <v>131</v>
      </c>
      <c r="K3192" s="205"/>
      <c r="L3192" s="205">
        <v>38750</v>
      </c>
    </row>
    <row r="3193" spans="1:12" ht="11.25" customHeight="1" x14ac:dyDescent="0.2">
      <c r="A3193" s="226">
        <v>2023</v>
      </c>
      <c r="B3193" s="226">
        <v>6</v>
      </c>
      <c r="C3193" s="226">
        <v>26</v>
      </c>
      <c r="D3193" s="232">
        <f t="shared" si="349"/>
        <v>45103</v>
      </c>
      <c r="E3193" s="234">
        <f t="shared" si="353"/>
        <v>45103</v>
      </c>
      <c r="F3193" s="479"/>
      <c r="G3193" s="208" t="s">
        <v>1111</v>
      </c>
      <c r="H3193" s="228" t="str" cm="1">
        <f t="array" ref="H3193">IFERROR(INDEX(INVESTOR_LIST[INVESTOR NAME],MATCH(I3193,INVESTOR_LIST[INVESTOR CODE],0),)," ")</f>
        <v xml:space="preserve"> </v>
      </c>
      <c r="I3193" s="228"/>
      <c r="J3193" s="229" t="s">
        <v>88</v>
      </c>
      <c r="K3193" s="230"/>
      <c r="L3193" s="230">
        <v>2000000</v>
      </c>
    </row>
    <row r="3194" spans="1:12" ht="11.25" customHeight="1" x14ac:dyDescent="0.2">
      <c r="A3194" s="221">
        <v>2023</v>
      </c>
      <c r="B3194" s="221">
        <v>6</v>
      </c>
      <c r="C3194" s="221">
        <v>26</v>
      </c>
      <c r="D3194" s="231">
        <f t="shared" si="349"/>
        <v>45103</v>
      </c>
      <c r="E3194" s="233">
        <f t="shared" ref="E3194:E3208" si="354">DATE(A3194,B3194,C3194)</f>
        <v>45103</v>
      </c>
      <c r="F3194" s="478" t="s">
        <v>1452</v>
      </c>
      <c r="G3194" s="222" t="s">
        <v>1111</v>
      </c>
      <c r="H3194" s="223" t="str" cm="1">
        <f t="array" ref="H3194">IFERROR(INDEX(INVESTOR_LIST[INVESTOR NAME],MATCH(I3194,INVESTOR_LIST[INVESTOR CODE],0),)," ")</f>
        <v xml:space="preserve"> </v>
      </c>
      <c r="I3194" s="223"/>
      <c r="J3194" s="224" t="s">
        <v>88</v>
      </c>
      <c r="K3194" s="225">
        <v>2000000</v>
      </c>
      <c r="L3194" s="225"/>
    </row>
    <row r="3195" spans="1:12" ht="11.25" customHeight="1" x14ac:dyDescent="0.2">
      <c r="A3195" s="164">
        <v>2023</v>
      </c>
      <c r="B3195" s="164">
        <v>6</v>
      </c>
      <c r="C3195" s="164">
        <v>26</v>
      </c>
      <c r="D3195" s="156">
        <f t="shared" si="349"/>
        <v>45103</v>
      </c>
      <c r="E3195" s="235">
        <f t="shared" si="354"/>
        <v>45103</v>
      </c>
      <c r="F3195" s="480"/>
      <c r="G3195" s="208" t="s">
        <v>1111</v>
      </c>
      <c r="J3195" s="165" t="s">
        <v>55</v>
      </c>
      <c r="K3195" s="205">
        <v>38750</v>
      </c>
      <c r="L3195" s="205"/>
    </row>
    <row r="3196" spans="1:12" ht="11.25" customHeight="1" x14ac:dyDescent="0.2">
      <c r="A3196" s="164">
        <v>2023</v>
      </c>
      <c r="B3196" s="164">
        <v>6</v>
      </c>
      <c r="C3196" s="164">
        <v>26</v>
      </c>
      <c r="D3196" s="156">
        <f t="shared" si="349"/>
        <v>45103</v>
      </c>
      <c r="E3196" s="235">
        <f t="shared" si="354"/>
        <v>45103</v>
      </c>
      <c r="F3196" s="480"/>
      <c r="G3196" s="208" t="s">
        <v>1111</v>
      </c>
      <c r="J3196" s="165" t="s">
        <v>131</v>
      </c>
      <c r="K3196" s="205"/>
      <c r="L3196" s="205">
        <v>38750</v>
      </c>
    </row>
    <row r="3197" spans="1:12" ht="11.25" customHeight="1" x14ac:dyDescent="0.2">
      <c r="A3197" s="226">
        <v>2023</v>
      </c>
      <c r="B3197" s="226">
        <v>6</v>
      </c>
      <c r="C3197" s="226">
        <v>26</v>
      </c>
      <c r="D3197" s="232">
        <f t="shared" si="349"/>
        <v>45103</v>
      </c>
      <c r="E3197" s="234">
        <f t="shared" si="354"/>
        <v>45103</v>
      </c>
      <c r="F3197" s="479"/>
      <c r="G3197" s="227" t="s">
        <v>1111</v>
      </c>
      <c r="H3197" s="228" t="str" cm="1">
        <f t="array" ref="H3197">IFERROR(INDEX(INVESTOR_LIST[INVESTOR NAME],MATCH(I3197,INVESTOR_LIST[INVESTOR CODE],0),)," ")</f>
        <v xml:space="preserve"> </v>
      </c>
      <c r="I3197" s="228"/>
      <c r="J3197" s="229" t="s">
        <v>88</v>
      </c>
      <c r="K3197" s="230"/>
      <c r="L3197" s="230">
        <v>2000000</v>
      </c>
    </row>
    <row r="3198" spans="1:12" ht="11.25" customHeight="1" x14ac:dyDescent="0.2">
      <c r="A3198" s="221">
        <v>2023</v>
      </c>
      <c r="B3198" s="221">
        <v>6</v>
      </c>
      <c r="C3198" s="221">
        <v>26</v>
      </c>
      <c r="D3198" s="231">
        <f t="shared" si="349"/>
        <v>45103</v>
      </c>
      <c r="E3198" s="233">
        <f t="shared" si="354"/>
        <v>45103</v>
      </c>
      <c r="F3198" s="478" t="s">
        <v>1585</v>
      </c>
      <c r="G3198" s="222" t="s">
        <v>1111</v>
      </c>
      <c r="H3198" s="223" t="str" cm="1">
        <f t="array" ref="H3198">IFERROR(INDEX(INVESTOR_LIST[INVESTOR NAME],MATCH(I3198,INVESTOR_LIST[INVESTOR CODE],0),)," ")</f>
        <v xml:space="preserve"> </v>
      </c>
      <c r="I3198" s="223"/>
      <c r="J3198" s="224" t="s">
        <v>55</v>
      </c>
      <c r="K3198" s="225">
        <v>54673</v>
      </c>
      <c r="L3198" s="225"/>
    </row>
    <row r="3199" spans="1:12" ht="11.25" customHeight="1" x14ac:dyDescent="0.2">
      <c r="A3199" s="226">
        <v>2023</v>
      </c>
      <c r="B3199" s="226">
        <v>6</v>
      </c>
      <c r="C3199" s="226">
        <v>26</v>
      </c>
      <c r="D3199" s="232">
        <f t="shared" si="349"/>
        <v>45103</v>
      </c>
      <c r="E3199" s="234">
        <f t="shared" si="354"/>
        <v>45103</v>
      </c>
      <c r="F3199" s="479"/>
      <c r="G3199" s="227" t="s">
        <v>1111</v>
      </c>
      <c r="H3199" s="228" t="str" cm="1">
        <f t="array" ref="H3199">IFERROR(INDEX(INVESTOR_LIST[INVESTOR NAME],MATCH(I3199,INVESTOR_LIST[INVESTOR CODE],0),)," ")</f>
        <v xml:space="preserve"> </v>
      </c>
      <c r="I3199" s="228"/>
      <c r="J3199" s="229" t="s">
        <v>174</v>
      </c>
      <c r="K3199" s="230"/>
      <c r="L3199" s="230">
        <v>54673</v>
      </c>
    </row>
    <row r="3200" spans="1:12" ht="11.25" customHeight="1" x14ac:dyDescent="0.2">
      <c r="A3200" s="221">
        <v>2023</v>
      </c>
      <c r="B3200" s="221">
        <v>6</v>
      </c>
      <c r="C3200" s="221">
        <v>28</v>
      </c>
      <c r="D3200" s="231">
        <f t="shared" si="349"/>
        <v>45105</v>
      </c>
      <c r="E3200" s="233">
        <f t="shared" si="354"/>
        <v>45105</v>
      </c>
      <c r="F3200" s="478" t="s">
        <v>1114</v>
      </c>
      <c r="G3200" s="222" t="s">
        <v>1111</v>
      </c>
      <c r="H3200" s="223" t="str" cm="1">
        <f t="array" ref="H3200">IFERROR(INDEX(INVESTOR_LIST[INVESTOR NAME],MATCH(I3200,INVESTOR_LIST[INVESTOR CODE],0),)," ")</f>
        <v xml:space="preserve"> </v>
      </c>
      <c r="I3200" s="223"/>
      <c r="J3200" s="224" t="s">
        <v>63</v>
      </c>
      <c r="K3200" s="225">
        <v>345</v>
      </c>
      <c r="L3200" s="225"/>
    </row>
    <row r="3201" spans="1:12" ht="11.25" customHeight="1" x14ac:dyDescent="0.2">
      <c r="A3201" s="226">
        <v>2023</v>
      </c>
      <c r="B3201" s="226">
        <v>6</v>
      </c>
      <c r="C3201" s="226">
        <v>28</v>
      </c>
      <c r="D3201" s="232">
        <f t="shared" si="349"/>
        <v>45105</v>
      </c>
      <c r="E3201" s="234">
        <f t="shared" si="354"/>
        <v>45105</v>
      </c>
      <c r="F3201" s="479"/>
      <c r="G3201" s="227" t="s">
        <v>1111</v>
      </c>
      <c r="H3201" s="228" t="str" cm="1">
        <f t="array" ref="H3201">IFERROR(INDEX(INVESTOR_LIST[INVESTOR NAME],MATCH(I3201,INVESTOR_LIST[INVESTOR CODE],0),)," ")</f>
        <v xml:space="preserve"> </v>
      </c>
      <c r="I3201" s="228"/>
      <c r="J3201" s="229" t="s">
        <v>55</v>
      </c>
      <c r="K3201" s="230"/>
      <c r="L3201" s="230">
        <v>345</v>
      </c>
    </row>
    <row r="3202" spans="1:12" ht="11.25" customHeight="1" x14ac:dyDescent="0.2">
      <c r="A3202" s="221">
        <v>2023</v>
      </c>
      <c r="B3202" s="221">
        <v>6</v>
      </c>
      <c r="C3202" s="221">
        <v>26</v>
      </c>
      <c r="D3202" s="231">
        <f t="shared" si="349"/>
        <v>45103</v>
      </c>
      <c r="E3202" s="233">
        <f t="shared" si="354"/>
        <v>45103</v>
      </c>
      <c r="F3202" s="478" t="s">
        <v>1585</v>
      </c>
      <c r="G3202" s="222" t="s">
        <v>1111</v>
      </c>
      <c r="H3202" s="223" t="str" cm="1">
        <f t="array" ref="H3202">IFERROR(INDEX(INVESTOR_LIST[INVESTOR NAME],MATCH(I3202,INVESTOR_LIST[INVESTOR CODE],0),)," ")</f>
        <v xml:space="preserve"> </v>
      </c>
      <c r="I3202" s="223"/>
      <c r="J3202" s="224" t="s">
        <v>55</v>
      </c>
      <c r="K3202" s="225">
        <v>183692</v>
      </c>
      <c r="L3202" s="225"/>
    </row>
    <row r="3203" spans="1:12" ht="11.25" customHeight="1" x14ac:dyDescent="0.2">
      <c r="A3203" s="226">
        <v>2023</v>
      </c>
      <c r="B3203" s="226">
        <v>6</v>
      </c>
      <c r="C3203" s="226">
        <v>26</v>
      </c>
      <c r="D3203" s="232">
        <f t="shared" si="349"/>
        <v>45103</v>
      </c>
      <c r="E3203" s="234">
        <f t="shared" si="354"/>
        <v>45103</v>
      </c>
      <c r="F3203" s="479"/>
      <c r="G3203" s="227" t="s">
        <v>1111</v>
      </c>
      <c r="H3203" s="228" t="str" cm="1">
        <f t="array" ref="H3203">IFERROR(INDEX(INVESTOR_LIST[INVESTOR NAME],MATCH(I3203,INVESTOR_LIST[INVESTOR CODE],0),)," ")</f>
        <v xml:space="preserve"> </v>
      </c>
      <c r="I3203" s="228"/>
      <c r="J3203" s="229" t="s">
        <v>174</v>
      </c>
      <c r="K3203" s="230"/>
      <c r="L3203" s="230">
        <v>183692</v>
      </c>
    </row>
    <row r="3204" spans="1:12" ht="11.25" customHeight="1" x14ac:dyDescent="0.2">
      <c r="A3204" s="221">
        <v>2023</v>
      </c>
      <c r="B3204" s="221">
        <v>6</v>
      </c>
      <c r="C3204" s="221">
        <v>28</v>
      </c>
      <c r="D3204" s="231">
        <f t="shared" si="349"/>
        <v>45105</v>
      </c>
      <c r="E3204" s="233">
        <f t="shared" si="354"/>
        <v>45105</v>
      </c>
      <c r="F3204" s="478" t="s">
        <v>1114</v>
      </c>
      <c r="G3204" s="222" t="s">
        <v>1111</v>
      </c>
      <c r="H3204" s="223" t="str" cm="1">
        <f t="array" ref="H3204">IFERROR(INDEX(INVESTOR_LIST[INVESTOR NAME],MATCH(I3204,INVESTOR_LIST[INVESTOR CODE],0),)," ")</f>
        <v xml:space="preserve"> </v>
      </c>
      <c r="I3204" s="223"/>
      <c r="J3204" s="224" t="s">
        <v>63</v>
      </c>
      <c r="K3204" s="225">
        <v>575</v>
      </c>
      <c r="L3204" s="225"/>
    </row>
    <row r="3205" spans="1:12" ht="11.25" customHeight="1" x14ac:dyDescent="0.2">
      <c r="A3205" s="226">
        <v>2023</v>
      </c>
      <c r="B3205" s="226">
        <v>6</v>
      </c>
      <c r="C3205" s="226">
        <v>28</v>
      </c>
      <c r="D3205" s="232">
        <f t="shared" si="349"/>
        <v>45105</v>
      </c>
      <c r="E3205" s="234">
        <f t="shared" si="354"/>
        <v>45105</v>
      </c>
      <c r="F3205" s="479"/>
      <c r="G3205" s="227" t="s">
        <v>1111</v>
      </c>
      <c r="H3205" s="228" t="str" cm="1">
        <f t="array" ref="H3205">IFERROR(INDEX(INVESTOR_LIST[INVESTOR NAME],MATCH(I3205,INVESTOR_LIST[INVESTOR CODE],0),)," ")</f>
        <v xml:space="preserve"> </v>
      </c>
      <c r="I3205" s="228"/>
      <c r="J3205" s="229" t="s">
        <v>55</v>
      </c>
      <c r="K3205" s="230"/>
      <c r="L3205" s="230">
        <v>575</v>
      </c>
    </row>
    <row r="3206" spans="1:12" ht="11.25" customHeight="1" x14ac:dyDescent="0.2">
      <c r="A3206" s="221">
        <v>2023</v>
      </c>
      <c r="B3206" s="221">
        <v>6</v>
      </c>
      <c r="C3206" s="221">
        <v>27</v>
      </c>
      <c r="D3206" s="231">
        <f t="shared" si="349"/>
        <v>45104</v>
      </c>
      <c r="E3206" s="233">
        <f t="shared" si="354"/>
        <v>45104</v>
      </c>
      <c r="F3206" s="478" t="s">
        <v>1132</v>
      </c>
      <c r="G3206" s="222" t="s">
        <v>1111</v>
      </c>
      <c r="H3206" s="223" t="str" cm="1">
        <f t="array" ref="H3206">IFERROR(INDEX(INVESTOR_LIST[INVESTOR NAME],MATCH(I3206,INVESTOR_LIST[INVESTOR CODE],0),)," ")</f>
        <v xml:space="preserve"> </v>
      </c>
      <c r="I3206" s="223"/>
      <c r="J3206" s="224" t="s">
        <v>55</v>
      </c>
      <c r="K3206" s="167">
        <v>15000</v>
      </c>
      <c r="L3206" s="225"/>
    </row>
    <row r="3207" spans="1:12" ht="11.25" customHeight="1" x14ac:dyDescent="0.2">
      <c r="A3207" s="164">
        <v>2023</v>
      </c>
      <c r="B3207" s="164">
        <v>6</v>
      </c>
      <c r="C3207" s="164">
        <v>27</v>
      </c>
      <c r="D3207" s="156">
        <f t="shared" si="349"/>
        <v>45104</v>
      </c>
      <c r="E3207" s="235">
        <f t="shared" si="354"/>
        <v>45104</v>
      </c>
      <c r="F3207" s="480"/>
      <c r="G3207" s="208" t="s">
        <v>1111</v>
      </c>
      <c r="H3207" s="206" t="str" cm="1">
        <f t="array" ref="H3207">IFERROR(INDEX(INVESTOR_LIST[INVESTOR NAME],MATCH(I3207,INVESTOR_LIST[INVESTOR CODE],0),)," ")</f>
        <v xml:space="preserve"> </v>
      </c>
      <c r="J3207" s="165" t="s">
        <v>14</v>
      </c>
      <c r="L3207" s="205">
        <v>14630</v>
      </c>
    </row>
    <row r="3208" spans="1:12" ht="11.25" customHeight="1" x14ac:dyDescent="0.2">
      <c r="A3208" s="226">
        <v>2023</v>
      </c>
      <c r="B3208" s="226">
        <v>6</v>
      </c>
      <c r="C3208" s="226">
        <v>27</v>
      </c>
      <c r="D3208" s="232">
        <f t="shared" si="349"/>
        <v>45104</v>
      </c>
      <c r="E3208" s="234">
        <f t="shared" si="354"/>
        <v>45104</v>
      </c>
      <c r="F3208" s="479"/>
      <c r="G3208" s="227" t="s">
        <v>1111</v>
      </c>
      <c r="H3208" s="228" t="str" cm="1">
        <f t="array" ref="H3208">IFERROR(INDEX(INVESTOR_LIST[INVESTOR NAME],MATCH(I3208,INVESTOR_LIST[INVESTOR CODE],0),)," ")</f>
        <v xml:space="preserve"> </v>
      </c>
      <c r="I3208" s="228"/>
      <c r="J3208" s="229" t="s">
        <v>1112</v>
      </c>
      <c r="K3208" s="230"/>
      <c r="L3208" s="230">
        <v>370</v>
      </c>
    </row>
    <row r="3209" spans="1:12" ht="11.25" customHeight="1" x14ac:dyDescent="0.2">
      <c r="A3209" s="221">
        <v>2023</v>
      </c>
      <c r="B3209" s="221">
        <v>6</v>
      </c>
      <c r="C3209" s="221">
        <v>30</v>
      </c>
      <c r="D3209" s="231">
        <f t="shared" ref="D3209:D3272" si="355">DATE(A3209,B3209,C3209)</f>
        <v>45107</v>
      </c>
      <c r="E3209" s="233">
        <f t="shared" ref="E3209:E3210" si="356">DATE(A3209,B3209,C3209)</f>
        <v>45107</v>
      </c>
      <c r="F3209" s="478" t="s">
        <v>1586</v>
      </c>
      <c r="G3209" s="222" t="s">
        <v>1111</v>
      </c>
      <c r="H3209" s="223" t="str" cm="1">
        <f t="array" ref="H3209">IFERROR(INDEX(INVESTOR_LIST[INVESTOR NAME],MATCH(I3209,INVESTOR_LIST[INVESTOR CODE],0),)," ")</f>
        <v xml:space="preserve"> </v>
      </c>
      <c r="I3209" s="223"/>
      <c r="J3209" s="224" t="s">
        <v>55</v>
      </c>
      <c r="K3209" s="225">
        <v>1011.02</v>
      </c>
      <c r="L3209" s="225"/>
    </row>
    <row r="3210" spans="1:12" ht="11.25" customHeight="1" x14ac:dyDescent="0.2">
      <c r="A3210" s="226">
        <v>2023</v>
      </c>
      <c r="B3210" s="226">
        <v>6</v>
      </c>
      <c r="C3210" s="226">
        <v>30</v>
      </c>
      <c r="D3210" s="232">
        <f t="shared" si="355"/>
        <v>45107</v>
      </c>
      <c r="E3210" s="234">
        <f t="shared" si="356"/>
        <v>45107</v>
      </c>
      <c r="F3210" s="479"/>
      <c r="G3210" s="227" t="s">
        <v>1111</v>
      </c>
      <c r="H3210" s="228" t="str" cm="1">
        <f t="array" ref="H3210">IFERROR(INDEX(INVESTOR_LIST[INVESTOR NAME],MATCH(I3210,INVESTOR_LIST[INVESTOR CODE],0),)," ")</f>
        <v xml:space="preserve"> </v>
      </c>
      <c r="I3210" s="228"/>
      <c r="J3210" s="229" t="s">
        <v>174</v>
      </c>
      <c r="K3210" s="230"/>
      <c r="L3210" s="230">
        <v>1011.02</v>
      </c>
    </row>
    <row r="3211" spans="1:12" ht="11.25" customHeight="1" x14ac:dyDescent="0.2">
      <c r="A3211" s="221">
        <v>2023</v>
      </c>
      <c r="B3211" s="221">
        <v>6</v>
      </c>
      <c r="C3211" s="221">
        <v>30</v>
      </c>
      <c r="D3211" s="231">
        <f t="shared" si="355"/>
        <v>45107</v>
      </c>
      <c r="E3211" s="233">
        <f t="shared" ref="E3211:E3216" si="357">DATE(A3211,B3211,C3211)</f>
        <v>45107</v>
      </c>
      <c r="F3211" s="478" t="s">
        <v>1586</v>
      </c>
      <c r="G3211" s="222" t="s">
        <v>1111</v>
      </c>
      <c r="H3211" s="223" t="str" cm="1">
        <f t="array" ref="H3211">IFERROR(INDEX(INVESTOR_LIST[INVESTOR NAME],MATCH(I3211,INVESTOR_LIST[INVESTOR CODE],0),)," ")</f>
        <v xml:space="preserve"> </v>
      </c>
      <c r="I3211" s="223"/>
      <c r="J3211" s="224" t="s">
        <v>55</v>
      </c>
      <c r="K3211" s="225">
        <v>140</v>
      </c>
      <c r="L3211" s="225"/>
    </row>
    <row r="3212" spans="1:12" ht="11.25" customHeight="1" x14ac:dyDescent="0.2">
      <c r="A3212" s="226">
        <v>2023</v>
      </c>
      <c r="B3212" s="226">
        <v>6</v>
      </c>
      <c r="C3212" s="226">
        <v>30</v>
      </c>
      <c r="D3212" s="232">
        <f t="shared" si="355"/>
        <v>45107</v>
      </c>
      <c r="E3212" s="234">
        <f t="shared" si="357"/>
        <v>45107</v>
      </c>
      <c r="F3212" s="479"/>
      <c r="G3212" s="227" t="s">
        <v>1111</v>
      </c>
      <c r="H3212" s="228" t="str" cm="1">
        <f t="array" ref="H3212">IFERROR(INDEX(INVESTOR_LIST[INVESTOR NAME],MATCH(I3212,INVESTOR_LIST[INVESTOR CODE],0),)," ")</f>
        <v xml:space="preserve"> </v>
      </c>
      <c r="I3212" s="228"/>
      <c r="J3212" s="229" t="s">
        <v>174</v>
      </c>
      <c r="K3212" s="230"/>
      <c r="L3212" s="230">
        <v>140</v>
      </c>
    </row>
    <row r="3213" spans="1:12" ht="11.25" customHeight="1" x14ac:dyDescent="0.2">
      <c r="A3213" s="221">
        <v>2023</v>
      </c>
      <c r="B3213" s="221">
        <v>6</v>
      </c>
      <c r="C3213" s="221">
        <v>28</v>
      </c>
      <c r="D3213" s="231">
        <f t="shared" si="355"/>
        <v>45105</v>
      </c>
      <c r="E3213" s="233">
        <f t="shared" si="357"/>
        <v>45105</v>
      </c>
      <c r="F3213" s="478" t="s">
        <v>1587</v>
      </c>
      <c r="G3213" s="222" t="s">
        <v>1111</v>
      </c>
      <c r="H3213" s="223" t="str" cm="1">
        <f t="array" ref="H3213">IFERROR(INDEX(INVESTOR_LIST[INVESTOR NAME],MATCH(I3213,INVESTOR_LIST[INVESTOR CODE],0),)," ")</f>
        <v xml:space="preserve"> </v>
      </c>
      <c r="I3213" s="223"/>
      <c r="J3213" s="224" t="s">
        <v>55</v>
      </c>
      <c r="K3213" s="225">
        <v>15444.25</v>
      </c>
      <c r="L3213" s="225"/>
    </row>
    <row r="3214" spans="1:12" ht="11.25" customHeight="1" x14ac:dyDescent="0.2">
      <c r="A3214" s="226">
        <v>2023</v>
      </c>
      <c r="B3214" s="226">
        <v>6</v>
      </c>
      <c r="C3214" s="226">
        <v>28</v>
      </c>
      <c r="D3214" s="232">
        <f t="shared" si="355"/>
        <v>45105</v>
      </c>
      <c r="E3214" s="234">
        <f t="shared" si="357"/>
        <v>45105</v>
      </c>
      <c r="F3214" s="479"/>
      <c r="G3214" s="227" t="s">
        <v>1111</v>
      </c>
      <c r="H3214" s="228" t="str" cm="1">
        <f t="array" ref="H3214">IFERROR(INDEX(INVESTOR_LIST[INVESTOR NAME],MATCH(I3214,INVESTOR_LIST[INVESTOR CODE],0),)," ")</f>
        <v xml:space="preserve"> </v>
      </c>
      <c r="I3214" s="228"/>
      <c r="J3214" s="229" t="s">
        <v>174</v>
      </c>
      <c r="K3214" s="230"/>
      <c r="L3214" s="230">
        <v>15444.25</v>
      </c>
    </row>
    <row r="3215" spans="1:12" ht="11.25" customHeight="1" x14ac:dyDescent="0.2">
      <c r="A3215" s="221">
        <v>2023</v>
      </c>
      <c r="B3215" s="221">
        <v>6</v>
      </c>
      <c r="C3215" s="221">
        <v>28</v>
      </c>
      <c r="D3215" s="231">
        <f t="shared" si="355"/>
        <v>45105</v>
      </c>
      <c r="E3215" s="233">
        <f t="shared" si="357"/>
        <v>45105</v>
      </c>
      <c r="F3215" s="478" t="s">
        <v>1114</v>
      </c>
      <c r="G3215" s="222" t="s">
        <v>1111</v>
      </c>
      <c r="H3215" s="223" t="str" cm="1">
        <f t="array" ref="H3215">IFERROR(INDEX(INVESTOR_LIST[INVESTOR NAME],MATCH(I3215,INVESTOR_LIST[INVESTOR CODE],0),)," ")</f>
        <v xml:space="preserve"> </v>
      </c>
      <c r="I3215" s="223"/>
      <c r="J3215" s="224" t="s">
        <v>63</v>
      </c>
      <c r="K3215" s="225">
        <v>1889.43</v>
      </c>
      <c r="L3215" s="225"/>
    </row>
    <row r="3216" spans="1:12" ht="11.25" customHeight="1" x14ac:dyDescent="0.2">
      <c r="A3216" s="226">
        <v>2023</v>
      </c>
      <c r="B3216" s="226">
        <v>6</v>
      </c>
      <c r="C3216" s="226">
        <v>28</v>
      </c>
      <c r="D3216" s="232">
        <f t="shared" si="355"/>
        <v>45105</v>
      </c>
      <c r="E3216" s="234">
        <f t="shared" si="357"/>
        <v>45105</v>
      </c>
      <c r="F3216" s="479"/>
      <c r="G3216" s="227" t="s">
        <v>1111</v>
      </c>
      <c r="H3216" s="228" t="str" cm="1">
        <f t="array" ref="H3216">IFERROR(INDEX(INVESTOR_LIST[INVESTOR NAME],MATCH(I3216,INVESTOR_LIST[INVESTOR CODE],0),)," ")</f>
        <v xml:space="preserve"> </v>
      </c>
      <c r="I3216" s="228"/>
      <c r="J3216" s="229" t="s">
        <v>55</v>
      </c>
      <c r="K3216" s="230"/>
      <c r="L3216" s="230">
        <v>1889.43</v>
      </c>
    </row>
    <row r="3217" spans="1:12" ht="11.25" customHeight="1" x14ac:dyDescent="0.2">
      <c r="A3217" s="280">
        <v>2023</v>
      </c>
      <c r="B3217" s="280">
        <v>6</v>
      </c>
      <c r="C3217" s="280">
        <v>30</v>
      </c>
      <c r="D3217" s="281">
        <f t="shared" si="355"/>
        <v>45107</v>
      </c>
      <c r="E3217" s="282">
        <f t="shared" ref="E3217:E3222" si="358">DATE(A3217,B3217,C3217)</f>
        <v>45107</v>
      </c>
      <c r="F3217" s="472" t="s">
        <v>1369</v>
      </c>
      <c r="G3217" s="283" t="s">
        <v>86</v>
      </c>
      <c r="H3217" s="284" t="str" cm="1">
        <f t="array" ref="H3217">IFERROR(INDEX(INVESTOR_LIST[INVESTOR NAME],MATCH(I3217,INVESTOR_LIST[INVESTOR CODE],0),)," ")</f>
        <v xml:space="preserve"> </v>
      </c>
      <c r="I3217" s="284"/>
      <c r="J3217" s="285" t="s">
        <v>131</v>
      </c>
      <c r="K3217" s="286">
        <v>88391.82</v>
      </c>
      <c r="L3217" s="286"/>
    </row>
    <row r="3218" spans="1:12" ht="11.25" customHeight="1" x14ac:dyDescent="0.2">
      <c r="A3218" s="287">
        <v>2023</v>
      </c>
      <c r="B3218" s="287">
        <v>6</v>
      </c>
      <c r="C3218" s="287">
        <v>30</v>
      </c>
      <c r="D3218" s="288">
        <f t="shared" si="355"/>
        <v>45107</v>
      </c>
      <c r="E3218" s="289">
        <f t="shared" si="358"/>
        <v>45107</v>
      </c>
      <c r="F3218" s="473"/>
      <c r="G3218" s="290" t="s">
        <v>86</v>
      </c>
      <c r="H3218" s="291" t="str" cm="1">
        <f t="array" ref="H3218">IFERROR(INDEX(INVESTOR_LIST[INVESTOR NAME],MATCH(I3218,INVESTOR_LIST[INVESTOR CODE],0),)," ")</f>
        <v xml:space="preserve"> </v>
      </c>
      <c r="I3218" s="291"/>
      <c r="J3218" s="292" t="s">
        <v>174</v>
      </c>
      <c r="K3218" s="293"/>
      <c r="L3218" s="293">
        <v>88391.82</v>
      </c>
    </row>
    <row r="3219" spans="1:12" ht="11.25" customHeight="1" x14ac:dyDescent="0.2">
      <c r="A3219" s="280">
        <v>2023</v>
      </c>
      <c r="B3219" s="280">
        <v>6</v>
      </c>
      <c r="C3219" s="280">
        <v>30</v>
      </c>
      <c r="D3219" s="281">
        <f t="shared" si="355"/>
        <v>45107</v>
      </c>
      <c r="E3219" s="282">
        <f t="shared" si="358"/>
        <v>45107</v>
      </c>
      <c r="F3219" s="472" t="s">
        <v>1295</v>
      </c>
      <c r="G3219" s="283" t="s">
        <v>86</v>
      </c>
      <c r="H3219" s="284" t="str" cm="1">
        <f t="array" ref="H3219">IFERROR(INDEX(INVESTOR_LIST[INVESTOR NAME],MATCH(I3219,INVESTOR_LIST[INVESTOR CODE],0),)," ")</f>
        <v xml:space="preserve"> </v>
      </c>
      <c r="I3219" s="284"/>
      <c r="J3219" s="285" t="s">
        <v>131</v>
      </c>
      <c r="K3219" s="286">
        <v>17028.849999999999</v>
      </c>
      <c r="L3219" s="286"/>
    </row>
    <row r="3220" spans="1:12" ht="11.25" customHeight="1" x14ac:dyDescent="0.2">
      <c r="A3220" s="287">
        <v>2023</v>
      </c>
      <c r="B3220" s="287">
        <v>6</v>
      </c>
      <c r="C3220" s="287">
        <v>30</v>
      </c>
      <c r="D3220" s="288">
        <f t="shared" si="355"/>
        <v>45107</v>
      </c>
      <c r="E3220" s="289">
        <f t="shared" si="358"/>
        <v>45107</v>
      </c>
      <c r="F3220" s="473"/>
      <c r="G3220" s="290" t="s">
        <v>86</v>
      </c>
      <c r="H3220" s="291" t="str" cm="1">
        <f t="array" ref="H3220">IFERROR(INDEX(INVESTOR_LIST[INVESTOR NAME],MATCH(I3220,INVESTOR_LIST[INVESTOR CODE],0),)," ")</f>
        <v xml:space="preserve"> </v>
      </c>
      <c r="I3220" s="291"/>
      <c r="J3220" s="292" t="s">
        <v>174</v>
      </c>
      <c r="K3220" s="293"/>
      <c r="L3220" s="293">
        <v>17028.849999999999</v>
      </c>
    </row>
    <row r="3221" spans="1:12" ht="11.25" customHeight="1" x14ac:dyDescent="0.2">
      <c r="A3221" s="280">
        <v>2023</v>
      </c>
      <c r="B3221" s="280">
        <v>6</v>
      </c>
      <c r="C3221" s="280">
        <v>30</v>
      </c>
      <c r="D3221" s="281">
        <f t="shared" si="355"/>
        <v>45107</v>
      </c>
      <c r="E3221" s="282">
        <f t="shared" si="358"/>
        <v>45107</v>
      </c>
      <c r="F3221" s="472" t="s">
        <v>1294</v>
      </c>
      <c r="G3221" s="283" t="s">
        <v>86</v>
      </c>
      <c r="H3221" s="284" t="str" cm="1">
        <f t="array" ref="H3221">IFERROR(INDEX(INVESTOR_LIST[INVESTOR NAME],MATCH(I3221,INVESTOR_LIST[INVESTOR CODE],0),)," ")</f>
        <v xml:space="preserve"> </v>
      </c>
      <c r="I3221" s="284"/>
      <c r="J3221" s="285" t="s">
        <v>131</v>
      </c>
      <c r="K3221" s="286">
        <v>10769.23</v>
      </c>
      <c r="L3221" s="286"/>
    </row>
    <row r="3222" spans="1:12" ht="11.25" customHeight="1" x14ac:dyDescent="0.2">
      <c r="A3222" s="287">
        <v>2023</v>
      </c>
      <c r="B3222" s="287">
        <v>6</v>
      </c>
      <c r="C3222" s="287">
        <v>30</v>
      </c>
      <c r="D3222" s="288">
        <f t="shared" si="355"/>
        <v>45107</v>
      </c>
      <c r="E3222" s="289">
        <f t="shared" si="358"/>
        <v>45107</v>
      </c>
      <c r="F3222" s="473"/>
      <c r="G3222" s="290" t="s">
        <v>86</v>
      </c>
      <c r="H3222" s="291" t="str" cm="1">
        <f t="array" ref="H3222">IFERROR(INDEX(INVESTOR_LIST[INVESTOR NAME],MATCH(I3222,INVESTOR_LIST[INVESTOR CODE],0),)," ")</f>
        <v xml:space="preserve"> </v>
      </c>
      <c r="I3222" s="291"/>
      <c r="J3222" s="292" t="s">
        <v>174</v>
      </c>
      <c r="K3222" s="293"/>
      <c r="L3222" s="293">
        <v>10769.23</v>
      </c>
    </row>
    <row r="3223" spans="1:12" ht="11.25" customHeight="1" x14ac:dyDescent="0.2">
      <c r="A3223" s="280">
        <v>2023</v>
      </c>
      <c r="B3223" s="280">
        <v>6</v>
      </c>
      <c r="C3223" s="280">
        <v>30</v>
      </c>
      <c r="D3223" s="281">
        <f t="shared" si="355"/>
        <v>45107</v>
      </c>
      <c r="E3223" s="282">
        <f t="shared" ref="E3223:E3224" si="359">DATE(A3223,B3223,C3223)</f>
        <v>45107</v>
      </c>
      <c r="F3223" s="472" t="s">
        <v>1584</v>
      </c>
      <c r="G3223" s="283" t="s">
        <v>86</v>
      </c>
      <c r="H3223" s="284" t="str" cm="1">
        <f t="array" ref="H3223">IFERROR(INDEX(INVESTOR_LIST[INVESTOR NAME],MATCH(I3223,INVESTOR_LIST[INVESTOR CODE],0),)," ")</f>
        <v xml:space="preserve"> </v>
      </c>
      <c r="I3223" s="284"/>
      <c r="J3223" s="285" t="s">
        <v>131</v>
      </c>
      <c r="K3223" s="286">
        <v>12692.31</v>
      </c>
      <c r="L3223" s="286"/>
    </row>
    <row r="3224" spans="1:12" ht="11.25" customHeight="1" x14ac:dyDescent="0.2">
      <c r="A3224" s="287">
        <v>2023</v>
      </c>
      <c r="B3224" s="287">
        <v>6</v>
      </c>
      <c r="C3224" s="287">
        <v>30</v>
      </c>
      <c r="D3224" s="288">
        <f t="shared" si="355"/>
        <v>45107</v>
      </c>
      <c r="E3224" s="289">
        <f t="shared" si="359"/>
        <v>45107</v>
      </c>
      <c r="F3224" s="473"/>
      <c r="G3224" s="290" t="s">
        <v>86</v>
      </c>
      <c r="H3224" s="291" t="str" cm="1">
        <f t="array" ref="H3224">IFERROR(INDEX(INVESTOR_LIST[INVESTOR NAME],MATCH(I3224,INVESTOR_LIST[INVESTOR CODE],0),)," ")</f>
        <v xml:space="preserve"> </v>
      </c>
      <c r="I3224" s="291"/>
      <c r="J3224" s="292" t="s">
        <v>174</v>
      </c>
      <c r="K3224" s="293"/>
      <c r="L3224" s="293">
        <v>12692.31</v>
      </c>
    </row>
    <row r="3225" spans="1:12" ht="11.25" customHeight="1" x14ac:dyDescent="0.2">
      <c r="A3225" s="236">
        <v>2023</v>
      </c>
      <c r="B3225" s="236">
        <v>6</v>
      </c>
      <c r="C3225" s="236">
        <v>30</v>
      </c>
      <c r="D3225" s="237">
        <f t="shared" si="355"/>
        <v>45107</v>
      </c>
      <c r="E3225" s="238">
        <f t="shared" ref="E3225:E3259" si="360">DATE(A3225,B3225,C3225)</f>
        <v>45107</v>
      </c>
      <c r="F3225" s="476" t="s">
        <v>1118</v>
      </c>
      <c r="G3225" s="239" t="s">
        <v>86</v>
      </c>
      <c r="H3225" s="239" t="str" cm="1">
        <f t="array" ref="H3225">IFERROR(INDEX(INVESTOR_LIST[INVESTOR NAME],MATCH(I3225,INVESTOR_LIST[INVESTOR CODE],0),)," ")</f>
        <v xml:space="preserve"> </v>
      </c>
      <c r="I3225" s="240"/>
      <c r="J3225" s="241" t="s">
        <v>98</v>
      </c>
      <c r="K3225" s="242">
        <v>12500</v>
      </c>
      <c r="L3225" s="242"/>
    </row>
    <row r="3226" spans="1:12" ht="11.25" customHeight="1" x14ac:dyDescent="0.2">
      <c r="A3226" s="243">
        <v>2023</v>
      </c>
      <c r="B3226" s="243">
        <v>6</v>
      </c>
      <c r="C3226" s="243">
        <v>30</v>
      </c>
      <c r="D3226" s="248">
        <f t="shared" si="355"/>
        <v>45107</v>
      </c>
      <c r="E3226" s="249">
        <f t="shared" si="360"/>
        <v>45107</v>
      </c>
      <c r="F3226" s="477"/>
      <c r="G3226" s="244" t="s">
        <v>86</v>
      </c>
      <c r="H3226" s="244" t="str" cm="1">
        <f t="array" ref="H3226">IFERROR(INDEX(INVESTOR_LIST[INVESTOR NAME],MATCH(I3226,INVESTOR_LIST[INVESTOR CODE],0),)," ")</f>
        <v xml:space="preserve"> </v>
      </c>
      <c r="I3226" s="245"/>
      <c r="J3226" s="246" t="s">
        <v>82</v>
      </c>
      <c r="K3226" s="247"/>
      <c r="L3226" s="247">
        <v>12500</v>
      </c>
    </row>
    <row r="3227" spans="1:12" ht="11.25" customHeight="1" x14ac:dyDescent="0.2">
      <c r="A3227" s="236">
        <v>2023</v>
      </c>
      <c r="B3227" s="236">
        <v>6</v>
      </c>
      <c r="C3227" s="236">
        <v>30</v>
      </c>
      <c r="D3227" s="237">
        <f t="shared" si="355"/>
        <v>45107</v>
      </c>
      <c r="E3227" s="238">
        <f t="shared" si="360"/>
        <v>45107</v>
      </c>
      <c r="F3227" s="476" t="s">
        <v>1120</v>
      </c>
      <c r="G3227" s="239" t="s">
        <v>86</v>
      </c>
      <c r="H3227" s="239" t="str" cm="1">
        <f t="array" ref="H3227">IFERROR(INDEX(INVESTOR_LIST[INVESTOR NAME],MATCH(I3227,INVESTOR_LIST[INVESTOR CODE],0),)," ")</f>
        <v xml:space="preserve"> </v>
      </c>
      <c r="I3227" s="240"/>
      <c r="J3227" s="241" t="s">
        <v>87</v>
      </c>
      <c r="K3227" s="242">
        <v>2747.2527472527472</v>
      </c>
      <c r="L3227" s="242"/>
    </row>
    <row r="3228" spans="1:12" ht="11.25" customHeight="1" x14ac:dyDescent="0.2">
      <c r="A3228" s="243">
        <v>2023</v>
      </c>
      <c r="B3228" s="243">
        <v>6</v>
      </c>
      <c r="C3228" s="243">
        <v>30</v>
      </c>
      <c r="D3228" s="248">
        <f t="shared" si="355"/>
        <v>45107</v>
      </c>
      <c r="E3228" s="249">
        <f t="shared" si="360"/>
        <v>45107</v>
      </c>
      <c r="F3228" s="477"/>
      <c r="G3228" s="244" t="s">
        <v>86</v>
      </c>
      <c r="H3228" s="244" t="str" cm="1">
        <f t="array" ref="H3228">IFERROR(INDEX(INVESTOR_LIST[INVESTOR NAME],MATCH(I3228,INVESTOR_LIST[INVESTOR CODE],0),)," ")</f>
        <v xml:space="preserve"> </v>
      </c>
      <c r="I3228" s="245"/>
      <c r="J3228" s="246" t="s">
        <v>64</v>
      </c>
      <c r="K3228" s="247"/>
      <c r="L3228" s="247">
        <v>2747.2527472527472</v>
      </c>
    </row>
    <row r="3229" spans="1:12" ht="11.25" customHeight="1" x14ac:dyDescent="0.2">
      <c r="A3229" s="236">
        <v>2023</v>
      </c>
      <c r="B3229" s="236">
        <v>6</v>
      </c>
      <c r="C3229" s="236">
        <v>30</v>
      </c>
      <c r="D3229" s="237">
        <f t="shared" si="355"/>
        <v>45107</v>
      </c>
      <c r="E3229" s="238">
        <f t="shared" si="360"/>
        <v>45107</v>
      </c>
      <c r="F3229" s="476" t="s">
        <v>1121</v>
      </c>
      <c r="G3229" s="239" t="s">
        <v>86</v>
      </c>
      <c r="H3229" s="239" t="str" cm="1">
        <f t="array" ref="H3229">IFERROR(INDEX(INVESTOR_LIST[INVESTOR NAME],MATCH(I3229,INVESTOR_LIST[INVESTOR CODE],0),)," ")</f>
        <v xml:space="preserve"> </v>
      </c>
      <c r="I3229" s="240"/>
      <c r="J3229" s="241" t="s">
        <v>89</v>
      </c>
      <c r="K3229" s="242">
        <v>35429.718743782534</v>
      </c>
      <c r="L3229" s="242"/>
    </row>
    <row r="3230" spans="1:12" ht="11.25" customHeight="1" x14ac:dyDescent="0.2">
      <c r="A3230" s="243">
        <v>2023</v>
      </c>
      <c r="B3230" s="243">
        <v>6</v>
      </c>
      <c r="C3230" s="243">
        <v>30</v>
      </c>
      <c r="D3230" s="248">
        <f t="shared" si="355"/>
        <v>45107</v>
      </c>
      <c r="E3230" s="249">
        <f t="shared" si="360"/>
        <v>45107</v>
      </c>
      <c r="F3230" s="477"/>
      <c r="G3230" s="244" t="s">
        <v>86</v>
      </c>
      <c r="H3230" s="244" t="str" cm="1">
        <f t="array" ref="H3230">IFERROR(INDEX(INVESTOR_LIST[INVESTOR NAME],MATCH(I3230,INVESTOR_LIST[INVESTOR CODE],0),)," ")</f>
        <v xml:space="preserve"> </v>
      </c>
      <c r="I3230" s="245"/>
      <c r="J3230" s="246" t="s">
        <v>50</v>
      </c>
      <c r="K3230" s="247"/>
      <c r="L3230" s="247">
        <v>35429.718743782534</v>
      </c>
    </row>
    <row r="3231" spans="1:12" ht="11.25" customHeight="1" x14ac:dyDescent="0.2">
      <c r="A3231" s="236">
        <v>2023</v>
      </c>
      <c r="B3231" s="236">
        <v>6</v>
      </c>
      <c r="C3231" s="236">
        <v>30</v>
      </c>
      <c r="D3231" s="237">
        <f t="shared" si="355"/>
        <v>45107</v>
      </c>
      <c r="E3231" s="238">
        <f t="shared" si="360"/>
        <v>45107</v>
      </c>
      <c r="F3231" s="476" t="s">
        <v>1122</v>
      </c>
      <c r="G3231" s="239" t="s">
        <v>86</v>
      </c>
      <c r="H3231" s="239" t="str" cm="1">
        <f t="array" ref="H3231">IFERROR(INDEX(INVESTOR_LIST[INVESTOR NAME],MATCH(I3231,INVESTOR_LIST[INVESTOR CODE],0),)," ")</f>
        <v xml:space="preserve"> </v>
      </c>
      <c r="I3231" s="240"/>
      <c r="J3231" s="241" t="s">
        <v>91</v>
      </c>
      <c r="K3231" s="242">
        <v>3542.9718743782532</v>
      </c>
      <c r="L3231" s="242"/>
    </row>
    <row r="3232" spans="1:12" ht="11.25" customHeight="1" x14ac:dyDescent="0.2">
      <c r="A3232" s="243">
        <v>2023</v>
      </c>
      <c r="B3232" s="243">
        <v>6</v>
      </c>
      <c r="C3232" s="243">
        <v>30</v>
      </c>
      <c r="D3232" s="248">
        <f t="shared" si="355"/>
        <v>45107</v>
      </c>
      <c r="E3232" s="249">
        <f t="shared" si="360"/>
        <v>45107</v>
      </c>
      <c r="F3232" s="477"/>
      <c r="G3232" s="244" t="s">
        <v>86</v>
      </c>
      <c r="H3232" s="244" t="str" cm="1">
        <f t="array" ref="H3232">IFERROR(INDEX(INVESTOR_LIST[INVESTOR NAME],MATCH(I3232,INVESTOR_LIST[INVESTOR CODE],0),)," ")</f>
        <v xml:space="preserve"> </v>
      </c>
      <c r="I3232" s="245"/>
      <c r="J3232" s="246" t="s">
        <v>51</v>
      </c>
      <c r="K3232" s="247"/>
      <c r="L3232" s="247">
        <v>3542.9718743782532</v>
      </c>
    </row>
    <row r="3233" spans="1:12" ht="11.25" customHeight="1" x14ac:dyDescent="0.2">
      <c r="A3233" s="221">
        <v>2023</v>
      </c>
      <c r="B3233" s="221">
        <v>7</v>
      </c>
      <c r="C3233" s="221">
        <v>1</v>
      </c>
      <c r="D3233" s="231">
        <f t="shared" si="355"/>
        <v>45108</v>
      </c>
      <c r="E3233" s="233">
        <f t="shared" si="360"/>
        <v>45108</v>
      </c>
      <c r="F3233" s="478" t="s">
        <v>1114</v>
      </c>
      <c r="G3233" s="222" t="s">
        <v>1111</v>
      </c>
      <c r="H3233" s="223" t="str" cm="1">
        <f t="array" ref="H3233">IFERROR(INDEX(INVESTOR_LIST[INVESTOR NAME],MATCH(I3233,INVESTOR_LIST[INVESTOR CODE],0),)," ")</f>
        <v xml:space="preserve"> </v>
      </c>
      <c r="I3233" s="223"/>
      <c r="J3233" s="224" t="s">
        <v>63</v>
      </c>
      <c r="K3233" s="225">
        <v>345</v>
      </c>
      <c r="L3233" s="225"/>
    </row>
    <row r="3234" spans="1:12" ht="11.25" customHeight="1" x14ac:dyDescent="0.2">
      <c r="A3234" s="226">
        <v>2023</v>
      </c>
      <c r="B3234" s="226">
        <v>7</v>
      </c>
      <c r="C3234" s="226">
        <v>1</v>
      </c>
      <c r="D3234" s="232">
        <f t="shared" si="355"/>
        <v>45108</v>
      </c>
      <c r="E3234" s="234">
        <f t="shared" si="360"/>
        <v>45108</v>
      </c>
      <c r="F3234" s="479"/>
      <c r="G3234" s="227" t="s">
        <v>1111</v>
      </c>
      <c r="H3234" s="228" t="str" cm="1">
        <f t="array" ref="H3234">IFERROR(INDEX(INVESTOR_LIST[INVESTOR NAME],MATCH(I3234,INVESTOR_LIST[INVESTOR CODE],0),)," ")</f>
        <v xml:space="preserve"> </v>
      </c>
      <c r="I3234" s="228"/>
      <c r="J3234" s="229" t="s">
        <v>55</v>
      </c>
      <c r="K3234" s="230"/>
      <c r="L3234" s="230">
        <v>345</v>
      </c>
    </row>
    <row r="3235" spans="1:12" ht="11.25" customHeight="1" x14ac:dyDescent="0.2">
      <c r="A3235" s="221">
        <v>2023</v>
      </c>
      <c r="B3235" s="221">
        <v>7</v>
      </c>
      <c r="C3235" s="221">
        <v>1</v>
      </c>
      <c r="D3235" s="231">
        <f t="shared" si="355"/>
        <v>45108</v>
      </c>
      <c r="E3235" s="233">
        <f t="shared" ref="E3235:E3240" si="361">DATE(A3235,B3235,C3235)</f>
        <v>45108</v>
      </c>
      <c r="F3235" s="478" t="s">
        <v>1114</v>
      </c>
      <c r="G3235" s="222" t="s">
        <v>1111</v>
      </c>
      <c r="H3235" s="223" t="str" cm="1">
        <f t="array" ref="H3235">IFERROR(INDEX(INVESTOR_LIST[INVESTOR NAME],MATCH(I3235,INVESTOR_LIST[INVESTOR CODE],0),)," ")</f>
        <v xml:space="preserve"> </v>
      </c>
      <c r="I3235" s="223"/>
      <c r="J3235" s="224" t="s">
        <v>63</v>
      </c>
      <c r="K3235" s="225">
        <v>345</v>
      </c>
      <c r="L3235" s="225"/>
    </row>
    <row r="3236" spans="1:12" ht="11.25" customHeight="1" x14ac:dyDescent="0.2">
      <c r="A3236" s="226">
        <v>2023</v>
      </c>
      <c r="B3236" s="226">
        <v>7</v>
      </c>
      <c r="C3236" s="226">
        <v>1</v>
      </c>
      <c r="D3236" s="232">
        <f t="shared" si="355"/>
        <v>45108</v>
      </c>
      <c r="E3236" s="234">
        <f t="shared" si="361"/>
        <v>45108</v>
      </c>
      <c r="F3236" s="479"/>
      <c r="G3236" s="227" t="s">
        <v>1111</v>
      </c>
      <c r="H3236" s="228" t="str" cm="1">
        <f t="array" ref="H3236">IFERROR(INDEX(INVESTOR_LIST[INVESTOR NAME],MATCH(I3236,INVESTOR_LIST[INVESTOR CODE],0),)," ")</f>
        <v xml:space="preserve"> </v>
      </c>
      <c r="I3236" s="228"/>
      <c r="J3236" s="229" t="s">
        <v>55</v>
      </c>
      <c r="K3236" s="230"/>
      <c r="L3236" s="230">
        <v>345</v>
      </c>
    </row>
    <row r="3237" spans="1:12" ht="11.25" customHeight="1" x14ac:dyDescent="0.2">
      <c r="A3237" s="221">
        <v>2023</v>
      </c>
      <c r="B3237" s="221">
        <v>7</v>
      </c>
      <c r="C3237" s="221">
        <v>3</v>
      </c>
      <c r="D3237" s="221">
        <f t="shared" si="355"/>
        <v>45110</v>
      </c>
      <c r="E3237" s="233">
        <f t="shared" si="361"/>
        <v>45110</v>
      </c>
      <c r="F3237" s="478" t="s">
        <v>1301</v>
      </c>
      <c r="G3237" s="222" t="s">
        <v>86</v>
      </c>
      <c r="H3237" s="222" t="str" cm="1">
        <f t="array" ref="H3237">IFERROR(INDEX(INVESTOR_LIST[INVESTOR NAME],MATCH(I3237,INVESTOR_LIST[INVESTOR CODE],0),)," ")</f>
        <v xml:space="preserve"> </v>
      </c>
      <c r="I3237" s="223"/>
      <c r="J3237" s="165" t="s">
        <v>199</v>
      </c>
      <c r="K3237" s="225">
        <v>499598.1</v>
      </c>
      <c r="L3237" s="225"/>
    </row>
    <row r="3238" spans="1:12" ht="11.25" customHeight="1" x14ac:dyDescent="0.2">
      <c r="A3238" s="164">
        <v>2023</v>
      </c>
      <c r="B3238" s="164">
        <v>7</v>
      </c>
      <c r="C3238" s="164">
        <v>3</v>
      </c>
      <c r="D3238" s="164">
        <f t="shared" si="355"/>
        <v>45110</v>
      </c>
      <c r="E3238" s="235">
        <f t="shared" si="361"/>
        <v>45110</v>
      </c>
      <c r="F3238" s="480"/>
      <c r="G3238" s="208" t="s">
        <v>86</v>
      </c>
      <c r="H3238" s="208"/>
      <c r="J3238" s="165" t="s">
        <v>960</v>
      </c>
      <c r="K3238" s="205">
        <v>900.9</v>
      </c>
      <c r="L3238" s="205"/>
    </row>
    <row r="3239" spans="1:12" ht="11.25" customHeight="1" x14ac:dyDescent="0.2">
      <c r="A3239" s="164">
        <v>2023</v>
      </c>
      <c r="B3239" s="164">
        <v>7</v>
      </c>
      <c r="C3239" s="164">
        <v>3</v>
      </c>
      <c r="D3239" s="164">
        <f t="shared" si="355"/>
        <v>45110</v>
      </c>
      <c r="E3239" s="235">
        <f t="shared" si="361"/>
        <v>45110</v>
      </c>
      <c r="F3239" s="480"/>
      <c r="G3239" s="208" t="s">
        <v>86</v>
      </c>
      <c r="H3239" s="208"/>
      <c r="J3239" s="165" t="s">
        <v>200</v>
      </c>
      <c r="K3239" s="205">
        <v>40900.99</v>
      </c>
      <c r="L3239" s="205"/>
    </row>
    <row r="3240" spans="1:12" ht="11.25" customHeight="1" x14ac:dyDescent="0.2">
      <c r="A3240" s="226">
        <v>2023</v>
      </c>
      <c r="B3240" s="226">
        <v>7</v>
      </c>
      <c r="C3240" s="226">
        <v>3</v>
      </c>
      <c r="D3240" s="226">
        <f t="shared" si="355"/>
        <v>45110</v>
      </c>
      <c r="E3240" s="234">
        <f t="shared" si="361"/>
        <v>45110</v>
      </c>
      <c r="F3240" s="479"/>
      <c r="G3240" s="227" t="s">
        <v>86</v>
      </c>
      <c r="H3240" s="228" t="str" cm="1">
        <f t="array" ref="H3240">IFERROR(INDEX(INVESTOR_LIST[INVESTOR NAME],MATCH(I3240,INVESTOR_LIST[INVESTOR CODE],0),)," ")</f>
        <v xml:space="preserve"> </v>
      </c>
      <c r="I3240" s="228"/>
      <c r="J3240" s="229" t="s">
        <v>80</v>
      </c>
      <c r="K3240" s="230"/>
      <c r="L3240" s="230">
        <v>541399.99</v>
      </c>
    </row>
    <row r="3241" spans="1:12" ht="11.25" customHeight="1" x14ac:dyDescent="0.2">
      <c r="A3241" s="221">
        <v>2023</v>
      </c>
      <c r="B3241" s="221">
        <v>7</v>
      </c>
      <c r="C3241" s="221">
        <v>4</v>
      </c>
      <c r="D3241" s="221">
        <f t="shared" si="355"/>
        <v>45111</v>
      </c>
      <c r="E3241" s="233">
        <f t="shared" ref="E3241:E3244" si="362">DATE(A3241,B3241,C3241)</f>
        <v>45111</v>
      </c>
      <c r="F3241" s="478" t="s">
        <v>1301</v>
      </c>
      <c r="G3241" s="222" t="s">
        <v>86</v>
      </c>
      <c r="H3241" s="222" t="str" cm="1">
        <f t="array" ref="H3241">IFERROR(INDEX(INVESTOR_LIST[INVESTOR NAME],MATCH(I3241,INVESTOR_LIST[INVESTOR CODE],0),)," ")</f>
        <v xml:space="preserve"> </v>
      </c>
      <c r="I3241" s="223"/>
      <c r="J3241" s="165" t="s">
        <v>199</v>
      </c>
      <c r="K3241" s="225">
        <v>499598.1</v>
      </c>
      <c r="L3241" s="225"/>
    </row>
    <row r="3242" spans="1:12" ht="11.25" customHeight="1" x14ac:dyDescent="0.2">
      <c r="A3242" s="164">
        <v>2023</v>
      </c>
      <c r="B3242" s="164">
        <v>7</v>
      </c>
      <c r="C3242" s="164">
        <v>4</v>
      </c>
      <c r="D3242" s="164">
        <f t="shared" si="355"/>
        <v>45111</v>
      </c>
      <c r="E3242" s="235">
        <f t="shared" si="362"/>
        <v>45111</v>
      </c>
      <c r="F3242" s="480"/>
      <c r="G3242" s="208" t="s">
        <v>86</v>
      </c>
      <c r="H3242" s="208"/>
      <c r="J3242" s="165" t="s">
        <v>960</v>
      </c>
      <c r="K3242" s="205">
        <v>900.9</v>
      </c>
      <c r="L3242" s="205"/>
    </row>
    <row r="3243" spans="1:12" ht="11.25" customHeight="1" x14ac:dyDescent="0.2">
      <c r="A3243" s="164">
        <v>2023</v>
      </c>
      <c r="B3243" s="164">
        <v>7</v>
      </c>
      <c r="C3243" s="164">
        <v>4</v>
      </c>
      <c r="D3243" s="164">
        <f t="shared" si="355"/>
        <v>45111</v>
      </c>
      <c r="E3243" s="235">
        <f t="shared" si="362"/>
        <v>45111</v>
      </c>
      <c r="F3243" s="480"/>
      <c r="G3243" s="208" t="s">
        <v>86</v>
      </c>
      <c r="H3243" s="208"/>
      <c r="J3243" s="165" t="s">
        <v>200</v>
      </c>
      <c r="K3243" s="205">
        <v>40900.99</v>
      </c>
      <c r="L3243" s="205"/>
    </row>
    <row r="3244" spans="1:12" ht="11.25" customHeight="1" x14ac:dyDescent="0.2">
      <c r="A3244" s="226">
        <v>2023</v>
      </c>
      <c r="B3244" s="226">
        <v>7</v>
      </c>
      <c r="C3244" s="226">
        <v>4</v>
      </c>
      <c r="D3244" s="226">
        <f t="shared" si="355"/>
        <v>45111</v>
      </c>
      <c r="E3244" s="234">
        <f t="shared" si="362"/>
        <v>45111</v>
      </c>
      <c r="F3244" s="479"/>
      <c r="G3244" s="227" t="s">
        <v>86</v>
      </c>
      <c r="H3244" s="228" t="str" cm="1">
        <f t="array" ref="H3244">IFERROR(INDEX(INVESTOR_LIST[INVESTOR NAME],MATCH(I3244,INVESTOR_LIST[INVESTOR CODE],0),)," ")</f>
        <v xml:space="preserve"> </v>
      </c>
      <c r="I3244" s="228"/>
      <c r="J3244" s="229" t="s">
        <v>80</v>
      </c>
      <c r="K3244" s="230"/>
      <c r="L3244" s="230">
        <v>541399.99</v>
      </c>
    </row>
    <row r="3245" spans="1:12" ht="11.25" customHeight="1" x14ac:dyDescent="0.2">
      <c r="A3245" s="231">
        <v>2023</v>
      </c>
      <c r="B3245" s="231">
        <v>7</v>
      </c>
      <c r="C3245" s="231">
        <v>4</v>
      </c>
      <c r="D3245" s="221">
        <f t="shared" si="355"/>
        <v>45111</v>
      </c>
      <c r="E3245" s="271">
        <f t="shared" si="360"/>
        <v>45111</v>
      </c>
      <c r="F3245" s="478" t="s">
        <v>1231</v>
      </c>
      <c r="G3245" s="222" t="s">
        <v>1111</v>
      </c>
      <c r="H3245" s="222" t="str" cm="1">
        <f t="array" ref="H3245">IFERROR(INDEX([1]!INVESTOR_LIST[INVESTOR NAME],MATCH(I3245,[1]!INVESTOR_LIST[INVESTOR CODE],0),)," ")</f>
        <v xml:space="preserve"> </v>
      </c>
      <c r="I3245" s="223" t="s">
        <v>1119</v>
      </c>
      <c r="J3245" s="224" t="s">
        <v>92</v>
      </c>
      <c r="K3245" s="225">
        <v>184195.62</v>
      </c>
      <c r="L3245" s="225"/>
    </row>
    <row r="3246" spans="1:12" ht="11.25" customHeight="1" x14ac:dyDescent="0.2">
      <c r="A3246" s="156">
        <v>2023</v>
      </c>
      <c r="B3246" s="156">
        <v>7</v>
      </c>
      <c r="C3246" s="156">
        <v>4</v>
      </c>
      <c r="D3246" s="164">
        <f t="shared" si="355"/>
        <v>45111</v>
      </c>
      <c r="E3246" s="276">
        <f t="shared" si="360"/>
        <v>45111</v>
      </c>
      <c r="F3246" s="480"/>
      <c r="G3246" s="208" t="s">
        <v>1111</v>
      </c>
      <c r="H3246" s="208"/>
      <c r="J3246" s="165" t="s">
        <v>63</v>
      </c>
      <c r="K3246" s="205">
        <v>115</v>
      </c>
      <c r="L3246" s="205"/>
    </row>
    <row r="3247" spans="1:12" ht="11.25" customHeight="1" x14ac:dyDescent="0.2">
      <c r="A3247" s="232">
        <v>2023</v>
      </c>
      <c r="B3247" s="232">
        <v>7</v>
      </c>
      <c r="C3247" s="232">
        <v>4</v>
      </c>
      <c r="D3247" s="164">
        <f t="shared" si="355"/>
        <v>45111</v>
      </c>
      <c r="E3247" s="276">
        <f t="shared" si="360"/>
        <v>45111</v>
      </c>
      <c r="F3247" s="479"/>
      <c r="G3247" s="227" t="s">
        <v>1111</v>
      </c>
      <c r="H3247" s="227" t="str" cm="1">
        <f t="array" ref="H3247">IFERROR(INDEX([1]!INVESTOR_LIST[INVESTOR NAME],MATCH(I3247,[1]!INVESTOR_LIST[INVESTOR CODE],0),)," ")</f>
        <v xml:space="preserve"> </v>
      </c>
      <c r="I3247" s="228" t="s">
        <v>1119</v>
      </c>
      <c r="J3247" s="229" t="s">
        <v>55</v>
      </c>
      <c r="K3247" s="230"/>
      <c r="L3247" s="230">
        <v>184310.62</v>
      </c>
    </row>
    <row r="3248" spans="1:12" ht="11.25" customHeight="1" x14ac:dyDescent="0.2">
      <c r="A3248" s="221">
        <v>2023</v>
      </c>
      <c r="B3248" s="221">
        <v>7</v>
      </c>
      <c r="C3248" s="221">
        <v>4</v>
      </c>
      <c r="D3248" s="231">
        <f t="shared" si="355"/>
        <v>45111</v>
      </c>
      <c r="E3248" s="233">
        <f t="shared" si="360"/>
        <v>45111</v>
      </c>
      <c r="F3248" s="478" t="s">
        <v>1115</v>
      </c>
      <c r="G3248" s="222" t="s">
        <v>1111</v>
      </c>
      <c r="H3248" s="223" t="str" cm="1">
        <f t="array" ref="H3248">IFERROR(INDEX(INVESTOR_LIST[INVESTOR NAME],MATCH(I3248,INVESTOR_LIST[INVESTOR CODE],0),)," ")</f>
        <v>SRIJON GHOSH</v>
      </c>
      <c r="I3248" s="223" t="s">
        <v>1237</v>
      </c>
      <c r="J3248" s="224" t="s">
        <v>14</v>
      </c>
      <c r="K3248" s="225">
        <v>12220</v>
      </c>
      <c r="L3248" s="225"/>
    </row>
    <row r="3249" spans="1:13" ht="11.25" customHeight="1" x14ac:dyDescent="0.2">
      <c r="A3249" s="164">
        <v>2023</v>
      </c>
      <c r="B3249" s="164">
        <v>7</v>
      </c>
      <c r="C3249" s="164">
        <v>4</v>
      </c>
      <c r="D3249" s="156">
        <f t="shared" si="355"/>
        <v>45111</v>
      </c>
      <c r="E3249" s="235">
        <f t="shared" si="360"/>
        <v>45111</v>
      </c>
      <c r="F3249" s="480"/>
      <c r="G3249" s="208" t="s">
        <v>1111</v>
      </c>
      <c r="H3249" s="206" t="str" cm="1">
        <f t="array" ref="H3249">IFERROR(INDEX(INVESTOR_LIST[INVESTOR NAME],MATCH(I3249,INVESTOR_LIST[INVESTOR CODE],0),)," ")</f>
        <v>SRIJON GHOSH</v>
      </c>
      <c r="I3249" s="206" t="s">
        <v>1237</v>
      </c>
      <c r="J3249" s="165" t="s">
        <v>1112</v>
      </c>
      <c r="K3249" s="205">
        <v>312.82999999999993</v>
      </c>
    </row>
    <row r="3250" spans="1:13" ht="11.25" customHeight="1" x14ac:dyDescent="0.2">
      <c r="A3250" s="226">
        <v>2023</v>
      </c>
      <c r="B3250" s="226">
        <v>7</v>
      </c>
      <c r="C3250" s="226">
        <v>4</v>
      </c>
      <c r="D3250" s="232">
        <f t="shared" si="355"/>
        <v>45111</v>
      </c>
      <c r="E3250" s="234">
        <f t="shared" si="360"/>
        <v>45111</v>
      </c>
      <c r="F3250" s="479"/>
      <c r="G3250" s="227" t="s">
        <v>1111</v>
      </c>
      <c r="H3250" s="228" t="str" cm="1">
        <f t="array" ref="H3250">IFERROR(INDEX(INVESTOR_LIST[INVESTOR NAME],MATCH(I3250,INVESTOR_LIST[INVESTOR CODE],0),)," ")</f>
        <v>SRIJON GHOSH</v>
      </c>
      <c r="I3250" s="228" t="s">
        <v>1237</v>
      </c>
      <c r="J3250" s="229" t="s">
        <v>55</v>
      </c>
      <c r="K3250" s="230"/>
      <c r="L3250" s="230">
        <v>12532.83</v>
      </c>
    </row>
    <row r="3251" spans="1:13" ht="11.25" customHeight="1" x14ac:dyDescent="0.2">
      <c r="A3251" s="221">
        <v>2023</v>
      </c>
      <c r="B3251" s="221">
        <v>7</v>
      </c>
      <c r="C3251" s="221">
        <v>5</v>
      </c>
      <c r="D3251" s="231">
        <f t="shared" si="355"/>
        <v>45112</v>
      </c>
      <c r="E3251" s="233">
        <f t="shared" si="360"/>
        <v>45112</v>
      </c>
      <c r="F3251" s="478" t="s">
        <v>1303</v>
      </c>
      <c r="G3251" s="222" t="s">
        <v>1111</v>
      </c>
      <c r="H3251" s="223" t="str" cm="1">
        <f t="array" ref="H3251">IFERROR(INDEX(INVESTOR_LIST[INVESTOR NAME],MATCH(I3251,INVESTOR_LIST[INVESTOR CODE],0),)," ")</f>
        <v xml:space="preserve"> </v>
      </c>
      <c r="I3251" s="223"/>
      <c r="J3251" s="224" t="s">
        <v>55</v>
      </c>
      <c r="K3251" s="225">
        <v>499598.1</v>
      </c>
      <c r="L3251" s="225"/>
    </row>
    <row r="3252" spans="1:13" ht="11.25" customHeight="1" x14ac:dyDescent="0.2">
      <c r="A3252" s="226">
        <v>2023</v>
      </c>
      <c r="B3252" s="226">
        <v>7</v>
      </c>
      <c r="C3252" s="226">
        <v>5</v>
      </c>
      <c r="D3252" s="232">
        <f t="shared" si="355"/>
        <v>45112</v>
      </c>
      <c r="E3252" s="234">
        <f t="shared" si="360"/>
        <v>45112</v>
      </c>
      <c r="F3252" s="479"/>
      <c r="G3252" s="227" t="s">
        <v>1111</v>
      </c>
      <c r="H3252" s="228" t="str" cm="1">
        <f t="array" ref="H3252">IFERROR(INDEX(INVESTOR_LIST[INVESTOR NAME],MATCH(I3252,INVESTOR_LIST[INVESTOR CODE],0),)," ")</f>
        <v xml:space="preserve"> </v>
      </c>
      <c r="I3252" s="228"/>
      <c r="J3252" s="229" t="s">
        <v>199</v>
      </c>
      <c r="K3252" s="230"/>
      <c r="L3252" s="230">
        <v>499598.1</v>
      </c>
      <c r="M3252" s="166"/>
    </row>
    <row r="3253" spans="1:13" ht="11.25" customHeight="1" x14ac:dyDescent="0.2">
      <c r="A3253" s="221">
        <v>2023</v>
      </c>
      <c r="B3253" s="221">
        <v>7</v>
      </c>
      <c r="C3253" s="221">
        <v>5</v>
      </c>
      <c r="D3253" s="231">
        <f t="shared" si="355"/>
        <v>45112</v>
      </c>
      <c r="E3253" s="233">
        <f t="shared" si="360"/>
        <v>45112</v>
      </c>
      <c r="F3253" s="478" t="s">
        <v>1595</v>
      </c>
      <c r="G3253" s="222" t="s">
        <v>1111</v>
      </c>
      <c r="H3253" s="223" t="str" cm="1">
        <f t="array" ref="H3253">IFERROR(INDEX(INVESTOR_LIST[INVESTOR NAME],MATCH(I3253,INVESTOR_LIST[INVESTOR CODE],0),)," ")</f>
        <v xml:space="preserve"> </v>
      </c>
      <c r="I3253" s="223"/>
      <c r="J3253" s="224" t="s">
        <v>55</v>
      </c>
      <c r="K3253" s="225">
        <v>25000</v>
      </c>
      <c r="L3253" s="225"/>
    </row>
    <row r="3254" spans="1:13" ht="11.25" customHeight="1" x14ac:dyDescent="0.2">
      <c r="A3254" s="164">
        <v>2023</v>
      </c>
      <c r="B3254" s="164">
        <v>7</v>
      </c>
      <c r="C3254" s="164">
        <v>5</v>
      </c>
      <c r="D3254" s="156">
        <f t="shared" si="355"/>
        <v>45112</v>
      </c>
      <c r="E3254" s="235">
        <f t="shared" ref="E3254:E3255" si="363">DATE(A3254,B3254,C3254)</f>
        <v>45112</v>
      </c>
      <c r="F3254" s="480"/>
      <c r="G3254" s="208" t="s">
        <v>1111</v>
      </c>
      <c r="J3254" s="165" t="s">
        <v>192</v>
      </c>
      <c r="K3254" s="205"/>
      <c r="L3254" s="205">
        <v>25000</v>
      </c>
    </row>
    <row r="3255" spans="1:13" ht="11.25" customHeight="1" x14ac:dyDescent="0.2">
      <c r="A3255" s="164">
        <v>2023</v>
      </c>
      <c r="B3255" s="164">
        <v>7</v>
      </c>
      <c r="C3255" s="164">
        <v>5</v>
      </c>
      <c r="D3255" s="156">
        <f t="shared" si="355"/>
        <v>45112</v>
      </c>
      <c r="E3255" s="235">
        <f t="shared" si="363"/>
        <v>45112</v>
      </c>
      <c r="F3255" s="480"/>
      <c r="G3255" s="208" t="s">
        <v>86</v>
      </c>
      <c r="J3255" s="165" t="s">
        <v>192</v>
      </c>
      <c r="K3255" s="205">
        <v>4000</v>
      </c>
      <c r="L3255" s="205"/>
    </row>
    <row r="3256" spans="1:13" ht="11.25" customHeight="1" x14ac:dyDescent="0.2">
      <c r="A3256" s="226">
        <v>2023</v>
      </c>
      <c r="B3256" s="226">
        <v>7</v>
      </c>
      <c r="C3256" s="226">
        <v>5</v>
      </c>
      <c r="D3256" s="232">
        <f t="shared" si="355"/>
        <v>45112</v>
      </c>
      <c r="E3256" s="234">
        <f t="shared" si="360"/>
        <v>45112</v>
      </c>
      <c r="F3256" s="479"/>
      <c r="G3256" s="227" t="s">
        <v>86</v>
      </c>
      <c r="H3256" s="228" t="str" cm="1">
        <f t="array" ref="H3256">IFERROR(INDEX(INVESTOR_LIST[INVESTOR NAME],MATCH(I3256,INVESTOR_LIST[INVESTOR CODE],0),)," ")</f>
        <v xml:space="preserve"> </v>
      </c>
      <c r="I3256" s="228"/>
      <c r="J3256" s="229" t="s">
        <v>191</v>
      </c>
      <c r="K3256" s="230"/>
      <c r="L3256" s="230">
        <v>4000</v>
      </c>
    </row>
    <row r="3257" spans="1:13" ht="11.25" customHeight="1" x14ac:dyDescent="0.2">
      <c r="A3257" s="221">
        <v>2023</v>
      </c>
      <c r="B3257" s="221">
        <v>7</v>
      </c>
      <c r="C3257" s="221">
        <v>6</v>
      </c>
      <c r="D3257" s="231">
        <f t="shared" si="355"/>
        <v>45113</v>
      </c>
      <c r="E3257" s="233">
        <f t="shared" si="360"/>
        <v>45113</v>
      </c>
      <c r="F3257" s="478" t="s">
        <v>1132</v>
      </c>
      <c r="G3257" s="222" t="s">
        <v>1111</v>
      </c>
      <c r="H3257" s="223" t="str" cm="1">
        <f t="array" ref="H3257">IFERROR(INDEX(INVESTOR_LIST[INVESTOR NAME],MATCH(I3257,INVESTOR_LIST[INVESTOR CODE],0),)," ")</f>
        <v xml:space="preserve"> </v>
      </c>
      <c r="I3257" s="223"/>
      <c r="J3257" s="224" t="s">
        <v>55</v>
      </c>
      <c r="K3257" s="167">
        <v>5000</v>
      </c>
      <c r="L3257" s="225"/>
    </row>
    <row r="3258" spans="1:13" ht="11.25" customHeight="1" x14ac:dyDescent="0.2">
      <c r="A3258" s="164">
        <v>2023</v>
      </c>
      <c r="B3258" s="164">
        <v>7</v>
      </c>
      <c r="C3258" s="164">
        <v>6</v>
      </c>
      <c r="D3258" s="156">
        <f t="shared" si="355"/>
        <v>45113</v>
      </c>
      <c r="E3258" s="235">
        <f t="shared" si="360"/>
        <v>45113</v>
      </c>
      <c r="F3258" s="480"/>
      <c r="G3258" s="208" t="s">
        <v>1111</v>
      </c>
      <c r="H3258" s="206" t="str" cm="1">
        <f t="array" ref="H3258">IFERROR(INDEX(INVESTOR_LIST[INVESTOR NAME],MATCH(I3258,INVESTOR_LIST[INVESTOR CODE],0),)," ")</f>
        <v xml:space="preserve"> </v>
      </c>
      <c r="J3258" s="165" t="s">
        <v>14</v>
      </c>
      <c r="L3258" s="205">
        <v>4880</v>
      </c>
    </row>
    <row r="3259" spans="1:13" ht="11.25" customHeight="1" x14ac:dyDescent="0.2">
      <c r="A3259" s="226">
        <v>2023</v>
      </c>
      <c r="B3259" s="226">
        <v>7</v>
      </c>
      <c r="C3259" s="226">
        <v>6</v>
      </c>
      <c r="D3259" s="232">
        <f t="shared" si="355"/>
        <v>45113</v>
      </c>
      <c r="E3259" s="234">
        <f t="shared" si="360"/>
        <v>45113</v>
      </c>
      <c r="F3259" s="479"/>
      <c r="G3259" s="227" t="s">
        <v>1111</v>
      </c>
      <c r="H3259" s="228" t="str" cm="1">
        <f t="array" ref="H3259">IFERROR(INDEX(INVESTOR_LIST[INVESTOR NAME],MATCH(I3259,INVESTOR_LIST[INVESTOR CODE],0),)," ")</f>
        <v xml:space="preserve"> </v>
      </c>
      <c r="I3259" s="228"/>
      <c r="J3259" s="229" t="s">
        <v>1112</v>
      </c>
      <c r="K3259" s="230"/>
      <c r="L3259" s="230">
        <v>120</v>
      </c>
    </row>
    <row r="3260" spans="1:13" ht="11.25" customHeight="1" x14ac:dyDescent="0.2">
      <c r="A3260" s="221">
        <v>2023</v>
      </c>
      <c r="B3260" s="221">
        <v>7</v>
      </c>
      <c r="C3260" s="221">
        <v>6</v>
      </c>
      <c r="D3260" s="231">
        <f t="shared" si="355"/>
        <v>45113</v>
      </c>
      <c r="E3260" s="233">
        <f t="shared" ref="E3260:E3277" si="364">DATE(A3260,B3260,C3260)</f>
        <v>45113</v>
      </c>
      <c r="F3260" s="478" t="s">
        <v>1303</v>
      </c>
      <c r="G3260" s="222" t="s">
        <v>1111</v>
      </c>
      <c r="H3260" s="223" t="str" cm="1">
        <f t="array" ref="H3260">IFERROR(INDEX(INVESTOR_LIST[INVESTOR NAME],MATCH(I3260,INVESTOR_LIST[INVESTOR CODE],0),)," ")</f>
        <v xml:space="preserve"> </v>
      </c>
      <c r="I3260" s="223"/>
      <c r="J3260" s="224" t="s">
        <v>55</v>
      </c>
      <c r="K3260" s="225">
        <v>499598.1</v>
      </c>
      <c r="L3260" s="225"/>
    </row>
    <row r="3261" spans="1:13" ht="11.25" customHeight="1" x14ac:dyDescent="0.2">
      <c r="A3261" s="226">
        <v>2023</v>
      </c>
      <c r="B3261" s="226">
        <v>7</v>
      </c>
      <c r="C3261" s="226">
        <v>6</v>
      </c>
      <c r="D3261" s="232">
        <f t="shared" si="355"/>
        <v>45113</v>
      </c>
      <c r="E3261" s="234">
        <f t="shared" si="364"/>
        <v>45113</v>
      </c>
      <c r="F3261" s="479"/>
      <c r="G3261" s="227" t="s">
        <v>1111</v>
      </c>
      <c r="H3261" s="228" t="str" cm="1">
        <f t="array" ref="H3261">IFERROR(INDEX(INVESTOR_LIST[INVESTOR NAME],MATCH(I3261,INVESTOR_LIST[INVESTOR CODE],0),)," ")</f>
        <v xml:space="preserve"> </v>
      </c>
      <c r="I3261" s="228"/>
      <c r="J3261" s="229" t="s">
        <v>199</v>
      </c>
      <c r="K3261" s="230"/>
      <c r="L3261" s="230">
        <v>499598.1</v>
      </c>
      <c r="M3261" s="166"/>
    </row>
    <row r="3262" spans="1:13" ht="11.25" customHeight="1" x14ac:dyDescent="0.2">
      <c r="A3262" s="280">
        <v>2023</v>
      </c>
      <c r="B3262" s="280">
        <v>7</v>
      </c>
      <c r="C3262" s="280">
        <v>6</v>
      </c>
      <c r="D3262" s="281">
        <f t="shared" si="355"/>
        <v>45113</v>
      </c>
      <c r="E3262" s="282">
        <f t="shared" si="364"/>
        <v>45113</v>
      </c>
      <c r="F3262" s="472" t="s">
        <v>1369</v>
      </c>
      <c r="G3262" s="283" t="s">
        <v>86</v>
      </c>
      <c r="H3262" s="284" t="str" cm="1">
        <f t="array" ref="H3262">IFERROR(INDEX(INVESTOR_LIST[INVESTOR NAME],MATCH(I3262,INVESTOR_LIST[INVESTOR CODE],0),)," ")</f>
        <v xml:space="preserve"> </v>
      </c>
      <c r="I3262" s="284"/>
      <c r="J3262" s="285" t="s">
        <v>131</v>
      </c>
      <c r="K3262" s="286">
        <v>88391.82</v>
      </c>
      <c r="L3262" s="286"/>
    </row>
    <row r="3263" spans="1:13" ht="11.25" customHeight="1" x14ac:dyDescent="0.2">
      <c r="A3263" s="287">
        <v>2023</v>
      </c>
      <c r="B3263" s="287">
        <v>7</v>
      </c>
      <c r="C3263" s="287">
        <v>6</v>
      </c>
      <c r="D3263" s="288">
        <f t="shared" si="355"/>
        <v>45113</v>
      </c>
      <c r="E3263" s="289">
        <f t="shared" si="364"/>
        <v>45113</v>
      </c>
      <c r="F3263" s="473"/>
      <c r="G3263" s="290" t="s">
        <v>86</v>
      </c>
      <c r="H3263" s="291" t="str" cm="1">
        <f t="array" ref="H3263">IFERROR(INDEX(INVESTOR_LIST[INVESTOR NAME],MATCH(I3263,INVESTOR_LIST[INVESTOR CODE],0),)," ")</f>
        <v xml:space="preserve"> </v>
      </c>
      <c r="I3263" s="291"/>
      <c r="J3263" s="292" t="s">
        <v>174</v>
      </c>
      <c r="K3263" s="293"/>
      <c r="L3263" s="293">
        <v>88391.82</v>
      </c>
    </row>
    <row r="3264" spans="1:13" ht="11.25" customHeight="1" x14ac:dyDescent="0.2">
      <c r="A3264" s="280">
        <v>2023</v>
      </c>
      <c r="B3264" s="280">
        <v>7</v>
      </c>
      <c r="C3264" s="280">
        <v>6</v>
      </c>
      <c r="D3264" s="281">
        <f t="shared" si="355"/>
        <v>45113</v>
      </c>
      <c r="E3264" s="282">
        <f t="shared" si="364"/>
        <v>45113</v>
      </c>
      <c r="F3264" s="472" t="s">
        <v>1295</v>
      </c>
      <c r="G3264" s="283" t="s">
        <v>86</v>
      </c>
      <c r="H3264" s="284" t="str" cm="1">
        <f t="array" ref="H3264">IFERROR(INDEX(INVESTOR_LIST[INVESTOR NAME],MATCH(I3264,INVESTOR_LIST[INVESTOR CODE],0),)," ")</f>
        <v xml:space="preserve"> </v>
      </c>
      <c r="I3264" s="284"/>
      <c r="J3264" s="285" t="s">
        <v>131</v>
      </c>
      <c r="K3264" s="286">
        <v>17028.849999999999</v>
      </c>
      <c r="L3264" s="286"/>
    </row>
    <row r="3265" spans="1:12" ht="11.25" customHeight="1" x14ac:dyDescent="0.2">
      <c r="A3265" s="287">
        <v>2023</v>
      </c>
      <c r="B3265" s="287">
        <v>7</v>
      </c>
      <c r="C3265" s="287">
        <v>6</v>
      </c>
      <c r="D3265" s="288">
        <f t="shared" si="355"/>
        <v>45113</v>
      </c>
      <c r="E3265" s="289">
        <f t="shared" si="364"/>
        <v>45113</v>
      </c>
      <c r="F3265" s="473"/>
      <c r="G3265" s="290" t="s">
        <v>86</v>
      </c>
      <c r="H3265" s="291" t="str" cm="1">
        <f t="array" ref="H3265">IFERROR(INDEX(INVESTOR_LIST[INVESTOR NAME],MATCH(I3265,INVESTOR_LIST[INVESTOR CODE],0),)," ")</f>
        <v xml:space="preserve"> </v>
      </c>
      <c r="I3265" s="291"/>
      <c r="J3265" s="292" t="s">
        <v>174</v>
      </c>
      <c r="K3265" s="293"/>
      <c r="L3265" s="293">
        <v>17028.849999999999</v>
      </c>
    </row>
    <row r="3266" spans="1:12" ht="11.25" customHeight="1" x14ac:dyDescent="0.2">
      <c r="A3266" s="280">
        <v>2023</v>
      </c>
      <c r="B3266" s="280">
        <v>7</v>
      </c>
      <c r="C3266" s="280">
        <v>6</v>
      </c>
      <c r="D3266" s="281">
        <f t="shared" si="355"/>
        <v>45113</v>
      </c>
      <c r="E3266" s="282">
        <f t="shared" si="364"/>
        <v>45113</v>
      </c>
      <c r="F3266" s="472" t="s">
        <v>1294</v>
      </c>
      <c r="G3266" s="283" t="s">
        <v>86</v>
      </c>
      <c r="H3266" s="284" t="str" cm="1">
        <f t="array" ref="H3266">IFERROR(INDEX(INVESTOR_LIST[INVESTOR NAME],MATCH(I3266,INVESTOR_LIST[INVESTOR CODE],0),)," ")</f>
        <v xml:space="preserve"> </v>
      </c>
      <c r="I3266" s="284"/>
      <c r="J3266" s="285" t="s">
        <v>131</v>
      </c>
      <c r="K3266" s="286">
        <v>10769.23</v>
      </c>
      <c r="L3266" s="286"/>
    </row>
    <row r="3267" spans="1:12" ht="11.25" customHeight="1" x14ac:dyDescent="0.2">
      <c r="A3267" s="287">
        <v>2023</v>
      </c>
      <c r="B3267" s="287">
        <v>7</v>
      </c>
      <c r="C3267" s="287">
        <v>6</v>
      </c>
      <c r="D3267" s="288">
        <f t="shared" si="355"/>
        <v>45113</v>
      </c>
      <c r="E3267" s="289">
        <f t="shared" si="364"/>
        <v>45113</v>
      </c>
      <c r="F3267" s="473"/>
      <c r="G3267" s="290" t="s">
        <v>86</v>
      </c>
      <c r="H3267" s="291" t="str" cm="1">
        <f t="array" ref="H3267">IFERROR(INDEX(INVESTOR_LIST[INVESTOR NAME],MATCH(I3267,INVESTOR_LIST[INVESTOR CODE],0),)," ")</f>
        <v xml:space="preserve"> </v>
      </c>
      <c r="I3267" s="291"/>
      <c r="J3267" s="292" t="s">
        <v>174</v>
      </c>
      <c r="K3267" s="293"/>
      <c r="L3267" s="293">
        <v>10769.23</v>
      </c>
    </row>
    <row r="3268" spans="1:12" ht="11.25" customHeight="1" x14ac:dyDescent="0.2">
      <c r="A3268" s="280">
        <v>2023</v>
      </c>
      <c r="B3268" s="280">
        <v>7</v>
      </c>
      <c r="C3268" s="280">
        <v>6</v>
      </c>
      <c r="D3268" s="281">
        <f t="shared" si="355"/>
        <v>45113</v>
      </c>
      <c r="E3268" s="282">
        <f t="shared" si="364"/>
        <v>45113</v>
      </c>
      <c r="F3268" s="472" t="s">
        <v>1584</v>
      </c>
      <c r="G3268" s="283" t="s">
        <v>86</v>
      </c>
      <c r="H3268" s="284" t="str" cm="1">
        <f t="array" ref="H3268">IFERROR(INDEX(INVESTOR_LIST[INVESTOR NAME],MATCH(I3268,INVESTOR_LIST[INVESTOR CODE],0),)," ")</f>
        <v xml:space="preserve"> </v>
      </c>
      <c r="I3268" s="284"/>
      <c r="J3268" s="285" t="s">
        <v>131</v>
      </c>
      <c r="K3268" s="286">
        <v>12692.31</v>
      </c>
      <c r="L3268" s="286"/>
    </row>
    <row r="3269" spans="1:12" ht="11.25" customHeight="1" x14ac:dyDescent="0.2">
      <c r="A3269" s="287">
        <v>2023</v>
      </c>
      <c r="B3269" s="287">
        <v>7</v>
      </c>
      <c r="C3269" s="287">
        <v>6</v>
      </c>
      <c r="D3269" s="288">
        <f t="shared" si="355"/>
        <v>45113</v>
      </c>
      <c r="E3269" s="289">
        <f t="shared" si="364"/>
        <v>45113</v>
      </c>
      <c r="F3269" s="473"/>
      <c r="G3269" s="290" t="s">
        <v>86</v>
      </c>
      <c r="H3269" s="291" t="str" cm="1">
        <f t="array" ref="H3269">IFERROR(INDEX(INVESTOR_LIST[INVESTOR NAME],MATCH(I3269,INVESTOR_LIST[INVESTOR CODE],0),)," ")</f>
        <v xml:space="preserve"> </v>
      </c>
      <c r="I3269" s="291"/>
      <c r="J3269" s="292" t="s">
        <v>174</v>
      </c>
      <c r="K3269" s="293"/>
      <c r="L3269" s="293">
        <v>12692.31</v>
      </c>
    </row>
    <row r="3270" spans="1:12" ht="11.25" customHeight="1" x14ac:dyDescent="0.2">
      <c r="A3270" s="236">
        <v>2023</v>
      </c>
      <c r="B3270" s="236">
        <v>7</v>
      </c>
      <c r="C3270" s="236">
        <v>6</v>
      </c>
      <c r="D3270" s="237">
        <f t="shared" si="355"/>
        <v>45113</v>
      </c>
      <c r="E3270" s="238">
        <f t="shared" si="364"/>
        <v>45113</v>
      </c>
      <c r="F3270" s="476" t="s">
        <v>1118</v>
      </c>
      <c r="G3270" s="239" t="s">
        <v>86</v>
      </c>
      <c r="H3270" s="239" t="str" cm="1">
        <f t="array" ref="H3270">IFERROR(INDEX(INVESTOR_LIST[INVESTOR NAME],MATCH(I3270,INVESTOR_LIST[INVESTOR CODE],0),)," ")</f>
        <v xml:space="preserve"> </v>
      </c>
      <c r="I3270" s="240"/>
      <c r="J3270" s="241" t="s">
        <v>98</v>
      </c>
      <c r="K3270" s="242">
        <v>59746.579999983311</v>
      </c>
      <c r="L3270" s="242"/>
    </row>
    <row r="3271" spans="1:12" ht="11.25" customHeight="1" x14ac:dyDescent="0.2">
      <c r="A3271" s="243">
        <v>2023</v>
      </c>
      <c r="B3271" s="243">
        <v>7</v>
      </c>
      <c r="C3271" s="243">
        <v>6</v>
      </c>
      <c r="D3271" s="248">
        <f t="shared" si="355"/>
        <v>45113</v>
      </c>
      <c r="E3271" s="249">
        <f t="shared" si="364"/>
        <v>45113</v>
      </c>
      <c r="F3271" s="477"/>
      <c r="G3271" s="244" t="s">
        <v>86</v>
      </c>
      <c r="H3271" s="244" t="str" cm="1">
        <f t="array" ref="H3271">IFERROR(INDEX(INVESTOR_LIST[INVESTOR NAME],MATCH(I3271,INVESTOR_LIST[INVESTOR CODE],0),)," ")</f>
        <v xml:space="preserve"> </v>
      </c>
      <c r="I3271" s="245"/>
      <c r="J3271" s="246" t="s">
        <v>82</v>
      </c>
      <c r="K3271" s="247"/>
      <c r="L3271" s="247">
        <v>59746.579999983311</v>
      </c>
    </row>
    <row r="3272" spans="1:12" ht="11.25" customHeight="1" x14ac:dyDescent="0.2">
      <c r="A3272" s="236">
        <v>2023</v>
      </c>
      <c r="B3272" s="236">
        <v>7</v>
      </c>
      <c r="C3272" s="236">
        <v>6</v>
      </c>
      <c r="D3272" s="237">
        <f t="shared" si="355"/>
        <v>45113</v>
      </c>
      <c r="E3272" s="238">
        <f t="shared" si="364"/>
        <v>45113</v>
      </c>
      <c r="F3272" s="476" t="s">
        <v>1120</v>
      </c>
      <c r="G3272" s="239" t="s">
        <v>86</v>
      </c>
      <c r="H3272" s="239" t="str" cm="1">
        <f t="array" ref="H3272">IFERROR(INDEX(INVESTOR_LIST[INVESTOR NAME],MATCH(I3272,INVESTOR_LIST[INVESTOR CODE],0),)," ")</f>
        <v xml:space="preserve"> </v>
      </c>
      <c r="I3272" s="240"/>
      <c r="J3272" s="241" t="s">
        <v>87</v>
      </c>
      <c r="K3272" s="242">
        <v>2747.2527472527472</v>
      </c>
      <c r="L3272" s="242"/>
    </row>
    <row r="3273" spans="1:12" ht="11.25" customHeight="1" x14ac:dyDescent="0.2">
      <c r="A3273" s="243">
        <v>2023</v>
      </c>
      <c r="B3273" s="243">
        <v>7</v>
      </c>
      <c r="C3273" s="243">
        <v>6</v>
      </c>
      <c r="D3273" s="248">
        <f t="shared" ref="D3273:D3336" si="365">DATE(A3273,B3273,C3273)</f>
        <v>45113</v>
      </c>
      <c r="E3273" s="249">
        <f t="shared" si="364"/>
        <v>45113</v>
      </c>
      <c r="F3273" s="477"/>
      <c r="G3273" s="244" t="s">
        <v>86</v>
      </c>
      <c r="H3273" s="244" t="str" cm="1">
        <f t="array" ref="H3273">IFERROR(INDEX(INVESTOR_LIST[INVESTOR NAME],MATCH(I3273,INVESTOR_LIST[INVESTOR CODE],0),)," ")</f>
        <v xml:space="preserve"> </v>
      </c>
      <c r="I3273" s="245"/>
      <c r="J3273" s="246" t="s">
        <v>64</v>
      </c>
      <c r="K3273" s="247"/>
      <c r="L3273" s="247">
        <v>2747.2527472527472</v>
      </c>
    </row>
    <row r="3274" spans="1:12" ht="11.25" customHeight="1" x14ac:dyDescent="0.2">
      <c r="A3274" s="236">
        <v>2023</v>
      </c>
      <c r="B3274" s="236">
        <v>7</v>
      </c>
      <c r="C3274" s="236">
        <v>6</v>
      </c>
      <c r="D3274" s="237">
        <f t="shared" si="365"/>
        <v>45113</v>
      </c>
      <c r="E3274" s="238">
        <f t="shared" si="364"/>
        <v>45113</v>
      </c>
      <c r="F3274" s="476" t="s">
        <v>1121</v>
      </c>
      <c r="G3274" s="239" t="s">
        <v>86</v>
      </c>
      <c r="H3274" s="239" t="str" cm="1">
        <f t="array" ref="H3274">IFERROR(INDEX(INVESTOR_LIST[INVESTOR NAME],MATCH(I3274,INVESTOR_LIST[INVESTOR CODE],0),)," ")</f>
        <v xml:space="preserve"> </v>
      </c>
      <c r="I3274" s="240"/>
      <c r="J3274" s="241" t="s">
        <v>89</v>
      </c>
      <c r="K3274" s="242">
        <v>35408.664680202113</v>
      </c>
      <c r="L3274" s="242"/>
    </row>
    <row r="3275" spans="1:12" ht="11.25" customHeight="1" x14ac:dyDescent="0.2">
      <c r="A3275" s="243">
        <v>2023</v>
      </c>
      <c r="B3275" s="243">
        <v>7</v>
      </c>
      <c r="C3275" s="243">
        <v>6</v>
      </c>
      <c r="D3275" s="248">
        <f t="shared" si="365"/>
        <v>45113</v>
      </c>
      <c r="E3275" s="249">
        <f t="shared" si="364"/>
        <v>45113</v>
      </c>
      <c r="F3275" s="477"/>
      <c r="G3275" s="244" t="s">
        <v>86</v>
      </c>
      <c r="H3275" s="244" t="str" cm="1">
        <f t="array" ref="H3275">IFERROR(INDEX(INVESTOR_LIST[INVESTOR NAME],MATCH(I3275,INVESTOR_LIST[INVESTOR CODE],0),)," ")</f>
        <v xml:space="preserve"> </v>
      </c>
      <c r="I3275" s="245"/>
      <c r="J3275" s="246" t="s">
        <v>50</v>
      </c>
      <c r="K3275" s="247"/>
      <c r="L3275" s="247">
        <v>35408.664680202113</v>
      </c>
    </row>
    <row r="3276" spans="1:12" ht="11.25" customHeight="1" x14ac:dyDescent="0.2">
      <c r="A3276" s="236">
        <v>2023</v>
      </c>
      <c r="B3276" s="236">
        <v>7</v>
      </c>
      <c r="C3276" s="236">
        <v>6</v>
      </c>
      <c r="D3276" s="237">
        <f t="shared" si="365"/>
        <v>45113</v>
      </c>
      <c r="E3276" s="238">
        <f t="shared" si="364"/>
        <v>45113</v>
      </c>
      <c r="F3276" s="476" t="s">
        <v>1122</v>
      </c>
      <c r="G3276" s="239" t="s">
        <v>86</v>
      </c>
      <c r="H3276" s="239" t="str" cm="1">
        <f t="array" ref="H3276">IFERROR(INDEX(INVESTOR_LIST[INVESTOR NAME],MATCH(I3276,INVESTOR_LIST[INVESTOR CODE],0),)," ")</f>
        <v xml:space="preserve"> </v>
      </c>
      <c r="I3276" s="240"/>
      <c r="J3276" s="241" t="s">
        <v>91</v>
      </c>
      <c r="K3276" s="242">
        <v>3540.866468020211</v>
      </c>
      <c r="L3276" s="242"/>
    </row>
    <row r="3277" spans="1:12" ht="11.25" customHeight="1" x14ac:dyDescent="0.2">
      <c r="A3277" s="243">
        <v>2023</v>
      </c>
      <c r="B3277" s="243">
        <v>7</v>
      </c>
      <c r="C3277" s="243">
        <v>6</v>
      </c>
      <c r="D3277" s="248">
        <f t="shared" si="365"/>
        <v>45113</v>
      </c>
      <c r="E3277" s="249">
        <f t="shared" si="364"/>
        <v>45113</v>
      </c>
      <c r="F3277" s="477"/>
      <c r="G3277" s="244" t="s">
        <v>86</v>
      </c>
      <c r="H3277" s="244" t="str" cm="1">
        <f t="array" ref="H3277">IFERROR(INDEX(INVESTOR_LIST[INVESTOR NAME],MATCH(I3277,INVESTOR_LIST[INVESTOR CODE],0),)," ")</f>
        <v xml:space="preserve"> </v>
      </c>
      <c r="I3277" s="245"/>
      <c r="J3277" s="246" t="s">
        <v>51</v>
      </c>
      <c r="K3277" s="247"/>
      <c r="L3277" s="247">
        <v>3540.866468020211</v>
      </c>
    </row>
    <row r="3278" spans="1:12" ht="11.25" customHeight="1" x14ac:dyDescent="0.2">
      <c r="A3278" s="280">
        <v>2023</v>
      </c>
      <c r="B3278" s="280">
        <v>7</v>
      </c>
      <c r="C3278" s="280">
        <v>13</v>
      </c>
      <c r="D3278" s="281">
        <f t="shared" si="365"/>
        <v>45120</v>
      </c>
      <c r="E3278" s="282">
        <f t="shared" ref="E3278:E3300" si="366">DATE(A3278,B3278,C3278)</f>
        <v>45120</v>
      </c>
      <c r="F3278" s="472" t="s">
        <v>1369</v>
      </c>
      <c r="G3278" s="283" t="s">
        <v>86</v>
      </c>
      <c r="H3278" s="284" t="str" cm="1">
        <f t="array" ref="H3278">IFERROR(INDEX(INVESTOR_LIST[INVESTOR NAME],MATCH(I3278,INVESTOR_LIST[INVESTOR CODE],0),)," ")</f>
        <v xml:space="preserve"> </v>
      </c>
      <c r="I3278" s="284"/>
      <c r="J3278" s="285" t="s">
        <v>131</v>
      </c>
      <c r="K3278" s="286">
        <v>88391.82</v>
      </c>
      <c r="L3278" s="286"/>
    </row>
    <row r="3279" spans="1:12" ht="11.25" customHeight="1" x14ac:dyDescent="0.2">
      <c r="A3279" s="287">
        <v>2023</v>
      </c>
      <c r="B3279" s="287">
        <v>7</v>
      </c>
      <c r="C3279" s="287">
        <v>13</v>
      </c>
      <c r="D3279" s="288">
        <f t="shared" si="365"/>
        <v>45120</v>
      </c>
      <c r="E3279" s="289">
        <f t="shared" si="366"/>
        <v>45120</v>
      </c>
      <c r="F3279" s="473"/>
      <c r="G3279" s="290" t="s">
        <v>86</v>
      </c>
      <c r="H3279" s="291" t="str" cm="1">
        <f t="array" ref="H3279">IFERROR(INDEX(INVESTOR_LIST[INVESTOR NAME],MATCH(I3279,INVESTOR_LIST[INVESTOR CODE],0),)," ")</f>
        <v xml:space="preserve"> </v>
      </c>
      <c r="I3279" s="291"/>
      <c r="J3279" s="292" t="s">
        <v>174</v>
      </c>
      <c r="K3279" s="293"/>
      <c r="L3279" s="293">
        <v>88391.82</v>
      </c>
    </row>
    <row r="3280" spans="1:12" ht="11.25" customHeight="1" x14ac:dyDescent="0.2">
      <c r="A3280" s="280">
        <v>2023</v>
      </c>
      <c r="B3280" s="280">
        <v>7</v>
      </c>
      <c r="C3280" s="280">
        <v>13</v>
      </c>
      <c r="D3280" s="281">
        <f t="shared" si="365"/>
        <v>45120</v>
      </c>
      <c r="E3280" s="282">
        <f t="shared" si="366"/>
        <v>45120</v>
      </c>
      <c r="F3280" s="472" t="s">
        <v>1295</v>
      </c>
      <c r="G3280" s="283" t="s">
        <v>86</v>
      </c>
      <c r="H3280" s="284" t="str" cm="1">
        <f t="array" ref="H3280">IFERROR(INDEX(INVESTOR_LIST[INVESTOR NAME],MATCH(I3280,INVESTOR_LIST[INVESTOR CODE],0),)," ")</f>
        <v xml:space="preserve"> </v>
      </c>
      <c r="I3280" s="284"/>
      <c r="J3280" s="285" t="s">
        <v>131</v>
      </c>
      <c r="K3280" s="286">
        <v>17028.849999999999</v>
      </c>
      <c r="L3280" s="286"/>
    </row>
    <row r="3281" spans="1:12" ht="11.25" customHeight="1" x14ac:dyDescent="0.2">
      <c r="A3281" s="287">
        <v>2023</v>
      </c>
      <c r="B3281" s="287">
        <v>7</v>
      </c>
      <c r="C3281" s="287">
        <v>13</v>
      </c>
      <c r="D3281" s="288">
        <f t="shared" si="365"/>
        <v>45120</v>
      </c>
      <c r="E3281" s="289">
        <f t="shared" si="366"/>
        <v>45120</v>
      </c>
      <c r="F3281" s="473"/>
      <c r="G3281" s="290" t="s">
        <v>86</v>
      </c>
      <c r="H3281" s="291" t="str" cm="1">
        <f t="array" ref="H3281">IFERROR(INDEX(INVESTOR_LIST[INVESTOR NAME],MATCH(I3281,INVESTOR_LIST[INVESTOR CODE],0),)," ")</f>
        <v xml:space="preserve"> </v>
      </c>
      <c r="I3281" s="291"/>
      <c r="J3281" s="292" t="s">
        <v>174</v>
      </c>
      <c r="K3281" s="293"/>
      <c r="L3281" s="293">
        <v>17028.849999999999</v>
      </c>
    </row>
    <row r="3282" spans="1:12" ht="11.25" customHeight="1" x14ac:dyDescent="0.2">
      <c r="A3282" s="280">
        <v>2023</v>
      </c>
      <c r="B3282" s="280">
        <v>7</v>
      </c>
      <c r="C3282" s="280">
        <v>13</v>
      </c>
      <c r="D3282" s="281">
        <f t="shared" si="365"/>
        <v>45120</v>
      </c>
      <c r="E3282" s="282">
        <f t="shared" si="366"/>
        <v>45120</v>
      </c>
      <c r="F3282" s="472" t="s">
        <v>1294</v>
      </c>
      <c r="G3282" s="283" t="s">
        <v>86</v>
      </c>
      <c r="H3282" s="284" t="str" cm="1">
        <f t="array" ref="H3282">IFERROR(INDEX(INVESTOR_LIST[INVESTOR NAME],MATCH(I3282,INVESTOR_LIST[INVESTOR CODE],0),)," ")</f>
        <v xml:space="preserve"> </v>
      </c>
      <c r="I3282" s="284"/>
      <c r="J3282" s="285" t="s">
        <v>131</v>
      </c>
      <c r="K3282" s="286">
        <v>10769.23</v>
      </c>
      <c r="L3282" s="286"/>
    </row>
    <row r="3283" spans="1:12" ht="11.25" customHeight="1" x14ac:dyDescent="0.2">
      <c r="A3283" s="287">
        <v>2023</v>
      </c>
      <c r="B3283" s="287">
        <v>7</v>
      </c>
      <c r="C3283" s="287">
        <v>13</v>
      </c>
      <c r="D3283" s="288">
        <f t="shared" si="365"/>
        <v>45120</v>
      </c>
      <c r="E3283" s="289">
        <f t="shared" si="366"/>
        <v>45120</v>
      </c>
      <c r="F3283" s="473"/>
      <c r="G3283" s="290" t="s">
        <v>86</v>
      </c>
      <c r="H3283" s="291" t="str" cm="1">
        <f t="array" ref="H3283">IFERROR(INDEX(INVESTOR_LIST[INVESTOR NAME],MATCH(I3283,INVESTOR_LIST[INVESTOR CODE],0),)," ")</f>
        <v xml:space="preserve"> </v>
      </c>
      <c r="I3283" s="291"/>
      <c r="J3283" s="292" t="s">
        <v>174</v>
      </c>
      <c r="K3283" s="293"/>
      <c r="L3283" s="293">
        <v>10769.23</v>
      </c>
    </row>
    <row r="3284" spans="1:12" ht="11.25" customHeight="1" x14ac:dyDescent="0.2">
      <c r="A3284" s="280">
        <v>2023</v>
      </c>
      <c r="B3284" s="280">
        <v>7</v>
      </c>
      <c r="C3284" s="280">
        <v>13</v>
      </c>
      <c r="D3284" s="281">
        <f t="shared" si="365"/>
        <v>45120</v>
      </c>
      <c r="E3284" s="282">
        <f t="shared" si="366"/>
        <v>45120</v>
      </c>
      <c r="F3284" s="472" t="s">
        <v>1584</v>
      </c>
      <c r="G3284" s="283" t="s">
        <v>86</v>
      </c>
      <c r="H3284" s="284" t="str" cm="1">
        <f t="array" ref="H3284">IFERROR(INDEX(INVESTOR_LIST[INVESTOR NAME],MATCH(I3284,INVESTOR_LIST[INVESTOR CODE],0),)," ")</f>
        <v xml:space="preserve"> </v>
      </c>
      <c r="I3284" s="284"/>
      <c r="J3284" s="285" t="s">
        <v>131</v>
      </c>
      <c r="K3284" s="286">
        <v>12692.31</v>
      </c>
      <c r="L3284" s="286"/>
    </row>
    <row r="3285" spans="1:12" ht="11.25" customHeight="1" x14ac:dyDescent="0.2">
      <c r="A3285" s="287">
        <v>2023</v>
      </c>
      <c r="B3285" s="287">
        <v>7</v>
      </c>
      <c r="C3285" s="287">
        <v>13</v>
      </c>
      <c r="D3285" s="288">
        <f t="shared" si="365"/>
        <v>45120</v>
      </c>
      <c r="E3285" s="289">
        <f t="shared" si="366"/>
        <v>45120</v>
      </c>
      <c r="F3285" s="473"/>
      <c r="G3285" s="290" t="s">
        <v>86</v>
      </c>
      <c r="H3285" s="291" t="str" cm="1">
        <f t="array" ref="H3285">IFERROR(INDEX(INVESTOR_LIST[INVESTOR NAME],MATCH(I3285,INVESTOR_LIST[INVESTOR CODE],0),)," ")</f>
        <v xml:space="preserve"> </v>
      </c>
      <c r="I3285" s="291"/>
      <c r="J3285" s="292" t="s">
        <v>174</v>
      </c>
      <c r="K3285" s="293"/>
      <c r="L3285" s="293">
        <v>12692.31</v>
      </c>
    </row>
    <row r="3286" spans="1:12" ht="11.25" customHeight="1" x14ac:dyDescent="0.2">
      <c r="A3286" s="236">
        <v>2023</v>
      </c>
      <c r="B3286" s="236">
        <v>7</v>
      </c>
      <c r="C3286" s="236">
        <v>13</v>
      </c>
      <c r="D3286" s="237">
        <f t="shared" si="365"/>
        <v>45120</v>
      </c>
      <c r="E3286" s="238">
        <f t="shared" si="366"/>
        <v>45120</v>
      </c>
      <c r="F3286" s="476" t="s">
        <v>1118</v>
      </c>
      <c r="G3286" s="239" t="s">
        <v>86</v>
      </c>
      <c r="H3286" s="239" t="str" cm="1">
        <f t="array" ref="H3286">IFERROR(INDEX(INVESTOR_LIST[INVESTOR NAME],MATCH(I3286,INVESTOR_LIST[INVESTOR CODE],0),)," ")</f>
        <v xml:space="preserve"> </v>
      </c>
      <c r="I3286" s="240"/>
      <c r="J3286" s="241" t="s">
        <v>98</v>
      </c>
      <c r="K3286" s="242">
        <v>94825.5</v>
      </c>
      <c r="L3286" s="242"/>
    </row>
    <row r="3287" spans="1:12" ht="11.25" customHeight="1" x14ac:dyDescent="0.2">
      <c r="A3287" s="243">
        <v>2023</v>
      </c>
      <c r="B3287" s="243">
        <v>7</v>
      </c>
      <c r="C3287" s="243">
        <v>13</v>
      </c>
      <c r="D3287" s="248">
        <f t="shared" si="365"/>
        <v>45120</v>
      </c>
      <c r="E3287" s="249">
        <f t="shared" si="366"/>
        <v>45120</v>
      </c>
      <c r="F3287" s="477"/>
      <c r="G3287" s="244" t="s">
        <v>86</v>
      </c>
      <c r="H3287" s="244" t="str" cm="1">
        <f t="array" ref="H3287">IFERROR(INDEX(INVESTOR_LIST[INVESTOR NAME],MATCH(I3287,INVESTOR_LIST[INVESTOR CODE],0),)," ")</f>
        <v xml:space="preserve"> </v>
      </c>
      <c r="I3287" s="245"/>
      <c r="J3287" s="246" t="s">
        <v>82</v>
      </c>
      <c r="K3287" s="247"/>
      <c r="L3287" s="247">
        <v>94825.5</v>
      </c>
    </row>
    <row r="3288" spans="1:12" ht="11.25" customHeight="1" x14ac:dyDescent="0.2">
      <c r="A3288" s="236">
        <v>2023</v>
      </c>
      <c r="B3288" s="236">
        <v>7</v>
      </c>
      <c r="C3288" s="236">
        <v>13</v>
      </c>
      <c r="D3288" s="237">
        <f t="shared" si="365"/>
        <v>45120</v>
      </c>
      <c r="E3288" s="238">
        <f t="shared" si="366"/>
        <v>45120</v>
      </c>
      <c r="F3288" s="476" t="s">
        <v>1120</v>
      </c>
      <c r="G3288" s="239" t="s">
        <v>86</v>
      </c>
      <c r="H3288" s="239" t="str" cm="1">
        <f t="array" ref="H3288">IFERROR(INDEX(INVESTOR_LIST[INVESTOR NAME],MATCH(I3288,INVESTOR_LIST[INVESTOR CODE],0),)," ")</f>
        <v xml:space="preserve"> </v>
      </c>
      <c r="I3288" s="240"/>
      <c r="J3288" s="241" t="s">
        <v>87</v>
      </c>
      <c r="K3288" s="242">
        <v>2747.2527472527472</v>
      </c>
      <c r="L3288" s="242"/>
    </row>
    <row r="3289" spans="1:12" ht="11.25" customHeight="1" x14ac:dyDescent="0.2">
      <c r="A3289" s="243">
        <v>2023</v>
      </c>
      <c r="B3289" s="243">
        <v>7</v>
      </c>
      <c r="C3289" s="243">
        <v>13</v>
      </c>
      <c r="D3289" s="248">
        <f t="shared" si="365"/>
        <v>45120</v>
      </c>
      <c r="E3289" s="249">
        <f t="shared" si="366"/>
        <v>45120</v>
      </c>
      <c r="F3289" s="477"/>
      <c r="G3289" s="244" t="s">
        <v>86</v>
      </c>
      <c r="H3289" s="244" t="str" cm="1">
        <f t="array" ref="H3289">IFERROR(INDEX(INVESTOR_LIST[INVESTOR NAME],MATCH(I3289,INVESTOR_LIST[INVESTOR CODE],0),)," ")</f>
        <v xml:space="preserve"> </v>
      </c>
      <c r="I3289" s="245"/>
      <c r="J3289" s="246" t="s">
        <v>64</v>
      </c>
      <c r="K3289" s="247"/>
      <c r="L3289" s="247">
        <v>2747.2527472527472</v>
      </c>
    </row>
    <row r="3290" spans="1:12" ht="11.25" customHeight="1" x14ac:dyDescent="0.2">
      <c r="A3290" s="236">
        <v>2023</v>
      </c>
      <c r="B3290" s="236">
        <v>7</v>
      </c>
      <c r="C3290" s="236">
        <v>13</v>
      </c>
      <c r="D3290" s="237">
        <f t="shared" si="365"/>
        <v>45120</v>
      </c>
      <c r="E3290" s="238">
        <f t="shared" si="366"/>
        <v>45120</v>
      </c>
      <c r="F3290" s="476" t="s">
        <v>1121</v>
      </c>
      <c r="G3290" s="239" t="s">
        <v>86</v>
      </c>
      <c r="H3290" s="239" t="str" cm="1">
        <f t="array" ref="H3290">IFERROR(INDEX(INVESTOR_LIST[INVESTOR NAME],MATCH(I3290,INVESTOR_LIST[INVESTOR CODE],0),)," ")</f>
        <v xml:space="preserve"> </v>
      </c>
      <c r="I3290" s="240"/>
      <c r="J3290" s="241" t="s">
        <v>89</v>
      </c>
      <c r="K3290" s="242">
        <v>35443.570627529909</v>
      </c>
      <c r="L3290" s="242"/>
    </row>
    <row r="3291" spans="1:12" ht="11.25" customHeight="1" x14ac:dyDescent="0.2">
      <c r="A3291" s="243">
        <v>2023</v>
      </c>
      <c r="B3291" s="243">
        <v>7</v>
      </c>
      <c r="C3291" s="243">
        <v>13</v>
      </c>
      <c r="D3291" s="248">
        <f t="shared" si="365"/>
        <v>45120</v>
      </c>
      <c r="E3291" s="249">
        <f t="shared" si="366"/>
        <v>45120</v>
      </c>
      <c r="F3291" s="477"/>
      <c r="G3291" s="244" t="s">
        <v>86</v>
      </c>
      <c r="H3291" s="244" t="str" cm="1">
        <f t="array" ref="H3291">IFERROR(INDEX(INVESTOR_LIST[INVESTOR NAME],MATCH(I3291,INVESTOR_LIST[INVESTOR CODE],0),)," ")</f>
        <v xml:space="preserve"> </v>
      </c>
      <c r="I3291" s="245"/>
      <c r="J3291" s="246" t="s">
        <v>50</v>
      </c>
      <c r="K3291" s="247"/>
      <c r="L3291" s="247">
        <v>35443.570627529909</v>
      </c>
    </row>
    <row r="3292" spans="1:12" ht="11.25" customHeight="1" x14ac:dyDescent="0.2">
      <c r="A3292" s="236">
        <v>2023</v>
      </c>
      <c r="B3292" s="236">
        <v>7</v>
      </c>
      <c r="C3292" s="236">
        <v>13</v>
      </c>
      <c r="D3292" s="237">
        <f t="shared" si="365"/>
        <v>45120</v>
      </c>
      <c r="E3292" s="238">
        <f t="shared" si="366"/>
        <v>45120</v>
      </c>
      <c r="F3292" s="476" t="s">
        <v>1122</v>
      </c>
      <c r="G3292" s="239" t="s">
        <v>86</v>
      </c>
      <c r="H3292" s="239" t="str" cm="1">
        <f t="array" ref="H3292">IFERROR(INDEX(INVESTOR_LIST[INVESTOR NAME],MATCH(I3292,INVESTOR_LIST[INVESTOR CODE],0),)," ")</f>
        <v xml:space="preserve"> </v>
      </c>
      <c r="I3292" s="240"/>
      <c r="J3292" s="241" t="s">
        <v>91</v>
      </c>
      <c r="K3292" s="242">
        <v>3544.3570627529912</v>
      </c>
      <c r="L3292" s="242"/>
    </row>
    <row r="3293" spans="1:12" ht="11.25" customHeight="1" x14ac:dyDescent="0.2">
      <c r="A3293" s="243">
        <v>2023</v>
      </c>
      <c r="B3293" s="243">
        <v>7</v>
      </c>
      <c r="C3293" s="243">
        <v>13</v>
      </c>
      <c r="D3293" s="248">
        <f t="shared" si="365"/>
        <v>45120</v>
      </c>
      <c r="E3293" s="249">
        <f t="shared" si="366"/>
        <v>45120</v>
      </c>
      <c r="F3293" s="477"/>
      <c r="G3293" s="244" t="s">
        <v>86</v>
      </c>
      <c r="H3293" s="244" t="str" cm="1">
        <f t="array" ref="H3293">IFERROR(INDEX(INVESTOR_LIST[INVESTOR NAME],MATCH(I3293,INVESTOR_LIST[INVESTOR CODE],0),)," ")</f>
        <v xml:space="preserve"> </v>
      </c>
      <c r="I3293" s="245"/>
      <c r="J3293" s="246" t="s">
        <v>51</v>
      </c>
      <c r="K3293" s="247"/>
      <c r="L3293" s="247">
        <v>3544.3570627529912</v>
      </c>
    </row>
    <row r="3294" spans="1:12" ht="11.25" customHeight="1" x14ac:dyDescent="0.2">
      <c r="A3294" s="221">
        <v>2023</v>
      </c>
      <c r="B3294" s="221">
        <v>7</v>
      </c>
      <c r="C3294" s="221">
        <v>16</v>
      </c>
      <c r="D3294" s="231">
        <f t="shared" si="365"/>
        <v>45123</v>
      </c>
      <c r="E3294" s="233">
        <f t="shared" si="366"/>
        <v>45123</v>
      </c>
      <c r="F3294" s="478" t="s">
        <v>1196</v>
      </c>
      <c r="G3294" s="222" t="s">
        <v>1111</v>
      </c>
      <c r="H3294" s="223" t="str" cm="1">
        <f t="array" ref="H3294">IFERROR(INDEX(INVESTOR_LIST[INVESTOR NAME],MATCH(I3294,INVESTOR_LIST[INVESTOR CODE],0),)," ")</f>
        <v xml:space="preserve"> </v>
      </c>
      <c r="I3294" s="223"/>
      <c r="J3294" s="224" t="s">
        <v>95</v>
      </c>
      <c r="K3294" s="225">
        <v>3027.39</v>
      </c>
      <c r="L3294" s="225" t="s">
        <v>1119</v>
      </c>
    </row>
    <row r="3295" spans="1:12" ht="11.25" customHeight="1" x14ac:dyDescent="0.2">
      <c r="A3295" s="226">
        <v>2023</v>
      </c>
      <c r="B3295" s="226">
        <v>7</v>
      </c>
      <c r="C3295" s="226">
        <v>16</v>
      </c>
      <c r="D3295" s="232">
        <f t="shared" si="365"/>
        <v>45123</v>
      </c>
      <c r="E3295" s="234">
        <f t="shared" si="366"/>
        <v>45123</v>
      </c>
      <c r="F3295" s="479"/>
      <c r="G3295" s="227" t="s">
        <v>1111</v>
      </c>
      <c r="H3295" s="228" t="str" cm="1">
        <f t="array" ref="H3295">IFERROR(INDEX(INVESTOR_LIST[INVESTOR NAME],MATCH(I3295,INVESTOR_LIST[INVESTOR CODE],0),)," ")</f>
        <v xml:space="preserve"> </v>
      </c>
      <c r="I3295" s="228"/>
      <c r="J3295" s="229" t="s">
        <v>55</v>
      </c>
      <c r="K3295" s="230" t="s">
        <v>1119</v>
      </c>
      <c r="L3295" s="230">
        <v>3027.39</v>
      </c>
    </row>
    <row r="3296" spans="1:12" ht="11.25" customHeight="1" x14ac:dyDescent="0.2">
      <c r="A3296" s="221">
        <v>2023</v>
      </c>
      <c r="B3296" s="221">
        <v>7</v>
      </c>
      <c r="C3296" s="221">
        <v>18</v>
      </c>
      <c r="D3296" s="231">
        <f t="shared" si="365"/>
        <v>45125</v>
      </c>
      <c r="E3296" s="233">
        <f t="shared" si="366"/>
        <v>45125</v>
      </c>
      <c r="F3296" s="478" t="s">
        <v>1309</v>
      </c>
      <c r="G3296" s="222" t="s">
        <v>1111</v>
      </c>
      <c r="H3296" s="223" t="str" cm="1">
        <f t="array" ref="H3296">IFERROR(INDEX(INVESTOR_LIST[INVESTOR NAME],MATCH(I3296,INVESTOR_LIST[INVESTOR CODE],0),)," ")</f>
        <v>AHMED ASIF</v>
      </c>
      <c r="I3296" s="223" t="s">
        <v>1273</v>
      </c>
      <c r="J3296" s="224" t="s">
        <v>14</v>
      </c>
      <c r="K3296" s="225">
        <v>64910</v>
      </c>
      <c r="L3296" s="225"/>
    </row>
    <row r="3297" spans="1:12" ht="11.25" customHeight="1" x14ac:dyDescent="0.2">
      <c r="A3297" s="164">
        <v>2023</v>
      </c>
      <c r="B3297" s="164">
        <v>7</v>
      </c>
      <c r="C3297" s="164">
        <v>18</v>
      </c>
      <c r="D3297" s="156">
        <f t="shared" si="365"/>
        <v>45125</v>
      </c>
      <c r="E3297" s="235">
        <f t="shared" si="366"/>
        <v>45125</v>
      </c>
      <c r="F3297" s="480"/>
      <c r="G3297" s="208" t="s">
        <v>1111</v>
      </c>
      <c r="H3297" s="206" t="str" cm="1">
        <f t="array" ref="H3297">IFERROR(INDEX(INVESTOR_LIST[INVESTOR NAME],MATCH(I3297,INVESTOR_LIST[INVESTOR CODE],0),)," ")</f>
        <v>AHMED ASIF</v>
      </c>
      <c r="I3297" s="206" t="s">
        <v>1273</v>
      </c>
      <c r="J3297" s="165" t="s">
        <v>1112</v>
      </c>
      <c r="K3297" s="205">
        <v>1778.5299999999988</v>
      </c>
    </row>
    <row r="3298" spans="1:12" ht="11.25" customHeight="1" x14ac:dyDescent="0.2">
      <c r="A3298" s="226">
        <v>2023</v>
      </c>
      <c r="B3298" s="226">
        <v>7</v>
      </c>
      <c r="C3298" s="226">
        <v>18</v>
      </c>
      <c r="D3298" s="232">
        <f t="shared" si="365"/>
        <v>45125</v>
      </c>
      <c r="E3298" s="234">
        <f t="shared" si="366"/>
        <v>45125</v>
      </c>
      <c r="F3298" s="479"/>
      <c r="G3298" s="227" t="s">
        <v>1111</v>
      </c>
      <c r="H3298" s="228" t="str" cm="1">
        <f t="array" ref="H3298">IFERROR(INDEX(INVESTOR_LIST[INVESTOR NAME],MATCH(I3298,INVESTOR_LIST[INVESTOR CODE],0),)," ")</f>
        <v>AHMED ASIF</v>
      </c>
      <c r="I3298" s="228" t="s">
        <v>1273</v>
      </c>
      <c r="J3298" s="229" t="s">
        <v>55</v>
      </c>
      <c r="K3298" s="230"/>
      <c r="L3298" s="230">
        <v>66688.53</v>
      </c>
    </row>
    <row r="3299" spans="1:12" ht="11.25" customHeight="1" x14ac:dyDescent="0.2">
      <c r="A3299" s="221">
        <v>2023</v>
      </c>
      <c r="B3299" s="221">
        <v>7</v>
      </c>
      <c r="C3299" s="221">
        <v>20</v>
      </c>
      <c r="D3299" s="231">
        <f t="shared" si="365"/>
        <v>45127</v>
      </c>
      <c r="E3299" s="233">
        <f t="shared" si="366"/>
        <v>45127</v>
      </c>
      <c r="F3299" s="478" t="s">
        <v>1587</v>
      </c>
      <c r="G3299" s="222" t="s">
        <v>1111</v>
      </c>
      <c r="H3299" s="223" t="str" cm="1">
        <f t="array" ref="H3299">IFERROR(INDEX(INVESTOR_LIST[INVESTOR NAME],MATCH(I3299,INVESTOR_LIST[INVESTOR CODE],0),)," ")</f>
        <v xml:space="preserve"> </v>
      </c>
      <c r="I3299" s="223"/>
      <c r="J3299" s="224" t="s">
        <v>55</v>
      </c>
      <c r="K3299" s="225">
        <v>1544.43</v>
      </c>
      <c r="L3299" s="225"/>
    </row>
    <row r="3300" spans="1:12" ht="11.25" customHeight="1" x14ac:dyDescent="0.2">
      <c r="A3300" s="226">
        <v>2023</v>
      </c>
      <c r="B3300" s="226">
        <v>7</v>
      </c>
      <c r="C3300" s="226">
        <v>20</v>
      </c>
      <c r="D3300" s="232">
        <f t="shared" si="365"/>
        <v>45127</v>
      </c>
      <c r="E3300" s="234">
        <f t="shared" si="366"/>
        <v>45127</v>
      </c>
      <c r="F3300" s="479"/>
      <c r="G3300" s="227" t="s">
        <v>1111</v>
      </c>
      <c r="H3300" s="228" t="str" cm="1">
        <f t="array" ref="H3300">IFERROR(INDEX(INVESTOR_LIST[INVESTOR NAME],MATCH(I3300,INVESTOR_LIST[INVESTOR CODE],0),)," ")</f>
        <v xml:space="preserve"> </v>
      </c>
      <c r="I3300" s="228"/>
      <c r="J3300" s="229" t="s">
        <v>174</v>
      </c>
      <c r="K3300" s="230"/>
      <c r="L3300" s="230">
        <v>1544.43</v>
      </c>
    </row>
    <row r="3301" spans="1:12" ht="11.25" customHeight="1" x14ac:dyDescent="0.2">
      <c r="A3301" s="280">
        <v>2023</v>
      </c>
      <c r="B3301" s="280">
        <v>7</v>
      </c>
      <c r="C3301" s="280">
        <v>20</v>
      </c>
      <c r="D3301" s="281">
        <f t="shared" si="365"/>
        <v>45127</v>
      </c>
      <c r="E3301" s="282">
        <f t="shared" ref="E3301:E3329" si="367">DATE(A3301,B3301,C3301)</f>
        <v>45127</v>
      </c>
      <c r="F3301" s="472" t="s">
        <v>1369</v>
      </c>
      <c r="G3301" s="283" t="s">
        <v>86</v>
      </c>
      <c r="H3301" s="284" t="str" cm="1">
        <f t="array" ref="H3301">IFERROR(INDEX(INVESTOR_LIST[INVESTOR NAME],MATCH(I3301,INVESTOR_LIST[INVESTOR CODE],0),)," ")</f>
        <v xml:space="preserve"> </v>
      </c>
      <c r="I3301" s="284"/>
      <c r="J3301" s="285" t="s">
        <v>131</v>
      </c>
      <c r="K3301" s="286">
        <v>88391.82</v>
      </c>
      <c r="L3301" s="286"/>
    </row>
    <row r="3302" spans="1:12" ht="11.25" customHeight="1" x14ac:dyDescent="0.2">
      <c r="A3302" s="287">
        <v>2023</v>
      </c>
      <c r="B3302" s="287">
        <v>7</v>
      </c>
      <c r="C3302" s="287">
        <v>20</v>
      </c>
      <c r="D3302" s="288">
        <f t="shared" si="365"/>
        <v>45127</v>
      </c>
      <c r="E3302" s="289">
        <f t="shared" si="367"/>
        <v>45127</v>
      </c>
      <c r="F3302" s="473"/>
      <c r="G3302" s="290" t="s">
        <v>86</v>
      </c>
      <c r="H3302" s="291" t="str" cm="1">
        <f t="array" ref="H3302">IFERROR(INDEX(INVESTOR_LIST[INVESTOR NAME],MATCH(I3302,INVESTOR_LIST[INVESTOR CODE],0),)," ")</f>
        <v xml:space="preserve"> </v>
      </c>
      <c r="I3302" s="291"/>
      <c r="J3302" s="292" t="s">
        <v>174</v>
      </c>
      <c r="K3302" s="293"/>
      <c r="L3302" s="293">
        <v>88391.82</v>
      </c>
    </row>
    <row r="3303" spans="1:12" ht="11.25" customHeight="1" x14ac:dyDescent="0.2">
      <c r="A3303" s="280">
        <v>2023</v>
      </c>
      <c r="B3303" s="280">
        <v>7</v>
      </c>
      <c r="C3303" s="280">
        <v>20</v>
      </c>
      <c r="D3303" s="281">
        <f t="shared" si="365"/>
        <v>45127</v>
      </c>
      <c r="E3303" s="282">
        <f t="shared" si="367"/>
        <v>45127</v>
      </c>
      <c r="F3303" s="472" t="s">
        <v>1295</v>
      </c>
      <c r="G3303" s="283" t="s">
        <v>86</v>
      </c>
      <c r="H3303" s="284" t="str" cm="1">
        <f t="array" ref="H3303">IFERROR(INDEX(INVESTOR_LIST[INVESTOR NAME],MATCH(I3303,INVESTOR_LIST[INVESTOR CODE],0),)," ")</f>
        <v xml:space="preserve"> </v>
      </c>
      <c r="I3303" s="284"/>
      <c r="J3303" s="285" t="s">
        <v>131</v>
      </c>
      <c r="K3303" s="286">
        <v>17028.849999999999</v>
      </c>
      <c r="L3303" s="286"/>
    </row>
    <row r="3304" spans="1:12" ht="11.25" customHeight="1" x14ac:dyDescent="0.2">
      <c r="A3304" s="287">
        <v>2023</v>
      </c>
      <c r="B3304" s="287">
        <v>7</v>
      </c>
      <c r="C3304" s="287">
        <v>20</v>
      </c>
      <c r="D3304" s="288">
        <f t="shared" si="365"/>
        <v>45127</v>
      </c>
      <c r="E3304" s="289">
        <f t="shared" si="367"/>
        <v>45127</v>
      </c>
      <c r="F3304" s="473"/>
      <c r="G3304" s="290" t="s">
        <v>86</v>
      </c>
      <c r="H3304" s="291" t="str" cm="1">
        <f t="array" ref="H3304">IFERROR(INDEX(INVESTOR_LIST[INVESTOR NAME],MATCH(I3304,INVESTOR_LIST[INVESTOR CODE],0),)," ")</f>
        <v xml:space="preserve"> </v>
      </c>
      <c r="I3304" s="291"/>
      <c r="J3304" s="292" t="s">
        <v>174</v>
      </c>
      <c r="K3304" s="293"/>
      <c r="L3304" s="293">
        <v>17028.849999999999</v>
      </c>
    </row>
    <row r="3305" spans="1:12" ht="11.25" customHeight="1" x14ac:dyDescent="0.2">
      <c r="A3305" s="280">
        <v>2023</v>
      </c>
      <c r="B3305" s="280">
        <v>7</v>
      </c>
      <c r="C3305" s="280">
        <v>20</v>
      </c>
      <c r="D3305" s="281">
        <f t="shared" si="365"/>
        <v>45127</v>
      </c>
      <c r="E3305" s="282">
        <f t="shared" si="367"/>
        <v>45127</v>
      </c>
      <c r="F3305" s="472" t="s">
        <v>1294</v>
      </c>
      <c r="G3305" s="283" t="s">
        <v>86</v>
      </c>
      <c r="H3305" s="284" t="str" cm="1">
        <f t="array" ref="H3305">IFERROR(INDEX(INVESTOR_LIST[INVESTOR NAME],MATCH(I3305,INVESTOR_LIST[INVESTOR CODE],0),)," ")</f>
        <v xml:space="preserve"> </v>
      </c>
      <c r="I3305" s="284"/>
      <c r="J3305" s="285" t="s">
        <v>131</v>
      </c>
      <c r="K3305" s="286">
        <v>10769.23</v>
      </c>
      <c r="L3305" s="286"/>
    </row>
    <row r="3306" spans="1:12" ht="11.25" customHeight="1" x14ac:dyDescent="0.2">
      <c r="A3306" s="287">
        <v>2023</v>
      </c>
      <c r="B3306" s="287">
        <v>7</v>
      </c>
      <c r="C3306" s="287">
        <v>20</v>
      </c>
      <c r="D3306" s="288">
        <f t="shared" si="365"/>
        <v>45127</v>
      </c>
      <c r="E3306" s="289">
        <f t="shared" si="367"/>
        <v>45127</v>
      </c>
      <c r="F3306" s="473"/>
      <c r="G3306" s="290" t="s">
        <v>86</v>
      </c>
      <c r="H3306" s="291" t="str" cm="1">
        <f t="array" ref="H3306">IFERROR(INDEX(INVESTOR_LIST[INVESTOR NAME],MATCH(I3306,INVESTOR_LIST[INVESTOR CODE],0),)," ")</f>
        <v xml:space="preserve"> </v>
      </c>
      <c r="I3306" s="291"/>
      <c r="J3306" s="292" t="s">
        <v>174</v>
      </c>
      <c r="K3306" s="293"/>
      <c r="L3306" s="293">
        <v>10769.23</v>
      </c>
    </row>
    <row r="3307" spans="1:12" ht="11.25" customHeight="1" x14ac:dyDescent="0.2">
      <c r="A3307" s="280">
        <v>2023</v>
      </c>
      <c r="B3307" s="280">
        <v>7</v>
      </c>
      <c r="C3307" s="280">
        <v>20</v>
      </c>
      <c r="D3307" s="281">
        <f t="shared" si="365"/>
        <v>45127</v>
      </c>
      <c r="E3307" s="282">
        <f t="shared" si="367"/>
        <v>45127</v>
      </c>
      <c r="F3307" s="472" t="s">
        <v>1584</v>
      </c>
      <c r="G3307" s="283" t="s">
        <v>86</v>
      </c>
      <c r="H3307" s="284" t="str" cm="1">
        <f t="array" ref="H3307">IFERROR(INDEX(INVESTOR_LIST[INVESTOR NAME],MATCH(I3307,INVESTOR_LIST[INVESTOR CODE],0),)," ")</f>
        <v xml:space="preserve"> </v>
      </c>
      <c r="I3307" s="284"/>
      <c r="J3307" s="285" t="s">
        <v>131</v>
      </c>
      <c r="K3307" s="286">
        <v>12692.31</v>
      </c>
      <c r="L3307" s="286"/>
    </row>
    <row r="3308" spans="1:12" ht="11.25" customHeight="1" x14ac:dyDescent="0.2">
      <c r="A3308" s="287">
        <v>2023</v>
      </c>
      <c r="B3308" s="287">
        <v>7</v>
      </c>
      <c r="C3308" s="287">
        <v>20</v>
      </c>
      <c r="D3308" s="288">
        <f t="shared" si="365"/>
        <v>45127</v>
      </c>
      <c r="E3308" s="289">
        <f t="shared" si="367"/>
        <v>45127</v>
      </c>
      <c r="F3308" s="473"/>
      <c r="G3308" s="290" t="s">
        <v>86</v>
      </c>
      <c r="H3308" s="291" t="str" cm="1">
        <f t="array" ref="H3308">IFERROR(INDEX(INVESTOR_LIST[INVESTOR NAME],MATCH(I3308,INVESTOR_LIST[INVESTOR CODE],0),)," ")</f>
        <v xml:space="preserve"> </v>
      </c>
      <c r="I3308" s="291"/>
      <c r="J3308" s="292" t="s">
        <v>174</v>
      </c>
      <c r="K3308" s="293"/>
      <c r="L3308" s="293">
        <v>12692.31</v>
      </c>
    </row>
    <row r="3309" spans="1:12" ht="11.25" customHeight="1" x14ac:dyDescent="0.2">
      <c r="A3309" s="236">
        <v>2023</v>
      </c>
      <c r="B3309" s="236">
        <v>7</v>
      </c>
      <c r="C3309" s="236">
        <v>20</v>
      </c>
      <c r="D3309" s="237">
        <f t="shared" si="365"/>
        <v>45127</v>
      </c>
      <c r="E3309" s="238">
        <f t="shared" si="367"/>
        <v>45127</v>
      </c>
      <c r="F3309" s="476" t="s">
        <v>1118</v>
      </c>
      <c r="G3309" s="239" t="s">
        <v>86</v>
      </c>
      <c r="H3309" s="239" t="str" cm="1">
        <f t="array" ref="H3309">IFERROR(INDEX(INVESTOR_LIST[INVESTOR NAME],MATCH(I3309,INVESTOR_LIST[INVESTOR CODE],0),)," ")</f>
        <v xml:space="preserve"> </v>
      </c>
      <c r="I3309" s="240"/>
      <c r="J3309" s="241" t="s">
        <v>98</v>
      </c>
      <c r="K3309" s="242">
        <v>154220.80000001192</v>
      </c>
      <c r="L3309" s="242"/>
    </row>
    <row r="3310" spans="1:12" ht="11.25" customHeight="1" x14ac:dyDescent="0.2">
      <c r="A3310" s="243">
        <v>2023</v>
      </c>
      <c r="B3310" s="243">
        <v>7</v>
      </c>
      <c r="C3310" s="243">
        <v>20</v>
      </c>
      <c r="D3310" s="248">
        <f t="shared" si="365"/>
        <v>45127</v>
      </c>
      <c r="E3310" s="249">
        <f t="shared" si="367"/>
        <v>45127</v>
      </c>
      <c r="F3310" s="477"/>
      <c r="G3310" s="244" t="s">
        <v>86</v>
      </c>
      <c r="H3310" s="244" t="str" cm="1">
        <f t="array" ref="H3310">IFERROR(INDEX(INVESTOR_LIST[INVESTOR NAME],MATCH(I3310,INVESTOR_LIST[INVESTOR CODE],0),)," ")</f>
        <v xml:space="preserve"> </v>
      </c>
      <c r="I3310" s="245"/>
      <c r="J3310" s="246" t="s">
        <v>82</v>
      </c>
      <c r="K3310" s="247"/>
      <c r="L3310" s="247">
        <v>154220.80000001192</v>
      </c>
    </row>
    <row r="3311" spans="1:12" ht="11.25" customHeight="1" x14ac:dyDescent="0.2">
      <c r="A3311" s="236">
        <v>2023</v>
      </c>
      <c r="B3311" s="236">
        <v>7</v>
      </c>
      <c r="C3311" s="236">
        <v>20</v>
      </c>
      <c r="D3311" s="237">
        <f t="shared" si="365"/>
        <v>45127</v>
      </c>
      <c r="E3311" s="238">
        <f t="shared" si="367"/>
        <v>45127</v>
      </c>
      <c r="F3311" s="476" t="s">
        <v>1120</v>
      </c>
      <c r="G3311" s="239" t="s">
        <v>86</v>
      </c>
      <c r="H3311" s="239" t="str" cm="1">
        <f t="array" ref="H3311">IFERROR(INDEX(INVESTOR_LIST[INVESTOR NAME],MATCH(I3311,INVESTOR_LIST[INVESTOR CODE],0),)," ")</f>
        <v xml:space="preserve"> </v>
      </c>
      <c r="I3311" s="240"/>
      <c r="J3311" s="241" t="s">
        <v>87</v>
      </c>
      <c r="K3311" s="242">
        <v>2747.2527472527472</v>
      </c>
      <c r="L3311" s="242"/>
    </row>
    <row r="3312" spans="1:12" ht="11.25" customHeight="1" x14ac:dyDescent="0.2">
      <c r="A3312" s="243">
        <v>2023</v>
      </c>
      <c r="B3312" s="243">
        <v>7</v>
      </c>
      <c r="C3312" s="243">
        <v>20</v>
      </c>
      <c r="D3312" s="248">
        <f t="shared" si="365"/>
        <v>45127</v>
      </c>
      <c r="E3312" s="249">
        <f t="shared" si="367"/>
        <v>45127</v>
      </c>
      <c r="F3312" s="477"/>
      <c r="G3312" s="244" t="s">
        <v>86</v>
      </c>
      <c r="H3312" s="244" t="str" cm="1">
        <f t="array" ref="H3312">IFERROR(INDEX(INVESTOR_LIST[INVESTOR NAME],MATCH(I3312,INVESTOR_LIST[INVESTOR CODE],0),)," ")</f>
        <v xml:space="preserve"> </v>
      </c>
      <c r="I3312" s="245"/>
      <c r="J3312" s="246" t="s">
        <v>64</v>
      </c>
      <c r="K3312" s="247"/>
      <c r="L3312" s="247">
        <v>2747.2527472527472</v>
      </c>
    </row>
    <row r="3313" spans="1:12" ht="11.25" customHeight="1" x14ac:dyDescent="0.2">
      <c r="A3313" s="236">
        <v>2023</v>
      </c>
      <c r="B3313" s="236">
        <v>7</v>
      </c>
      <c r="C3313" s="236">
        <v>20</v>
      </c>
      <c r="D3313" s="237">
        <f t="shared" si="365"/>
        <v>45127</v>
      </c>
      <c r="E3313" s="238">
        <f t="shared" si="367"/>
        <v>45127</v>
      </c>
      <c r="F3313" s="476" t="s">
        <v>1121</v>
      </c>
      <c r="G3313" s="239" t="s">
        <v>86</v>
      </c>
      <c r="H3313" s="239" t="str" cm="1">
        <f t="array" ref="H3313">IFERROR(INDEX(INVESTOR_LIST[INVESTOR NAME],MATCH(I3313,INVESTOR_LIST[INVESTOR CODE],0),)," ")</f>
        <v xml:space="preserve"> </v>
      </c>
      <c r="I3313" s="240"/>
      <c r="J3313" s="241" t="s">
        <v>89</v>
      </c>
      <c r="K3313" s="242">
        <v>35405.84540436884</v>
      </c>
      <c r="L3313" s="242"/>
    </row>
    <row r="3314" spans="1:12" ht="11.25" customHeight="1" x14ac:dyDescent="0.2">
      <c r="A3314" s="243">
        <v>2023</v>
      </c>
      <c r="B3314" s="243">
        <v>7</v>
      </c>
      <c r="C3314" s="243">
        <v>20</v>
      </c>
      <c r="D3314" s="248">
        <f t="shared" si="365"/>
        <v>45127</v>
      </c>
      <c r="E3314" s="249">
        <f t="shared" si="367"/>
        <v>45127</v>
      </c>
      <c r="F3314" s="477"/>
      <c r="G3314" s="244" t="s">
        <v>86</v>
      </c>
      <c r="H3314" s="244" t="str" cm="1">
        <f t="array" ref="H3314">IFERROR(INDEX(INVESTOR_LIST[INVESTOR NAME],MATCH(I3314,INVESTOR_LIST[INVESTOR CODE],0),)," ")</f>
        <v xml:space="preserve"> </v>
      </c>
      <c r="I3314" s="245"/>
      <c r="J3314" s="246" t="s">
        <v>50</v>
      </c>
      <c r="K3314" s="247"/>
      <c r="L3314" s="247">
        <v>35405.84540436884</v>
      </c>
    </row>
    <row r="3315" spans="1:12" ht="11.25" customHeight="1" x14ac:dyDescent="0.2">
      <c r="A3315" s="236">
        <v>2023</v>
      </c>
      <c r="B3315" s="236">
        <v>7</v>
      </c>
      <c r="C3315" s="236">
        <v>20</v>
      </c>
      <c r="D3315" s="237">
        <f t="shared" si="365"/>
        <v>45127</v>
      </c>
      <c r="E3315" s="238">
        <f t="shared" si="367"/>
        <v>45127</v>
      </c>
      <c r="F3315" s="476" t="s">
        <v>1122</v>
      </c>
      <c r="G3315" s="239" t="s">
        <v>86</v>
      </c>
      <c r="H3315" s="239" t="str" cm="1">
        <f t="array" ref="H3315">IFERROR(INDEX(INVESTOR_LIST[INVESTOR NAME],MATCH(I3315,INVESTOR_LIST[INVESTOR CODE],0),)," ")</f>
        <v xml:space="preserve"> </v>
      </c>
      <c r="I3315" s="240"/>
      <c r="J3315" s="241" t="s">
        <v>91</v>
      </c>
      <c r="K3315" s="242">
        <v>3540.5845404368838</v>
      </c>
      <c r="L3315" s="242"/>
    </row>
    <row r="3316" spans="1:12" ht="11.25" customHeight="1" x14ac:dyDescent="0.2">
      <c r="A3316" s="243">
        <v>2023</v>
      </c>
      <c r="B3316" s="243">
        <v>7</v>
      </c>
      <c r="C3316" s="243">
        <v>20</v>
      </c>
      <c r="D3316" s="248">
        <f t="shared" si="365"/>
        <v>45127</v>
      </c>
      <c r="E3316" s="249">
        <f t="shared" si="367"/>
        <v>45127</v>
      </c>
      <c r="F3316" s="477"/>
      <c r="G3316" s="244" t="s">
        <v>86</v>
      </c>
      <c r="H3316" s="244" t="str" cm="1">
        <f t="array" ref="H3316">IFERROR(INDEX(INVESTOR_LIST[INVESTOR NAME],MATCH(I3316,INVESTOR_LIST[INVESTOR CODE],0),)," ")</f>
        <v xml:space="preserve"> </v>
      </c>
      <c r="I3316" s="245"/>
      <c r="J3316" s="246" t="s">
        <v>51</v>
      </c>
      <c r="K3316" s="247"/>
      <c r="L3316" s="247">
        <v>3540.5845404368838</v>
      </c>
    </row>
    <row r="3317" spans="1:12" ht="11.25" customHeight="1" x14ac:dyDescent="0.2">
      <c r="A3317" s="221">
        <v>2023</v>
      </c>
      <c r="B3317" s="221">
        <v>7</v>
      </c>
      <c r="C3317" s="221">
        <v>23</v>
      </c>
      <c r="D3317" s="231">
        <f t="shared" si="365"/>
        <v>45130</v>
      </c>
      <c r="E3317" s="233">
        <f t="shared" si="367"/>
        <v>45130</v>
      </c>
      <c r="F3317" s="478" t="s">
        <v>1196</v>
      </c>
      <c r="G3317" s="222" t="s">
        <v>1111</v>
      </c>
      <c r="H3317" s="223" t="str" cm="1">
        <f t="array" ref="H3317">IFERROR(INDEX(INVESTOR_LIST[INVESTOR NAME],MATCH(I3317,INVESTOR_LIST[INVESTOR CODE],0),)," ")</f>
        <v xml:space="preserve"> </v>
      </c>
      <c r="I3317" s="223"/>
      <c r="J3317" s="224" t="s">
        <v>95</v>
      </c>
      <c r="K3317" s="225">
        <v>61</v>
      </c>
      <c r="L3317" s="225" t="s">
        <v>1119</v>
      </c>
    </row>
    <row r="3318" spans="1:12" ht="11.25" customHeight="1" x14ac:dyDescent="0.2">
      <c r="A3318" s="226">
        <v>2023</v>
      </c>
      <c r="B3318" s="226">
        <v>7</v>
      </c>
      <c r="C3318" s="226">
        <v>23</v>
      </c>
      <c r="D3318" s="232">
        <f t="shared" si="365"/>
        <v>45130</v>
      </c>
      <c r="E3318" s="234">
        <f t="shared" si="367"/>
        <v>45130</v>
      </c>
      <c r="F3318" s="479"/>
      <c r="G3318" s="227" t="s">
        <v>1111</v>
      </c>
      <c r="H3318" s="228" t="str" cm="1">
        <f t="array" ref="H3318">IFERROR(INDEX(INVESTOR_LIST[INVESTOR NAME],MATCH(I3318,INVESTOR_LIST[INVESTOR CODE],0),)," ")</f>
        <v xml:space="preserve"> </v>
      </c>
      <c r="I3318" s="228"/>
      <c r="J3318" s="229" t="s">
        <v>55</v>
      </c>
      <c r="K3318" s="230" t="s">
        <v>1119</v>
      </c>
      <c r="L3318" s="230">
        <v>61</v>
      </c>
    </row>
    <row r="3319" spans="1:12" ht="11.25" customHeight="1" x14ac:dyDescent="0.2">
      <c r="A3319" s="221">
        <v>2023</v>
      </c>
      <c r="B3319" s="221">
        <v>7</v>
      </c>
      <c r="C3319" s="221">
        <v>23</v>
      </c>
      <c r="D3319" s="221">
        <f t="shared" si="365"/>
        <v>45130</v>
      </c>
      <c r="E3319" s="233">
        <f t="shared" si="367"/>
        <v>45130</v>
      </c>
      <c r="F3319" s="478" t="s">
        <v>1589</v>
      </c>
      <c r="G3319" s="222" t="s">
        <v>86</v>
      </c>
      <c r="H3319" s="222" t="str" cm="1">
        <f t="array" ref="H3319">IFERROR(INDEX(INVESTOR_LIST[INVESTOR NAME],MATCH(I3319,INVESTOR_LIST[INVESTOR CODE],0),)," ")</f>
        <v xml:space="preserve"> </v>
      </c>
      <c r="I3319" s="223"/>
      <c r="J3319" s="165" t="s">
        <v>199</v>
      </c>
      <c r="K3319" s="225">
        <v>1373.92</v>
      </c>
      <c r="L3319" s="225"/>
    </row>
    <row r="3320" spans="1:12" ht="11.25" customHeight="1" x14ac:dyDescent="0.2">
      <c r="A3320" s="164">
        <v>2023</v>
      </c>
      <c r="B3320" s="164">
        <v>7</v>
      </c>
      <c r="C3320" s="164">
        <v>23</v>
      </c>
      <c r="D3320" s="164">
        <f t="shared" si="365"/>
        <v>45130</v>
      </c>
      <c r="E3320" s="235">
        <f t="shared" si="367"/>
        <v>45130</v>
      </c>
      <c r="F3320" s="480"/>
      <c r="G3320" s="208" t="s">
        <v>86</v>
      </c>
      <c r="H3320" s="208"/>
      <c r="J3320" s="165" t="s">
        <v>960</v>
      </c>
      <c r="K3320" s="205">
        <v>2.48</v>
      </c>
      <c r="L3320" s="205"/>
    </row>
    <row r="3321" spans="1:12" ht="11.25" customHeight="1" x14ac:dyDescent="0.2">
      <c r="A3321" s="164">
        <v>2023</v>
      </c>
      <c r="B3321" s="164">
        <v>7</v>
      </c>
      <c r="C3321" s="164">
        <v>23</v>
      </c>
      <c r="D3321" s="164">
        <f t="shared" si="365"/>
        <v>45130</v>
      </c>
      <c r="E3321" s="235">
        <f t="shared" si="367"/>
        <v>45130</v>
      </c>
      <c r="F3321" s="480"/>
      <c r="G3321" s="208" t="s">
        <v>86</v>
      </c>
      <c r="H3321" s="208"/>
      <c r="J3321" s="165" t="s">
        <v>200</v>
      </c>
      <c r="K3321" s="205"/>
      <c r="L3321" s="205">
        <v>1066.4000000000001</v>
      </c>
    </row>
    <row r="3322" spans="1:12" ht="11.25" customHeight="1" x14ac:dyDescent="0.2">
      <c r="A3322" s="226">
        <v>2023</v>
      </c>
      <c r="B3322" s="226">
        <v>7</v>
      </c>
      <c r="C3322" s="226">
        <v>23</v>
      </c>
      <c r="D3322" s="226">
        <f t="shared" si="365"/>
        <v>45130</v>
      </c>
      <c r="E3322" s="234">
        <f t="shared" si="367"/>
        <v>45130</v>
      </c>
      <c r="F3322" s="479"/>
      <c r="G3322" s="227" t="s">
        <v>86</v>
      </c>
      <c r="H3322" s="228" t="str" cm="1">
        <f t="array" ref="H3322">IFERROR(INDEX(INVESTOR_LIST[INVESTOR NAME],MATCH(I3322,INVESTOR_LIST[INVESTOR CODE],0),)," ")</f>
        <v xml:space="preserve"> </v>
      </c>
      <c r="I3322" s="228"/>
      <c r="J3322" s="229" t="s">
        <v>80</v>
      </c>
      <c r="K3322" s="230"/>
      <c r="L3322" s="230">
        <v>310</v>
      </c>
    </row>
    <row r="3323" spans="1:12" ht="11.25" customHeight="1" x14ac:dyDescent="0.2">
      <c r="A3323" s="221">
        <v>2023</v>
      </c>
      <c r="B3323" s="221">
        <v>7</v>
      </c>
      <c r="C3323" s="221">
        <v>25</v>
      </c>
      <c r="D3323" s="231">
        <f t="shared" si="365"/>
        <v>45132</v>
      </c>
      <c r="E3323" s="233">
        <f t="shared" si="367"/>
        <v>45132</v>
      </c>
      <c r="F3323" s="478" t="s">
        <v>1142</v>
      </c>
      <c r="G3323" s="222" t="s">
        <v>1111</v>
      </c>
      <c r="H3323" s="223" t="str" cm="1">
        <f t="array" ref="H3323">IFERROR(INDEX(INVESTOR_LIST[INVESTOR NAME],MATCH(I3323,INVESTOR_LIST[INVESTOR CODE],0),)," ")</f>
        <v xml:space="preserve"> </v>
      </c>
      <c r="I3323" s="223"/>
      <c r="J3323" s="224" t="s">
        <v>189</v>
      </c>
      <c r="K3323" s="225">
        <v>1575</v>
      </c>
      <c r="L3323" s="225"/>
    </row>
    <row r="3324" spans="1:12" ht="11.25" customHeight="1" x14ac:dyDescent="0.2">
      <c r="A3324" s="226">
        <v>2023</v>
      </c>
      <c r="B3324" s="226">
        <v>7</v>
      </c>
      <c r="C3324" s="226">
        <v>25</v>
      </c>
      <c r="D3324" s="232">
        <f t="shared" si="365"/>
        <v>45132</v>
      </c>
      <c r="E3324" s="234">
        <f t="shared" si="367"/>
        <v>45132</v>
      </c>
      <c r="F3324" s="479"/>
      <c r="G3324" s="227" t="s">
        <v>1111</v>
      </c>
      <c r="H3324" s="228" t="str" cm="1">
        <f t="array" ref="H3324">IFERROR(INDEX(INVESTOR_LIST[INVESTOR NAME],MATCH(I3324,INVESTOR_LIST[INVESTOR CODE],0),)," ")</f>
        <v xml:space="preserve"> </v>
      </c>
      <c r="I3324" s="228"/>
      <c r="J3324" s="229" t="s">
        <v>55</v>
      </c>
      <c r="K3324" s="230"/>
      <c r="L3324" s="230">
        <v>1575</v>
      </c>
    </row>
    <row r="3325" spans="1:12" ht="11.25" customHeight="1" x14ac:dyDescent="0.2">
      <c r="A3325" s="221">
        <v>2023</v>
      </c>
      <c r="B3325" s="221">
        <v>7</v>
      </c>
      <c r="C3325" s="221">
        <v>26</v>
      </c>
      <c r="D3325" s="231">
        <f t="shared" si="365"/>
        <v>45133</v>
      </c>
      <c r="E3325" s="233">
        <f t="shared" si="367"/>
        <v>45133</v>
      </c>
      <c r="F3325" s="478" t="s">
        <v>1588</v>
      </c>
      <c r="G3325" s="222" t="s">
        <v>1111</v>
      </c>
      <c r="H3325" s="223" t="str" cm="1">
        <f t="array" ref="H3325">IFERROR(INDEX(INVESTOR_LIST[INVESTOR NAME],MATCH(I3325,INVESTOR_LIST[INVESTOR CODE],0),)," ")</f>
        <v xml:space="preserve"> </v>
      </c>
      <c r="I3325" s="223"/>
      <c r="J3325" s="224" t="s">
        <v>189</v>
      </c>
      <c r="K3325" s="225">
        <v>1800</v>
      </c>
      <c r="L3325" s="225"/>
    </row>
    <row r="3326" spans="1:12" ht="11.25" customHeight="1" x14ac:dyDescent="0.2">
      <c r="A3326" s="226">
        <v>2023</v>
      </c>
      <c r="B3326" s="226">
        <v>7</v>
      </c>
      <c r="C3326" s="226">
        <v>26</v>
      </c>
      <c r="D3326" s="232">
        <f t="shared" si="365"/>
        <v>45133</v>
      </c>
      <c r="E3326" s="234">
        <f t="shared" si="367"/>
        <v>45133</v>
      </c>
      <c r="F3326" s="479"/>
      <c r="G3326" s="227" t="s">
        <v>1111</v>
      </c>
      <c r="H3326" s="228" t="str" cm="1">
        <f t="array" ref="H3326">IFERROR(INDEX(INVESTOR_LIST[INVESTOR NAME],MATCH(I3326,INVESTOR_LIST[INVESTOR CODE],0),)," ")</f>
        <v xml:space="preserve"> </v>
      </c>
      <c r="I3326" s="228"/>
      <c r="J3326" s="229" t="s">
        <v>55</v>
      </c>
      <c r="K3326" s="230"/>
      <c r="L3326" s="230">
        <v>1800</v>
      </c>
    </row>
    <row r="3327" spans="1:12" ht="11.25" customHeight="1" x14ac:dyDescent="0.2">
      <c r="A3327" s="221">
        <v>2023</v>
      </c>
      <c r="B3327" s="221">
        <v>7</v>
      </c>
      <c r="C3327" s="221">
        <v>27</v>
      </c>
      <c r="D3327" s="231">
        <f t="shared" si="365"/>
        <v>45134</v>
      </c>
      <c r="E3327" s="233">
        <f t="shared" si="367"/>
        <v>45134</v>
      </c>
      <c r="F3327" s="478" t="s">
        <v>1132</v>
      </c>
      <c r="G3327" s="222" t="s">
        <v>1111</v>
      </c>
      <c r="H3327" s="223" t="str" cm="1">
        <f t="array" ref="H3327">IFERROR(INDEX(INVESTOR_LIST[INVESTOR NAME],MATCH(I3327,INVESTOR_LIST[INVESTOR CODE],0),)," ")</f>
        <v xml:space="preserve"> </v>
      </c>
      <c r="I3327" s="223"/>
      <c r="J3327" s="224" t="s">
        <v>55</v>
      </c>
      <c r="K3327" s="167">
        <v>15000</v>
      </c>
      <c r="L3327" s="225"/>
    </row>
    <row r="3328" spans="1:12" ht="11.25" customHeight="1" x14ac:dyDescent="0.2">
      <c r="A3328" s="164">
        <v>2023</v>
      </c>
      <c r="B3328" s="164">
        <v>7</v>
      </c>
      <c r="C3328" s="164">
        <v>27</v>
      </c>
      <c r="D3328" s="156">
        <f t="shared" si="365"/>
        <v>45134</v>
      </c>
      <c r="E3328" s="235">
        <f t="shared" si="367"/>
        <v>45134</v>
      </c>
      <c r="F3328" s="480"/>
      <c r="G3328" s="208" t="s">
        <v>1111</v>
      </c>
      <c r="H3328" s="206" t="str" cm="1">
        <f t="array" ref="H3328">IFERROR(INDEX(INVESTOR_LIST[INVESTOR NAME],MATCH(I3328,INVESTOR_LIST[INVESTOR CODE],0),)," ")</f>
        <v xml:space="preserve"> </v>
      </c>
      <c r="J3328" s="165" t="s">
        <v>14</v>
      </c>
      <c r="L3328" s="205">
        <v>14610</v>
      </c>
    </row>
    <row r="3329" spans="1:12" ht="11.25" customHeight="1" x14ac:dyDescent="0.2">
      <c r="A3329" s="226">
        <v>2023</v>
      </c>
      <c r="B3329" s="226">
        <v>7</v>
      </c>
      <c r="C3329" s="226">
        <v>27</v>
      </c>
      <c r="D3329" s="232">
        <f t="shared" si="365"/>
        <v>45134</v>
      </c>
      <c r="E3329" s="234">
        <f t="shared" si="367"/>
        <v>45134</v>
      </c>
      <c r="F3329" s="479"/>
      <c r="G3329" s="227" t="s">
        <v>1111</v>
      </c>
      <c r="H3329" s="228" t="str" cm="1">
        <f t="array" ref="H3329">IFERROR(INDEX(INVESTOR_LIST[INVESTOR NAME],MATCH(I3329,INVESTOR_LIST[INVESTOR CODE],0),)," ")</f>
        <v xml:space="preserve"> </v>
      </c>
      <c r="I3329" s="228"/>
      <c r="J3329" s="229" t="s">
        <v>1112</v>
      </c>
      <c r="K3329" s="230"/>
      <c r="L3329" s="230">
        <v>390</v>
      </c>
    </row>
    <row r="3330" spans="1:12" ht="11.25" customHeight="1" x14ac:dyDescent="0.2">
      <c r="A3330" s="280">
        <v>2023</v>
      </c>
      <c r="B3330" s="280">
        <v>7</v>
      </c>
      <c r="C3330" s="280">
        <v>27</v>
      </c>
      <c r="D3330" s="281">
        <f t="shared" si="365"/>
        <v>45134</v>
      </c>
      <c r="E3330" s="282">
        <f t="shared" ref="E3330:E3348" si="368">DATE(A3330,B3330,C3330)</f>
        <v>45134</v>
      </c>
      <c r="F3330" s="472" t="s">
        <v>1369</v>
      </c>
      <c r="G3330" s="283" t="s">
        <v>86</v>
      </c>
      <c r="H3330" s="284" t="str" cm="1">
        <f t="array" ref="H3330">IFERROR(INDEX(INVESTOR_LIST[INVESTOR NAME],MATCH(I3330,INVESTOR_LIST[INVESTOR CODE],0),)," ")</f>
        <v xml:space="preserve"> </v>
      </c>
      <c r="I3330" s="284"/>
      <c r="J3330" s="285" t="s">
        <v>131</v>
      </c>
      <c r="K3330" s="286">
        <v>88391.82</v>
      </c>
      <c r="L3330" s="286"/>
    </row>
    <row r="3331" spans="1:12" ht="11.25" customHeight="1" x14ac:dyDescent="0.2">
      <c r="A3331" s="287">
        <v>2023</v>
      </c>
      <c r="B3331" s="287">
        <v>7</v>
      </c>
      <c r="C3331" s="287">
        <v>27</v>
      </c>
      <c r="D3331" s="288">
        <f t="shared" si="365"/>
        <v>45134</v>
      </c>
      <c r="E3331" s="289">
        <f t="shared" si="368"/>
        <v>45134</v>
      </c>
      <c r="F3331" s="473"/>
      <c r="G3331" s="290" t="s">
        <v>86</v>
      </c>
      <c r="H3331" s="291" t="str" cm="1">
        <f t="array" ref="H3331">IFERROR(INDEX(INVESTOR_LIST[INVESTOR NAME],MATCH(I3331,INVESTOR_LIST[INVESTOR CODE],0),)," ")</f>
        <v xml:space="preserve"> </v>
      </c>
      <c r="I3331" s="291"/>
      <c r="J3331" s="292" t="s">
        <v>174</v>
      </c>
      <c r="K3331" s="293"/>
      <c r="L3331" s="293">
        <v>88391.82</v>
      </c>
    </row>
    <row r="3332" spans="1:12" ht="11.25" customHeight="1" x14ac:dyDescent="0.2">
      <c r="A3332" s="280">
        <v>2023</v>
      </c>
      <c r="B3332" s="280">
        <v>7</v>
      </c>
      <c r="C3332" s="280">
        <v>27</v>
      </c>
      <c r="D3332" s="281">
        <f t="shared" si="365"/>
        <v>45134</v>
      </c>
      <c r="E3332" s="282">
        <f t="shared" si="368"/>
        <v>45134</v>
      </c>
      <c r="F3332" s="472" t="s">
        <v>1295</v>
      </c>
      <c r="G3332" s="283" t="s">
        <v>86</v>
      </c>
      <c r="H3332" s="284" t="str" cm="1">
        <f t="array" ref="H3332">IFERROR(INDEX(INVESTOR_LIST[INVESTOR NAME],MATCH(I3332,INVESTOR_LIST[INVESTOR CODE],0),)," ")</f>
        <v xml:space="preserve"> </v>
      </c>
      <c r="I3332" s="284"/>
      <c r="J3332" s="285" t="s">
        <v>131</v>
      </c>
      <c r="K3332" s="286">
        <v>17028.849999999999</v>
      </c>
      <c r="L3332" s="286"/>
    </row>
    <row r="3333" spans="1:12" ht="11.25" customHeight="1" x14ac:dyDescent="0.2">
      <c r="A3333" s="287">
        <v>2023</v>
      </c>
      <c r="B3333" s="287">
        <v>7</v>
      </c>
      <c r="C3333" s="287">
        <v>27</v>
      </c>
      <c r="D3333" s="288">
        <f t="shared" si="365"/>
        <v>45134</v>
      </c>
      <c r="E3333" s="289">
        <f t="shared" si="368"/>
        <v>45134</v>
      </c>
      <c r="F3333" s="473"/>
      <c r="G3333" s="290" t="s">
        <v>86</v>
      </c>
      <c r="H3333" s="291" t="str" cm="1">
        <f t="array" ref="H3333">IFERROR(INDEX(INVESTOR_LIST[INVESTOR NAME],MATCH(I3333,INVESTOR_LIST[INVESTOR CODE],0),)," ")</f>
        <v xml:space="preserve"> </v>
      </c>
      <c r="I3333" s="291"/>
      <c r="J3333" s="292" t="s">
        <v>174</v>
      </c>
      <c r="K3333" s="293"/>
      <c r="L3333" s="293">
        <v>17028.849999999999</v>
      </c>
    </row>
    <row r="3334" spans="1:12" ht="11.25" customHeight="1" x14ac:dyDescent="0.2">
      <c r="A3334" s="280">
        <v>2023</v>
      </c>
      <c r="B3334" s="280">
        <v>7</v>
      </c>
      <c r="C3334" s="280">
        <v>27</v>
      </c>
      <c r="D3334" s="281">
        <f t="shared" si="365"/>
        <v>45134</v>
      </c>
      <c r="E3334" s="282">
        <f t="shared" si="368"/>
        <v>45134</v>
      </c>
      <c r="F3334" s="472" t="s">
        <v>1294</v>
      </c>
      <c r="G3334" s="283" t="s">
        <v>86</v>
      </c>
      <c r="H3334" s="284" t="str" cm="1">
        <f t="array" ref="H3334">IFERROR(INDEX(INVESTOR_LIST[INVESTOR NAME],MATCH(I3334,INVESTOR_LIST[INVESTOR CODE],0),)," ")</f>
        <v xml:space="preserve"> </v>
      </c>
      <c r="I3334" s="284"/>
      <c r="J3334" s="285" t="s">
        <v>131</v>
      </c>
      <c r="K3334" s="286">
        <v>10769.23</v>
      </c>
      <c r="L3334" s="286"/>
    </row>
    <row r="3335" spans="1:12" ht="11.25" customHeight="1" x14ac:dyDescent="0.2">
      <c r="A3335" s="287">
        <v>2023</v>
      </c>
      <c r="B3335" s="287">
        <v>7</v>
      </c>
      <c r="C3335" s="287">
        <v>27</v>
      </c>
      <c r="D3335" s="288">
        <f t="shared" si="365"/>
        <v>45134</v>
      </c>
      <c r="E3335" s="289">
        <f t="shared" si="368"/>
        <v>45134</v>
      </c>
      <c r="F3335" s="473"/>
      <c r="G3335" s="290" t="s">
        <v>86</v>
      </c>
      <c r="H3335" s="291" t="str" cm="1">
        <f t="array" ref="H3335">IFERROR(INDEX(INVESTOR_LIST[INVESTOR NAME],MATCH(I3335,INVESTOR_LIST[INVESTOR CODE],0),)," ")</f>
        <v xml:space="preserve"> </v>
      </c>
      <c r="I3335" s="291"/>
      <c r="J3335" s="292" t="s">
        <v>174</v>
      </c>
      <c r="K3335" s="293"/>
      <c r="L3335" s="293">
        <v>10769.23</v>
      </c>
    </row>
    <row r="3336" spans="1:12" ht="11.25" customHeight="1" x14ac:dyDescent="0.2">
      <c r="A3336" s="280">
        <v>2023</v>
      </c>
      <c r="B3336" s="280">
        <v>7</v>
      </c>
      <c r="C3336" s="280">
        <v>27</v>
      </c>
      <c r="D3336" s="281">
        <f t="shared" si="365"/>
        <v>45134</v>
      </c>
      <c r="E3336" s="282">
        <f t="shared" si="368"/>
        <v>45134</v>
      </c>
      <c r="F3336" s="472" t="s">
        <v>1584</v>
      </c>
      <c r="G3336" s="283" t="s">
        <v>86</v>
      </c>
      <c r="H3336" s="284" t="str" cm="1">
        <f t="array" ref="H3336">IFERROR(INDEX(INVESTOR_LIST[INVESTOR NAME],MATCH(I3336,INVESTOR_LIST[INVESTOR CODE],0),)," ")</f>
        <v xml:space="preserve"> </v>
      </c>
      <c r="I3336" s="284"/>
      <c r="J3336" s="285" t="s">
        <v>131</v>
      </c>
      <c r="K3336" s="286">
        <v>12692.31</v>
      </c>
      <c r="L3336" s="286"/>
    </row>
    <row r="3337" spans="1:12" ht="11.25" customHeight="1" x14ac:dyDescent="0.2">
      <c r="A3337" s="287">
        <v>2023</v>
      </c>
      <c r="B3337" s="287">
        <v>7</v>
      </c>
      <c r="C3337" s="287">
        <v>27</v>
      </c>
      <c r="D3337" s="288">
        <f t="shared" ref="D3337:D3400" si="369">DATE(A3337,B3337,C3337)</f>
        <v>45134</v>
      </c>
      <c r="E3337" s="289">
        <f t="shared" si="368"/>
        <v>45134</v>
      </c>
      <c r="F3337" s="473"/>
      <c r="G3337" s="290" t="s">
        <v>86</v>
      </c>
      <c r="H3337" s="291" t="str" cm="1">
        <f t="array" ref="H3337">IFERROR(INDEX(INVESTOR_LIST[INVESTOR NAME],MATCH(I3337,INVESTOR_LIST[INVESTOR CODE],0),)," ")</f>
        <v xml:space="preserve"> </v>
      </c>
      <c r="I3337" s="291"/>
      <c r="J3337" s="292" t="s">
        <v>174</v>
      </c>
      <c r="K3337" s="293"/>
      <c r="L3337" s="293">
        <v>12692.31</v>
      </c>
    </row>
    <row r="3338" spans="1:12" ht="11.25" customHeight="1" x14ac:dyDescent="0.2">
      <c r="A3338" s="236">
        <v>2023</v>
      </c>
      <c r="B3338" s="236">
        <v>7</v>
      </c>
      <c r="C3338" s="236">
        <v>27</v>
      </c>
      <c r="D3338" s="237">
        <f t="shared" si="369"/>
        <v>45134</v>
      </c>
      <c r="E3338" s="238">
        <f t="shared" si="368"/>
        <v>45134</v>
      </c>
      <c r="F3338" s="476" t="s">
        <v>1118</v>
      </c>
      <c r="G3338" s="239" t="s">
        <v>86</v>
      </c>
      <c r="H3338" s="239" t="str" cm="1">
        <f t="array" ref="H3338">IFERROR(INDEX(INVESTOR_LIST[INVESTOR NAME],MATCH(I3338,INVESTOR_LIST[INVESTOR CODE],0),)," ")</f>
        <v xml:space="preserve"> </v>
      </c>
      <c r="I3338" s="240"/>
      <c r="J3338" s="241" t="s">
        <v>82</v>
      </c>
      <c r="K3338" s="242">
        <v>7381.9000000059605</v>
      </c>
      <c r="L3338" s="242"/>
    </row>
    <row r="3339" spans="1:12" ht="11.25" customHeight="1" x14ac:dyDescent="0.2">
      <c r="A3339" s="243">
        <v>2023</v>
      </c>
      <c r="B3339" s="243">
        <v>7</v>
      </c>
      <c r="C3339" s="243">
        <v>27</v>
      </c>
      <c r="D3339" s="248">
        <f t="shared" si="369"/>
        <v>45134</v>
      </c>
      <c r="E3339" s="249">
        <f t="shared" si="368"/>
        <v>45134</v>
      </c>
      <c r="F3339" s="477"/>
      <c r="G3339" s="244" t="s">
        <v>86</v>
      </c>
      <c r="H3339" s="244" t="str" cm="1">
        <f t="array" ref="H3339">IFERROR(INDEX(INVESTOR_LIST[INVESTOR NAME],MATCH(I3339,INVESTOR_LIST[INVESTOR CODE],0),)," ")</f>
        <v xml:space="preserve"> </v>
      </c>
      <c r="I3339" s="245"/>
      <c r="J3339" s="246" t="s">
        <v>98</v>
      </c>
      <c r="K3339" s="247"/>
      <c r="L3339" s="247">
        <v>7381.9000000059605</v>
      </c>
    </row>
    <row r="3340" spans="1:12" ht="11.25" customHeight="1" x14ac:dyDescent="0.2">
      <c r="A3340" s="236">
        <v>2023</v>
      </c>
      <c r="B3340" s="236">
        <v>7</v>
      </c>
      <c r="C3340" s="236">
        <v>27</v>
      </c>
      <c r="D3340" s="237">
        <f t="shared" si="369"/>
        <v>45134</v>
      </c>
      <c r="E3340" s="238">
        <f t="shared" si="368"/>
        <v>45134</v>
      </c>
      <c r="F3340" s="476" t="s">
        <v>1120</v>
      </c>
      <c r="G3340" s="239" t="s">
        <v>86</v>
      </c>
      <c r="H3340" s="239" t="str" cm="1">
        <f t="array" ref="H3340">IFERROR(INDEX(INVESTOR_LIST[INVESTOR NAME],MATCH(I3340,INVESTOR_LIST[INVESTOR CODE],0),)," ")</f>
        <v xml:space="preserve"> </v>
      </c>
      <c r="I3340" s="240"/>
      <c r="J3340" s="241" t="s">
        <v>87</v>
      </c>
      <c r="K3340" s="242">
        <v>2747.2527472527472</v>
      </c>
      <c r="L3340" s="242"/>
    </row>
    <row r="3341" spans="1:12" ht="11.25" customHeight="1" x14ac:dyDescent="0.2">
      <c r="A3341" s="243">
        <v>2023</v>
      </c>
      <c r="B3341" s="243">
        <v>7</v>
      </c>
      <c r="C3341" s="243">
        <v>27</v>
      </c>
      <c r="D3341" s="248">
        <f t="shared" si="369"/>
        <v>45134</v>
      </c>
      <c r="E3341" s="249">
        <f t="shared" si="368"/>
        <v>45134</v>
      </c>
      <c r="F3341" s="477"/>
      <c r="G3341" s="244" t="s">
        <v>86</v>
      </c>
      <c r="H3341" s="244" t="str" cm="1">
        <f t="array" ref="H3341">IFERROR(INDEX(INVESTOR_LIST[INVESTOR NAME],MATCH(I3341,INVESTOR_LIST[INVESTOR CODE],0),)," ")</f>
        <v xml:space="preserve"> </v>
      </c>
      <c r="I3341" s="245"/>
      <c r="J3341" s="246" t="s">
        <v>64</v>
      </c>
      <c r="K3341" s="247"/>
      <c r="L3341" s="247">
        <v>2747.2527472527472</v>
      </c>
    </row>
    <row r="3342" spans="1:12" ht="11.25" customHeight="1" x14ac:dyDescent="0.2">
      <c r="A3342" s="236">
        <v>2023</v>
      </c>
      <c r="B3342" s="236">
        <v>7</v>
      </c>
      <c r="C3342" s="236">
        <v>27</v>
      </c>
      <c r="D3342" s="237">
        <f t="shared" si="369"/>
        <v>45134</v>
      </c>
      <c r="E3342" s="238">
        <f t="shared" si="368"/>
        <v>45134</v>
      </c>
      <c r="F3342" s="476" t="s">
        <v>1121</v>
      </c>
      <c r="G3342" s="239" t="s">
        <v>86</v>
      </c>
      <c r="H3342" s="239" t="str" cm="1">
        <f t="array" ref="H3342">IFERROR(INDEX(INVESTOR_LIST[INVESTOR NAME],MATCH(I3342,INVESTOR_LIST[INVESTOR CODE],0),)," ")</f>
        <v xml:space="preserve"> </v>
      </c>
      <c r="I3342" s="240"/>
      <c r="J3342" s="241" t="s">
        <v>89</v>
      </c>
      <c r="K3342" s="242">
        <v>35423.621278851133</v>
      </c>
      <c r="L3342" s="242"/>
    </row>
    <row r="3343" spans="1:12" ht="11.25" customHeight="1" x14ac:dyDescent="0.2">
      <c r="A3343" s="243">
        <v>2023</v>
      </c>
      <c r="B3343" s="243">
        <v>7</v>
      </c>
      <c r="C3343" s="243">
        <v>27</v>
      </c>
      <c r="D3343" s="248">
        <f t="shared" si="369"/>
        <v>45134</v>
      </c>
      <c r="E3343" s="249">
        <f t="shared" si="368"/>
        <v>45134</v>
      </c>
      <c r="F3343" s="477"/>
      <c r="G3343" s="244" t="s">
        <v>86</v>
      </c>
      <c r="H3343" s="244" t="str" cm="1">
        <f t="array" ref="H3343">IFERROR(INDEX(INVESTOR_LIST[INVESTOR NAME],MATCH(I3343,INVESTOR_LIST[INVESTOR CODE],0),)," ")</f>
        <v xml:space="preserve"> </v>
      </c>
      <c r="I3343" s="245"/>
      <c r="J3343" s="246" t="s">
        <v>50</v>
      </c>
      <c r="K3343" s="247"/>
      <c r="L3343" s="247">
        <v>35423.621278851133</v>
      </c>
    </row>
    <row r="3344" spans="1:12" ht="11.25" customHeight="1" x14ac:dyDescent="0.2">
      <c r="A3344" s="236">
        <v>2023</v>
      </c>
      <c r="B3344" s="236">
        <v>7</v>
      </c>
      <c r="C3344" s="236">
        <v>27</v>
      </c>
      <c r="D3344" s="237">
        <f t="shared" si="369"/>
        <v>45134</v>
      </c>
      <c r="E3344" s="238">
        <f t="shared" si="368"/>
        <v>45134</v>
      </c>
      <c r="F3344" s="476" t="s">
        <v>1122</v>
      </c>
      <c r="G3344" s="239" t="s">
        <v>86</v>
      </c>
      <c r="H3344" s="239" t="str" cm="1">
        <f t="array" ref="H3344">IFERROR(INDEX(INVESTOR_LIST[INVESTOR NAME],MATCH(I3344,INVESTOR_LIST[INVESTOR CODE],0),)," ")</f>
        <v xml:space="preserve"> </v>
      </c>
      <c r="I3344" s="240"/>
      <c r="J3344" s="241" t="s">
        <v>91</v>
      </c>
      <c r="K3344" s="242">
        <v>3542.3621278851138</v>
      </c>
      <c r="L3344" s="242"/>
    </row>
    <row r="3345" spans="1:13" ht="11.25" customHeight="1" x14ac:dyDescent="0.2">
      <c r="A3345" s="243">
        <v>2023</v>
      </c>
      <c r="B3345" s="243">
        <v>7</v>
      </c>
      <c r="C3345" s="243">
        <v>27</v>
      </c>
      <c r="D3345" s="248">
        <f t="shared" si="369"/>
        <v>45134</v>
      </c>
      <c r="E3345" s="249">
        <f t="shared" si="368"/>
        <v>45134</v>
      </c>
      <c r="F3345" s="477"/>
      <c r="G3345" s="244" t="s">
        <v>86</v>
      </c>
      <c r="H3345" s="244" t="str" cm="1">
        <f t="array" ref="H3345">IFERROR(INDEX(INVESTOR_LIST[INVESTOR NAME],MATCH(I3345,INVESTOR_LIST[INVESTOR CODE],0),)," ")</f>
        <v xml:space="preserve"> </v>
      </c>
      <c r="I3345" s="245"/>
      <c r="J3345" s="246" t="s">
        <v>51</v>
      </c>
      <c r="K3345" s="247"/>
      <c r="L3345" s="247">
        <v>3542.3621278851138</v>
      </c>
    </row>
    <row r="3346" spans="1:13" ht="11.25" customHeight="1" x14ac:dyDescent="0.2">
      <c r="A3346" s="221">
        <v>2023</v>
      </c>
      <c r="B3346" s="221">
        <v>7</v>
      </c>
      <c r="C3346" s="221">
        <v>30</v>
      </c>
      <c r="D3346" s="231">
        <f t="shared" si="369"/>
        <v>45137</v>
      </c>
      <c r="E3346" s="233">
        <f t="shared" si="368"/>
        <v>45137</v>
      </c>
      <c r="F3346" s="478" t="s">
        <v>1115</v>
      </c>
      <c r="G3346" s="222" t="s">
        <v>1111</v>
      </c>
      <c r="H3346" s="223" t="str" cm="1">
        <f t="array" ref="H3346">IFERROR(INDEX(INVESTOR_LIST[INVESTOR NAME],MATCH(I3346,INVESTOR_LIST[INVESTOR CODE],0),)," ")</f>
        <v>MD. MIZANUR RAHMAN</v>
      </c>
      <c r="I3346" s="223" t="s">
        <v>808</v>
      </c>
      <c r="J3346" s="224" t="s">
        <v>14</v>
      </c>
      <c r="K3346" s="225">
        <v>200000</v>
      </c>
      <c r="L3346" s="225"/>
    </row>
    <row r="3347" spans="1:13" ht="11.25" customHeight="1" x14ac:dyDescent="0.2">
      <c r="A3347" s="164">
        <v>2023</v>
      </c>
      <c r="B3347" s="164">
        <v>7</v>
      </c>
      <c r="C3347" s="164">
        <v>30</v>
      </c>
      <c r="D3347" s="156">
        <f t="shared" si="369"/>
        <v>45137</v>
      </c>
      <c r="E3347" s="235">
        <f t="shared" si="368"/>
        <v>45137</v>
      </c>
      <c r="F3347" s="480"/>
      <c r="G3347" s="208" t="s">
        <v>1111</v>
      </c>
      <c r="H3347" s="206" t="str" cm="1">
        <f t="array" ref="H3347">IFERROR(INDEX(INVESTOR_LIST[INVESTOR NAME],MATCH(I3347,INVESTOR_LIST[INVESTOR CODE],0),)," ")</f>
        <v>MD. MIZANUR RAHMAN</v>
      </c>
      <c r="I3347" s="206" t="s">
        <v>808</v>
      </c>
      <c r="J3347" s="165" t="s">
        <v>1112</v>
      </c>
      <c r="K3347" s="205">
        <v>5340</v>
      </c>
    </row>
    <row r="3348" spans="1:13" ht="11.25" customHeight="1" x14ac:dyDescent="0.2">
      <c r="A3348" s="226">
        <v>2023</v>
      </c>
      <c r="B3348" s="226">
        <v>7</v>
      </c>
      <c r="C3348" s="226">
        <v>30</v>
      </c>
      <c r="D3348" s="232">
        <f t="shared" si="369"/>
        <v>45137</v>
      </c>
      <c r="E3348" s="234">
        <f t="shared" si="368"/>
        <v>45137</v>
      </c>
      <c r="F3348" s="479"/>
      <c r="G3348" s="227" t="s">
        <v>1111</v>
      </c>
      <c r="H3348" s="228" t="str" cm="1">
        <f t="array" ref="H3348">IFERROR(INDEX(INVESTOR_LIST[INVESTOR NAME],MATCH(I3348,INVESTOR_LIST[INVESTOR CODE],0),)," ")</f>
        <v>MD. MIZANUR RAHMAN</v>
      </c>
      <c r="I3348" s="228" t="s">
        <v>808</v>
      </c>
      <c r="J3348" s="229" t="s">
        <v>55</v>
      </c>
      <c r="K3348" s="230"/>
      <c r="L3348" s="230">
        <v>205340</v>
      </c>
    </row>
    <row r="3349" spans="1:13" ht="11.25" customHeight="1" x14ac:dyDescent="0.2">
      <c r="A3349" s="221">
        <v>2023</v>
      </c>
      <c r="B3349" s="221">
        <v>7</v>
      </c>
      <c r="C3349" s="221">
        <v>30</v>
      </c>
      <c r="D3349" s="231">
        <f t="shared" si="369"/>
        <v>45137</v>
      </c>
      <c r="E3349" s="233">
        <f t="shared" ref="E3349:E3355" si="370">DATE(A3349,B3349,C3349)</f>
        <v>45137</v>
      </c>
      <c r="F3349" s="478" t="s">
        <v>1115</v>
      </c>
      <c r="G3349" s="222" t="s">
        <v>1111</v>
      </c>
      <c r="H3349" s="223" t="str" cm="1">
        <f t="array" ref="H3349">IFERROR(INDEX(INVESTOR_LIST[INVESTOR NAME],MATCH(I3349,INVESTOR_LIST[INVESTOR CODE],0),)," ")</f>
        <v>MAZED AHMED ABDULLAH</v>
      </c>
      <c r="I3349" s="223" t="s">
        <v>1224</v>
      </c>
      <c r="J3349" s="224" t="s">
        <v>14</v>
      </c>
      <c r="K3349" s="225">
        <v>389450</v>
      </c>
      <c r="L3349" s="225"/>
    </row>
    <row r="3350" spans="1:13" ht="11.25" customHeight="1" x14ac:dyDescent="0.2">
      <c r="A3350" s="164">
        <v>2023</v>
      </c>
      <c r="B3350" s="164">
        <v>7</v>
      </c>
      <c r="C3350" s="164">
        <v>30</v>
      </c>
      <c r="D3350" s="156">
        <f t="shared" si="369"/>
        <v>45137</v>
      </c>
      <c r="E3350" s="235">
        <f t="shared" si="370"/>
        <v>45137</v>
      </c>
      <c r="F3350" s="480"/>
      <c r="G3350" s="208" t="s">
        <v>1111</v>
      </c>
      <c r="H3350" s="206" t="str" cm="1">
        <f t="array" ref="H3350">IFERROR(INDEX(INVESTOR_LIST[INVESTOR NAME],MATCH(I3350,INVESTOR_LIST[INVESTOR CODE],0),)," ")</f>
        <v>MAZED AHMED ABDULLAH</v>
      </c>
      <c r="I3350" s="206" t="s">
        <v>1224</v>
      </c>
      <c r="J3350" s="165" t="s">
        <v>1112</v>
      </c>
      <c r="K3350" s="205">
        <v>10550</v>
      </c>
    </row>
    <row r="3351" spans="1:13" ht="11.25" customHeight="1" x14ac:dyDescent="0.2">
      <c r="A3351" s="226">
        <v>2023</v>
      </c>
      <c r="B3351" s="226">
        <v>7</v>
      </c>
      <c r="C3351" s="226">
        <v>30</v>
      </c>
      <c r="D3351" s="232">
        <f t="shared" si="369"/>
        <v>45137</v>
      </c>
      <c r="E3351" s="234">
        <f t="shared" si="370"/>
        <v>45137</v>
      </c>
      <c r="F3351" s="479"/>
      <c r="G3351" s="227" t="s">
        <v>1111</v>
      </c>
      <c r="H3351" s="228" t="str" cm="1">
        <f t="array" ref="H3351">IFERROR(INDEX(INVESTOR_LIST[INVESTOR NAME],MATCH(I3351,INVESTOR_LIST[INVESTOR CODE],0),)," ")</f>
        <v>MAZED AHMED ABDULLAH</v>
      </c>
      <c r="I3351" s="228" t="s">
        <v>1224</v>
      </c>
      <c r="J3351" s="229" t="s">
        <v>55</v>
      </c>
      <c r="K3351" s="230"/>
      <c r="L3351" s="230">
        <v>400000</v>
      </c>
    </row>
    <row r="3352" spans="1:13" ht="11.25" customHeight="1" x14ac:dyDescent="0.2">
      <c r="A3352" s="221">
        <v>2023</v>
      </c>
      <c r="B3352" s="221">
        <v>7</v>
      </c>
      <c r="C3352" s="221">
        <v>31</v>
      </c>
      <c r="D3352" s="221">
        <f t="shared" si="369"/>
        <v>45138</v>
      </c>
      <c r="E3352" s="233">
        <f t="shared" si="370"/>
        <v>45138</v>
      </c>
      <c r="F3352" s="478" t="s">
        <v>1589</v>
      </c>
      <c r="G3352" s="222" t="s">
        <v>86</v>
      </c>
      <c r="H3352" s="222" t="str" cm="1">
        <f t="array" ref="H3352">IFERROR(INDEX(INVESTOR_LIST[INVESTOR NAME],MATCH(I3352,INVESTOR_LIST[INVESTOR CODE],0),)," ")</f>
        <v xml:space="preserve"> </v>
      </c>
      <c r="I3352" s="223"/>
      <c r="J3352" s="165" t="s">
        <v>199</v>
      </c>
      <c r="K3352" s="225">
        <v>363344.79</v>
      </c>
      <c r="L3352" s="225"/>
    </row>
    <row r="3353" spans="1:13" ht="11.25" customHeight="1" x14ac:dyDescent="0.2">
      <c r="A3353" s="164">
        <v>2023</v>
      </c>
      <c r="B3353" s="164">
        <v>7</v>
      </c>
      <c r="C3353" s="164">
        <v>31</v>
      </c>
      <c r="D3353" s="164">
        <f t="shared" si="369"/>
        <v>45138</v>
      </c>
      <c r="E3353" s="235">
        <f t="shared" si="370"/>
        <v>45138</v>
      </c>
      <c r="F3353" s="480"/>
      <c r="G3353" s="208" t="s">
        <v>86</v>
      </c>
      <c r="H3353" s="208"/>
      <c r="J3353" s="165" t="s">
        <v>960</v>
      </c>
      <c r="K3353" s="205">
        <v>655.21</v>
      </c>
      <c r="L3353" s="205"/>
    </row>
    <row r="3354" spans="1:13" ht="11.25" customHeight="1" x14ac:dyDescent="0.2">
      <c r="A3354" s="164">
        <v>2023</v>
      </c>
      <c r="B3354" s="164">
        <v>7</v>
      </c>
      <c r="C3354" s="164">
        <v>31</v>
      </c>
      <c r="D3354" s="164">
        <f t="shared" si="369"/>
        <v>45138</v>
      </c>
      <c r="E3354" s="235">
        <f t="shared" si="370"/>
        <v>45138</v>
      </c>
      <c r="F3354" s="480"/>
      <c r="G3354" s="208" t="s">
        <v>86</v>
      </c>
      <c r="H3354" s="208"/>
      <c r="J3354" s="165" t="s">
        <v>200</v>
      </c>
      <c r="K3354" s="205"/>
      <c r="L3354" s="205">
        <v>274000</v>
      </c>
    </row>
    <row r="3355" spans="1:13" ht="11.25" customHeight="1" x14ac:dyDescent="0.2">
      <c r="A3355" s="226">
        <v>2023</v>
      </c>
      <c r="B3355" s="226">
        <v>7</v>
      </c>
      <c r="C3355" s="226">
        <v>31</v>
      </c>
      <c r="D3355" s="226">
        <f t="shared" si="369"/>
        <v>45138</v>
      </c>
      <c r="E3355" s="234">
        <f t="shared" si="370"/>
        <v>45138</v>
      </c>
      <c r="F3355" s="479"/>
      <c r="G3355" s="227" t="s">
        <v>86</v>
      </c>
      <c r="H3355" s="228" t="str" cm="1">
        <f t="array" ref="H3355">IFERROR(INDEX(INVESTOR_LIST[INVESTOR NAME],MATCH(I3355,INVESTOR_LIST[INVESTOR CODE],0),)," ")</f>
        <v xml:space="preserve"> </v>
      </c>
      <c r="I3355" s="228"/>
      <c r="J3355" s="229" t="s">
        <v>80</v>
      </c>
      <c r="K3355" s="230"/>
      <c r="L3355" s="230">
        <v>90000</v>
      </c>
    </row>
    <row r="3356" spans="1:13" ht="11.25" customHeight="1" x14ac:dyDescent="0.2">
      <c r="A3356" s="221">
        <v>2023</v>
      </c>
      <c r="B3356" s="221">
        <v>8</v>
      </c>
      <c r="C3356" s="221">
        <v>3</v>
      </c>
      <c r="D3356" s="231">
        <f t="shared" si="369"/>
        <v>45141</v>
      </c>
      <c r="E3356" s="233">
        <f t="shared" ref="E3356:E3383" si="371">DATE(A3356,B3356,C3356)</f>
        <v>45141</v>
      </c>
      <c r="F3356" s="478" t="s">
        <v>1115</v>
      </c>
      <c r="G3356" s="222" t="s">
        <v>1111</v>
      </c>
      <c r="H3356" s="223" t="str" cm="1">
        <f t="array" ref="H3356">IFERROR(INDEX(INVESTOR_LIST[INVESTOR NAME],MATCH(I3356,INVESTOR_LIST[INVESTOR CODE],0),)," ")</f>
        <v>NASRIN AHMED HELA</v>
      </c>
      <c r="I3356" s="223" t="s">
        <v>1245</v>
      </c>
      <c r="J3356" s="224" t="s">
        <v>14</v>
      </c>
      <c r="K3356" s="225">
        <v>486810</v>
      </c>
      <c r="L3356" s="225"/>
    </row>
    <row r="3357" spans="1:13" ht="11.25" customHeight="1" x14ac:dyDescent="0.2">
      <c r="A3357" s="164">
        <v>2023</v>
      </c>
      <c r="B3357" s="164">
        <v>8</v>
      </c>
      <c r="C3357" s="164">
        <v>3</v>
      </c>
      <c r="D3357" s="156">
        <f t="shared" si="369"/>
        <v>45141</v>
      </c>
      <c r="E3357" s="235">
        <f t="shared" si="371"/>
        <v>45141</v>
      </c>
      <c r="F3357" s="480"/>
      <c r="G3357" s="208" t="s">
        <v>1111</v>
      </c>
      <c r="H3357" s="206" t="str" cm="1">
        <f t="array" ref="H3357">IFERROR(INDEX(INVESTOR_LIST[INVESTOR NAME],MATCH(I3357,INVESTOR_LIST[INVESTOR CODE],0),)," ")</f>
        <v>NASRIN AHMED HELA</v>
      </c>
      <c r="I3357" s="206" t="s">
        <v>1245</v>
      </c>
      <c r="J3357" s="165" t="s">
        <v>1112</v>
      </c>
      <c r="K3357" s="205">
        <v>13190</v>
      </c>
    </row>
    <row r="3358" spans="1:13" ht="11.25" customHeight="1" x14ac:dyDescent="0.2">
      <c r="A3358" s="226">
        <v>2023</v>
      </c>
      <c r="B3358" s="226">
        <v>8</v>
      </c>
      <c r="C3358" s="226">
        <v>3</v>
      </c>
      <c r="D3358" s="232">
        <f t="shared" si="369"/>
        <v>45141</v>
      </c>
      <c r="E3358" s="234">
        <f t="shared" si="371"/>
        <v>45141</v>
      </c>
      <c r="F3358" s="479"/>
      <c r="G3358" s="227" t="s">
        <v>1111</v>
      </c>
      <c r="H3358" s="228" t="str" cm="1">
        <f t="array" ref="H3358">IFERROR(INDEX(INVESTOR_LIST[INVESTOR NAME],MATCH(I3358,INVESTOR_LIST[INVESTOR CODE],0),)," ")</f>
        <v>NASRIN AHMED HELA</v>
      </c>
      <c r="I3358" s="228" t="s">
        <v>1245</v>
      </c>
      <c r="J3358" s="229" t="s">
        <v>55</v>
      </c>
      <c r="K3358" s="230"/>
      <c r="L3358" s="230">
        <v>500000</v>
      </c>
    </row>
    <row r="3359" spans="1:13" ht="11.25" customHeight="1" x14ac:dyDescent="0.2">
      <c r="A3359" s="221">
        <v>2023</v>
      </c>
      <c r="B3359" s="221">
        <v>8</v>
      </c>
      <c r="C3359" s="221">
        <v>3</v>
      </c>
      <c r="D3359" s="231">
        <f t="shared" si="369"/>
        <v>45141</v>
      </c>
      <c r="E3359" s="233">
        <f t="shared" si="371"/>
        <v>45141</v>
      </c>
      <c r="F3359" s="478" t="s">
        <v>1590</v>
      </c>
      <c r="G3359" s="222" t="s">
        <v>1111</v>
      </c>
      <c r="H3359" s="223" t="str" cm="1">
        <f t="array" ref="H3359">IFERROR(INDEX(INVESTOR_LIST[INVESTOR NAME],MATCH(I3359,INVESTOR_LIST[INVESTOR CODE],0),)," ")</f>
        <v xml:space="preserve"> </v>
      </c>
      <c r="I3359" s="223"/>
      <c r="J3359" s="224" t="s">
        <v>55</v>
      </c>
      <c r="K3359" s="225">
        <v>364000</v>
      </c>
      <c r="L3359" s="225"/>
    </row>
    <row r="3360" spans="1:13" ht="11.25" customHeight="1" x14ac:dyDescent="0.2">
      <c r="A3360" s="226">
        <v>2023</v>
      </c>
      <c r="B3360" s="226">
        <v>8</v>
      </c>
      <c r="C3360" s="226">
        <v>3</v>
      </c>
      <c r="D3360" s="232">
        <f t="shared" si="369"/>
        <v>45141</v>
      </c>
      <c r="E3360" s="234">
        <f t="shared" si="371"/>
        <v>45141</v>
      </c>
      <c r="F3360" s="479"/>
      <c r="G3360" s="227" t="s">
        <v>1111</v>
      </c>
      <c r="H3360" s="228" t="str" cm="1">
        <f t="array" ref="H3360">IFERROR(INDEX(INVESTOR_LIST[INVESTOR NAME],MATCH(I3360,INVESTOR_LIST[INVESTOR CODE],0),)," ")</f>
        <v xml:space="preserve"> </v>
      </c>
      <c r="I3360" s="228"/>
      <c r="J3360" s="229" t="s">
        <v>199</v>
      </c>
      <c r="K3360" s="230"/>
      <c r="L3360" s="230">
        <v>364000</v>
      </c>
      <c r="M3360" s="166"/>
    </row>
    <row r="3361" spans="1:12" ht="11.25" customHeight="1" x14ac:dyDescent="0.2">
      <c r="A3361" s="280">
        <v>2023</v>
      </c>
      <c r="B3361" s="280">
        <v>8</v>
      </c>
      <c r="C3361" s="280">
        <v>3</v>
      </c>
      <c r="D3361" s="281">
        <f t="shared" si="369"/>
        <v>45141</v>
      </c>
      <c r="E3361" s="282">
        <f t="shared" si="371"/>
        <v>45141</v>
      </c>
      <c r="F3361" s="472" t="s">
        <v>1369</v>
      </c>
      <c r="G3361" s="283" t="s">
        <v>86</v>
      </c>
      <c r="H3361" s="284" t="str" cm="1">
        <f t="array" ref="H3361">IFERROR(INDEX(INVESTOR_LIST[INVESTOR NAME],MATCH(I3361,INVESTOR_LIST[INVESTOR CODE],0),)," ")</f>
        <v xml:space="preserve"> </v>
      </c>
      <c r="I3361" s="284"/>
      <c r="J3361" s="285" t="s">
        <v>131</v>
      </c>
      <c r="K3361" s="286">
        <v>88391.82</v>
      </c>
      <c r="L3361" s="286"/>
    </row>
    <row r="3362" spans="1:12" ht="11.25" customHeight="1" x14ac:dyDescent="0.2">
      <c r="A3362" s="287">
        <v>2023</v>
      </c>
      <c r="B3362" s="287">
        <v>8</v>
      </c>
      <c r="C3362" s="287">
        <v>3</v>
      </c>
      <c r="D3362" s="288">
        <f t="shared" si="369"/>
        <v>45141</v>
      </c>
      <c r="E3362" s="289">
        <f t="shared" si="371"/>
        <v>45141</v>
      </c>
      <c r="F3362" s="473"/>
      <c r="G3362" s="290" t="s">
        <v>86</v>
      </c>
      <c r="H3362" s="291" t="str" cm="1">
        <f t="array" ref="H3362">IFERROR(INDEX(INVESTOR_LIST[INVESTOR NAME],MATCH(I3362,INVESTOR_LIST[INVESTOR CODE],0),)," ")</f>
        <v xml:space="preserve"> </v>
      </c>
      <c r="I3362" s="291"/>
      <c r="J3362" s="292" t="s">
        <v>174</v>
      </c>
      <c r="K3362" s="293"/>
      <c r="L3362" s="293">
        <v>88391.82</v>
      </c>
    </row>
    <row r="3363" spans="1:12" ht="11.25" customHeight="1" x14ac:dyDescent="0.2">
      <c r="A3363" s="280">
        <v>2023</v>
      </c>
      <c r="B3363" s="280">
        <v>8</v>
      </c>
      <c r="C3363" s="280">
        <v>3</v>
      </c>
      <c r="D3363" s="281">
        <f t="shared" si="369"/>
        <v>45141</v>
      </c>
      <c r="E3363" s="282">
        <f t="shared" si="371"/>
        <v>45141</v>
      </c>
      <c r="F3363" s="472" t="s">
        <v>1295</v>
      </c>
      <c r="G3363" s="283" t="s">
        <v>86</v>
      </c>
      <c r="H3363" s="284" t="str" cm="1">
        <f t="array" ref="H3363">IFERROR(INDEX(INVESTOR_LIST[INVESTOR NAME],MATCH(I3363,INVESTOR_LIST[INVESTOR CODE],0),)," ")</f>
        <v xml:space="preserve"> </v>
      </c>
      <c r="I3363" s="284"/>
      <c r="J3363" s="285" t="s">
        <v>131</v>
      </c>
      <c r="K3363" s="286">
        <v>17028.849999999999</v>
      </c>
      <c r="L3363" s="286"/>
    </row>
    <row r="3364" spans="1:12" ht="11.25" customHeight="1" x14ac:dyDescent="0.2">
      <c r="A3364" s="287">
        <v>2023</v>
      </c>
      <c r="B3364" s="287">
        <v>8</v>
      </c>
      <c r="C3364" s="287">
        <v>3</v>
      </c>
      <c r="D3364" s="288">
        <f t="shared" si="369"/>
        <v>45141</v>
      </c>
      <c r="E3364" s="289">
        <f t="shared" si="371"/>
        <v>45141</v>
      </c>
      <c r="F3364" s="473"/>
      <c r="G3364" s="290" t="s">
        <v>86</v>
      </c>
      <c r="H3364" s="291" t="str" cm="1">
        <f t="array" ref="H3364">IFERROR(INDEX(INVESTOR_LIST[INVESTOR NAME],MATCH(I3364,INVESTOR_LIST[INVESTOR CODE],0),)," ")</f>
        <v xml:space="preserve"> </v>
      </c>
      <c r="I3364" s="291"/>
      <c r="J3364" s="292" t="s">
        <v>174</v>
      </c>
      <c r="K3364" s="293"/>
      <c r="L3364" s="293">
        <v>17028.849999999999</v>
      </c>
    </row>
    <row r="3365" spans="1:12" ht="11.25" customHeight="1" x14ac:dyDescent="0.2">
      <c r="A3365" s="280">
        <v>2023</v>
      </c>
      <c r="B3365" s="280">
        <v>8</v>
      </c>
      <c r="C3365" s="280">
        <v>3</v>
      </c>
      <c r="D3365" s="281">
        <f t="shared" si="369"/>
        <v>45141</v>
      </c>
      <c r="E3365" s="282">
        <f t="shared" si="371"/>
        <v>45141</v>
      </c>
      <c r="F3365" s="472" t="s">
        <v>1294</v>
      </c>
      <c r="G3365" s="283" t="s">
        <v>86</v>
      </c>
      <c r="H3365" s="284" t="str" cm="1">
        <f t="array" ref="H3365">IFERROR(INDEX(INVESTOR_LIST[INVESTOR NAME],MATCH(I3365,INVESTOR_LIST[INVESTOR CODE],0),)," ")</f>
        <v xml:space="preserve"> </v>
      </c>
      <c r="I3365" s="284"/>
      <c r="J3365" s="285" t="s">
        <v>131</v>
      </c>
      <c r="K3365" s="286">
        <v>10769.23</v>
      </c>
      <c r="L3365" s="286"/>
    </row>
    <row r="3366" spans="1:12" ht="11.25" customHeight="1" x14ac:dyDescent="0.2">
      <c r="A3366" s="287">
        <v>2023</v>
      </c>
      <c r="B3366" s="287">
        <v>8</v>
      </c>
      <c r="C3366" s="287">
        <v>3</v>
      </c>
      <c r="D3366" s="288">
        <f t="shared" si="369"/>
        <v>45141</v>
      </c>
      <c r="E3366" s="289">
        <f t="shared" si="371"/>
        <v>45141</v>
      </c>
      <c r="F3366" s="473"/>
      <c r="G3366" s="290" t="s">
        <v>86</v>
      </c>
      <c r="H3366" s="291" t="str" cm="1">
        <f t="array" ref="H3366">IFERROR(INDEX(INVESTOR_LIST[INVESTOR NAME],MATCH(I3366,INVESTOR_LIST[INVESTOR CODE],0),)," ")</f>
        <v xml:space="preserve"> </v>
      </c>
      <c r="I3366" s="291"/>
      <c r="J3366" s="292" t="s">
        <v>174</v>
      </c>
      <c r="K3366" s="293"/>
      <c r="L3366" s="293">
        <v>10769.23</v>
      </c>
    </row>
    <row r="3367" spans="1:12" ht="11.25" customHeight="1" x14ac:dyDescent="0.2">
      <c r="A3367" s="280">
        <v>2023</v>
      </c>
      <c r="B3367" s="280">
        <v>8</v>
      </c>
      <c r="C3367" s="280">
        <v>3</v>
      </c>
      <c r="D3367" s="281">
        <f t="shared" si="369"/>
        <v>45141</v>
      </c>
      <c r="E3367" s="282">
        <f t="shared" si="371"/>
        <v>45141</v>
      </c>
      <c r="F3367" s="472" t="s">
        <v>1584</v>
      </c>
      <c r="G3367" s="283" t="s">
        <v>86</v>
      </c>
      <c r="H3367" s="284" t="str" cm="1">
        <f t="array" ref="H3367">IFERROR(INDEX(INVESTOR_LIST[INVESTOR NAME],MATCH(I3367,INVESTOR_LIST[INVESTOR CODE],0),)," ")</f>
        <v xml:space="preserve"> </v>
      </c>
      <c r="I3367" s="284"/>
      <c r="J3367" s="285" t="s">
        <v>131</v>
      </c>
      <c r="K3367" s="286">
        <v>12692.31</v>
      </c>
      <c r="L3367" s="286"/>
    </row>
    <row r="3368" spans="1:12" ht="11.25" customHeight="1" x14ac:dyDescent="0.2">
      <c r="A3368" s="287">
        <v>2023</v>
      </c>
      <c r="B3368" s="287">
        <v>8</v>
      </c>
      <c r="C3368" s="287">
        <v>3</v>
      </c>
      <c r="D3368" s="288">
        <f t="shared" si="369"/>
        <v>45141</v>
      </c>
      <c r="E3368" s="289">
        <f t="shared" si="371"/>
        <v>45141</v>
      </c>
      <c r="F3368" s="473"/>
      <c r="G3368" s="290" t="s">
        <v>86</v>
      </c>
      <c r="H3368" s="291" t="str" cm="1">
        <f t="array" ref="H3368">IFERROR(INDEX(INVESTOR_LIST[INVESTOR NAME],MATCH(I3368,INVESTOR_LIST[INVESTOR CODE],0),)," ")</f>
        <v xml:space="preserve"> </v>
      </c>
      <c r="I3368" s="291"/>
      <c r="J3368" s="292" t="s">
        <v>174</v>
      </c>
      <c r="K3368" s="293"/>
      <c r="L3368" s="293">
        <v>12692.31</v>
      </c>
    </row>
    <row r="3369" spans="1:12" ht="11.25" customHeight="1" x14ac:dyDescent="0.2">
      <c r="A3369" s="236">
        <v>2023</v>
      </c>
      <c r="B3369" s="236">
        <v>8</v>
      </c>
      <c r="C3369" s="236">
        <v>3</v>
      </c>
      <c r="D3369" s="237">
        <f t="shared" si="369"/>
        <v>45141</v>
      </c>
      <c r="E3369" s="238">
        <f t="shared" si="371"/>
        <v>45141</v>
      </c>
      <c r="F3369" s="476" t="s">
        <v>1118</v>
      </c>
      <c r="G3369" s="239" t="s">
        <v>86</v>
      </c>
      <c r="H3369" s="239" t="str" cm="1">
        <f t="array" ref="H3369">IFERROR(INDEX(INVESTOR_LIST[INVESTOR NAME],MATCH(I3369,INVESTOR_LIST[INVESTOR CODE],0),)," ")</f>
        <v xml:space="preserve"> </v>
      </c>
      <c r="I3369" s="240"/>
      <c r="J3369" s="241" t="s">
        <v>98</v>
      </c>
      <c r="K3369" s="242">
        <v>7500</v>
      </c>
      <c r="L3369" s="242"/>
    </row>
    <row r="3370" spans="1:12" ht="11.25" customHeight="1" x14ac:dyDescent="0.2">
      <c r="A3370" s="243">
        <v>2023</v>
      </c>
      <c r="B3370" s="243">
        <v>8</v>
      </c>
      <c r="C3370" s="243">
        <v>3</v>
      </c>
      <c r="D3370" s="248">
        <f t="shared" si="369"/>
        <v>45141</v>
      </c>
      <c r="E3370" s="249">
        <f t="shared" si="371"/>
        <v>45141</v>
      </c>
      <c r="F3370" s="477"/>
      <c r="G3370" s="244" t="s">
        <v>86</v>
      </c>
      <c r="H3370" s="244" t="str" cm="1">
        <f t="array" ref="H3370">IFERROR(INDEX(INVESTOR_LIST[INVESTOR NAME],MATCH(I3370,INVESTOR_LIST[INVESTOR CODE],0),)," ")</f>
        <v xml:space="preserve"> </v>
      </c>
      <c r="I3370" s="245"/>
      <c r="J3370" s="246" t="s">
        <v>82</v>
      </c>
      <c r="K3370" s="247"/>
      <c r="L3370" s="247">
        <v>7500</v>
      </c>
    </row>
    <row r="3371" spans="1:12" ht="11.25" customHeight="1" x14ac:dyDescent="0.2">
      <c r="A3371" s="236">
        <v>2023</v>
      </c>
      <c r="B3371" s="236">
        <v>8</v>
      </c>
      <c r="C3371" s="236">
        <v>3</v>
      </c>
      <c r="D3371" s="237">
        <f t="shared" si="369"/>
        <v>45141</v>
      </c>
      <c r="E3371" s="238">
        <f t="shared" si="371"/>
        <v>45141</v>
      </c>
      <c r="F3371" s="476" t="s">
        <v>1120</v>
      </c>
      <c r="G3371" s="239" t="s">
        <v>86</v>
      </c>
      <c r="H3371" s="239" t="str" cm="1">
        <f t="array" ref="H3371">IFERROR(INDEX(INVESTOR_LIST[INVESTOR NAME],MATCH(I3371,INVESTOR_LIST[INVESTOR CODE],0),)," ")</f>
        <v xml:space="preserve"> </v>
      </c>
      <c r="I3371" s="240"/>
      <c r="J3371" s="241" t="s">
        <v>87</v>
      </c>
      <c r="K3371" s="242">
        <v>2747.2527472527472</v>
      </c>
      <c r="L3371" s="242"/>
    </row>
    <row r="3372" spans="1:12" ht="11.25" customHeight="1" x14ac:dyDescent="0.2">
      <c r="A3372" s="243">
        <v>2023</v>
      </c>
      <c r="B3372" s="243">
        <v>8</v>
      </c>
      <c r="C3372" s="243">
        <v>3</v>
      </c>
      <c r="D3372" s="248">
        <f t="shared" si="369"/>
        <v>45141</v>
      </c>
      <c r="E3372" s="249">
        <f t="shared" si="371"/>
        <v>45141</v>
      </c>
      <c r="F3372" s="477"/>
      <c r="G3372" s="244" t="s">
        <v>86</v>
      </c>
      <c r="H3372" s="244" t="str" cm="1">
        <f t="array" ref="H3372">IFERROR(INDEX(INVESTOR_LIST[INVESTOR NAME],MATCH(I3372,INVESTOR_LIST[INVESTOR CODE],0),)," ")</f>
        <v xml:space="preserve"> </v>
      </c>
      <c r="I3372" s="245"/>
      <c r="J3372" s="246" t="s">
        <v>64</v>
      </c>
      <c r="K3372" s="247"/>
      <c r="L3372" s="247">
        <v>2747.2527472527472</v>
      </c>
    </row>
    <row r="3373" spans="1:12" ht="11.25" customHeight="1" x14ac:dyDescent="0.2">
      <c r="A3373" s="236">
        <v>2023</v>
      </c>
      <c r="B3373" s="236">
        <v>8</v>
      </c>
      <c r="C3373" s="236">
        <v>3</v>
      </c>
      <c r="D3373" s="237">
        <f t="shared" si="369"/>
        <v>45141</v>
      </c>
      <c r="E3373" s="238">
        <f t="shared" si="371"/>
        <v>45141</v>
      </c>
      <c r="F3373" s="476" t="s">
        <v>1121</v>
      </c>
      <c r="G3373" s="239" t="s">
        <v>86</v>
      </c>
      <c r="H3373" s="239" t="str" cm="1">
        <f t="array" ref="H3373">IFERROR(INDEX(INVESTOR_LIST[INVESTOR NAME],MATCH(I3373,INVESTOR_LIST[INVESTOR CODE],0),)," ")</f>
        <v xml:space="preserve"> </v>
      </c>
      <c r="I3373" s="240"/>
      <c r="J3373" s="241" t="s">
        <v>89</v>
      </c>
      <c r="K3373" s="242">
        <v>35229.261466129217</v>
      </c>
      <c r="L3373" s="242"/>
    </row>
    <row r="3374" spans="1:12" ht="11.25" customHeight="1" x14ac:dyDescent="0.2">
      <c r="A3374" s="243">
        <v>2023</v>
      </c>
      <c r="B3374" s="243">
        <v>8</v>
      </c>
      <c r="C3374" s="243">
        <v>3</v>
      </c>
      <c r="D3374" s="248">
        <f t="shared" si="369"/>
        <v>45141</v>
      </c>
      <c r="E3374" s="249">
        <f t="shared" si="371"/>
        <v>45141</v>
      </c>
      <c r="F3374" s="477"/>
      <c r="G3374" s="244" t="s">
        <v>86</v>
      </c>
      <c r="H3374" s="244" t="str" cm="1">
        <f t="array" ref="H3374">IFERROR(INDEX(INVESTOR_LIST[INVESTOR NAME],MATCH(I3374,INVESTOR_LIST[INVESTOR CODE],0),)," ")</f>
        <v xml:space="preserve"> </v>
      </c>
      <c r="I3374" s="245"/>
      <c r="J3374" s="246" t="s">
        <v>50</v>
      </c>
      <c r="K3374" s="247"/>
      <c r="L3374" s="247">
        <v>35229.261466129217</v>
      </c>
    </row>
    <row r="3375" spans="1:12" ht="11.25" customHeight="1" x14ac:dyDescent="0.2">
      <c r="A3375" s="236">
        <v>2023</v>
      </c>
      <c r="B3375" s="236">
        <v>8</v>
      </c>
      <c r="C3375" s="236">
        <v>3</v>
      </c>
      <c r="D3375" s="237">
        <f t="shared" si="369"/>
        <v>45141</v>
      </c>
      <c r="E3375" s="238">
        <f t="shared" si="371"/>
        <v>45141</v>
      </c>
      <c r="F3375" s="476" t="s">
        <v>1122</v>
      </c>
      <c r="G3375" s="239" t="s">
        <v>86</v>
      </c>
      <c r="H3375" s="239" t="str" cm="1">
        <f t="array" ref="H3375">IFERROR(INDEX(INVESTOR_LIST[INVESTOR NAME],MATCH(I3375,INVESTOR_LIST[INVESTOR CODE],0),)," ")</f>
        <v xml:space="preserve"> </v>
      </c>
      <c r="I3375" s="240"/>
      <c r="J3375" s="241" t="s">
        <v>91</v>
      </c>
      <c r="K3375" s="242">
        <v>3522.9261466129219</v>
      </c>
      <c r="L3375" s="242"/>
    </row>
    <row r="3376" spans="1:12" ht="11.25" customHeight="1" x14ac:dyDescent="0.2">
      <c r="A3376" s="243">
        <v>2023</v>
      </c>
      <c r="B3376" s="243">
        <v>8</v>
      </c>
      <c r="C3376" s="243">
        <v>3</v>
      </c>
      <c r="D3376" s="248">
        <f t="shared" si="369"/>
        <v>45141</v>
      </c>
      <c r="E3376" s="249">
        <f t="shared" si="371"/>
        <v>45141</v>
      </c>
      <c r="F3376" s="477"/>
      <c r="G3376" s="244" t="s">
        <v>86</v>
      </c>
      <c r="H3376" s="244" t="str" cm="1">
        <f t="array" ref="H3376">IFERROR(INDEX(INVESTOR_LIST[INVESTOR NAME],MATCH(I3376,INVESTOR_LIST[INVESTOR CODE],0),)," ")</f>
        <v xml:space="preserve"> </v>
      </c>
      <c r="I3376" s="245"/>
      <c r="J3376" s="246" t="s">
        <v>51</v>
      </c>
      <c r="K3376" s="247"/>
      <c r="L3376" s="247">
        <v>3522.9261466129219</v>
      </c>
    </row>
    <row r="3377" spans="1:12" ht="11.25" customHeight="1" x14ac:dyDescent="0.2">
      <c r="A3377" s="221">
        <v>2023</v>
      </c>
      <c r="B3377" s="221">
        <v>8</v>
      </c>
      <c r="C3377" s="221">
        <v>7</v>
      </c>
      <c r="D3377" s="231">
        <f t="shared" si="369"/>
        <v>45145</v>
      </c>
      <c r="E3377" s="233">
        <f t="shared" si="371"/>
        <v>45145</v>
      </c>
      <c r="F3377" s="478" t="s">
        <v>1115</v>
      </c>
      <c r="G3377" s="222" t="s">
        <v>1111</v>
      </c>
      <c r="H3377" s="223" t="str" cm="1">
        <f t="array" ref="H3377">IFERROR(INDEX(INVESTOR_LIST[INVESTOR NAME],MATCH(I3377,INVESTOR_LIST[INVESTOR CODE],0),)," ")</f>
        <v>MEHEDI HASSAN RONI</v>
      </c>
      <c r="I3377" s="223" t="s">
        <v>673</v>
      </c>
      <c r="J3377" s="224" t="s">
        <v>14</v>
      </c>
      <c r="K3377" s="225">
        <v>292830</v>
      </c>
      <c r="L3377" s="225"/>
    </row>
    <row r="3378" spans="1:12" ht="11.25" customHeight="1" x14ac:dyDescent="0.2">
      <c r="A3378" s="164">
        <v>2023</v>
      </c>
      <c r="B3378" s="164">
        <v>8</v>
      </c>
      <c r="C3378" s="164">
        <v>7</v>
      </c>
      <c r="D3378" s="156">
        <f t="shared" si="369"/>
        <v>45145</v>
      </c>
      <c r="E3378" s="235">
        <f t="shared" si="371"/>
        <v>45145</v>
      </c>
      <c r="F3378" s="480"/>
      <c r="G3378" s="208" t="s">
        <v>1111</v>
      </c>
      <c r="H3378" s="206" t="str" cm="1">
        <f t="array" ref="H3378">IFERROR(INDEX(INVESTOR_LIST[INVESTOR NAME],MATCH(I3378,INVESTOR_LIST[INVESTOR CODE],0),)," ")</f>
        <v>MEHEDI HASSAN RONI</v>
      </c>
      <c r="I3378" s="206" t="s">
        <v>673</v>
      </c>
      <c r="J3378" s="165" t="s">
        <v>1112</v>
      </c>
      <c r="K3378" s="205">
        <v>8082.109999999986</v>
      </c>
    </row>
    <row r="3379" spans="1:12" ht="11.25" customHeight="1" x14ac:dyDescent="0.2">
      <c r="A3379" s="226">
        <v>2023</v>
      </c>
      <c r="B3379" s="226">
        <v>8</v>
      </c>
      <c r="C3379" s="226">
        <v>7</v>
      </c>
      <c r="D3379" s="232">
        <f t="shared" si="369"/>
        <v>45145</v>
      </c>
      <c r="E3379" s="234">
        <f t="shared" si="371"/>
        <v>45145</v>
      </c>
      <c r="F3379" s="479"/>
      <c r="G3379" s="227" t="s">
        <v>1111</v>
      </c>
      <c r="H3379" s="228" t="str" cm="1">
        <f t="array" ref="H3379">IFERROR(INDEX(INVESTOR_LIST[INVESTOR NAME],MATCH(I3379,INVESTOR_LIST[INVESTOR CODE],0),)," ")</f>
        <v>MEHEDI HASSAN RONI</v>
      </c>
      <c r="I3379" s="228" t="s">
        <v>673</v>
      </c>
      <c r="J3379" s="229" t="s">
        <v>55</v>
      </c>
      <c r="K3379" s="230"/>
      <c r="L3379" s="230">
        <v>300912.11</v>
      </c>
    </row>
    <row r="3380" spans="1:12" ht="11.25" customHeight="1" x14ac:dyDescent="0.2">
      <c r="A3380" s="221">
        <v>2023</v>
      </c>
      <c r="B3380" s="221">
        <v>8</v>
      </c>
      <c r="C3380" s="221">
        <v>7</v>
      </c>
      <c r="D3380" s="231">
        <f t="shared" si="369"/>
        <v>45145</v>
      </c>
      <c r="E3380" s="233">
        <f t="shared" si="371"/>
        <v>45145</v>
      </c>
      <c r="F3380" s="478" t="s">
        <v>1114</v>
      </c>
      <c r="G3380" s="222" t="s">
        <v>1111</v>
      </c>
      <c r="H3380" s="223" t="str" cm="1">
        <f t="array" ref="H3380">IFERROR(INDEX(INVESTOR_LIST[INVESTOR NAME],MATCH(I3380,INVESTOR_LIST[INVESTOR CODE],0),)," ")</f>
        <v xml:space="preserve"> </v>
      </c>
      <c r="I3380" s="223"/>
      <c r="J3380" s="224" t="s">
        <v>63</v>
      </c>
      <c r="K3380" s="225">
        <v>58</v>
      </c>
      <c r="L3380" s="225"/>
    </row>
    <row r="3381" spans="1:12" ht="11.25" customHeight="1" x14ac:dyDescent="0.2">
      <c r="A3381" s="226">
        <v>2023</v>
      </c>
      <c r="B3381" s="226">
        <v>8</v>
      </c>
      <c r="C3381" s="226">
        <v>7</v>
      </c>
      <c r="D3381" s="232">
        <f t="shared" si="369"/>
        <v>45145</v>
      </c>
      <c r="E3381" s="234">
        <f t="shared" si="371"/>
        <v>45145</v>
      </c>
      <c r="F3381" s="479"/>
      <c r="G3381" s="227" t="s">
        <v>1111</v>
      </c>
      <c r="H3381" s="228" t="str" cm="1">
        <f t="array" ref="H3381">IFERROR(INDEX(INVESTOR_LIST[INVESTOR NAME],MATCH(I3381,INVESTOR_LIST[INVESTOR CODE],0),)," ")</f>
        <v xml:space="preserve"> </v>
      </c>
      <c r="I3381" s="228"/>
      <c r="J3381" s="229" t="s">
        <v>55</v>
      </c>
      <c r="K3381" s="230"/>
      <c r="L3381" s="230">
        <v>58</v>
      </c>
    </row>
    <row r="3382" spans="1:12" ht="11.25" customHeight="1" x14ac:dyDescent="0.2">
      <c r="A3382" s="221">
        <v>2023</v>
      </c>
      <c r="B3382" s="221">
        <v>8</v>
      </c>
      <c r="C3382" s="221">
        <v>7</v>
      </c>
      <c r="D3382" s="231">
        <f t="shared" si="369"/>
        <v>45145</v>
      </c>
      <c r="E3382" s="233">
        <f t="shared" si="371"/>
        <v>45145</v>
      </c>
      <c r="F3382" s="478" t="s">
        <v>1178</v>
      </c>
      <c r="G3382" s="222" t="s">
        <v>1111</v>
      </c>
      <c r="H3382" s="223" t="str" cm="1">
        <f t="array" ref="H3382">IFERROR(INDEX(INVESTOR_LIST[INVESTOR NAME],MATCH(I3382,INVESTOR_LIST[INVESTOR CODE],0),)," ")</f>
        <v xml:space="preserve"> </v>
      </c>
      <c r="I3382" s="223"/>
      <c r="J3382" s="224" t="s">
        <v>189</v>
      </c>
      <c r="K3382" s="225">
        <v>5000</v>
      </c>
      <c r="L3382" s="225"/>
    </row>
    <row r="3383" spans="1:12" ht="11.25" customHeight="1" x14ac:dyDescent="0.2">
      <c r="A3383" s="226">
        <v>2023</v>
      </c>
      <c r="B3383" s="226">
        <v>8</v>
      </c>
      <c r="C3383" s="226">
        <v>7</v>
      </c>
      <c r="D3383" s="232">
        <f t="shared" si="369"/>
        <v>45145</v>
      </c>
      <c r="E3383" s="234">
        <f t="shared" si="371"/>
        <v>45145</v>
      </c>
      <c r="F3383" s="479"/>
      <c r="G3383" s="227" t="s">
        <v>1111</v>
      </c>
      <c r="H3383" s="228" t="str" cm="1">
        <f t="array" ref="H3383">IFERROR(INDEX(INVESTOR_LIST[INVESTOR NAME],MATCH(I3383,INVESTOR_LIST[INVESTOR CODE],0),)," ")</f>
        <v xml:space="preserve"> </v>
      </c>
      <c r="I3383" s="228"/>
      <c r="J3383" s="229" t="s">
        <v>55</v>
      </c>
      <c r="K3383" s="230"/>
      <c r="L3383" s="230">
        <v>5000</v>
      </c>
    </row>
    <row r="3384" spans="1:12" ht="11.25" customHeight="1" x14ac:dyDescent="0.2">
      <c r="A3384" s="221">
        <v>2023</v>
      </c>
      <c r="B3384" s="221">
        <v>8</v>
      </c>
      <c r="C3384" s="221">
        <v>7</v>
      </c>
      <c r="D3384" s="231">
        <f t="shared" si="369"/>
        <v>45145</v>
      </c>
      <c r="E3384" s="233">
        <f t="shared" ref="E3384:E3388" si="372">DATE(A3384,B3384,C3384)</f>
        <v>45145</v>
      </c>
      <c r="F3384" s="478" t="s">
        <v>1114</v>
      </c>
      <c r="G3384" s="222" t="s">
        <v>1111</v>
      </c>
      <c r="H3384" s="223" t="str" cm="1">
        <f t="array" ref="H3384">IFERROR(INDEX(INVESTOR_LIST[INVESTOR NAME],MATCH(I3384,INVESTOR_LIST[INVESTOR CODE],0),)," ")</f>
        <v xml:space="preserve"> </v>
      </c>
      <c r="I3384" s="223"/>
      <c r="J3384" s="224" t="s">
        <v>63</v>
      </c>
      <c r="K3384" s="225">
        <v>100</v>
      </c>
      <c r="L3384" s="225"/>
    </row>
    <row r="3385" spans="1:12" ht="11.25" customHeight="1" x14ac:dyDescent="0.2">
      <c r="A3385" s="226">
        <v>2023</v>
      </c>
      <c r="B3385" s="226">
        <v>8</v>
      </c>
      <c r="C3385" s="226">
        <v>7</v>
      </c>
      <c r="D3385" s="232">
        <f t="shared" si="369"/>
        <v>45145</v>
      </c>
      <c r="E3385" s="234">
        <f t="shared" si="372"/>
        <v>45145</v>
      </c>
      <c r="F3385" s="479"/>
      <c r="G3385" s="227" t="s">
        <v>1111</v>
      </c>
      <c r="H3385" s="228" t="str" cm="1">
        <f t="array" ref="H3385">IFERROR(INDEX(INVESTOR_LIST[INVESTOR NAME],MATCH(I3385,INVESTOR_LIST[INVESTOR CODE],0),)," ")</f>
        <v xml:space="preserve"> </v>
      </c>
      <c r="I3385" s="228"/>
      <c r="J3385" s="229" t="s">
        <v>55</v>
      </c>
      <c r="K3385" s="230"/>
      <c r="L3385" s="230">
        <v>100</v>
      </c>
    </row>
    <row r="3386" spans="1:12" ht="11.25" customHeight="1" x14ac:dyDescent="0.2">
      <c r="A3386" s="221">
        <v>2023</v>
      </c>
      <c r="B3386" s="221">
        <v>8</v>
      </c>
      <c r="C3386" s="221">
        <v>7</v>
      </c>
      <c r="D3386" s="231">
        <f t="shared" si="369"/>
        <v>45145</v>
      </c>
      <c r="E3386" s="233">
        <f t="shared" si="372"/>
        <v>45145</v>
      </c>
      <c r="F3386" s="478" t="s">
        <v>1115</v>
      </c>
      <c r="G3386" s="222" t="s">
        <v>1111</v>
      </c>
      <c r="H3386" s="223" t="str" cm="1">
        <f t="array" ref="H3386">IFERROR(INDEX(INVESTOR_LIST[INVESTOR NAME],MATCH(I3386,INVESTOR_LIST[INVESTOR CODE],0),)," ")</f>
        <v>BRAC BANK LIMITED</v>
      </c>
      <c r="I3386" s="223" t="s">
        <v>898</v>
      </c>
      <c r="J3386" s="224" t="s">
        <v>14</v>
      </c>
      <c r="K3386" s="225">
        <v>2500000</v>
      </c>
      <c r="L3386" s="225"/>
    </row>
    <row r="3387" spans="1:12" ht="11.25" customHeight="1" x14ac:dyDescent="0.2">
      <c r="A3387" s="164">
        <v>2023</v>
      </c>
      <c r="B3387" s="164">
        <v>8</v>
      </c>
      <c r="C3387" s="164">
        <v>7</v>
      </c>
      <c r="D3387" s="156">
        <f t="shared" si="369"/>
        <v>45145</v>
      </c>
      <c r="E3387" s="235">
        <f t="shared" si="372"/>
        <v>45145</v>
      </c>
      <c r="F3387" s="480"/>
      <c r="G3387" s="208" t="s">
        <v>1111</v>
      </c>
      <c r="H3387" s="206" t="str" cm="1">
        <f t="array" ref="H3387">IFERROR(INDEX(INVESTOR_LIST[INVESTOR NAME],MATCH(I3387,INVESTOR_LIST[INVESTOR CODE],0),)," ")</f>
        <v>BRAC BANK LIMITED</v>
      </c>
      <c r="I3387" s="206" t="s">
        <v>898</v>
      </c>
      <c r="J3387" s="165" t="s">
        <v>1112</v>
      </c>
      <c r="K3387" s="205">
        <v>69000</v>
      </c>
    </row>
    <row r="3388" spans="1:12" ht="11.25" customHeight="1" x14ac:dyDescent="0.2">
      <c r="A3388" s="226">
        <v>2023</v>
      </c>
      <c r="B3388" s="226">
        <v>8</v>
      </c>
      <c r="C3388" s="226">
        <v>7</v>
      </c>
      <c r="D3388" s="232">
        <f t="shared" si="369"/>
        <v>45145</v>
      </c>
      <c r="E3388" s="234">
        <f t="shared" si="372"/>
        <v>45145</v>
      </c>
      <c r="F3388" s="479"/>
      <c r="G3388" s="227" t="s">
        <v>1111</v>
      </c>
      <c r="H3388" s="228" t="str" cm="1">
        <f t="array" ref="H3388">IFERROR(INDEX(INVESTOR_LIST[INVESTOR NAME],MATCH(I3388,INVESTOR_LIST[INVESTOR CODE],0),)," ")</f>
        <v>BRAC BANK LIMITED</v>
      </c>
      <c r="I3388" s="228" t="s">
        <v>898</v>
      </c>
      <c r="J3388" s="229" t="s">
        <v>55</v>
      </c>
      <c r="K3388" s="230"/>
      <c r="L3388" s="230">
        <v>2569000</v>
      </c>
    </row>
    <row r="3389" spans="1:12" ht="11.25" customHeight="1" x14ac:dyDescent="0.2">
      <c r="A3389" s="221">
        <v>2023</v>
      </c>
      <c r="B3389" s="221">
        <v>8</v>
      </c>
      <c r="C3389" s="221">
        <v>8</v>
      </c>
      <c r="D3389" s="231">
        <f t="shared" si="369"/>
        <v>45146</v>
      </c>
      <c r="E3389" s="233">
        <f t="shared" ref="E3389:E3419" si="373">DATE(A3389,B3389,C3389)</f>
        <v>45146</v>
      </c>
      <c r="F3389" s="478" t="s">
        <v>1115</v>
      </c>
      <c r="G3389" s="222" t="s">
        <v>1111</v>
      </c>
      <c r="H3389" s="223" t="str" cm="1">
        <f t="array" ref="H3389">IFERROR(INDEX(INVESTOR_LIST[INVESTOR NAME],MATCH(I3389,INVESTOR_LIST[INVESTOR CODE],0),)," ")</f>
        <v>NAYEEMA TASNEEM</v>
      </c>
      <c r="I3389" s="223" t="s">
        <v>922</v>
      </c>
      <c r="J3389" s="224" t="s">
        <v>14</v>
      </c>
      <c r="K3389" s="225">
        <v>116780</v>
      </c>
      <c r="L3389" s="225"/>
    </row>
    <row r="3390" spans="1:12" ht="11.25" customHeight="1" x14ac:dyDescent="0.2">
      <c r="A3390" s="164">
        <v>2023</v>
      </c>
      <c r="B3390" s="164">
        <v>8</v>
      </c>
      <c r="C3390" s="164">
        <v>8</v>
      </c>
      <c r="D3390" s="156">
        <f t="shared" si="369"/>
        <v>45146</v>
      </c>
      <c r="E3390" s="235">
        <f t="shared" si="373"/>
        <v>45146</v>
      </c>
      <c r="F3390" s="480"/>
      <c r="G3390" s="208" t="s">
        <v>1111</v>
      </c>
      <c r="H3390" s="206" t="str" cm="1">
        <f t="array" ref="H3390">IFERROR(INDEX(INVESTOR_LIST[INVESTOR NAME],MATCH(I3390,INVESTOR_LIST[INVESTOR CODE],0),)," ")</f>
        <v>NAYEEMA TASNEEM</v>
      </c>
      <c r="I3390" s="206" t="s">
        <v>922</v>
      </c>
      <c r="J3390" s="165" t="s">
        <v>1112</v>
      </c>
      <c r="K3390" s="205">
        <v>3220</v>
      </c>
    </row>
    <row r="3391" spans="1:12" ht="11.25" customHeight="1" x14ac:dyDescent="0.2">
      <c r="A3391" s="226">
        <v>2023</v>
      </c>
      <c r="B3391" s="226">
        <v>8</v>
      </c>
      <c r="C3391" s="226">
        <v>8</v>
      </c>
      <c r="D3391" s="232">
        <f t="shared" si="369"/>
        <v>45146</v>
      </c>
      <c r="E3391" s="234">
        <f t="shared" si="373"/>
        <v>45146</v>
      </c>
      <c r="F3391" s="479"/>
      <c r="G3391" s="227" t="s">
        <v>1111</v>
      </c>
      <c r="H3391" s="228" t="str" cm="1">
        <f t="array" ref="H3391">IFERROR(INDEX(INVESTOR_LIST[INVESTOR NAME],MATCH(I3391,INVESTOR_LIST[INVESTOR CODE],0),)," ")</f>
        <v>NAYEEMA TASNEEM</v>
      </c>
      <c r="I3391" s="228" t="s">
        <v>922</v>
      </c>
      <c r="J3391" s="229" t="s">
        <v>55</v>
      </c>
      <c r="K3391" s="230"/>
      <c r="L3391" s="230">
        <v>120000</v>
      </c>
    </row>
    <row r="3392" spans="1:12" ht="11.25" customHeight="1" x14ac:dyDescent="0.2">
      <c r="A3392" s="231">
        <v>2023</v>
      </c>
      <c r="B3392" s="231">
        <v>8</v>
      </c>
      <c r="C3392" s="231">
        <v>9</v>
      </c>
      <c r="D3392" s="221">
        <f t="shared" si="369"/>
        <v>45147</v>
      </c>
      <c r="E3392" s="233">
        <f t="shared" si="373"/>
        <v>45147</v>
      </c>
      <c r="F3392" s="478" t="s">
        <v>1591</v>
      </c>
      <c r="G3392" s="222" t="s">
        <v>1111</v>
      </c>
      <c r="H3392" s="222" t="str" cm="1">
        <f t="array" ref="H3392">IFERROR(INDEX(INVESTOR_LIST[INVESTOR NAME],MATCH(I3392,INVESTOR_LIST[INVESTOR CODE],0),)," ")</f>
        <v xml:space="preserve"> </v>
      </c>
      <c r="I3392" s="223"/>
      <c r="J3392" s="224" t="s">
        <v>50</v>
      </c>
      <c r="K3392" s="225">
        <v>544103.43999999994</v>
      </c>
      <c r="L3392" s="225"/>
    </row>
    <row r="3393" spans="1:12" ht="11.25" customHeight="1" x14ac:dyDescent="0.2">
      <c r="A3393" s="232">
        <v>2023</v>
      </c>
      <c r="B3393" s="232">
        <v>8</v>
      </c>
      <c r="C3393" s="232">
        <v>9</v>
      </c>
      <c r="D3393" s="226">
        <f t="shared" si="369"/>
        <v>45147</v>
      </c>
      <c r="E3393" s="234">
        <f t="shared" si="373"/>
        <v>45147</v>
      </c>
      <c r="F3393" s="479"/>
      <c r="G3393" s="227" t="s">
        <v>1111</v>
      </c>
      <c r="H3393" s="227" t="str" cm="1">
        <f t="array" ref="H3393">IFERROR(INDEX(INVESTOR_LIST[INVESTOR NAME],MATCH(I3393,INVESTOR_LIST[INVESTOR CODE],0),)," ")</f>
        <v xml:space="preserve"> </v>
      </c>
      <c r="I3393" s="228"/>
      <c r="J3393" s="229" t="s">
        <v>55</v>
      </c>
      <c r="K3393" s="230"/>
      <c r="L3393" s="230">
        <v>544103.43999999994</v>
      </c>
    </row>
    <row r="3394" spans="1:12" ht="11.25" customHeight="1" x14ac:dyDescent="0.2">
      <c r="A3394" s="221">
        <v>2023</v>
      </c>
      <c r="B3394" s="221">
        <v>8</v>
      </c>
      <c r="C3394" s="221">
        <v>9</v>
      </c>
      <c r="D3394" s="231">
        <f t="shared" si="369"/>
        <v>45147</v>
      </c>
      <c r="E3394" s="233">
        <f t="shared" si="373"/>
        <v>45147</v>
      </c>
      <c r="F3394" s="478" t="s">
        <v>1444</v>
      </c>
      <c r="G3394" s="222" t="s">
        <v>1111</v>
      </c>
      <c r="H3394" s="223" t="str" cm="1">
        <f t="array" ref="H3394">IFERROR(INDEX(INVESTOR_LIST[INVESTOR NAME],MATCH(I3394,INVESTOR_LIST[INVESTOR CODE],0),)," ")</f>
        <v xml:space="preserve"> </v>
      </c>
      <c r="I3394" s="223"/>
      <c r="J3394" s="224" t="s">
        <v>88</v>
      </c>
      <c r="K3394" s="225">
        <v>6120750</v>
      </c>
      <c r="L3394" s="225"/>
    </row>
    <row r="3395" spans="1:12" ht="11.25" customHeight="1" x14ac:dyDescent="0.2">
      <c r="A3395" s="164">
        <v>2023</v>
      </c>
      <c r="B3395" s="164">
        <v>8</v>
      </c>
      <c r="C3395" s="164">
        <v>9</v>
      </c>
      <c r="D3395" s="156">
        <f t="shared" si="369"/>
        <v>45147</v>
      </c>
      <c r="E3395" s="235">
        <f t="shared" si="373"/>
        <v>45147</v>
      </c>
      <c r="F3395" s="480"/>
      <c r="G3395" s="208" t="s">
        <v>1111</v>
      </c>
      <c r="J3395" s="156" t="s">
        <v>131</v>
      </c>
      <c r="K3395" s="205"/>
      <c r="L3395" s="205">
        <v>120750</v>
      </c>
    </row>
    <row r="3396" spans="1:12" ht="11.25" customHeight="1" x14ac:dyDescent="0.2">
      <c r="A3396" s="226">
        <v>2023</v>
      </c>
      <c r="B3396" s="226">
        <v>8</v>
      </c>
      <c r="C3396" s="226">
        <v>9</v>
      </c>
      <c r="D3396" s="232">
        <f t="shared" si="369"/>
        <v>45147</v>
      </c>
      <c r="E3396" s="234">
        <f t="shared" si="373"/>
        <v>45147</v>
      </c>
      <c r="F3396" s="479"/>
      <c r="G3396" s="227" t="s">
        <v>1111</v>
      </c>
      <c r="H3396" s="228" t="str" cm="1">
        <f t="array" ref="H3396">IFERROR(INDEX(INVESTOR_LIST[INVESTOR NAME],MATCH(I3396,INVESTOR_LIST[INVESTOR CODE],0),)," ")</f>
        <v xml:space="preserve"> </v>
      </c>
      <c r="I3396" s="228"/>
      <c r="J3396" s="229" t="s">
        <v>88</v>
      </c>
      <c r="K3396" s="230"/>
      <c r="L3396" s="230">
        <v>6000000</v>
      </c>
    </row>
    <row r="3397" spans="1:12" ht="11.25" customHeight="1" x14ac:dyDescent="0.2">
      <c r="A3397" s="221">
        <v>2023</v>
      </c>
      <c r="B3397" s="221">
        <v>8</v>
      </c>
      <c r="C3397" s="221">
        <v>9</v>
      </c>
      <c r="D3397" s="231">
        <f t="shared" si="369"/>
        <v>45147</v>
      </c>
      <c r="E3397" s="233">
        <f t="shared" ref="E3397:E3399" si="374">DATE(A3397,B3397,C3397)</f>
        <v>45147</v>
      </c>
      <c r="F3397" s="478" t="s">
        <v>1445</v>
      </c>
      <c r="G3397" s="222" t="s">
        <v>1111</v>
      </c>
      <c r="H3397" s="223" t="str" cm="1">
        <f t="array" ref="H3397">IFERROR(INDEX(INVESTOR_LIST[INVESTOR NAME],MATCH(I3397,INVESTOR_LIST[INVESTOR CODE],0),)," ")</f>
        <v xml:space="preserve"> </v>
      </c>
      <c r="I3397" s="223"/>
      <c r="J3397" s="224" t="s">
        <v>88</v>
      </c>
      <c r="K3397" s="225">
        <v>5100625</v>
      </c>
      <c r="L3397" s="225"/>
    </row>
    <row r="3398" spans="1:12" ht="11.25" customHeight="1" x14ac:dyDescent="0.2">
      <c r="A3398" s="164">
        <v>2023</v>
      </c>
      <c r="B3398" s="164">
        <v>8</v>
      </c>
      <c r="C3398" s="164">
        <v>9</v>
      </c>
      <c r="D3398" s="156">
        <f t="shared" si="369"/>
        <v>45147</v>
      </c>
      <c r="E3398" s="235">
        <f t="shared" si="374"/>
        <v>45147</v>
      </c>
      <c r="F3398" s="480"/>
      <c r="G3398" s="208" t="s">
        <v>1111</v>
      </c>
      <c r="J3398" s="156" t="s">
        <v>131</v>
      </c>
      <c r="K3398" s="205"/>
      <c r="L3398" s="205">
        <v>100625</v>
      </c>
    </row>
    <row r="3399" spans="1:12" ht="11.25" customHeight="1" x14ac:dyDescent="0.2">
      <c r="A3399" s="226">
        <v>2023</v>
      </c>
      <c r="B3399" s="226">
        <v>8</v>
      </c>
      <c r="C3399" s="226">
        <v>9</v>
      </c>
      <c r="D3399" s="232">
        <f t="shared" si="369"/>
        <v>45147</v>
      </c>
      <c r="E3399" s="234">
        <f t="shared" si="374"/>
        <v>45147</v>
      </c>
      <c r="F3399" s="479"/>
      <c r="G3399" s="227" t="s">
        <v>1111</v>
      </c>
      <c r="H3399" s="228" t="str" cm="1">
        <f t="array" ref="H3399">IFERROR(INDEX(INVESTOR_LIST[INVESTOR NAME],MATCH(I3399,INVESTOR_LIST[INVESTOR CODE],0),)," ")</f>
        <v xml:space="preserve"> </v>
      </c>
      <c r="I3399" s="228"/>
      <c r="J3399" s="229" t="s">
        <v>88</v>
      </c>
      <c r="K3399" s="230"/>
      <c r="L3399" s="230">
        <v>5000000</v>
      </c>
    </row>
    <row r="3400" spans="1:12" ht="11.25" customHeight="1" x14ac:dyDescent="0.2">
      <c r="A3400" s="280">
        <v>2023</v>
      </c>
      <c r="B3400" s="280">
        <v>8</v>
      </c>
      <c r="C3400" s="280">
        <v>10</v>
      </c>
      <c r="D3400" s="281">
        <f t="shared" si="369"/>
        <v>45148</v>
      </c>
      <c r="E3400" s="282">
        <f t="shared" si="373"/>
        <v>45148</v>
      </c>
      <c r="F3400" s="472" t="s">
        <v>1369</v>
      </c>
      <c r="G3400" s="283" t="s">
        <v>86</v>
      </c>
      <c r="H3400" s="284" t="str" cm="1">
        <f t="array" ref="H3400">IFERROR(INDEX(INVESTOR_LIST[INVESTOR NAME],MATCH(I3400,INVESTOR_LIST[INVESTOR CODE],0),)," ")</f>
        <v xml:space="preserve"> </v>
      </c>
      <c r="I3400" s="284"/>
      <c r="J3400" s="285" t="s">
        <v>131</v>
      </c>
      <c r="K3400" s="286">
        <v>88391.82</v>
      </c>
      <c r="L3400" s="286"/>
    </row>
    <row r="3401" spans="1:12" ht="11.25" customHeight="1" x14ac:dyDescent="0.2">
      <c r="A3401" s="287">
        <v>2023</v>
      </c>
      <c r="B3401" s="287">
        <v>8</v>
      </c>
      <c r="C3401" s="287">
        <v>10</v>
      </c>
      <c r="D3401" s="288">
        <f t="shared" ref="D3401:D3464" si="375">DATE(A3401,B3401,C3401)</f>
        <v>45148</v>
      </c>
      <c r="E3401" s="289">
        <f t="shared" si="373"/>
        <v>45148</v>
      </c>
      <c r="F3401" s="473"/>
      <c r="G3401" s="290" t="s">
        <v>86</v>
      </c>
      <c r="H3401" s="291" t="str" cm="1">
        <f t="array" ref="H3401">IFERROR(INDEX(INVESTOR_LIST[INVESTOR NAME],MATCH(I3401,INVESTOR_LIST[INVESTOR CODE],0),)," ")</f>
        <v xml:space="preserve"> </v>
      </c>
      <c r="I3401" s="291"/>
      <c r="J3401" s="292" t="s">
        <v>174</v>
      </c>
      <c r="K3401" s="293"/>
      <c r="L3401" s="293">
        <v>88391.82</v>
      </c>
    </row>
    <row r="3402" spans="1:12" ht="11.25" customHeight="1" x14ac:dyDescent="0.2">
      <c r="A3402" s="280">
        <v>2023</v>
      </c>
      <c r="B3402" s="280">
        <v>8</v>
      </c>
      <c r="C3402" s="280">
        <v>10</v>
      </c>
      <c r="D3402" s="281">
        <f t="shared" si="375"/>
        <v>45148</v>
      </c>
      <c r="E3402" s="282">
        <f t="shared" si="373"/>
        <v>45148</v>
      </c>
      <c r="F3402" s="472" t="s">
        <v>1295</v>
      </c>
      <c r="G3402" s="283" t="s">
        <v>86</v>
      </c>
      <c r="H3402" s="284" t="str" cm="1">
        <f t="array" ref="H3402">IFERROR(INDEX(INVESTOR_LIST[INVESTOR NAME],MATCH(I3402,INVESTOR_LIST[INVESTOR CODE],0),)," ")</f>
        <v xml:space="preserve"> </v>
      </c>
      <c r="I3402" s="284"/>
      <c r="J3402" s="285" t="s">
        <v>131</v>
      </c>
      <c r="K3402" s="286">
        <v>17028.849999999999</v>
      </c>
      <c r="L3402" s="286"/>
    </row>
    <row r="3403" spans="1:12" ht="11.25" customHeight="1" x14ac:dyDescent="0.2">
      <c r="A3403" s="287">
        <v>2023</v>
      </c>
      <c r="B3403" s="287">
        <v>8</v>
      </c>
      <c r="C3403" s="287">
        <v>10</v>
      </c>
      <c r="D3403" s="288">
        <f t="shared" si="375"/>
        <v>45148</v>
      </c>
      <c r="E3403" s="289">
        <f t="shared" si="373"/>
        <v>45148</v>
      </c>
      <c r="F3403" s="473"/>
      <c r="G3403" s="290" t="s">
        <v>86</v>
      </c>
      <c r="H3403" s="291" t="str" cm="1">
        <f t="array" ref="H3403">IFERROR(INDEX(INVESTOR_LIST[INVESTOR NAME],MATCH(I3403,INVESTOR_LIST[INVESTOR CODE],0),)," ")</f>
        <v xml:space="preserve"> </v>
      </c>
      <c r="I3403" s="291"/>
      <c r="J3403" s="292" t="s">
        <v>174</v>
      </c>
      <c r="K3403" s="293"/>
      <c r="L3403" s="293">
        <v>17028.849999999999</v>
      </c>
    </row>
    <row r="3404" spans="1:12" ht="11.25" customHeight="1" x14ac:dyDescent="0.2">
      <c r="A3404" s="280">
        <v>2023</v>
      </c>
      <c r="B3404" s="280">
        <v>8</v>
      </c>
      <c r="C3404" s="280">
        <v>10</v>
      </c>
      <c r="D3404" s="281">
        <f t="shared" si="375"/>
        <v>45148</v>
      </c>
      <c r="E3404" s="282">
        <f t="shared" si="373"/>
        <v>45148</v>
      </c>
      <c r="F3404" s="472" t="s">
        <v>1294</v>
      </c>
      <c r="G3404" s="283" t="s">
        <v>86</v>
      </c>
      <c r="H3404" s="284" t="str" cm="1">
        <f t="array" ref="H3404">IFERROR(INDEX(INVESTOR_LIST[INVESTOR NAME],MATCH(I3404,INVESTOR_LIST[INVESTOR CODE],0),)," ")</f>
        <v xml:space="preserve"> </v>
      </c>
      <c r="I3404" s="284"/>
      <c r="J3404" s="285" t="s">
        <v>131</v>
      </c>
      <c r="K3404" s="286">
        <v>10769.23</v>
      </c>
      <c r="L3404" s="286"/>
    </row>
    <row r="3405" spans="1:12" ht="11.25" customHeight="1" x14ac:dyDescent="0.2">
      <c r="A3405" s="287">
        <v>2023</v>
      </c>
      <c r="B3405" s="287">
        <v>8</v>
      </c>
      <c r="C3405" s="287">
        <v>10</v>
      </c>
      <c r="D3405" s="288">
        <f t="shared" si="375"/>
        <v>45148</v>
      </c>
      <c r="E3405" s="289">
        <f t="shared" si="373"/>
        <v>45148</v>
      </c>
      <c r="F3405" s="473"/>
      <c r="G3405" s="290" t="s">
        <v>86</v>
      </c>
      <c r="H3405" s="291" t="str" cm="1">
        <f t="array" ref="H3405">IFERROR(INDEX(INVESTOR_LIST[INVESTOR NAME],MATCH(I3405,INVESTOR_LIST[INVESTOR CODE],0),)," ")</f>
        <v xml:space="preserve"> </v>
      </c>
      <c r="I3405" s="291"/>
      <c r="J3405" s="292" t="s">
        <v>174</v>
      </c>
      <c r="K3405" s="293"/>
      <c r="L3405" s="293">
        <v>10769.23</v>
      </c>
    </row>
    <row r="3406" spans="1:12" ht="11.25" customHeight="1" x14ac:dyDescent="0.2">
      <c r="A3406" s="280">
        <v>2023</v>
      </c>
      <c r="B3406" s="280">
        <v>8</v>
      </c>
      <c r="C3406" s="280">
        <v>10</v>
      </c>
      <c r="D3406" s="281">
        <f t="shared" si="375"/>
        <v>45148</v>
      </c>
      <c r="E3406" s="282">
        <f t="shared" si="373"/>
        <v>45148</v>
      </c>
      <c r="F3406" s="472" t="s">
        <v>1584</v>
      </c>
      <c r="G3406" s="283" t="s">
        <v>86</v>
      </c>
      <c r="H3406" s="284" t="str" cm="1">
        <f t="array" ref="H3406">IFERROR(INDEX(INVESTOR_LIST[INVESTOR NAME],MATCH(I3406,INVESTOR_LIST[INVESTOR CODE],0),)," ")</f>
        <v xml:space="preserve"> </v>
      </c>
      <c r="I3406" s="284"/>
      <c r="J3406" s="285" t="s">
        <v>131</v>
      </c>
      <c r="K3406" s="286">
        <v>12692.31</v>
      </c>
      <c r="L3406" s="286"/>
    </row>
    <row r="3407" spans="1:12" ht="11.25" customHeight="1" x14ac:dyDescent="0.2">
      <c r="A3407" s="287">
        <v>2023</v>
      </c>
      <c r="B3407" s="287">
        <v>8</v>
      </c>
      <c r="C3407" s="287">
        <v>10</v>
      </c>
      <c r="D3407" s="288">
        <f t="shared" si="375"/>
        <v>45148</v>
      </c>
      <c r="E3407" s="289">
        <f t="shared" si="373"/>
        <v>45148</v>
      </c>
      <c r="F3407" s="473"/>
      <c r="G3407" s="290" t="s">
        <v>86</v>
      </c>
      <c r="H3407" s="291" t="str" cm="1">
        <f t="array" ref="H3407">IFERROR(INDEX(INVESTOR_LIST[INVESTOR NAME],MATCH(I3407,INVESTOR_LIST[INVESTOR CODE],0),)," ")</f>
        <v xml:space="preserve"> </v>
      </c>
      <c r="I3407" s="291"/>
      <c r="J3407" s="292" t="s">
        <v>174</v>
      </c>
      <c r="K3407" s="293"/>
      <c r="L3407" s="293">
        <v>12692.31</v>
      </c>
    </row>
    <row r="3408" spans="1:12" ht="11.25" customHeight="1" x14ac:dyDescent="0.2">
      <c r="A3408" s="236">
        <v>2023</v>
      </c>
      <c r="B3408" s="236">
        <v>8</v>
      </c>
      <c r="C3408" s="236">
        <v>10</v>
      </c>
      <c r="D3408" s="237">
        <f t="shared" si="375"/>
        <v>45148</v>
      </c>
      <c r="E3408" s="238">
        <f t="shared" si="373"/>
        <v>45148</v>
      </c>
      <c r="F3408" s="476" t="s">
        <v>1118</v>
      </c>
      <c r="G3408" s="239" t="s">
        <v>86</v>
      </c>
      <c r="H3408" s="239" t="str" cm="1">
        <f t="array" ref="H3408">IFERROR(INDEX(INVESTOR_LIST[INVESTOR NAME],MATCH(I3408,INVESTOR_LIST[INVESTOR CODE],0),)," ")</f>
        <v xml:space="preserve"> </v>
      </c>
      <c r="I3408" s="240"/>
      <c r="J3408" s="241" t="s">
        <v>82</v>
      </c>
      <c r="K3408" s="242">
        <v>164150</v>
      </c>
      <c r="L3408" s="242"/>
    </row>
    <row r="3409" spans="1:12" ht="11.25" customHeight="1" x14ac:dyDescent="0.2">
      <c r="A3409" s="243">
        <v>2023</v>
      </c>
      <c r="B3409" s="243">
        <v>8</v>
      </c>
      <c r="C3409" s="243">
        <v>10</v>
      </c>
      <c r="D3409" s="248">
        <f t="shared" si="375"/>
        <v>45148</v>
      </c>
      <c r="E3409" s="249">
        <f t="shared" si="373"/>
        <v>45148</v>
      </c>
      <c r="F3409" s="477"/>
      <c r="G3409" s="244" t="s">
        <v>86</v>
      </c>
      <c r="H3409" s="244" t="str" cm="1">
        <f t="array" ref="H3409">IFERROR(INDEX(INVESTOR_LIST[INVESTOR NAME],MATCH(I3409,INVESTOR_LIST[INVESTOR CODE],0),)," ")</f>
        <v xml:space="preserve"> </v>
      </c>
      <c r="I3409" s="245"/>
      <c r="J3409" s="246" t="s">
        <v>98</v>
      </c>
      <c r="K3409" s="247"/>
      <c r="L3409" s="247">
        <v>164150</v>
      </c>
    </row>
    <row r="3410" spans="1:12" ht="11.25" customHeight="1" x14ac:dyDescent="0.2">
      <c r="A3410" s="236">
        <v>2023</v>
      </c>
      <c r="B3410" s="236">
        <v>8</v>
      </c>
      <c r="C3410" s="236">
        <v>10</v>
      </c>
      <c r="D3410" s="237">
        <f t="shared" si="375"/>
        <v>45148</v>
      </c>
      <c r="E3410" s="238">
        <f t="shared" si="373"/>
        <v>45148</v>
      </c>
      <c r="F3410" s="476" t="s">
        <v>1120</v>
      </c>
      <c r="G3410" s="239" t="s">
        <v>86</v>
      </c>
      <c r="H3410" s="239" t="str" cm="1">
        <f t="array" ref="H3410">IFERROR(INDEX(INVESTOR_LIST[INVESTOR NAME],MATCH(I3410,INVESTOR_LIST[INVESTOR CODE],0),)," ")</f>
        <v xml:space="preserve"> </v>
      </c>
      <c r="I3410" s="240"/>
      <c r="J3410" s="241" t="s">
        <v>87</v>
      </c>
      <c r="K3410" s="242">
        <v>2747.2527472527472</v>
      </c>
      <c r="L3410" s="242"/>
    </row>
    <row r="3411" spans="1:12" ht="11.25" customHeight="1" x14ac:dyDescent="0.2">
      <c r="A3411" s="243">
        <v>2023</v>
      </c>
      <c r="B3411" s="243">
        <v>8</v>
      </c>
      <c r="C3411" s="243">
        <v>10</v>
      </c>
      <c r="D3411" s="248">
        <f t="shared" si="375"/>
        <v>45148</v>
      </c>
      <c r="E3411" s="249">
        <f t="shared" si="373"/>
        <v>45148</v>
      </c>
      <c r="F3411" s="477"/>
      <c r="G3411" s="244" t="s">
        <v>86</v>
      </c>
      <c r="H3411" s="244" t="str" cm="1">
        <f t="array" ref="H3411">IFERROR(INDEX(INVESTOR_LIST[INVESTOR NAME],MATCH(I3411,INVESTOR_LIST[INVESTOR CODE],0),)," ")</f>
        <v xml:space="preserve"> </v>
      </c>
      <c r="I3411" s="245"/>
      <c r="J3411" s="246" t="s">
        <v>64</v>
      </c>
      <c r="K3411" s="247"/>
      <c r="L3411" s="247">
        <v>2747.2527472527472</v>
      </c>
    </row>
    <row r="3412" spans="1:12" ht="11.25" customHeight="1" x14ac:dyDescent="0.2">
      <c r="A3412" s="236">
        <v>2023</v>
      </c>
      <c r="B3412" s="236">
        <v>8</v>
      </c>
      <c r="C3412" s="236">
        <v>10</v>
      </c>
      <c r="D3412" s="237">
        <f t="shared" si="375"/>
        <v>45148</v>
      </c>
      <c r="E3412" s="238">
        <f t="shared" si="373"/>
        <v>45148</v>
      </c>
      <c r="F3412" s="476" t="s">
        <v>1121</v>
      </c>
      <c r="G3412" s="239" t="s">
        <v>86</v>
      </c>
      <c r="H3412" s="239" t="str" cm="1">
        <f t="array" ref="H3412">IFERROR(INDEX(INVESTOR_LIST[INVESTOR NAME],MATCH(I3412,INVESTOR_LIST[INVESTOR CODE],0),)," ")</f>
        <v xml:space="preserve"> </v>
      </c>
      <c r="I3412" s="240"/>
      <c r="J3412" s="241" t="s">
        <v>89</v>
      </c>
      <c r="K3412" s="242">
        <v>69382.179643658441</v>
      </c>
      <c r="L3412" s="242"/>
    </row>
    <row r="3413" spans="1:12" ht="11.25" customHeight="1" x14ac:dyDescent="0.2">
      <c r="A3413" s="243">
        <v>2023</v>
      </c>
      <c r="B3413" s="243">
        <v>8</v>
      </c>
      <c r="C3413" s="243">
        <v>10</v>
      </c>
      <c r="D3413" s="248">
        <f t="shared" si="375"/>
        <v>45148</v>
      </c>
      <c r="E3413" s="249">
        <f t="shared" si="373"/>
        <v>45148</v>
      </c>
      <c r="F3413" s="477"/>
      <c r="G3413" s="244" t="s">
        <v>86</v>
      </c>
      <c r="H3413" s="244" t="str" cm="1">
        <f t="array" ref="H3413">IFERROR(INDEX(INVESTOR_LIST[INVESTOR NAME],MATCH(I3413,INVESTOR_LIST[INVESTOR CODE],0),)," ")</f>
        <v xml:space="preserve"> </v>
      </c>
      <c r="I3413" s="245"/>
      <c r="J3413" s="246" t="s">
        <v>50</v>
      </c>
      <c r="K3413" s="247"/>
      <c r="L3413" s="247">
        <v>69382.179643658441</v>
      </c>
    </row>
    <row r="3414" spans="1:12" ht="11.25" customHeight="1" x14ac:dyDescent="0.2">
      <c r="A3414" s="236">
        <v>2023</v>
      </c>
      <c r="B3414" s="236">
        <v>8</v>
      </c>
      <c r="C3414" s="236">
        <v>10</v>
      </c>
      <c r="D3414" s="237">
        <f t="shared" si="375"/>
        <v>45148</v>
      </c>
      <c r="E3414" s="238">
        <f t="shared" si="373"/>
        <v>45148</v>
      </c>
      <c r="F3414" s="476" t="s">
        <v>1122</v>
      </c>
      <c r="G3414" s="239" t="s">
        <v>86</v>
      </c>
      <c r="H3414" s="239" t="str" cm="1">
        <f t="array" ref="H3414">IFERROR(INDEX(INVESTOR_LIST[INVESTOR NAME],MATCH(I3414,INVESTOR_LIST[INVESTOR CODE],0),)," ")</f>
        <v xml:space="preserve"> </v>
      </c>
      <c r="I3414" s="240"/>
      <c r="J3414" s="241" t="s">
        <v>91</v>
      </c>
      <c r="K3414" s="242">
        <v>3469.1089821829223</v>
      </c>
      <c r="L3414" s="242"/>
    </row>
    <row r="3415" spans="1:12" ht="11.25" customHeight="1" x14ac:dyDescent="0.2">
      <c r="A3415" s="243">
        <v>2023</v>
      </c>
      <c r="B3415" s="243">
        <v>8</v>
      </c>
      <c r="C3415" s="243">
        <v>10</v>
      </c>
      <c r="D3415" s="248">
        <f t="shared" si="375"/>
        <v>45148</v>
      </c>
      <c r="E3415" s="249">
        <f t="shared" si="373"/>
        <v>45148</v>
      </c>
      <c r="F3415" s="477"/>
      <c r="G3415" s="244" t="s">
        <v>86</v>
      </c>
      <c r="H3415" s="244" t="str" cm="1">
        <f t="array" ref="H3415">IFERROR(INDEX(INVESTOR_LIST[INVESTOR NAME],MATCH(I3415,INVESTOR_LIST[INVESTOR CODE],0),)," ")</f>
        <v xml:space="preserve"> </v>
      </c>
      <c r="I3415" s="245"/>
      <c r="J3415" s="246" t="s">
        <v>51</v>
      </c>
      <c r="K3415" s="247"/>
      <c r="L3415" s="247">
        <v>3469.1089821829223</v>
      </c>
    </row>
    <row r="3416" spans="1:12" ht="11.25" customHeight="1" x14ac:dyDescent="0.2">
      <c r="A3416" s="221">
        <v>2023</v>
      </c>
      <c r="B3416" s="221">
        <v>8</v>
      </c>
      <c r="C3416" s="221">
        <v>17</v>
      </c>
      <c r="D3416" s="231">
        <f t="shared" si="375"/>
        <v>45155</v>
      </c>
      <c r="E3416" s="233">
        <f t="shared" si="373"/>
        <v>45155</v>
      </c>
      <c r="F3416" s="478" t="s">
        <v>1114</v>
      </c>
      <c r="G3416" s="222" t="s">
        <v>1111</v>
      </c>
      <c r="H3416" s="223" t="str" cm="1">
        <f t="array" ref="H3416">IFERROR(INDEX(INVESTOR_LIST[INVESTOR NAME],MATCH(I3416,INVESTOR_LIST[INVESTOR CODE],0),)," ")</f>
        <v xml:space="preserve"> </v>
      </c>
      <c r="I3416" s="223"/>
      <c r="J3416" s="224" t="s">
        <v>63</v>
      </c>
      <c r="K3416" s="225">
        <v>100</v>
      </c>
      <c r="L3416" s="225"/>
    </row>
    <row r="3417" spans="1:12" ht="11.25" customHeight="1" x14ac:dyDescent="0.2">
      <c r="A3417" s="226">
        <v>2023</v>
      </c>
      <c r="B3417" s="226">
        <v>8</v>
      </c>
      <c r="C3417" s="226">
        <v>17</v>
      </c>
      <c r="D3417" s="232">
        <f t="shared" si="375"/>
        <v>45155</v>
      </c>
      <c r="E3417" s="234">
        <f t="shared" si="373"/>
        <v>45155</v>
      </c>
      <c r="F3417" s="479"/>
      <c r="G3417" s="227" t="s">
        <v>1111</v>
      </c>
      <c r="H3417" s="228" t="str" cm="1">
        <f t="array" ref="H3417">IFERROR(INDEX(INVESTOR_LIST[INVESTOR NAME],MATCH(I3417,INVESTOR_LIST[INVESTOR CODE],0),)," ")</f>
        <v xml:space="preserve"> </v>
      </c>
      <c r="I3417" s="228"/>
      <c r="J3417" s="229" t="s">
        <v>55</v>
      </c>
      <c r="K3417" s="230"/>
      <c r="L3417" s="230">
        <v>100</v>
      </c>
    </row>
    <row r="3418" spans="1:12" ht="11.25" customHeight="1" x14ac:dyDescent="0.2">
      <c r="A3418" s="221">
        <v>2023</v>
      </c>
      <c r="B3418" s="221">
        <v>8</v>
      </c>
      <c r="C3418" s="221">
        <v>17</v>
      </c>
      <c r="D3418" s="231">
        <f t="shared" si="375"/>
        <v>45155</v>
      </c>
      <c r="E3418" s="233">
        <f t="shared" si="373"/>
        <v>45155</v>
      </c>
      <c r="F3418" s="478" t="s">
        <v>1196</v>
      </c>
      <c r="G3418" s="222" t="s">
        <v>1111</v>
      </c>
      <c r="H3418" s="223" t="str" cm="1">
        <f t="array" ref="H3418">IFERROR(INDEX(INVESTOR_LIST[INVESTOR NAME],MATCH(I3418,INVESTOR_LIST[INVESTOR CODE],0),)," ")</f>
        <v xml:space="preserve"> </v>
      </c>
      <c r="I3418" s="223"/>
      <c r="J3418" s="224" t="s">
        <v>95</v>
      </c>
      <c r="K3418" s="225">
        <v>147.65</v>
      </c>
      <c r="L3418" s="225" t="s">
        <v>1119</v>
      </c>
    </row>
    <row r="3419" spans="1:12" ht="11.25" customHeight="1" x14ac:dyDescent="0.2">
      <c r="A3419" s="226">
        <v>2023</v>
      </c>
      <c r="B3419" s="226">
        <v>8</v>
      </c>
      <c r="C3419" s="226">
        <v>17</v>
      </c>
      <c r="D3419" s="232">
        <f t="shared" si="375"/>
        <v>45155</v>
      </c>
      <c r="E3419" s="234">
        <f t="shared" si="373"/>
        <v>45155</v>
      </c>
      <c r="F3419" s="479"/>
      <c r="G3419" s="227" t="s">
        <v>1111</v>
      </c>
      <c r="H3419" s="228" t="str" cm="1">
        <f t="array" ref="H3419">IFERROR(INDEX(INVESTOR_LIST[INVESTOR NAME],MATCH(I3419,INVESTOR_LIST[INVESTOR CODE],0),)," ")</f>
        <v xml:space="preserve"> </v>
      </c>
      <c r="I3419" s="228"/>
      <c r="J3419" s="229" t="s">
        <v>55</v>
      </c>
      <c r="K3419" s="230" t="s">
        <v>1119</v>
      </c>
      <c r="L3419" s="230">
        <v>147.65</v>
      </c>
    </row>
    <row r="3420" spans="1:12" ht="11.25" customHeight="1" x14ac:dyDescent="0.2">
      <c r="A3420" s="221">
        <v>2023</v>
      </c>
      <c r="B3420" s="221">
        <v>8</v>
      </c>
      <c r="C3420" s="221">
        <v>17</v>
      </c>
      <c r="D3420" s="231">
        <f t="shared" si="375"/>
        <v>45155</v>
      </c>
      <c r="E3420" s="233">
        <f t="shared" ref="E3420:E3434" si="376">DATE(A3420,B3420,C3420)</f>
        <v>45155</v>
      </c>
      <c r="F3420" s="478" t="s">
        <v>1115</v>
      </c>
      <c r="G3420" s="222" t="s">
        <v>1111</v>
      </c>
      <c r="H3420" s="223" t="str" cm="1">
        <f t="array" ref="H3420">IFERROR(INDEX(INVESTOR_LIST[INVESTOR NAME],MATCH(I3420,INVESTOR_LIST[INVESTOR CODE],0),)," ")</f>
        <v>MAYA RANI SAHA</v>
      </c>
      <c r="I3420" s="223" t="s">
        <v>405</v>
      </c>
      <c r="J3420" s="224" t="s">
        <v>14</v>
      </c>
      <c r="K3420" s="225">
        <v>1020900</v>
      </c>
      <c r="L3420" s="225"/>
    </row>
    <row r="3421" spans="1:12" ht="11.25" customHeight="1" x14ac:dyDescent="0.2">
      <c r="A3421" s="164">
        <v>2023</v>
      </c>
      <c r="B3421" s="164">
        <v>8</v>
      </c>
      <c r="C3421" s="164">
        <v>17</v>
      </c>
      <c r="D3421" s="156">
        <f t="shared" si="375"/>
        <v>45155</v>
      </c>
      <c r="E3421" s="235">
        <f t="shared" si="376"/>
        <v>45155</v>
      </c>
      <c r="F3421" s="480"/>
      <c r="G3421" s="208" t="s">
        <v>1111</v>
      </c>
      <c r="H3421" s="206" t="str" cm="1">
        <f t="array" ref="H3421">IFERROR(INDEX(INVESTOR_LIST[INVESTOR NAME],MATCH(I3421,INVESTOR_LIST[INVESTOR CODE],0),)," ")</f>
        <v>MAYA RANI SAHA</v>
      </c>
      <c r="I3421" s="206" t="s">
        <v>405</v>
      </c>
      <c r="J3421" s="165" t="s">
        <v>1112</v>
      </c>
      <c r="K3421" s="205">
        <v>29100</v>
      </c>
    </row>
    <row r="3422" spans="1:12" ht="11.25" customHeight="1" x14ac:dyDescent="0.2">
      <c r="A3422" s="226">
        <v>2023</v>
      </c>
      <c r="B3422" s="226">
        <v>8</v>
      </c>
      <c r="C3422" s="226">
        <v>17</v>
      </c>
      <c r="D3422" s="232">
        <f t="shared" si="375"/>
        <v>45155</v>
      </c>
      <c r="E3422" s="234">
        <f t="shared" si="376"/>
        <v>45155</v>
      </c>
      <c r="F3422" s="479"/>
      <c r="G3422" s="227" t="s">
        <v>1111</v>
      </c>
      <c r="H3422" s="228" t="str" cm="1">
        <f t="array" ref="H3422">IFERROR(INDEX(INVESTOR_LIST[INVESTOR NAME],MATCH(I3422,INVESTOR_LIST[INVESTOR CODE],0),)," ")</f>
        <v>MAYA RANI SAHA</v>
      </c>
      <c r="I3422" s="228" t="s">
        <v>405</v>
      </c>
      <c r="J3422" s="229" t="s">
        <v>55</v>
      </c>
      <c r="K3422" s="230"/>
      <c r="L3422" s="230">
        <v>1050000</v>
      </c>
    </row>
    <row r="3423" spans="1:12" ht="11.25" customHeight="1" x14ac:dyDescent="0.2">
      <c r="A3423" s="221">
        <v>2023</v>
      </c>
      <c r="B3423" s="221">
        <v>8</v>
      </c>
      <c r="C3423" s="221">
        <v>17</v>
      </c>
      <c r="D3423" s="231">
        <f t="shared" si="375"/>
        <v>45155</v>
      </c>
      <c r="E3423" s="233">
        <f t="shared" si="376"/>
        <v>45155</v>
      </c>
      <c r="F3423" s="478" t="s">
        <v>1114</v>
      </c>
      <c r="G3423" s="222" t="s">
        <v>1111</v>
      </c>
      <c r="H3423" s="223" t="str" cm="1">
        <f t="array" ref="H3423">IFERROR(INDEX(INVESTOR_LIST[INVESTOR NAME],MATCH(I3423,INVESTOR_LIST[INVESTOR CODE],0),)," ")</f>
        <v xml:space="preserve"> </v>
      </c>
      <c r="I3423" s="223"/>
      <c r="J3423" s="224" t="s">
        <v>63</v>
      </c>
      <c r="K3423" s="225">
        <v>100</v>
      </c>
      <c r="L3423" s="225"/>
    </row>
    <row r="3424" spans="1:12" ht="11.25" customHeight="1" x14ac:dyDescent="0.2">
      <c r="A3424" s="226">
        <v>2023</v>
      </c>
      <c r="B3424" s="226">
        <v>8</v>
      </c>
      <c r="C3424" s="226">
        <v>17</v>
      </c>
      <c r="D3424" s="232">
        <f t="shared" si="375"/>
        <v>45155</v>
      </c>
      <c r="E3424" s="234">
        <f t="shared" si="376"/>
        <v>45155</v>
      </c>
      <c r="F3424" s="479"/>
      <c r="G3424" s="227" t="s">
        <v>1111</v>
      </c>
      <c r="H3424" s="228" t="str" cm="1">
        <f t="array" ref="H3424">IFERROR(INDEX(INVESTOR_LIST[INVESTOR NAME],MATCH(I3424,INVESTOR_LIST[INVESTOR CODE],0),)," ")</f>
        <v xml:space="preserve"> </v>
      </c>
      <c r="I3424" s="228"/>
      <c r="J3424" s="229" t="s">
        <v>55</v>
      </c>
      <c r="K3424" s="230"/>
      <c r="L3424" s="230">
        <v>100</v>
      </c>
    </row>
    <row r="3425" spans="1:12" ht="11.25" customHeight="1" x14ac:dyDescent="0.2">
      <c r="A3425" s="236">
        <v>2023</v>
      </c>
      <c r="B3425" s="236">
        <v>8</v>
      </c>
      <c r="C3425" s="236">
        <v>17</v>
      </c>
      <c r="D3425" s="237">
        <f t="shared" si="375"/>
        <v>45155</v>
      </c>
      <c r="E3425" s="238">
        <f t="shared" si="376"/>
        <v>45155</v>
      </c>
      <c r="F3425" s="476" t="s">
        <v>1118</v>
      </c>
      <c r="G3425" s="239" t="s">
        <v>86</v>
      </c>
      <c r="H3425" s="239" t="str" cm="1">
        <f t="array" ref="H3425">IFERROR(INDEX(INVESTOR_LIST[INVESTOR NAME],MATCH(I3425,INVESTOR_LIST[INVESTOR CODE],0),)," ")</f>
        <v xml:space="preserve"> </v>
      </c>
      <c r="I3425" s="240"/>
      <c r="J3425" s="241" t="s">
        <v>98</v>
      </c>
      <c r="K3425" s="242">
        <v>565400</v>
      </c>
      <c r="L3425" s="242"/>
    </row>
    <row r="3426" spans="1:12" ht="11.25" customHeight="1" x14ac:dyDescent="0.2">
      <c r="A3426" s="243">
        <v>2023</v>
      </c>
      <c r="B3426" s="243">
        <v>8</v>
      </c>
      <c r="C3426" s="243">
        <v>17</v>
      </c>
      <c r="D3426" s="248">
        <f t="shared" si="375"/>
        <v>45155</v>
      </c>
      <c r="E3426" s="249">
        <f t="shared" si="376"/>
        <v>45155</v>
      </c>
      <c r="F3426" s="477"/>
      <c r="G3426" s="244" t="s">
        <v>86</v>
      </c>
      <c r="H3426" s="244" t="str" cm="1">
        <f t="array" ref="H3426">IFERROR(INDEX(INVESTOR_LIST[INVESTOR NAME],MATCH(I3426,INVESTOR_LIST[INVESTOR CODE],0),)," ")</f>
        <v xml:space="preserve"> </v>
      </c>
      <c r="I3426" s="245"/>
      <c r="J3426" s="246" t="s">
        <v>82</v>
      </c>
      <c r="K3426" s="247"/>
      <c r="L3426" s="247">
        <v>565400</v>
      </c>
    </row>
    <row r="3427" spans="1:12" ht="11.25" customHeight="1" x14ac:dyDescent="0.2">
      <c r="A3427" s="236">
        <v>2023</v>
      </c>
      <c r="B3427" s="236">
        <v>8</v>
      </c>
      <c r="C3427" s="236">
        <v>17</v>
      </c>
      <c r="D3427" s="237">
        <f t="shared" si="375"/>
        <v>45155</v>
      </c>
      <c r="E3427" s="238">
        <f t="shared" si="376"/>
        <v>45155</v>
      </c>
      <c r="F3427" s="476" t="s">
        <v>1120</v>
      </c>
      <c r="G3427" s="239" t="s">
        <v>86</v>
      </c>
      <c r="H3427" s="239" t="str" cm="1">
        <f t="array" ref="H3427">IFERROR(INDEX(INVESTOR_LIST[INVESTOR NAME],MATCH(I3427,INVESTOR_LIST[INVESTOR CODE],0),)," ")</f>
        <v xml:space="preserve"> </v>
      </c>
      <c r="I3427" s="240"/>
      <c r="J3427" s="241" t="s">
        <v>87</v>
      </c>
      <c r="K3427" s="242">
        <v>2747.2527472527472</v>
      </c>
      <c r="L3427" s="242"/>
    </row>
    <row r="3428" spans="1:12" ht="11.25" customHeight="1" x14ac:dyDescent="0.2">
      <c r="A3428" s="243">
        <v>2023</v>
      </c>
      <c r="B3428" s="243">
        <v>8</v>
      </c>
      <c r="C3428" s="243">
        <v>17</v>
      </c>
      <c r="D3428" s="248">
        <f t="shared" si="375"/>
        <v>45155</v>
      </c>
      <c r="E3428" s="249">
        <f t="shared" si="376"/>
        <v>45155</v>
      </c>
      <c r="F3428" s="477"/>
      <c r="G3428" s="244" t="s">
        <v>86</v>
      </c>
      <c r="H3428" s="244" t="str" cm="1">
        <f t="array" ref="H3428">IFERROR(INDEX(INVESTOR_LIST[INVESTOR NAME],MATCH(I3428,INVESTOR_LIST[INVESTOR CODE],0),)," ")</f>
        <v xml:space="preserve"> </v>
      </c>
      <c r="I3428" s="245"/>
      <c r="J3428" s="246" t="s">
        <v>64</v>
      </c>
      <c r="K3428" s="247"/>
      <c r="L3428" s="247">
        <v>2747.2527472527472</v>
      </c>
    </row>
    <row r="3429" spans="1:12" ht="11.25" customHeight="1" x14ac:dyDescent="0.2">
      <c r="A3429" s="236">
        <v>2023</v>
      </c>
      <c r="B3429" s="236">
        <v>8</v>
      </c>
      <c r="C3429" s="236">
        <v>17</v>
      </c>
      <c r="D3429" s="237">
        <f t="shared" si="375"/>
        <v>45155</v>
      </c>
      <c r="E3429" s="238">
        <f t="shared" si="376"/>
        <v>45155</v>
      </c>
      <c r="F3429" s="476" t="s">
        <v>1121</v>
      </c>
      <c r="G3429" s="239" t="s">
        <v>86</v>
      </c>
      <c r="H3429" s="239" t="str" cm="1">
        <f t="array" ref="H3429">IFERROR(INDEX(INVESTOR_LIST[INVESTOR NAME],MATCH(I3429,INVESTOR_LIST[INVESTOR CODE],0),)," ")</f>
        <v xml:space="preserve"> </v>
      </c>
      <c r="I3429" s="240"/>
      <c r="J3429" s="241" t="s">
        <v>89</v>
      </c>
      <c r="K3429" s="242">
        <v>69166.623416207251</v>
      </c>
      <c r="L3429" s="242"/>
    </row>
    <row r="3430" spans="1:12" ht="11.25" customHeight="1" x14ac:dyDescent="0.2">
      <c r="A3430" s="243">
        <v>2023</v>
      </c>
      <c r="B3430" s="243">
        <v>8</v>
      </c>
      <c r="C3430" s="243">
        <v>17</v>
      </c>
      <c r="D3430" s="248">
        <f t="shared" si="375"/>
        <v>45155</v>
      </c>
      <c r="E3430" s="249">
        <f t="shared" si="376"/>
        <v>45155</v>
      </c>
      <c r="F3430" s="477"/>
      <c r="G3430" s="244" t="s">
        <v>86</v>
      </c>
      <c r="H3430" s="244" t="str" cm="1">
        <f t="array" ref="H3430">IFERROR(INDEX(INVESTOR_LIST[INVESTOR NAME],MATCH(I3430,INVESTOR_LIST[INVESTOR CODE],0),)," ")</f>
        <v xml:space="preserve"> </v>
      </c>
      <c r="I3430" s="245"/>
      <c r="J3430" s="246" t="s">
        <v>50</v>
      </c>
      <c r="K3430" s="247"/>
      <c r="L3430" s="247">
        <v>69166.623416207251</v>
      </c>
    </row>
    <row r="3431" spans="1:12" ht="11.25" customHeight="1" x14ac:dyDescent="0.2">
      <c r="A3431" s="236">
        <v>2023</v>
      </c>
      <c r="B3431" s="236">
        <v>8</v>
      </c>
      <c r="C3431" s="236">
        <v>17</v>
      </c>
      <c r="D3431" s="237">
        <f t="shared" si="375"/>
        <v>45155</v>
      </c>
      <c r="E3431" s="238">
        <f t="shared" si="376"/>
        <v>45155</v>
      </c>
      <c r="F3431" s="476" t="s">
        <v>1122</v>
      </c>
      <c r="G3431" s="239" t="s">
        <v>86</v>
      </c>
      <c r="H3431" s="239" t="str" cm="1">
        <f t="array" ref="H3431">IFERROR(INDEX(INVESTOR_LIST[INVESTOR NAME],MATCH(I3431,INVESTOR_LIST[INVESTOR CODE],0),)," ")</f>
        <v xml:space="preserve"> </v>
      </c>
      <c r="I3431" s="240"/>
      <c r="J3431" s="241" t="s">
        <v>91</v>
      </c>
      <c r="K3431" s="242">
        <v>3458.3311708103624</v>
      </c>
      <c r="L3431" s="242"/>
    </row>
    <row r="3432" spans="1:12" ht="11.25" customHeight="1" x14ac:dyDescent="0.2">
      <c r="A3432" s="243">
        <v>2023</v>
      </c>
      <c r="B3432" s="243">
        <v>8</v>
      </c>
      <c r="C3432" s="243">
        <v>17</v>
      </c>
      <c r="D3432" s="248">
        <f t="shared" si="375"/>
        <v>45155</v>
      </c>
      <c r="E3432" s="249">
        <f t="shared" si="376"/>
        <v>45155</v>
      </c>
      <c r="F3432" s="477"/>
      <c r="G3432" s="244" t="s">
        <v>86</v>
      </c>
      <c r="H3432" s="244" t="str" cm="1">
        <f t="array" ref="H3432">IFERROR(INDEX(INVESTOR_LIST[INVESTOR NAME],MATCH(I3432,INVESTOR_LIST[INVESTOR CODE],0),)," ")</f>
        <v xml:space="preserve"> </v>
      </c>
      <c r="I3432" s="245"/>
      <c r="J3432" s="246" t="s">
        <v>51</v>
      </c>
      <c r="K3432" s="247"/>
      <c r="L3432" s="247">
        <v>3458.3311708103624</v>
      </c>
    </row>
    <row r="3433" spans="1:12" ht="11.25" customHeight="1" x14ac:dyDescent="0.2">
      <c r="A3433" s="221">
        <v>2023</v>
      </c>
      <c r="B3433" s="221">
        <v>8</v>
      </c>
      <c r="C3433" s="221">
        <v>21</v>
      </c>
      <c r="D3433" s="231">
        <f t="shared" si="375"/>
        <v>45159</v>
      </c>
      <c r="E3433" s="233">
        <f t="shared" si="376"/>
        <v>45159</v>
      </c>
      <c r="F3433" s="478" t="s">
        <v>1142</v>
      </c>
      <c r="G3433" s="222" t="s">
        <v>1111</v>
      </c>
      <c r="H3433" s="223" t="str" cm="1">
        <f t="array" ref="H3433">IFERROR(INDEX(INVESTOR_LIST[INVESTOR NAME],MATCH(I3433,INVESTOR_LIST[INVESTOR CODE],0),)," ")</f>
        <v xml:space="preserve"> </v>
      </c>
      <c r="I3433" s="223"/>
      <c r="J3433" s="224" t="s">
        <v>189</v>
      </c>
      <c r="K3433" s="225">
        <v>1575</v>
      </c>
      <c r="L3433" s="225"/>
    </row>
    <row r="3434" spans="1:12" ht="11.25" customHeight="1" x14ac:dyDescent="0.2">
      <c r="A3434" s="226">
        <v>2023</v>
      </c>
      <c r="B3434" s="226">
        <v>8</v>
      </c>
      <c r="C3434" s="226">
        <v>21</v>
      </c>
      <c r="D3434" s="232">
        <f t="shared" si="375"/>
        <v>45159</v>
      </c>
      <c r="E3434" s="234">
        <f t="shared" si="376"/>
        <v>45159</v>
      </c>
      <c r="F3434" s="479"/>
      <c r="G3434" s="227" t="s">
        <v>1111</v>
      </c>
      <c r="H3434" s="228" t="str" cm="1">
        <f t="array" ref="H3434">IFERROR(INDEX(INVESTOR_LIST[INVESTOR NAME],MATCH(I3434,INVESTOR_LIST[INVESTOR CODE],0),)," ")</f>
        <v xml:space="preserve"> </v>
      </c>
      <c r="I3434" s="228"/>
      <c r="J3434" s="229" t="s">
        <v>55</v>
      </c>
      <c r="K3434" s="230"/>
      <c r="L3434" s="230">
        <v>1575</v>
      </c>
    </row>
    <row r="3435" spans="1:12" ht="11.25" customHeight="1" x14ac:dyDescent="0.2">
      <c r="A3435" s="221">
        <v>2023</v>
      </c>
      <c r="B3435" s="221">
        <v>8</v>
      </c>
      <c r="C3435" s="221">
        <v>24</v>
      </c>
      <c r="D3435" s="231">
        <f t="shared" si="375"/>
        <v>45162</v>
      </c>
      <c r="E3435" s="233">
        <f>DATE(A3435,B3435,C3435)</f>
        <v>45162</v>
      </c>
      <c r="F3435" s="478" t="s">
        <v>1592</v>
      </c>
      <c r="G3435" s="222" t="s">
        <v>1111</v>
      </c>
      <c r="H3435" s="223" t="str" cm="1">
        <f t="array" ref="H3435">IFERROR(INDEX(INVESTOR_LIST[INVESTOR NAME],MATCH(I3435,INVESTOR_LIST[INVESTOR CODE],0),)," ")</f>
        <v xml:space="preserve"> </v>
      </c>
      <c r="I3435" s="223"/>
      <c r="J3435" s="224" t="s">
        <v>51</v>
      </c>
      <c r="K3435" s="225">
        <v>212545.98</v>
      </c>
      <c r="L3435" s="225"/>
    </row>
    <row r="3436" spans="1:12" ht="11.25" customHeight="1" x14ac:dyDescent="0.2">
      <c r="A3436" s="226">
        <v>2023</v>
      </c>
      <c r="B3436" s="226">
        <v>8</v>
      </c>
      <c r="C3436" s="226">
        <v>24</v>
      </c>
      <c r="D3436" s="232">
        <f t="shared" si="375"/>
        <v>45162</v>
      </c>
      <c r="E3436" s="234">
        <f>DATE(A3436,B3436,C3436)</f>
        <v>45162</v>
      </c>
      <c r="F3436" s="479"/>
      <c r="G3436" s="227" t="s">
        <v>1111</v>
      </c>
      <c r="H3436" s="228" t="str" cm="1">
        <f t="array" ref="H3436">IFERROR(INDEX(INVESTOR_LIST[INVESTOR NAME],MATCH(I3436,INVESTOR_LIST[INVESTOR CODE],0),)," ")</f>
        <v xml:space="preserve"> </v>
      </c>
      <c r="I3436" s="228"/>
      <c r="J3436" s="229" t="s">
        <v>55</v>
      </c>
      <c r="K3436" s="230"/>
      <c r="L3436" s="230">
        <v>212545.98</v>
      </c>
    </row>
    <row r="3437" spans="1:12" ht="11.25" customHeight="1" x14ac:dyDescent="0.2">
      <c r="A3437" s="221">
        <v>2023</v>
      </c>
      <c r="B3437" s="221">
        <v>8</v>
      </c>
      <c r="C3437" s="221">
        <v>24</v>
      </c>
      <c r="D3437" s="221">
        <f t="shared" si="375"/>
        <v>45162</v>
      </c>
      <c r="E3437" s="233">
        <f t="shared" ref="E3437:E3472" si="377">DATE(A3437,B3437,C3437)</f>
        <v>45162</v>
      </c>
      <c r="F3437" s="478" t="s">
        <v>1589</v>
      </c>
      <c r="G3437" s="222" t="s">
        <v>86</v>
      </c>
      <c r="H3437" s="222" t="str" cm="1">
        <f t="array" ref="H3437">IFERROR(INDEX(INVESTOR_LIST[INVESTOR NAME],MATCH(I3437,INVESTOR_LIST[INVESTOR CODE],0),)," ")</f>
        <v xml:space="preserve"> </v>
      </c>
      <c r="I3437" s="223"/>
      <c r="J3437" s="165" t="s">
        <v>199</v>
      </c>
      <c r="K3437" s="225">
        <v>499598.11</v>
      </c>
      <c r="L3437" s="225"/>
    </row>
    <row r="3438" spans="1:12" ht="11.25" customHeight="1" x14ac:dyDescent="0.2">
      <c r="A3438" s="164">
        <v>2023</v>
      </c>
      <c r="B3438" s="164">
        <v>8</v>
      </c>
      <c r="C3438" s="164">
        <v>24</v>
      </c>
      <c r="D3438" s="164">
        <f t="shared" si="375"/>
        <v>45162</v>
      </c>
      <c r="E3438" s="235">
        <f t="shared" si="377"/>
        <v>45162</v>
      </c>
      <c r="F3438" s="480"/>
      <c r="G3438" s="208" t="s">
        <v>86</v>
      </c>
      <c r="H3438" s="208"/>
      <c r="J3438" s="165" t="s">
        <v>960</v>
      </c>
      <c r="K3438" s="205">
        <v>900.89</v>
      </c>
      <c r="L3438" s="205"/>
    </row>
    <row r="3439" spans="1:12" ht="11.25" customHeight="1" x14ac:dyDescent="0.2">
      <c r="A3439" s="164">
        <v>2023</v>
      </c>
      <c r="B3439" s="164">
        <v>8</v>
      </c>
      <c r="C3439" s="164">
        <v>24</v>
      </c>
      <c r="D3439" s="164">
        <f t="shared" si="375"/>
        <v>45162</v>
      </c>
      <c r="E3439" s="235">
        <f t="shared" si="377"/>
        <v>45162</v>
      </c>
      <c r="F3439" s="480"/>
      <c r="G3439" s="208" t="s">
        <v>86</v>
      </c>
      <c r="H3439" s="208"/>
      <c r="J3439" s="165" t="s">
        <v>200</v>
      </c>
      <c r="K3439" s="205">
        <v>40900.99</v>
      </c>
      <c r="L3439" s="205"/>
    </row>
    <row r="3440" spans="1:12" ht="11.25" customHeight="1" x14ac:dyDescent="0.2">
      <c r="A3440" s="226">
        <v>2023</v>
      </c>
      <c r="B3440" s="226">
        <v>8</v>
      </c>
      <c r="C3440" s="226">
        <v>24</v>
      </c>
      <c r="D3440" s="226">
        <f t="shared" si="375"/>
        <v>45162</v>
      </c>
      <c r="E3440" s="234">
        <f t="shared" si="377"/>
        <v>45162</v>
      </c>
      <c r="F3440" s="479"/>
      <c r="G3440" s="227" t="s">
        <v>86</v>
      </c>
      <c r="H3440" s="228" t="str" cm="1">
        <f t="array" ref="H3440">IFERROR(INDEX(INVESTOR_LIST[INVESTOR NAME],MATCH(I3440,INVESTOR_LIST[INVESTOR CODE],0),)," ")</f>
        <v xml:space="preserve"> </v>
      </c>
      <c r="I3440" s="228"/>
      <c r="J3440" s="229" t="s">
        <v>80</v>
      </c>
      <c r="K3440" s="230"/>
      <c r="L3440" s="230">
        <v>541399.99</v>
      </c>
    </row>
    <row r="3441" spans="1:12" ht="11.25" customHeight="1" x14ac:dyDescent="0.2">
      <c r="A3441" s="280">
        <v>2023</v>
      </c>
      <c r="B3441" s="280">
        <v>8</v>
      </c>
      <c r="C3441" s="280">
        <v>24</v>
      </c>
      <c r="D3441" s="281">
        <f t="shared" si="375"/>
        <v>45162</v>
      </c>
      <c r="E3441" s="282">
        <f t="shared" si="377"/>
        <v>45162</v>
      </c>
      <c r="F3441" s="472" t="s">
        <v>1369</v>
      </c>
      <c r="G3441" s="283" t="s">
        <v>86</v>
      </c>
      <c r="H3441" s="284" t="str" cm="1">
        <f t="array" ref="H3441">IFERROR(INDEX(INVESTOR_LIST[INVESTOR NAME],MATCH(I3441,INVESTOR_LIST[INVESTOR CODE],0),)," ")</f>
        <v xml:space="preserve"> </v>
      </c>
      <c r="I3441" s="284"/>
      <c r="J3441" s="285" t="s">
        <v>131</v>
      </c>
      <c r="K3441" s="286">
        <v>88391.82</v>
      </c>
      <c r="L3441" s="286"/>
    </row>
    <row r="3442" spans="1:12" ht="11.25" customHeight="1" x14ac:dyDescent="0.2">
      <c r="A3442" s="287">
        <v>2023</v>
      </c>
      <c r="B3442" s="287">
        <v>8</v>
      </c>
      <c r="C3442" s="287">
        <v>24</v>
      </c>
      <c r="D3442" s="288">
        <f t="shared" si="375"/>
        <v>45162</v>
      </c>
      <c r="E3442" s="289">
        <f t="shared" si="377"/>
        <v>45162</v>
      </c>
      <c r="F3442" s="473"/>
      <c r="G3442" s="290" t="s">
        <v>86</v>
      </c>
      <c r="H3442" s="291" t="str" cm="1">
        <f t="array" ref="H3442">IFERROR(INDEX(INVESTOR_LIST[INVESTOR NAME],MATCH(I3442,INVESTOR_LIST[INVESTOR CODE],0),)," ")</f>
        <v xml:space="preserve"> </v>
      </c>
      <c r="I3442" s="291"/>
      <c r="J3442" s="292" t="s">
        <v>174</v>
      </c>
      <c r="K3442" s="293"/>
      <c r="L3442" s="293">
        <v>88391.82</v>
      </c>
    </row>
    <row r="3443" spans="1:12" ht="11.25" customHeight="1" x14ac:dyDescent="0.2">
      <c r="A3443" s="280">
        <v>2023</v>
      </c>
      <c r="B3443" s="280">
        <v>8</v>
      </c>
      <c r="C3443" s="280">
        <v>24</v>
      </c>
      <c r="D3443" s="281">
        <f t="shared" si="375"/>
        <v>45162</v>
      </c>
      <c r="E3443" s="282">
        <f t="shared" si="377"/>
        <v>45162</v>
      </c>
      <c r="F3443" s="472" t="s">
        <v>1295</v>
      </c>
      <c r="G3443" s="283" t="s">
        <v>86</v>
      </c>
      <c r="H3443" s="284" t="str" cm="1">
        <f t="array" ref="H3443">IFERROR(INDEX(INVESTOR_LIST[INVESTOR NAME],MATCH(I3443,INVESTOR_LIST[INVESTOR CODE],0),)," ")</f>
        <v xml:space="preserve"> </v>
      </c>
      <c r="I3443" s="284"/>
      <c r="J3443" s="285" t="s">
        <v>131</v>
      </c>
      <c r="K3443" s="286">
        <v>17028.849999999999</v>
      </c>
      <c r="L3443" s="286"/>
    </row>
    <row r="3444" spans="1:12" ht="11.25" customHeight="1" x14ac:dyDescent="0.2">
      <c r="A3444" s="287">
        <v>2023</v>
      </c>
      <c r="B3444" s="287">
        <v>8</v>
      </c>
      <c r="C3444" s="287">
        <v>24</v>
      </c>
      <c r="D3444" s="288">
        <f t="shared" si="375"/>
        <v>45162</v>
      </c>
      <c r="E3444" s="289">
        <f t="shared" si="377"/>
        <v>45162</v>
      </c>
      <c r="F3444" s="473"/>
      <c r="G3444" s="290" t="s">
        <v>86</v>
      </c>
      <c r="H3444" s="291" t="str" cm="1">
        <f t="array" ref="H3444">IFERROR(INDEX(INVESTOR_LIST[INVESTOR NAME],MATCH(I3444,INVESTOR_LIST[INVESTOR CODE],0),)," ")</f>
        <v xml:space="preserve"> </v>
      </c>
      <c r="I3444" s="291"/>
      <c r="J3444" s="292" t="s">
        <v>174</v>
      </c>
      <c r="K3444" s="293"/>
      <c r="L3444" s="293">
        <v>17028.849999999999</v>
      </c>
    </row>
    <row r="3445" spans="1:12" ht="11.25" customHeight="1" x14ac:dyDescent="0.2">
      <c r="A3445" s="280">
        <v>2023</v>
      </c>
      <c r="B3445" s="280">
        <v>8</v>
      </c>
      <c r="C3445" s="280">
        <v>24</v>
      </c>
      <c r="D3445" s="281">
        <f t="shared" si="375"/>
        <v>45162</v>
      </c>
      <c r="E3445" s="282">
        <f t="shared" si="377"/>
        <v>45162</v>
      </c>
      <c r="F3445" s="472" t="s">
        <v>1294</v>
      </c>
      <c r="G3445" s="283" t="s">
        <v>86</v>
      </c>
      <c r="H3445" s="284" t="str" cm="1">
        <f t="array" ref="H3445">IFERROR(INDEX(INVESTOR_LIST[INVESTOR NAME],MATCH(I3445,INVESTOR_LIST[INVESTOR CODE],0),)," ")</f>
        <v xml:space="preserve"> </v>
      </c>
      <c r="I3445" s="284"/>
      <c r="J3445" s="285" t="s">
        <v>131</v>
      </c>
      <c r="K3445" s="286">
        <v>10769.23</v>
      </c>
      <c r="L3445" s="286"/>
    </row>
    <row r="3446" spans="1:12" ht="11.25" customHeight="1" x14ac:dyDescent="0.2">
      <c r="A3446" s="287">
        <v>2023</v>
      </c>
      <c r="B3446" s="287">
        <v>8</v>
      </c>
      <c r="C3446" s="287">
        <v>24</v>
      </c>
      <c r="D3446" s="288">
        <f t="shared" si="375"/>
        <v>45162</v>
      </c>
      <c r="E3446" s="289">
        <f t="shared" si="377"/>
        <v>45162</v>
      </c>
      <c r="F3446" s="473"/>
      <c r="G3446" s="290" t="s">
        <v>86</v>
      </c>
      <c r="H3446" s="291" t="str" cm="1">
        <f t="array" ref="H3446">IFERROR(INDEX(INVESTOR_LIST[INVESTOR NAME],MATCH(I3446,INVESTOR_LIST[INVESTOR CODE],0),)," ")</f>
        <v xml:space="preserve"> </v>
      </c>
      <c r="I3446" s="291"/>
      <c r="J3446" s="292" t="s">
        <v>174</v>
      </c>
      <c r="K3446" s="293"/>
      <c r="L3446" s="293">
        <v>10769.23</v>
      </c>
    </row>
    <row r="3447" spans="1:12" ht="11.25" customHeight="1" x14ac:dyDescent="0.2">
      <c r="A3447" s="280">
        <v>2023</v>
      </c>
      <c r="B3447" s="280">
        <v>8</v>
      </c>
      <c r="C3447" s="280">
        <v>24</v>
      </c>
      <c r="D3447" s="281">
        <f t="shared" si="375"/>
        <v>45162</v>
      </c>
      <c r="E3447" s="282">
        <f t="shared" si="377"/>
        <v>45162</v>
      </c>
      <c r="F3447" s="472" t="s">
        <v>1584</v>
      </c>
      <c r="G3447" s="283" t="s">
        <v>86</v>
      </c>
      <c r="H3447" s="284" t="str" cm="1">
        <f t="array" ref="H3447">IFERROR(INDEX(INVESTOR_LIST[INVESTOR NAME],MATCH(I3447,INVESTOR_LIST[INVESTOR CODE],0),)," ")</f>
        <v xml:space="preserve"> </v>
      </c>
      <c r="I3447" s="284"/>
      <c r="J3447" s="285" t="s">
        <v>131</v>
      </c>
      <c r="K3447" s="286">
        <v>12692.31</v>
      </c>
      <c r="L3447" s="286"/>
    </row>
    <row r="3448" spans="1:12" ht="11.25" customHeight="1" x14ac:dyDescent="0.2">
      <c r="A3448" s="287">
        <v>2023</v>
      </c>
      <c r="B3448" s="287">
        <v>8</v>
      </c>
      <c r="C3448" s="287">
        <v>24</v>
      </c>
      <c r="D3448" s="288">
        <f t="shared" si="375"/>
        <v>45162</v>
      </c>
      <c r="E3448" s="289">
        <f t="shared" si="377"/>
        <v>45162</v>
      </c>
      <c r="F3448" s="473"/>
      <c r="G3448" s="290" t="s">
        <v>86</v>
      </c>
      <c r="H3448" s="291" t="str" cm="1">
        <f t="array" ref="H3448">IFERROR(INDEX(INVESTOR_LIST[INVESTOR NAME],MATCH(I3448,INVESTOR_LIST[INVESTOR CODE],0),)," ")</f>
        <v xml:space="preserve"> </v>
      </c>
      <c r="I3448" s="291"/>
      <c r="J3448" s="292" t="s">
        <v>174</v>
      </c>
      <c r="K3448" s="293"/>
      <c r="L3448" s="293">
        <v>12692.31</v>
      </c>
    </row>
    <row r="3449" spans="1:12" ht="11.25" customHeight="1" x14ac:dyDescent="0.2">
      <c r="A3449" s="236">
        <v>2023</v>
      </c>
      <c r="B3449" s="236">
        <v>8</v>
      </c>
      <c r="C3449" s="236">
        <v>24</v>
      </c>
      <c r="D3449" s="237">
        <f t="shared" si="375"/>
        <v>45162</v>
      </c>
      <c r="E3449" s="238">
        <f t="shared" si="377"/>
        <v>45162</v>
      </c>
      <c r="F3449" s="476" t="s">
        <v>1118</v>
      </c>
      <c r="G3449" s="239" t="s">
        <v>86</v>
      </c>
      <c r="H3449" s="239" t="str" cm="1">
        <f t="array" ref="H3449">IFERROR(INDEX(INVESTOR_LIST[INVESTOR NAME],MATCH(I3449,INVESTOR_LIST[INVESTOR CODE],0),)," ")</f>
        <v xml:space="preserve"> </v>
      </c>
      <c r="I3449" s="240"/>
      <c r="J3449" s="241" t="s">
        <v>98</v>
      </c>
      <c r="K3449" s="242">
        <v>339405.48999999464</v>
      </c>
      <c r="L3449" s="242"/>
    </row>
    <row r="3450" spans="1:12" ht="11.25" customHeight="1" x14ac:dyDescent="0.2">
      <c r="A3450" s="243">
        <v>2023</v>
      </c>
      <c r="B3450" s="243">
        <v>8</v>
      </c>
      <c r="C3450" s="243">
        <v>24</v>
      </c>
      <c r="D3450" s="248">
        <f t="shared" si="375"/>
        <v>45162</v>
      </c>
      <c r="E3450" s="249">
        <f t="shared" si="377"/>
        <v>45162</v>
      </c>
      <c r="F3450" s="477"/>
      <c r="G3450" s="244" t="s">
        <v>86</v>
      </c>
      <c r="H3450" s="244" t="str" cm="1">
        <f t="array" ref="H3450">IFERROR(INDEX(INVESTOR_LIST[INVESTOR NAME],MATCH(I3450,INVESTOR_LIST[INVESTOR CODE],0),)," ")</f>
        <v xml:space="preserve"> </v>
      </c>
      <c r="I3450" s="245"/>
      <c r="J3450" s="246" t="s">
        <v>82</v>
      </c>
      <c r="K3450" s="247"/>
      <c r="L3450" s="247">
        <v>339405.48999999464</v>
      </c>
    </row>
    <row r="3451" spans="1:12" ht="11.25" customHeight="1" x14ac:dyDescent="0.2">
      <c r="A3451" s="236">
        <v>2023</v>
      </c>
      <c r="B3451" s="236">
        <v>8</v>
      </c>
      <c r="C3451" s="236">
        <v>24</v>
      </c>
      <c r="D3451" s="237">
        <f t="shared" si="375"/>
        <v>45162</v>
      </c>
      <c r="E3451" s="238">
        <f t="shared" si="377"/>
        <v>45162</v>
      </c>
      <c r="F3451" s="476" t="s">
        <v>1120</v>
      </c>
      <c r="G3451" s="239" t="s">
        <v>86</v>
      </c>
      <c r="H3451" s="239" t="str" cm="1">
        <f t="array" ref="H3451">IFERROR(INDEX(INVESTOR_LIST[INVESTOR NAME],MATCH(I3451,INVESTOR_LIST[INVESTOR CODE],0),)," ")</f>
        <v xml:space="preserve"> </v>
      </c>
      <c r="I3451" s="240"/>
      <c r="J3451" s="241" t="s">
        <v>87</v>
      </c>
      <c r="K3451" s="242">
        <v>2747.2527472527472</v>
      </c>
      <c r="L3451" s="242"/>
    </row>
    <row r="3452" spans="1:12" ht="11.25" customHeight="1" x14ac:dyDescent="0.2">
      <c r="A3452" s="243">
        <v>2023</v>
      </c>
      <c r="B3452" s="243">
        <v>8</v>
      </c>
      <c r="C3452" s="243">
        <v>24</v>
      </c>
      <c r="D3452" s="248">
        <f t="shared" si="375"/>
        <v>45162</v>
      </c>
      <c r="E3452" s="249">
        <f t="shared" si="377"/>
        <v>45162</v>
      </c>
      <c r="F3452" s="477"/>
      <c r="G3452" s="244" t="s">
        <v>86</v>
      </c>
      <c r="H3452" s="244" t="str" cm="1">
        <f t="array" ref="H3452">IFERROR(INDEX(INVESTOR_LIST[INVESTOR NAME],MATCH(I3452,INVESTOR_LIST[INVESTOR CODE],0),)," ")</f>
        <v xml:space="preserve"> </v>
      </c>
      <c r="I3452" s="245"/>
      <c r="J3452" s="246" t="s">
        <v>64</v>
      </c>
      <c r="K3452" s="247"/>
      <c r="L3452" s="247">
        <v>2747.2527472527472</v>
      </c>
    </row>
    <row r="3453" spans="1:12" ht="11.25" customHeight="1" x14ac:dyDescent="0.2">
      <c r="A3453" s="236">
        <v>2023</v>
      </c>
      <c r="B3453" s="236">
        <v>8</v>
      </c>
      <c r="C3453" s="236">
        <v>24</v>
      </c>
      <c r="D3453" s="237">
        <f t="shared" si="375"/>
        <v>45162</v>
      </c>
      <c r="E3453" s="238">
        <f t="shared" si="377"/>
        <v>45162</v>
      </c>
      <c r="F3453" s="476" t="s">
        <v>1121</v>
      </c>
      <c r="G3453" s="239" t="s">
        <v>86</v>
      </c>
      <c r="H3453" s="239" t="str" cm="1">
        <f t="array" ref="H3453">IFERROR(INDEX(INVESTOR_LIST[INVESTOR NAME],MATCH(I3453,INVESTOR_LIST[INVESTOR CODE],0),)," ")</f>
        <v xml:space="preserve"> </v>
      </c>
      <c r="I3453" s="240"/>
      <c r="J3453" s="241" t="s">
        <v>89</v>
      </c>
      <c r="K3453" s="242">
        <v>69301.022878770993</v>
      </c>
      <c r="L3453" s="242"/>
    </row>
    <row r="3454" spans="1:12" ht="11.25" customHeight="1" x14ac:dyDescent="0.2">
      <c r="A3454" s="243">
        <v>2023</v>
      </c>
      <c r="B3454" s="243">
        <v>8</v>
      </c>
      <c r="C3454" s="243">
        <v>24</v>
      </c>
      <c r="D3454" s="248">
        <f t="shared" si="375"/>
        <v>45162</v>
      </c>
      <c r="E3454" s="249">
        <f t="shared" si="377"/>
        <v>45162</v>
      </c>
      <c r="F3454" s="477"/>
      <c r="G3454" s="244" t="s">
        <v>86</v>
      </c>
      <c r="H3454" s="244" t="str" cm="1">
        <f t="array" ref="H3454">IFERROR(INDEX(INVESTOR_LIST[INVESTOR NAME],MATCH(I3454,INVESTOR_LIST[INVESTOR CODE],0),)," ")</f>
        <v xml:space="preserve"> </v>
      </c>
      <c r="I3454" s="245"/>
      <c r="J3454" s="246" t="s">
        <v>50</v>
      </c>
      <c r="K3454" s="247"/>
      <c r="L3454" s="247">
        <v>69301.022878770993</v>
      </c>
    </row>
    <row r="3455" spans="1:12" ht="11.25" customHeight="1" x14ac:dyDescent="0.2">
      <c r="A3455" s="236">
        <v>2023</v>
      </c>
      <c r="B3455" s="236">
        <v>8</v>
      </c>
      <c r="C3455" s="236">
        <v>24</v>
      </c>
      <c r="D3455" s="237">
        <f t="shared" si="375"/>
        <v>45162</v>
      </c>
      <c r="E3455" s="238">
        <f t="shared" si="377"/>
        <v>45162</v>
      </c>
      <c r="F3455" s="476" t="s">
        <v>1122</v>
      </c>
      <c r="G3455" s="239" t="s">
        <v>86</v>
      </c>
      <c r="H3455" s="239" t="str" cm="1">
        <f t="array" ref="H3455">IFERROR(INDEX(INVESTOR_LIST[INVESTOR NAME],MATCH(I3455,INVESTOR_LIST[INVESTOR CODE],0),)," ")</f>
        <v xml:space="preserve"> </v>
      </c>
      <c r="I3455" s="240"/>
      <c r="J3455" s="241" t="s">
        <v>91</v>
      </c>
      <c r="K3455" s="242">
        <v>3465.0511439385496</v>
      </c>
      <c r="L3455" s="242"/>
    </row>
    <row r="3456" spans="1:12" ht="11.25" customHeight="1" x14ac:dyDescent="0.2">
      <c r="A3456" s="243">
        <v>2023</v>
      </c>
      <c r="B3456" s="243">
        <v>8</v>
      </c>
      <c r="C3456" s="243">
        <v>24</v>
      </c>
      <c r="D3456" s="248">
        <f t="shared" si="375"/>
        <v>45162</v>
      </c>
      <c r="E3456" s="249">
        <f t="shared" si="377"/>
        <v>45162</v>
      </c>
      <c r="F3456" s="477"/>
      <c r="G3456" s="244" t="s">
        <v>86</v>
      </c>
      <c r="H3456" s="244" t="str" cm="1">
        <f t="array" ref="H3456">IFERROR(INDEX(INVESTOR_LIST[INVESTOR NAME],MATCH(I3456,INVESTOR_LIST[INVESTOR CODE],0),)," ")</f>
        <v xml:space="preserve"> </v>
      </c>
      <c r="I3456" s="245"/>
      <c r="J3456" s="246" t="s">
        <v>51</v>
      </c>
      <c r="K3456" s="247"/>
      <c r="L3456" s="247">
        <v>3465.0511439385496</v>
      </c>
    </row>
    <row r="3457" spans="1:13" ht="11.25" customHeight="1" x14ac:dyDescent="0.2">
      <c r="A3457" s="221">
        <v>2023</v>
      </c>
      <c r="B3457" s="221">
        <v>8</v>
      </c>
      <c r="C3457" s="221">
        <v>27</v>
      </c>
      <c r="D3457" s="231">
        <f t="shared" si="375"/>
        <v>45165</v>
      </c>
      <c r="E3457" s="233">
        <f t="shared" si="377"/>
        <v>45165</v>
      </c>
      <c r="F3457" s="478" t="s">
        <v>1178</v>
      </c>
      <c r="G3457" s="222" t="s">
        <v>1111</v>
      </c>
      <c r="H3457" s="223" t="str" cm="1">
        <f t="array" ref="H3457">IFERROR(INDEX(INVESTOR_LIST[INVESTOR NAME],MATCH(I3457,INVESTOR_LIST[INVESTOR CODE],0),)," ")</f>
        <v xml:space="preserve"> </v>
      </c>
      <c r="I3457" s="223"/>
      <c r="J3457" s="224" t="s">
        <v>189</v>
      </c>
      <c r="K3457" s="225">
        <v>6250</v>
      </c>
      <c r="L3457" s="225"/>
    </row>
    <row r="3458" spans="1:13" ht="11.25" customHeight="1" x14ac:dyDescent="0.2">
      <c r="A3458" s="226">
        <v>2023</v>
      </c>
      <c r="B3458" s="226">
        <v>8</v>
      </c>
      <c r="C3458" s="226">
        <v>27</v>
      </c>
      <c r="D3458" s="232">
        <f t="shared" si="375"/>
        <v>45165</v>
      </c>
      <c r="E3458" s="234">
        <f t="shared" si="377"/>
        <v>45165</v>
      </c>
      <c r="F3458" s="479"/>
      <c r="G3458" s="227" t="s">
        <v>1111</v>
      </c>
      <c r="H3458" s="228" t="str" cm="1">
        <f t="array" ref="H3458">IFERROR(INDEX(INVESTOR_LIST[INVESTOR NAME],MATCH(I3458,INVESTOR_LIST[INVESTOR CODE],0),)," ")</f>
        <v xml:space="preserve"> </v>
      </c>
      <c r="I3458" s="228"/>
      <c r="J3458" s="229" t="s">
        <v>55</v>
      </c>
      <c r="K3458" s="230"/>
      <c r="L3458" s="230">
        <v>6250</v>
      </c>
    </row>
    <row r="3459" spans="1:13" ht="11.25" customHeight="1" x14ac:dyDescent="0.2">
      <c r="A3459" s="221">
        <v>2023</v>
      </c>
      <c r="B3459" s="221">
        <v>8</v>
      </c>
      <c r="C3459" s="221">
        <v>27</v>
      </c>
      <c r="D3459" s="231">
        <f t="shared" si="375"/>
        <v>45165</v>
      </c>
      <c r="E3459" s="233">
        <f t="shared" si="377"/>
        <v>45165</v>
      </c>
      <c r="F3459" s="478" t="s">
        <v>1593</v>
      </c>
      <c r="G3459" s="222" t="s">
        <v>86</v>
      </c>
      <c r="H3459" s="222" t="str" cm="1">
        <f t="array" ref="H3459">IFERROR(INDEX(INVESTOR_LIST[INVESTOR NAME],MATCH(I3459,INVESTOR_LIST[INVESTOR CODE],0),)," ")</f>
        <v xml:space="preserve"> </v>
      </c>
      <c r="I3459" s="223"/>
      <c r="J3459" s="224" t="s">
        <v>80</v>
      </c>
      <c r="K3459" s="225">
        <v>1961820</v>
      </c>
      <c r="L3459" s="225"/>
    </row>
    <row r="3460" spans="1:13" ht="11.25" customHeight="1" x14ac:dyDescent="0.2">
      <c r="A3460" s="164">
        <v>2023</v>
      </c>
      <c r="B3460" s="164">
        <v>8</v>
      </c>
      <c r="C3460" s="164">
        <v>27</v>
      </c>
      <c r="D3460" s="164">
        <f t="shared" si="375"/>
        <v>45165</v>
      </c>
      <c r="E3460" s="235">
        <f t="shared" si="377"/>
        <v>45165</v>
      </c>
      <c r="F3460" s="480"/>
      <c r="G3460" s="208" t="s">
        <v>86</v>
      </c>
      <c r="H3460" s="208"/>
      <c r="J3460" s="165" t="s">
        <v>960</v>
      </c>
      <c r="K3460" s="205">
        <v>3531.28</v>
      </c>
      <c r="L3460" s="205"/>
    </row>
    <row r="3461" spans="1:13" ht="11.25" customHeight="1" x14ac:dyDescent="0.2">
      <c r="A3461" s="226">
        <v>2023</v>
      </c>
      <c r="B3461" s="226">
        <v>8</v>
      </c>
      <c r="C3461" s="226">
        <v>27</v>
      </c>
      <c r="D3461" s="226">
        <f t="shared" si="375"/>
        <v>45165</v>
      </c>
      <c r="E3461" s="234">
        <f t="shared" si="377"/>
        <v>45165</v>
      </c>
      <c r="F3461" s="479"/>
      <c r="G3461" s="227" t="s">
        <v>86</v>
      </c>
      <c r="H3461" s="227"/>
      <c r="I3461" s="228"/>
      <c r="J3461" s="229" t="s">
        <v>961</v>
      </c>
      <c r="K3461" s="294"/>
      <c r="L3461" s="230">
        <v>1965351.28</v>
      </c>
    </row>
    <row r="3462" spans="1:13" ht="11.25" customHeight="1" x14ac:dyDescent="0.2">
      <c r="A3462" s="221">
        <v>2023</v>
      </c>
      <c r="B3462" s="221">
        <v>8</v>
      </c>
      <c r="C3462" s="221">
        <v>28</v>
      </c>
      <c r="D3462" s="231">
        <f t="shared" si="375"/>
        <v>45166</v>
      </c>
      <c r="E3462" s="233">
        <f>DATE(A3462,B3462,C3462)</f>
        <v>45166</v>
      </c>
      <c r="F3462" s="478" t="s">
        <v>1594</v>
      </c>
      <c r="G3462" s="222" t="s">
        <v>1111</v>
      </c>
      <c r="H3462" s="223" t="str" cm="1">
        <f t="array" ref="H3462">IFERROR(INDEX(INVESTOR_LIST[INVESTOR NAME],MATCH(I3462,INVESTOR_LIST[INVESTOR CODE],0),)," ")</f>
        <v xml:space="preserve"> </v>
      </c>
      <c r="I3462" s="223"/>
      <c r="J3462" s="224" t="s">
        <v>961</v>
      </c>
      <c r="K3462" s="225">
        <v>1965351.28</v>
      </c>
      <c r="L3462" s="225"/>
    </row>
    <row r="3463" spans="1:13" ht="11.25" customHeight="1" x14ac:dyDescent="0.2">
      <c r="A3463" s="226">
        <v>2023</v>
      </c>
      <c r="B3463" s="226">
        <v>8</v>
      </c>
      <c r="C3463" s="226">
        <v>28</v>
      </c>
      <c r="D3463" s="232">
        <f t="shared" si="375"/>
        <v>45166</v>
      </c>
      <c r="E3463" s="234">
        <f>DATE(A3463,B3463,C3463)</f>
        <v>45166</v>
      </c>
      <c r="F3463" s="479"/>
      <c r="G3463" s="227" t="s">
        <v>1111</v>
      </c>
      <c r="H3463" s="228" t="str" cm="1">
        <f t="array" ref="H3463">IFERROR(INDEX(INVESTOR_LIST[INVESTOR NAME],MATCH(I3463,INVESTOR_LIST[INVESTOR CODE],0),)," ")</f>
        <v xml:space="preserve"> </v>
      </c>
      <c r="I3463" s="228"/>
      <c r="J3463" s="229" t="s">
        <v>55</v>
      </c>
      <c r="K3463" s="230"/>
      <c r="L3463" s="230">
        <v>1965351.28</v>
      </c>
    </row>
    <row r="3464" spans="1:13" ht="11.25" customHeight="1" x14ac:dyDescent="0.2">
      <c r="A3464" s="221">
        <v>2023</v>
      </c>
      <c r="B3464" s="221">
        <v>8</v>
      </c>
      <c r="C3464" s="221">
        <v>28</v>
      </c>
      <c r="D3464" s="231">
        <f t="shared" si="375"/>
        <v>45166</v>
      </c>
      <c r="E3464" s="233">
        <f t="shared" ref="E3464:E3466" si="378">DATE(A3464,B3464,C3464)</f>
        <v>45166</v>
      </c>
      <c r="F3464" s="478" t="s">
        <v>1132</v>
      </c>
      <c r="G3464" s="222" t="s">
        <v>1111</v>
      </c>
      <c r="H3464" s="223" t="str" cm="1">
        <f t="array" ref="H3464">IFERROR(INDEX(INVESTOR_LIST[INVESTOR NAME],MATCH(I3464,INVESTOR_LIST[INVESTOR CODE],0),)," ")</f>
        <v xml:space="preserve"> </v>
      </c>
      <c r="I3464" s="223"/>
      <c r="J3464" s="224" t="s">
        <v>55</v>
      </c>
      <c r="K3464" s="167">
        <v>15000</v>
      </c>
      <c r="L3464" s="225"/>
    </row>
    <row r="3465" spans="1:13" ht="11.25" customHeight="1" x14ac:dyDescent="0.2">
      <c r="A3465" s="164">
        <v>2023</v>
      </c>
      <c r="B3465" s="164">
        <v>8</v>
      </c>
      <c r="C3465" s="164">
        <v>28</v>
      </c>
      <c r="D3465" s="156">
        <f t="shared" ref="D3465:D3528" si="379">DATE(A3465,B3465,C3465)</f>
        <v>45166</v>
      </c>
      <c r="E3465" s="235">
        <f t="shared" si="378"/>
        <v>45166</v>
      </c>
      <c r="F3465" s="480"/>
      <c r="G3465" s="208" t="s">
        <v>1111</v>
      </c>
      <c r="H3465" s="206" t="str" cm="1">
        <f t="array" ref="H3465">IFERROR(INDEX(INVESTOR_LIST[INVESTOR NAME],MATCH(I3465,INVESTOR_LIST[INVESTOR CODE],0),)," ")</f>
        <v xml:space="preserve"> </v>
      </c>
      <c r="J3465" s="165" t="s">
        <v>14</v>
      </c>
      <c r="L3465" s="205">
        <v>14520</v>
      </c>
    </row>
    <row r="3466" spans="1:13" ht="11.25" customHeight="1" x14ac:dyDescent="0.2">
      <c r="A3466" s="226">
        <v>2023</v>
      </c>
      <c r="B3466" s="226">
        <v>8</v>
      </c>
      <c r="C3466" s="226">
        <v>28</v>
      </c>
      <c r="D3466" s="232">
        <f t="shared" si="379"/>
        <v>45166</v>
      </c>
      <c r="E3466" s="234">
        <f t="shared" si="378"/>
        <v>45166</v>
      </c>
      <c r="F3466" s="479"/>
      <c r="G3466" s="227" t="s">
        <v>1111</v>
      </c>
      <c r="H3466" s="228" t="str" cm="1">
        <f t="array" ref="H3466">IFERROR(INDEX(INVESTOR_LIST[INVESTOR NAME],MATCH(I3466,INVESTOR_LIST[INVESTOR CODE],0),)," ")</f>
        <v xml:space="preserve"> </v>
      </c>
      <c r="I3466" s="228"/>
      <c r="J3466" s="229" t="s">
        <v>1112</v>
      </c>
      <c r="K3466" s="230"/>
      <c r="L3466" s="230">
        <v>480</v>
      </c>
    </row>
    <row r="3467" spans="1:13" ht="11.25" customHeight="1" x14ac:dyDescent="0.2">
      <c r="A3467" s="221">
        <v>2023</v>
      </c>
      <c r="B3467" s="221">
        <v>8</v>
      </c>
      <c r="C3467" s="221">
        <v>29</v>
      </c>
      <c r="D3467" s="231">
        <f t="shared" si="379"/>
        <v>45167</v>
      </c>
      <c r="E3467" s="233">
        <f t="shared" si="377"/>
        <v>45167</v>
      </c>
      <c r="F3467" s="478" t="s">
        <v>1590</v>
      </c>
      <c r="G3467" s="222" t="s">
        <v>1111</v>
      </c>
      <c r="H3467" s="223" t="str" cm="1">
        <f t="array" ref="H3467">IFERROR(INDEX(INVESTOR_LIST[INVESTOR NAME],MATCH(I3467,INVESTOR_LIST[INVESTOR CODE],0),)," ")</f>
        <v xml:space="preserve"> </v>
      </c>
      <c r="I3467" s="223"/>
      <c r="J3467" s="224" t="s">
        <v>55</v>
      </c>
      <c r="K3467" s="225">
        <v>500316.82</v>
      </c>
      <c r="L3467" s="225"/>
    </row>
    <row r="3468" spans="1:13" ht="11.25" customHeight="1" x14ac:dyDescent="0.2">
      <c r="A3468" s="226">
        <v>2023</v>
      </c>
      <c r="B3468" s="226">
        <v>8</v>
      </c>
      <c r="C3468" s="226">
        <v>29</v>
      </c>
      <c r="D3468" s="232">
        <f t="shared" si="379"/>
        <v>45167</v>
      </c>
      <c r="E3468" s="234">
        <f t="shared" si="377"/>
        <v>45167</v>
      </c>
      <c r="F3468" s="479"/>
      <c r="G3468" s="227" t="s">
        <v>1111</v>
      </c>
      <c r="H3468" s="228" t="str" cm="1">
        <f t="array" ref="H3468">IFERROR(INDEX(INVESTOR_LIST[INVESTOR NAME],MATCH(I3468,INVESTOR_LIST[INVESTOR CODE],0),)," ")</f>
        <v xml:space="preserve"> </v>
      </c>
      <c r="I3468" s="228"/>
      <c r="J3468" s="229" t="s">
        <v>199</v>
      </c>
      <c r="K3468" s="230"/>
      <c r="L3468" s="230">
        <v>500316.82</v>
      </c>
      <c r="M3468" s="166"/>
    </row>
    <row r="3469" spans="1:13" ht="11.25" customHeight="1" x14ac:dyDescent="0.2">
      <c r="A3469" s="221">
        <v>2023</v>
      </c>
      <c r="B3469" s="221">
        <v>8</v>
      </c>
      <c r="C3469" s="221">
        <v>30</v>
      </c>
      <c r="D3469" s="231">
        <f t="shared" si="379"/>
        <v>45168</v>
      </c>
      <c r="E3469" s="233">
        <f t="shared" si="377"/>
        <v>45168</v>
      </c>
      <c r="F3469" s="478" t="s">
        <v>1520</v>
      </c>
      <c r="G3469" s="222" t="s">
        <v>1111</v>
      </c>
      <c r="H3469" s="223" t="str" cm="1">
        <f t="array" ref="H3469">IFERROR(INDEX(INVESTOR_LIST[INVESTOR NAME],MATCH(I3469,INVESTOR_LIST[INVESTOR CODE],0),)," ")</f>
        <v xml:space="preserve"> </v>
      </c>
      <c r="I3469" s="223"/>
      <c r="J3469" s="224" t="s">
        <v>55</v>
      </c>
      <c r="K3469" s="225">
        <v>4000</v>
      </c>
      <c r="L3469" s="225"/>
    </row>
    <row r="3470" spans="1:13" ht="11.25" customHeight="1" x14ac:dyDescent="0.2">
      <c r="A3470" s="164">
        <v>2023</v>
      </c>
      <c r="B3470" s="164">
        <v>8</v>
      </c>
      <c r="C3470" s="164">
        <v>30</v>
      </c>
      <c r="D3470" s="156">
        <f t="shared" si="379"/>
        <v>45168</v>
      </c>
      <c r="E3470" s="235">
        <f t="shared" si="377"/>
        <v>45168</v>
      </c>
      <c r="F3470" s="480"/>
      <c r="G3470" s="208" t="s">
        <v>1111</v>
      </c>
      <c r="J3470" s="165" t="s">
        <v>192</v>
      </c>
      <c r="K3470" s="205"/>
      <c r="L3470" s="205">
        <v>4000</v>
      </c>
    </row>
    <row r="3471" spans="1:13" ht="11.25" customHeight="1" x14ac:dyDescent="0.2">
      <c r="A3471" s="221">
        <v>2023</v>
      </c>
      <c r="B3471" s="221">
        <v>8</v>
      </c>
      <c r="C3471" s="221">
        <v>31</v>
      </c>
      <c r="D3471" s="231">
        <f t="shared" si="379"/>
        <v>45169</v>
      </c>
      <c r="E3471" s="233">
        <f t="shared" si="377"/>
        <v>45169</v>
      </c>
      <c r="F3471" s="478" t="s">
        <v>1596</v>
      </c>
      <c r="G3471" s="222" t="s">
        <v>1111</v>
      </c>
      <c r="H3471" s="223" t="str" cm="1">
        <f t="array" ref="H3471">IFERROR(INDEX(INVESTOR_LIST[INVESTOR NAME],MATCH(I3471,INVESTOR_LIST[INVESTOR CODE],0),)," ")</f>
        <v xml:space="preserve"> </v>
      </c>
      <c r="I3471" s="223"/>
      <c r="J3471" s="224" t="s">
        <v>194</v>
      </c>
      <c r="K3471" s="225">
        <v>76787.23</v>
      </c>
      <c r="L3471" s="225"/>
    </row>
    <row r="3472" spans="1:13" ht="11.25" customHeight="1" x14ac:dyDescent="0.2">
      <c r="A3472" s="226">
        <v>2023</v>
      </c>
      <c r="B3472" s="226">
        <v>8</v>
      </c>
      <c r="C3472" s="226">
        <v>31</v>
      </c>
      <c r="D3472" s="232">
        <f t="shared" si="379"/>
        <v>45169</v>
      </c>
      <c r="E3472" s="234">
        <f t="shared" si="377"/>
        <v>45169</v>
      </c>
      <c r="F3472" s="479"/>
      <c r="G3472" s="227" t="s">
        <v>1111</v>
      </c>
      <c r="H3472" s="228" t="str" cm="1">
        <f t="array" ref="H3472">IFERROR(INDEX(INVESTOR_LIST[INVESTOR NAME],MATCH(I3472,INVESTOR_LIST[INVESTOR CODE],0),)," ")</f>
        <v xml:space="preserve"> </v>
      </c>
      <c r="I3472" s="228"/>
      <c r="J3472" s="229" t="s">
        <v>55</v>
      </c>
      <c r="K3472" s="230"/>
      <c r="L3472" s="230">
        <v>76787.23</v>
      </c>
    </row>
    <row r="3473" spans="1:12" ht="11.25" customHeight="1" x14ac:dyDescent="0.2">
      <c r="A3473" s="280">
        <v>2023</v>
      </c>
      <c r="B3473" s="280">
        <v>8</v>
      </c>
      <c r="C3473" s="280">
        <v>31</v>
      </c>
      <c r="D3473" s="281">
        <f t="shared" si="379"/>
        <v>45169</v>
      </c>
      <c r="E3473" s="282">
        <f t="shared" ref="E3473:E3491" si="380">DATE(A3473,B3473,C3473)</f>
        <v>45169</v>
      </c>
      <c r="F3473" s="472" t="s">
        <v>1369</v>
      </c>
      <c r="G3473" s="283" t="s">
        <v>86</v>
      </c>
      <c r="H3473" s="284" t="str" cm="1">
        <f t="array" ref="H3473">IFERROR(INDEX(INVESTOR_LIST[INVESTOR NAME],MATCH(I3473,INVESTOR_LIST[INVESTOR CODE],0),)," ")</f>
        <v xml:space="preserve"> </v>
      </c>
      <c r="I3473" s="284"/>
      <c r="J3473" s="285" t="s">
        <v>131</v>
      </c>
      <c r="K3473" s="286">
        <v>88391.82</v>
      </c>
      <c r="L3473" s="286"/>
    </row>
    <row r="3474" spans="1:12" ht="11.25" customHeight="1" x14ac:dyDescent="0.2">
      <c r="A3474" s="287">
        <v>2023</v>
      </c>
      <c r="B3474" s="287">
        <v>8</v>
      </c>
      <c r="C3474" s="287">
        <v>31</v>
      </c>
      <c r="D3474" s="288">
        <f t="shared" si="379"/>
        <v>45169</v>
      </c>
      <c r="E3474" s="289">
        <f t="shared" si="380"/>
        <v>45169</v>
      </c>
      <c r="F3474" s="473"/>
      <c r="G3474" s="290" t="s">
        <v>86</v>
      </c>
      <c r="H3474" s="291" t="str" cm="1">
        <f t="array" ref="H3474">IFERROR(INDEX(INVESTOR_LIST[INVESTOR NAME],MATCH(I3474,INVESTOR_LIST[INVESTOR CODE],0),)," ")</f>
        <v xml:space="preserve"> </v>
      </c>
      <c r="I3474" s="291"/>
      <c r="J3474" s="292" t="s">
        <v>174</v>
      </c>
      <c r="K3474" s="293"/>
      <c r="L3474" s="293">
        <v>88391.82</v>
      </c>
    </row>
    <row r="3475" spans="1:12" ht="11.25" customHeight="1" x14ac:dyDescent="0.2">
      <c r="A3475" s="280">
        <v>2023</v>
      </c>
      <c r="B3475" s="280">
        <v>8</v>
      </c>
      <c r="C3475" s="280">
        <v>31</v>
      </c>
      <c r="D3475" s="281">
        <f t="shared" si="379"/>
        <v>45169</v>
      </c>
      <c r="E3475" s="282">
        <f t="shared" si="380"/>
        <v>45169</v>
      </c>
      <c r="F3475" s="472" t="s">
        <v>1295</v>
      </c>
      <c r="G3475" s="283" t="s">
        <v>86</v>
      </c>
      <c r="H3475" s="284" t="str" cm="1">
        <f t="array" ref="H3475">IFERROR(INDEX(INVESTOR_LIST[INVESTOR NAME],MATCH(I3475,INVESTOR_LIST[INVESTOR CODE],0),)," ")</f>
        <v xml:space="preserve"> </v>
      </c>
      <c r="I3475" s="284"/>
      <c r="J3475" s="285" t="s">
        <v>131</v>
      </c>
      <c r="K3475" s="286">
        <v>17028.849999999999</v>
      </c>
      <c r="L3475" s="286"/>
    </row>
    <row r="3476" spans="1:12" ht="11.25" customHeight="1" x14ac:dyDescent="0.2">
      <c r="A3476" s="287">
        <v>2023</v>
      </c>
      <c r="B3476" s="287">
        <v>8</v>
      </c>
      <c r="C3476" s="287">
        <v>31</v>
      </c>
      <c r="D3476" s="288">
        <f t="shared" si="379"/>
        <v>45169</v>
      </c>
      <c r="E3476" s="289">
        <f t="shared" si="380"/>
        <v>45169</v>
      </c>
      <c r="F3476" s="473"/>
      <c r="G3476" s="290" t="s">
        <v>86</v>
      </c>
      <c r="H3476" s="291" t="str" cm="1">
        <f t="array" ref="H3476">IFERROR(INDEX(INVESTOR_LIST[INVESTOR NAME],MATCH(I3476,INVESTOR_LIST[INVESTOR CODE],0),)," ")</f>
        <v xml:space="preserve"> </v>
      </c>
      <c r="I3476" s="291"/>
      <c r="J3476" s="292" t="s">
        <v>174</v>
      </c>
      <c r="K3476" s="293"/>
      <c r="L3476" s="293">
        <v>17028.849999999999</v>
      </c>
    </row>
    <row r="3477" spans="1:12" ht="11.25" customHeight="1" x14ac:dyDescent="0.2">
      <c r="A3477" s="280">
        <v>2023</v>
      </c>
      <c r="B3477" s="280">
        <v>8</v>
      </c>
      <c r="C3477" s="280">
        <v>31</v>
      </c>
      <c r="D3477" s="281">
        <f t="shared" si="379"/>
        <v>45169</v>
      </c>
      <c r="E3477" s="282">
        <f t="shared" si="380"/>
        <v>45169</v>
      </c>
      <c r="F3477" s="472" t="s">
        <v>1294</v>
      </c>
      <c r="G3477" s="283" t="s">
        <v>86</v>
      </c>
      <c r="H3477" s="284" t="str" cm="1">
        <f t="array" ref="H3477">IFERROR(INDEX(INVESTOR_LIST[INVESTOR NAME],MATCH(I3477,INVESTOR_LIST[INVESTOR CODE],0),)," ")</f>
        <v xml:space="preserve"> </v>
      </c>
      <c r="I3477" s="284"/>
      <c r="J3477" s="285" t="s">
        <v>131</v>
      </c>
      <c r="K3477" s="286">
        <v>10769.23</v>
      </c>
      <c r="L3477" s="286"/>
    </row>
    <row r="3478" spans="1:12" ht="11.25" customHeight="1" x14ac:dyDescent="0.2">
      <c r="A3478" s="287">
        <v>2023</v>
      </c>
      <c r="B3478" s="287">
        <v>8</v>
      </c>
      <c r="C3478" s="287">
        <v>31</v>
      </c>
      <c r="D3478" s="288">
        <f t="shared" si="379"/>
        <v>45169</v>
      </c>
      <c r="E3478" s="289">
        <f t="shared" si="380"/>
        <v>45169</v>
      </c>
      <c r="F3478" s="473"/>
      <c r="G3478" s="290" t="s">
        <v>86</v>
      </c>
      <c r="H3478" s="291" t="str" cm="1">
        <f t="array" ref="H3478">IFERROR(INDEX(INVESTOR_LIST[INVESTOR NAME],MATCH(I3478,INVESTOR_LIST[INVESTOR CODE],0),)," ")</f>
        <v xml:space="preserve"> </v>
      </c>
      <c r="I3478" s="291"/>
      <c r="J3478" s="292" t="s">
        <v>174</v>
      </c>
      <c r="K3478" s="293"/>
      <c r="L3478" s="293">
        <v>10769.23</v>
      </c>
    </row>
    <row r="3479" spans="1:12" ht="11.25" customHeight="1" x14ac:dyDescent="0.2">
      <c r="A3479" s="280">
        <v>2023</v>
      </c>
      <c r="B3479" s="280">
        <v>8</v>
      </c>
      <c r="C3479" s="280">
        <v>31</v>
      </c>
      <c r="D3479" s="281">
        <f t="shared" si="379"/>
        <v>45169</v>
      </c>
      <c r="E3479" s="282">
        <f t="shared" si="380"/>
        <v>45169</v>
      </c>
      <c r="F3479" s="472" t="s">
        <v>1584</v>
      </c>
      <c r="G3479" s="283" t="s">
        <v>86</v>
      </c>
      <c r="H3479" s="284" t="str" cm="1">
        <f t="array" ref="H3479">IFERROR(INDEX(INVESTOR_LIST[INVESTOR NAME],MATCH(I3479,INVESTOR_LIST[INVESTOR CODE],0),)," ")</f>
        <v xml:space="preserve"> </v>
      </c>
      <c r="I3479" s="284"/>
      <c r="J3479" s="285" t="s">
        <v>131</v>
      </c>
      <c r="K3479" s="286">
        <v>12692.31</v>
      </c>
      <c r="L3479" s="286"/>
    </row>
    <row r="3480" spans="1:12" ht="11.25" customHeight="1" x14ac:dyDescent="0.2">
      <c r="A3480" s="287">
        <v>2023</v>
      </c>
      <c r="B3480" s="287">
        <v>8</v>
      </c>
      <c r="C3480" s="287">
        <v>31</v>
      </c>
      <c r="D3480" s="288">
        <f t="shared" si="379"/>
        <v>45169</v>
      </c>
      <c r="E3480" s="289">
        <f t="shared" si="380"/>
        <v>45169</v>
      </c>
      <c r="F3480" s="473"/>
      <c r="G3480" s="290" t="s">
        <v>86</v>
      </c>
      <c r="H3480" s="291" t="str" cm="1">
        <f t="array" ref="H3480">IFERROR(INDEX(INVESTOR_LIST[INVESTOR NAME],MATCH(I3480,INVESTOR_LIST[INVESTOR CODE],0),)," ")</f>
        <v xml:space="preserve"> </v>
      </c>
      <c r="I3480" s="291"/>
      <c r="J3480" s="292" t="s">
        <v>174</v>
      </c>
      <c r="K3480" s="293"/>
      <c r="L3480" s="293">
        <v>12692.31</v>
      </c>
    </row>
    <row r="3481" spans="1:12" ht="11.25" customHeight="1" x14ac:dyDescent="0.2">
      <c r="A3481" s="236">
        <v>2023</v>
      </c>
      <c r="B3481" s="236">
        <v>8</v>
      </c>
      <c r="C3481" s="236">
        <v>31</v>
      </c>
      <c r="D3481" s="237">
        <f t="shared" si="379"/>
        <v>45169</v>
      </c>
      <c r="E3481" s="238">
        <f t="shared" si="380"/>
        <v>45169</v>
      </c>
      <c r="F3481" s="476" t="s">
        <v>1118</v>
      </c>
      <c r="G3481" s="239" t="s">
        <v>86</v>
      </c>
      <c r="H3481" s="239" t="str" cm="1">
        <f t="array" ref="H3481">IFERROR(INDEX(INVESTOR_LIST[INVESTOR NAME],MATCH(I3481,INVESTOR_LIST[INVESTOR CODE],0),)," ")</f>
        <v xml:space="preserve"> </v>
      </c>
      <c r="I3481" s="240"/>
      <c r="J3481" s="241" t="s">
        <v>82</v>
      </c>
      <c r="K3481" s="242">
        <v>142670</v>
      </c>
      <c r="L3481" s="242"/>
    </row>
    <row r="3482" spans="1:12" ht="11.25" customHeight="1" x14ac:dyDescent="0.2">
      <c r="A3482" s="243">
        <v>2023</v>
      </c>
      <c r="B3482" s="243">
        <v>8</v>
      </c>
      <c r="C3482" s="243">
        <v>31</v>
      </c>
      <c r="D3482" s="248">
        <f t="shared" si="379"/>
        <v>45169</v>
      </c>
      <c r="E3482" s="249">
        <f t="shared" si="380"/>
        <v>45169</v>
      </c>
      <c r="F3482" s="477"/>
      <c r="G3482" s="244" t="s">
        <v>86</v>
      </c>
      <c r="H3482" s="244" t="str" cm="1">
        <f t="array" ref="H3482">IFERROR(INDEX(INVESTOR_LIST[INVESTOR NAME],MATCH(I3482,INVESTOR_LIST[INVESTOR CODE],0),)," ")</f>
        <v xml:space="preserve"> </v>
      </c>
      <c r="I3482" s="245"/>
      <c r="J3482" s="246" t="s">
        <v>98</v>
      </c>
      <c r="K3482" s="247"/>
      <c r="L3482" s="247">
        <v>142670</v>
      </c>
    </row>
    <row r="3483" spans="1:12" ht="11.25" customHeight="1" x14ac:dyDescent="0.2">
      <c r="A3483" s="236">
        <v>2023</v>
      </c>
      <c r="B3483" s="236">
        <v>8</v>
      </c>
      <c r="C3483" s="236">
        <v>31</v>
      </c>
      <c r="D3483" s="237">
        <f t="shared" si="379"/>
        <v>45169</v>
      </c>
      <c r="E3483" s="238">
        <f t="shared" si="380"/>
        <v>45169</v>
      </c>
      <c r="F3483" s="476" t="s">
        <v>1120</v>
      </c>
      <c r="G3483" s="239" t="s">
        <v>86</v>
      </c>
      <c r="H3483" s="239" t="str" cm="1">
        <f t="array" ref="H3483">IFERROR(INDEX(INVESTOR_LIST[INVESTOR NAME],MATCH(I3483,INVESTOR_LIST[INVESTOR CODE],0),)," ")</f>
        <v xml:space="preserve"> </v>
      </c>
      <c r="I3483" s="240"/>
      <c r="J3483" s="241" t="s">
        <v>87</v>
      </c>
      <c r="K3483" s="242">
        <v>2747.2527472527472</v>
      </c>
      <c r="L3483" s="242"/>
    </row>
    <row r="3484" spans="1:12" ht="11.25" customHeight="1" x14ac:dyDescent="0.2">
      <c r="A3484" s="243">
        <v>2023</v>
      </c>
      <c r="B3484" s="243">
        <v>8</v>
      </c>
      <c r="C3484" s="243">
        <v>31</v>
      </c>
      <c r="D3484" s="248">
        <f t="shared" si="379"/>
        <v>45169</v>
      </c>
      <c r="E3484" s="249">
        <f t="shared" si="380"/>
        <v>45169</v>
      </c>
      <c r="F3484" s="477"/>
      <c r="G3484" s="244" t="s">
        <v>86</v>
      </c>
      <c r="H3484" s="244" t="str" cm="1">
        <f t="array" ref="H3484">IFERROR(INDEX(INVESTOR_LIST[INVESTOR NAME],MATCH(I3484,INVESTOR_LIST[INVESTOR CODE],0),)," ")</f>
        <v xml:space="preserve"> </v>
      </c>
      <c r="I3484" s="245"/>
      <c r="J3484" s="246" t="s">
        <v>64</v>
      </c>
      <c r="K3484" s="247"/>
      <c r="L3484" s="247">
        <v>2747.2527472527472</v>
      </c>
    </row>
    <row r="3485" spans="1:12" ht="11.25" customHeight="1" x14ac:dyDescent="0.2">
      <c r="A3485" s="236">
        <v>2023</v>
      </c>
      <c r="B3485" s="236">
        <v>8</v>
      </c>
      <c r="C3485" s="236">
        <v>31</v>
      </c>
      <c r="D3485" s="237">
        <f t="shared" si="379"/>
        <v>45169</v>
      </c>
      <c r="E3485" s="238">
        <f t="shared" si="380"/>
        <v>45169</v>
      </c>
      <c r="F3485" s="476" t="s">
        <v>1121</v>
      </c>
      <c r="G3485" s="239" t="s">
        <v>86</v>
      </c>
      <c r="H3485" s="239" t="str" cm="1">
        <f t="array" ref="H3485">IFERROR(INDEX(INVESTOR_LIST[INVESTOR NAME],MATCH(I3485,INVESTOR_LIST[INVESTOR CODE],0),)," ")</f>
        <v xml:space="preserve"> </v>
      </c>
      <c r="I3485" s="240"/>
      <c r="J3485" s="241" t="s">
        <v>89</v>
      </c>
      <c r="K3485" s="242">
        <v>69240.688410782546</v>
      </c>
      <c r="L3485" s="242"/>
    </row>
    <row r="3486" spans="1:12" ht="11.25" customHeight="1" x14ac:dyDescent="0.2">
      <c r="A3486" s="243">
        <v>2023</v>
      </c>
      <c r="B3486" s="243">
        <v>8</v>
      </c>
      <c r="C3486" s="243">
        <v>31</v>
      </c>
      <c r="D3486" s="248">
        <f t="shared" si="379"/>
        <v>45169</v>
      </c>
      <c r="E3486" s="249">
        <f t="shared" si="380"/>
        <v>45169</v>
      </c>
      <c r="F3486" s="477"/>
      <c r="G3486" s="244" t="s">
        <v>86</v>
      </c>
      <c r="H3486" s="244" t="str" cm="1">
        <f t="array" ref="H3486">IFERROR(INDEX(INVESTOR_LIST[INVESTOR NAME],MATCH(I3486,INVESTOR_LIST[INVESTOR CODE],0),)," ")</f>
        <v xml:space="preserve"> </v>
      </c>
      <c r="I3486" s="245"/>
      <c r="J3486" s="246" t="s">
        <v>50</v>
      </c>
      <c r="K3486" s="247"/>
      <c r="L3486" s="247">
        <v>69240.688410782546</v>
      </c>
    </row>
    <row r="3487" spans="1:12" ht="11.25" customHeight="1" x14ac:dyDescent="0.2">
      <c r="A3487" s="236">
        <v>2023</v>
      </c>
      <c r="B3487" s="236">
        <v>8</v>
      </c>
      <c r="C3487" s="236">
        <v>31</v>
      </c>
      <c r="D3487" s="237">
        <f t="shared" si="379"/>
        <v>45169</v>
      </c>
      <c r="E3487" s="238">
        <f t="shared" si="380"/>
        <v>45169</v>
      </c>
      <c r="F3487" s="476" t="s">
        <v>1122</v>
      </c>
      <c r="G3487" s="239" t="s">
        <v>86</v>
      </c>
      <c r="H3487" s="239" t="str" cm="1">
        <f t="array" ref="H3487">IFERROR(INDEX(INVESTOR_LIST[INVESTOR NAME],MATCH(I3487,INVESTOR_LIST[INVESTOR CODE],0),)," ")</f>
        <v xml:space="preserve"> </v>
      </c>
      <c r="I3487" s="240"/>
      <c r="J3487" s="241" t="s">
        <v>91</v>
      </c>
      <c r="K3487" s="242">
        <v>3462.034420539127</v>
      </c>
      <c r="L3487" s="242"/>
    </row>
    <row r="3488" spans="1:12" ht="11.25" customHeight="1" x14ac:dyDescent="0.2">
      <c r="A3488" s="243">
        <v>2023</v>
      </c>
      <c r="B3488" s="243">
        <v>8</v>
      </c>
      <c r="C3488" s="243">
        <v>31</v>
      </c>
      <c r="D3488" s="248">
        <f t="shared" si="379"/>
        <v>45169</v>
      </c>
      <c r="E3488" s="249">
        <f t="shared" si="380"/>
        <v>45169</v>
      </c>
      <c r="F3488" s="477"/>
      <c r="G3488" s="244" t="s">
        <v>86</v>
      </c>
      <c r="H3488" s="244" t="str" cm="1">
        <f t="array" ref="H3488">IFERROR(INDEX(INVESTOR_LIST[INVESTOR NAME],MATCH(I3488,INVESTOR_LIST[INVESTOR CODE],0),)," ")</f>
        <v xml:space="preserve"> </v>
      </c>
      <c r="I3488" s="245"/>
      <c r="J3488" s="246" t="s">
        <v>51</v>
      </c>
      <c r="K3488" s="247"/>
      <c r="L3488" s="247">
        <v>3462.034420539127</v>
      </c>
    </row>
    <row r="3489" spans="1:12" ht="11.25" customHeight="1" x14ac:dyDescent="0.2">
      <c r="A3489" s="221">
        <v>2023</v>
      </c>
      <c r="B3489" s="221">
        <v>9</v>
      </c>
      <c r="C3489" s="221">
        <v>2</v>
      </c>
      <c r="D3489" s="231">
        <f t="shared" si="379"/>
        <v>45171</v>
      </c>
      <c r="E3489" s="233">
        <f t="shared" si="380"/>
        <v>45171</v>
      </c>
      <c r="F3489" s="478" t="s">
        <v>1356</v>
      </c>
      <c r="G3489" s="222" t="s">
        <v>1111</v>
      </c>
      <c r="H3489" s="223" t="str" cm="1">
        <f t="array" ref="H3489">IFERROR(INDEX(INVESTOR_LIST[INVESTOR NAME],MATCH(I3489,INVESTOR_LIST[INVESTOR CODE],0),)," ")</f>
        <v xml:space="preserve"> </v>
      </c>
      <c r="I3489" s="223"/>
      <c r="J3489" s="224" t="s">
        <v>88</v>
      </c>
      <c r="K3489" s="225">
        <v>8902286.2975987513</v>
      </c>
      <c r="L3489" s="225"/>
    </row>
    <row r="3490" spans="1:12" ht="11.25" customHeight="1" x14ac:dyDescent="0.2">
      <c r="A3490" s="164">
        <v>2023</v>
      </c>
      <c r="B3490" s="164">
        <v>9</v>
      </c>
      <c r="C3490" s="164">
        <v>2</v>
      </c>
      <c r="D3490" s="156">
        <f t="shared" si="379"/>
        <v>45171</v>
      </c>
      <c r="E3490" s="235">
        <f t="shared" ref="E3490" si="381">DATE(A3490,B3490,C3490)</f>
        <v>45171</v>
      </c>
      <c r="F3490" s="480"/>
      <c r="G3490" s="208" t="s">
        <v>1111</v>
      </c>
      <c r="J3490" s="165" t="s">
        <v>131</v>
      </c>
      <c r="K3490" s="205"/>
      <c r="L3490" s="205">
        <v>174554.63328625076</v>
      </c>
    </row>
    <row r="3491" spans="1:12" ht="11.25" customHeight="1" x14ac:dyDescent="0.2">
      <c r="A3491" s="226">
        <v>2023</v>
      </c>
      <c r="B3491" s="226">
        <v>9</v>
      </c>
      <c r="C3491" s="226">
        <v>2</v>
      </c>
      <c r="D3491" s="232">
        <f t="shared" si="379"/>
        <v>45171</v>
      </c>
      <c r="E3491" s="234">
        <f t="shared" si="380"/>
        <v>45171</v>
      </c>
      <c r="F3491" s="479"/>
      <c r="G3491" s="208" t="s">
        <v>1111</v>
      </c>
      <c r="H3491" s="228" t="str" cm="1">
        <f t="array" ref="H3491">IFERROR(INDEX(INVESTOR_LIST[INVESTOR NAME],MATCH(I3491,INVESTOR_LIST[INVESTOR CODE],0),)," ")</f>
        <v xml:space="preserve"> </v>
      </c>
      <c r="I3491" s="228"/>
      <c r="J3491" s="229" t="s">
        <v>88</v>
      </c>
      <c r="K3491" s="230"/>
      <c r="L3491" s="230">
        <v>8727731.6643125005</v>
      </c>
    </row>
    <row r="3492" spans="1:12" ht="11.25" customHeight="1" x14ac:dyDescent="0.2">
      <c r="A3492" s="221">
        <v>2023</v>
      </c>
      <c r="B3492" s="221">
        <v>9</v>
      </c>
      <c r="C3492" s="221">
        <v>2</v>
      </c>
      <c r="D3492" s="231">
        <f t="shared" si="379"/>
        <v>45171</v>
      </c>
      <c r="E3492" s="233">
        <f t="shared" ref="E3492:E3494" si="382">DATE(A3492,B3492,C3492)</f>
        <v>45171</v>
      </c>
      <c r="F3492" s="478" t="s">
        <v>1357</v>
      </c>
      <c r="G3492" s="222" t="s">
        <v>1111</v>
      </c>
      <c r="H3492" s="223" t="str" cm="1">
        <f t="array" ref="H3492">IFERROR(INDEX(INVESTOR_LIST[INVESTOR NAME],MATCH(I3492,INVESTOR_LIST[INVESTOR CODE],0),)," ")</f>
        <v xml:space="preserve"> </v>
      </c>
      <c r="I3492" s="223"/>
      <c r="J3492" s="224" t="s">
        <v>88</v>
      </c>
      <c r="K3492" s="225">
        <v>8902286.2975987513</v>
      </c>
      <c r="L3492" s="225"/>
    </row>
    <row r="3493" spans="1:12" ht="11.25" customHeight="1" x14ac:dyDescent="0.2">
      <c r="A3493" s="164">
        <v>2023</v>
      </c>
      <c r="B3493" s="164">
        <v>9</v>
      </c>
      <c r="C3493" s="164">
        <v>2</v>
      </c>
      <c r="D3493" s="156">
        <f t="shared" si="379"/>
        <v>45171</v>
      </c>
      <c r="E3493" s="235">
        <f t="shared" si="382"/>
        <v>45171</v>
      </c>
      <c r="F3493" s="480"/>
      <c r="G3493" s="208" t="s">
        <v>1111</v>
      </c>
      <c r="J3493" s="165" t="s">
        <v>131</v>
      </c>
      <c r="K3493" s="205"/>
      <c r="L3493" s="205">
        <v>174554.63328625076</v>
      </c>
    </row>
    <row r="3494" spans="1:12" ht="11.25" customHeight="1" x14ac:dyDescent="0.2">
      <c r="A3494" s="226">
        <v>2023</v>
      </c>
      <c r="B3494" s="226">
        <v>9</v>
      </c>
      <c r="C3494" s="226">
        <v>2</v>
      </c>
      <c r="D3494" s="232">
        <f t="shared" si="379"/>
        <v>45171</v>
      </c>
      <c r="E3494" s="234">
        <f t="shared" si="382"/>
        <v>45171</v>
      </c>
      <c r="F3494" s="479"/>
      <c r="G3494" s="208" t="s">
        <v>1111</v>
      </c>
      <c r="H3494" s="228" t="str" cm="1">
        <f t="array" ref="H3494">IFERROR(INDEX(INVESTOR_LIST[INVESTOR NAME],MATCH(I3494,INVESTOR_LIST[INVESTOR CODE],0),)," ")</f>
        <v xml:space="preserve"> </v>
      </c>
      <c r="I3494" s="228"/>
      <c r="J3494" s="229" t="s">
        <v>88</v>
      </c>
      <c r="K3494" s="230"/>
      <c r="L3494" s="230">
        <v>8727731.6643125005</v>
      </c>
    </row>
    <row r="3495" spans="1:12" ht="11.25" customHeight="1" x14ac:dyDescent="0.2">
      <c r="A3495" s="221">
        <v>2023</v>
      </c>
      <c r="B3495" s="221">
        <v>9</v>
      </c>
      <c r="C3495" s="221">
        <v>2</v>
      </c>
      <c r="D3495" s="231">
        <f t="shared" si="379"/>
        <v>45171</v>
      </c>
      <c r="E3495" s="233">
        <f t="shared" ref="E3495:E3497" si="383">DATE(A3495,B3495,C3495)</f>
        <v>45171</v>
      </c>
      <c r="F3495" s="478" t="s">
        <v>1597</v>
      </c>
      <c r="G3495" s="222" t="s">
        <v>1111</v>
      </c>
      <c r="H3495" s="223" t="str" cm="1">
        <f t="array" ref="H3495">IFERROR(INDEX(INVESTOR_LIST[INVESTOR NAME],MATCH(I3495,INVESTOR_LIST[INVESTOR CODE],0),)," ")</f>
        <v xml:space="preserve"> </v>
      </c>
      <c r="I3495" s="223"/>
      <c r="J3495" s="224" t="s">
        <v>88</v>
      </c>
      <c r="K3495" s="225">
        <v>8902286.2975987513</v>
      </c>
      <c r="L3495" s="225"/>
    </row>
    <row r="3496" spans="1:12" ht="11.25" customHeight="1" x14ac:dyDescent="0.2">
      <c r="A3496" s="164">
        <v>2023</v>
      </c>
      <c r="B3496" s="164">
        <v>9</v>
      </c>
      <c r="C3496" s="164">
        <v>2</v>
      </c>
      <c r="D3496" s="156">
        <f t="shared" si="379"/>
        <v>45171</v>
      </c>
      <c r="E3496" s="235">
        <f t="shared" si="383"/>
        <v>45171</v>
      </c>
      <c r="F3496" s="480"/>
      <c r="G3496" s="208" t="s">
        <v>1111</v>
      </c>
      <c r="J3496" s="165" t="s">
        <v>131</v>
      </c>
      <c r="K3496" s="205"/>
      <c r="L3496" s="205">
        <v>174554.63328625076</v>
      </c>
    </row>
    <row r="3497" spans="1:12" ht="11.25" customHeight="1" x14ac:dyDescent="0.2">
      <c r="A3497" s="226">
        <v>2023</v>
      </c>
      <c r="B3497" s="226">
        <v>9</v>
      </c>
      <c r="C3497" s="226">
        <v>2</v>
      </c>
      <c r="D3497" s="232">
        <f t="shared" si="379"/>
        <v>45171</v>
      </c>
      <c r="E3497" s="234">
        <f t="shared" si="383"/>
        <v>45171</v>
      </c>
      <c r="F3497" s="479"/>
      <c r="G3497" s="208" t="s">
        <v>1111</v>
      </c>
      <c r="H3497" s="228" t="str" cm="1">
        <f t="array" ref="H3497">IFERROR(INDEX(INVESTOR_LIST[INVESTOR NAME],MATCH(I3497,INVESTOR_LIST[INVESTOR CODE],0),)," ")</f>
        <v xml:space="preserve"> </v>
      </c>
      <c r="I3497" s="228"/>
      <c r="J3497" s="229" t="s">
        <v>88</v>
      </c>
      <c r="K3497" s="230"/>
      <c r="L3497" s="230">
        <v>8727731.6643125005</v>
      </c>
    </row>
    <row r="3498" spans="1:12" ht="11.25" customHeight="1" x14ac:dyDescent="0.2">
      <c r="A3498" s="221">
        <v>2023</v>
      </c>
      <c r="B3498" s="221">
        <v>9</v>
      </c>
      <c r="C3498" s="221">
        <v>2</v>
      </c>
      <c r="D3498" s="231">
        <f t="shared" si="379"/>
        <v>45171</v>
      </c>
      <c r="E3498" s="233">
        <f t="shared" ref="E3498:E3500" si="384">DATE(A3498,B3498,C3498)</f>
        <v>45171</v>
      </c>
      <c r="F3498" s="478" t="s">
        <v>1359</v>
      </c>
      <c r="G3498" s="222" t="s">
        <v>1111</v>
      </c>
      <c r="H3498" s="223" t="str" cm="1">
        <f t="array" ref="H3498">IFERROR(INDEX(INVESTOR_LIST[INVESTOR NAME],MATCH(I3498,INVESTOR_LIST[INVESTOR CODE],0),)," ")</f>
        <v xml:space="preserve"> </v>
      </c>
      <c r="I3498" s="223"/>
      <c r="J3498" s="224" t="s">
        <v>88</v>
      </c>
      <c r="K3498" s="225">
        <v>8902286.2975987513</v>
      </c>
      <c r="L3498" s="225"/>
    </row>
    <row r="3499" spans="1:12" ht="11.25" customHeight="1" x14ac:dyDescent="0.2">
      <c r="A3499" s="164">
        <v>2023</v>
      </c>
      <c r="B3499" s="164">
        <v>9</v>
      </c>
      <c r="C3499" s="164">
        <v>2</v>
      </c>
      <c r="D3499" s="156">
        <f t="shared" si="379"/>
        <v>45171</v>
      </c>
      <c r="E3499" s="235">
        <f t="shared" si="384"/>
        <v>45171</v>
      </c>
      <c r="F3499" s="480"/>
      <c r="G3499" s="208" t="s">
        <v>1111</v>
      </c>
      <c r="J3499" s="165" t="s">
        <v>131</v>
      </c>
      <c r="K3499" s="205"/>
      <c r="L3499" s="205">
        <v>174554.63328625076</v>
      </c>
    </row>
    <row r="3500" spans="1:12" ht="11.25" customHeight="1" x14ac:dyDescent="0.2">
      <c r="A3500" s="226">
        <v>2023</v>
      </c>
      <c r="B3500" s="226">
        <v>9</v>
      </c>
      <c r="C3500" s="226">
        <v>2</v>
      </c>
      <c r="D3500" s="232">
        <f t="shared" si="379"/>
        <v>45171</v>
      </c>
      <c r="E3500" s="234">
        <f t="shared" si="384"/>
        <v>45171</v>
      </c>
      <c r="F3500" s="479"/>
      <c r="G3500" s="208" t="s">
        <v>1111</v>
      </c>
      <c r="H3500" s="228" t="str" cm="1">
        <f t="array" ref="H3500">IFERROR(INDEX(INVESTOR_LIST[INVESTOR NAME],MATCH(I3500,INVESTOR_LIST[INVESTOR CODE],0),)," ")</f>
        <v xml:space="preserve"> </v>
      </c>
      <c r="I3500" s="228"/>
      <c r="J3500" s="229" t="s">
        <v>88</v>
      </c>
      <c r="K3500" s="230"/>
      <c r="L3500" s="230">
        <v>8727731.6643125005</v>
      </c>
    </row>
    <row r="3501" spans="1:12" ht="11.25" customHeight="1" x14ac:dyDescent="0.2">
      <c r="A3501" s="221">
        <v>2023</v>
      </c>
      <c r="B3501" s="221">
        <v>9</v>
      </c>
      <c r="C3501" s="221">
        <v>2</v>
      </c>
      <c r="D3501" s="231">
        <f t="shared" si="379"/>
        <v>45171</v>
      </c>
      <c r="E3501" s="233">
        <f t="shared" ref="E3501:E3503" si="385">DATE(A3501,B3501,C3501)</f>
        <v>45171</v>
      </c>
      <c r="F3501" s="478" t="s">
        <v>1360</v>
      </c>
      <c r="G3501" s="222" t="s">
        <v>1111</v>
      </c>
      <c r="H3501" s="223" t="str" cm="1">
        <f t="array" ref="H3501">IFERROR(INDEX(INVESTOR_LIST[INVESTOR NAME],MATCH(I3501,INVESTOR_LIST[INVESTOR CODE],0),)," ")</f>
        <v xml:space="preserve"> </v>
      </c>
      <c r="I3501" s="223"/>
      <c r="J3501" s="224" t="s">
        <v>88</v>
      </c>
      <c r="K3501" s="225">
        <v>6675934.8961252505</v>
      </c>
      <c r="L3501" s="225"/>
    </row>
    <row r="3502" spans="1:12" ht="11.25" customHeight="1" x14ac:dyDescent="0.2">
      <c r="A3502" s="164">
        <v>2023</v>
      </c>
      <c r="B3502" s="164">
        <v>9</v>
      </c>
      <c r="C3502" s="164">
        <v>2</v>
      </c>
      <c r="D3502" s="156">
        <f t="shared" si="379"/>
        <v>45171</v>
      </c>
      <c r="E3502" s="235">
        <f t="shared" si="385"/>
        <v>45171</v>
      </c>
      <c r="F3502" s="480"/>
      <c r="G3502" s="208" t="s">
        <v>1111</v>
      </c>
      <c r="J3502" s="165" t="s">
        <v>131</v>
      </c>
      <c r="K3502" s="205"/>
      <c r="L3502" s="205">
        <v>130900.68423775025</v>
      </c>
    </row>
    <row r="3503" spans="1:12" ht="11.25" customHeight="1" x14ac:dyDescent="0.2">
      <c r="A3503" s="226">
        <v>2023</v>
      </c>
      <c r="B3503" s="226">
        <v>9</v>
      </c>
      <c r="C3503" s="226">
        <v>2</v>
      </c>
      <c r="D3503" s="232">
        <f t="shared" si="379"/>
        <v>45171</v>
      </c>
      <c r="E3503" s="234">
        <f t="shared" si="385"/>
        <v>45171</v>
      </c>
      <c r="F3503" s="479"/>
      <c r="G3503" s="208" t="s">
        <v>1111</v>
      </c>
      <c r="H3503" s="228" t="str" cm="1">
        <f t="array" ref="H3503">IFERROR(INDEX(INVESTOR_LIST[INVESTOR NAME],MATCH(I3503,INVESTOR_LIST[INVESTOR CODE],0),)," ")</f>
        <v xml:space="preserve"> </v>
      </c>
      <c r="I3503" s="228"/>
      <c r="J3503" s="229" t="s">
        <v>88</v>
      </c>
      <c r="K3503" s="230"/>
      <c r="L3503" s="230">
        <v>6545034.2118875002</v>
      </c>
    </row>
    <row r="3504" spans="1:12" ht="11.25" customHeight="1" x14ac:dyDescent="0.2">
      <c r="A3504" s="221">
        <v>2023</v>
      </c>
      <c r="B3504" s="221">
        <v>9</v>
      </c>
      <c r="C3504" s="221">
        <v>2</v>
      </c>
      <c r="D3504" s="231">
        <f t="shared" si="379"/>
        <v>45171</v>
      </c>
      <c r="E3504" s="233">
        <f t="shared" ref="E3504:E3506" si="386">DATE(A3504,B3504,C3504)</f>
        <v>45171</v>
      </c>
      <c r="F3504" s="478" t="s">
        <v>1361</v>
      </c>
      <c r="G3504" s="222" t="s">
        <v>1111</v>
      </c>
      <c r="H3504" s="223" t="str" cm="1">
        <f t="array" ref="H3504">IFERROR(INDEX(INVESTOR_LIST[INVESTOR NAME],MATCH(I3504,INVESTOR_LIST[INVESTOR CODE],0),)," ")</f>
        <v xml:space="preserve"> </v>
      </c>
      <c r="I3504" s="223"/>
      <c r="J3504" s="224" t="s">
        <v>88</v>
      </c>
      <c r="K3504" s="225">
        <v>6675934.8961252505</v>
      </c>
      <c r="L3504" s="225"/>
    </row>
    <row r="3505" spans="1:12" ht="11.25" customHeight="1" x14ac:dyDescent="0.2">
      <c r="A3505" s="164">
        <v>2023</v>
      </c>
      <c r="B3505" s="164">
        <v>9</v>
      </c>
      <c r="C3505" s="164">
        <v>2</v>
      </c>
      <c r="D3505" s="156">
        <f t="shared" si="379"/>
        <v>45171</v>
      </c>
      <c r="E3505" s="235">
        <f t="shared" si="386"/>
        <v>45171</v>
      </c>
      <c r="F3505" s="480"/>
      <c r="G3505" s="208" t="s">
        <v>1111</v>
      </c>
      <c r="J3505" s="165" t="s">
        <v>131</v>
      </c>
      <c r="K3505" s="205"/>
      <c r="L3505" s="205">
        <v>130900.68423775025</v>
      </c>
    </row>
    <row r="3506" spans="1:12" ht="11.25" customHeight="1" x14ac:dyDescent="0.2">
      <c r="A3506" s="226">
        <v>2023</v>
      </c>
      <c r="B3506" s="226">
        <v>9</v>
      </c>
      <c r="C3506" s="226">
        <v>2</v>
      </c>
      <c r="D3506" s="232">
        <f t="shared" si="379"/>
        <v>45171</v>
      </c>
      <c r="E3506" s="234">
        <f t="shared" si="386"/>
        <v>45171</v>
      </c>
      <c r="F3506" s="479"/>
      <c r="G3506" s="208" t="s">
        <v>1111</v>
      </c>
      <c r="H3506" s="228" t="str" cm="1">
        <f t="array" ref="H3506">IFERROR(INDEX(INVESTOR_LIST[INVESTOR NAME],MATCH(I3506,INVESTOR_LIST[INVESTOR CODE],0),)," ")</f>
        <v xml:space="preserve"> </v>
      </c>
      <c r="I3506" s="228"/>
      <c r="J3506" s="229" t="s">
        <v>88</v>
      </c>
      <c r="K3506" s="230"/>
      <c r="L3506" s="230">
        <v>6545034.2118875002</v>
      </c>
    </row>
    <row r="3507" spans="1:12" ht="11.25" customHeight="1" x14ac:dyDescent="0.2">
      <c r="A3507" s="221">
        <v>2023</v>
      </c>
      <c r="B3507" s="221">
        <v>9</v>
      </c>
      <c r="C3507" s="221">
        <v>2</v>
      </c>
      <c r="D3507" s="231">
        <f t="shared" si="379"/>
        <v>45171</v>
      </c>
      <c r="E3507" s="233">
        <f t="shared" ref="E3507:E3509" si="387">DATE(A3507,B3507,C3507)</f>
        <v>45171</v>
      </c>
      <c r="F3507" s="478" t="s">
        <v>1362</v>
      </c>
      <c r="G3507" s="222" t="s">
        <v>1111</v>
      </c>
      <c r="H3507" s="223" t="str" cm="1">
        <f t="array" ref="H3507">IFERROR(INDEX(INVESTOR_LIST[INVESTOR NAME],MATCH(I3507,INVESTOR_LIST[INVESTOR CODE],0),)," ")</f>
        <v xml:space="preserve"> </v>
      </c>
      <c r="I3507" s="223"/>
      <c r="J3507" s="224" t="s">
        <v>88</v>
      </c>
      <c r="K3507" s="225">
        <v>5562759.2057861257</v>
      </c>
      <c r="L3507" s="225"/>
    </row>
    <row r="3508" spans="1:12" ht="11.25" customHeight="1" x14ac:dyDescent="0.2">
      <c r="A3508" s="164">
        <v>2023</v>
      </c>
      <c r="B3508" s="164">
        <v>9</v>
      </c>
      <c r="C3508" s="164">
        <v>2</v>
      </c>
      <c r="D3508" s="156">
        <f t="shared" si="379"/>
        <v>45171</v>
      </c>
      <c r="E3508" s="235">
        <f t="shared" si="387"/>
        <v>45171</v>
      </c>
      <c r="F3508" s="480"/>
      <c r="G3508" s="208" t="s">
        <v>1111</v>
      </c>
      <c r="J3508" s="165" t="s">
        <v>131</v>
      </c>
      <c r="K3508" s="205"/>
      <c r="L3508" s="205">
        <v>109073.70991737489</v>
      </c>
    </row>
    <row r="3509" spans="1:12" ht="11.25" customHeight="1" x14ac:dyDescent="0.2">
      <c r="A3509" s="226">
        <v>2023</v>
      </c>
      <c r="B3509" s="226">
        <v>9</v>
      </c>
      <c r="C3509" s="226">
        <v>2</v>
      </c>
      <c r="D3509" s="232">
        <f t="shared" si="379"/>
        <v>45171</v>
      </c>
      <c r="E3509" s="234">
        <f t="shared" si="387"/>
        <v>45171</v>
      </c>
      <c r="F3509" s="479"/>
      <c r="G3509" s="208" t="s">
        <v>1111</v>
      </c>
      <c r="H3509" s="228" t="str" cm="1">
        <f t="array" ref="H3509">IFERROR(INDEX(INVESTOR_LIST[INVESTOR NAME],MATCH(I3509,INVESTOR_LIST[INVESTOR CODE],0),)," ")</f>
        <v xml:space="preserve"> </v>
      </c>
      <c r="I3509" s="228"/>
      <c r="J3509" s="229" t="s">
        <v>88</v>
      </c>
      <c r="K3509" s="230"/>
      <c r="L3509" s="230">
        <v>5453685.4958687508</v>
      </c>
    </row>
    <row r="3510" spans="1:12" ht="11.25" customHeight="1" x14ac:dyDescent="0.2">
      <c r="A3510" s="280">
        <v>2023</v>
      </c>
      <c r="B3510" s="280">
        <v>9</v>
      </c>
      <c r="C3510" s="280">
        <v>7</v>
      </c>
      <c r="D3510" s="281">
        <f t="shared" si="379"/>
        <v>45176</v>
      </c>
      <c r="E3510" s="282">
        <f t="shared" ref="E3510:E3527" si="388">DATE(A3510,B3510,C3510)</f>
        <v>45176</v>
      </c>
      <c r="F3510" s="472" t="s">
        <v>1369</v>
      </c>
      <c r="G3510" s="283" t="s">
        <v>86</v>
      </c>
      <c r="H3510" s="284" t="str" cm="1">
        <f t="array" ref="H3510">IFERROR(INDEX(INVESTOR_LIST[INVESTOR NAME],MATCH(I3510,INVESTOR_LIST[INVESTOR CODE],0),)," ")</f>
        <v xml:space="preserve"> </v>
      </c>
      <c r="I3510" s="284"/>
      <c r="J3510" s="285" t="s">
        <v>131</v>
      </c>
      <c r="K3510" s="286">
        <v>93531.69</v>
      </c>
      <c r="L3510" s="286"/>
    </row>
    <row r="3511" spans="1:12" ht="11.25" customHeight="1" x14ac:dyDescent="0.2">
      <c r="A3511" s="287">
        <v>2023</v>
      </c>
      <c r="B3511" s="287">
        <v>9</v>
      </c>
      <c r="C3511" s="287">
        <v>7</v>
      </c>
      <c r="D3511" s="288">
        <f t="shared" si="379"/>
        <v>45176</v>
      </c>
      <c r="E3511" s="289">
        <f t="shared" si="388"/>
        <v>45176</v>
      </c>
      <c r="F3511" s="473"/>
      <c r="G3511" s="290" t="s">
        <v>86</v>
      </c>
      <c r="H3511" s="291" t="str" cm="1">
        <f t="array" ref="H3511">IFERROR(INDEX(INVESTOR_LIST[INVESTOR NAME],MATCH(I3511,INVESTOR_LIST[INVESTOR CODE],0),)," ")</f>
        <v xml:space="preserve"> </v>
      </c>
      <c r="I3511" s="291"/>
      <c r="J3511" s="292" t="s">
        <v>174</v>
      </c>
      <c r="K3511" s="293"/>
      <c r="L3511" s="293">
        <v>93531.69</v>
      </c>
    </row>
    <row r="3512" spans="1:12" ht="11.25" customHeight="1" x14ac:dyDescent="0.2">
      <c r="A3512" s="280">
        <v>2023</v>
      </c>
      <c r="B3512" s="280">
        <v>9</v>
      </c>
      <c r="C3512" s="280">
        <v>7</v>
      </c>
      <c r="D3512" s="281">
        <f t="shared" si="379"/>
        <v>45176</v>
      </c>
      <c r="E3512" s="282">
        <f t="shared" si="388"/>
        <v>45176</v>
      </c>
      <c r="F3512" s="472" t="s">
        <v>1295</v>
      </c>
      <c r="G3512" s="283" t="s">
        <v>86</v>
      </c>
      <c r="H3512" s="284" t="str" cm="1">
        <f t="array" ref="H3512">IFERROR(INDEX(INVESTOR_LIST[INVESTOR NAME],MATCH(I3512,INVESTOR_LIST[INVESTOR CODE],0),)," ")</f>
        <v xml:space="preserve"> </v>
      </c>
      <c r="I3512" s="284"/>
      <c r="J3512" s="285" t="s">
        <v>131</v>
      </c>
      <c r="K3512" s="286">
        <v>17028.849999999999</v>
      </c>
      <c r="L3512" s="286"/>
    </row>
    <row r="3513" spans="1:12" ht="11.25" customHeight="1" x14ac:dyDescent="0.2">
      <c r="A3513" s="287">
        <v>2023</v>
      </c>
      <c r="B3513" s="287">
        <v>9</v>
      </c>
      <c r="C3513" s="287">
        <v>7</v>
      </c>
      <c r="D3513" s="288">
        <f t="shared" si="379"/>
        <v>45176</v>
      </c>
      <c r="E3513" s="289">
        <f t="shared" si="388"/>
        <v>45176</v>
      </c>
      <c r="F3513" s="473"/>
      <c r="G3513" s="290" t="s">
        <v>86</v>
      </c>
      <c r="H3513" s="291" t="str" cm="1">
        <f t="array" ref="H3513">IFERROR(INDEX(INVESTOR_LIST[INVESTOR NAME],MATCH(I3513,INVESTOR_LIST[INVESTOR CODE],0),)," ")</f>
        <v xml:space="preserve"> </v>
      </c>
      <c r="I3513" s="291"/>
      <c r="J3513" s="292" t="s">
        <v>174</v>
      </c>
      <c r="K3513" s="293"/>
      <c r="L3513" s="293">
        <v>17028.849999999999</v>
      </c>
    </row>
    <row r="3514" spans="1:12" ht="11.25" customHeight="1" x14ac:dyDescent="0.2">
      <c r="A3514" s="280">
        <v>2023</v>
      </c>
      <c r="B3514" s="280">
        <v>9</v>
      </c>
      <c r="C3514" s="280">
        <v>7</v>
      </c>
      <c r="D3514" s="281">
        <f t="shared" si="379"/>
        <v>45176</v>
      </c>
      <c r="E3514" s="282">
        <f t="shared" si="388"/>
        <v>45176</v>
      </c>
      <c r="F3514" s="472" t="s">
        <v>1294</v>
      </c>
      <c r="G3514" s="283" t="s">
        <v>86</v>
      </c>
      <c r="H3514" s="284" t="str" cm="1">
        <f t="array" ref="H3514">IFERROR(INDEX(INVESTOR_LIST[INVESTOR NAME],MATCH(I3514,INVESTOR_LIST[INVESTOR CODE],0),)," ")</f>
        <v xml:space="preserve"> </v>
      </c>
      <c r="I3514" s="284"/>
      <c r="J3514" s="285" t="s">
        <v>131</v>
      </c>
      <c r="K3514" s="286">
        <v>10769.23</v>
      </c>
      <c r="L3514" s="286"/>
    </row>
    <row r="3515" spans="1:12" ht="11.25" customHeight="1" x14ac:dyDescent="0.2">
      <c r="A3515" s="287">
        <v>2023</v>
      </c>
      <c r="B3515" s="287">
        <v>9</v>
      </c>
      <c r="C3515" s="287">
        <v>7</v>
      </c>
      <c r="D3515" s="288">
        <f t="shared" si="379"/>
        <v>45176</v>
      </c>
      <c r="E3515" s="289">
        <f t="shared" si="388"/>
        <v>45176</v>
      </c>
      <c r="F3515" s="473"/>
      <c r="G3515" s="290" t="s">
        <v>86</v>
      </c>
      <c r="H3515" s="291" t="str" cm="1">
        <f t="array" ref="H3515">IFERROR(INDEX(INVESTOR_LIST[INVESTOR NAME],MATCH(I3515,INVESTOR_LIST[INVESTOR CODE],0),)," ")</f>
        <v xml:space="preserve"> </v>
      </c>
      <c r="I3515" s="291"/>
      <c r="J3515" s="292" t="s">
        <v>174</v>
      </c>
      <c r="K3515" s="293"/>
      <c r="L3515" s="293">
        <v>10769.23</v>
      </c>
    </row>
    <row r="3516" spans="1:12" ht="11.25" customHeight="1" x14ac:dyDescent="0.2">
      <c r="A3516" s="280">
        <v>2023</v>
      </c>
      <c r="B3516" s="280">
        <v>9</v>
      </c>
      <c r="C3516" s="280">
        <v>7</v>
      </c>
      <c r="D3516" s="281">
        <f t="shared" si="379"/>
        <v>45176</v>
      </c>
      <c r="E3516" s="282">
        <f t="shared" si="388"/>
        <v>45176</v>
      </c>
      <c r="F3516" s="472" t="s">
        <v>1584</v>
      </c>
      <c r="G3516" s="283" t="s">
        <v>86</v>
      </c>
      <c r="H3516" s="284" t="str" cm="1">
        <f t="array" ref="H3516">IFERROR(INDEX(INVESTOR_LIST[INVESTOR NAME],MATCH(I3516,INVESTOR_LIST[INVESTOR CODE],0),)," ")</f>
        <v xml:space="preserve"> </v>
      </c>
      <c r="I3516" s="284"/>
      <c r="J3516" s="285" t="s">
        <v>131</v>
      </c>
      <c r="K3516" s="286">
        <v>12692.31</v>
      </c>
      <c r="L3516" s="286"/>
    </row>
    <row r="3517" spans="1:12" ht="11.25" customHeight="1" x14ac:dyDescent="0.2">
      <c r="A3517" s="287">
        <v>2023</v>
      </c>
      <c r="B3517" s="287">
        <v>9</v>
      </c>
      <c r="C3517" s="287">
        <v>7</v>
      </c>
      <c r="D3517" s="288">
        <f t="shared" si="379"/>
        <v>45176</v>
      </c>
      <c r="E3517" s="289">
        <f t="shared" si="388"/>
        <v>45176</v>
      </c>
      <c r="F3517" s="473"/>
      <c r="G3517" s="290" t="s">
        <v>86</v>
      </c>
      <c r="H3517" s="291" t="str" cm="1">
        <f t="array" ref="H3517">IFERROR(INDEX(INVESTOR_LIST[INVESTOR NAME],MATCH(I3517,INVESTOR_LIST[INVESTOR CODE],0),)," ")</f>
        <v xml:space="preserve"> </v>
      </c>
      <c r="I3517" s="291"/>
      <c r="J3517" s="292" t="s">
        <v>174</v>
      </c>
      <c r="K3517" s="293"/>
      <c r="L3517" s="293">
        <v>12692.31</v>
      </c>
    </row>
    <row r="3518" spans="1:12" ht="11.25" customHeight="1" x14ac:dyDescent="0.2">
      <c r="A3518" s="236">
        <v>2023</v>
      </c>
      <c r="B3518" s="236">
        <v>9</v>
      </c>
      <c r="C3518" s="236">
        <v>7</v>
      </c>
      <c r="D3518" s="237">
        <f t="shared" si="379"/>
        <v>45176</v>
      </c>
      <c r="E3518" s="238">
        <f t="shared" si="388"/>
        <v>45176</v>
      </c>
      <c r="F3518" s="476" t="s">
        <v>1118</v>
      </c>
      <c r="G3518" s="239" t="s">
        <v>86</v>
      </c>
      <c r="H3518" s="239" t="str" cm="1">
        <f t="array" ref="H3518">IFERROR(INDEX(INVESTOR_LIST[INVESTOR NAME],MATCH(I3518,INVESTOR_LIST[INVESTOR CODE],0),)," ")</f>
        <v xml:space="preserve"> </v>
      </c>
      <c r="I3518" s="240"/>
      <c r="J3518" s="241" t="s">
        <v>82</v>
      </c>
      <c r="K3518" s="242">
        <v>83450</v>
      </c>
      <c r="L3518" s="242"/>
    </row>
    <row r="3519" spans="1:12" ht="11.25" customHeight="1" x14ac:dyDescent="0.2">
      <c r="A3519" s="243">
        <v>2023</v>
      </c>
      <c r="B3519" s="243">
        <v>9</v>
      </c>
      <c r="C3519" s="243">
        <v>7</v>
      </c>
      <c r="D3519" s="248">
        <f t="shared" si="379"/>
        <v>45176</v>
      </c>
      <c r="E3519" s="249">
        <f t="shared" si="388"/>
        <v>45176</v>
      </c>
      <c r="F3519" s="477"/>
      <c r="G3519" s="244" t="s">
        <v>86</v>
      </c>
      <c r="H3519" s="244" t="str" cm="1">
        <f t="array" ref="H3519">IFERROR(INDEX(INVESTOR_LIST[INVESTOR NAME],MATCH(I3519,INVESTOR_LIST[INVESTOR CODE],0),)," ")</f>
        <v xml:space="preserve"> </v>
      </c>
      <c r="I3519" s="245"/>
      <c r="J3519" s="246" t="s">
        <v>98</v>
      </c>
      <c r="K3519" s="247"/>
      <c r="L3519" s="247">
        <v>83450</v>
      </c>
    </row>
    <row r="3520" spans="1:12" ht="11.25" customHeight="1" x14ac:dyDescent="0.2">
      <c r="A3520" s="236">
        <v>2023</v>
      </c>
      <c r="B3520" s="236">
        <v>9</v>
      </c>
      <c r="C3520" s="236">
        <v>7</v>
      </c>
      <c r="D3520" s="237">
        <f t="shared" si="379"/>
        <v>45176</v>
      </c>
      <c r="E3520" s="238">
        <f t="shared" si="388"/>
        <v>45176</v>
      </c>
      <c r="F3520" s="476" t="s">
        <v>1120</v>
      </c>
      <c r="G3520" s="239" t="s">
        <v>86</v>
      </c>
      <c r="H3520" s="239" t="str" cm="1">
        <f t="array" ref="H3520">IFERROR(INDEX(INVESTOR_LIST[INVESTOR NAME],MATCH(I3520,INVESTOR_LIST[INVESTOR CODE],0),)," ")</f>
        <v xml:space="preserve"> </v>
      </c>
      <c r="I3520" s="240"/>
      <c r="J3520" s="241" t="s">
        <v>87</v>
      </c>
      <c r="K3520" s="242">
        <v>2747.2527472527472</v>
      </c>
      <c r="L3520" s="242"/>
    </row>
    <row r="3521" spans="1:12" ht="11.25" customHeight="1" x14ac:dyDescent="0.2">
      <c r="A3521" s="243">
        <v>2023</v>
      </c>
      <c r="B3521" s="243">
        <v>9</v>
      </c>
      <c r="C3521" s="243">
        <v>7</v>
      </c>
      <c r="D3521" s="248">
        <f t="shared" si="379"/>
        <v>45176</v>
      </c>
      <c r="E3521" s="249">
        <f t="shared" si="388"/>
        <v>45176</v>
      </c>
      <c r="F3521" s="477"/>
      <c r="G3521" s="244" t="s">
        <v>86</v>
      </c>
      <c r="H3521" s="244" t="str" cm="1">
        <f t="array" ref="H3521">IFERROR(INDEX(INVESTOR_LIST[INVESTOR NAME],MATCH(I3521,INVESTOR_LIST[INVESTOR CODE],0),)," ")</f>
        <v xml:space="preserve"> </v>
      </c>
      <c r="I3521" s="245"/>
      <c r="J3521" s="246" t="s">
        <v>64</v>
      </c>
      <c r="K3521" s="247"/>
      <c r="L3521" s="247">
        <v>2747.2527472527472</v>
      </c>
    </row>
    <row r="3522" spans="1:12" ht="11.25" customHeight="1" x14ac:dyDescent="0.2">
      <c r="A3522" s="236">
        <v>2023</v>
      </c>
      <c r="B3522" s="236">
        <v>9</v>
      </c>
      <c r="C3522" s="236">
        <v>7</v>
      </c>
      <c r="D3522" s="237">
        <f t="shared" si="379"/>
        <v>45176</v>
      </c>
      <c r="E3522" s="238">
        <f t="shared" si="388"/>
        <v>45176</v>
      </c>
      <c r="F3522" s="476" t="s">
        <v>1121</v>
      </c>
      <c r="G3522" s="239" t="s">
        <v>86</v>
      </c>
      <c r="H3522" s="239" t="str" cm="1">
        <f t="array" ref="H3522">IFERROR(INDEX(INVESTOR_LIST[INVESTOR NAME],MATCH(I3522,INVESTOR_LIST[INVESTOR CODE],0),)," ")</f>
        <v xml:space="preserve"> </v>
      </c>
      <c r="I3522" s="240"/>
      <c r="J3522" s="241" t="s">
        <v>89</v>
      </c>
      <c r="K3522" s="242">
        <v>69231.119989406172</v>
      </c>
      <c r="L3522" s="242"/>
    </row>
    <row r="3523" spans="1:12" ht="11.25" customHeight="1" x14ac:dyDescent="0.2">
      <c r="A3523" s="243">
        <v>2023</v>
      </c>
      <c r="B3523" s="243">
        <v>9</v>
      </c>
      <c r="C3523" s="243">
        <v>7</v>
      </c>
      <c r="D3523" s="248">
        <f t="shared" si="379"/>
        <v>45176</v>
      </c>
      <c r="E3523" s="249">
        <f t="shared" si="388"/>
        <v>45176</v>
      </c>
      <c r="F3523" s="477"/>
      <c r="G3523" s="244" t="s">
        <v>86</v>
      </c>
      <c r="H3523" s="244" t="str" cm="1">
        <f t="array" ref="H3523">IFERROR(INDEX(INVESTOR_LIST[INVESTOR NAME],MATCH(I3523,INVESTOR_LIST[INVESTOR CODE],0),)," ")</f>
        <v xml:space="preserve"> </v>
      </c>
      <c r="I3523" s="245"/>
      <c r="J3523" s="246" t="s">
        <v>50</v>
      </c>
      <c r="K3523" s="247"/>
      <c r="L3523" s="247">
        <v>69231.119989406172</v>
      </c>
    </row>
    <row r="3524" spans="1:12" ht="11.25" customHeight="1" x14ac:dyDescent="0.2">
      <c r="A3524" s="236">
        <v>2023</v>
      </c>
      <c r="B3524" s="236">
        <v>9</v>
      </c>
      <c r="C3524" s="236">
        <v>7</v>
      </c>
      <c r="D3524" s="237">
        <f t="shared" si="379"/>
        <v>45176</v>
      </c>
      <c r="E3524" s="238">
        <f t="shared" si="388"/>
        <v>45176</v>
      </c>
      <c r="F3524" s="476" t="s">
        <v>1122</v>
      </c>
      <c r="G3524" s="239" t="s">
        <v>86</v>
      </c>
      <c r="H3524" s="239" t="str" cm="1">
        <f t="array" ref="H3524">IFERROR(INDEX(INVESTOR_LIST[INVESTOR NAME],MATCH(I3524,INVESTOR_LIST[INVESTOR CODE],0),)," ")</f>
        <v xml:space="preserve"> </v>
      </c>
      <c r="I3524" s="240"/>
      <c r="J3524" s="241" t="s">
        <v>91</v>
      </c>
      <c r="K3524" s="242">
        <v>3461.5559994703081</v>
      </c>
      <c r="L3524" s="242"/>
    </row>
    <row r="3525" spans="1:12" ht="11.25" customHeight="1" x14ac:dyDescent="0.2">
      <c r="A3525" s="243">
        <v>2023</v>
      </c>
      <c r="B3525" s="243">
        <v>9</v>
      </c>
      <c r="C3525" s="243">
        <v>7</v>
      </c>
      <c r="D3525" s="248">
        <f t="shared" si="379"/>
        <v>45176</v>
      </c>
      <c r="E3525" s="249">
        <f t="shared" si="388"/>
        <v>45176</v>
      </c>
      <c r="F3525" s="477"/>
      <c r="G3525" s="244" t="s">
        <v>86</v>
      </c>
      <c r="H3525" s="244" t="str" cm="1">
        <f t="array" ref="H3525">IFERROR(INDEX(INVESTOR_LIST[INVESTOR NAME],MATCH(I3525,INVESTOR_LIST[INVESTOR CODE],0),)," ")</f>
        <v xml:space="preserve"> </v>
      </c>
      <c r="I3525" s="245"/>
      <c r="J3525" s="246" t="s">
        <v>51</v>
      </c>
      <c r="K3525" s="247"/>
      <c r="L3525" s="247">
        <v>3461.5559994703081</v>
      </c>
    </row>
    <row r="3526" spans="1:12" ht="11.25" customHeight="1" x14ac:dyDescent="0.2">
      <c r="A3526" s="221">
        <v>2023</v>
      </c>
      <c r="B3526" s="221">
        <v>9</v>
      </c>
      <c r="C3526" s="221">
        <v>14</v>
      </c>
      <c r="D3526" s="231">
        <f t="shared" si="379"/>
        <v>45183</v>
      </c>
      <c r="E3526" s="233">
        <f t="shared" si="388"/>
        <v>45183</v>
      </c>
      <c r="F3526" s="478" t="s">
        <v>1178</v>
      </c>
      <c r="G3526" s="222" t="s">
        <v>1111</v>
      </c>
      <c r="H3526" s="223" t="str" cm="1">
        <f t="array" ref="H3526">IFERROR(INDEX(INVESTOR_LIST[INVESTOR NAME],MATCH(I3526,INVESTOR_LIST[INVESTOR CODE],0),)," ")</f>
        <v xml:space="preserve"> </v>
      </c>
      <c r="I3526" s="223"/>
      <c r="J3526" s="224" t="s">
        <v>189</v>
      </c>
      <c r="K3526" s="225">
        <v>5000</v>
      </c>
      <c r="L3526" s="225"/>
    </row>
    <row r="3527" spans="1:12" ht="11.25" customHeight="1" x14ac:dyDescent="0.2">
      <c r="A3527" s="226">
        <v>2023</v>
      </c>
      <c r="B3527" s="226">
        <v>9</v>
      </c>
      <c r="C3527" s="226">
        <v>14</v>
      </c>
      <c r="D3527" s="232">
        <f t="shared" si="379"/>
        <v>45183</v>
      </c>
      <c r="E3527" s="234">
        <f t="shared" si="388"/>
        <v>45183</v>
      </c>
      <c r="F3527" s="479"/>
      <c r="G3527" s="227" t="s">
        <v>1111</v>
      </c>
      <c r="H3527" s="228" t="str" cm="1">
        <f t="array" ref="H3527">IFERROR(INDEX(INVESTOR_LIST[INVESTOR NAME],MATCH(I3527,INVESTOR_LIST[INVESTOR CODE],0),)," ")</f>
        <v xml:space="preserve"> </v>
      </c>
      <c r="I3527" s="228"/>
      <c r="J3527" s="229" t="s">
        <v>55</v>
      </c>
      <c r="K3527" s="230"/>
      <c r="L3527" s="230">
        <v>5000</v>
      </c>
    </row>
    <row r="3528" spans="1:12" ht="11.25" customHeight="1" x14ac:dyDescent="0.2">
      <c r="A3528" s="280">
        <v>2023</v>
      </c>
      <c r="B3528" s="280">
        <v>9</v>
      </c>
      <c r="C3528" s="280">
        <v>14</v>
      </c>
      <c r="D3528" s="281">
        <f t="shared" si="379"/>
        <v>45183</v>
      </c>
      <c r="E3528" s="282">
        <f t="shared" ref="E3528:E3547" si="389">DATE(A3528,B3528,C3528)</f>
        <v>45183</v>
      </c>
      <c r="F3528" s="472" t="s">
        <v>1369</v>
      </c>
      <c r="G3528" s="283" t="s">
        <v>86</v>
      </c>
      <c r="H3528" s="284" t="str" cm="1">
        <f t="array" ref="H3528">IFERROR(INDEX(INVESTOR_LIST[INVESTOR NAME],MATCH(I3528,INVESTOR_LIST[INVESTOR CODE],0),)," ")</f>
        <v xml:space="preserve"> </v>
      </c>
      <c r="I3528" s="284"/>
      <c r="J3528" s="285" t="s">
        <v>131</v>
      </c>
      <c r="K3528" s="286">
        <v>93531.69</v>
      </c>
      <c r="L3528" s="286"/>
    </row>
    <row r="3529" spans="1:12" ht="11.25" customHeight="1" x14ac:dyDescent="0.2">
      <c r="A3529" s="287">
        <v>2023</v>
      </c>
      <c r="B3529" s="287">
        <v>9</v>
      </c>
      <c r="C3529" s="287">
        <v>14</v>
      </c>
      <c r="D3529" s="288">
        <f t="shared" ref="D3529:D3592" si="390">DATE(A3529,B3529,C3529)</f>
        <v>45183</v>
      </c>
      <c r="E3529" s="289">
        <f t="shared" si="389"/>
        <v>45183</v>
      </c>
      <c r="F3529" s="473"/>
      <c r="G3529" s="290" t="s">
        <v>86</v>
      </c>
      <c r="H3529" s="291" t="str" cm="1">
        <f t="array" ref="H3529">IFERROR(INDEX(INVESTOR_LIST[INVESTOR NAME],MATCH(I3529,INVESTOR_LIST[INVESTOR CODE],0),)," ")</f>
        <v xml:space="preserve"> </v>
      </c>
      <c r="I3529" s="291"/>
      <c r="J3529" s="292" t="s">
        <v>174</v>
      </c>
      <c r="K3529" s="293"/>
      <c r="L3529" s="293">
        <v>93531.69</v>
      </c>
    </row>
    <row r="3530" spans="1:12" ht="11.25" customHeight="1" x14ac:dyDescent="0.2">
      <c r="A3530" s="280">
        <v>2023</v>
      </c>
      <c r="B3530" s="280">
        <v>9</v>
      </c>
      <c r="C3530" s="280">
        <v>14</v>
      </c>
      <c r="D3530" s="281">
        <f t="shared" si="390"/>
        <v>45183</v>
      </c>
      <c r="E3530" s="282">
        <f t="shared" si="389"/>
        <v>45183</v>
      </c>
      <c r="F3530" s="472" t="s">
        <v>1295</v>
      </c>
      <c r="G3530" s="283" t="s">
        <v>86</v>
      </c>
      <c r="H3530" s="284" t="str" cm="1">
        <f t="array" ref="H3530">IFERROR(INDEX(INVESTOR_LIST[INVESTOR NAME],MATCH(I3530,INVESTOR_LIST[INVESTOR CODE],0),)," ")</f>
        <v xml:space="preserve"> </v>
      </c>
      <c r="I3530" s="284"/>
      <c r="J3530" s="285" t="s">
        <v>131</v>
      </c>
      <c r="K3530" s="286">
        <v>18342.63</v>
      </c>
      <c r="L3530" s="286"/>
    </row>
    <row r="3531" spans="1:12" ht="11.25" customHeight="1" x14ac:dyDescent="0.2">
      <c r="A3531" s="287">
        <v>2023</v>
      </c>
      <c r="B3531" s="287">
        <v>9</v>
      </c>
      <c r="C3531" s="287">
        <v>14</v>
      </c>
      <c r="D3531" s="288">
        <f t="shared" si="390"/>
        <v>45183</v>
      </c>
      <c r="E3531" s="289">
        <f t="shared" si="389"/>
        <v>45183</v>
      </c>
      <c r="F3531" s="473"/>
      <c r="G3531" s="290" t="s">
        <v>86</v>
      </c>
      <c r="H3531" s="291" t="str" cm="1">
        <f t="array" ref="H3531">IFERROR(INDEX(INVESTOR_LIST[INVESTOR NAME],MATCH(I3531,INVESTOR_LIST[INVESTOR CODE],0),)," ")</f>
        <v xml:space="preserve"> </v>
      </c>
      <c r="I3531" s="291"/>
      <c r="J3531" s="292" t="s">
        <v>174</v>
      </c>
      <c r="K3531" s="293"/>
      <c r="L3531" s="293">
        <v>18342.63</v>
      </c>
    </row>
    <row r="3532" spans="1:12" ht="11.25" customHeight="1" x14ac:dyDescent="0.2">
      <c r="A3532" s="280">
        <v>2023</v>
      </c>
      <c r="B3532" s="280">
        <v>9</v>
      </c>
      <c r="C3532" s="280">
        <v>14</v>
      </c>
      <c r="D3532" s="281">
        <f t="shared" si="390"/>
        <v>45183</v>
      </c>
      <c r="E3532" s="282">
        <f t="shared" si="389"/>
        <v>45183</v>
      </c>
      <c r="F3532" s="472" t="s">
        <v>1294</v>
      </c>
      <c r="G3532" s="283" t="s">
        <v>86</v>
      </c>
      <c r="H3532" s="284" t="str" cm="1">
        <f t="array" ref="H3532">IFERROR(INDEX(INVESTOR_LIST[INVESTOR NAME],MATCH(I3532,INVESTOR_LIST[INVESTOR CODE],0),)," ")</f>
        <v xml:space="preserve"> </v>
      </c>
      <c r="I3532" s="284"/>
      <c r="J3532" s="285" t="s">
        <v>131</v>
      </c>
      <c r="K3532" s="286">
        <v>8333.33</v>
      </c>
      <c r="L3532" s="286"/>
    </row>
    <row r="3533" spans="1:12" ht="11.25" customHeight="1" x14ac:dyDescent="0.2">
      <c r="A3533" s="287">
        <v>2023</v>
      </c>
      <c r="B3533" s="287">
        <v>9</v>
      </c>
      <c r="C3533" s="287">
        <v>14</v>
      </c>
      <c r="D3533" s="288">
        <f t="shared" si="390"/>
        <v>45183</v>
      </c>
      <c r="E3533" s="289">
        <f t="shared" si="389"/>
        <v>45183</v>
      </c>
      <c r="F3533" s="473"/>
      <c r="G3533" s="290" t="s">
        <v>86</v>
      </c>
      <c r="H3533" s="291" t="str" cm="1">
        <f t="array" ref="H3533">IFERROR(INDEX(INVESTOR_LIST[INVESTOR NAME],MATCH(I3533,INVESTOR_LIST[INVESTOR CODE],0),)," ")</f>
        <v xml:space="preserve"> </v>
      </c>
      <c r="I3533" s="291"/>
      <c r="J3533" s="292" t="s">
        <v>174</v>
      </c>
      <c r="K3533" s="293"/>
      <c r="L3533" s="293">
        <v>8333.33</v>
      </c>
    </row>
    <row r="3534" spans="1:12" ht="11.25" customHeight="1" x14ac:dyDescent="0.2">
      <c r="A3534" s="280">
        <v>2023</v>
      </c>
      <c r="B3534" s="280">
        <v>9</v>
      </c>
      <c r="C3534" s="280">
        <v>14</v>
      </c>
      <c r="D3534" s="281">
        <f t="shared" si="390"/>
        <v>45183</v>
      </c>
      <c r="E3534" s="282">
        <f t="shared" si="389"/>
        <v>45183</v>
      </c>
      <c r="F3534" s="472" t="s">
        <v>1584</v>
      </c>
      <c r="G3534" s="283" t="s">
        <v>86</v>
      </c>
      <c r="H3534" s="284" t="str" cm="1">
        <f t="array" ref="H3534">IFERROR(INDEX(INVESTOR_LIST[INVESTOR NAME],MATCH(I3534,INVESTOR_LIST[INVESTOR CODE],0),)," ")</f>
        <v xml:space="preserve"> </v>
      </c>
      <c r="I3534" s="284"/>
      <c r="J3534" s="285" t="s">
        <v>131</v>
      </c>
      <c r="K3534" s="286">
        <v>12692.31</v>
      </c>
      <c r="L3534" s="286"/>
    </row>
    <row r="3535" spans="1:12" ht="11.25" customHeight="1" x14ac:dyDescent="0.2">
      <c r="A3535" s="287">
        <v>2023</v>
      </c>
      <c r="B3535" s="287">
        <v>9</v>
      </c>
      <c r="C3535" s="287">
        <v>14</v>
      </c>
      <c r="D3535" s="288">
        <f t="shared" si="390"/>
        <v>45183</v>
      </c>
      <c r="E3535" s="289">
        <f t="shared" si="389"/>
        <v>45183</v>
      </c>
      <c r="F3535" s="473"/>
      <c r="G3535" s="290" t="s">
        <v>86</v>
      </c>
      <c r="H3535" s="291" t="str" cm="1">
        <f t="array" ref="H3535">IFERROR(INDEX(INVESTOR_LIST[INVESTOR NAME],MATCH(I3535,INVESTOR_LIST[INVESTOR CODE],0),)," ")</f>
        <v xml:space="preserve"> </v>
      </c>
      <c r="I3535" s="291"/>
      <c r="J3535" s="292" t="s">
        <v>174</v>
      </c>
      <c r="K3535" s="293"/>
      <c r="L3535" s="293">
        <v>12692.31</v>
      </c>
    </row>
    <row r="3536" spans="1:12" ht="11.25" customHeight="1" x14ac:dyDescent="0.2">
      <c r="A3536" s="236">
        <v>2023</v>
      </c>
      <c r="B3536" s="236">
        <v>9</v>
      </c>
      <c r="C3536" s="236">
        <v>14</v>
      </c>
      <c r="D3536" s="237">
        <f t="shared" si="390"/>
        <v>45183</v>
      </c>
      <c r="E3536" s="238">
        <f t="shared" si="389"/>
        <v>45183</v>
      </c>
      <c r="F3536" s="476" t="s">
        <v>1118</v>
      </c>
      <c r="G3536" s="239" t="s">
        <v>86</v>
      </c>
      <c r="H3536" s="239" t="str" cm="1">
        <f t="array" ref="H3536">IFERROR(INDEX(INVESTOR_LIST[INVESTOR NAME],MATCH(I3536,INVESTOR_LIST[INVESTOR CODE],0),)," ")</f>
        <v xml:space="preserve"> </v>
      </c>
      <c r="I3536" s="240"/>
      <c r="J3536" s="241" t="s">
        <v>82</v>
      </c>
      <c r="K3536" s="242">
        <v>266500</v>
      </c>
      <c r="L3536" s="242"/>
    </row>
    <row r="3537" spans="1:12" ht="11.25" customHeight="1" x14ac:dyDescent="0.2">
      <c r="A3537" s="243">
        <v>2023</v>
      </c>
      <c r="B3537" s="243">
        <v>9</v>
      </c>
      <c r="C3537" s="243">
        <v>14</v>
      </c>
      <c r="D3537" s="248">
        <f t="shared" si="390"/>
        <v>45183</v>
      </c>
      <c r="E3537" s="249">
        <f t="shared" si="389"/>
        <v>45183</v>
      </c>
      <c r="F3537" s="477"/>
      <c r="G3537" s="244" t="s">
        <v>86</v>
      </c>
      <c r="H3537" s="244" t="str" cm="1">
        <f t="array" ref="H3537">IFERROR(INDEX(INVESTOR_LIST[INVESTOR NAME],MATCH(I3537,INVESTOR_LIST[INVESTOR CODE],0),)," ")</f>
        <v xml:space="preserve"> </v>
      </c>
      <c r="I3537" s="245"/>
      <c r="J3537" s="246" t="s">
        <v>98</v>
      </c>
      <c r="K3537" s="247"/>
      <c r="L3537" s="247">
        <v>266500</v>
      </c>
    </row>
    <row r="3538" spans="1:12" ht="11.25" customHeight="1" x14ac:dyDescent="0.2">
      <c r="A3538" s="236">
        <v>2023</v>
      </c>
      <c r="B3538" s="236">
        <v>9</v>
      </c>
      <c r="C3538" s="236">
        <v>14</v>
      </c>
      <c r="D3538" s="237">
        <f t="shared" si="390"/>
        <v>45183</v>
      </c>
      <c r="E3538" s="238">
        <f t="shared" si="389"/>
        <v>45183</v>
      </c>
      <c r="F3538" s="476" t="s">
        <v>1120</v>
      </c>
      <c r="G3538" s="239" t="s">
        <v>86</v>
      </c>
      <c r="H3538" s="239" t="str" cm="1">
        <f t="array" ref="H3538">IFERROR(INDEX(INVESTOR_LIST[INVESTOR NAME],MATCH(I3538,INVESTOR_LIST[INVESTOR CODE],0),)," ")</f>
        <v xml:space="preserve"> </v>
      </c>
      <c r="I3538" s="240"/>
      <c r="J3538" s="241" t="s">
        <v>87</v>
      </c>
      <c r="K3538" s="242">
        <v>2747.2527472527472</v>
      </c>
      <c r="L3538" s="242"/>
    </row>
    <row r="3539" spans="1:12" ht="11.25" customHeight="1" x14ac:dyDescent="0.2">
      <c r="A3539" s="243">
        <v>2023</v>
      </c>
      <c r="B3539" s="243">
        <v>9</v>
      </c>
      <c r="C3539" s="243">
        <v>14</v>
      </c>
      <c r="D3539" s="248">
        <f t="shared" si="390"/>
        <v>45183</v>
      </c>
      <c r="E3539" s="249">
        <f t="shared" si="389"/>
        <v>45183</v>
      </c>
      <c r="F3539" s="477"/>
      <c r="G3539" s="244" t="s">
        <v>86</v>
      </c>
      <c r="H3539" s="244" t="str" cm="1">
        <f t="array" ref="H3539">IFERROR(INDEX(INVESTOR_LIST[INVESTOR NAME],MATCH(I3539,INVESTOR_LIST[INVESTOR CODE],0),)," ")</f>
        <v xml:space="preserve"> </v>
      </c>
      <c r="I3539" s="245"/>
      <c r="J3539" s="246" t="s">
        <v>64</v>
      </c>
      <c r="K3539" s="247"/>
      <c r="L3539" s="247">
        <v>2747.2527472527472</v>
      </c>
    </row>
    <row r="3540" spans="1:12" ht="11.25" customHeight="1" x14ac:dyDescent="0.2">
      <c r="A3540" s="236">
        <v>2023</v>
      </c>
      <c r="B3540" s="236">
        <v>9</v>
      </c>
      <c r="C3540" s="236">
        <v>14</v>
      </c>
      <c r="D3540" s="237">
        <f t="shared" si="390"/>
        <v>45183</v>
      </c>
      <c r="E3540" s="238">
        <f t="shared" si="389"/>
        <v>45183</v>
      </c>
      <c r="F3540" s="476" t="s">
        <v>1121</v>
      </c>
      <c r="G3540" s="239" t="s">
        <v>86</v>
      </c>
      <c r="H3540" s="239" t="str" cm="1">
        <f t="array" ref="H3540">IFERROR(INDEX(INVESTOR_LIST[INVESTOR NAME],MATCH(I3540,INVESTOR_LIST[INVESTOR CODE],0),)," ")</f>
        <v xml:space="preserve"> </v>
      </c>
      <c r="I3540" s="240"/>
      <c r="J3540" s="241" t="s">
        <v>89</v>
      </c>
      <c r="K3540" s="242">
        <v>69138.536939892278</v>
      </c>
      <c r="L3540" s="242"/>
    </row>
    <row r="3541" spans="1:12" ht="11.25" customHeight="1" x14ac:dyDescent="0.2">
      <c r="A3541" s="243">
        <v>2023</v>
      </c>
      <c r="B3541" s="243">
        <v>9</v>
      </c>
      <c r="C3541" s="243">
        <v>14</v>
      </c>
      <c r="D3541" s="248">
        <f t="shared" si="390"/>
        <v>45183</v>
      </c>
      <c r="E3541" s="249">
        <f t="shared" si="389"/>
        <v>45183</v>
      </c>
      <c r="F3541" s="477"/>
      <c r="G3541" s="244" t="s">
        <v>86</v>
      </c>
      <c r="H3541" s="244" t="str" cm="1">
        <f t="array" ref="H3541">IFERROR(INDEX(INVESTOR_LIST[INVESTOR NAME],MATCH(I3541,INVESTOR_LIST[INVESTOR CODE],0),)," ")</f>
        <v xml:space="preserve"> </v>
      </c>
      <c r="I3541" s="245"/>
      <c r="J3541" s="246" t="s">
        <v>50</v>
      </c>
      <c r="K3541" s="247"/>
      <c r="L3541" s="247">
        <v>69138.536939892278</v>
      </c>
    </row>
    <row r="3542" spans="1:12" ht="11.25" customHeight="1" x14ac:dyDescent="0.2">
      <c r="A3542" s="236">
        <v>2023</v>
      </c>
      <c r="B3542" s="236">
        <v>9</v>
      </c>
      <c r="C3542" s="236">
        <v>14</v>
      </c>
      <c r="D3542" s="237">
        <f t="shared" si="390"/>
        <v>45183</v>
      </c>
      <c r="E3542" s="238">
        <f t="shared" si="389"/>
        <v>45183</v>
      </c>
      <c r="F3542" s="476" t="s">
        <v>1122</v>
      </c>
      <c r="G3542" s="239" t="s">
        <v>86</v>
      </c>
      <c r="H3542" s="239" t="str" cm="1">
        <f t="array" ref="H3542">IFERROR(INDEX(INVESTOR_LIST[INVESTOR NAME],MATCH(I3542,INVESTOR_LIST[INVESTOR CODE],0),)," ")</f>
        <v xml:space="preserve"> </v>
      </c>
      <c r="I3542" s="240"/>
      <c r="J3542" s="241" t="s">
        <v>91</v>
      </c>
      <c r="K3542" s="242">
        <v>3456.9268469946137</v>
      </c>
      <c r="L3542" s="242"/>
    </row>
    <row r="3543" spans="1:12" ht="11.25" customHeight="1" x14ac:dyDescent="0.2">
      <c r="A3543" s="243">
        <v>2023</v>
      </c>
      <c r="B3543" s="243">
        <v>9</v>
      </c>
      <c r="C3543" s="243">
        <v>14</v>
      </c>
      <c r="D3543" s="248">
        <f t="shared" si="390"/>
        <v>45183</v>
      </c>
      <c r="E3543" s="249">
        <f t="shared" si="389"/>
        <v>45183</v>
      </c>
      <c r="F3543" s="477"/>
      <c r="G3543" s="244" t="s">
        <v>86</v>
      </c>
      <c r="H3543" s="244" t="str" cm="1">
        <f t="array" ref="H3543">IFERROR(INDEX(INVESTOR_LIST[INVESTOR NAME],MATCH(I3543,INVESTOR_LIST[INVESTOR CODE],0),)," ")</f>
        <v xml:space="preserve"> </v>
      </c>
      <c r="I3543" s="245"/>
      <c r="J3543" s="246" t="s">
        <v>51</v>
      </c>
      <c r="K3543" s="247"/>
      <c r="L3543" s="247">
        <v>3456.9268469946137</v>
      </c>
    </row>
    <row r="3544" spans="1:12" ht="11.25" customHeight="1" x14ac:dyDescent="0.2">
      <c r="A3544" s="221">
        <v>2023</v>
      </c>
      <c r="B3544" s="221">
        <v>9</v>
      </c>
      <c r="C3544" s="221">
        <v>18</v>
      </c>
      <c r="D3544" s="231">
        <f t="shared" si="390"/>
        <v>45187</v>
      </c>
      <c r="E3544" s="233">
        <f t="shared" si="389"/>
        <v>45187</v>
      </c>
      <c r="F3544" s="478" t="s">
        <v>1196</v>
      </c>
      <c r="G3544" s="222" t="s">
        <v>1111</v>
      </c>
      <c r="H3544" s="223" t="str" cm="1">
        <f t="array" ref="H3544">IFERROR(INDEX(INVESTOR_LIST[INVESTOR NAME],MATCH(I3544,INVESTOR_LIST[INVESTOR CODE],0),)," ")</f>
        <v xml:space="preserve"> </v>
      </c>
      <c r="I3544" s="223"/>
      <c r="J3544" s="224" t="s">
        <v>95</v>
      </c>
      <c r="K3544" s="225">
        <v>313.79000000000002</v>
      </c>
      <c r="L3544" s="225" t="s">
        <v>1119</v>
      </c>
    </row>
    <row r="3545" spans="1:12" ht="11.25" customHeight="1" x14ac:dyDescent="0.2">
      <c r="A3545" s="226">
        <v>2023</v>
      </c>
      <c r="B3545" s="226">
        <v>9</v>
      </c>
      <c r="C3545" s="226">
        <v>18</v>
      </c>
      <c r="D3545" s="232">
        <f t="shared" si="390"/>
        <v>45187</v>
      </c>
      <c r="E3545" s="234">
        <f t="shared" si="389"/>
        <v>45187</v>
      </c>
      <c r="F3545" s="479"/>
      <c r="G3545" s="227" t="s">
        <v>1111</v>
      </c>
      <c r="H3545" s="228" t="str" cm="1">
        <f t="array" ref="H3545">IFERROR(INDEX(INVESTOR_LIST[INVESTOR NAME],MATCH(I3545,INVESTOR_LIST[INVESTOR CODE],0),)," ")</f>
        <v xml:space="preserve"> </v>
      </c>
      <c r="I3545" s="228"/>
      <c r="J3545" s="229" t="s">
        <v>55</v>
      </c>
      <c r="K3545" s="230" t="s">
        <v>1119</v>
      </c>
      <c r="L3545" s="230">
        <v>313.79000000000002</v>
      </c>
    </row>
    <row r="3546" spans="1:12" ht="11.25" customHeight="1" x14ac:dyDescent="0.2">
      <c r="A3546" s="221">
        <v>2023</v>
      </c>
      <c r="B3546" s="221">
        <v>9</v>
      </c>
      <c r="C3546" s="221">
        <v>19</v>
      </c>
      <c r="D3546" s="231">
        <f t="shared" si="390"/>
        <v>45188</v>
      </c>
      <c r="E3546" s="233">
        <f t="shared" si="389"/>
        <v>45188</v>
      </c>
      <c r="F3546" s="478" t="s">
        <v>1142</v>
      </c>
      <c r="G3546" s="222" t="s">
        <v>1111</v>
      </c>
      <c r="H3546" s="223" t="str" cm="1">
        <f t="array" ref="H3546">IFERROR(INDEX(INVESTOR_LIST[INVESTOR NAME],MATCH(I3546,INVESTOR_LIST[INVESTOR CODE],0),)," ")</f>
        <v xml:space="preserve"> </v>
      </c>
      <c r="I3546" s="223"/>
      <c r="J3546" s="224" t="s">
        <v>189</v>
      </c>
      <c r="K3546" s="225">
        <v>1575</v>
      </c>
      <c r="L3546" s="225"/>
    </row>
    <row r="3547" spans="1:12" ht="11.25" customHeight="1" x14ac:dyDescent="0.2">
      <c r="A3547" s="226">
        <v>2023</v>
      </c>
      <c r="B3547" s="226">
        <v>9</v>
      </c>
      <c r="C3547" s="226">
        <v>19</v>
      </c>
      <c r="D3547" s="232">
        <f t="shared" si="390"/>
        <v>45188</v>
      </c>
      <c r="E3547" s="234">
        <f t="shared" si="389"/>
        <v>45188</v>
      </c>
      <c r="F3547" s="479"/>
      <c r="G3547" s="227" t="s">
        <v>1111</v>
      </c>
      <c r="H3547" s="228" t="str" cm="1">
        <f t="array" ref="H3547">IFERROR(INDEX(INVESTOR_LIST[INVESTOR NAME],MATCH(I3547,INVESTOR_LIST[INVESTOR CODE],0),)," ")</f>
        <v xml:space="preserve"> </v>
      </c>
      <c r="I3547" s="228"/>
      <c r="J3547" s="229" t="s">
        <v>55</v>
      </c>
      <c r="K3547" s="230"/>
      <c r="L3547" s="230">
        <v>1575</v>
      </c>
    </row>
    <row r="3548" spans="1:12" ht="11.25" customHeight="1" x14ac:dyDescent="0.2">
      <c r="A3548" s="280">
        <v>2023</v>
      </c>
      <c r="B3548" s="280">
        <v>9</v>
      </c>
      <c r="C3548" s="280">
        <v>21</v>
      </c>
      <c r="D3548" s="281">
        <f t="shared" si="390"/>
        <v>45190</v>
      </c>
      <c r="E3548" s="282">
        <f t="shared" ref="E3548:E3568" si="391">DATE(A3548,B3548,C3548)</f>
        <v>45190</v>
      </c>
      <c r="F3548" s="472" t="s">
        <v>1369</v>
      </c>
      <c r="G3548" s="283" t="s">
        <v>86</v>
      </c>
      <c r="H3548" s="284" t="str" cm="1">
        <f t="array" ref="H3548">IFERROR(INDEX(INVESTOR_LIST[INVESTOR NAME],MATCH(I3548,INVESTOR_LIST[INVESTOR CODE],0),)," ")</f>
        <v xml:space="preserve"> </v>
      </c>
      <c r="I3548" s="284"/>
      <c r="J3548" s="285" t="s">
        <v>131</v>
      </c>
      <c r="K3548" s="286">
        <v>93531.69</v>
      </c>
      <c r="L3548" s="286"/>
    </row>
    <row r="3549" spans="1:12" ht="11.25" customHeight="1" x14ac:dyDescent="0.2">
      <c r="A3549" s="287">
        <v>2023</v>
      </c>
      <c r="B3549" s="287">
        <v>9</v>
      </c>
      <c r="C3549" s="287">
        <v>21</v>
      </c>
      <c r="D3549" s="288">
        <f t="shared" si="390"/>
        <v>45190</v>
      </c>
      <c r="E3549" s="289">
        <f t="shared" si="391"/>
        <v>45190</v>
      </c>
      <c r="F3549" s="473"/>
      <c r="G3549" s="290" t="s">
        <v>86</v>
      </c>
      <c r="H3549" s="291" t="str" cm="1">
        <f t="array" ref="H3549">IFERROR(INDEX(INVESTOR_LIST[INVESTOR NAME],MATCH(I3549,INVESTOR_LIST[INVESTOR CODE],0),)," ")</f>
        <v xml:space="preserve"> </v>
      </c>
      <c r="I3549" s="291"/>
      <c r="J3549" s="292" t="s">
        <v>174</v>
      </c>
      <c r="K3549" s="293"/>
      <c r="L3549" s="293">
        <v>93531.69</v>
      </c>
    </row>
    <row r="3550" spans="1:12" ht="11.25" customHeight="1" x14ac:dyDescent="0.2">
      <c r="A3550" s="280">
        <v>2023</v>
      </c>
      <c r="B3550" s="280">
        <v>9</v>
      </c>
      <c r="C3550" s="280">
        <v>21</v>
      </c>
      <c r="D3550" s="281">
        <f t="shared" si="390"/>
        <v>45190</v>
      </c>
      <c r="E3550" s="282">
        <f t="shared" si="391"/>
        <v>45190</v>
      </c>
      <c r="F3550" s="472" t="s">
        <v>1295</v>
      </c>
      <c r="G3550" s="283" t="s">
        <v>86</v>
      </c>
      <c r="H3550" s="284" t="str" cm="1">
        <f t="array" ref="H3550">IFERROR(INDEX(INVESTOR_LIST[INVESTOR NAME],MATCH(I3550,INVESTOR_LIST[INVESTOR CODE],0),)," ")</f>
        <v xml:space="preserve"> </v>
      </c>
      <c r="I3550" s="284"/>
      <c r="J3550" s="285" t="s">
        <v>131</v>
      </c>
      <c r="K3550" s="286">
        <v>18342.63</v>
      </c>
      <c r="L3550" s="286"/>
    </row>
    <row r="3551" spans="1:12" ht="11.25" customHeight="1" x14ac:dyDescent="0.2">
      <c r="A3551" s="287">
        <v>2023</v>
      </c>
      <c r="B3551" s="287">
        <v>9</v>
      </c>
      <c r="C3551" s="287">
        <v>21</v>
      </c>
      <c r="D3551" s="288">
        <f t="shared" si="390"/>
        <v>45190</v>
      </c>
      <c r="E3551" s="289">
        <f t="shared" si="391"/>
        <v>45190</v>
      </c>
      <c r="F3551" s="473"/>
      <c r="G3551" s="290" t="s">
        <v>86</v>
      </c>
      <c r="H3551" s="291" t="str" cm="1">
        <f t="array" ref="H3551">IFERROR(INDEX(INVESTOR_LIST[INVESTOR NAME],MATCH(I3551,INVESTOR_LIST[INVESTOR CODE],0),)," ")</f>
        <v xml:space="preserve"> </v>
      </c>
      <c r="I3551" s="291"/>
      <c r="J3551" s="292" t="s">
        <v>174</v>
      </c>
      <c r="K3551" s="293"/>
      <c r="L3551" s="293">
        <v>18342.63</v>
      </c>
    </row>
    <row r="3552" spans="1:12" ht="11.25" customHeight="1" x14ac:dyDescent="0.2">
      <c r="A3552" s="280">
        <v>2023</v>
      </c>
      <c r="B3552" s="280">
        <v>9</v>
      </c>
      <c r="C3552" s="280">
        <v>21</v>
      </c>
      <c r="D3552" s="281">
        <f t="shared" si="390"/>
        <v>45190</v>
      </c>
      <c r="E3552" s="282">
        <f t="shared" si="391"/>
        <v>45190</v>
      </c>
      <c r="F3552" s="472" t="s">
        <v>1294</v>
      </c>
      <c r="G3552" s="283" t="s">
        <v>86</v>
      </c>
      <c r="H3552" s="284" t="str" cm="1">
        <f t="array" ref="H3552">IFERROR(INDEX(INVESTOR_LIST[INVESTOR NAME],MATCH(I3552,INVESTOR_LIST[INVESTOR CODE],0),)," ")</f>
        <v xml:space="preserve"> </v>
      </c>
      <c r="I3552" s="284"/>
      <c r="J3552" s="285" t="s">
        <v>131</v>
      </c>
      <c r="K3552" s="286">
        <v>11666.67</v>
      </c>
      <c r="L3552" s="286"/>
    </row>
    <row r="3553" spans="1:12" ht="11.25" customHeight="1" x14ac:dyDescent="0.2">
      <c r="A3553" s="287">
        <v>2023</v>
      </c>
      <c r="B3553" s="287">
        <v>9</v>
      </c>
      <c r="C3553" s="287">
        <v>21</v>
      </c>
      <c r="D3553" s="288">
        <f t="shared" si="390"/>
        <v>45190</v>
      </c>
      <c r="E3553" s="289">
        <f t="shared" si="391"/>
        <v>45190</v>
      </c>
      <c r="F3553" s="473"/>
      <c r="G3553" s="290" t="s">
        <v>86</v>
      </c>
      <c r="H3553" s="291" t="str" cm="1">
        <f t="array" ref="H3553">IFERROR(INDEX(INVESTOR_LIST[INVESTOR NAME],MATCH(I3553,INVESTOR_LIST[INVESTOR CODE],0),)," ")</f>
        <v xml:space="preserve"> </v>
      </c>
      <c r="I3553" s="291"/>
      <c r="J3553" s="292" t="s">
        <v>174</v>
      </c>
      <c r="K3553" s="293"/>
      <c r="L3553" s="293">
        <v>11666.67</v>
      </c>
    </row>
    <row r="3554" spans="1:12" ht="11.25" customHeight="1" x14ac:dyDescent="0.2">
      <c r="A3554" s="280">
        <v>2023</v>
      </c>
      <c r="B3554" s="280">
        <v>9</v>
      </c>
      <c r="C3554" s="280">
        <v>21</v>
      </c>
      <c r="D3554" s="281">
        <f t="shared" si="390"/>
        <v>45190</v>
      </c>
      <c r="E3554" s="282">
        <f t="shared" si="391"/>
        <v>45190</v>
      </c>
      <c r="F3554" s="472" t="s">
        <v>1584</v>
      </c>
      <c r="G3554" s="283" t="s">
        <v>86</v>
      </c>
      <c r="H3554" s="284" t="str" cm="1">
        <f t="array" ref="H3554">IFERROR(INDEX(INVESTOR_LIST[INVESTOR NAME],MATCH(I3554,INVESTOR_LIST[INVESTOR CODE],0),)," ")</f>
        <v xml:space="preserve"> </v>
      </c>
      <c r="I3554" s="284"/>
      <c r="J3554" s="285" t="s">
        <v>131</v>
      </c>
      <c r="K3554" s="286">
        <v>12692.31</v>
      </c>
      <c r="L3554" s="286"/>
    </row>
    <row r="3555" spans="1:12" ht="11.25" customHeight="1" x14ac:dyDescent="0.2">
      <c r="A3555" s="287">
        <v>2023</v>
      </c>
      <c r="B3555" s="287">
        <v>9</v>
      </c>
      <c r="C3555" s="287">
        <v>21</v>
      </c>
      <c r="D3555" s="288">
        <f t="shared" si="390"/>
        <v>45190</v>
      </c>
      <c r="E3555" s="289">
        <f t="shared" si="391"/>
        <v>45190</v>
      </c>
      <c r="F3555" s="473"/>
      <c r="G3555" s="290" t="s">
        <v>86</v>
      </c>
      <c r="H3555" s="291" t="str" cm="1">
        <f t="array" ref="H3555">IFERROR(INDEX(INVESTOR_LIST[INVESTOR NAME],MATCH(I3555,INVESTOR_LIST[INVESTOR CODE],0),)," ")</f>
        <v xml:space="preserve"> </v>
      </c>
      <c r="I3555" s="291"/>
      <c r="J3555" s="292" t="s">
        <v>174</v>
      </c>
      <c r="K3555" s="293"/>
      <c r="L3555" s="293">
        <v>12692.31</v>
      </c>
    </row>
    <row r="3556" spans="1:12" ht="11.25" customHeight="1" x14ac:dyDescent="0.2">
      <c r="A3556" s="236">
        <v>2023</v>
      </c>
      <c r="B3556" s="236">
        <v>9</v>
      </c>
      <c r="C3556" s="236">
        <v>21</v>
      </c>
      <c r="D3556" s="237">
        <f t="shared" si="390"/>
        <v>45190</v>
      </c>
      <c r="E3556" s="238">
        <f t="shared" si="391"/>
        <v>45190</v>
      </c>
      <c r="F3556" s="476" t="s">
        <v>1118</v>
      </c>
      <c r="G3556" s="239" t="s">
        <v>86</v>
      </c>
      <c r="H3556" s="239" t="str" cm="1">
        <f t="array" ref="H3556">IFERROR(INDEX(INVESTOR_LIST[INVESTOR NAME],MATCH(I3556,INVESTOR_LIST[INVESTOR CODE],0),)," ")</f>
        <v xml:space="preserve"> </v>
      </c>
      <c r="I3556" s="240"/>
      <c r="J3556" s="241" t="s">
        <v>98</v>
      </c>
      <c r="K3556" s="242">
        <v>10100</v>
      </c>
      <c r="L3556" s="242"/>
    </row>
    <row r="3557" spans="1:12" ht="11.25" customHeight="1" x14ac:dyDescent="0.2">
      <c r="A3557" s="243">
        <v>2023</v>
      </c>
      <c r="B3557" s="243">
        <v>9</v>
      </c>
      <c r="C3557" s="243">
        <v>21</v>
      </c>
      <c r="D3557" s="248">
        <f t="shared" si="390"/>
        <v>45190</v>
      </c>
      <c r="E3557" s="249">
        <f t="shared" si="391"/>
        <v>45190</v>
      </c>
      <c r="F3557" s="477"/>
      <c r="G3557" s="244" t="s">
        <v>86</v>
      </c>
      <c r="H3557" s="244" t="str" cm="1">
        <f t="array" ref="H3557">IFERROR(INDEX(INVESTOR_LIST[INVESTOR NAME],MATCH(I3557,INVESTOR_LIST[INVESTOR CODE],0),)," ")</f>
        <v xml:space="preserve"> </v>
      </c>
      <c r="I3557" s="245"/>
      <c r="J3557" s="246" t="s">
        <v>82</v>
      </c>
      <c r="K3557" s="247"/>
      <c r="L3557" s="247">
        <v>10100</v>
      </c>
    </row>
    <row r="3558" spans="1:12" ht="11.25" customHeight="1" x14ac:dyDescent="0.2">
      <c r="A3558" s="236">
        <v>2023</v>
      </c>
      <c r="B3558" s="236">
        <v>9</v>
      </c>
      <c r="C3558" s="236">
        <v>21</v>
      </c>
      <c r="D3558" s="237">
        <f t="shared" si="390"/>
        <v>45190</v>
      </c>
      <c r="E3558" s="238">
        <f t="shared" si="391"/>
        <v>45190</v>
      </c>
      <c r="F3558" s="476" t="s">
        <v>1120</v>
      </c>
      <c r="G3558" s="239" t="s">
        <v>86</v>
      </c>
      <c r="H3558" s="239" t="str" cm="1">
        <f t="array" ref="H3558">IFERROR(INDEX(INVESTOR_LIST[INVESTOR NAME],MATCH(I3558,INVESTOR_LIST[INVESTOR CODE],0),)," ")</f>
        <v xml:space="preserve"> </v>
      </c>
      <c r="I3558" s="240"/>
      <c r="J3558" s="241" t="s">
        <v>87</v>
      </c>
      <c r="K3558" s="242">
        <v>2747.2527472527472</v>
      </c>
      <c r="L3558" s="242"/>
    </row>
    <row r="3559" spans="1:12" ht="11.25" customHeight="1" x14ac:dyDescent="0.2">
      <c r="A3559" s="243">
        <v>2023</v>
      </c>
      <c r="B3559" s="243">
        <v>9</v>
      </c>
      <c r="C3559" s="243">
        <v>21</v>
      </c>
      <c r="D3559" s="248">
        <f t="shared" si="390"/>
        <v>45190</v>
      </c>
      <c r="E3559" s="249">
        <f t="shared" si="391"/>
        <v>45190</v>
      </c>
      <c r="F3559" s="477"/>
      <c r="G3559" s="244" t="s">
        <v>86</v>
      </c>
      <c r="H3559" s="244" t="str" cm="1">
        <f t="array" ref="H3559">IFERROR(INDEX(INVESTOR_LIST[INVESTOR NAME],MATCH(I3559,INVESTOR_LIST[INVESTOR CODE],0),)," ")</f>
        <v xml:space="preserve"> </v>
      </c>
      <c r="I3559" s="245"/>
      <c r="J3559" s="246" t="s">
        <v>64</v>
      </c>
      <c r="K3559" s="247"/>
      <c r="L3559" s="247">
        <v>2747.2527472527472</v>
      </c>
    </row>
    <row r="3560" spans="1:12" ht="11.25" customHeight="1" x14ac:dyDescent="0.2">
      <c r="A3560" s="236">
        <v>2023</v>
      </c>
      <c r="B3560" s="236">
        <v>9</v>
      </c>
      <c r="C3560" s="236">
        <v>21</v>
      </c>
      <c r="D3560" s="237">
        <f t="shared" si="390"/>
        <v>45190</v>
      </c>
      <c r="E3560" s="238">
        <f t="shared" si="391"/>
        <v>45190</v>
      </c>
      <c r="F3560" s="476" t="s">
        <v>1121</v>
      </c>
      <c r="G3560" s="239" t="s">
        <v>86</v>
      </c>
      <c r="H3560" s="239" t="str" cm="1">
        <f t="array" ref="H3560">IFERROR(INDEX(INVESTOR_LIST[INVESTOR NAME],MATCH(I3560,INVESTOR_LIST[INVESTOR CODE],0),)," ")</f>
        <v xml:space="preserve"> </v>
      </c>
      <c r="I3560" s="240"/>
      <c r="J3560" s="241" t="s">
        <v>89</v>
      </c>
      <c r="K3560" s="242">
        <v>69153.572514302214</v>
      </c>
      <c r="L3560" s="242"/>
    </row>
    <row r="3561" spans="1:12" ht="11.25" customHeight="1" x14ac:dyDescent="0.2">
      <c r="A3561" s="243">
        <v>2023</v>
      </c>
      <c r="B3561" s="243">
        <v>9</v>
      </c>
      <c r="C3561" s="243">
        <v>21</v>
      </c>
      <c r="D3561" s="248">
        <f t="shared" si="390"/>
        <v>45190</v>
      </c>
      <c r="E3561" s="249">
        <f t="shared" si="391"/>
        <v>45190</v>
      </c>
      <c r="F3561" s="477"/>
      <c r="G3561" s="244" t="s">
        <v>86</v>
      </c>
      <c r="H3561" s="244" t="str" cm="1">
        <f t="array" ref="H3561">IFERROR(INDEX(INVESTOR_LIST[INVESTOR NAME],MATCH(I3561,INVESTOR_LIST[INVESTOR CODE],0),)," ")</f>
        <v xml:space="preserve"> </v>
      </c>
      <c r="I3561" s="245"/>
      <c r="J3561" s="246" t="s">
        <v>50</v>
      </c>
      <c r="K3561" s="247"/>
      <c r="L3561" s="247">
        <v>69153.572514302214</v>
      </c>
    </row>
    <row r="3562" spans="1:12" ht="11.25" customHeight="1" x14ac:dyDescent="0.2">
      <c r="A3562" s="236">
        <v>2023</v>
      </c>
      <c r="B3562" s="236">
        <v>9</v>
      </c>
      <c r="C3562" s="236">
        <v>21</v>
      </c>
      <c r="D3562" s="237">
        <f t="shared" si="390"/>
        <v>45190</v>
      </c>
      <c r="E3562" s="238">
        <f t="shared" si="391"/>
        <v>45190</v>
      </c>
      <c r="F3562" s="476" t="s">
        <v>1122</v>
      </c>
      <c r="G3562" s="239" t="s">
        <v>86</v>
      </c>
      <c r="H3562" s="239" t="str" cm="1">
        <f t="array" ref="H3562">IFERROR(INDEX(INVESTOR_LIST[INVESTOR NAME],MATCH(I3562,INVESTOR_LIST[INVESTOR CODE],0),)," ")</f>
        <v xml:space="preserve"> </v>
      </c>
      <c r="I3562" s="240"/>
      <c r="J3562" s="241" t="s">
        <v>91</v>
      </c>
      <c r="K3562" s="242">
        <v>3457.6786257151107</v>
      </c>
      <c r="L3562" s="242"/>
    </row>
    <row r="3563" spans="1:12" ht="11.25" customHeight="1" x14ac:dyDescent="0.2">
      <c r="A3563" s="243">
        <v>2023</v>
      </c>
      <c r="B3563" s="243">
        <v>9</v>
      </c>
      <c r="C3563" s="243">
        <v>21</v>
      </c>
      <c r="D3563" s="248">
        <f t="shared" si="390"/>
        <v>45190</v>
      </c>
      <c r="E3563" s="249">
        <f t="shared" si="391"/>
        <v>45190</v>
      </c>
      <c r="F3563" s="477"/>
      <c r="G3563" s="244" t="s">
        <v>86</v>
      </c>
      <c r="H3563" s="244" t="str" cm="1">
        <f t="array" ref="H3563">IFERROR(INDEX(INVESTOR_LIST[INVESTOR NAME],MATCH(I3563,INVESTOR_LIST[INVESTOR CODE],0),)," ")</f>
        <v xml:space="preserve"> </v>
      </c>
      <c r="I3563" s="245"/>
      <c r="J3563" s="246" t="s">
        <v>51</v>
      </c>
      <c r="K3563" s="247"/>
      <c r="L3563" s="247">
        <v>3457.6786257151107</v>
      </c>
    </row>
    <row r="3564" spans="1:12" ht="11.25" customHeight="1" x14ac:dyDescent="0.2">
      <c r="A3564" s="221">
        <v>2023</v>
      </c>
      <c r="B3564" s="221">
        <v>9</v>
      </c>
      <c r="C3564" s="221">
        <v>26</v>
      </c>
      <c r="D3564" s="231">
        <f t="shared" si="390"/>
        <v>45195</v>
      </c>
      <c r="E3564" s="233">
        <f t="shared" si="391"/>
        <v>45195</v>
      </c>
      <c r="F3564" s="478" t="s">
        <v>1451</v>
      </c>
      <c r="G3564" s="222" t="s">
        <v>1111</v>
      </c>
      <c r="H3564" s="223" t="str" cm="1">
        <f t="array" ref="H3564">IFERROR(INDEX(INVESTOR_LIST[INVESTOR NAME],MATCH(I3564,INVESTOR_LIST[INVESTOR CODE],0),)," ")</f>
        <v xml:space="preserve"> </v>
      </c>
      <c r="I3564" s="223"/>
      <c r="J3564" s="224" t="s">
        <v>88</v>
      </c>
      <c r="K3564" s="225">
        <v>2000000</v>
      </c>
      <c r="L3564" s="225"/>
    </row>
    <row r="3565" spans="1:12" ht="11.25" customHeight="1" x14ac:dyDescent="0.2">
      <c r="A3565" s="164">
        <v>2023</v>
      </c>
      <c r="B3565" s="164">
        <v>9</v>
      </c>
      <c r="C3565" s="164">
        <v>26</v>
      </c>
      <c r="D3565" s="156">
        <f t="shared" si="390"/>
        <v>45195</v>
      </c>
      <c r="E3565" s="235">
        <f t="shared" ref="E3565" si="392">DATE(A3565,B3565,C3565)</f>
        <v>45195</v>
      </c>
      <c r="F3565" s="480"/>
      <c r="G3565" s="208" t="s">
        <v>1111</v>
      </c>
      <c r="J3565" s="165" t="s">
        <v>55</v>
      </c>
      <c r="K3565" s="205">
        <v>34000</v>
      </c>
      <c r="L3565" s="205"/>
    </row>
    <row r="3566" spans="1:12" ht="11.25" customHeight="1" x14ac:dyDescent="0.2">
      <c r="A3566" s="164">
        <v>2023</v>
      </c>
      <c r="B3566" s="164">
        <v>9</v>
      </c>
      <c r="C3566" s="164">
        <v>26</v>
      </c>
      <c r="D3566" s="156">
        <f t="shared" si="390"/>
        <v>45195</v>
      </c>
      <c r="E3566" s="235">
        <f t="shared" ref="E3566" si="393">DATE(A3566,B3566,C3566)</f>
        <v>45195</v>
      </c>
      <c r="F3566" s="480"/>
      <c r="G3566" s="208" t="s">
        <v>1111</v>
      </c>
      <c r="J3566" s="165" t="s">
        <v>63</v>
      </c>
      <c r="K3566" s="205">
        <v>6000</v>
      </c>
      <c r="L3566" s="205"/>
    </row>
    <row r="3567" spans="1:12" ht="11.25" customHeight="1" x14ac:dyDescent="0.2">
      <c r="A3567" s="164">
        <v>2023</v>
      </c>
      <c r="B3567" s="164">
        <v>9</v>
      </c>
      <c r="C3567" s="164">
        <v>26</v>
      </c>
      <c r="D3567" s="156">
        <f t="shared" si="390"/>
        <v>45195</v>
      </c>
      <c r="E3567" s="235">
        <f t="shared" ref="E3567" si="394">DATE(A3567,B3567,C3567)</f>
        <v>45195</v>
      </c>
      <c r="F3567" s="480"/>
      <c r="G3567" s="208" t="s">
        <v>1111</v>
      </c>
      <c r="J3567" s="156" t="s">
        <v>131</v>
      </c>
      <c r="K3567" s="205"/>
      <c r="L3567" s="205">
        <v>40000</v>
      </c>
    </row>
    <row r="3568" spans="1:12" ht="11.25" customHeight="1" x14ac:dyDescent="0.2">
      <c r="A3568" s="226">
        <v>2023</v>
      </c>
      <c r="B3568" s="226">
        <v>9</v>
      </c>
      <c r="C3568" s="226">
        <v>26</v>
      </c>
      <c r="D3568" s="232">
        <f t="shared" si="390"/>
        <v>45195</v>
      </c>
      <c r="E3568" s="234">
        <f t="shared" si="391"/>
        <v>45195</v>
      </c>
      <c r="F3568" s="479"/>
      <c r="G3568" s="227" t="s">
        <v>1111</v>
      </c>
      <c r="H3568" s="228" t="str" cm="1">
        <f t="array" ref="H3568">IFERROR(INDEX(INVESTOR_LIST[INVESTOR NAME],MATCH(I3568,INVESTOR_LIST[INVESTOR CODE],0),)," ")</f>
        <v xml:space="preserve"> </v>
      </c>
      <c r="I3568" s="228"/>
      <c r="J3568" s="229" t="s">
        <v>88</v>
      </c>
      <c r="K3568" s="230"/>
      <c r="L3568" s="230">
        <v>2000000</v>
      </c>
    </row>
    <row r="3569" spans="1:12" ht="11.25" customHeight="1" x14ac:dyDescent="0.2">
      <c r="A3569" s="221">
        <v>2023</v>
      </c>
      <c r="B3569" s="221">
        <v>9</v>
      </c>
      <c r="C3569" s="221">
        <v>26</v>
      </c>
      <c r="D3569" s="231">
        <f t="shared" si="390"/>
        <v>45195</v>
      </c>
      <c r="E3569" s="233">
        <f t="shared" ref="E3569:E3608" si="395">DATE(A3569,B3569,C3569)</f>
        <v>45195</v>
      </c>
      <c r="F3569" s="478" t="s">
        <v>1452</v>
      </c>
      <c r="G3569" s="222" t="s">
        <v>1111</v>
      </c>
      <c r="H3569" s="223" t="str" cm="1">
        <f t="array" ref="H3569">IFERROR(INDEX(INVESTOR_LIST[INVESTOR NAME],MATCH(I3569,INVESTOR_LIST[INVESTOR CODE],0),)," ")</f>
        <v xml:space="preserve"> </v>
      </c>
      <c r="I3569" s="223"/>
      <c r="J3569" s="224" t="s">
        <v>88</v>
      </c>
      <c r="K3569" s="225">
        <v>2000000</v>
      </c>
      <c r="L3569" s="225"/>
    </row>
    <row r="3570" spans="1:12" ht="11.25" customHeight="1" x14ac:dyDescent="0.2">
      <c r="A3570" s="164">
        <v>2023</v>
      </c>
      <c r="B3570" s="164">
        <v>9</v>
      </c>
      <c r="C3570" s="164">
        <v>26</v>
      </c>
      <c r="D3570" s="156">
        <f t="shared" si="390"/>
        <v>45195</v>
      </c>
      <c r="E3570" s="235">
        <f t="shared" si="395"/>
        <v>45195</v>
      </c>
      <c r="F3570" s="480"/>
      <c r="G3570" s="208" t="s">
        <v>1111</v>
      </c>
      <c r="J3570" s="165" t="s">
        <v>55</v>
      </c>
      <c r="K3570" s="205">
        <v>34000</v>
      </c>
      <c r="L3570" s="205"/>
    </row>
    <row r="3571" spans="1:12" ht="11.25" customHeight="1" x14ac:dyDescent="0.2">
      <c r="A3571" s="164">
        <v>2023</v>
      </c>
      <c r="B3571" s="164">
        <v>9</v>
      </c>
      <c r="C3571" s="164">
        <v>26</v>
      </c>
      <c r="D3571" s="156">
        <f t="shared" si="390"/>
        <v>45195</v>
      </c>
      <c r="E3571" s="235">
        <f t="shared" si="395"/>
        <v>45195</v>
      </c>
      <c r="F3571" s="480"/>
      <c r="G3571" s="208" t="s">
        <v>1111</v>
      </c>
      <c r="J3571" s="165" t="s">
        <v>63</v>
      </c>
      <c r="K3571" s="205">
        <v>6000</v>
      </c>
      <c r="L3571" s="205"/>
    </row>
    <row r="3572" spans="1:12" ht="11.25" customHeight="1" x14ac:dyDescent="0.2">
      <c r="A3572" s="164">
        <v>2023</v>
      </c>
      <c r="B3572" s="164">
        <v>9</v>
      </c>
      <c r="C3572" s="164">
        <v>26</v>
      </c>
      <c r="D3572" s="156">
        <f t="shared" si="390"/>
        <v>45195</v>
      </c>
      <c r="E3572" s="235">
        <f t="shared" si="395"/>
        <v>45195</v>
      </c>
      <c r="F3572" s="480"/>
      <c r="G3572" s="208" t="s">
        <v>1111</v>
      </c>
      <c r="J3572" s="156" t="s">
        <v>131</v>
      </c>
      <c r="K3572" s="205"/>
      <c r="L3572" s="205">
        <v>40000</v>
      </c>
    </row>
    <row r="3573" spans="1:12" ht="11.25" customHeight="1" x14ac:dyDescent="0.2">
      <c r="A3573" s="226">
        <v>2023</v>
      </c>
      <c r="B3573" s="226">
        <v>9</v>
      </c>
      <c r="C3573" s="226">
        <v>26</v>
      </c>
      <c r="D3573" s="232">
        <f t="shared" si="390"/>
        <v>45195</v>
      </c>
      <c r="E3573" s="234">
        <f t="shared" si="395"/>
        <v>45195</v>
      </c>
      <c r="F3573" s="479"/>
      <c r="G3573" s="227" t="s">
        <v>1111</v>
      </c>
      <c r="H3573" s="228" t="str" cm="1">
        <f t="array" ref="H3573">IFERROR(INDEX(INVESTOR_LIST[INVESTOR NAME],MATCH(I3573,INVESTOR_LIST[INVESTOR CODE],0),)," ")</f>
        <v xml:space="preserve"> </v>
      </c>
      <c r="I3573" s="228"/>
      <c r="J3573" s="229" t="s">
        <v>88</v>
      </c>
      <c r="K3573" s="230"/>
      <c r="L3573" s="230">
        <v>2000000</v>
      </c>
    </row>
    <row r="3574" spans="1:12" ht="11.25" customHeight="1" x14ac:dyDescent="0.2">
      <c r="A3574" s="221">
        <v>2023</v>
      </c>
      <c r="B3574" s="221">
        <v>9</v>
      </c>
      <c r="C3574" s="221">
        <v>26</v>
      </c>
      <c r="D3574" s="231">
        <f t="shared" si="390"/>
        <v>45195</v>
      </c>
      <c r="E3574" s="233">
        <f t="shared" ref="E3574:E3578" si="396">DATE(A3574,B3574,C3574)</f>
        <v>45195</v>
      </c>
      <c r="F3574" s="478" t="s">
        <v>1602</v>
      </c>
      <c r="G3574" s="222" t="s">
        <v>1111</v>
      </c>
      <c r="H3574" s="223" t="str" cm="1">
        <f t="array" ref="H3574">IFERROR(INDEX(INVESTOR_LIST[INVESTOR NAME],MATCH(I3574,INVESTOR_LIST[INVESTOR CODE],0),)," ")</f>
        <v xml:space="preserve"> </v>
      </c>
      <c r="I3574" s="223"/>
      <c r="J3574" s="224" t="s">
        <v>1457</v>
      </c>
      <c r="K3574" s="225">
        <v>4067125</v>
      </c>
      <c r="L3574" s="225"/>
    </row>
    <row r="3575" spans="1:12" ht="11.25" customHeight="1" x14ac:dyDescent="0.2">
      <c r="A3575" s="164">
        <v>2023</v>
      </c>
      <c r="B3575" s="164">
        <v>9</v>
      </c>
      <c r="C3575" s="164">
        <v>26</v>
      </c>
      <c r="D3575" s="156">
        <f t="shared" si="390"/>
        <v>45195</v>
      </c>
      <c r="E3575" s="235">
        <f t="shared" si="396"/>
        <v>45195</v>
      </c>
      <c r="F3575" s="480"/>
      <c r="G3575" s="208" t="s">
        <v>1111</v>
      </c>
      <c r="J3575" s="165" t="s">
        <v>63</v>
      </c>
      <c r="K3575" s="205">
        <v>12375</v>
      </c>
      <c r="L3575" s="205"/>
    </row>
    <row r="3576" spans="1:12" ht="11.25" customHeight="1" x14ac:dyDescent="0.2">
      <c r="A3576" s="164">
        <v>2023</v>
      </c>
      <c r="B3576" s="164">
        <v>9</v>
      </c>
      <c r="C3576" s="164">
        <v>26</v>
      </c>
      <c r="D3576" s="156">
        <f t="shared" si="390"/>
        <v>45195</v>
      </c>
      <c r="E3576" s="235">
        <f t="shared" ref="E3576" si="397">DATE(A3576,B3576,C3576)</f>
        <v>45195</v>
      </c>
      <c r="F3576" s="480"/>
      <c r="G3576" s="208" t="s">
        <v>1111</v>
      </c>
      <c r="J3576" s="165" t="s">
        <v>63</v>
      </c>
      <c r="K3576" s="205">
        <v>3000</v>
      </c>
      <c r="L3576" s="205"/>
    </row>
    <row r="3577" spans="1:12" ht="11.25" customHeight="1" x14ac:dyDescent="0.2">
      <c r="A3577" s="164">
        <v>2023</v>
      </c>
      <c r="B3577" s="164">
        <v>9</v>
      </c>
      <c r="C3577" s="164">
        <v>26</v>
      </c>
      <c r="D3577" s="156">
        <f t="shared" si="390"/>
        <v>45195</v>
      </c>
      <c r="E3577" s="235">
        <f t="shared" si="396"/>
        <v>45195</v>
      </c>
      <c r="F3577" s="480"/>
      <c r="G3577" s="208" t="s">
        <v>1111</v>
      </c>
      <c r="J3577" s="156" t="s">
        <v>131</v>
      </c>
      <c r="K3577" s="205"/>
      <c r="L3577" s="205">
        <v>82500</v>
      </c>
    </row>
    <row r="3578" spans="1:12" ht="11.25" customHeight="1" x14ac:dyDescent="0.2">
      <c r="A3578" s="226">
        <v>2023</v>
      </c>
      <c r="B3578" s="226">
        <v>9</v>
      </c>
      <c r="C3578" s="226">
        <v>26</v>
      </c>
      <c r="D3578" s="232">
        <f t="shared" si="390"/>
        <v>45195</v>
      </c>
      <c r="E3578" s="234">
        <f t="shared" si="396"/>
        <v>45195</v>
      </c>
      <c r="F3578" s="479"/>
      <c r="G3578" s="227" t="s">
        <v>1111</v>
      </c>
      <c r="H3578" s="228" t="str" cm="1">
        <f t="array" ref="H3578">IFERROR(INDEX(INVESTOR_LIST[INVESTOR NAME],MATCH(I3578,INVESTOR_LIST[INVESTOR CODE],0),)," ")</f>
        <v xml:space="preserve"> </v>
      </c>
      <c r="I3578" s="228"/>
      <c r="J3578" s="229" t="s">
        <v>88</v>
      </c>
      <c r="K3578" s="230"/>
      <c r="L3578" s="230">
        <v>4000000</v>
      </c>
    </row>
    <row r="3579" spans="1:12" ht="11.25" customHeight="1" x14ac:dyDescent="0.2">
      <c r="A3579" s="221">
        <v>2023</v>
      </c>
      <c r="B3579" s="221">
        <v>9</v>
      </c>
      <c r="C3579" s="221">
        <v>27</v>
      </c>
      <c r="D3579" s="231">
        <f t="shared" si="390"/>
        <v>45196</v>
      </c>
      <c r="E3579" s="233">
        <f t="shared" si="395"/>
        <v>45196</v>
      </c>
      <c r="F3579" s="478" t="s">
        <v>1132</v>
      </c>
      <c r="G3579" s="222" t="s">
        <v>1111</v>
      </c>
      <c r="H3579" s="223" t="str" cm="1">
        <f t="array" ref="H3579">IFERROR(INDEX(INVESTOR_LIST[INVESTOR NAME],MATCH(I3579,INVESTOR_LIST[INVESTOR CODE],0),)," ")</f>
        <v xml:space="preserve"> </v>
      </c>
      <c r="I3579" s="223"/>
      <c r="J3579" s="224" t="s">
        <v>55</v>
      </c>
      <c r="K3579" s="167">
        <v>15000</v>
      </c>
      <c r="L3579" s="225"/>
    </row>
    <row r="3580" spans="1:12" ht="11.25" customHeight="1" x14ac:dyDescent="0.2">
      <c r="A3580" s="164">
        <v>2023</v>
      </c>
      <c r="B3580" s="164">
        <v>9</v>
      </c>
      <c r="C3580" s="164">
        <v>27</v>
      </c>
      <c r="D3580" s="156">
        <f t="shared" si="390"/>
        <v>45196</v>
      </c>
      <c r="E3580" s="235">
        <f t="shared" si="395"/>
        <v>45196</v>
      </c>
      <c r="F3580" s="480"/>
      <c r="G3580" s="208" t="s">
        <v>1111</v>
      </c>
      <c r="H3580" s="206" t="str" cm="1">
        <f t="array" ref="H3580">IFERROR(INDEX(INVESTOR_LIST[INVESTOR NAME],MATCH(I3580,INVESTOR_LIST[INVESTOR CODE],0),)," ")</f>
        <v xml:space="preserve"> </v>
      </c>
      <c r="J3580" s="165" t="s">
        <v>14</v>
      </c>
      <c r="L3580" s="205">
        <v>14550</v>
      </c>
    </row>
    <row r="3581" spans="1:12" ht="11.25" customHeight="1" x14ac:dyDescent="0.2">
      <c r="A3581" s="226">
        <v>2023</v>
      </c>
      <c r="B3581" s="226">
        <v>9</v>
      </c>
      <c r="C3581" s="226">
        <v>27</v>
      </c>
      <c r="D3581" s="232">
        <f t="shared" si="390"/>
        <v>45196</v>
      </c>
      <c r="E3581" s="234">
        <f t="shared" si="395"/>
        <v>45196</v>
      </c>
      <c r="F3581" s="479"/>
      <c r="G3581" s="227" t="s">
        <v>1111</v>
      </c>
      <c r="H3581" s="228" t="str" cm="1">
        <f t="array" ref="H3581">IFERROR(INDEX(INVESTOR_LIST[INVESTOR NAME],MATCH(I3581,INVESTOR_LIST[INVESTOR CODE],0),)," ")</f>
        <v xml:space="preserve"> </v>
      </c>
      <c r="I3581" s="228"/>
      <c r="J3581" s="229" t="s">
        <v>1112</v>
      </c>
      <c r="K3581" s="230"/>
      <c r="L3581" s="230">
        <v>450</v>
      </c>
    </row>
    <row r="3582" spans="1:12" ht="11.25" customHeight="1" x14ac:dyDescent="0.2">
      <c r="A3582" s="221">
        <v>2023</v>
      </c>
      <c r="B3582" s="221">
        <v>9</v>
      </c>
      <c r="C3582" s="221">
        <v>27</v>
      </c>
      <c r="D3582" s="221">
        <f t="shared" si="390"/>
        <v>45196</v>
      </c>
      <c r="E3582" s="233">
        <f t="shared" si="395"/>
        <v>45196</v>
      </c>
      <c r="F3582" s="478" t="s">
        <v>1589</v>
      </c>
      <c r="G3582" s="222" t="s">
        <v>86</v>
      </c>
      <c r="H3582" s="222" t="str" cm="1">
        <f t="array" ref="H3582">IFERROR(INDEX(INVESTOR_LIST[INVESTOR NAME],MATCH(I3582,INVESTOR_LIST[INVESTOR CODE],0),)," ")</f>
        <v xml:space="preserve"> </v>
      </c>
      <c r="I3582" s="223"/>
      <c r="J3582" s="165" t="s">
        <v>199</v>
      </c>
      <c r="K3582" s="225">
        <v>1888095.3</v>
      </c>
      <c r="L3582" s="225"/>
    </row>
    <row r="3583" spans="1:12" ht="11.25" customHeight="1" x14ac:dyDescent="0.2">
      <c r="A3583" s="164">
        <v>2023</v>
      </c>
      <c r="B3583" s="164">
        <v>9</v>
      </c>
      <c r="C3583" s="164">
        <v>27</v>
      </c>
      <c r="D3583" s="164">
        <f t="shared" si="390"/>
        <v>45196</v>
      </c>
      <c r="E3583" s="235">
        <f t="shared" si="395"/>
        <v>45196</v>
      </c>
      <c r="F3583" s="480"/>
      <c r="G3583" s="208" t="s">
        <v>86</v>
      </c>
      <c r="H3583" s="208"/>
      <c r="J3583" s="165" t="s">
        <v>960</v>
      </c>
      <c r="K3583" s="205">
        <v>3404.7</v>
      </c>
      <c r="L3583" s="205"/>
    </row>
    <row r="3584" spans="1:12" ht="11.25" customHeight="1" x14ac:dyDescent="0.2">
      <c r="A3584" s="164">
        <v>2023</v>
      </c>
      <c r="B3584" s="164">
        <v>9</v>
      </c>
      <c r="C3584" s="164">
        <v>27</v>
      </c>
      <c r="D3584" s="164">
        <f t="shared" si="390"/>
        <v>45196</v>
      </c>
      <c r="E3584" s="235">
        <f t="shared" si="395"/>
        <v>45196</v>
      </c>
      <c r="F3584" s="480"/>
      <c r="G3584" s="208" t="s">
        <v>86</v>
      </c>
      <c r="H3584" s="208"/>
      <c r="J3584" s="165" t="s">
        <v>200</v>
      </c>
      <c r="K3584" s="205">
        <v>70320</v>
      </c>
      <c r="L3584" s="205"/>
    </row>
    <row r="3585" spans="1:12" ht="11.25" customHeight="1" x14ac:dyDescent="0.2">
      <c r="A3585" s="226">
        <v>2023</v>
      </c>
      <c r="B3585" s="226">
        <v>9</v>
      </c>
      <c r="C3585" s="226">
        <v>27</v>
      </c>
      <c r="D3585" s="226">
        <f t="shared" si="390"/>
        <v>45196</v>
      </c>
      <c r="E3585" s="234">
        <f t="shared" si="395"/>
        <v>45196</v>
      </c>
      <c r="F3585" s="479"/>
      <c r="G3585" s="227" t="s">
        <v>86</v>
      </c>
      <c r="H3585" s="228" t="str" cm="1">
        <f t="array" ref="H3585">IFERROR(INDEX(INVESTOR_LIST[INVESTOR NAME],MATCH(I3585,INVESTOR_LIST[INVESTOR CODE],0),)," ")</f>
        <v xml:space="preserve"> </v>
      </c>
      <c r="I3585" s="228"/>
      <c r="J3585" s="229" t="s">
        <v>80</v>
      </c>
      <c r="K3585" s="230"/>
      <c r="L3585" s="230">
        <v>1961820</v>
      </c>
    </row>
    <row r="3586" spans="1:12" ht="11.25" customHeight="1" x14ac:dyDescent="0.2">
      <c r="A3586" s="280">
        <v>2023</v>
      </c>
      <c r="B3586" s="280">
        <v>9</v>
      </c>
      <c r="C3586" s="280">
        <v>27</v>
      </c>
      <c r="D3586" s="281">
        <f t="shared" si="390"/>
        <v>45196</v>
      </c>
      <c r="E3586" s="282">
        <f t="shared" si="395"/>
        <v>45196</v>
      </c>
      <c r="F3586" s="472" t="s">
        <v>1369</v>
      </c>
      <c r="G3586" s="283" t="s">
        <v>86</v>
      </c>
      <c r="H3586" s="284" t="str" cm="1">
        <f t="array" ref="H3586">IFERROR(INDEX(INVESTOR_LIST[INVESTOR NAME],MATCH(I3586,INVESTOR_LIST[INVESTOR CODE],0),)," ")</f>
        <v xml:space="preserve"> </v>
      </c>
      <c r="I3586" s="284"/>
      <c r="J3586" s="285" t="s">
        <v>131</v>
      </c>
      <c r="K3586" s="286">
        <v>93916.3</v>
      </c>
      <c r="L3586" s="286"/>
    </row>
    <row r="3587" spans="1:12" ht="11.25" customHeight="1" x14ac:dyDescent="0.2">
      <c r="A3587" s="287">
        <v>2023</v>
      </c>
      <c r="B3587" s="287">
        <v>9</v>
      </c>
      <c r="C3587" s="287">
        <v>27</v>
      </c>
      <c r="D3587" s="288">
        <f t="shared" si="390"/>
        <v>45196</v>
      </c>
      <c r="E3587" s="289">
        <f t="shared" si="395"/>
        <v>45196</v>
      </c>
      <c r="F3587" s="473"/>
      <c r="G3587" s="290" t="s">
        <v>86</v>
      </c>
      <c r="H3587" s="291" t="str" cm="1">
        <f t="array" ref="H3587">IFERROR(INDEX(INVESTOR_LIST[INVESTOR NAME],MATCH(I3587,INVESTOR_LIST[INVESTOR CODE],0),)," ")</f>
        <v xml:space="preserve"> </v>
      </c>
      <c r="I3587" s="291"/>
      <c r="J3587" s="292" t="s">
        <v>174</v>
      </c>
      <c r="K3587" s="293"/>
      <c r="L3587" s="293">
        <v>93916.3</v>
      </c>
    </row>
    <row r="3588" spans="1:12" ht="11.25" customHeight="1" x14ac:dyDescent="0.2">
      <c r="A3588" s="280">
        <v>2023</v>
      </c>
      <c r="B3588" s="280">
        <v>9</v>
      </c>
      <c r="C3588" s="280">
        <v>27</v>
      </c>
      <c r="D3588" s="281">
        <f t="shared" si="390"/>
        <v>45196</v>
      </c>
      <c r="E3588" s="282">
        <f t="shared" si="395"/>
        <v>45196</v>
      </c>
      <c r="F3588" s="472" t="s">
        <v>1295</v>
      </c>
      <c r="G3588" s="283" t="s">
        <v>86</v>
      </c>
      <c r="H3588" s="284" t="str" cm="1">
        <f t="array" ref="H3588">IFERROR(INDEX(INVESTOR_LIST[INVESTOR NAME],MATCH(I3588,INVESTOR_LIST[INVESTOR CODE],0),)," ")</f>
        <v xml:space="preserve"> </v>
      </c>
      <c r="I3588" s="284"/>
      <c r="J3588" s="285" t="s">
        <v>131</v>
      </c>
      <c r="K3588" s="286">
        <v>18342.63</v>
      </c>
      <c r="L3588" s="286"/>
    </row>
    <row r="3589" spans="1:12" ht="11.25" customHeight="1" x14ac:dyDescent="0.2">
      <c r="A3589" s="287">
        <v>2023</v>
      </c>
      <c r="B3589" s="287">
        <v>9</v>
      </c>
      <c r="C3589" s="287">
        <v>27</v>
      </c>
      <c r="D3589" s="288">
        <f t="shared" si="390"/>
        <v>45196</v>
      </c>
      <c r="E3589" s="289">
        <f t="shared" si="395"/>
        <v>45196</v>
      </c>
      <c r="F3589" s="473"/>
      <c r="G3589" s="290" t="s">
        <v>86</v>
      </c>
      <c r="H3589" s="291" t="str" cm="1">
        <f t="array" ref="H3589">IFERROR(INDEX(INVESTOR_LIST[INVESTOR NAME],MATCH(I3589,INVESTOR_LIST[INVESTOR CODE],0),)," ")</f>
        <v xml:space="preserve"> </v>
      </c>
      <c r="I3589" s="291"/>
      <c r="J3589" s="292" t="s">
        <v>174</v>
      </c>
      <c r="K3589" s="293"/>
      <c r="L3589" s="293">
        <v>18342.63</v>
      </c>
    </row>
    <row r="3590" spans="1:12" ht="11.25" customHeight="1" x14ac:dyDescent="0.2">
      <c r="A3590" s="280">
        <v>2023</v>
      </c>
      <c r="B3590" s="280">
        <v>9</v>
      </c>
      <c r="C3590" s="280">
        <v>27</v>
      </c>
      <c r="D3590" s="281">
        <f t="shared" si="390"/>
        <v>45196</v>
      </c>
      <c r="E3590" s="282">
        <f t="shared" si="395"/>
        <v>45196</v>
      </c>
      <c r="F3590" s="472" t="s">
        <v>1294</v>
      </c>
      <c r="G3590" s="283" t="s">
        <v>86</v>
      </c>
      <c r="H3590" s="284" t="str" cm="1">
        <f t="array" ref="H3590">IFERROR(INDEX(INVESTOR_LIST[INVESTOR NAME],MATCH(I3590,INVESTOR_LIST[INVESTOR CODE],0),)," ")</f>
        <v xml:space="preserve"> </v>
      </c>
      <c r="I3590" s="284"/>
      <c r="J3590" s="285" t="s">
        <v>131</v>
      </c>
      <c r="K3590" s="286">
        <v>11666.67</v>
      </c>
      <c r="L3590" s="286"/>
    </row>
    <row r="3591" spans="1:12" ht="11.25" customHeight="1" x14ac:dyDescent="0.2">
      <c r="A3591" s="287">
        <v>2023</v>
      </c>
      <c r="B3591" s="287">
        <v>9</v>
      </c>
      <c r="C3591" s="287">
        <v>27</v>
      </c>
      <c r="D3591" s="288">
        <f t="shared" si="390"/>
        <v>45196</v>
      </c>
      <c r="E3591" s="289">
        <f t="shared" si="395"/>
        <v>45196</v>
      </c>
      <c r="F3591" s="473"/>
      <c r="G3591" s="290" t="s">
        <v>86</v>
      </c>
      <c r="H3591" s="291" t="str" cm="1">
        <f t="array" ref="H3591">IFERROR(INDEX(INVESTOR_LIST[INVESTOR NAME],MATCH(I3591,INVESTOR_LIST[INVESTOR CODE],0),)," ")</f>
        <v xml:space="preserve"> </v>
      </c>
      <c r="I3591" s="291"/>
      <c r="J3591" s="292" t="s">
        <v>174</v>
      </c>
      <c r="K3591" s="293"/>
      <c r="L3591" s="293">
        <v>11666.67</v>
      </c>
    </row>
    <row r="3592" spans="1:12" ht="11.25" customHeight="1" x14ac:dyDescent="0.2">
      <c r="A3592" s="280">
        <v>2023</v>
      </c>
      <c r="B3592" s="280">
        <v>9</v>
      </c>
      <c r="C3592" s="280">
        <v>27</v>
      </c>
      <c r="D3592" s="281">
        <f t="shared" si="390"/>
        <v>45196</v>
      </c>
      <c r="E3592" s="282">
        <f t="shared" si="395"/>
        <v>45196</v>
      </c>
      <c r="F3592" s="472" t="s">
        <v>1584</v>
      </c>
      <c r="G3592" s="283" t="s">
        <v>86</v>
      </c>
      <c r="H3592" s="284" t="str" cm="1">
        <f t="array" ref="H3592">IFERROR(INDEX(INVESTOR_LIST[INVESTOR NAME],MATCH(I3592,INVESTOR_LIST[INVESTOR CODE],0),)," ")</f>
        <v xml:space="preserve"> </v>
      </c>
      <c r="I3592" s="284"/>
      <c r="J3592" s="285" t="s">
        <v>131</v>
      </c>
      <c r="K3592" s="286">
        <v>6346.1538461538457</v>
      </c>
      <c r="L3592" s="286"/>
    </row>
    <row r="3593" spans="1:12" ht="11.25" customHeight="1" x14ac:dyDescent="0.2">
      <c r="A3593" s="287">
        <v>2023</v>
      </c>
      <c r="B3593" s="287">
        <v>9</v>
      </c>
      <c r="C3593" s="287">
        <v>27</v>
      </c>
      <c r="D3593" s="288">
        <f t="shared" ref="D3593:D3656" si="398">DATE(A3593,B3593,C3593)</f>
        <v>45196</v>
      </c>
      <c r="E3593" s="289">
        <f t="shared" si="395"/>
        <v>45196</v>
      </c>
      <c r="F3593" s="473"/>
      <c r="G3593" s="290" t="s">
        <v>86</v>
      </c>
      <c r="H3593" s="291" t="str" cm="1">
        <f t="array" ref="H3593">IFERROR(INDEX(INVESTOR_LIST[INVESTOR NAME],MATCH(I3593,INVESTOR_LIST[INVESTOR CODE],0),)," ")</f>
        <v xml:space="preserve"> </v>
      </c>
      <c r="I3593" s="291"/>
      <c r="J3593" s="292" t="s">
        <v>174</v>
      </c>
      <c r="K3593" s="293"/>
      <c r="L3593" s="293">
        <v>6346.1538461538457</v>
      </c>
    </row>
    <row r="3594" spans="1:12" ht="11.25" customHeight="1" x14ac:dyDescent="0.2">
      <c r="A3594" s="236">
        <v>2023</v>
      </c>
      <c r="B3594" s="236">
        <v>9</v>
      </c>
      <c r="C3594" s="236">
        <v>27</v>
      </c>
      <c r="D3594" s="237">
        <f t="shared" si="398"/>
        <v>45196</v>
      </c>
      <c r="E3594" s="238">
        <f t="shared" si="395"/>
        <v>45196</v>
      </c>
      <c r="F3594" s="476" t="s">
        <v>1118</v>
      </c>
      <c r="G3594" s="239" t="s">
        <v>86</v>
      </c>
      <c r="H3594" s="239" t="str" cm="1">
        <f t="array" ref="H3594">IFERROR(INDEX(INVESTOR_LIST[INVESTOR NAME],MATCH(I3594,INVESTOR_LIST[INVESTOR CODE],0),)," ")</f>
        <v xml:space="preserve"> </v>
      </c>
      <c r="I3594" s="240"/>
      <c r="J3594" s="241" t="s">
        <v>82</v>
      </c>
      <c r="K3594" s="242">
        <v>227780</v>
      </c>
      <c r="L3594" s="242"/>
    </row>
    <row r="3595" spans="1:12" ht="11.25" customHeight="1" x14ac:dyDescent="0.2">
      <c r="A3595" s="243">
        <v>2023</v>
      </c>
      <c r="B3595" s="243">
        <v>9</v>
      </c>
      <c r="C3595" s="243">
        <v>27</v>
      </c>
      <c r="D3595" s="248">
        <f t="shared" si="398"/>
        <v>45196</v>
      </c>
      <c r="E3595" s="249">
        <f t="shared" si="395"/>
        <v>45196</v>
      </c>
      <c r="F3595" s="477"/>
      <c r="G3595" s="244" t="s">
        <v>86</v>
      </c>
      <c r="H3595" s="244" t="str" cm="1">
        <f t="array" ref="H3595">IFERROR(INDEX(INVESTOR_LIST[INVESTOR NAME],MATCH(I3595,INVESTOR_LIST[INVESTOR CODE],0),)," ")</f>
        <v xml:space="preserve"> </v>
      </c>
      <c r="I3595" s="245"/>
      <c r="J3595" s="246" t="s">
        <v>98</v>
      </c>
      <c r="K3595" s="247"/>
      <c r="L3595" s="247">
        <v>227780</v>
      </c>
    </row>
    <row r="3596" spans="1:12" ht="11.25" customHeight="1" x14ac:dyDescent="0.2">
      <c r="A3596" s="236">
        <v>2023</v>
      </c>
      <c r="B3596" s="236">
        <v>9</v>
      </c>
      <c r="C3596" s="236">
        <v>27</v>
      </c>
      <c r="D3596" s="237">
        <f t="shared" si="398"/>
        <v>45196</v>
      </c>
      <c r="E3596" s="238">
        <f t="shared" si="395"/>
        <v>45196</v>
      </c>
      <c r="F3596" s="476" t="s">
        <v>1120</v>
      </c>
      <c r="G3596" s="239" t="s">
        <v>86</v>
      </c>
      <c r="H3596" s="239" t="str" cm="1">
        <f t="array" ref="H3596">IFERROR(INDEX(INVESTOR_LIST[INVESTOR NAME],MATCH(I3596,INVESTOR_LIST[INVESTOR CODE],0),)," ")</f>
        <v xml:space="preserve"> </v>
      </c>
      <c r="I3596" s="240"/>
      <c r="J3596" s="241" t="s">
        <v>87</v>
      </c>
      <c r="K3596" s="242">
        <v>2747.2527472527472</v>
      </c>
      <c r="L3596" s="242"/>
    </row>
    <row r="3597" spans="1:12" ht="11.25" customHeight="1" x14ac:dyDescent="0.2">
      <c r="A3597" s="243">
        <v>2023</v>
      </c>
      <c r="B3597" s="243">
        <v>9</v>
      </c>
      <c r="C3597" s="243">
        <v>27</v>
      </c>
      <c r="D3597" s="248">
        <f t="shared" si="398"/>
        <v>45196</v>
      </c>
      <c r="E3597" s="249">
        <f t="shared" si="395"/>
        <v>45196</v>
      </c>
      <c r="F3597" s="477"/>
      <c r="G3597" s="244" t="s">
        <v>86</v>
      </c>
      <c r="H3597" s="244" t="str" cm="1">
        <f t="array" ref="H3597">IFERROR(INDEX(INVESTOR_LIST[INVESTOR NAME],MATCH(I3597,INVESTOR_LIST[INVESTOR CODE],0),)," ")</f>
        <v xml:space="preserve"> </v>
      </c>
      <c r="I3597" s="245"/>
      <c r="J3597" s="246" t="s">
        <v>64</v>
      </c>
      <c r="K3597" s="247"/>
      <c r="L3597" s="247">
        <v>2747.2527472527472</v>
      </c>
    </row>
    <row r="3598" spans="1:12" ht="11.25" customHeight="1" x14ac:dyDescent="0.2">
      <c r="A3598" s="236">
        <v>2023</v>
      </c>
      <c r="B3598" s="236">
        <v>9</v>
      </c>
      <c r="C3598" s="236">
        <v>27</v>
      </c>
      <c r="D3598" s="237">
        <f t="shared" si="398"/>
        <v>45196</v>
      </c>
      <c r="E3598" s="238">
        <f t="shared" si="395"/>
        <v>45196</v>
      </c>
      <c r="F3598" s="476" t="s">
        <v>1121</v>
      </c>
      <c r="G3598" s="239" t="s">
        <v>86</v>
      </c>
      <c r="H3598" s="239" t="str" cm="1">
        <f t="array" ref="H3598">IFERROR(INDEX(INVESTOR_LIST[INVESTOR NAME],MATCH(I3598,INVESTOR_LIST[INVESTOR CODE],0),)," ")</f>
        <v xml:space="preserve"> </v>
      </c>
      <c r="I3598" s="240"/>
      <c r="J3598" s="241" t="s">
        <v>89</v>
      </c>
      <c r="K3598" s="242">
        <v>69081.685518132566</v>
      </c>
      <c r="L3598" s="242"/>
    </row>
    <row r="3599" spans="1:12" ht="11.25" customHeight="1" x14ac:dyDescent="0.2">
      <c r="A3599" s="243">
        <v>2023</v>
      </c>
      <c r="B3599" s="243">
        <v>9</v>
      </c>
      <c r="C3599" s="243">
        <v>27</v>
      </c>
      <c r="D3599" s="248">
        <f t="shared" si="398"/>
        <v>45196</v>
      </c>
      <c r="E3599" s="249">
        <f t="shared" si="395"/>
        <v>45196</v>
      </c>
      <c r="F3599" s="477"/>
      <c r="G3599" s="244" t="s">
        <v>86</v>
      </c>
      <c r="H3599" s="244" t="str" cm="1">
        <f t="array" ref="H3599">IFERROR(INDEX(INVESTOR_LIST[INVESTOR NAME],MATCH(I3599,INVESTOR_LIST[INVESTOR CODE],0),)," ")</f>
        <v xml:space="preserve"> </v>
      </c>
      <c r="I3599" s="245"/>
      <c r="J3599" s="246" t="s">
        <v>50</v>
      </c>
      <c r="K3599" s="247"/>
      <c r="L3599" s="247">
        <v>69081.685518132566</v>
      </c>
    </row>
    <row r="3600" spans="1:12" ht="11.25" customHeight="1" x14ac:dyDescent="0.2">
      <c r="A3600" s="236">
        <v>2023</v>
      </c>
      <c r="B3600" s="236">
        <v>9</v>
      </c>
      <c r="C3600" s="236">
        <v>27</v>
      </c>
      <c r="D3600" s="237">
        <f t="shared" si="398"/>
        <v>45196</v>
      </c>
      <c r="E3600" s="238">
        <f t="shared" si="395"/>
        <v>45196</v>
      </c>
      <c r="F3600" s="476" t="s">
        <v>1122</v>
      </c>
      <c r="G3600" s="239" t="s">
        <v>86</v>
      </c>
      <c r="H3600" s="239" t="str" cm="1">
        <f t="array" ref="H3600">IFERROR(INDEX(INVESTOR_LIST[INVESTOR NAME],MATCH(I3600,INVESTOR_LIST[INVESTOR CODE],0),)," ")</f>
        <v xml:space="preserve"> </v>
      </c>
      <c r="I3600" s="240"/>
      <c r="J3600" s="241" t="s">
        <v>91</v>
      </c>
      <c r="K3600" s="242">
        <v>3454.0842759066286</v>
      </c>
      <c r="L3600" s="242"/>
    </row>
    <row r="3601" spans="1:13" ht="11.25" customHeight="1" x14ac:dyDescent="0.2">
      <c r="A3601" s="243">
        <v>2023</v>
      </c>
      <c r="B3601" s="243">
        <v>9</v>
      </c>
      <c r="C3601" s="243">
        <v>27</v>
      </c>
      <c r="D3601" s="248">
        <f t="shared" si="398"/>
        <v>45196</v>
      </c>
      <c r="E3601" s="249">
        <f t="shared" si="395"/>
        <v>45196</v>
      </c>
      <c r="F3601" s="477"/>
      <c r="G3601" s="244" t="s">
        <v>86</v>
      </c>
      <c r="H3601" s="244" t="str" cm="1">
        <f t="array" ref="H3601">IFERROR(INDEX(INVESTOR_LIST[INVESTOR NAME],MATCH(I3601,INVESTOR_LIST[INVESTOR CODE],0),)," ")</f>
        <v xml:space="preserve"> </v>
      </c>
      <c r="I3601" s="245"/>
      <c r="J3601" s="246" t="s">
        <v>51</v>
      </c>
      <c r="K3601" s="247"/>
      <c r="L3601" s="247">
        <v>3454.0842759066286</v>
      </c>
    </row>
    <row r="3602" spans="1:13" ht="11.25" customHeight="1" x14ac:dyDescent="0.2">
      <c r="A3602" s="221">
        <v>2023</v>
      </c>
      <c r="B3602" s="221">
        <v>10</v>
      </c>
      <c r="C3602" s="221">
        <v>3</v>
      </c>
      <c r="D3602" s="231">
        <f t="shared" si="398"/>
        <v>45202</v>
      </c>
      <c r="E3602" s="233">
        <f t="shared" si="395"/>
        <v>45202</v>
      </c>
      <c r="F3602" s="478" t="s">
        <v>1309</v>
      </c>
      <c r="G3602" s="222" t="s">
        <v>1111</v>
      </c>
      <c r="H3602" s="223" t="str" cm="1">
        <f t="array" ref="H3602">IFERROR(INDEX(INVESTOR_LIST[INVESTOR NAME],MATCH(I3602,INVESTOR_LIST[INVESTOR CODE],0),)," ")</f>
        <v>MD MIZANUR RAHMAN</v>
      </c>
      <c r="I3602" s="223" t="s">
        <v>431</v>
      </c>
      <c r="J3602" s="224" t="s">
        <v>14</v>
      </c>
      <c r="K3602" s="225">
        <v>145650</v>
      </c>
      <c r="L3602" s="225"/>
    </row>
    <row r="3603" spans="1:13" ht="11.25" customHeight="1" x14ac:dyDescent="0.2">
      <c r="A3603" s="164">
        <v>2023</v>
      </c>
      <c r="B3603" s="164">
        <v>10</v>
      </c>
      <c r="C3603" s="164">
        <v>3</v>
      </c>
      <c r="D3603" s="156">
        <f t="shared" si="398"/>
        <v>45202</v>
      </c>
      <c r="E3603" s="235">
        <f t="shared" si="395"/>
        <v>45202</v>
      </c>
      <c r="F3603" s="480"/>
      <c r="G3603" s="208" t="s">
        <v>1111</v>
      </c>
      <c r="H3603" s="206" t="str" cm="1">
        <f t="array" ref="H3603">IFERROR(INDEX(INVESTOR_LIST[INVESTOR NAME],MATCH(I3603,INVESTOR_LIST[INVESTOR CODE],0),)," ")</f>
        <v>MD MIZANUR RAHMAN</v>
      </c>
      <c r="I3603" s="206" t="s">
        <v>431</v>
      </c>
      <c r="J3603" s="165" t="s">
        <v>1112</v>
      </c>
      <c r="K3603" s="205">
        <v>4350</v>
      </c>
    </row>
    <row r="3604" spans="1:13" ht="11.25" customHeight="1" x14ac:dyDescent="0.2">
      <c r="A3604" s="226">
        <v>2023</v>
      </c>
      <c r="B3604" s="226">
        <v>10</v>
      </c>
      <c r="C3604" s="226">
        <v>3</v>
      </c>
      <c r="D3604" s="232">
        <f t="shared" si="398"/>
        <v>45202</v>
      </c>
      <c r="E3604" s="234">
        <f t="shared" si="395"/>
        <v>45202</v>
      </c>
      <c r="F3604" s="479"/>
      <c r="G3604" s="227" t="s">
        <v>1111</v>
      </c>
      <c r="H3604" s="228" t="str" cm="1">
        <f t="array" ref="H3604">IFERROR(INDEX(INVESTOR_LIST[INVESTOR NAME],MATCH(I3604,INVESTOR_LIST[INVESTOR CODE],0),)," ")</f>
        <v>MD MIZANUR RAHMAN</v>
      </c>
      <c r="I3604" s="228" t="s">
        <v>431</v>
      </c>
      <c r="J3604" s="229" t="s">
        <v>55</v>
      </c>
      <c r="K3604" s="230"/>
      <c r="L3604" s="230">
        <v>150000</v>
      </c>
    </row>
    <row r="3605" spans="1:13" ht="11.25" customHeight="1" x14ac:dyDescent="0.2">
      <c r="A3605" s="221">
        <v>2023</v>
      </c>
      <c r="B3605" s="221">
        <v>10</v>
      </c>
      <c r="C3605" s="221">
        <v>3</v>
      </c>
      <c r="D3605" s="231">
        <f t="shared" si="398"/>
        <v>45202</v>
      </c>
      <c r="E3605" s="233">
        <f t="shared" si="395"/>
        <v>45202</v>
      </c>
      <c r="F3605" s="478" t="s">
        <v>1590</v>
      </c>
      <c r="G3605" s="222" t="s">
        <v>1111</v>
      </c>
      <c r="H3605" s="223" t="str" cm="1">
        <f t="array" ref="H3605">IFERROR(INDEX(INVESTOR_LIST[INVESTOR NAME],MATCH(I3605,INVESTOR_LIST[INVESTOR CODE],0),)," ")</f>
        <v xml:space="preserve"> </v>
      </c>
      <c r="I3605" s="223"/>
      <c r="J3605" s="224" t="s">
        <v>55</v>
      </c>
      <c r="K3605" s="225">
        <v>1888095.3</v>
      </c>
      <c r="L3605" s="225"/>
    </row>
    <row r="3606" spans="1:13" ht="11.25" customHeight="1" x14ac:dyDescent="0.2">
      <c r="A3606" s="226">
        <v>2023</v>
      </c>
      <c r="B3606" s="226">
        <v>10</v>
      </c>
      <c r="C3606" s="226">
        <v>3</v>
      </c>
      <c r="D3606" s="232">
        <f t="shared" si="398"/>
        <v>45202</v>
      </c>
      <c r="E3606" s="234">
        <f t="shared" si="395"/>
        <v>45202</v>
      </c>
      <c r="F3606" s="479"/>
      <c r="G3606" s="227" t="s">
        <v>1111</v>
      </c>
      <c r="H3606" s="228" t="str" cm="1">
        <f t="array" ref="H3606">IFERROR(INDEX(INVESTOR_LIST[INVESTOR NAME],MATCH(I3606,INVESTOR_LIST[INVESTOR CODE],0),)," ")</f>
        <v xml:space="preserve"> </v>
      </c>
      <c r="I3606" s="228"/>
      <c r="J3606" s="229" t="s">
        <v>199</v>
      </c>
      <c r="K3606" s="230"/>
      <c r="L3606" s="230">
        <v>1888095.3</v>
      </c>
      <c r="M3606" s="166"/>
    </row>
    <row r="3607" spans="1:13" ht="11.25" customHeight="1" x14ac:dyDescent="0.2">
      <c r="A3607" s="221">
        <v>2023</v>
      </c>
      <c r="B3607" s="221">
        <v>10</v>
      </c>
      <c r="C3607" s="221">
        <v>4</v>
      </c>
      <c r="D3607" s="231">
        <f t="shared" si="398"/>
        <v>45203</v>
      </c>
      <c r="E3607" s="233">
        <f t="shared" si="395"/>
        <v>45203</v>
      </c>
      <c r="F3607" s="478" t="s">
        <v>1631</v>
      </c>
      <c r="G3607" s="222" t="s">
        <v>1111</v>
      </c>
      <c r="H3607" s="223" t="str" cm="1">
        <f t="array" ref="H3607">IFERROR(INDEX(INVESTOR_LIST[INVESTOR NAME],MATCH(I3607,INVESTOR_LIST[INVESTOR CODE],0),)," ")</f>
        <v xml:space="preserve"> </v>
      </c>
      <c r="I3607" s="223"/>
      <c r="J3607" s="224" t="s">
        <v>55</v>
      </c>
      <c r="K3607" s="225">
        <v>4067125</v>
      </c>
      <c r="L3607" s="225"/>
    </row>
    <row r="3608" spans="1:13" ht="11.25" customHeight="1" x14ac:dyDescent="0.2">
      <c r="A3608" s="226">
        <v>2023</v>
      </c>
      <c r="B3608" s="226">
        <v>10</v>
      </c>
      <c r="C3608" s="226">
        <v>4</v>
      </c>
      <c r="D3608" s="232">
        <f t="shared" si="398"/>
        <v>45203</v>
      </c>
      <c r="E3608" s="234">
        <f t="shared" si="395"/>
        <v>45203</v>
      </c>
      <c r="F3608" s="479"/>
      <c r="G3608" s="227" t="s">
        <v>1111</v>
      </c>
      <c r="H3608" s="228" t="str" cm="1">
        <f t="array" ref="H3608">IFERROR(INDEX(INVESTOR_LIST[INVESTOR NAME],MATCH(I3608,INVESTOR_LIST[INVESTOR CODE],0),)," ")</f>
        <v xml:space="preserve"> </v>
      </c>
      <c r="I3608" s="228"/>
      <c r="J3608" s="229" t="s">
        <v>1457</v>
      </c>
      <c r="K3608" s="230"/>
      <c r="L3608" s="230">
        <v>4067125</v>
      </c>
    </row>
    <row r="3609" spans="1:13" ht="11.25" customHeight="1" x14ac:dyDescent="0.2">
      <c r="A3609" s="221">
        <v>2023</v>
      </c>
      <c r="B3609" s="221">
        <v>10</v>
      </c>
      <c r="C3609" s="221">
        <v>4</v>
      </c>
      <c r="D3609" s="231">
        <f t="shared" si="398"/>
        <v>45203</v>
      </c>
      <c r="E3609" s="233">
        <f t="shared" ref="E3609:E3639" si="399">DATE(A3609,B3609,C3609)</f>
        <v>45203</v>
      </c>
      <c r="F3609" s="478" t="s">
        <v>1604</v>
      </c>
      <c r="G3609" s="222" t="s">
        <v>1111</v>
      </c>
      <c r="H3609" s="223" t="str" cm="1">
        <f t="array" ref="H3609">IFERROR(INDEX(INVESTOR_LIST[INVESTOR NAME],MATCH(I3609,INVESTOR_LIST[INVESTOR CODE],0),)," ")</f>
        <v xml:space="preserve"> </v>
      </c>
      <c r="I3609" s="223"/>
      <c r="J3609" s="224" t="s">
        <v>88</v>
      </c>
      <c r="K3609" s="225">
        <v>4000000</v>
      </c>
      <c r="L3609" s="225"/>
    </row>
    <row r="3610" spans="1:13" ht="11.25" customHeight="1" x14ac:dyDescent="0.2">
      <c r="A3610" s="164">
        <v>2023</v>
      </c>
      <c r="B3610" s="164">
        <v>10</v>
      </c>
      <c r="C3610" s="164">
        <v>4</v>
      </c>
      <c r="D3610" s="156">
        <f t="shared" si="398"/>
        <v>45203</v>
      </c>
      <c r="E3610" s="235">
        <f t="shared" si="399"/>
        <v>45203</v>
      </c>
      <c r="F3610" s="480"/>
      <c r="G3610" s="208" t="s">
        <v>1111</v>
      </c>
      <c r="J3610" s="165" t="s">
        <v>55</v>
      </c>
      <c r="K3610" s="205">
        <v>70125</v>
      </c>
      <c r="L3610" s="205"/>
    </row>
    <row r="3611" spans="1:13" ht="11.25" customHeight="1" x14ac:dyDescent="0.2">
      <c r="A3611" s="164">
        <v>2023</v>
      </c>
      <c r="B3611" s="164">
        <v>10</v>
      </c>
      <c r="C3611" s="164">
        <v>4</v>
      </c>
      <c r="D3611" s="156">
        <f t="shared" si="398"/>
        <v>45203</v>
      </c>
      <c r="E3611" s="235">
        <f t="shared" ref="E3611" si="400">DATE(A3611,B3611,C3611)</f>
        <v>45203</v>
      </c>
      <c r="F3611" s="480"/>
      <c r="G3611" s="208" t="s">
        <v>1111</v>
      </c>
      <c r="J3611" s="165" t="s">
        <v>63</v>
      </c>
      <c r="K3611" s="205">
        <v>12375</v>
      </c>
      <c r="L3611" s="205"/>
    </row>
    <row r="3612" spans="1:13" ht="11.25" customHeight="1" x14ac:dyDescent="0.2">
      <c r="A3612" s="164">
        <v>2023</v>
      </c>
      <c r="B3612" s="164">
        <v>10</v>
      </c>
      <c r="C3612" s="164">
        <v>4</v>
      </c>
      <c r="D3612" s="156">
        <f t="shared" si="398"/>
        <v>45203</v>
      </c>
      <c r="E3612" s="235">
        <f t="shared" si="399"/>
        <v>45203</v>
      </c>
      <c r="F3612" s="480"/>
      <c r="G3612" s="208" t="s">
        <v>1111</v>
      </c>
      <c r="J3612" s="156" t="s">
        <v>131</v>
      </c>
      <c r="K3612" s="205"/>
      <c r="L3612" s="205">
        <v>82500</v>
      </c>
    </row>
    <row r="3613" spans="1:13" ht="11.25" customHeight="1" x14ac:dyDescent="0.2">
      <c r="A3613" s="226">
        <v>2023</v>
      </c>
      <c r="B3613" s="226">
        <v>10</v>
      </c>
      <c r="C3613" s="226">
        <v>4</v>
      </c>
      <c r="D3613" s="232">
        <f t="shared" si="398"/>
        <v>45203</v>
      </c>
      <c r="E3613" s="234">
        <f t="shared" si="399"/>
        <v>45203</v>
      </c>
      <c r="F3613" s="479"/>
      <c r="G3613" s="227" t="s">
        <v>1111</v>
      </c>
      <c r="H3613" s="228" t="str" cm="1">
        <f t="array" ref="H3613">IFERROR(INDEX(INVESTOR_LIST[INVESTOR NAME],MATCH(I3613,INVESTOR_LIST[INVESTOR CODE],0),)," ")</f>
        <v xml:space="preserve"> </v>
      </c>
      <c r="I3613" s="228"/>
      <c r="J3613" s="229" t="s">
        <v>88</v>
      </c>
      <c r="K3613" s="230"/>
      <c r="L3613" s="230">
        <v>4000000</v>
      </c>
    </row>
    <row r="3614" spans="1:13" ht="11.25" customHeight="1" x14ac:dyDescent="0.2">
      <c r="A3614" s="280">
        <v>2023</v>
      </c>
      <c r="B3614" s="280">
        <v>10</v>
      </c>
      <c r="C3614" s="280">
        <v>5</v>
      </c>
      <c r="D3614" s="281">
        <f t="shared" si="398"/>
        <v>45204</v>
      </c>
      <c r="E3614" s="282">
        <f t="shared" si="399"/>
        <v>45204</v>
      </c>
      <c r="F3614" s="472" t="s">
        <v>1369</v>
      </c>
      <c r="G3614" s="283" t="s">
        <v>86</v>
      </c>
      <c r="H3614" s="284" t="str" cm="1">
        <f t="array" ref="H3614">IFERROR(INDEX(INVESTOR_LIST[INVESTOR NAME],MATCH(I3614,INVESTOR_LIST[INVESTOR CODE],0),)," ")</f>
        <v xml:space="preserve"> </v>
      </c>
      <c r="I3614" s="284"/>
      <c r="J3614" s="285" t="s">
        <v>131</v>
      </c>
      <c r="K3614" s="286">
        <v>93916.3</v>
      </c>
      <c r="L3614" s="286"/>
    </row>
    <row r="3615" spans="1:13" ht="11.25" customHeight="1" x14ac:dyDescent="0.2">
      <c r="A3615" s="287">
        <v>2023</v>
      </c>
      <c r="B3615" s="287">
        <v>10</v>
      </c>
      <c r="C3615" s="287">
        <v>5</v>
      </c>
      <c r="D3615" s="288">
        <f t="shared" si="398"/>
        <v>45204</v>
      </c>
      <c r="E3615" s="289">
        <f t="shared" si="399"/>
        <v>45204</v>
      </c>
      <c r="F3615" s="473"/>
      <c r="G3615" s="290" t="s">
        <v>86</v>
      </c>
      <c r="H3615" s="291" t="str" cm="1">
        <f t="array" ref="H3615">IFERROR(INDEX(INVESTOR_LIST[INVESTOR NAME],MATCH(I3615,INVESTOR_LIST[INVESTOR CODE],0),)," ")</f>
        <v xml:space="preserve"> </v>
      </c>
      <c r="I3615" s="291"/>
      <c r="J3615" s="292" t="s">
        <v>174</v>
      </c>
      <c r="K3615" s="293"/>
      <c r="L3615" s="293">
        <v>93916.3</v>
      </c>
    </row>
    <row r="3616" spans="1:13" ht="11.25" customHeight="1" x14ac:dyDescent="0.2">
      <c r="A3616" s="280">
        <v>2023</v>
      </c>
      <c r="B3616" s="280">
        <v>10</v>
      </c>
      <c r="C3616" s="280">
        <v>5</v>
      </c>
      <c r="D3616" s="281">
        <f t="shared" si="398"/>
        <v>45204</v>
      </c>
      <c r="E3616" s="282">
        <f t="shared" si="399"/>
        <v>45204</v>
      </c>
      <c r="F3616" s="472" t="s">
        <v>1295</v>
      </c>
      <c r="G3616" s="283" t="s">
        <v>86</v>
      </c>
      <c r="H3616" s="284" t="str" cm="1">
        <f t="array" ref="H3616">IFERROR(INDEX(INVESTOR_LIST[INVESTOR NAME],MATCH(I3616,INVESTOR_LIST[INVESTOR CODE],0),)," ")</f>
        <v xml:space="preserve"> </v>
      </c>
      <c r="I3616" s="284"/>
      <c r="J3616" s="285" t="s">
        <v>131</v>
      </c>
      <c r="K3616" s="286">
        <v>18342.63</v>
      </c>
      <c r="L3616" s="286"/>
    </row>
    <row r="3617" spans="1:12" ht="11.25" customHeight="1" x14ac:dyDescent="0.2">
      <c r="A3617" s="287">
        <v>2023</v>
      </c>
      <c r="B3617" s="287">
        <v>10</v>
      </c>
      <c r="C3617" s="287">
        <v>5</v>
      </c>
      <c r="D3617" s="288">
        <f t="shared" si="398"/>
        <v>45204</v>
      </c>
      <c r="E3617" s="289">
        <f t="shared" si="399"/>
        <v>45204</v>
      </c>
      <c r="F3617" s="473"/>
      <c r="G3617" s="290" t="s">
        <v>86</v>
      </c>
      <c r="H3617" s="291" t="str" cm="1">
        <f t="array" ref="H3617">IFERROR(INDEX(INVESTOR_LIST[INVESTOR NAME],MATCH(I3617,INVESTOR_LIST[INVESTOR CODE],0),)," ")</f>
        <v xml:space="preserve"> </v>
      </c>
      <c r="I3617" s="291"/>
      <c r="J3617" s="292" t="s">
        <v>174</v>
      </c>
      <c r="K3617" s="293"/>
      <c r="L3617" s="293">
        <v>18342.63</v>
      </c>
    </row>
    <row r="3618" spans="1:12" ht="11.25" customHeight="1" x14ac:dyDescent="0.2">
      <c r="A3618" s="280">
        <v>2023</v>
      </c>
      <c r="B3618" s="280">
        <v>10</v>
      </c>
      <c r="C3618" s="280">
        <v>5</v>
      </c>
      <c r="D3618" s="281">
        <f t="shared" si="398"/>
        <v>45204</v>
      </c>
      <c r="E3618" s="282">
        <f t="shared" si="399"/>
        <v>45204</v>
      </c>
      <c r="F3618" s="472" t="s">
        <v>1294</v>
      </c>
      <c r="G3618" s="283" t="s">
        <v>86</v>
      </c>
      <c r="H3618" s="284" t="str" cm="1">
        <f t="array" ref="H3618">IFERROR(INDEX(INVESTOR_LIST[INVESTOR NAME],MATCH(I3618,INVESTOR_LIST[INVESTOR CODE],0),)," ")</f>
        <v xml:space="preserve"> </v>
      </c>
      <c r="I3618" s="284"/>
      <c r="J3618" s="285" t="s">
        <v>131</v>
      </c>
      <c r="K3618" s="286">
        <v>11666.67</v>
      </c>
      <c r="L3618" s="286"/>
    </row>
    <row r="3619" spans="1:12" ht="11.25" customHeight="1" x14ac:dyDescent="0.2">
      <c r="A3619" s="287">
        <v>2023</v>
      </c>
      <c r="B3619" s="287">
        <v>10</v>
      </c>
      <c r="C3619" s="287">
        <v>5</v>
      </c>
      <c r="D3619" s="288">
        <f t="shared" si="398"/>
        <v>45204</v>
      </c>
      <c r="E3619" s="289">
        <f t="shared" si="399"/>
        <v>45204</v>
      </c>
      <c r="F3619" s="473"/>
      <c r="G3619" s="290" t="s">
        <v>86</v>
      </c>
      <c r="H3619" s="291" t="str" cm="1">
        <f t="array" ref="H3619">IFERROR(INDEX(INVESTOR_LIST[INVESTOR NAME],MATCH(I3619,INVESTOR_LIST[INVESTOR CODE],0),)," ")</f>
        <v xml:space="preserve"> </v>
      </c>
      <c r="I3619" s="291"/>
      <c r="J3619" s="292" t="s">
        <v>174</v>
      </c>
      <c r="K3619" s="293"/>
      <c r="L3619" s="293">
        <v>11666.67</v>
      </c>
    </row>
    <row r="3620" spans="1:12" ht="11.25" customHeight="1" x14ac:dyDescent="0.2">
      <c r="A3620" s="280">
        <v>2023</v>
      </c>
      <c r="B3620" s="280">
        <v>10</v>
      </c>
      <c r="C3620" s="280">
        <v>5</v>
      </c>
      <c r="D3620" s="281">
        <f t="shared" si="398"/>
        <v>45204</v>
      </c>
      <c r="E3620" s="282">
        <f t="shared" si="399"/>
        <v>45204</v>
      </c>
      <c r="F3620" s="472" t="s">
        <v>1584</v>
      </c>
      <c r="G3620" s="283" t="s">
        <v>86</v>
      </c>
      <c r="H3620" s="284" t="str" cm="1">
        <f t="array" ref="H3620">IFERROR(INDEX(INVESTOR_LIST[INVESTOR NAME],MATCH(I3620,INVESTOR_LIST[INVESTOR CODE],0),)," ")</f>
        <v xml:space="preserve"> </v>
      </c>
      <c r="I3620" s="284"/>
      <c r="J3620" s="285" t="s">
        <v>131</v>
      </c>
      <c r="K3620" s="286">
        <v>6346.1538461538457</v>
      </c>
      <c r="L3620" s="286"/>
    </row>
    <row r="3621" spans="1:12" ht="11.25" customHeight="1" x14ac:dyDescent="0.2">
      <c r="A3621" s="287">
        <v>2023</v>
      </c>
      <c r="B3621" s="287">
        <v>10</v>
      </c>
      <c r="C3621" s="287">
        <v>5</v>
      </c>
      <c r="D3621" s="288">
        <f t="shared" si="398"/>
        <v>45204</v>
      </c>
      <c r="E3621" s="289">
        <f t="shared" si="399"/>
        <v>45204</v>
      </c>
      <c r="F3621" s="473"/>
      <c r="G3621" s="290" t="s">
        <v>86</v>
      </c>
      <c r="H3621" s="291" t="str" cm="1">
        <f t="array" ref="H3621">IFERROR(INDEX(INVESTOR_LIST[INVESTOR NAME],MATCH(I3621,INVESTOR_LIST[INVESTOR CODE],0),)," ")</f>
        <v xml:space="preserve"> </v>
      </c>
      <c r="I3621" s="291"/>
      <c r="J3621" s="292" t="s">
        <v>174</v>
      </c>
      <c r="K3621" s="293"/>
      <c r="L3621" s="293">
        <v>6346.1538461538457</v>
      </c>
    </row>
    <row r="3622" spans="1:12" ht="11.25" customHeight="1" x14ac:dyDescent="0.2">
      <c r="A3622" s="236">
        <v>2023</v>
      </c>
      <c r="B3622" s="236">
        <v>10</v>
      </c>
      <c r="C3622" s="236">
        <v>5</v>
      </c>
      <c r="D3622" s="237">
        <f t="shared" si="398"/>
        <v>45204</v>
      </c>
      <c r="E3622" s="238">
        <f t="shared" si="399"/>
        <v>45204</v>
      </c>
      <c r="F3622" s="476" t="s">
        <v>1118</v>
      </c>
      <c r="G3622" s="239" t="s">
        <v>86</v>
      </c>
      <c r="H3622" s="239" t="str" cm="1">
        <f t="array" ref="H3622">IFERROR(INDEX(INVESTOR_LIST[INVESTOR NAME],MATCH(I3622,INVESTOR_LIST[INVESTOR CODE],0),)," ")</f>
        <v xml:space="preserve"> </v>
      </c>
      <c r="I3622" s="240"/>
      <c r="J3622" s="241" t="s">
        <v>98</v>
      </c>
      <c r="K3622" s="242">
        <v>198900</v>
      </c>
      <c r="L3622" s="242"/>
    </row>
    <row r="3623" spans="1:12" ht="11.25" customHeight="1" x14ac:dyDescent="0.2">
      <c r="A3623" s="243">
        <v>2023</v>
      </c>
      <c r="B3623" s="243">
        <v>10</v>
      </c>
      <c r="C3623" s="243">
        <v>5</v>
      </c>
      <c r="D3623" s="248">
        <f t="shared" si="398"/>
        <v>45204</v>
      </c>
      <c r="E3623" s="249">
        <f t="shared" si="399"/>
        <v>45204</v>
      </c>
      <c r="F3623" s="477"/>
      <c r="G3623" s="244" t="s">
        <v>86</v>
      </c>
      <c r="H3623" s="244" t="str" cm="1">
        <f t="array" ref="H3623">IFERROR(INDEX(INVESTOR_LIST[INVESTOR NAME],MATCH(I3623,INVESTOR_LIST[INVESTOR CODE],0),)," ")</f>
        <v xml:space="preserve"> </v>
      </c>
      <c r="I3623" s="245"/>
      <c r="J3623" s="246" t="s">
        <v>82</v>
      </c>
      <c r="K3623" s="247"/>
      <c r="L3623" s="247">
        <v>198900</v>
      </c>
    </row>
    <row r="3624" spans="1:12" ht="11.25" customHeight="1" x14ac:dyDescent="0.2">
      <c r="A3624" s="236">
        <v>2023</v>
      </c>
      <c r="B3624" s="236">
        <v>10</v>
      </c>
      <c r="C3624" s="236">
        <v>5</v>
      </c>
      <c r="D3624" s="237">
        <f t="shared" si="398"/>
        <v>45204</v>
      </c>
      <c r="E3624" s="238">
        <f t="shared" si="399"/>
        <v>45204</v>
      </c>
      <c r="F3624" s="476" t="s">
        <v>1120</v>
      </c>
      <c r="G3624" s="239" t="s">
        <v>86</v>
      </c>
      <c r="H3624" s="239" t="str" cm="1">
        <f t="array" ref="H3624">IFERROR(INDEX(INVESTOR_LIST[INVESTOR NAME],MATCH(I3624,INVESTOR_LIST[INVESTOR CODE],0),)," ")</f>
        <v xml:space="preserve"> </v>
      </c>
      <c r="I3624" s="240"/>
      <c r="J3624" s="241" t="s">
        <v>87</v>
      </c>
      <c r="K3624" s="242">
        <v>2747.2527472527472</v>
      </c>
      <c r="L3624" s="242"/>
    </row>
    <row r="3625" spans="1:12" ht="11.25" customHeight="1" x14ac:dyDescent="0.2">
      <c r="A3625" s="243">
        <v>2023</v>
      </c>
      <c r="B3625" s="243">
        <v>10</v>
      </c>
      <c r="C3625" s="243">
        <v>5</v>
      </c>
      <c r="D3625" s="248">
        <f t="shared" si="398"/>
        <v>45204</v>
      </c>
      <c r="E3625" s="249">
        <f t="shared" si="399"/>
        <v>45204</v>
      </c>
      <c r="F3625" s="477"/>
      <c r="G3625" s="244" t="s">
        <v>86</v>
      </c>
      <c r="H3625" s="244" t="str" cm="1">
        <f t="array" ref="H3625">IFERROR(INDEX(INVESTOR_LIST[INVESTOR NAME],MATCH(I3625,INVESTOR_LIST[INVESTOR CODE],0),)," ")</f>
        <v xml:space="preserve"> </v>
      </c>
      <c r="I3625" s="245"/>
      <c r="J3625" s="246" t="s">
        <v>64</v>
      </c>
      <c r="K3625" s="247"/>
      <c r="L3625" s="247">
        <v>2747.2527472527472</v>
      </c>
    </row>
    <row r="3626" spans="1:12" ht="11.25" customHeight="1" x14ac:dyDescent="0.2">
      <c r="A3626" s="236">
        <v>2023</v>
      </c>
      <c r="B3626" s="236">
        <v>10</v>
      </c>
      <c r="C3626" s="236">
        <v>5</v>
      </c>
      <c r="D3626" s="237">
        <f t="shared" si="398"/>
        <v>45204</v>
      </c>
      <c r="E3626" s="238">
        <f t="shared" si="399"/>
        <v>45204</v>
      </c>
      <c r="F3626" s="476" t="s">
        <v>1121</v>
      </c>
      <c r="G3626" s="239" t="s">
        <v>86</v>
      </c>
      <c r="H3626" s="239" t="str" cm="1">
        <f t="array" ref="H3626">IFERROR(INDEX(INVESTOR_LIST[INVESTOR NAME],MATCH(I3626,INVESTOR_LIST[INVESTOR CODE],0),)," ")</f>
        <v xml:space="preserve"> </v>
      </c>
      <c r="I3626" s="240"/>
      <c r="J3626" s="241" t="s">
        <v>89</v>
      </c>
      <c r="K3626" s="242">
        <v>69106.210030172893</v>
      </c>
      <c r="L3626" s="242"/>
    </row>
    <row r="3627" spans="1:12" ht="11.25" customHeight="1" x14ac:dyDescent="0.2">
      <c r="A3627" s="243">
        <v>2023</v>
      </c>
      <c r="B3627" s="243">
        <v>10</v>
      </c>
      <c r="C3627" s="243">
        <v>5</v>
      </c>
      <c r="D3627" s="248">
        <f t="shared" si="398"/>
        <v>45204</v>
      </c>
      <c r="E3627" s="249">
        <f t="shared" si="399"/>
        <v>45204</v>
      </c>
      <c r="F3627" s="477"/>
      <c r="G3627" s="244" t="s">
        <v>86</v>
      </c>
      <c r="H3627" s="244" t="str" cm="1">
        <f t="array" ref="H3627">IFERROR(INDEX(INVESTOR_LIST[INVESTOR NAME],MATCH(I3627,INVESTOR_LIST[INVESTOR CODE],0),)," ")</f>
        <v xml:space="preserve"> </v>
      </c>
      <c r="I3627" s="245"/>
      <c r="J3627" s="246" t="s">
        <v>50</v>
      </c>
      <c r="K3627" s="247"/>
      <c r="L3627" s="247">
        <v>69106.210030172893</v>
      </c>
    </row>
    <row r="3628" spans="1:12" ht="11.25" customHeight="1" x14ac:dyDescent="0.2">
      <c r="A3628" s="236">
        <v>2023</v>
      </c>
      <c r="B3628" s="236">
        <v>10</v>
      </c>
      <c r="C3628" s="236">
        <v>5</v>
      </c>
      <c r="D3628" s="237">
        <f t="shared" si="398"/>
        <v>45204</v>
      </c>
      <c r="E3628" s="238">
        <f t="shared" si="399"/>
        <v>45204</v>
      </c>
      <c r="F3628" s="476" t="s">
        <v>1122</v>
      </c>
      <c r="G3628" s="239" t="s">
        <v>86</v>
      </c>
      <c r="H3628" s="239" t="str" cm="1">
        <f t="array" ref="H3628">IFERROR(INDEX(INVESTOR_LIST[INVESTOR NAME],MATCH(I3628,INVESTOR_LIST[INVESTOR CODE],0),)," ")</f>
        <v xml:space="preserve"> </v>
      </c>
      <c r="I3628" s="240"/>
      <c r="J3628" s="241" t="s">
        <v>91</v>
      </c>
      <c r="K3628" s="242">
        <v>3455.3105015086448</v>
      </c>
      <c r="L3628" s="242"/>
    </row>
    <row r="3629" spans="1:12" ht="11.25" customHeight="1" x14ac:dyDescent="0.2">
      <c r="A3629" s="243">
        <v>2023</v>
      </c>
      <c r="B3629" s="243">
        <v>10</v>
      </c>
      <c r="C3629" s="243">
        <v>5</v>
      </c>
      <c r="D3629" s="248">
        <f t="shared" si="398"/>
        <v>45204</v>
      </c>
      <c r="E3629" s="249">
        <f t="shared" si="399"/>
        <v>45204</v>
      </c>
      <c r="F3629" s="477"/>
      <c r="G3629" s="244" t="s">
        <v>86</v>
      </c>
      <c r="H3629" s="244" t="str" cm="1">
        <f t="array" ref="H3629">IFERROR(INDEX(INVESTOR_LIST[INVESTOR NAME],MATCH(I3629,INVESTOR_LIST[INVESTOR CODE],0),)," ")</f>
        <v xml:space="preserve"> </v>
      </c>
      <c r="I3629" s="245"/>
      <c r="J3629" s="246" t="s">
        <v>51</v>
      </c>
      <c r="K3629" s="247"/>
      <c r="L3629" s="247">
        <v>3455.3105015086448</v>
      </c>
    </row>
    <row r="3630" spans="1:12" ht="11.25" customHeight="1" x14ac:dyDescent="0.2">
      <c r="A3630" s="221">
        <v>2023</v>
      </c>
      <c r="B3630" s="221">
        <v>10</v>
      </c>
      <c r="C3630" s="221">
        <v>8</v>
      </c>
      <c r="D3630" s="231">
        <f t="shared" si="398"/>
        <v>45207</v>
      </c>
      <c r="E3630" s="233">
        <f t="shared" si="399"/>
        <v>45207</v>
      </c>
      <c r="F3630" s="478" t="s">
        <v>1605</v>
      </c>
      <c r="G3630" s="222" t="s">
        <v>1111</v>
      </c>
      <c r="H3630" s="223" t="str" cm="1">
        <f t="array" ref="H3630">IFERROR(INDEX(INVESTOR_LIST[INVESTOR NAME],MATCH(I3630,INVESTOR_LIST[INVESTOR CODE],0),)," ")</f>
        <v>TANVIR AHMED SIDDIQUI</v>
      </c>
      <c r="I3630" s="223" t="s">
        <v>349</v>
      </c>
      <c r="J3630" s="224" t="s">
        <v>55</v>
      </c>
      <c r="K3630" s="167">
        <v>50000</v>
      </c>
      <c r="L3630" s="225"/>
    </row>
    <row r="3631" spans="1:12" ht="11.25" customHeight="1" x14ac:dyDescent="0.2">
      <c r="A3631" s="164">
        <v>2023</v>
      </c>
      <c r="B3631" s="164">
        <v>10</v>
      </c>
      <c r="C3631" s="164">
        <v>8</v>
      </c>
      <c r="D3631" s="156">
        <f t="shared" si="398"/>
        <v>45207</v>
      </c>
      <c r="E3631" s="235">
        <f t="shared" si="399"/>
        <v>45207</v>
      </c>
      <c r="F3631" s="480"/>
      <c r="G3631" s="208" t="s">
        <v>1111</v>
      </c>
      <c r="H3631" s="206" t="str" cm="1">
        <f t="array" ref="H3631">IFERROR(INDEX(INVESTOR_LIST[INVESTOR NAME],MATCH(I3631,INVESTOR_LIST[INVESTOR CODE],0),)," ")</f>
        <v>TANVIR AHMED SIDDIQUI</v>
      </c>
      <c r="I3631" s="206" t="s">
        <v>349</v>
      </c>
      <c r="J3631" s="165" t="s">
        <v>14</v>
      </c>
      <c r="L3631" s="205">
        <v>48490</v>
      </c>
    </row>
    <row r="3632" spans="1:12" ht="11.25" customHeight="1" x14ac:dyDescent="0.2">
      <c r="A3632" s="226">
        <v>2023</v>
      </c>
      <c r="B3632" s="226">
        <v>10</v>
      </c>
      <c r="C3632" s="226">
        <v>8</v>
      </c>
      <c r="D3632" s="232">
        <f t="shared" si="398"/>
        <v>45207</v>
      </c>
      <c r="E3632" s="234">
        <f t="shared" si="399"/>
        <v>45207</v>
      </c>
      <c r="F3632" s="479"/>
      <c r="G3632" s="227" t="s">
        <v>1111</v>
      </c>
      <c r="H3632" s="228" t="str" cm="1">
        <f t="array" ref="H3632">IFERROR(INDEX(INVESTOR_LIST[INVESTOR NAME],MATCH(I3632,INVESTOR_LIST[INVESTOR CODE],0),)," ")</f>
        <v>TANVIR AHMED SIDDIQUI</v>
      </c>
      <c r="I3632" s="228" t="s">
        <v>349</v>
      </c>
      <c r="J3632" s="229" t="s">
        <v>1112</v>
      </c>
      <c r="K3632" s="230"/>
      <c r="L3632" s="230">
        <v>1510</v>
      </c>
    </row>
    <row r="3633" spans="1:12" ht="11.25" customHeight="1" x14ac:dyDescent="0.2">
      <c r="A3633" s="221">
        <v>2023</v>
      </c>
      <c r="B3633" s="221">
        <v>10</v>
      </c>
      <c r="C3633" s="221">
        <v>8</v>
      </c>
      <c r="D3633" s="231">
        <f t="shared" si="398"/>
        <v>45207</v>
      </c>
      <c r="E3633" s="233">
        <f t="shared" si="399"/>
        <v>45207</v>
      </c>
      <c r="F3633" s="478" t="s">
        <v>1114</v>
      </c>
      <c r="G3633" s="222" t="s">
        <v>1111</v>
      </c>
      <c r="H3633" s="223" t="str" cm="1">
        <f t="array" ref="H3633">IFERROR(INDEX(INVESTOR_LIST[INVESTOR NAME],MATCH(I3633,INVESTOR_LIST[INVESTOR CODE],0),)," ")</f>
        <v xml:space="preserve"> </v>
      </c>
      <c r="I3633" s="223"/>
      <c r="J3633" s="224" t="s">
        <v>63</v>
      </c>
      <c r="K3633" s="225">
        <v>10</v>
      </c>
      <c r="L3633" s="225"/>
    </row>
    <row r="3634" spans="1:12" ht="11.25" customHeight="1" x14ac:dyDescent="0.2">
      <c r="A3634" s="226">
        <v>2023</v>
      </c>
      <c r="B3634" s="226">
        <v>10</v>
      </c>
      <c r="C3634" s="226">
        <v>8</v>
      </c>
      <c r="D3634" s="232">
        <f t="shared" si="398"/>
        <v>45207</v>
      </c>
      <c r="E3634" s="234">
        <f t="shared" si="399"/>
        <v>45207</v>
      </c>
      <c r="F3634" s="479"/>
      <c r="G3634" s="227" t="s">
        <v>1111</v>
      </c>
      <c r="H3634" s="228" t="str" cm="1">
        <f t="array" ref="H3634">IFERROR(INDEX(INVESTOR_LIST[INVESTOR NAME],MATCH(I3634,INVESTOR_LIST[INVESTOR CODE],0),)," ")</f>
        <v xml:space="preserve"> </v>
      </c>
      <c r="I3634" s="228"/>
      <c r="J3634" s="229" t="s">
        <v>55</v>
      </c>
      <c r="K3634" s="230"/>
      <c r="L3634" s="230">
        <v>10</v>
      </c>
    </row>
    <row r="3635" spans="1:12" ht="11.25" customHeight="1" x14ac:dyDescent="0.2">
      <c r="A3635" s="221">
        <v>2023</v>
      </c>
      <c r="B3635" s="221">
        <v>10</v>
      </c>
      <c r="C3635" s="221">
        <v>10</v>
      </c>
      <c r="D3635" s="231">
        <f t="shared" si="398"/>
        <v>45209</v>
      </c>
      <c r="E3635" s="233">
        <f>DATE(A3635,B3635,C3635)</f>
        <v>45209</v>
      </c>
      <c r="F3635" s="478" t="s">
        <v>1606</v>
      </c>
      <c r="G3635" s="222" t="s">
        <v>86</v>
      </c>
      <c r="H3635" s="222" t="str" cm="1">
        <f t="array" ref="H3635">IFERROR(INDEX(INVESTOR_LIST[INVESTOR NAME],MATCH(I3635,INVESTOR_LIST[INVESTOR CODE],0),)," ")</f>
        <v xml:space="preserve"> </v>
      </c>
      <c r="I3635" s="223"/>
      <c r="J3635" s="224" t="s">
        <v>1465</v>
      </c>
      <c r="K3635" s="357">
        <v>955100</v>
      </c>
      <c r="L3635" s="225"/>
    </row>
    <row r="3636" spans="1:12" ht="11.25" customHeight="1" x14ac:dyDescent="0.2">
      <c r="A3636" s="226">
        <v>2023</v>
      </c>
      <c r="B3636" s="226">
        <v>10</v>
      </c>
      <c r="C3636" s="226">
        <v>10</v>
      </c>
      <c r="D3636" s="226">
        <f t="shared" si="398"/>
        <v>45209</v>
      </c>
      <c r="E3636" s="234">
        <f>DATE(A3636,B3636,C3636)</f>
        <v>45209</v>
      </c>
      <c r="F3636" s="479"/>
      <c r="G3636" s="227" t="s">
        <v>86</v>
      </c>
      <c r="H3636" s="227"/>
      <c r="I3636" s="228"/>
      <c r="J3636" s="229" t="s">
        <v>55</v>
      </c>
      <c r="K3636" s="294"/>
      <c r="L3636" s="230">
        <v>955100</v>
      </c>
    </row>
    <row r="3637" spans="1:12" ht="11.25" customHeight="1" x14ac:dyDescent="0.2">
      <c r="A3637" s="221">
        <v>2023</v>
      </c>
      <c r="B3637" s="221">
        <v>10</v>
      </c>
      <c r="C3637" s="221">
        <v>12</v>
      </c>
      <c r="D3637" s="231">
        <f t="shared" si="398"/>
        <v>45211</v>
      </c>
      <c r="E3637" s="233">
        <f t="shared" si="399"/>
        <v>45211</v>
      </c>
      <c r="F3637" s="478" t="s">
        <v>1115</v>
      </c>
      <c r="G3637" s="222" t="s">
        <v>1111</v>
      </c>
      <c r="H3637" s="223" t="str" cm="1">
        <f t="array" ref="H3637">IFERROR(INDEX(INVESTOR_LIST[INVESTOR NAME],MATCH(I3637,INVESTOR_LIST[INVESTOR CODE],0),)," ")</f>
        <v>ANJANA SAHA</v>
      </c>
      <c r="I3637" s="223" t="s">
        <v>331</v>
      </c>
      <c r="J3637" s="224" t="s">
        <v>14</v>
      </c>
      <c r="K3637" s="225">
        <v>1500000</v>
      </c>
      <c r="L3637" s="225"/>
    </row>
    <row r="3638" spans="1:12" ht="11.25" customHeight="1" x14ac:dyDescent="0.2">
      <c r="A3638" s="164">
        <v>2023</v>
      </c>
      <c r="B3638" s="164">
        <v>10</v>
      </c>
      <c r="C3638" s="164">
        <v>12</v>
      </c>
      <c r="D3638" s="156">
        <f t="shared" si="398"/>
        <v>45211</v>
      </c>
      <c r="E3638" s="235">
        <f t="shared" si="399"/>
        <v>45211</v>
      </c>
      <c r="F3638" s="480"/>
      <c r="G3638" s="208" t="s">
        <v>1111</v>
      </c>
      <c r="H3638" s="206" t="str" cm="1">
        <f t="array" ref="H3638">IFERROR(INDEX(INVESTOR_LIST[INVESTOR NAME],MATCH(I3638,INVESTOR_LIST[INVESTOR CODE],0),)," ")</f>
        <v>ANJANA SAHA</v>
      </c>
      <c r="I3638" s="206" t="s">
        <v>331</v>
      </c>
      <c r="J3638" s="165" t="s">
        <v>1112</v>
      </c>
      <c r="K3638" s="205">
        <v>46535</v>
      </c>
    </row>
    <row r="3639" spans="1:12" ht="11.25" customHeight="1" x14ac:dyDescent="0.2">
      <c r="A3639" s="226">
        <v>2023</v>
      </c>
      <c r="B3639" s="226">
        <v>10</v>
      </c>
      <c r="C3639" s="226">
        <v>12</v>
      </c>
      <c r="D3639" s="232">
        <f t="shared" si="398"/>
        <v>45211</v>
      </c>
      <c r="E3639" s="234">
        <f t="shared" si="399"/>
        <v>45211</v>
      </c>
      <c r="F3639" s="479"/>
      <c r="G3639" s="227" t="s">
        <v>1111</v>
      </c>
      <c r="H3639" s="228" t="str" cm="1">
        <f t="array" ref="H3639">IFERROR(INDEX(INVESTOR_LIST[INVESTOR NAME],MATCH(I3639,INVESTOR_LIST[INVESTOR CODE],0),)," ")</f>
        <v>ANJANA SAHA</v>
      </c>
      <c r="I3639" s="228" t="s">
        <v>331</v>
      </c>
      <c r="J3639" s="229" t="s">
        <v>55</v>
      </c>
      <c r="K3639" s="230"/>
      <c r="L3639" s="230">
        <v>1546535</v>
      </c>
    </row>
    <row r="3640" spans="1:12" ht="11.25" customHeight="1" x14ac:dyDescent="0.2">
      <c r="A3640" s="221">
        <v>2023</v>
      </c>
      <c r="B3640" s="221">
        <v>10</v>
      </c>
      <c r="C3640" s="221">
        <v>12</v>
      </c>
      <c r="D3640" s="231">
        <f t="shared" si="398"/>
        <v>45211</v>
      </c>
      <c r="E3640" s="233">
        <f t="shared" ref="E3640:E3661" si="401">DATE(A3640,B3640,C3640)</f>
        <v>45211</v>
      </c>
      <c r="F3640" s="478" t="s">
        <v>1114</v>
      </c>
      <c r="G3640" s="222" t="s">
        <v>1111</v>
      </c>
      <c r="H3640" s="223" t="str" cm="1">
        <f t="array" ref="H3640">IFERROR(INDEX(INVESTOR_LIST[INVESTOR NAME],MATCH(I3640,INVESTOR_LIST[INVESTOR CODE],0),)," ")</f>
        <v xml:space="preserve"> </v>
      </c>
      <c r="I3640" s="223"/>
      <c r="J3640" s="224" t="s">
        <v>63</v>
      </c>
      <c r="K3640" s="225">
        <v>100</v>
      </c>
      <c r="L3640" s="225"/>
    </row>
    <row r="3641" spans="1:12" ht="11.25" customHeight="1" x14ac:dyDescent="0.2">
      <c r="A3641" s="226">
        <v>2023</v>
      </c>
      <c r="B3641" s="226">
        <v>10</v>
      </c>
      <c r="C3641" s="226">
        <v>12</v>
      </c>
      <c r="D3641" s="232">
        <f t="shared" si="398"/>
        <v>45211</v>
      </c>
      <c r="E3641" s="234">
        <f t="shared" si="401"/>
        <v>45211</v>
      </c>
      <c r="F3641" s="479"/>
      <c r="G3641" s="227" t="s">
        <v>1111</v>
      </c>
      <c r="H3641" s="228" t="str" cm="1">
        <f t="array" ref="H3641">IFERROR(INDEX(INVESTOR_LIST[INVESTOR NAME],MATCH(I3641,INVESTOR_LIST[INVESTOR CODE],0),)," ")</f>
        <v xml:space="preserve"> </v>
      </c>
      <c r="I3641" s="228"/>
      <c r="J3641" s="229" t="s">
        <v>55</v>
      </c>
      <c r="K3641" s="230"/>
      <c r="L3641" s="230">
        <v>100</v>
      </c>
    </row>
    <row r="3642" spans="1:12" ht="11.25" customHeight="1" x14ac:dyDescent="0.2">
      <c r="A3642" s="280">
        <v>2023</v>
      </c>
      <c r="B3642" s="280">
        <v>10</v>
      </c>
      <c r="C3642" s="280">
        <v>12</v>
      </c>
      <c r="D3642" s="281">
        <f t="shared" si="398"/>
        <v>45211</v>
      </c>
      <c r="E3642" s="282">
        <f t="shared" si="401"/>
        <v>45211</v>
      </c>
      <c r="F3642" s="472" t="s">
        <v>1369</v>
      </c>
      <c r="G3642" s="283" t="s">
        <v>86</v>
      </c>
      <c r="H3642" s="284" t="str" cm="1">
        <f t="array" ref="H3642">IFERROR(INDEX(INVESTOR_LIST[INVESTOR NAME],MATCH(I3642,INVESTOR_LIST[INVESTOR CODE],0),)," ")</f>
        <v xml:space="preserve"> </v>
      </c>
      <c r="I3642" s="284"/>
      <c r="J3642" s="285" t="s">
        <v>131</v>
      </c>
      <c r="K3642" s="286">
        <v>93916.3</v>
      </c>
      <c r="L3642" s="286"/>
    </row>
    <row r="3643" spans="1:12" ht="11.25" customHeight="1" x14ac:dyDescent="0.2">
      <c r="A3643" s="287">
        <v>2023</v>
      </c>
      <c r="B3643" s="287">
        <v>10</v>
      </c>
      <c r="C3643" s="287">
        <v>12</v>
      </c>
      <c r="D3643" s="288">
        <f t="shared" si="398"/>
        <v>45211</v>
      </c>
      <c r="E3643" s="289">
        <f t="shared" si="401"/>
        <v>45211</v>
      </c>
      <c r="F3643" s="473"/>
      <c r="G3643" s="290" t="s">
        <v>86</v>
      </c>
      <c r="H3643" s="291" t="str" cm="1">
        <f t="array" ref="H3643">IFERROR(INDEX(INVESTOR_LIST[INVESTOR NAME],MATCH(I3643,INVESTOR_LIST[INVESTOR CODE],0),)," ")</f>
        <v xml:space="preserve"> </v>
      </c>
      <c r="I3643" s="291"/>
      <c r="J3643" s="292" t="s">
        <v>174</v>
      </c>
      <c r="K3643" s="293"/>
      <c r="L3643" s="293">
        <v>93916.3</v>
      </c>
    </row>
    <row r="3644" spans="1:12" ht="11.25" customHeight="1" x14ac:dyDescent="0.2">
      <c r="A3644" s="280">
        <v>2023</v>
      </c>
      <c r="B3644" s="280">
        <v>10</v>
      </c>
      <c r="C3644" s="280">
        <v>12</v>
      </c>
      <c r="D3644" s="281">
        <f t="shared" si="398"/>
        <v>45211</v>
      </c>
      <c r="E3644" s="282">
        <f t="shared" si="401"/>
        <v>45211</v>
      </c>
      <c r="F3644" s="472" t="s">
        <v>1295</v>
      </c>
      <c r="G3644" s="283" t="s">
        <v>86</v>
      </c>
      <c r="H3644" s="284" t="str" cm="1">
        <f t="array" ref="H3644">IFERROR(INDEX(INVESTOR_LIST[INVESTOR NAME],MATCH(I3644,INVESTOR_LIST[INVESTOR CODE],0),)," ")</f>
        <v xml:space="preserve"> </v>
      </c>
      <c r="I3644" s="284"/>
      <c r="J3644" s="285" t="s">
        <v>131</v>
      </c>
      <c r="K3644" s="286">
        <v>18342.63</v>
      </c>
      <c r="L3644" s="286"/>
    </row>
    <row r="3645" spans="1:12" ht="11.25" customHeight="1" x14ac:dyDescent="0.2">
      <c r="A3645" s="287">
        <v>2023</v>
      </c>
      <c r="B3645" s="287">
        <v>10</v>
      </c>
      <c r="C3645" s="287">
        <v>12</v>
      </c>
      <c r="D3645" s="288">
        <f t="shared" si="398"/>
        <v>45211</v>
      </c>
      <c r="E3645" s="289">
        <f t="shared" si="401"/>
        <v>45211</v>
      </c>
      <c r="F3645" s="473"/>
      <c r="G3645" s="290" t="s">
        <v>86</v>
      </c>
      <c r="H3645" s="291" t="str" cm="1">
        <f t="array" ref="H3645">IFERROR(INDEX(INVESTOR_LIST[INVESTOR NAME],MATCH(I3645,INVESTOR_LIST[INVESTOR CODE],0),)," ")</f>
        <v xml:space="preserve"> </v>
      </c>
      <c r="I3645" s="291"/>
      <c r="J3645" s="292" t="s">
        <v>174</v>
      </c>
      <c r="K3645" s="293"/>
      <c r="L3645" s="293">
        <v>18342.63</v>
      </c>
    </row>
    <row r="3646" spans="1:12" ht="11.25" customHeight="1" x14ac:dyDescent="0.2">
      <c r="A3646" s="280">
        <v>2023</v>
      </c>
      <c r="B3646" s="280">
        <v>10</v>
      </c>
      <c r="C3646" s="280">
        <v>12</v>
      </c>
      <c r="D3646" s="281">
        <f t="shared" si="398"/>
        <v>45211</v>
      </c>
      <c r="E3646" s="282">
        <f t="shared" si="401"/>
        <v>45211</v>
      </c>
      <c r="F3646" s="472" t="s">
        <v>1294</v>
      </c>
      <c r="G3646" s="283" t="s">
        <v>86</v>
      </c>
      <c r="H3646" s="284" t="str" cm="1">
        <f t="array" ref="H3646">IFERROR(INDEX(INVESTOR_LIST[INVESTOR NAME],MATCH(I3646,INVESTOR_LIST[INVESTOR CODE],0),)," ")</f>
        <v xml:space="preserve"> </v>
      </c>
      <c r="I3646" s="284"/>
      <c r="J3646" s="285" t="s">
        <v>131</v>
      </c>
      <c r="K3646" s="286">
        <v>3333.3333333333139</v>
      </c>
      <c r="L3646" s="286"/>
    </row>
    <row r="3647" spans="1:12" ht="11.25" customHeight="1" x14ac:dyDescent="0.2">
      <c r="A3647" s="287">
        <v>2023</v>
      </c>
      <c r="B3647" s="287">
        <v>10</v>
      </c>
      <c r="C3647" s="287">
        <v>12</v>
      </c>
      <c r="D3647" s="288">
        <f t="shared" si="398"/>
        <v>45211</v>
      </c>
      <c r="E3647" s="289">
        <f t="shared" si="401"/>
        <v>45211</v>
      </c>
      <c r="F3647" s="473"/>
      <c r="G3647" s="290" t="s">
        <v>86</v>
      </c>
      <c r="H3647" s="291" t="str" cm="1">
        <f t="array" ref="H3647">IFERROR(INDEX(INVESTOR_LIST[INVESTOR NAME],MATCH(I3647,INVESTOR_LIST[INVESTOR CODE],0),)," ")</f>
        <v xml:space="preserve"> </v>
      </c>
      <c r="I3647" s="291"/>
      <c r="J3647" s="292" t="s">
        <v>174</v>
      </c>
      <c r="K3647" s="293"/>
      <c r="L3647" s="293">
        <v>3333.3333333333139</v>
      </c>
    </row>
    <row r="3648" spans="1:12" ht="11.25" customHeight="1" x14ac:dyDescent="0.2">
      <c r="A3648" s="280">
        <v>2023</v>
      </c>
      <c r="B3648" s="280">
        <v>10</v>
      </c>
      <c r="C3648" s="280">
        <v>12</v>
      </c>
      <c r="D3648" s="281">
        <f t="shared" si="398"/>
        <v>45211</v>
      </c>
      <c r="E3648" s="282">
        <f t="shared" si="401"/>
        <v>45211</v>
      </c>
      <c r="F3648" s="472" t="s">
        <v>1584</v>
      </c>
      <c r="G3648" s="283" t="s">
        <v>86</v>
      </c>
      <c r="H3648" s="284" t="str" cm="1">
        <f t="array" ref="H3648">IFERROR(INDEX(INVESTOR_LIST[INVESTOR NAME],MATCH(I3648,INVESTOR_LIST[INVESTOR CODE],0),)," ")</f>
        <v xml:space="preserve"> </v>
      </c>
      <c r="I3648" s="284"/>
      <c r="J3648" s="285" t="s">
        <v>131</v>
      </c>
      <c r="K3648" s="286">
        <v>6346.1538461538457</v>
      </c>
      <c r="L3648" s="286"/>
    </row>
    <row r="3649" spans="1:12" ht="11.25" customHeight="1" x14ac:dyDescent="0.2">
      <c r="A3649" s="287">
        <v>2023</v>
      </c>
      <c r="B3649" s="287">
        <v>10</v>
      </c>
      <c r="C3649" s="287">
        <v>12</v>
      </c>
      <c r="D3649" s="288">
        <f t="shared" si="398"/>
        <v>45211</v>
      </c>
      <c r="E3649" s="289">
        <f t="shared" si="401"/>
        <v>45211</v>
      </c>
      <c r="F3649" s="473"/>
      <c r="G3649" s="290" t="s">
        <v>86</v>
      </c>
      <c r="H3649" s="291" t="str" cm="1">
        <f t="array" ref="H3649">IFERROR(INDEX(INVESTOR_LIST[INVESTOR NAME],MATCH(I3649,INVESTOR_LIST[INVESTOR CODE],0),)," ")</f>
        <v xml:space="preserve"> </v>
      </c>
      <c r="I3649" s="291"/>
      <c r="J3649" s="292" t="s">
        <v>174</v>
      </c>
      <c r="K3649" s="293"/>
      <c r="L3649" s="293">
        <v>6346.1538461538457</v>
      </c>
    </row>
    <row r="3650" spans="1:12" ht="11.25" customHeight="1" x14ac:dyDescent="0.2">
      <c r="A3650" s="236">
        <v>2023</v>
      </c>
      <c r="B3650" s="236">
        <v>10</v>
      </c>
      <c r="C3650" s="236">
        <v>12</v>
      </c>
      <c r="D3650" s="237">
        <f t="shared" si="398"/>
        <v>45211</v>
      </c>
      <c r="E3650" s="238">
        <f t="shared" si="401"/>
        <v>45211</v>
      </c>
      <c r="F3650" s="476" t="s">
        <v>1118</v>
      </c>
      <c r="G3650" s="239" t="s">
        <v>86</v>
      </c>
      <c r="H3650" s="239" t="str" cm="1">
        <f t="array" ref="H3650">IFERROR(INDEX(INVESTOR_LIST[INVESTOR NAME],MATCH(I3650,INVESTOR_LIST[INVESTOR CODE],0),)," ")</f>
        <v xml:space="preserve"> </v>
      </c>
      <c r="I3650" s="240"/>
      <c r="J3650" s="241" t="s">
        <v>82</v>
      </c>
      <c r="K3650" s="242">
        <v>113850</v>
      </c>
      <c r="L3650" s="242"/>
    </row>
    <row r="3651" spans="1:12" ht="11.25" customHeight="1" x14ac:dyDescent="0.2">
      <c r="A3651" s="243">
        <v>2023</v>
      </c>
      <c r="B3651" s="243">
        <v>10</v>
      </c>
      <c r="C3651" s="243">
        <v>12</v>
      </c>
      <c r="D3651" s="248">
        <f t="shared" si="398"/>
        <v>45211</v>
      </c>
      <c r="E3651" s="249">
        <f t="shared" si="401"/>
        <v>45211</v>
      </c>
      <c r="F3651" s="477"/>
      <c r="G3651" s="244" t="s">
        <v>86</v>
      </c>
      <c r="H3651" s="244" t="str" cm="1">
        <f t="array" ref="H3651">IFERROR(INDEX(INVESTOR_LIST[INVESTOR NAME],MATCH(I3651,INVESTOR_LIST[INVESTOR CODE],0),)," ")</f>
        <v xml:space="preserve"> </v>
      </c>
      <c r="I3651" s="245"/>
      <c r="J3651" s="246" t="s">
        <v>98</v>
      </c>
      <c r="K3651" s="247"/>
      <c r="L3651" s="247">
        <v>113850</v>
      </c>
    </row>
    <row r="3652" spans="1:12" ht="11.25" customHeight="1" x14ac:dyDescent="0.2">
      <c r="A3652" s="236">
        <v>2023</v>
      </c>
      <c r="B3652" s="236">
        <v>10</v>
      </c>
      <c r="C3652" s="236">
        <v>12</v>
      </c>
      <c r="D3652" s="237">
        <f t="shared" si="398"/>
        <v>45211</v>
      </c>
      <c r="E3652" s="238">
        <f t="shared" si="401"/>
        <v>45211</v>
      </c>
      <c r="F3652" s="476" t="s">
        <v>1120</v>
      </c>
      <c r="G3652" s="239" t="s">
        <v>86</v>
      </c>
      <c r="H3652" s="239" t="str" cm="1">
        <f t="array" ref="H3652">IFERROR(INDEX(INVESTOR_LIST[INVESTOR NAME],MATCH(I3652,INVESTOR_LIST[INVESTOR CODE],0),)," ")</f>
        <v xml:space="preserve"> </v>
      </c>
      <c r="I3652" s="240"/>
      <c r="J3652" s="241" t="s">
        <v>87</v>
      </c>
      <c r="K3652" s="242">
        <v>2747.2527472527472</v>
      </c>
      <c r="L3652" s="242"/>
    </row>
    <row r="3653" spans="1:12" ht="11.25" customHeight="1" x14ac:dyDescent="0.2">
      <c r="A3653" s="243">
        <v>2023</v>
      </c>
      <c r="B3653" s="243">
        <v>10</v>
      </c>
      <c r="C3653" s="243">
        <v>12</v>
      </c>
      <c r="D3653" s="248">
        <f t="shared" si="398"/>
        <v>45211</v>
      </c>
      <c r="E3653" s="249">
        <f t="shared" si="401"/>
        <v>45211</v>
      </c>
      <c r="F3653" s="477"/>
      <c r="G3653" s="244" t="s">
        <v>86</v>
      </c>
      <c r="H3653" s="244" t="str" cm="1">
        <f t="array" ref="H3653">IFERROR(INDEX(INVESTOR_LIST[INVESTOR NAME],MATCH(I3653,INVESTOR_LIST[INVESTOR CODE],0),)," ")</f>
        <v xml:space="preserve"> </v>
      </c>
      <c r="I3653" s="245"/>
      <c r="J3653" s="246" t="s">
        <v>64</v>
      </c>
      <c r="K3653" s="247"/>
      <c r="L3653" s="247">
        <v>2747.2527472527472</v>
      </c>
    </row>
    <row r="3654" spans="1:12" ht="11.25" customHeight="1" x14ac:dyDescent="0.2">
      <c r="A3654" s="236">
        <v>2023</v>
      </c>
      <c r="B3654" s="236">
        <v>10</v>
      </c>
      <c r="C3654" s="236">
        <v>12</v>
      </c>
      <c r="D3654" s="237">
        <f t="shared" si="398"/>
        <v>45211</v>
      </c>
      <c r="E3654" s="238">
        <f t="shared" si="401"/>
        <v>45211</v>
      </c>
      <c r="F3654" s="476" t="s">
        <v>1121</v>
      </c>
      <c r="G3654" s="239" t="s">
        <v>86</v>
      </c>
      <c r="H3654" s="239" t="str" cm="1">
        <f t="array" ref="H3654">IFERROR(INDEX(INVESTOR_LIST[INVESTOR NAME],MATCH(I3654,INVESTOR_LIST[INVESTOR CODE],0),)," ")</f>
        <v xml:space="preserve"> </v>
      </c>
      <c r="I3654" s="240"/>
      <c r="J3654" s="241" t="s">
        <v>89</v>
      </c>
      <c r="K3654" s="242">
        <v>68505.387555933456</v>
      </c>
      <c r="L3654" s="242"/>
    </row>
    <row r="3655" spans="1:12" ht="11.25" customHeight="1" x14ac:dyDescent="0.2">
      <c r="A3655" s="243">
        <v>2023</v>
      </c>
      <c r="B3655" s="243">
        <v>10</v>
      </c>
      <c r="C3655" s="243">
        <v>12</v>
      </c>
      <c r="D3655" s="248">
        <f t="shared" si="398"/>
        <v>45211</v>
      </c>
      <c r="E3655" s="249">
        <f t="shared" si="401"/>
        <v>45211</v>
      </c>
      <c r="F3655" s="477"/>
      <c r="G3655" s="244" t="s">
        <v>86</v>
      </c>
      <c r="H3655" s="244" t="str" cm="1">
        <f t="array" ref="H3655">IFERROR(INDEX(INVESTOR_LIST[INVESTOR NAME],MATCH(I3655,INVESTOR_LIST[INVESTOR CODE],0),)," ")</f>
        <v xml:space="preserve"> </v>
      </c>
      <c r="I3655" s="245"/>
      <c r="J3655" s="246" t="s">
        <v>50</v>
      </c>
      <c r="K3655" s="247"/>
      <c r="L3655" s="247">
        <v>68505.387555933456</v>
      </c>
    </row>
    <row r="3656" spans="1:12" ht="11.25" customHeight="1" x14ac:dyDescent="0.2">
      <c r="A3656" s="236">
        <v>2023</v>
      </c>
      <c r="B3656" s="236">
        <v>10</v>
      </c>
      <c r="C3656" s="236">
        <v>12</v>
      </c>
      <c r="D3656" s="237">
        <f t="shared" si="398"/>
        <v>45211</v>
      </c>
      <c r="E3656" s="238">
        <f t="shared" si="401"/>
        <v>45211</v>
      </c>
      <c r="F3656" s="476" t="s">
        <v>1122</v>
      </c>
      <c r="G3656" s="239" t="s">
        <v>86</v>
      </c>
      <c r="H3656" s="239" t="str" cm="1">
        <f t="array" ref="H3656">IFERROR(INDEX(INVESTOR_LIST[INVESTOR NAME],MATCH(I3656,INVESTOR_LIST[INVESTOR CODE],0),)," ")</f>
        <v xml:space="preserve"> </v>
      </c>
      <c r="I3656" s="240"/>
      <c r="J3656" s="241" t="s">
        <v>91</v>
      </c>
      <c r="K3656" s="242">
        <v>3425.2693777966729</v>
      </c>
      <c r="L3656" s="242"/>
    </row>
    <row r="3657" spans="1:12" ht="11.25" customHeight="1" x14ac:dyDescent="0.2">
      <c r="A3657" s="243">
        <v>2023</v>
      </c>
      <c r="B3657" s="243">
        <v>10</v>
      </c>
      <c r="C3657" s="243">
        <v>12</v>
      </c>
      <c r="D3657" s="248">
        <f t="shared" ref="D3657:D3720" si="402">DATE(A3657,B3657,C3657)</f>
        <v>45211</v>
      </c>
      <c r="E3657" s="249">
        <f t="shared" si="401"/>
        <v>45211</v>
      </c>
      <c r="F3657" s="477"/>
      <c r="G3657" s="244" t="s">
        <v>86</v>
      </c>
      <c r="H3657" s="244" t="str" cm="1">
        <f t="array" ref="H3657">IFERROR(INDEX(INVESTOR_LIST[INVESTOR NAME],MATCH(I3657,INVESTOR_LIST[INVESTOR CODE],0),)," ")</f>
        <v xml:space="preserve"> </v>
      </c>
      <c r="I3657" s="245"/>
      <c r="J3657" s="246" t="s">
        <v>51</v>
      </c>
      <c r="K3657" s="247"/>
      <c r="L3657" s="247">
        <v>3425.2693777966729</v>
      </c>
    </row>
    <row r="3658" spans="1:12" ht="11.25" customHeight="1" x14ac:dyDescent="0.2">
      <c r="A3658" s="221">
        <v>2023</v>
      </c>
      <c r="B3658" s="221">
        <v>10</v>
      </c>
      <c r="C3658" s="221">
        <v>17</v>
      </c>
      <c r="D3658" s="231">
        <f t="shared" si="402"/>
        <v>45216</v>
      </c>
      <c r="E3658" s="233">
        <f t="shared" si="401"/>
        <v>45216</v>
      </c>
      <c r="F3658" s="478" t="s">
        <v>1142</v>
      </c>
      <c r="G3658" s="222" t="s">
        <v>1111</v>
      </c>
      <c r="H3658" s="223" t="str" cm="1">
        <f t="array" ref="H3658">IFERROR(INDEX(INVESTOR_LIST[INVESTOR NAME],MATCH(I3658,INVESTOR_LIST[INVESTOR CODE],0),)," ")</f>
        <v xml:space="preserve"> </v>
      </c>
      <c r="I3658" s="223"/>
      <c r="J3658" s="224" t="s">
        <v>189</v>
      </c>
      <c r="K3658" s="225">
        <v>1575</v>
      </c>
      <c r="L3658" s="225"/>
    </row>
    <row r="3659" spans="1:12" ht="11.25" customHeight="1" x14ac:dyDescent="0.2">
      <c r="A3659" s="226">
        <v>2023</v>
      </c>
      <c r="B3659" s="226">
        <v>10</v>
      </c>
      <c r="C3659" s="226">
        <v>17</v>
      </c>
      <c r="D3659" s="232">
        <f t="shared" si="402"/>
        <v>45216</v>
      </c>
      <c r="E3659" s="234">
        <f t="shared" si="401"/>
        <v>45216</v>
      </c>
      <c r="F3659" s="479"/>
      <c r="G3659" s="227" t="s">
        <v>1111</v>
      </c>
      <c r="H3659" s="228" t="str" cm="1">
        <f t="array" ref="H3659">IFERROR(INDEX(INVESTOR_LIST[INVESTOR NAME],MATCH(I3659,INVESTOR_LIST[INVESTOR CODE],0),)," ")</f>
        <v xml:space="preserve"> </v>
      </c>
      <c r="I3659" s="228"/>
      <c r="J3659" s="229" t="s">
        <v>55</v>
      </c>
      <c r="K3659" s="230"/>
      <c r="L3659" s="230">
        <v>1575</v>
      </c>
    </row>
    <row r="3660" spans="1:12" ht="11.25" customHeight="1" x14ac:dyDescent="0.2">
      <c r="A3660" s="221">
        <v>2023</v>
      </c>
      <c r="B3660" s="221">
        <v>10</v>
      </c>
      <c r="C3660" s="221">
        <v>18</v>
      </c>
      <c r="D3660" s="231">
        <f t="shared" si="402"/>
        <v>45217</v>
      </c>
      <c r="E3660" s="233">
        <f t="shared" si="401"/>
        <v>45217</v>
      </c>
      <c r="F3660" s="478" t="s">
        <v>1178</v>
      </c>
      <c r="G3660" s="222" t="s">
        <v>1111</v>
      </c>
      <c r="H3660" s="223" t="str" cm="1">
        <f t="array" ref="H3660">IFERROR(INDEX(INVESTOR_LIST[INVESTOR NAME],MATCH(I3660,INVESTOR_LIST[INVESTOR CODE],0),)," ")</f>
        <v xml:space="preserve"> </v>
      </c>
      <c r="I3660" s="223"/>
      <c r="J3660" s="224" t="s">
        <v>189</v>
      </c>
      <c r="K3660" s="225">
        <v>3750</v>
      </c>
      <c r="L3660" s="225"/>
    </row>
    <row r="3661" spans="1:12" ht="11.25" customHeight="1" x14ac:dyDescent="0.2">
      <c r="A3661" s="226">
        <v>2023</v>
      </c>
      <c r="B3661" s="226">
        <v>10</v>
      </c>
      <c r="C3661" s="226">
        <v>18</v>
      </c>
      <c r="D3661" s="232">
        <f t="shared" si="402"/>
        <v>45217</v>
      </c>
      <c r="E3661" s="234">
        <f t="shared" si="401"/>
        <v>45217</v>
      </c>
      <c r="F3661" s="479"/>
      <c r="G3661" s="227" t="s">
        <v>1111</v>
      </c>
      <c r="H3661" s="228" t="str" cm="1">
        <f t="array" ref="H3661">IFERROR(INDEX(INVESTOR_LIST[INVESTOR NAME],MATCH(I3661,INVESTOR_LIST[INVESTOR CODE],0),)," ")</f>
        <v xml:space="preserve"> </v>
      </c>
      <c r="I3661" s="228"/>
      <c r="J3661" s="229" t="s">
        <v>55</v>
      </c>
      <c r="K3661" s="230"/>
      <c r="L3661" s="230">
        <v>3750</v>
      </c>
    </row>
    <row r="3662" spans="1:12" ht="11.25" customHeight="1" x14ac:dyDescent="0.2">
      <c r="A3662" s="280">
        <v>2023</v>
      </c>
      <c r="B3662" s="280">
        <v>10</v>
      </c>
      <c r="C3662" s="280">
        <v>19</v>
      </c>
      <c r="D3662" s="281">
        <f t="shared" si="402"/>
        <v>45218</v>
      </c>
      <c r="E3662" s="282">
        <f t="shared" ref="E3662:E3686" si="403">DATE(A3662,B3662,C3662)</f>
        <v>45218</v>
      </c>
      <c r="F3662" s="472" t="s">
        <v>1369</v>
      </c>
      <c r="G3662" s="283" t="s">
        <v>86</v>
      </c>
      <c r="H3662" s="284" t="str" cm="1">
        <f t="array" ref="H3662">IFERROR(INDEX(INVESTOR_LIST[INVESTOR NAME],MATCH(I3662,INVESTOR_LIST[INVESTOR CODE],0),)," ")</f>
        <v xml:space="preserve"> </v>
      </c>
      <c r="I3662" s="284"/>
      <c r="J3662" s="285" t="s">
        <v>131</v>
      </c>
      <c r="K3662" s="286">
        <v>93916.3</v>
      </c>
      <c r="L3662" s="286"/>
    </row>
    <row r="3663" spans="1:12" ht="11.25" customHeight="1" x14ac:dyDescent="0.2">
      <c r="A3663" s="287">
        <v>2023</v>
      </c>
      <c r="B3663" s="287">
        <v>10</v>
      </c>
      <c r="C3663" s="287">
        <v>19</v>
      </c>
      <c r="D3663" s="288">
        <f t="shared" si="402"/>
        <v>45218</v>
      </c>
      <c r="E3663" s="289">
        <f t="shared" si="403"/>
        <v>45218</v>
      </c>
      <c r="F3663" s="473"/>
      <c r="G3663" s="290" t="s">
        <v>86</v>
      </c>
      <c r="H3663" s="291" t="str" cm="1">
        <f t="array" ref="H3663">IFERROR(INDEX(INVESTOR_LIST[INVESTOR NAME],MATCH(I3663,INVESTOR_LIST[INVESTOR CODE],0),)," ")</f>
        <v xml:space="preserve"> </v>
      </c>
      <c r="I3663" s="291"/>
      <c r="J3663" s="292" t="s">
        <v>174</v>
      </c>
      <c r="K3663" s="293"/>
      <c r="L3663" s="293">
        <v>93916.3</v>
      </c>
    </row>
    <row r="3664" spans="1:12" ht="11.25" customHeight="1" x14ac:dyDescent="0.2">
      <c r="A3664" s="280">
        <v>2023</v>
      </c>
      <c r="B3664" s="280">
        <v>10</v>
      </c>
      <c r="C3664" s="280">
        <v>19</v>
      </c>
      <c r="D3664" s="281">
        <f t="shared" si="402"/>
        <v>45218</v>
      </c>
      <c r="E3664" s="282">
        <f t="shared" si="403"/>
        <v>45218</v>
      </c>
      <c r="F3664" s="472" t="s">
        <v>1295</v>
      </c>
      <c r="G3664" s="283" t="s">
        <v>86</v>
      </c>
      <c r="H3664" s="284" t="str" cm="1">
        <f t="array" ref="H3664">IFERROR(INDEX(INVESTOR_LIST[INVESTOR NAME],MATCH(I3664,INVESTOR_LIST[INVESTOR CODE],0),)," ")</f>
        <v xml:space="preserve"> </v>
      </c>
      <c r="I3664" s="284"/>
      <c r="J3664" s="285" t="s">
        <v>131</v>
      </c>
      <c r="K3664" s="286">
        <v>18342.63</v>
      </c>
      <c r="L3664" s="286"/>
    </row>
    <row r="3665" spans="1:12" ht="11.25" customHeight="1" x14ac:dyDescent="0.2">
      <c r="A3665" s="287">
        <v>2023</v>
      </c>
      <c r="B3665" s="287">
        <v>10</v>
      </c>
      <c r="C3665" s="287">
        <v>19</v>
      </c>
      <c r="D3665" s="288">
        <f t="shared" si="402"/>
        <v>45218</v>
      </c>
      <c r="E3665" s="289">
        <f t="shared" si="403"/>
        <v>45218</v>
      </c>
      <c r="F3665" s="473"/>
      <c r="G3665" s="290" t="s">
        <v>86</v>
      </c>
      <c r="H3665" s="291" t="str" cm="1">
        <f t="array" ref="H3665">IFERROR(INDEX(INVESTOR_LIST[INVESTOR NAME],MATCH(I3665,INVESTOR_LIST[INVESTOR CODE],0),)," ")</f>
        <v xml:space="preserve"> </v>
      </c>
      <c r="I3665" s="291"/>
      <c r="J3665" s="292" t="s">
        <v>174</v>
      </c>
      <c r="K3665" s="293"/>
      <c r="L3665" s="293">
        <v>18342.63</v>
      </c>
    </row>
    <row r="3666" spans="1:12" ht="11.25" customHeight="1" x14ac:dyDescent="0.2">
      <c r="A3666" s="280">
        <v>2023</v>
      </c>
      <c r="B3666" s="280">
        <v>10</v>
      </c>
      <c r="C3666" s="280">
        <v>19</v>
      </c>
      <c r="D3666" s="281">
        <f t="shared" si="402"/>
        <v>45218</v>
      </c>
      <c r="E3666" s="282">
        <f t="shared" si="403"/>
        <v>45218</v>
      </c>
      <c r="F3666" s="472" t="s">
        <v>1294</v>
      </c>
      <c r="G3666" s="283" t="s">
        <v>86</v>
      </c>
      <c r="H3666" s="284" t="str" cm="1">
        <f t="array" ref="H3666">IFERROR(INDEX(INVESTOR_LIST[INVESTOR NAME],MATCH(I3666,INVESTOR_LIST[INVESTOR CODE],0),)," ")</f>
        <v xml:space="preserve"> </v>
      </c>
      <c r="I3666" s="284"/>
      <c r="J3666" s="285" t="s">
        <v>131</v>
      </c>
      <c r="K3666" s="286"/>
      <c r="L3666" s="286"/>
    </row>
    <row r="3667" spans="1:12" ht="11.25" customHeight="1" x14ac:dyDescent="0.2">
      <c r="A3667" s="287">
        <v>2023</v>
      </c>
      <c r="B3667" s="287">
        <v>10</v>
      </c>
      <c r="C3667" s="287">
        <v>19</v>
      </c>
      <c r="D3667" s="288">
        <f t="shared" si="402"/>
        <v>45218</v>
      </c>
      <c r="E3667" s="289">
        <f t="shared" si="403"/>
        <v>45218</v>
      </c>
      <c r="F3667" s="473"/>
      <c r="G3667" s="290" t="s">
        <v>86</v>
      </c>
      <c r="H3667" s="291" t="str" cm="1">
        <f t="array" ref="H3667">IFERROR(INDEX(INVESTOR_LIST[INVESTOR NAME],MATCH(I3667,INVESTOR_LIST[INVESTOR CODE],0),)," ")</f>
        <v xml:space="preserve"> </v>
      </c>
      <c r="I3667" s="291"/>
      <c r="J3667" s="292" t="s">
        <v>174</v>
      </c>
      <c r="K3667" s="293"/>
      <c r="L3667" s="293"/>
    </row>
    <row r="3668" spans="1:12" ht="11.25" customHeight="1" x14ac:dyDescent="0.2">
      <c r="A3668" s="280">
        <v>2023</v>
      </c>
      <c r="B3668" s="280">
        <v>10</v>
      </c>
      <c r="C3668" s="280">
        <v>19</v>
      </c>
      <c r="D3668" s="281">
        <f t="shared" si="402"/>
        <v>45218</v>
      </c>
      <c r="E3668" s="282">
        <f t="shared" si="403"/>
        <v>45218</v>
      </c>
      <c r="F3668" s="472" t="s">
        <v>1584</v>
      </c>
      <c r="G3668" s="283" t="s">
        <v>86</v>
      </c>
      <c r="H3668" s="284" t="str" cm="1">
        <f t="array" ref="H3668">IFERROR(INDEX(INVESTOR_LIST[INVESTOR NAME],MATCH(I3668,INVESTOR_LIST[INVESTOR CODE],0),)," ")</f>
        <v xml:space="preserve"> </v>
      </c>
      <c r="I3668" s="284"/>
      <c r="J3668" s="285" t="s">
        <v>131</v>
      </c>
      <c r="K3668" s="286">
        <v>6346.1538461538457</v>
      </c>
      <c r="L3668" s="286"/>
    </row>
    <row r="3669" spans="1:12" ht="11.25" customHeight="1" x14ac:dyDescent="0.2">
      <c r="A3669" s="287">
        <v>2023</v>
      </c>
      <c r="B3669" s="287">
        <v>10</v>
      </c>
      <c r="C3669" s="287">
        <v>19</v>
      </c>
      <c r="D3669" s="288">
        <f t="shared" si="402"/>
        <v>45218</v>
      </c>
      <c r="E3669" s="289">
        <f t="shared" si="403"/>
        <v>45218</v>
      </c>
      <c r="F3669" s="473"/>
      <c r="G3669" s="290" t="s">
        <v>86</v>
      </c>
      <c r="H3669" s="291" t="str" cm="1">
        <f t="array" ref="H3669">IFERROR(INDEX(INVESTOR_LIST[INVESTOR NAME],MATCH(I3669,INVESTOR_LIST[INVESTOR CODE],0),)," ")</f>
        <v xml:space="preserve"> </v>
      </c>
      <c r="I3669" s="291"/>
      <c r="J3669" s="292" t="s">
        <v>174</v>
      </c>
      <c r="K3669" s="293"/>
      <c r="L3669" s="293">
        <v>6346.1538461538457</v>
      </c>
    </row>
    <row r="3670" spans="1:12" ht="11.25" customHeight="1" x14ac:dyDescent="0.2">
      <c r="A3670" s="358">
        <v>2023</v>
      </c>
      <c r="B3670" s="358">
        <v>10</v>
      </c>
      <c r="C3670" s="358">
        <v>19</v>
      </c>
      <c r="D3670" s="312">
        <f t="shared" si="402"/>
        <v>45218</v>
      </c>
      <c r="E3670" s="313">
        <f t="shared" si="403"/>
        <v>45218</v>
      </c>
      <c r="F3670" s="482" t="s">
        <v>1627</v>
      </c>
      <c r="G3670" s="314" t="s">
        <v>86</v>
      </c>
      <c r="H3670" s="324" t="str" cm="1">
        <f t="array" ref="H3670">IFERROR(INDEX(INVESTOR_LIST[INVESTOR NAME],MATCH(I3670,INVESTOR_LIST[INVESTOR CODE],0),)," ")</f>
        <v xml:space="preserve"> </v>
      </c>
      <c r="I3670" s="324"/>
      <c r="J3670" s="364" t="s">
        <v>1621</v>
      </c>
      <c r="K3670" s="365">
        <v>1762</v>
      </c>
      <c r="L3670" s="365"/>
    </row>
    <row r="3671" spans="1:12" ht="11.25" customHeight="1" x14ac:dyDescent="0.2">
      <c r="A3671" s="320">
        <v>2023</v>
      </c>
      <c r="B3671" s="320">
        <v>10</v>
      </c>
      <c r="C3671" s="320">
        <v>19</v>
      </c>
      <c r="D3671" s="323">
        <f t="shared" si="402"/>
        <v>45218</v>
      </c>
      <c r="E3671" s="321">
        <f t="shared" si="403"/>
        <v>45218</v>
      </c>
      <c r="F3671" s="483"/>
      <c r="G3671" s="322" t="s">
        <v>86</v>
      </c>
      <c r="H3671" s="325" t="str" cm="1">
        <f t="array" ref="H3671">IFERROR(INDEX(INVESTOR_LIST[INVESTOR NAME],MATCH(I3671,INVESTOR_LIST[INVESTOR CODE],0),)," ")</f>
        <v xml:space="preserve"> </v>
      </c>
      <c r="I3671" s="325"/>
      <c r="J3671" s="366" t="s">
        <v>1613</v>
      </c>
      <c r="K3671" s="367"/>
      <c r="L3671" s="367">
        <v>1762</v>
      </c>
    </row>
    <row r="3672" spans="1:12" ht="11.25" customHeight="1" x14ac:dyDescent="0.2">
      <c r="A3672" s="236">
        <v>2023</v>
      </c>
      <c r="B3672" s="236">
        <v>10</v>
      </c>
      <c r="C3672" s="236">
        <v>19</v>
      </c>
      <c r="D3672" s="237">
        <f t="shared" si="402"/>
        <v>45218</v>
      </c>
      <c r="E3672" s="238">
        <f t="shared" si="403"/>
        <v>45218</v>
      </c>
      <c r="F3672" s="476" t="s">
        <v>1118</v>
      </c>
      <c r="G3672" s="239" t="s">
        <v>86</v>
      </c>
      <c r="H3672" s="239" t="str" cm="1">
        <f t="array" ref="H3672">IFERROR(INDEX(INVESTOR_LIST[INVESTOR NAME],MATCH(I3672,INVESTOR_LIST[INVESTOR CODE],0),)," ")</f>
        <v xml:space="preserve"> </v>
      </c>
      <c r="I3672" s="240"/>
      <c r="J3672" s="241" t="s">
        <v>82</v>
      </c>
      <c r="K3672" s="242">
        <v>34550</v>
      </c>
      <c r="L3672" s="242"/>
    </row>
    <row r="3673" spans="1:12" ht="11.25" customHeight="1" x14ac:dyDescent="0.2">
      <c r="A3673" s="243">
        <v>2023</v>
      </c>
      <c r="B3673" s="243">
        <v>10</v>
      </c>
      <c r="C3673" s="243">
        <v>19</v>
      </c>
      <c r="D3673" s="248">
        <f t="shared" si="402"/>
        <v>45218</v>
      </c>
      <c r="E3673" s="249">
        <f t="shared" si="403"/>
        <v>45218</v>
      </c>
      <c r="F3673" s="477"/>
      <c r="G3673" s="244" t="s">
        <v>86</v>
      </c>
      <c r="H3673" s="244" t="str" cm="1">
        <f t="array" ref="H3673">IFERROR(INDEX(INVESTOR_LIST[INVESTOR NAME],MATCH(I3673,INVESTOR_LIST[INVESTOR CODE],0),)," ")</f>
        <v xml:space="preserve"> </v>
      </c>
      <c r="I3673" s="245"/>
      <c r="J3673" s="246" t="s">
        <v>98</v>
      </c>
      <c r="K3673" s="247"/>
      <c r="L3673" s="247">
        <v>34550</v>
      </c>
    </row>
    <row r="3674" spans="1:12" ht="11.25" customHeight="1" x14ac:dyDescent="0.2">
      <c r="A3674" s="236">
        <v>2023</v>
      </c>
      <c r="B3674" s="236">
        <v>10</v>
      </c>
      <c r="C3674" s="236">
        <v>19</v>
      </c>
      <c r="D3674" s="237">
        <f t="shared" si="402"/>
        <v>45218</v>
      </c>
      <c r="E3674" s="238">
        <f t="shared" si="403"/>
        <v>45218</v>
      </c>
      <c r="F3674" s="476" t="s">
        <v>1120</v>
      </c>
      <c r="G3674" s="239" t="s">
        <v>86</v>
      </c>
      <c r="H3674" s="239" t="str" cm="1">
        <f t="array" ref="H3674">IFERROR(INDEX(INVESTOR_LIST[INVESTOR NAME],MATCH(I3674,INVESTOR_LIST[INVESTOR CODE],0),)," ")</f>
        <v xml:space="preserve"> </v>
      </c>
      <c r="I3674" s="240"/>
      <c r="J3674" s="241" t="s">
        <v>87</v>
      </c>
      <c r="K3674" s="242">
        <v>2747.2527472527472</v>
      </c>
      <c r="L3674" s="242"/>
    </row>
    <row r="3675" spans="1:12" ht="11.25" customHeight="1" x14ac:dyDescent="0.2">
      <c r="A3675" s="243">
        <v>2023</v>
      </c>
      <c r="B3675" s="243">
        <v>10</v>
      </c>
      <c r="C3675" s="243">
        <v>19</v>
      </c>
      <c r="D3675" s="248">
        <f t="shared" si="402"/>
        <v>45218</v>
      </c>
      <c r="E3675" s="249">
        <f t="shared" si="403"/>
        <v>45218</v>
      </c>
      <c r="F3675" s="477"/>
      <c r="G3675" s="244" t="s">
        <v>86</v>
      </c>
      <c r="H3675" s="244" t="str" cm="1">
        <f t="array" ref="H3675">IFERROR(INDEX(INVESTOR_LIST[INVESTOR NAME],MATCH(I3675,INVESTOR_LIST[INVESTOR CODE],0),)," ")</f>
        <v xml:space="preserve"> </v>
      </c>
      <c r="I3675" s="245"/>
      <c r="J3675" s="246" t="s">
        <v>64</v>
      </c>
      <c r="K3675" s="247"/>
      <c r="L3675" s="247">
        <v>2747.2527472527472</v>
      </c>
    </row>
    <row r="3676" spans="1:12" ht="11.25" customHeight="1" x14ac:dyDescent="0.2">
      <c r="A3676" s="236">
        <v>2023</v>
      </c>
      <c r="B3676" s="236">
        <v>10</v>
      </c>
      <c r="C3676" s="236">
        <v>19</v>
      </c>
      <c r="D3676" s="237">
        <f t="shared" si="402"/>
        <v>45218</v>
      </c>
      <c r="E3676" s="238">
        <f t="shared" si="403"/>
        <v>45218</v>
      </c>
      <c r="F3676" s="476" t="s">
        <v>1121</v>
      </c>
      <c r="G3676" s="239" t="s">
        <v>86</v>
      </c>
      <c r="H3676" s="239" t="str" cm="1">
        <f t="array" ref="H3676">IFERROR(INDEX(INVESTOR_LIST[INVESTOR NAME],MATCH(I3676,INVESTOR_LIST[INVESTOR CODE],0),)," ")</f>
        <v xml:space="preserve"> </v>
      </c>
      <c r="I3676" s="240"/>
      <c r="J3676" s="241" t="s">
        <v>89</v>
      </c>
      <c r="K3676" s="242">
        <v>68506.95957558279</v>
      </c>
      <c r="L3676" s="242"/>
    </row>
    <row r="3677" spans="1:12" ht="11.25" customHeight="1" x14ac:dyDescent="0.2">
      <c r="A3677" s="243">
        <v>2023</v>
      </c>
      <c r="B3677" s="243">
        <v>10</v>
      </c>
      <c r="C3677" s="243">
        <v>19</v>
      </c>
      <c r="D3677" s="248">
        <f t="shared" si="402"/>
        <v>45218</v>
      </c>
      <c r="E3677" s="249">
        <f t="shared" si="403"/>
        <v>45218</v>
      </c>
      <c r="F3677" s="477"/>
      <c r="G3677" s="244" t="s">
        <v>86</v>
      </c>
      <c r="H3677" s="244" t="str" cm="1">
        <f t="array" ref="H3677">IFERROR(INDEX(INVESTOR_LIST[INVESTOR NAME],MATCH(I3677,INVESTOR_LIST[INVESTOR CODE],0),)," ")</f>
        <v xml:space="preserve"> </v>
      </c>
      <c r="I3677" s="245"/>
      <c r="J3677" s="246" t="s">
        <v>50</v>
      </c>
      <c r="K3677" s="247"/>
      <c r="L3677" s="247">
        <v>68506.95957558279</v>
      </c>
    </row>
    <row r="3678" spans="1:12" ht="11.25" customHeight="1" x14ac:dyDescent="0.2">
      <c r="A3678" s="236">
        <v>2023</v>
      </c>
      <c r="B3678" s="236">
        <v>10</v>
      </c>
      <c r="C3678" s="236">
        <v>19</v>
      </c>
      <c r="D3678" s="237">
        <f t="shared" si="402"/>
        <v>45218</v>
      </c>
      <c r="E3678" s="238">
        <f t="shared" si="403"/>
        <v>45218</v>
      </c>
      <c r="F3678" s="476" t="s">
        <v>1122</v>
      </c>
      <c r="G3678" s="239" t="s">
        <v>86</v>
      </c>
      <c r="H3678" s="239" t="str" cm="1">
        <f t="array" ref="H3678">IFERROR(INDEX(INVESTOR_LIST[INVESTOR NAME],MATCH(I3678,INVESTOR_LIST[INVESTOR CODE],0),)," ")</f>
        <v xml:space="preserve"> </v>
      </c>
      <c r="I3678" s="240"/>
      <c r="J3678" s="241" t="s">
        <v>91</v>
      </c>
      <c r="K3678" s="242">
        <v>3425.3479787791393</v>
      </c>
      <c r="L3678" s="242"/>
    </row>
    <row r="3679" spans="1:12" ht="11.25" customHeight="1" x14ac:dyDescent="0.2">
      <c r="A3679" s="243">
        <v>2023</v>
      </c>
      <c r="B3679" s="243">
        <v>10</v>
      </c>
      <c r="C3679" s="243">
        <v>19</v>
      </c>
      <c r="D3679" s="248">
        <f t="shared" si="402"/>
        <v>45218</v>
      </c>
      <c r="E3679" s="249">
        <f t="shared" si="403"/>
        <v>45218</v>
      </c>
      <c r="F3679" s="477"/>
      <c r="G3679" s="244" t="s">
        <v>86</v>
      </c>
      <c r="H3679" s="244" t="str" cm="1">
        <f t="array" ref="H3679">IFERROR(INDEX(INVESTOR_LIST[INVESTOR NAME],MATCH(I3679,INVESTOR_LIST[INVESTOR CODE],0),)," ")</f>
        <v xml:space="preserve"> </v>
      </c>
      <c r="I3679" s="245"/>
      <c r="J3679" s="246" t="s">
        <v>51</v>
      </c>
      <c r="K3679" s="247"/>
      <c r="L3679" s="247">
        <v>3425.3479787791393</v>
      </c>
    </row>
    <row r="3680" spans="1:12" ht="11.25" customHeight="1" x14ac:dyDescent="0.2">
      <c r="A3680" s="221">
        <v>2023</v>
      </c>
      <c r="B3680" s="221">
        <v>10</v>
      </c>
      <c r="C3680" s="221">
        <v>20</v>
      </c>
      <c r="D3680" s="231">
        <f t="shared" si="402"/>
        <v>45219</v>
      </c>
      <c r="E3680" s="233">
        <f t="shared" si="403"/>
        <v>45219</v>
      </c>
      <c r="F3680" s="478" t="s">
        <v>1632</v>
      </c>
      <c r="G3680" s="222" t="s">
        <v>1111</v>
      </c>
      <c r="H3680" s="223" t="str" cm="1">
        <f t="array" ref="H3680">IFERROR(INDEX(INVESTOR_LIST[INVESTOR NAME],MATCH(I3680,INVESTOR_LIST[INVESTOR CODE],0),)," ")</f>
        <v xml:space="preserve"> </v>
      </c>
      <c r="I3680" s="223"/>
      <c r="J3680" s="224" t="s">
        <v>192</v>
      </c>
      <c r="K3680" s="225">
        <v>89173.5</v>
      </c>
      <c r="L3680" s="225"/>
    </row>
    <row r="3681" spans="1:12" ht="11.25" customHeight="1" x14ac:dyDescent="0.2">
      <c r="A3681" s="226">
        <v>2023</v>
      </c>
      <c r="B3681" s="226">
        <v>10</v>
      </c>
      <c r="C3681" s="226">
        <v>20</v>
      </c>
      <c r="D3681" s="232">
        <f t="shared" si="402"/>
        <v>45219</v>
      </c>
      <c r="E3681" s="234">
        <f t="shared" si="403"/>
        <v>45219</v>
      </c>
      <c r="F3681" s="479"/>
      <c r="G3681" s="227" t="s">
        <v>1111</v>
      </c>
      <c r="H3681" s="228" t="str" cm="1">
        <f t="array" ref="H3681">IFERROR(INDEX(INVESTOR_LIST[INVESTOR NAME],MATCH(I3681,INVESTOR_LIST[INVESTOR CODE],0),)," ")</f>
        <v xml:space="preserve"> </v>
      </c>
      <c r="I3681" s="228"/>
      <c r="J3681" s="229" t="s">
        <v>191</v>
      </c>
      <c r="K3681" s="230"/>
      <c r="L3681" s="230">
        <v>89173.5</v>
      </c>
    </row>
    <row r="3682" spans="1:12" ht="11.25" customHeight="1" x14ac:dyDescent="0.2">
      <c r="A3682" s="221">
        <v>2023</v>
      </c>
      <c r="B3682" s="221">
        <v>10</v>
      </c>
      <c r="C3682" s="221">
        <v>22</v>
      </c>
      <c r="D3682" s="231">
        <f t="shared" si="402"/>
        <v>45221</v>
      </c>
      <c r="E3682" s="233">
        <f t="shared" si="403"/>
        <v>45221</v>
      </c>
      <c r="F3682" s="478" t="s">
        <v>1115</v>
      </c>
      <c r="G3682" s="222" t="s">
        <v>1111</v>
      </c>
      <c r="H3682" s="223" t="str" cm="1">
        <f t="array" ref="H3682">IFERROR(INDEX(INVESTOR_LIST[INVESTOR NAME],MATCH(I3682,INVESTOR_LIST[INVESTOR CODE],0),)," ")</f>
        <v>JHARNA AHMED</v>
      </c>
      <c r="I3682" s="223" t="s">
        <v>634</v>
      </c>
      <c r="J3682" s="224" t="s">
        <v>14</v>
      </c>
      <c r="K3682" s="225">
        <v>500000</v>
      </c>
      <c r="L3682" s="225"/>
    </row>
    <row r="3683" spans="1:12" ht="11.25" customHeight="1" x14ac:dyDescent="0.2">
      <c r="A3683" s="164">
        <v>2023</v>
      </c>
      <c r="B3683" s="164">
        <v>10</v>
      </c>
      <c r="C3683" s="164">
        <v>22</v>
      </c>
      <c r="D3683" s="156">
        <f t="shared" si="402"/>
        <v>45221</v>
      </c>
      <c r="E3683" s="235">
        <f t="shared" si="403"/>
        <v>45221</v>
      </c>
      <c r="F3683" s="480"/>
      <c r="G3683" s="208" t="s">
        <v>1111</v>
      </c>
      <c r="H3683" s="206" t="str" cm="1">
        <f t="array" ref="H3683">IFERROR(INDEX(INVESTOR_LIST[INVESTOR NAME],MATCH(I3683,INVESTOR_LIST[INVESTOR CODE],0),)," ")</f>
        <v>JHARNA AHMED</v>
      </c>
      <c r="I3683" s="206" t="s">
        <v>634</v>
      </c>
      <c r="J3683" s="165" t="s">
        <v>1112</v>
      </c>
      <c r="K3683" s="205">
        <v>15400</v>
      </c>
    </row>
    <row r="3684" spans="1:12" ht="11.25" customHeight="1" x14ac:dyDescent="0.2">
      <c r="A3684" s="226">
        <v>2023</v>
      </c>
      <c r="B3684" s="226">
        <v>10</v>
      </c>
      <c r="C3684" s="226">
        <v>22</v>
      </c>
      <c r="D3684" s="232">
        <f t="shared" si="402"/>
        <v>45221</v>
      </c>
      <c r="E3684" s="234">
        <f t="shared" si="403"/>
        <v>45221</v>
      </c>
      <c r="F3684" s="479"/>
      <c r="G3684" s="227" t="s">
        <v>1111</v>
      </c>
      <c r="H3684" s="228" t="str" cm="1">
        <f t="array" ref="H3684">IFERROR(INDEX(INVESTOR_LIST[INVESTOR NAME],MATCH(I3684,INVESTOR_LIST[INVESTOR CODE],0),)," ")</f>
        <v>JHARNA AHMED</v>
      </c>
      <c r="I3684" s="228" t="s">
        <v>634</v>
      </c>
      <c r="J3684" s="229" t="s">
        <v>55</v>
      </c>
      <c r="K3684" s="230"/>
      <c r="L3684" s="230">
        <v>515400</v>
      </c>
    </row>
    <row r="3685" spans="1:12" ht="11.25" customHeight="1" x14ac:dyDescent="0.2">
      <c r="A3685" s="221">
        <v>2023</v>
      </c>
      <c r="B3685" s="221">
        <v>10</v>
      </c>
      <c r="C3685" s="221">
        <v>22</v>
      </c>
      <c r="D3685" s="231">
        <f t="shared" si="402"/>
        <v>45221</v>
      </c>
      <c r="E3685" s="233">
        <f t="shared" si="403"/>
        <v>45221</v>
      </c>
      <c r="F3685" s="478" t="s">
        <v>1196</v>
      </c>
      <c r="G3685" s="222" t="s">
        <v>1111</v>
      </c>
      <c r="H3685" s="223" t="str" cm="1">
        <f t="array" ref="H3685">IFERROR(INDEX(INVESTOR_LIST[INVESTOR NAME],MATCH(I3685,INVESTOR_LIST[INVESTOR CODE],0),)," ")</f>
        <v xml:space="preserve"> </v>
      </c>
      <c r="I3685" s="223"/>
      <c r="J3685" s="224" t="s">
        <v>95</v>
      </c>
      <c r="K3685" s="225">
        <v>232.31</v>
      </c>
      <c r="L3685" s="225" t="s">
        <v>1119</v>
      </c>
    </row>
    <row r="3686" spans="1:12" ht="11.25" customHeight="1" x14ac:dyDescent="0.2">
      <c r="A3686" s="226">
        <v>2023</v>
      </c>
      <c r="B3686" s="226">
        <v>10</v>
      </c>
      <c r="C3686" s="226">
        <v>22</v>
      </c>
      <c r="D3686" s="232">
        <f t="shared" si="402"/>
        <v>45221</v>
      </c>
      <c r="E3686" s="234">
        <f t="shared" si="403"/>
        <v>45221</v>
      </c>
      <c r="F3686" s="479"/>
      <c r="G3686" s="227" t="s">
        <v>1111</v>
      </c>
      <c r="H3686" s="228" t="str" cm="1">
        <f t="array" ref="H3686">IFERROR(INDEX(INVESTOR_LIST[INVESTOR NAME],MATCH(I3686,INVESTOR_LIST[INVESTOR CODE],0),)," ")</f>
        <v xml:space="preserve"> </v>
      </c>
      <c r="I3686" s="228"/>
      <c r="J3686" s="229" t="s">
        <v>55</v>
      </c>
      <c r="K3686" s="230" t="s">
        <v>1119</v>
      </c>
      <c r="L3686" s="230">
        <v>232.31</v>
      </c>
    </row>
    <row r="3687" spans="1:12" ht="11.25" customHeight="1" x14ac:dyDescent="0.2">
      <c r="A3687" s="221">
        <v>2023</v>
      </c>
      <c r="B3687" s="221">
        <v>10</v>
      </c>
      <c r="C3687" s="221">
        <v>25</v>
      </c>
      <c r="D3687" s="231">
        <f t="shared" si="402"/>
        <v>45224</v>
      </c>
      <c r="E3687" s="233">
        <f t="shared" ref="E3687:E3693" si="404">DATE(A3687,B3687,C3687)</f>
        <v>45224</v>
      </c>
      <c r="F3687" s="478" t="s">
        <v>1115</v>
      </c>
      <c r="G3687" s="222" t="s">
        <v>1111</v>
      </c>
      <c r="H3687" s="223" t="str" cm="1">
        <f t="array" ref="H3687">IFERROR(INDEX(INVESTOR_LIST[INVESTOR NAME],MATCH(I3687,INVESTOR_LIST[INVESTOR CODE],0),)," ")</f>
        <v>ASMAR OSMAN</v>
      </c>
      <c r="I3687" s="223" t="s">
        <v>848</v>
      </c>
      <c r="J3687" s="224" t="s">
        <v>14</v>
      </c>
      <c r="K3687" s="225">
        <v>1000000</v>
      </c>
      <c r="L3687" s="225"/>
    </row>
    <row r="3688" spans="1:12" ht="11.25" customHeight="1" x14ac:dyDescent="0.2">
      <c r="A3688" s="164">
        <v>2023</v>
      </c>
      <c r="B3688" s="164">
        <v>10</v>
      </c>
      <c r="C3688" s="164">
        <v>25</v>
      </c>
      <c r="D3688" s="156">
        <f t="shared" si="402"/>
        <v>45224</v>
      </c>
      <c r="E3688" s="235">
        <f t="shared" si="404"/>
        <v>45224</v>
      </c>
      <c r="F3688" s="480"/>
      <c r="G3688" s="208" t="s">
        <v>1111</v>
      </c>
      <c r="H3688" s="206" t="str" cm="1">
        <f t="array" ref="H3688">IFERROR(INDEX(INVESTOR_LIST[INVESTOR NAME],MATCH(I3688,INVESTOR_LIST[INVESTOR CODE],0),)," ")</f>
        <v>ASMAR OSMAN</v>
      </c>
      <c r="I3688" s="206" t="s">
        <v>848</v>
      </c>
      <c r="J3688" s="165" t="s">
        <v>1112</v>
      </c>
      <c r="K3688" s="205">
        <v>30800</v>
      </c>
    </row>
    <row r="3689" spans="1:12" ht="11.25" customHeight="1" x14ac:dyDescent="0.2">
      <c r="A3689" s="226">
        <v>2023</v>
      </c>
      <c r="B3689" s="226">
        <v>10</v>
      </c>
      <c r="C3689" s="226">
        <v>25</v>
      </c>
      <c r="D3689" s="232">
        <f t="shared" si="402"/>
        <v>45224</v>
      </c>
      <c r="E3689" s="234">
        <f t="shared" si="404"/>
        <v>45224</v>
      </c>
      <c r="F3689" s="479"/>
      <c r="G3689" s="227" t="s">
        <v>1111</v>
      </c>
      <c r="H3689" s="228" t="str" cm="1">
        <f t="array" ref="H3689">IFERROR(INDEX(INVESTOR_LIST[INVESTOR NAME],MATCH(I3689,INVESTOR_LIST[INVESTOR CODE],0),)," ")</f>
        <v>ASMAR OSMAN</v>
      </c>
      <c r="I3689" s="228" t="s">
        <v>848</v>
      </c>
      <c r="J3689" s="229" t="s">
        <v>55</v>
      </c>
      <c r="K3689" s="230"/>
      <c r="L3689" s="230">
        <v>1030800</v>
      </c>
    </row>
    <row r="3690" spans="1:12" ht="11.25" customHeight="1" x14ac:dyDescent="0.2">
      <c r="A3690" s="221">
        <v>2023</v>
      </c>
      <c r="B3690" s="221">
        <v>10</v>
      </c>
      <c r="C3690" s="221">
        <v>26</v>
      </c>
      <c r="D3690" s="231">
        <f t="shared" si="402"/>
        <v>45225</v>
      </c>
      <c r="E3690" s="233">
        <f t="shared" si="404"/>
        <v>45225</v>
      </c>
      <c r="F3690" s="478" t="s">
        <v>1629</v>
      </c>
      <c r="G3690" s="222" t="s">
        <v>1111</v>
      </c>
      <c r="H3690" s="223" t="str" cm="1">
        <f t="array" ref="H3690">IFERROR(INDEX(INVESTOR_LIST[INVESTOR NAME],MATCH(I3690,INVESTOR_LIST[INVESTOR CODE],0),)," ")</f>
        <v xml:space="preserve"> </v>
      </c>
      <c r="I3690" s="223"/>
      <c r="J3690" s="224" t="s">
        <v>55</v>
      </c>
      <c r="K3690" s="225">
        <v>2560000</v>
      </c>
      <c r="L3690" s="225"/>
    </row>
    <row r="3691" spans="1:12" ht="11.25" customHeight="1" x14ac:dyDescent="0.2">
      <c r="A3691" s="164">
        <v>2023</v>
      </c>
      <c r="B3691" s="164">
        <v>10</v>
      </c>
      <c r="C3691" s="164">
        <v>26</v>
      </c>
      <c r="D3691" s="156">
        <f t="shared" si="402"/>
        <v>45225</v>
      </c>
      <c r="E3691" s="235">
        <f t="shared" si="404"/>
        <v>45225</v>
      </c>
      <c r="F3691" s="480"/>
      <c r="G3691" s="208" t="s">
        <v>1111</v>
      </c>
      <c r="J3691" s="165" t="s">
        <v>63</v>
      </c>
      <c r="K3691" s="205">
        <v>6666.67</v>
      </c>
      <c r="L3691" s="205"/>
    </row>
    <row r="3692" spans="1:12" ht="11.25" customHeight="1" x14ac:dyDescent="0.2">
      <c r="A3692" s="164">
        <v>2023</v>
      </c>
      <c r="B3692" s="164">
        <v>10</v>
      </c>
      <c r="C3692" s="164">
        <v>26</v>
      </c>
      <c r="D3692" s="156">
        <f t="shared" si="402"/>
        <v>45225</v>
      </c>
      <c r="E3692" s="235">
        <f t="shared" si="404"/>
        <v>45225</v>
      </c>
      <c r="F3692" s="480"/>
      <c r="G3692" s="208" t="s">
        <v>1111</v>
      </c>
      <c r="J3692" s="156" t="s">
        <v>131</v>
      </c>
      <c r="K3692" s="205"/>
      <c r="L3692" s="205">
        <v>66666.67</v>
      </c>
    </row>
    <row r="3693" spans="1:12" ht="11.25" customHeight="1" x14ac:dyDescent="0.2">
      <c r="A3693" s="226">
        <v>2023</v>
      </c>
      <c r="B3693" s="226">
        <v>10</v>
      </c>
      <c r="C3693" s="226">
        <v>26</v>
      </c>
      <c r="D3693" s="232">
        <f t="shared" si="402"/>
        <v>45225</v>
      </c>
      <c r="E3693" s="234">
        <f t="shared" si="404"/>
        <v>45225</v>
      </c>
      <c r="F3693" s="479"/>
      <c r="G3693" s="227" t="s">
        <v>1111</v>
      </c>
      <c r="H3693" s="228" t="str" cm="1">
        <f t="array" ref="H3693">IFERROR(INDEX(INVESTOR_LIST[INVESTOR NAME],MATCH(I3693,INVESTOR_LIST[INVESTOR CODE],0),)," ")</f>
        <v xml:space="preserve"> </v>
      </c>
      <c r="I3693" s="228"/>
      <c r="J3693" s="229" t="s">
        <v>88</v>
      </c>
      <c r="K3693" s="230"/>
      <c r="L3693" s="230">
        <v>2500000</v>
      </c>
    </row>
    <row r="3694" spans="1:12" ht="11.25" customHeight="1" x14ac:dyDescent="0.2">
      <c r="A3694" s="221">
        <v>2023</v>
      </c>
      <c r="B3694" s="221">
        <v>10</v>
      </c>
      <c r="C3694" s="221">
        <v>26</v>
      </c>
      <c r="D3694" s="231">
        <f t="shared" si="402"/>
        <v>45225</v>
      </c>
      <c r="E3694" s="233">
        <f t="shared" ref="E3694:E3697" si="405">DATE(A3694,B3694,C3694)</f>
        <v>45225</v>
      </c>
      <c r="F3694" s="478" t="s">
        <v>1628</v>
      </c>
      <c r="G3694" s="222" t="s">
        <v>1111</v>
      </c>
      <c r="H3694" s="223" t="str" cm="1">
        <f t="array" ref="H3694">IFERROR(INDEX(INVESTOR_LIST[INVESTOR NAME],MATCH(I3694,INVESTOR_LIST[INVESTOR CODE],0),)," ")</f>
        <v xml:space="preserve"> </v>
      </c>
      <c r="I3694" s="223"/>
      <c r="J3694" s="224" t="s">
        <v>55</v>
      </c>
      <c r="K3694" s="225">
        <v>2560000</v>
      </c>
      <c r="L3694" s="225"/>
    </row>
    <row r="3695" spans="1:12" ht="11.25" customHeight="1" x14ac:dyDescent="0.2">
      <c r="A3695" s="164">
        <v>2023</v>
      </c>
      <c r="B3695" s="164">
        <v>10</v>
      </c>
      <c r="C3695" s="164">
        <v>26</v>
      </c>
      <c r="D3695" s="156">
        <f t="shared" si="402"/>
        <v>45225</v>
      </c>
      <c r="E3695" s="235">
        <f t="shared" si="405"/>
        <v>45225</v>
      </c>
      <c r="F3695" s="480"/>
      <c r="G3695" s="208" t="s">
        <v>1111</v>
      </c>
      <c r="J3695" s="165" t="s">
        <v>63</v>
      </c>
      <c r="K3695" s="205">
        <v>6666.67</v>
      </c>
      <c r="L3695" s="205"/>
    </row>
    <row r="3696" spans="1:12" ht="11.25" customHeight="1" x14ac:dyDescent="0.2">
      <c r="A3696" s="164">
        <v>2023</v>
      </c>
      <c r="B3696" s="164">
        <v>10</v>
      </c>
      <c r="C3696" s="164">
        <v>26</v>
      </c>
      <c r="D3696" s="156">
        <f t="shared" si="402"/>
        <v>45225</v>
      </c>
      <c r="E3696" s="235">
        <f t="shared" si="405"/>
        <v>45225</v>
      </c>
      <c r="F3696" s="480"/>
      <c r="G3696" s="208" t="s">
        <v>1111</v>
      </c>
      <c r="J3696" s="156" t="s">
        <v>131</v>
      </c>
      <c r="K3696" s="205"/>
      <c r="L3696" s="205">
        <v>66666.67</v>
      </c>
    </row>
    <row r="3697" spans="1:12" ht="11.25" customHeight="1" x14ac:dyDescent="0.2">
      <c r="A3697" s="226">
        <v>2023</v>
      </c>
      <c r="B3697" s="226">
        <v>10</v>
      </c>
      <c r="C3697" s="226">
        <v>26</v>
      </c>
      <c r="D3697" s="232">
        <f t="shared" si="402"/>
        <v>45225</v>
      </c>
      <c r="E3697" s="234">
        <f t="shared" si="405"/>
        <v>45225</v>
      </c>
      <c r="F3697" s="479"/>
      <c r="G3697" s="227" t="s">
        <v>1111</v>
      </c>
      <c r="H3697" s="228" t="str" cm="1">
        <f t="array" ref="H3697">IFERROR(INDEX(INVESTOR_LIST[INVESTOR NAME],MATCH(I3697,INVESTOR_LIST[INVESTOR CODE],0),)," ")</f>
        <v xml:space="preserve"> </v>
      </c>
      <c r="I3697" s="228"/>
      <c r="J3697" s="229" t="s">
        <v>88</v>
      </c>
      <c r="K3697" s="230"/>
      <c r="L3697" s="230">
        <v>2500000</v>
      </c>
    </row>
    <row r="3698" spans="1:12" ht="11.25" customHeight="1" x14ac:dyDescent="0.2">
      <c r="A3698" s="221">
        <v>2023</v>
      </c>
      <c r="B3698" s="221">
        <v>10</v>
      </c>
      <c r="C3698" s="221">
        <v>26</v>
      </c>
      <c r="D3698" s="231">
        <f t="shared" si="402"/>
        <v>45225</v>
      </c>
      <c r="E3698" s="233">
        <f t="shared" ref="E3698:E3734" si="406">DATE(A3698,B3698,C3698)</f>
        <v>45225</v>
      </c>
      <c r="F3698" s="478" t="s">
        <v>1630</v>
      </c>
      <c r="G3698" s="222" t="s">
        <v>1111</v>
      </c>
      <c r="H3698" s="223" t="str" cm="1">
        <f t="array" ref="H3698">IFERROR(INDEX(INVESTOR_LIST[INVESTOR NAME],MATCH(I3698,INVESTOR_LIST[INVESTOR CODE],0),)," ")</f>
        <v xml:space="preserve"> </v>
      </c>
      <c r="I3698" s="223"/>
      <c r="J3698" s="224" t="s">
        <v>55</v>
      </c>
      <c r="K3698" s="225">
        <v>2048000</v>
      </c>
      <c r="L3698" s="225"/>
    </row>
    <row r="3699" spans="1:12" ht="11.25" customHeight="1" x14ac:dyDescent="0.2">
      <c r="A3699" s="164">
        <v>2023</v>
      </c>
      <c r="B3699" s="164">
        <v>10</v>
      </c>
      <c r="C3699" s="164">
        <v>26</v>
      </c>
      <c r="D3699" s="156">
        <f t="shared" si="402"/>
        <v>45225</v>
      </c>
      <c r="E3699" s="235">
        <f t="shared" si="406"/>
        <v>45225</v>
      </c>
      <c r="F3699" s="480"/>
      <c r="G3699" s="208" t="s">
        <v>1111</v>
      </c>
      <c r="J3699" s="165" t="s">
        <v>63</v>
      </c>
      <c r="K3699" s="205">
        <v>5333.33</v>
      </c>
      <c r="L3699" s="205"/>
    </row>
    <row r="3700" spans="1:12" ht="11.25" customHeight="1" x14ac:dyDescent="0.2">
      <c r="A3700" s="164">
        <v>2023</v>
      </c>
      <c r="B3700" s="164">
        <v>10</v>
      </c>
      <c r="C3700" s="164">
        <v>26</v>
      </c>
      <c r="D3700" s="156">
        <f t="shared" si="402"/>
        <v>45225</v>
      </c>
      <c r="E3700" s="235">
        <f t="shared" si="406"/>
        <v>45225</v>
      </c>
      <c r="F3700" s="480"/>
      <c r="G3700" s="208" t="s">
        <v>1111</v>
      </c>
      <c r="J3700" s="156" t="s">
        <v>131</v>
      </c>
      <c r="K3700" s="205"/>
      <c r="L3700" s="205">
        <v>53333.33</v>
      </c>
    </row>
    <row r="3701" spans="1:12" ht="11.25" customHeight="1" x14ac:dyDescent="0.2">
      <c r="A3701" s="226">
        <v>2023</v>
      </c>
      <c r="B3701" s="226">
        <v>10</v>
      </c>
      <c r="C3701" s="226">
        <v>26</v>
      </c>
      <c r="D3701" s="232">
        <f t="shared" si="402"/>
        <v>45225</v>
      </c>
      <c r="E3701" s="234">
        <f t="shared" si="406"/>
        <v>45225</v>
      </c>
      <c r="F3701" s="479"/>
      <c r="G3701" s="227" t="s">
        <v>1111</v>
      </c>
      <c r="H3701" s="228" t="str" cm="1">
        <f t="array" ref="H3701">IFERROR(INDEX(INVESTOR_LIST[INVESTOR NAME],MATCH(I3701,INVESTOR_LIST[INVESTOR CODE],0),)," ")</f>
        <v xml:space="preserve"> </v>
      </c>
      <c r="I3701" s="228"/>
      <c r="J3701" s="229" t="s">
        <v>88</v>
      </c>
      <c r="K3701" s="230"/>
      <c r="L3701" s="230">
        <v>2000000</v>
      </c>
    </row>
    <row r="3702" spans="1:12" ht="11.25" customHeight="1" x14ac:dyDescent="0.2">
      <c r="A3702" s="221">
        <v>2023</v>
      </c>
      <c r="B3702" s="221">
        <v>10</v>
      </c>
      <c r="C3702" s="221">
        <v>26</v>
      </c>
      <c r="D3702" s="231">
        <f t="shared" si="402"/>
        <v>45225</v>
      </c>
      <c r="E3702" s="233">
        <f t="shared" si="406"/>
        <v>45225</v>
      </c>
      <c r="F3702" s="478" t="s">
        <v>1593</v>
      </c>
      <c r="G3702" s="222" t="s">
        <v>86</v>
      </c>
      <c r="H3702" s="222" t="str" cm="1">
        <f t="array" ref="H3702">IFERROR(INDEX(INVESTOR_LIST[INVESTOR NAME],MATCH(I3702,INVESTOR_LIST[INVESTOR CODE],0),)," ")</f>
        <v xml:space="preserve"> </v>
      </c>
      <c r="I3702" s="223"/>
      <c r="J3702" s="224" t="s">
        <v>80</v>
      </c>
      <c r="K3702" s="225">
        <v>494300</v>
      </c>
      <c r="L3702" s="225"/>
    </row>
    <row r="3703" spans="1:12" ht="11.25" customHeight="1" x14ac:dyDescent="0.2">
      <c r="A3703" s="164">
        <v>2023</v>
      </c>
      <c r="B3703" s="164">
        <v>10</v>
      </c>
      <c r="C3703" s="164">
        <v>26</v>
      </c>
      <c r="D3703" s="164">
        <f t="shared" si="402"/>
        <v>45225</v>
      </c>
      <c r="E3703" s="235">
        <f t="shared" si="406"/>
        <v>45225</v>
      </c>
      <c r="F3703" s="480"/>
      <c r="G3703" s="208" t="s">
        <v>86</v>
      </c>
      <c r="H3703" s="208"/>
      <c r="J3703" s="165" t="s">
        <v>960</v>
      </c>
      <c r="K3703" s="205">
        <v>889.76</v>
      </c>
      <c r="L3703" s="205"/>
    </row>
    <row r="3704" spans="1:12" ht="11.25" customHeight="1" x14ac:dyDescent="0.2">
      <c r="A3704" s="226">
        <v>2023</v>
      </c>
      <c r="B3704" s="226">
        <v>10</v>
      </c>
      <c r="C3704" s="226">
        <v>26</v>
      </c>
      <c r="D3704" s="226">
        <f t="shared" si="402"/>
        <v>45225</v>
      </c>
      <c r="E3704" s="234">
        <f t="shared" si="406"/>
        <v>45225</v>
      </c>
      <c r="F3704" s="479"/>
      <c r="G3704" s="227" t="s">
        <v>86</v>
      </c>
      <c r="H3704" s="227"/>
      <c r="I3704" s="228"/>
      <c r="J3704" s="229" t="s">
        <v>961</v>
      </c>
      <c r="K3704" s="294"/>
      <c r="L3704" s="230">
        <v>495189.76000000001</v>
      </c>
    </row>
    <row r="3705" spans="1:12" ht="11.25" customHeight="1" x14ac:dyDescent="0.2">
      <c r="A3705" s="280">
        <v>2023</v>
      </c>
      <c r="B3705" s="280">
        <v>10</v>
      </c>
      <c r="C3705" s="280">
        <v>26</v>
      </c>
      <c r="D3705" s="281">
        <f t="shared" si="402"/>
        <v>45225</v>
      </c>
      <c r="E3705" s="282">
        <f t="shared" si="406"/>
        <v>45225</v>
      </c>
      <c r="F3705" s="472" t="s">
        <v>1369</v>
      </c>
      <c r="G3705" s="283" t="s">
        <v>86</v>
      </c>
      <c r="H3705" s="284" t="str" cm="1">
        <f t="array" ref="H3705">IFERROR(INDEX(INVESTOR_LIST[INVESTOR NAME],MATCH(I3705,INVESTOR_LIST[INVESTOR CODE],0),)," ")</f>
        <v xml:space="preserve"> </v>
      </c>
      <c r="I3705" s="284"/>
      <c r="J3705" s="285" t="s">
        <v>131</v>
      </c>
      <c r="K3705" s="286">
        <v>93916.3</v>
      </c>
      <c r="L3705" s="286"/>
    </row>
    <row r="3706" spans="1:12" ht="11.25" customHeight="1" x14ac:dyDescent="0.2">
      <c r="A3706" s="287">
        <v>2023</v>
      </c>
      <c r="B3706" s="287">
        <v>10</v>
      </c>
      <c r="C3706" s="287">
        <v>26</v>
      </c>
      <c r="D3706" s="288">
        <f t="shared" si="402"/>
        <v>45225</v>
      </c>
      <c r="E3706" s="289">
        <f t="shared" si="406"/>
        <v>45225</v>
      </c>
      <c r="F3706" s="473"/>
      <c r="G3706" s="290" t="s">
        <v>86</v>
      </c>
      <c r="H3706" s="291" t="str" cm="1">
        <f t="array" ref="H3706">IFERROR(INDEX(INVESTOR_LIST[INVESTOR NAME],MATCH(I3706,INVESTOR_LIST[INVESTOR CODE],0),)," ")</f>
        <v xml:space="preserve"> </v>
      </c>
      <c r="I3706" s="291"/>
      <c r="J3706" s="292" t="s">
        <v>174</v>
      </c>
      <c r="K3706" s="293"/>
      <c r="L3706" s="293">
        <v>93916.3</v>
      </c>
    </row>
    <row r="3707" spans="1:12" ht="11.25" customHeight="1" x14ac:dyDescent="0.2">
      <c r="A3707" s="280">
        <v>2023</v>
      </c>
      <c r="B3707" s="280">
        <v>10</v>
      </c>
      <c r="C3707" s="280">
        <v>26</v>
      </c>
      <c r="D3707" s="281">
        <f t="shared" si="402"/>
        <v>45225</v>
      </c>
      <c r="E3707" s="282">
        <f t="shared" si="406"/>
        <v>45225</v>
      </c>
      <c r="F3707" s="472" t="s">
        <v>1295</v>
      </c>
      <c r="G3707" s="283" t="s">
        <v>86</v>
      </c>
      <c r="H3707" s="284" t="str" cm="1">
        <f t="array" ref="H3707">IFERROR(INDEX(INVESTOR_LIST[INVESTOR NAME],MATCH(I3707,INVESTOR_LIST[INVESTOR CODE],0),)," ")</f>
        <v xml:space="preserve"> </v>
      </c>
      <c r="I3707" s="284"/>
      <c r="J3707" s="285" t="s">
        <v>131</v>
      </c>
      <c r="K3707" s="286">
        <v>18342.63</v>
      </c>
      <c r="L3707" s="286"/>
    </row>
    <row r="3708" spans="1:12" ht="11.25" customHeight="1" x14ac:dyDescent="0.2">
      <c r="A3708" s="287">
        <v>2023</v>
      </c>
      <c r="B3708" s="287">
        <v>10</v>
      </c>
      <c r="C3708" s="287">
        <v>26</v>
      </c>
      <c r="D3708" s="288">
        <f t="shared" si="402"/>
        <v>45225</v>
      </c>
      <c r="E3708" s="289">
        <f t="shared" si="406"/>
        <v>45225</v>
      </c>
      <c r="F3708" s="473"/>
      <c r="G3708" s="290" t="s">
        <v>86</v>
      </c>
      <c r="H3708" s="291" t="str" cm="1">
        <f t="array" ref="H3708">IFERROR(INDEX(INVESTOR_LIST[INVESTOR NAME],MATCH(I3708,INVESTOR_LIST[INVESTOR CODE],0),)," ")</f>
        <v xml:space="preserve"> </v>
      </c>
      <c r="I3708" s="291"/>
      <c r="J3708" s="292" t="s">
        <v>174</v>
      </c>
      <c r="K3708" s="293"/>
      <c r="L3708" s="293">
        <v>18342.63</v>
      </c>
    </row>
    <row r="3709" spans="1:12" ht="11.25" customHeight="1" x14ac:dyDescent="0.2">
      <c r="A3709" s="280">
        <v>2023</v>
      </c>
      <c r="B3709" s="280">
        <v>10</v>
      </c>
      <c r="C3709" s="280">
        <v>26</v>
      </c>
      <c r="D3709" s="281">
        <f t="shared" si="402"/>
        <v>45225</v>
      </c>
      <c r="E3709" s="282">
        <f t="shared" si="406"/>
        <v>45225</v>
      </c>
      <c r="F3709" s="472" t="s">
        <v>1294</v>
      </c>
      <c r="G3709" s="283" t="s">
        <v>86</v>
      </c>
      <c r="H3709" s="284" t="str" cm="1">
        <f t="array" ref="H3709">IFERROR(INDEX(INVESTOR_LIST[INVESTOR NAME],MATCH(I3709,INVESTOR_LIST[INVESTOR CODE],0),)," ")</f>
        <v xml:space="preserve"> </v>
      </c>
      <c r="I3709" s="284"/>
      <c r="J3709" s="285" t="s">
        <v>131</v>
      </c>
      <c r="K3709" s="286"/>
      <c r="L3709" s="286"/>
    </row>
    <row r="3710" spans="1:12" ht="11.25" customHeight="1" x14ac:dyDescent="0.2">
      <c r="A3710" s="287">
        <v>2023</v>
      </c>
      <c r="B3710" s="287">
        <v>10</v>
      </c>
      <c r="C3710" s="287">
        <v>26</v>
      </c>
      <c r="D3710" s="288">
        <f t="shared" si="402"/>
        <v>45225</v>
      </c>
      <c r="E3710" s="289">
        <f t="shared" si="406"/>
        <v>45225</v>
      </c>
      <c r="F3710" s="473"/>
      <c r="G3710" s="290" t="s">
        <v>86</v>
      </c>
      <c r="H3710" s="291" t="str" cm="1">
        <f t="array" ref="H3710">IFERROR(INDEX(INVESTOR_LIST[INVESTOR NAME],MATCH(I3710,INVESTOR_LIST[INVESTOR CODE],0),)," ")</f>
        <v xml:space="preserve"> </v>
      </c>
      <c r="I3710" s="291"/>
      <c r="J3710" s="292" t="s">
        <v>174</v>
      </c>
      <c r="K3710" s="293"/>
      <c r="L3710" s="293"/>
    </row>
    <row r="3711" spans="1:12" ht="11.25" customHeight="1" x14ac:dyDescent="0.2">
      <c r="A3711" s="280">
        <v>2023</v>
      </c>
      <c r="B3711" s="280">
        <v>10</v>
      </c>
      <c r="C3711" s="280">
        <v>26</v>
      </c>
      <c r="D3711" s="281">
        <f t="shared" si="402"/>
        <v>45225</v>
      </c>
      <c r="E3711" s="282">
        <f t="shared" si="406"/>
        <v>45225</v>
      </c>
      <c r="F3711" s="472" t="s">
        <v>1584</v>
      </c>
      <c r="G3711" s="283" t="s">
        <v>86</v>
      </c>
      <c r="H3711" s="284" t="str" cm="1">
        <f t="array" ref="H3711">IFERROR(INDEX(INVESTOR_LIST[INVESTOR NAME],MATCH(I3711,INVESTOR_LIST[INVESTOR CODE],0),)," ")</f>
        <v xml:space="preserve"> </v>
      </c>
      <c r="I3711" s="284"/>
      <c r="J3711" s="285" t="s">
        <v>131</v>
      </c>
      <c r="K3711" s="286">
        <v>6346.1538461538457</v>
      </c>
      <c r="L3711" s="286"/>
    </row>
    <row r="3712" spans="1:12" ht="11.25" customHeight="1" x14ac:dyDescent="0.2">
      <c r="A3712" s="287">
        <v>2023</v>
      </c>
      <c r="B3712" s="287">
        <v>10</v>
      </c>
      <c r="C3712" s="287">
        <v>26</v>
      </c>
      <c r="D3712" s="288">
        <f t="shared" si="402"/>
        <v>45225</v>
      </c>
      <c r="E3712" s="289">
        <f t="shared" si="406"/>
        <v>45225</v>
      </c>
      <c r="F3712" s="473"/>
      <c r="G3712" s="290" t="s">
        <v>86</v>
      </c>
      <c r="H3712" s="291" t="str" cm="1">
        <f t="array" ref="H3712">IFERROR(INDEX(INVESTOR_LIST[INVESTOR NAME],MATCH(I3712,INVESTOR_LIST[INVESTOR CODE],0),)," ")</f>
        <v xml:space="preserve"> </v>
      </c>
      <c r="I3712" s="291"/>
      <c r="J3712" s="292" t="s">
        <v>174</v>
      </c>
      <c r="K3712" s="293"/>
      <c r="L3712" s="293">
        <v>6346.1538461538457</v>
      </c>
    </row>
    <row r="3713" spans="1:12" ht="11.25" customHeight="1" x14ac:dyDescent="0.2">
      <c r="A3713" s="358">
        <v>2023</v>
      </c>
      <c r="B3713" s="358">
        <v>10</v>
      </c>
      <c r="C3713" s="358">
        <v>26</v>
      </c>
      <c r="D3713" s="312">
        <f t="shared" si="402"/>
        <v>45225</v>
      </c>
      <c r="E3713" s="313">
        <f t="shared" si="406"/>
        <v>45225</v>
      </c>
      <c r="F3713" s="482" t="s">
        <v>1627</v>
      </c>
      <c r="G3713" s="314" t="s">
        <v>86</v>
      </c>
      <c r="H3713" s="324" t="str" cm="1">
        <f t="array" ref="H3713">IFERROR(INDEX(INVESTOR_LIST[INVESTOR NAME],MATCH(I3713,INVESTOR_LIST[INVESTOR CODE],0),)," ")</f>
        <v xml:space="preserve"> </v>
      </c>
      <c r="I3713" s="324"/>
      <c r="J3713" s="364" t="s">
        <v>1621</v>
      </c>
      <c r="K3713" s="365">
        <v>1363</v>
      </c>
      <c r="L3713" s="365"/>
    </row>
    <row r="3714" spans="1:12" ht="11.25" customHeight="1" x14ac:dyDescent="0.2">
      <c r="A3714" s="320">
        <v>2023</v>
      </c>
      <c r="B3714" s="320">
        <v>10</v>
      </c>
      <c r="C3714" s="320">
        <v>26</v>
      </c>
      <c r="D3714" s="323">
        <f t="shared" si="402"/>
        <v>45225</v>
      </c>
      <c r="E3714" s="321">
        <f t="shared" si="406"/>
        <v>45225</v>
      </c>
      <c r="F3714" s="483"/>
      <c r="G3714" s="322" t="s">
        <v>86</v>
      </c>
      <c r="H3714" s="325" t="str" cm="1">
        <f t="array" ref="H3714">IFERROR(INDEX(INVESTOR_LIST[INVESTOR NAME],MATCH(I3714,INVESTOR_LIST[INVESTOR CODE],0),)," ")</f>
        <v xml:space="preserve"> </v>
      </c>
      <c r="I3714" s="325"/>
      <c r="J3714" s="366" t="s">
        <v>1613</v>
      </c>
      <c r="K3714" s="367"/>
      <c r="L3714" s="367">
        <v>1363</v>
      </c>
    </row>
    <row r="3715" spans="1:12" ht="11.25" customHeight="1" x14ac:dyDescent="0.2">
      <c r="A3715" s="236">
        <v>2023</v>
      </c>
      <c r="B3715" s="236">
        <v>10</v>
      </c>
      <c r="C3715" s="236">
        <v>26</v>
      </c>
      <c r="D3715" s="237">
        <f t="shared" si="402"/>
        <v>45225</v>
      </c>
      <c r="E3715" s="238">
        <f t="shared" si="406"/>
        <v>45225</v>
      </c>
      <c r="F3715" s="476" t="s">
        <v>1118</v>
      </c>
      <c r="G3715" s="239" t="s">
        <v>86</v>
      </c>
      <c r="H3715" s="239" t="str" cm="1">
        <f t="array" ref="H3715">IFERROR(INDEX(INVESTOR_LIST[INVESTOR NAME],MATCH(I3715,INVESTOR_LIST[INVESTOR CODE],0),)," ")</f>
        <v xml:space="preserve"> </v>
      </c>
      <c r="I3715" s="240"/>
      <c r="J3715" s="241" t="s">
        <v>98</v>
      </c>
      <c r="K3715" s="242">
        <v>3980</v>
      </c>
      <c r="L3715" s="242"/>
    </row>
    <row r="3716" spans="1:12" ht="11.25" customHeight="1" x14ac:dyDescent="0.2">
      <c r="A3716" s="243">
        <v>2023</v>
      </c>
      <c r="B3716" s="243">
        <v>10</v>
      </c>
      <c r="C3716" s="243">
        <v>26</v>
      </c>
      <c r="D3716" s="248">
        <f t="shared" si="402"/>
        <v>45225</v>
      </c>
      <c r="E3716" s="249">
        <f t="shared" si="406"/>
        <v>45225</v>
      </c>
      <c r="F3716" s="477"/>
      <c r="G3716" s="244" t="s">
        <v>86</v>
      </c>
      <c r="H3716" s="244" t="str" cm="1">
        <f t="array" ref="H3716">IFERROR(INDEX(INVESTOR_LIST[INVESTOR NAME],MATCH(I3716,INVESTOR_LIST[INVESTOR CODE],0),)," ")</f>
        <v xml:space="preserve"> </v>
      </c>
      <c r="I3716" s="245"/>
      <c r="J3716" s="246" t="s">
        <v>82</v>
      </c>
      <c r="K3716" s="247"/>
      <c r="L3716" s="247">
        <v>3980</v>
      </c>
    </row>
    <row r="3717" spans="1:12" ht="11.25" customHeight="1" x14ac:dyDescent="0.2">
      <c r="A3717" s="236">
        <v>2023</v>
      </c>
      <c r="B3717" s="236">
        <v>10</v>
      </c>
      <c r="C3717" s="236">
        <v>26</v>
      </c>
      <c r="D3717" s="237">
        <f t="shared" si="402"/>
        <v>45225</v>
      </c>
      <c r="E3717" s="238">
        <f t="shared" si="406"/>
        <v>45225</v>
      </c>
      <c r="F3717" s="476" t="s">
        <v>1120</v>
      </c>
      <c r="G3717" s="239" t="s">
        <v>86</v>
      </c>
      <c r="H3717" s="239" t="str" cm="1">
        <f t="array" ref="H3717">IFERROR(INDEX(INVESTOR_LIST[INVESTOR NAME],MATCH(I3717,INVESTOR_LIST[INVESTOR CODE],0),)," ")</f>
        <v xml:space="preserve"> </v>
      </c>
      <c r="I3717" s="240"/>
      <c r="J3717" s="241" t="s">
        <v>87</v>
      </c>
      <c r="K3717" s="242">
        <v>2747.2527472527472</v>
      </c>
      <c r="L3717" s="242"/>
    </row>
    <row r="3718" spans="1:12" ht="11.25" customHeight="1" x14ac:dyDescent="0.2">
      <c r="A3718" s="243">
        <v>2023</v>
      </c>
      <c r="B3718" s="243">
        <v>10</v>
      </c>
      <c r="C3718" s="243">
        <v>26</v>
      </c>
      <c r="D3718" s="248">
        <f t="shared" si="402"/>
        <v>45225</v>
      </c>
      <c r="E3718" s="249">
        <f t="shared" si="406"/>
        <v>45225</v>
      </c>
      <c r="F3718" s="477"/>
      <c r="G3718" s="244" t="s">
        <v>86</v>
      </c>
      <c r="H3718" s="244" t="str" cm="1">
        <f t="array" ref="H3718">IFERROR(INDEX(INVESTOR_LIST[INVESTOR NAME],MATCH(I3718,INVESTOR_LIST[INVESTOR CODE],0),)," ")</f>
        <v xml:space="preserve"> </v>
      </c>
      <c r="I3718" s="245"/>
      <c r="J3718" s="246" t="s">
        <v>64</v>
      </c>
      <c r="K3718" s="247"/>
      <c r="L3718" s="247">
        <v>2747.2527472527472</v>
      </c>
    </row>
    <row r="3719" spans="1:12" ht="11.25" customHeight="1" x14ac:dyDescent="0.2">
      <c r="A3719" s="236">
        <v>2023</v>
      </c>
      <c r="B3719" s="236">
        <v>10</v>
      </c>
      <c r="C3719" s="236">
        <v>26</v>
      </c>
      <c r="D3719" s="237">
        <f t="shared" si="402"/>
        <v>45225</v>
      </c>
      <c r="E3719" s="238">
        <f t="shared" si="406"/>
        <v>45225</v>
      </c>
      <c r="F3719" s="476" t="s">
        <v>1121</v>
      </c>
      <c r="G3719" s="239" t="s">
        <v>86</v>
      </c>
      <c r="H3719" s="239" t="str" cm="1">
        <f t="array" ref="H3719">IFERROR(INDEX(INVESTOR_LIST[INVESTOR NAME],MATCH(I3719,INVESTOR_LIST[INVESTOR CODE],0),)," ")</f>
        <v xml:space="preserve"> </v>
      </c>
      <c r="I3719" s="240"/>
      <c r="J3719" s="241" t="s">
        <v>89</v>
      </c>
      <c r="K3719" s="242">
        <v>67928.365261561456</v>
      </c>
      <c r="L3719" s="242"/>
    </row>
    <row r="3720" spans="1:12" ht="11.25" customHeight="1" x14ac:dyDescent="0.2">
      <c r="A3720" s="243">
        <v>2023</v>
      </c>
      <c r="B3720" s="243">
        <v>10</v>
      </c>
      <c r="C3720" s="243">
        <v>26</v>
      </c>
      <c r="D3720" s="248">
        <f t="shared" si="402"/>
        <v>45225</v>
      </c>
      <c r="E3720" s="249">
        <f t="shared" si="406"/>
        <v>45225</v>
      </c>
      <c r="F3720" s="477"/>
      <c r="G3720" s="244" t="s">
        <v>86</v>
      </c>
      <c r="H3720" s="244" t="str" cm="1">
        <f t="array" ref="H3720">IFERROR(INDEX(INVESTOR_LIST[INVESTOR NAME],MATCH(I3720,INVESTOR_LIST[INVESTOR CODE],0),)," ")</f>
        <v xml:space="preserve"> </v>
      </c>
      <c r="I3720" s="245"/>
      <c r="J3720" s="246" t="s">
        <v>50</v>
      </c>
      <c r="K3720" s="247"/>
      <c r="L3720" s="247">
        <v>67928.365261561456</v>
      </c>
    </row>
    <row r="3721" spans="1:12" ht="11.25" customHeight="1" x14ac:dyDescent="0.2">
      <c r="A3721" s="236">
        <v>2023</v>
      </c>
      <c r="B3721" s="236">
        <v>10</v>
      </c>
      <c r="C3721" s="236">
        <v>26</v>
      </c>
      <c r="D3721" s="237">
        <f t="shared" ref="D3721:D3784" si="407">DATE(A3721,B3721,C3721)</f>
        <v>45225</v>
      </c>
      <c r="E3721" s="238">
        <f t="shared" si="406"/>
        <v>45225</v>
      </c>
      <c r="F3721" s="476" t="s">
        <v>1122</v>
      </c>
      <c r="G3721" s="239" t="s">
        <v>86</v>
      </c>
      <c r="H3721" s="239" t="str" cm="1">
        <f t="array" ref="H3721">IFERROR(INDEX(INVESTOR_LIST[INVESTOR NAME],MATCH(I3721,INVESTOR_LIST[INVESTOR CODE],0),)," ")</f>
        <v xml:space="preserve"> </v>
      </c>
      <c r="I3721" s="240"/>
      <c r="J3721" s="241" t="s">
        <v>91</v>
      </c>
      <c r="K3721" s="242">
        <v>3396.4182630780729</v>
      </c>
      <c r="L3721" s="242"/>
    </row>
    <row r="3722" spans="1:12" ht="11.25" customHeight="1" x14ac:dyDescent="0.2">
      <c r="A3722" s="243">
        <v>2023</v>
      </c>
      <c r="B3722" s="243">
        <v>10</v>
      </c>
      <c r="C3722" s="243">
        <v>26</v>
      </c>
      <c r="D3722" s="248">
        <f t="shared" si="407"/>
        <v>45225</v>
      </c>
      <c r="E3722" s="249">
        <f t="shared" si="406"/>
        <v>45225</v>
      </c>
      <c r="F3722" s="477"/>
      <c r="G3722" s="244" t="s">
        <v>86</v>
      </c>
      <c r="H3722" s="244" t="str" cm="1">
        <f t="array" ref="H3722">IFERROR(INDEX(INVESTOR_LIST[INVESTOR NAME],MATCH(I3722,INVESTOR_LIST[INVESTOR CODE],0),)," ")</f>
        <v xml:space="preserve"> </v>
      </c>
      <c r="I3722" s="245"/>
      <c r="J3722" s="246" t="s">
        <v>51</v>
      </c>
      <c r="K3722" s="247"/>
      <c r="L3722" s="247">
        <v>3396.4182630780729</v>
      </c>
    </row>
    <row r="3723" spans="1:12" ht="11.25" customHeight="1" x14ac:dyDescent="0.2">
      <c r="A3723" s="221">
        <v>2023</v>
      </c>
      <c r="B3723" s="221">
        <v>10</v>
      </c>
      <c r="C3723" s="221">
        <v>29</v>
      </c>
      <c r="D3723" s="231">
        <f t="shared" si="407"/>
        <v>45228</v>
      </c>
      <c r="E3723" s="233">
        <f t="shared" si="406"/>
        <v>45228</v>
      </c>
      <c r="F3723" s="478" t="s">
        <v>1132</v>
      </c>
      <c r="G3723" s="222" t="s">
        <v>1111</v>
      </c>
      <c r="H3723" s="223" t="str" cm="1">
        <f t="array" ref="H3723">IFERROR(INDEX(INVESTOR_LIST[INVESTOR NAME],MATCH(I3723,INVESTOR_LIST[INVESTOR CODE],0),)," ")</f>
        <v xml:space="preserve"> </v>
      </c>
      <c r="I3723" s="223"/>
      <c r="J3723" s="224" t="s">
        <v>55</v>
      </c>
      <c r="K3723" s="167">
        <v>15000</v>
      </c>
      <c r="L3723" s="225"/>
    </row>
    <row r="3724" spans="1:12" ht="11.25" customHeight="1" x14ac:dyDescent="0.2">
      <c r="A3724" s="164">
        <v>2023</v>
      </c>
      <c r="B3724" s="164">
        <v>10</v>
      </c>
      <c r="C3724" s="164">
        <v>29</v>
      </c>
      <c r="D3724" s="156">
        <f t="shared" si="407"/>
        <v>45228</v>
      </c>
      <c r="E3724" s="235">
        <f t="shared" si="406"/>
        <v>45228</v>
      </c>
      <c r="F3724" s="480"/>
      <c r="G3724" s="208" t="s">
        <v>1111</v>
      </c>
      <c r="H3724" s="206" t="str" cm="1">
        <f t="array" ref="H3724">IFERROR(INDEX(INVESTOR_LIST[INVESTOR NAME],MATCH(I3724,INVESTOR_LIST[INVESTOR CODE],0),)," ")</f>
        <v xml:space="preserve"> </v>
      </c>
      <c r="J3724" s="165" t="s">
        <v>14</v>
      </c>
      <c r="L3724" s="205">
        <v>14550</v>
      </c>
    </row>
    <row r="3725" spans="1:12" ht="11.25" customHeight="1" x14ac:dyDescent="0.2">
      <c r="A3725" s="226">
        <v>2023</v>
      </c>
      <c r="B3725" s="226">
        <v>10</v>
      </c>
      <c r="C3725" s="226">
        <v>29</v>
      </c>
      <c r="D3725" s="232">
        <f t="shared" si="407"/>
        <v>45228</v>
      </c>
      <c r="E3725" s="234">
        <f t="shared" si="406"/>
        <v>45228</v>
      </c>
      <c r="F3725" s="479"/>
      <c r="G3725" s="227" t="s">
        <v>1111</v>
      </c>
      <c r="H3725" s="228" t="str" cm="1">
        <f t="array" ref="H3725">IFERROR(INDEX(INVESTOR_LIST[INVESTOR NAME],MATCH(I3725,INVESTOR_LIST[INVESTOR CODE],0),)," ")</f>
        <v xml:space="preserve"> </v>
      </c>
      <c r="I3725" s="228"/>
      <c r="J3725" s="229" t="s">
        <v>1112</v>
      </c>
      <c r="K3725" s="230"/>
      <c r="L3725" s="230">
        <v>450</v>
      </c>
    </row>
    <row r="3726" spans="1:12" ht="11.25" customHeight="1" x14ac:dyDescent="0.2">
      <c r="A3726" s="221">
        <v>2023</v>
      </c>
      <c r="B3726" s="221">
        <v>10</v>
      </c>
      <c r="C3726" s="221">
        <v>30</v>
      </c>
      <c r="D3726" s="231">
        <f t="shared" si="407"/>
        <v>45229</v>
      </c>
      <c r="E3726" s="233">
        <f t="shared" si="406"/>
        <v>45229</v>
      </c>
      <c r="F3726" s="478" t="s">
        <v>1115</v>
      </c>
      <c r="G3726" s="222" t="s">
        <v>1111</v>
      </c>
      <c r="H3726" s="223" t="str" cm="1">
        <f t="array" ref="H3726">IFERROR(INDEX(INVESTOR_LIST[INVESTOR NAME],MATCH(I3726,INVESTOR_LIST[INVESTOR CODE],0),)," ")</f>
        <v>RAIHAN RASHID MAJUMDAR</v>
      </c>
      <c r="I3726" s="223" t="s">
        <v>460</v>
      </c>
      <c r="J3726" s="224" t="s">
        <v>14</v>
      </c>
      <c r="K3726" s="225">
        <v>1939860</v>
      </c>
      <c r="L3726" s="225"/>
    </row>
    <row r="3727" spans="1:12" ht="11.25" customHeight="1" x14ac:dyDescent="0.2">
      <c r="A3727" s="164">
        <v>2023</v>
      </c>
      <c r="B3727" s="164">
        <v>10</v>
      </c>
      <c r="C3727" s="164">
        <v>30</v>
      </c>
      <c r="D3727" s="156">
        <f t="shared" si="407"/>
        <v>45229</v>
      </c>
      <c r="E3727" s="235">
        <f t="shared" si="406"/>
        <v>45229</v>
      </c>
      <c r="F3727" s="480"/>
      <c r="G3727" s="208" t="s">
        <v>1111</v>
      </c>
      <c r="H3727" s="206" t="str" cm="1">
        <f t="array" ref="H3727">IFERROR(INDEX(INVESTOR_LIST[INVESTOR NAME],MATCH(I3727,INVESTOR_LIST[INVESTOR CODE],0),)," ")</f>
        <v>RAIHAN RASHID MAJUMDAR</v>
      </c>
      <c r="I3727" s="206" t="s">
        <v>460</v>
      </c>
      <c r="J3727" s="165" t="s">
        <v>1112</v>
      </c>
      <c r="K3727" s="205">
        <v>60140</v>
      </c>
    </row>
    <row r="3728" spans="1:12" ht="11.25" customHeight="1" x14ac:dyDescent="0.2">
      <c r="A3728" s="226">
        <v>2023</v>
      </c>
      <c r="B3728" s="226">
        <v>10</v>
      </c>
      <c r="C3728" s="226">
        <v>30</v>
      </c>
      <c r="D3728" s="232">
        <f t="shared" si="407"/>
        <v>45229</v>
      </c>
      <c r="E3728" s="234">
        <f t="shared" si="406"/>
        <v>45229</v>
      </c>
      <c r="F3728" s="479"/>
      <c r="G3728" s="227" t="s">
        <v>1111</v>
      </c>
      <c r="H3728" s="228" t="str" cm="1">
        <f t="array" ref="H3728">IFERROR(INDEX(INVESTOR_LIST[INVESTOR NAME],MATCH(I3728,INVESTOR_LIST[INVESTOR CODE],0),)," ")</f>
        <v>RAIHAN RASHID MAJUMDAR</v>
      </c>
      <c r="I3728" s="228" t="s">
        <v>460</v>
      </c>
      <c r="J3728" s="229" t="s">
        <v>55</v>
      </c>
      <c r="K3728" s="230"/>
      <c r="L3728" s="230">
        <v>2000000</v>
      </c>
    </row>
    <row r="3729" spans="1:12" ht="11.25" customHeight="1" x14ac:dyDescent="0.2">
      <c r="A3729" s="221">
        <v>2023</v>
      </c>
      <c r="B3729" s="221">
        <v>10</v>
      </c>
      <c r="C3729" s="221">
        <v>30</v>
      </c>
      <c r="D3729" s="231">
        <f t="shared" si="407"/>
        <v>45229</v>
      </c>
      <c r="E3729" s="233">
        <f t="shared" si="406"/>
        <v>45229</v>
      </c>
      <c r="F3729" s="478" t="s">
        <v>1114</v>
      </c>
      <c r="G3729" s="222" t="s">
        <v>1111</v>
      </c>
      <c r="H3729" s="223" t="str" cm="1">
        <f t="array" ref="H3729">IFERROR(INDEX(INVESTOR_LIST[INVESTOR NAME],MATCH(I3729,INVESTOR_LIST[INVESTOR CODE],0),)," ")</f>
        <v xml:space="preserve"> </v>
      </c>
      <c r="I3729" s="223"/>
      <c r="J3729" s="224" t="s">
        <v>63</v>
      </c>
      <c r="K3729" s="225">
        <v>100.00499992072582</v>
      </c>
      <c r="L3729" s="225"/>
    </row>
    <row r="3730" spans="1:12" ht="11.25" customHeight="1" x14ac:dyDescent="0.2">
      <c r="A3730" s="226">
        <v>2023</v>
      </c>
      <c r="B3730" s="226">
        <v>10</v>
      </c>
      <c r="C3730" s="226">
        <v>30</v>
      </c>
      <c r="D3730" s="232">
        <f t="shared" si="407"/>
        <v>45229</v>
      </c>
      <c r="E3730" s="234">
        <f t="shared" si="406"/>
        <v>45229</v>
      </c>
      <c r="F3730" s="479"/>
      <c r="G3730" s="227" t="s">
        <v>1111</v>
      </c>
      <c r="H3730" s="228" t="str" cm="1">
        <f t="array" ref="H3730">IFERROR(INDEX(INVESTOR_LIST[INVESTOR NAME],MATCH(I3730,INVESTOR_LIST[INVESTOR CODE],0),)," ")</f>
        <v xml:space="preserve"> </v>
      </c>
      <c r="I3730" s="228"/>
      <c r="J3730" s="229" t="s">
        <v>55</v>
      </c>
      <c r="K3730" s="230"/>
      <c r="L3730" s="230">
        <v>100.00499992072582</v>
      </c>
    </row>
    <row r="3731" spans="1:12" ht="11.25" customHeight="1" x14ac:dyDescent="0.2">
      <c r="A3731" s="221">
        <v>2023</v>
      </c>
      <c r="B3731" s="221">
        <v>10</v>
      </c>
      <c r="C3731" s="221">
        <v>30</v>
      </c>
      <c r="D3731" s="231">
        <f t="shared" si="407"/>
        <v>45229</v>
      </c>
      <c r="E3731" s="233">
        <f t="shared" ref="E3731:E3732" si="408">DATE(A3731,B3731,C3731)</f>
        <v>45229</v>
      </c>
      <c r="F3731" s="478" t="s">
        <v>1114</v>
      </c>
      <c r="G3731" s="222" t="s">
        <v>1111</v>
      </c>
      <c r="H3731" s="223" t="str" cm="1">
        <f t="array" ref="H3731">IFERROR(INDEX(INVESTOR_LIST[INVESTOR NAME],MATCH(I3731,INVESTOR_LIST[INVESTOR CODE],0),)," ")</f>
        <v xml:space="preserve"> </v>
      </c>
      <c r="I3731" s="223"/>
      <c r="J3731" s="224" t="s">
        <v>63</v>
      </c>
      <c r="K3731" s="225">
        <v>100</v>
      </c>
      <c r="L3731" s="225"/>
    </row>
    <row r="3732" spans="1:12" ht="11.25" customHeight="1" x14ac:dyDescent="0.2">
      <c r="A3732" s="226">
        <v>2023</v>
      </c>
      <c r="B3732" s="226">
        <v>10</v>
      </c>
      <c r="C3732" s="226">
        <v>30</v>
      </c>
      <c r="D3732" s="232">
        <f t="shared" si="407"/>
        <v>45229</v>
      </c>
      <c r="E3732" s="234">
        <f t="shared" si="408"/>
        <v>45229</v>
      </c>
      <c r="F3732" s="479"/>
      <c r="G3732" s="227" t="s">
        <v>1111</v>
      </c>
      <c r="H3732" s="228" t="str" cm="1">
        <f t="array" ref="H3732">IFERROR(INDEX(INVESTOR_LIST[INVESTOR NAME],MATCH(I3732,INVESTOR_LIST[INVESTOR CODE],0),)," ")</f>
        <v xml:space="preserve"> </v>
      </c>
      <c r="I3732" s="228"/>
      <c r="J3732" s="229" t="s">
        <v>55</v>
      </c>
      <c r="K3732" s="230"/>
      <c r="L3732" s="230">
        <v>100</v>
      </c>
    </row>
    <row r="3733" spans="1:12" ht="11.25" customHeight="1" x14ac:dyDescent="0.2">
      <c r="A3733" s="221">
        <v>2023</v>
      </c>
      <c r="B3733" s="221">
        <v>10</v>
      </c>
      <c r="C3733" s="221">
        <v>30</v>
      </c>
      <c r="D3733" s="231">
        <f t="shared" si="407"/>
        <v>45229</v>
      </c>
      <c r="E3733" s="233">
        <f t="shared" si="406"/>
        <v>45229</v>
      </c>
      <c r="F3733" s="478" t="s">
        <v>1604</v>
      </c>
      <c r="G3733" s="222" t="s">
        <v>1111</v>
      </c>
      <c r="H3733" s="223" t="str" cm="1">
        <f t="array" ref="H3733">IFERROR(INDEX(INVESTOR_LIST[INVESTOR NAME],MATCH(I3733,INVESTOR_LIST[INVESTOR CODE],0),)," ")</f>
        <v xml:space="preserve"> </v>
      </c>
      <c r="I3733" s="223"/>
      <c r="J3733" s="224" t="s">
        <v>88</v>
      </c>
      <c r="K3733" s="225">
        <v>3000000</v>
      </c>
      <c r="L3733" s="225"/>
    </row>
    <row r="3734" spans="1:12" ht="11.25" customHeight="1" x14ac:dyDescent="0.2">
      <c r="A3734" s="226">
        <v>2023</v>
      </c>
      <c r="B3734" s="226">
        <v>10</v>
      </c>
      <c r="C3734" s="226">
        <v>30</v>
      </c>
      <c r="D3734" s="232">
        <f t="shared" si="407"/>
        <v>45229</v>
      </c>
      <c r="E3734" s="234">
        <f t="shared" si="406"/>
        <v>45229</v>
      </c>
      <c r="F3734" s="479"/>
      <c r="G3734" s="227" t="s">
        <v>1111</v>
      </c>
      <c r="H3734" s="228" t="str" cm="1">
        <f t="array" ref="H3734">IFERROR(INDEX(INVESTOR_LIST[INVESTOR NAME],MATCH(I3734,INVESTOR_LIST[INVESTOR CODE],0),)," ")</f>
        <v xml:space="preserve"> </v>
      </c>
      <c r="I3734" s="228"/>
      <c r="J3734" s="229" t="s">
        <v>55</v>
      </c>
      <c r="K3734" s="230"/>
      <c r="L3734" s="230">
        <v>3000000</v>
      </c>
    </row>
    <row r="3735" spans="1:12" ht="11.25" customHeight="1" x14ac:dyDescent="0.2">
      <c r="A3735" s="221">
        <v>2023</v>
      </c>
      <c r="B3735" s="221">
        <v>10</v>
      </c>
      <c r="C3735" s="221">
        <v>31</v>
      </c>
      <c r="D3735" s="231">
        <f t="shared" si="407"/>
        <v>45230</v>
      </c>
      <c r="E3735" s="233">
        <f t="shared" ref="E3735:E3737" si="409">DATE(A3735,B3735,C3735)</f>
        <v>45230</v>
      </c>
      <c r="F3735" s="478" t="s">
        <v>1115</v>
      </c>
      <c r="G3735" s="222" t="s">
        <v>1111</v>
      </c>
      <c r="H3735" s="223" t="str" cm="1">
        <f t="array" ref="H3735">IFERROR(INDEX(INVESTOR_LIST[INVESTOR NAME],MATCH(I3735,INVESTOR_LIST[INVESTOR CODE],0),)," ")</f>
        <v>MD. BABUL MIAH</v>
      </c>
      <c r="I3735" s="223" t="s">
        <v>1200</v>
      </c>
      <c r="J3735" s="224" t="s">
        <v>14</v>
      </c>
      <c r="K3735" s="225">
        <v>19960</v>
      </c>
      <c r="L3735" s="225"/>
    </row>
    <row r="3736" spans="1:12" ht="11.25" customHeight="1" x14ac:dyDescent="0.2">
      <c r="A3736" s="164">
        <v>2023</v>
      </c>
      <c r="B3736" s="164">
        <v>10</v>
      </c>
      <c r="C3736" s="164">
        <v>31</v>
      </c>
      <c r="D3736" s="156">
        <f t="shared" si="407"/>
        <v>45230</v>
      </c>
      <c r="E3736" s="235">
        <f t="shared" si="409"/>
        <v>45230</v>
      </c>
      <c r="F3736" s="480"/>
      <c r="G3736" s="208" t="s">
        <v>1111</v>
      </c>
      <c r="H3736" s="206" t="str" cm="1">
        <f t="array" ref="H3736">IFERROR(INDEX(INVESTOR_LIST[INVESTOR NAME],MATCH(I3736,INVESTOR_LIST[INVESTOR CODE],0),)," ")</f>
        <v>MD. BABUL MIAH</v>
      </c>
      <c r="I3736" s="206" t="s">
        <v>1200</v>
      </c>
      <c r="J3736" s="165" t="s">
        <v>1112</v>
      </c>
      <c r="K3736" s="205">
        <v>618.7599999999984</v>
      </c>
    </row>
    <row r="3737" spans="1:12" ht="11.25" customHeight="1" x14ac:dyDescent="0.2">
      <c r="A3737" s="226">
        <v>2023</v>
      </c>
      <c r="B3737" s="226">
        <v>10</v>
      </c>
      <c r="C3737" s="226">
        <v>31</v>
      </c>
      <c r="D3737" s="232">
        <f t="shared" si="407"/>
        <v>45230</v>
      </c>
      <c r="E3737" s="234">
        <f t="shared" si="409"/>
        <v>45230</v>
      </c>
      <c r="F3737" s="479"/>
      <c r="G3737" s="227" t="s">
        <v>1111</v>
      </c>
      <c r="H3737" s="228" t="str" cm="1">
        <f t="array" ref="H3737">IFERROR(INDEX(INVESTOR_LIST[INVESTOR NAME],MATCH(I3737,INVESTOR_LIST[INVESTOR CODE],0),)," ")</f>
        <v>MD. BABUL MIAH</v>
      </c>
      <c r="I3737" s="228" t="s">
        <v>1200</v>
      </c>
      <c r="J3737" s="229" t="s">
        <v>55</v>
      </c>
      <c r="K3737" s="230"/>
      <c r="L3737" s="230">
        <v>20578.759999999998</v>
      </c>
    </row>
    <row r="3738" spans="1:12" ht="11.25" customHeight="1" x14ac:dyDescent="0.2">
      <c r="A3738" s="221">
        <v>2023</v>
      </c>
      <c r="B3738" s="221">
        <v>10</v>
      </c>
      <c r="C3738" s="221">
        <v>31</v>
      </c>
      <c r="D3738" s="231">
        <f t="shared" si="407"/>
        <v>45230</v>
      </c>
      <c r="E3738" s="233">
        <f>DATE(A3738,B3738,C3738)</f>
        <v>45230</v>
      </c>
      <c r="F3738" s="478" t="s">
        <v>1594</v>
      </c>
      <c r="G3738" s="222" t="s">
        <v>1111</v>
      </c>
      <c r="H3738" s="223" t="str" cm="1">
        <f t="array" ref="H3738">IFERROR(INDEX(INVESTOR_LIST[INVESTOR NAME],MATCH(I3738,INVESTOR_LIST[INVESTOR CODE],0),)," ")</f>
        <v xml:space="preserve"> </v>
      </c>
      <c r="I3738" s="223"/>
      <c r="J3738" s="224" t="s">
        <v>961</v>
      </c>
      <c r="K3738" s="225">
        <v>495189.76000000001</v>
      </c>
      <c r="L3738" s="225"/>
    </row>
    <row r="3739" spans="1:12" ht="11.25" customHeight="1" x14ac:dyDescent="0.2">
      <c r="A3739" s="226">
        <v>2023</v>
      </c>
      <c r="B3739" s="226">
        <v>10</v>
      </c>
      <c r="C3739" s="226">
        <v>31</v>
      </c>
      <c r="D3739" s="232">
        <f t="shared" si="407"/>
        <v>45230</v>
      </c>
      <c r="E3739" s="234">
        <f>DATE(A3739,B3739,C3739)</f>
        <v>45230</v>
      </c>
      <c r="F3739" s="479"/>
      <c r="G3739" s="227" t="s">
        <v>1111</v>
      </c>
      <c r="H3739" s="228" t="str" cm="1">
        <f t="array" ref="H3739">IFERROR(INDEX(INVESTOR_LIST[INVESTOR NAME],MATCH(I3739,INVESTOR_LIST[INVESTOR CODE],0),)," ")</f>
        <v xml:space="preserve"> </v>
      </c>
      <c r="I3739" s="228"/>
      <c r="J3739" s="229" t="s">
        <v>55</v>
      </c>
      <c r="K3739" s="230"/>
      <c r="L3739" s="230">
        <v>495189.76000000001</v>
      </c>
    </row>
    <row r="3740" spans="1:12" ht="11.25" customHeight="1" x14ac:dyDescent="0.2">
      <c r="A3740" s="280">
        <v>2023</v>
      </c>
      <c r="B3740" s="280">
        <v>11</v>
      </c>
      <c r="C3740" s="280">
        <v>2</v>
      </c>
      <c r="D3740" s="281">
        <f t="shared" si="407"/>
        <v>45232</v>
      </c>
      <c r="E3740" s="282">
        <f t="shared" ref="E3740:E3766" si="410">DATE(A3740,B3740,C3740)</f>
        <v>45232</v>
      </c>
      <c r="F3740" s="472" t="s">
        <v>1369</v>
      </c>
      <c r="G3740" s="283" t="s">
        <v>86</v>
      </c>
      <c r="H3740" s="284" t="str" cm="1">
        <f t="array" ref="H3740">IFERROR(INDEX(INVESTOR_LIST[INVESTOR NAME],MATCH(I3740,INVESTOR_LIST[INVESTOR CODE],0),)," ")</f>
        <v xml:space="preserve"> </v>
      </c>
      <c r="I3740" s="284"/>
      <c r="J3740" s="285" t="s">
        <v>131</v>
      </c>
      <c r="K3740" s="286">
        <v>99425.919999999998</v>
      </c>
      <c r="L3740" s="286"/>
    </row>
    <row r="3741" spans="1:12" ht="11.25" customHeight="1" x14ac:dyDescent="0.2">
      <c r="A3741" s="287">
        <v>2023</v>
      </c>
      <c r="B3741" s="287">
        <v>11</v>
      </c>
      <c r="C3741" s="287">
        <v>2</v>
      </c>
      <c r="D3741" s="288">
        <f t="shared" si="407"/>
        <v>45232</v>
      </c>
      <c r="E3741" s="289">
        <f t="shared" si="410"/>
        <v>45232</v>
      </c>
      <c r="F3741" s="473"/>
      <c r="G3741" s="290" t="s">
        <v>86</v>
      </c>
      <c r="H3741" s="291" t="str" cm="1">
        <f t="array" ref="H3741">IFERROR(INDEX(INVESTOR_LIST[INVESTOR NAME],MATCH(I3741,INVESTOR_LIST[INVESTOR CODE],0),)," ")</f>
        <v xml:space="preserve"> </v>
      </c>
      <c r="I3741" s="291"/>
      <c r="J3741" s="292" t="s">
        <v>174</v>
      </c>
      <c r="K3741" s="293"/>
      <c r="L3741" s="293">
        <v>99425.919999999998</v>
      </c>
    </row>
    <row r="3742" spans="1:12" ht="11.25" customHeight="1" x14ac:dyDescent="0.2">
      <c r="A3742" s="280">
        <v>2023</v>
      </c>
      <c r="B3742" s="280">
        <v>11</v>
      </c>
      <c r="C3742" s="280">
        <v>2</v>
      </c>
      <c r="D3742" s="281">
        <f t="shared" si="407"/>
        <v>45232</v>
      </c>
      <c r="E3742" s="282">
        <f t="shared" si="410"/>
        <v>45232</v>
      </c>
      <c r="F3742" s="472" t="s">
        <v>1295</v>
      </c>
      <c r="G3742" s="283" t="s">
        <v>86</v>
      </c>
      <c r="H3742" s="284" t="str" cm="1">
        <f t="array" ref="H3742">IFERROR(INDEX(INVESTOR_LIST[INVESTOR NAME],MATCH(I3742,INVESTOR_LIST[INVESTOR CODE],0),)," ")</f>
        <v xml:space="preserve"> </v>
      </c>
      <c r="I3742" s="284"/>
      <c r="J3742" s="285" t="s">
        <v>131</v>
      </c>
      <c r="K3742" s="286">
        <v>18342.63</v>
      </c>
      <c r="L3742" s="286"/>
    </row>
    <row r="3743" spans="1:12" ht="11.25" customHeight="1" x14ac:dyDescent="0.2">
      <c r="A3743" s="287">
        <v>2023</v>
      </c>
      <c r="B3743" s="287">
        <v>11</v>
      </c>
      <c r="C3743" s="287">
        <v>2</v>
      </c>
      <c r="D3743" s="288">
        <f t="shared" si="407"/>
        <v>45232</v>
      </c>
      <c r="E3743" s="289">
        <f t="shared" si="410"/>
        <v>45232</v>
      </c>
      <c r="F3743" s="473"/>
      <c r="G3743" s="290" t="s">
        <v>86</v>
      </c>
      <c r="H3743" s="291" t="str" cm="1">
        <f t="array" ref="H3743">IFERROR(INDEX(INVESTOR_LIST[INVESTOR NAME],MATCH(I3743,INVESTOR_LIST[INVESTOR CODE],0),)," ")</f>
        <v xml:space="preserve"> </v>
      </c>
      <c r="I3743" s="291"/>
      <c r="J3743" s="292" t="s">
        <v>174</v>
      </c>
      <c r="K3743" s="293"/>
      <c r="L3743" s="293">
        <v>18342.63</v>
      </c>
    </row>
    <row r="3744" spans="1:12" ht="11.25" customHeight="1" x14ac:dyDescent="0.2">
      <c r="A3744" s="280">
        <v>2023</v>
      </c>
      <c r="B3744" s="280">
        <v>11</v>
      </c>
      <c r="C3744" s="280">
        <v>2</v>
      </c>
      <c r="D3744" s="281">
        <f t="shared" si="407"/>
        <v>45232</v>
      </c>
      <c r="E3744" s="282">
        <f t="shared" si="410"/>
        <v>45232</v>
      </c>
      <c r="F3744" s="472" t="s">
        <v>1294</v>
      </c>
      <c r="G3744" s="283" t="s">
        <v>86</v>
      </c>
      <c r="H3744" s="284" t="str" cm="1">
        <f t="array" ref="H3744">IFERROR(INDEX(INVESTOR_LIST[INVESTOR NAME],MATCH(I3744,INVESTOR_LIST[INVESTOR CODE],0),)," ")</f>
        <v xml:space="preserve"> </v>
      </c>
      <c r="I3744" s="284"/>
      <c r="J3744" s="285" t="s">
        <v>131</v>
      </c>
      <c r="K3744" s="286"/>
      <c r="L3744" s="286"/>
    </row>
    <row r="3745" spans="1:12" ht="11.25" customHeight="1" x14ac:dyDescent="0.2">
      <c r="A3745" s="287">
        <v>2023</v>
      </c>
      <c r="B3745" s="287">
        <v>11</v>
      </c>
      <c r="C3745" s="287">
        <v>2</v>
      </c>
      <c r="D3745" s="288">
        <f t="shared" si="407"/>
        <v>45232</v>
      </c>
      <c r="E3745" s="289">
        <f t="shared" si="410"/>
        <v>45232</v>
      </c>
      <c r="F3745" s="473"/>
      <c r="G3745" s="290" t="s">
        <v>86</v>
      </c>
      <c r="H3745" s="291" t="str" cm="1">
        <f t="array" ref="H3745">IFERROR(INDEX(INVESTOR_LIST[INVESTOR NAME],MATCH(I3745,INVESTOR_LIST[INVESTOR CODE],0),)," ")</f>
        <v xml:space="preserve"> </v>
      </c>
      <c r="I3745" s="291"/>
      <c r="J3745" s="292" t="s">
        <v>174</v>
      </c>
      <c r="K3745" s="293"/>
      <c r="L3745" s="293"/>
    </row>
    <row r="3746" spans="1:12" ht="11.25" customHeight="1" x14ac:dyDescent="0.2">
      <c r="A3746" s="280">
        <v>2023</v>
      </c>
      <c r="B3746" s="280">
        <v>11</v>
      </c>
      <c r="C3746" s="280">
        <v>2</v>
      </c>
      <c r="D3746" s="281">
        <f t="shared" si="407"/>
        <v>45232</v>
      </c>
      <c r="E3746" s="282">
        <f t="shared" si="410"/>
        <v>45232</v>
      </c>
      <c r="F3746" s="472" t="s">
        <v>1584</v>
      </c>
      <c r="G3746" s="283" t="s">
        <v>86</v>
      </c>
      <c r="H3746" s="284" t="str" cm="1">
        <f t="array" ref="H3746">IFERROR(INDEX(INVESTOR_LIST[INVESTOR NAME],MATCH(I3746,INVESTOR_LIST[INVESTOR CODE],0),)," ")</f>
        <v xml:space="preserve"> </v>
      </c>
      <c r="I3746" s="284"/>
      <c r="J3746" s="285" t="s">
        <v>131</v>
      </c>
      <c r="K3746" s="286">
        <v>6346.1538461538457</v>
      </c>
      <c r="L3746" s="286"/>
    </row>
    <row r="3747" spans="1:12" ht="11.25" customHeight="1" x14ac:dyDescent="0.2">
      <c r="A3747" s="287">
        <v>2023</v>
      </c>
      <c r="B3747" s="287">
        <v>11</v>
      </c>
      <c r="C3747" s="287">
        <v>2</v>
      </c>
      <c r="D3747" s="288">
        <f t="shared" si="407"/>
        <v>45232</v>
      </c>
      <c r="E3747" s="289">
        <f t="shared" si="410"/>
        <v>45232</v>
      </c>
      <c r="F3747" s="473"/>
      <c r="G3747" s="290" t="s">
        <v>86</v>
      </c>
      <c r="H3747" s="291" t="str" cm="1">
        <f t="array" ref="H3747">IFERROR(INDEX(INVESTOR_LIST[INVESTOR NAME],MATCH(I3747,INVESTOR_LIST[INVESTOR CODE],0),)," ")</f>
        <v xml:space="preserve"> </v>
      </c>
      <c r="I3747" s="291"/>
      <c r="J3747" s="292" t="s">
        <v>174</v>
      </c>
      <c r="K3747" s="293"/>
      <c r="L3747" s="293">
        <v>6346.1538461538457</v>
      </c>
    </row>
    <row r="3748" spans="1:12" ht="11.25" customHeight="1" x14ac:dyDescent="0.2">
      <c r="A3748" s="358">
        <v>2023</v>
      </c>
      <c r="B3748" s="358">
        <v>11</v>
      </c>
      <c r="C3748" s="358">
        <v>2</v>
      </c>
      <c r="D3748" s="312">
        <f t="shared" si="407"/>
        <v>45232</v>
      </c>
      <c r="E3748" s="313">
        <f t="shared" si="410"/>
        <v>45232</v>
      </c>
      <c r="F3748" s="482" t="s">
        <v>1627</v>
      </c>
      <c r="G3748" s="314" t="s">
        <v>86</v>
      </c>
      <c r="H3748" s="324" t="str" cm="1">
        <f t="array" ref="H3748">IFERROR(INDEX(INVESTOR_LIST[INVESTOR NAME],MATCH(I3748,INVESTOR_LIST[INVESTOR CODE],0),)," ")</f>
        <v xml:space="preserve"> </v>
      </c>
      <c r="I3748" s="324"/>
      <c r="J3748" s="364" t="s">
        <v>1621</v>
      </c>
      <c r="K3748" s="365">
        <v>786</v>
      </c>
      <c r="L3748" s="365"/>
    </row>
    <row r="3749" spans="1:12" ht="11.25" customHeight="1" x14ac:dyDescent="0.2">
      <c r="A3749" s="320">
        <v>2023</v>
      </c>
      <c r="B3749" s="320">
        <v>11</v>
      </c>
      <c r="C3749" s="320">
        <v>2</v>
      </c>
      <c r="D3749" s="323">
        <f t="shared" si="407"/>
        <v>45232</v>
      </c>
      <c r="E3749" s="321">
        <f t="shared" si="410"/>
        <v>45232</v>
      </c>
      <c r="F3749" s="483"/>
      <c r="G3749" s="322" t="s">
        <v>86</v>
      </c>
      <c r="H3749" s="325" t="str" cm="1">
        <f t="array" ref="H3749">IFERROR(INDEX(INVESTOR_LIST[INVESTOR NAME],MATCH(I3749,INVESTOR_LIST[INVESTOR CODE],0),)," ")</f>
        <v xml:space="preserve"> </v>
      </c>
      <c r="I3749" s="325"/>
      <c r="J3749" s="366" t="s">
        <v>1613</v>
      </c>
      <c r="K3749" s="367"/>
      <c r="L3749" s="367">
        <v>786</v>
      </c>
    </row>
    <row r="3750" spans="1:12" ht="11.25" customHeight="1" x14ac:dyDescent="0.2">
      <c r="A3750" s="236">
        <v>2023</v>
      </c>
      <c r="B3750" s="236">
        <v>11</v>
      </c>
      <c r="C3750" s="236">
        <v>2</v>
      </c>
      <c r="D3750" s="237">
        <f t="shared" si="407"/>
        <v>45232</v>
      </c>
      <c r="E3750" s="238">
        <f t="shared" si="410"/>
        <v>45232</v>
      </c>
      <c r="F3750" s="476" t="s">
        <v>1118</v>
      </c>
      <c r="G3750" s="239" t="s">
        <v>86</v>
      </c>
      <c r="H3750" s="239" t="str" cm="1">
        <f t="array" ref="H3750">IFERROR(INDEX(INVESTOR_LIST[INVESTOR NAME],MATCH(I3750,INVESTOR_LIST[INVESTOR CODE],0),)," ")</f>
        <v xml:space="preserve"> </v>
      </c>
      <c r="I3750" s="240"/>
      <c r="J3750" s="241" t="s">
        <v>82</v>
      </c>
      <c r="K3750" s="242">
        <v>66510</v>
      </c>
      <c r="L3750" s="242"/>
    </row>
    <row r="3751" spans="1:12" ht="11.25" customHeight="1" x14ac:dyDescent="0.2">
      <c r="A3751" s="243">
        <v>2023</v>
      </c>
      <c r="B3751" s="243">
        <v>11</v>
      </c>
      <c r="C3751" s="243">
        <v>2</v>
      </c>
      <c r="D3751" s="248">
        <f t="shared" si="407"/>
        <v>45232</v>
      </c>
      <c r="E3751" s="249">
        <f t="shared" si="410"/>
        <v>45232</v>
      </c>
      <c r="F3751" s="477"/>
      <c r="G3751" s="244" t="s">
        <v>86</v>
      </c>
      <c r="H3751" s="244" t="str" cm="1">
        <f t="array" ref="H3751">IFERROR(INDEX(INVESTOR_LIST[INVESTOR NAME],MATCH(I3751,INVESTOR_LIST[INVESTOR CODE],0),)," ")</f>
        <v xml:space="preserve"> </v>
      </c>
      <c r="I3751" s="245"/>
      <c r="J3751" s="246" t="s">
        <v>98</v>
      </c>
      <c r="K3751" s="247"/>
      <c r="L3751" s="247">
        <v>66510</v>
      </c>
    </row>
    <row r="3752" spans="1:12" ht="11.25" customHeight="1" x14ac:dyDescent="0.2">
      <c r="A3752" s="236">
        <v>2023</v>
      </c>
      <c r="B3752" s="236">
        <v>11</v>
      </c>
      <c r="C3752" s="236">
        <v>2</v>
      </c>
      <c r="D3752" s="237">
        <f t="shared" si="407"/>
        <v>45232</v>
      </c>
      <c r="E3752" s="238">
        <f t="shared" si="410"/>
        <v>45232</v>
      </c>
      <c r="F3752" s="476" t="s">
        <v>1120</v>
      </c>
      <c r="G3752" s="239" t="s">
        <v>86</v>
      </c>
      <c r="H3752" s="239" t="str" cm="1">
        <f t="array" ref="H3752">IFERROR(INDEX(INVESTOR_LIST[INVESTOR NAME],MATCH(I3752,INVESTOR_LIST[INVESTOR CODE],0),)," ")</f>
        <v xml:space="preserve"> </v>
      </c>
      <c r="I3752" s="240"/>
      <c r="J3752" s="241" t="s">
        <v>87</v>
      </c>
      <c r="K3752" s="242">
        <v>2747.2527472527472</v>
      </c>
      <c r="L3752" s="242"/>
    </row>
    <row r="3753" spans="1:12" ht="11.25" customHeight="1" x14ac:dyDescent="0.2">
      <c r="A3753" s="243">
        <v>2023</v>
      </c>
      <c r="B3753" s="243">
        <v>11</v>
      </c>
      <c r="C3753" s="243">
        <v>2</v>
      </c>
      <c r="D3753" s="248">
        <f t="shared" si="407"/>
        <v>45232</v>
      </c>
      <c r="E3753" s="249">
        <f t="shared" si="410"/>
        <v>45232</v>
      </c>
      <c r="F3753" s="477"/>
      <c r="G3753" s="244" t="s">
        <v>86</v>
      </c>
      <c r="H3753" s="244" t="str" cm="1">
        <f t="array" ref="H3753">IFERROR(INDEX(INVESTOR_LIST[INVESTOR NAME],MATCH(I3753,INVESTOR_LIST[INVESTOR CODE],0),)," ")</f>
        <v xml:space="preserve"> </v>
      </c>
      <c r="I3753" s="245"/>
      <c r="J3753" s="246" t="s">
        <v>64</v>
      </c>
      <c r="K3753" s="247"/>
      <c r="L3753" s="247">
        <v>2747.2527472527472</v>
      </c>
    </row>
    <row r="3754" spans="1:12" ht="11.25" customHeight="1" x14ac:dyDescent="0.2">
      <c r="A3754" s="236">
        <v>2023</v>
      </c>
      <c r="B3754" s="236">
        <v>11</v>
      </c>
      <c r="C3754" s="236">
        <v>2</v>
      </c>
      <c r="D3754" s="237">
        <f t="shared" si="407"/>
        <v>45232</v>
      </c>
      <c r="E3754" s="238">
        <f t="shared" si="410"/>
        <v>45232</v>
      </c>
      <c r="F3754" s="476" t="s">
        <v>1121</v>
      </c>
      <c r="G3754" s="239" t="s">
        <v>86</v>
      </c>
      <c r="H3754" s="239" t="str" cm="1">
        <f t="array" ref="H3754">IFERROR(INDEX(INVESTOR_LIST[INVESTOR NAME],MATCH(I3754,INVESTOR_LIST[INVESTOR CODE],0),)," ")</f>
        <v xml:space="preserve"> </v>
      </c>
      <c r="I3754" s="240"/>
      <c r="J3754" s="241" t="s">
        <v>89</v>
      </c>
      <c r="K3754" s="242">
        <v>67150.880610628476</v>
      </c>
      <c r="L3754" s="242"/>
    </row>
    <row r="3755" spans="1:12" ht="11.25" customHeight="1" x14ac:dyDescent="0.2">
      <c r="A3755" s="243">
        <v>2023</v>
      </c>
      <c r="B3755" s="243">
        <v>11</v>
      </c>
      <c r="C3755" s="243">
        <v>2</v>
      </c>
      <c r="D3755" s="248">
        <f t="shared" si="407"/>
        <v>45232</v>
      </c>
      <c r="E3755" s="249">
        <f t="shared" si="410"/>
        <v>45232</v>
      </c>
      <c r="F3755" s="477"/>
      <c r="G3755" s="244" t="s">
        <v>86</v>
      </c>
      <c r="H3755" s="244" t="str" cm="1">
        <f t="array" ref="H3755">IFERROR(INDEX(INVESTOR_LIST[INVESTOR NAME],MATCH(I3755,INVESTOR_LIST[INVESTOR CODE],0),)," ")</f>
        <v xml:space="preserve"> </v>
      </c>
      <c r="I3755" s="245"/>
      <c r="J3755" s="246" t="s">
        <v>50</v>
      </c>
      <c r="K3755" s="247"/>
      <c r="L3755" s="247">
        <v>67150.880610628476</v>
      </c>
    </row>
    <row r="3756" spans="1:12" ht="11.25" customHeight="1" x14ac:dyDescent="0.2">
      <c r="A3756" s="236">
        <v>2023</v>
      </c>
      <c r="B3756" s="236">
        <v>11</v>
      </c>
      <c r="C3756" s="236">
        <v>2</v>
      </c>
      <c r="D3756" s="237">
        <f t="shared" si="407"/>
        <v>45232</v>
      </c>
      <c r="E3756" s="238">
        <f t="shared" si="410"/>
        <v>45232</v>
      </c>
      <c r="F3756" s="476" t="s">
        <v>1122</v>
      </c>
      <c r="G3756" s="239" t="s">
        <v>86</v>
      </c>
      <c r="H3756" s="239" t="str" cm="1">
        <f t="array" ref="H3756">IFERROR(INDEX(INVESTOR_LIST[INVESTOR NAME],MATCH(I3756,INVESTOR_LIST[INVESTOR CODE],0),)," ")</f>
        <v xml:space="preserve"> </v>
      </c>
      <c r="I3756" s="240"/>
      <c r="J3756" s="241" t="s">
        <v>91</v>
      </c>
      <c r="K3756" s="242">
        <v>3357.5440305314237</v>
      </c>
      <c r="L3756" s="242"/>
    </row>
    <row r="3757" spans="1:12" ht="11.25" customHeight="1" x14ac:dyDescent="0.2">
      <c r="A3757" s="243">
        <v>2023</v>
      </c>
      <c r="B3757" s="243">
        <v>11</v>
      </c>
      <c r="C3757" s="243">
        <v>2</v>
      </c>
      <c r="D3757" s="248">
        <f t="shared" si="407"/>
        <v>45232</v>
      </c>
      <c r="E3757" s="249">
        <f t="shared" si="410"/>
        <v>45232</v>
      </c>
      <c r="F3757" s="477"/>
      <c r="G3757" s="244" t="s">
        <v>86</v>
      </c>
      <c r="H3757" s="244" t="str" cm="1">
        <f t="array" ref="H3757">IFERROR(INDEX(INVESTOR_LIST[INVESTOR NAME],MATCH(I3757,INVESTOR_LIST[INVESTOR CODE],0),)," ")</f>
        <v xml:space="preserve"> </v>
      </c>
      <c r="I3757" s="245"/>
      <c r="J3757" s="246" t="s">
        <v>51</v>
      </c>
      <c r="K3757" s="247"/>
      <c r="L3757" s="247">
        <v>3357.5440305314237</v>
      </c>
    </row>
    <row r="3758" spans="1:12" ht="11.25" customHeight="1" x14ac:dyDescent="0.2">
      <c r="A3758" s="221">
        <v>2023</v>
      </c>
      <c r="B3758" s="221">
        <v>11</v>
      </c>
      <c r="C3758" s="221">
        <v>7</v>
      </c>
      <c r="D3758" s="231">
        <f t="shared" si="407"/>
        <v>45237</v>
      </c>
      <c r="E3758" s="233">
        <f t="shared" si="410"/>
        <v>45237</v>
      </c>
      <c r="F3758" s="478" t="s">
        <v>1633</v>
      </c>
      <c r="G3758" s="222" t="s">
        <v>1111</v>
      </c>
      <c r="H3758" s="223" t="str" cm="1">
        <f t="array" ref="H3758">IFERROR(INDEX(INVESTOR_LIST[INVESTOR NAME],MATCH(I3758,INVESTOR_LIST[INVESTOR CODE],0),)," ")</f>
        <v xml:space="preserve"> </v>
      </c>
      <c r="I3758" s="223"/>
      <c r="J3758" s="224" t="s">
        <v>55</v>
      </c>
      <c r="K3758" s="225">
        <v>75797.475000000006</v>
      </c>
      <c r="L3758" s="225"/>
    </row>
    <row r="3759" spans="1:12" ht="11.25" customHeight="1" x14ac:dyDescent="0.2">
      <c r="A3759" s="226">
        <v>2023</v>
      </c>
      <c r="B3759" s="226">
        <v>11</v>
      </c>
      <c r="C3759" s="226">
        <v>7</v>
      </c>
      <c r="D3759" s="232">
        <f t="shared" si="407"/>
        <v>45237</v>
      </c>
      <c r="E3759" s="234">
        <f t="shared" si="410"/>
        <v>45237</v>
      </c>
      <c r="F3759" s="479"/>
      <c r="G3759" s="227" t="s">
        <v>1111</v>
      </c>
      <c r="H3759" s="228" t="str" cm="1">
        <f t="array" ref="H3759">IFERROR(INDEX(INVESTOR_LIST[INVESTOR NAME],MATCH(I3759,INVESTOR_LIST[INVESTOR CODE],0),)," ")</f>
        <v xml:space="preserve"> </v>
      </c>
      <c r="I3759" s="228"/>
      <c r="J3759" s="229" t="s">
        <v>192</v>
      </c>
      <c r="K3759" s="230"/>
      <c r="L3759" s="230">
        <v>75797.475000000006</v>
      </c>
    </row>
    <row r="3760" spans="1:12" ht="11.25" customHeight="1" x14ac:dyDescent="0.2">
      <c r="A3760" s="221">
        <v>2023</v>
      </c>
      <c r="B3760" s="221">
        <v>11</v>
      </c>
      <c r="C3760" s="221">
        <v>9</v>
      </c>
      <c r="D3760" s="231">
        <f t="shared" si="407"/>
        <v>45239</v>
      </c>
      <c r="E3760" s="233">
        <f t="shared" si="410"/>
        <v>45239</v>
      </c>
      <c r="F3760" s="478" t="s">
        <v>1115</v>
      </c>
      <c r="G3760" s="222" t="s">
        <v>1111</v>
      </c>
      <c r="H3760" s="223" t="str" cm="1">
        <f t="array" ref="H3760">IFERROR(INDEX(INVESTOR_LIST[INVESTOR NAME],MATCH(I3760,INVESTOR_LIST[INVESTOR CODE],0),)," ")</f>
        <v>RAIHAN RASHID MAJUMDAR</v>
      </c>
      <c r="I3760" s="223" t="s">
        <v>460</v>
      </c>
      <c r="J3760" s="224" t="s">
        <v>14</v>
      </c>
      <c r="K3760" s="225">
        <v>274580</v>
      </c>
      <c r="L3760" s="225"/>
    </row>
    <row r="3761" spans="1:12" ht="11.25" customHeight="1" x14ac:dyDescent="0.2">
      <c r="A3761" s="164">
        <v>2023</v>
      </c>
      <c r="B3761" s="164">
        <v>11</v>
      </c>
      <c r="C3761" s="164">
        <v>9</v>
      </c>
      <c r="D3761" s="156">
        <f t="shared" si="407"/>
        <v>45239</v>
      </c>
      <c r="E3761" s="235">
        <f t="shared" si="410"/>
        <v>45239</v>
      </c>
      <c r="F3761" s="480"/>
      <c r="G3761" s="208" t="s">
        <v>1111</v>
      </c>
      <c r="H3761" s="206" t="str" cm="1">
        <f t="array" ref="H3761">IFERROR(INDEX(INVESTOR_LIST[INVESTOR NAME],MATCH(I3761,INVESTOR_LIST[INVESTOR CODE],0),)," ")</f>
        <v>RAIHAN RASHID MAJUMDAR</v>
      </c>
      <c r="I3761" s="206" t="s">
        <v>460</v>
      </c>
      <c r="J3761" s="165" t="s">
        <v>1112</v>
      </c>
      <c r="K3761" s="205">
        <v>8511.9799999999814</v>
      </c>
    </row>
    <row r="3762" spans="1:12" ht="11.25" customHeight="1" x14ac:dyDescent="0.2">
      <c r="A3762" s="226">
        <v>2023</v>
      </c>
      <c r="B3762" s="226">
        <v>11</v>
      </c>
      <c r="C3762" s="226">
        <v>9</v>
      </c>
      <c r="D3762" s="232">
        <f t="shared" si="407"/>
        <v>45239</v>
      </c>
      <c r="E3762" s="234">
        <f t="shared" si="410"/>
        <v>45239</v>
      </c>
      <c r="F3762" s="479"/>
      <c r="G3762" s="227" t="s">
        <v>1111</v>
      </c>
      <c r="H3762" s="228" t="str" cm="1">
        <f t="array" ref="H3762">IFERROR(INDEX(INVESTOR_LIST[INVESTOR NAME],MATCH(I3762,INVESTOR_LIST[INVESTOR CODE],0),)," ")</f>
        <v>RAIHAN RASHID MAJUMDAR</v>
      </c>
      <c r="I3762" s="228" t="s">
        <v>460</v>
      </c>
      <c r="J3762" s="229" t="s">
        <v>55</v>
      </c>
      <c r="K3762" s="230"/>
      <c r="L3762" s="230">
        <v>283091.98</v>
      </c>
    </row>
    <row r="3763" spans="1:12" ht="11.25" customHeight="1" x14ac:dyDescent="0.2">
      <c r="A3763" s="221">
        <v>2023</v>
      </c>
      <c r="B3763" s="221">
        <v>11</v>
      </c>
      <c r="C3763" s="221">
        <v>9</v>
      </c>
      <c r="D3763" s="221">
        <f t="shared" si="407"/>
        <v>45239</v>
      </c>
      <c r="E3763" s="233">
        <f t="shared" si="410"/>
        <v>45239</v>
      </c>
      <c r="F3763" s="478" t="s">
        <v>1589</v>
      </c>
      <c r="G3763" s="222" t="s">
        <v>86</v>
      </c>
      <c r="H3763" s="222" t="str" cm="1">
        <f t="array" ref="H3763">IFERROR(INDEX(INVESTOR_LIST[INVESTOR NAME],MATCH(I3763,INVESTOR_LIST[INVESTOR CODE],0),)," ")</f>
        <v xml:space="preserve"> </v>
      </c>
      <c r="I3763" s="223"/>
      <c r="J3763" s="165" t="s">
        <v>199</v>
      </c>
      <c r="K3763" s="225">
        <v>489317.65</v>
      </c>
      <c r="L3763" s="225"/>
    </row>
    <row r="3764" spans="1:12" ht="11.25" customHeight="1" x14ac:dyDescent="0.2">
      <c r="A3764" s="164">
        <v>2023</v>
      </c>
      <c r="B3764" s="164">
        <v>11</v>
      </c>
      <c r="C3764" s="164">
        <v>9</v>
      </c>
      <c r="D3764" s="164">
        <f t="shared" si="407"/>
        <v>45239</v>
      </c>
      <c r="E3764" s="235">
        <f t="shared" si="410"/>
        <v>45239</v>
      </c>
      <c r="F3764" s="480"/>
      <c r="G3764" s="208" t="s">
        <v>86</v>
      </c>
      <c r="H3764" s="208"/>
      <c r="J3764" s="165" t="s">
        <v>960</v>
      </c>
      <c r="K3764" s="205">
        <v>882.35</v>
      </c>
      <c r="L3764" s="205"/>
    </row>
    <row r="3765" spans="1:12" ht="11.25" customHeight="1" x14ac:dyDescent="0.2">
      <c r="A3765" s="164">
        <v>2023</v>
      </c>
      <c r="B3765" s="164">
        <v>11</v>
      </c>
      <c r="C3765" s="164">
        <v>9</v>
      </c>
      <c r="D3765" s="164">
        <f t="shared" si="407"/>
        <v>45239</v>
      </c>
      <c r="E3765" s="235">
        <f t="shared" si="410"/>
        <v>45239</v>
      </c>
      <c r="F3765" s="480"/>
      <c r="G3765" s="208" t="s">
        <v>86</v>
      </c>
      <c r="H3765" s="208"/>
      <c r="J3765" s="165" t="s">
        <v>200</v>
      </c>
      <c r="K3765" s="205"/>
      <c r="L3765" s="205">
        <v>11086.97</v>
      </c>
    </row>
    <row r="3766" spans="1:12" ht="11.25" customHeight="1" x14ac:dyDescent="0.2">
      <c r="A3766" s="226">
        <v>2023</v>
      </c>
      <c r="B3766" s="226">
        <v>11</v>
      </c>
      <c r="C3766" s="226">
        <v>9</v>
      </c>
      <c r="D3766" s="226">
        <f t="shared" si="407"/>
        <v>45239</v>
      </c>
      <c r="E3766" s="234">
        <f t="shared" si="410"/>
        <v>45239</v>
      </c>
      <c r="F3766" s="479"/>
      <c r="G3766" s="227" t="s">
        <v>86</v>
      </c>
      <c r="H3766" s="228" t="str" cm="1">
        <f t="array" ref="H3766">IFERROR(INDEX(INVESTOR_LIST[INVESTOR NAME],MATCH(I3766,INVESTOR_LIST[INVESTOR CODE],0),)," ")</f>
        <v xml:space="preserve"> </v>
      </c>
      <c r="I3766" s="228"/>
      <c r="J3766" s="229" t="s">
        <v>80</v>
      </c>
      <c r="K3766" s="230"/>
      <c r="L3766" s="230">
        <v>479113.03</v>
      </c>
    </row>
    <row r="3767" spans="1:12" ht="11.25" customHeight="1" x14ac:dyDescent="0.2">
      <c r="A3767" s="280">
        <v>2023</v>
      </c>
      <c r="B3767" s="280">
        <v>11</v>
      </c>
      <c r="C3767" s="280">
        <v>9</v>
      </c>
      <c r="D3767" s="281">
        <f t="shared" si="407"/>
        <v>45239</v>
      </c>
      <c r="E3767" s="282">
        <f t="shared" ref="E3767:E3795" si="411">DATE(A3767,B3767,C3767)</f>
        <v>45239</v>
      </c>
      <c r="F3767" s="472" t="s">
        <v>1369</v>
      </c>
      <c r="G3767" s="283" t="s">
        <v>86</v>
      </c>
      <c r="H3767" s="284" t="str" cm="1">
        <f t="array" ref="H3767">IFERROR(INDEX(INVESTOR_LIST[INVESTOR NAME],MATCH(I3767,INVESTOR_LIST[INVESTOR CODE],0),)," ")</f>
        <v xml:space="preserve"> </v>
      </c>
      <c r="I3767" s="284"/>
      <c r="J3767" s="285" t="s">
        <v>131</v>
      </c>
      <c r="K3767" s="286">
        <v>99425.919999999998</v>
      </c>
      <c r="L3767" s="286"/>
    </row>
    <row r="3768" spans="1:12" ht="11.25" customHeight="1" x14ac:dyDescent="0.2">
      <c r="A3768" s="287">
        <v>2023</v>
      </c>
      <c r="B3768" s="287">
        <v>11</v>
      </c>
      <c r="C3768" s="287">
        <v>9</v>
      </c>
      <c r="D3768" s="288">
        <f t="shared" si="407"/>
        <v>45239</v>
      </c>
      <c r="E3768" s="289">
        <f t="shared" si="411"/>
        <v>45239</v>
      </c>
      <c r="F3768" s="473"/>
      <c r="G3768" s="290" t="s">
        <v>86</v>
      </c>
      <c r="H3768" s="291" t="str" cm="1">
        <f t="array" ref="H3768">IFERROR(INDEX(INVESTOR_LIST[INVESTOR NAME],MATCH(I3768,INVESTOR_LIST[INVESTOR CODE],0),)," ")</f>
        <v xml:space="preserve"> </v>
      </c>
      <c r="I3768" s="291"/>
      <c r="J3768" s="292" t="s">
        <v>174</v>
      </c>
      <c r="K3768" s="293"/>
      <c r="L3768" s="293">
        <v>99425.919999999998</v>
      </c>
    </row>
    <row r="3769" spans="1:12" ht="11.25" customHeight="1" x14ac:dyDescent="0.2">
      <c r="A3769" s="280">
        <v>2023</v>
      </c>
      <c r="B3769" s="280">
        <v>11</v>
      </c>
      <c r="C3769" s="280">
        <v>9</v>
      </c>
      <c r="D3769" s="281">
        <f t="shared" si="407"/>
        <v>45239</v>
      </c>
      <c r="E3769" s="282">
        <f t="shared" si="411"/>
        <v>45239</v>
      </c>
      <c r="F3769" s="472" t="s">
        <v>1295</v>
      </c>
      <c r="G3769" s="283" t="s">
        <v>86</v>
      </c>
      <c r="H3769" s="284" t="str" cm="1">
        <f t="array" ref="H3769">IFERROR(INDEX(INVESTOR_LIST[INVESTOR NAME],MATCH(I3769,INVESTOR_LIST[INVESTOR CODE],0),)," ")</f>
        <v xml:space="preserve"> </v>
      </c>
      <c r="I3769" s="284"/>
      <c r="J3769" s="285" t="s">
        <v>131</v>
      </c>
      <c r="K3769" s="286">
        <v>18342.63</v>
      </c>
      <c r="L3769" s="286"/>
    </row>
    <row r="3770" spans="1:12" ht="11.25" customHeight="1" x14ac:dyDescent="0.2">
      <c r="A3770" s="287">
        <v>2023</v>
      </c>
      <c r="B3770" s="287">
        <v>11</v>
      </c>
      <c r="C3770" s="287">
        <v>9</v>
      </c>
      <c r="D3770" s="288">
        <f t="shared" si="407"/>
        <v>45239</v>
      </c>
      <c r="E3770" s="289">
        <f t="shared" si="411"/>
        <v>45239</v>
      </c>
      <c r="F3770" s="473"/>
      <c r="G3770" s="290" t="s">
        <v>86</v>
      </c>
      <c r="H3770" s="291" t="str" cm="1">
        <f t="array" ref="H3770">IFERROR(INDEX(INVESTOR_LIST[INVESTOR NAME],MATCH(I3770,INVESTOR_LIST[INVESTOR CODE],0),)," ")</f>
        <v xml:space="preserve"> </v>
      </c>
      <c r="I3770" s="291"/>
      <c r="J3770" s="292" t="s">
        <v>174</v>
      </c>
      <c r="K3770" s="293"/>
      <c r="L3770" s="293">
        <v>18342.63</v>
      </c>
    </row>
    <row r="3771" spans="1:12" ht="11.25" customHeight="1" x14ac:dyDescent="0.2">
      <c r="A3771" s="280">
        <v>2023</v>
      </c>
      <c r="B3771" s="280">
        <v>11</v>
      </c>
      <c r="C3771" s="280">
        <v>9</v>
      </c>
      <c r="D3771" s="281">
        <f t="shared" si="407"/>
        <v>45239</v>
      </c>
      <c r="E3771" s="282">
        <f t="shared" si="411"/>
        <v>45239</v>
      </c>
      <c r="F3771" s="472" t="s">
        <v>1294</v>
      </c>
      <c r="G3771" s="283" t="s">
        <v>86</v>
      </c>
      <c r="H3771" s="284" t="str" cm="1">
        <f t="array" ref="H3771">IFERROR(INDEX(INVESTOR_LIST[INVESTOR NAME],MATCH(I3771,INVESTOR_LIST[INVESTOR CODE],0),)," ")</f>
        <v xml:space="preserve"> </v>
      </c>
      <c r="I3771" s="284"/>
      <c r="J3771" s="285" t="s">
        <v>131</v>
      </c>
      <c r="K3771" s="286"/>
      <c r="L3771" s="286"/>
    </row>
    <row r="3772" spans="1:12" ht="11.25" customHeight="1" x14ac:dyDescent="0.2">
      <c r="A3772" s="287">
        <v>2023</v>
      </c>
      <c r="B3772" s="287">
        <v>11</v>
      </c>
      <c r="C3772" s="287">
        <v>9</v>
      </c>
      <c r="D3772" s="288">
        <f t="shared" si="407"/>
        <v>45239</v>
      </c>
      <c r="E3772" s="289">
        <f t="shared" si="411"/>
        <v>45239</v>
      </c>
      <c r="F3772" s="473"/>
      <c r="G3772" s="290" t="s">
        <v>86</v>
      </c>
      <c r="H3772" s="291" t="str" cm="1">
        <f t="array" ref="H3772">IFERROR(INDEX(INVESTOR_LIST[INVESTOR NAME],MATCH(I3772,INVESTOR_LIST[INVESTOR CODE],0),)," ")</f>
        <v xml:space="preserve"> </v>
      </c>
      <c r="I3772" s="291"/>
      <c r="J3772" s="292" t="s">
        <v>174</v>
      </c>
      <c r="K3772" s="293"/>
      <c r="L3772" s="293"/>
    </row>
    <row r="3773" spans="1:12" ht="11.25" customHeight="1" x14ac:dyDescent="0.2">
      <c r="A3773" s="280">
        <v>2023</v>
      </c>
      <c r="B3773" s="280">
        <v>11</v>
      </c>
      <c r="C3773" s="280">
        <v>9</v>
      </c>
      <c r="D3773" s="281">
        <f t="shared" si="407"/>
        <v>45239</v>
      </c>
      <c r="E3773" s="282">
        <f t="shared" si="411"/>
        <v>45239</v>
      </c>
      <c r="F3773" s="472" t="s">
        <v>1584</v>
      </c>
      <c r="G3773" s="283" t="s">
        <v>86</v>
      </c>
      <c r="H3773" s="284" t="str" cm="1">
        <f t="array" ref="H3773">IFERROR(INDEX(INVESTOR_LIST[INVESTOR NAME],MATCH(I3773,INVESTOR_LIST[INVESTOR CODE],0),)," ")</f>
        <v xml:space="preserve"> </v>
      </c>
      <c r="I3773" s="284"/>
      <c r="J3773" s="285" t="s">
        <v>131</v>
      </c>
      <c r="K3773" s="286">
        <v>6346.1538461538457</v>
      </c>
      <c r="L3773" s="286"/>
    </row>
    <row r="3774" spans="1:12" ht="11.25" customHeight="1" x14ac:dyDescent="0.2">
      <c r="A3774" s="287">
        <v>2023</v>
      </c>
      <c r="B3774" s="287">
        <v>11</v>
      </c>
      <c r="C3774" s="287">
        <v>9</v>
      </c>
      <c r="D3774" s="288">
        <f t="shared" si="407"/>
        <v>45239</v>
      </c>
      <c r="E3774" s="289">
        <f t="shared" si="411"/>
        <v>45239</v>
      </c>
      <c r="F3774" s="473"/>
      <c r="G3774" s="290" t="s">
        <v>86</v>
      </c>
      <c r="H3774" s="291" t="str" cm="1">
        <f t="array" ref="H3774">IFERROR(INDEX(INVESTOR_LIST[INVESTOR NAME],MATCH(I3774,INVESTOR_LIST[INVESTOR CODE],0),)," ")</f>
        <v xml:space="preserve"> </v>
      </c>
      <c r="I3774" s="291"/>
      <c r="J3774" s="292" t="s">
        <v>174</v>
      </c>
      <c r="K3774" s="293"/>
      <c r="L3774" s="293">
        <v>6346.1538461538457</v>
      </c>
    </row>
    <row r="3775" spans="1:12" ht="11.25" customHeight="1" x14ac:dyDescent="0.2">
      <c r="A3775" s="358">
        <v>2023</v>
      </c>
      <c r="B3775" s="358">
        <v>11</v>
      </c>
      <c r="C3775" s="358">
        <v>9</v>
      </c>
      <c r="D3775" s="312">
        <f t="shared" si="407"/>
        <v>45239</v>
      </c>
      <c r="E3775" s="313">
        <f t="shared" si="411"/>
        <v>45239</v>
      </c>
      <c r="F3775" s="482" t="s">
        <v>1627</v>
      </c>
      <c r="G3775" s="314" t="s">
        <v>86</v>
      </c>
      <c r="H3775" s="324" t="str" cm="1">
        <f t="array" ref="H3775">IFERROR(INDEX(INVESTOR_LIST[INVESTOR NAME],MATCH(I3775,INVESTOR_LIST[INVESTOR CODE],0),)," ")</f>
        <v xml:space="preserve"> </v>
      </c>
      <c r="I3775" s="324"/>
      <c r="J3775" s="364" t="s">
        <v>1621</v>
      </c>
      <c r="K3775" s="365">
        <v>1518</v>
      </c>
      <c r="L3775" s="365"/>
    </row>
    <row r="3776" spans="1:12" ht="11.25" customHeight="1" x14ac:dyDescent="0.2">
      <c r="A3776" s="320">
        <v>2023</v>
      </c>
      <c r="B3776" s="320">
        <v>11</v>
      </c>
      <c r="C3776" s="320">
        <v>9</v>
      </c>
      <c r="D3776" s="323">
        <f t="shared" si="407"/>
        <v>45239</v>
      </c>
      <c r="E3776" s="321">
        <f t="shared" si="411"/>
        <v>45239</v>
      </c>
      <c r="F3776" s="483"/>
      <c r="G3776" s="322" t="s">
        <v>86</v>
      </c>
      <c r="H3776" s="325" t="str" cm="1">
        <f t="array" ref="H3776">IFERROR(INDEX(INVESTOR_LIST[INVESTOR NAME],MATCH(I3776,INVESTOR_LIST[INVESTOR CODE],0),)," ")</f>
        <v xml:space="preserve"> </v>
      </c>
      <c r="I3776" s="325"/>
      <c r="J3776" s="366" t="s">
        <v>1613</v>
      </c>
      <c r="K3776" s="367"/>
      <c r="L3776" s="367">
        <v>1518</v>
      </c>
    </row>
    <row r="3777" spans="1:12" ht="11.25" customHeight="1" x14ac:dyDescent="0.2">
      <c r="A3777" s="236">
        <v>2023</v>
      </c>
      <c r="B3777" s="236">
        <v>11</v>
      </c>
      <c r="C3777" s="236">
        <v>9</v>
      </c>
      <c r="D3777" s="237">
        <f t="shared" si="407"/>
        <v>45239</v>
      </c>
      <c r="E3777" s="238">
        <f t="shared" si="411"/>
        <v>45239</v>
      </c>
      <c r="F3777" s="476" t="s">
        <v>1118</v>
      </c>
      <c r="G3777" s="239" t="s">
        <v>86</v>
      </c>
      <c r="H3777" s="239" t="str" cm="1">
        <f t="array" ref="H3777">IFERROR(INDEX(INVESTOR_LIST[INVESTOR NAME],MATCH(I3777,INVESTOR_LIST[INVESTOR CODE],0),)," ")</f>
        <v xml:space="preserve"> </v>
      </c>
      <c r="I3777" s="240"/>
      <c r="J3777" s="241" t="s">
        <v>82</v>
      </c>
      <c r="K3777" s="242">
        <v>126506.96999999881</v>
      </c>
      <c r="L3777" s="242"/>
    </row>
    <row r="3778" spans="1:12" ht="11.25" customHeight="1" x14ac:dyDescent="0.2">
      <c r="A3778" s="243">
        <v>2023</v>
      </c>
      <c r="B3778" s="243">
        <v>11</v>
      </c>
      <c r="C3778" s="243">
        <v>9</v>
      </c>
      <c r="D3778" s="248">
        <f t="shared" si="407"/>
        <v>45239</v>
      </c>
      <c r="E3778" s="249">
        <f t="shared" si="411"/>
        <v>45239</v>
      </c>
      <c r="F3778" s="477"/>
      <c r="G3778" s="244" t="s">
        <v>86</v>
      </c>
      <c r="H3778" s="244" t="str" cm="1">
        <f t="array" ref="H3778">IFERROR(INDEX(INVESTOR_LIST[INVESTOR NAME],MATCH(I3778,INVESTOR_LIST[INVESTOR CODE],0),)," ")</f>
        <v xml:space="preserve"> </v>
      </c>
      <c r="I3778" s="245"/>
      <c r="J3778" s="246" t="s">
        <v>98</v>
      </c>
      <c r="K3778" s="247"/>
      <c r="L3778" s="247">
        <v>126506.96999999881</v>
      </c>
    </row>
    <row r="3779" spans="1:12" ht="11.25" customHeight="1" x14ac:dyDescent="0.2">
      <c r="A3779" s="236">
        <v>2023</v>
      </c>
      <c r="B3779" s="236">
        <v>11</v>
      </c>
      <c r="C3779" s="236">
        <v>9</v>
      </c>
      <c r="D3779" s="237">
        <f t="shared" si="407"/>
        <v>45239</v>
      </c>
      <c r="E3779" s="238">
        <f t="shared" si="411"/>
        <v>45239</v>
      </c>
      <c r="F3779" s="476" t="s">
        <v>1120</v>
      </c>
      <c r="G3779" s="239" t="s">
        <v>86</v>
      </c>
      <c r="H3779" s="239" t="str" cm="1">
        <f t="array" ref="H3779">IFERROR(INDEX(INVESTOR_LIST[INVESTOR NAME],MATCH(I3779,INVESTOR_LIST[INVESTOR CODE],0),)," ")</f>
        <v xml:space="preserve"> </v>
      </c>
      <c r="I3779" s="240"/>
      <c r="J3779" s="241" t="s">
        <v>87</v>
      </c>
      <c r="K3779" s="242">
        <v>2747.2527472527472</v>
      </c>
      <c r="L3779" s="242"/>
    </row>
    <row r="3780" spans="1:12" ht="11.25" customHeight="1" x14ac:dyDescent="0.2">
      <c r="A3780" s="243">
        <v>2023</v>
      </c>
      <c r="B3780" s="243">
        <v>11</v>
      </c>
      <c r="C3780" s="243">
        <v>9</v>
      </c>
      <c r="D3780" s="248">
        <f t="shared" si="407"/>
        <v>45239</v>
      </c>
      <c r="E3780" s="249">
        <f t="shared" si="411"/>
        <v>45239</v>
      </c>
      <c r="F3780" s="477"/>
      <c r="G3780" s="244" t="s">
        <v>86</v>
      </c>
      <c r="H3780" s="244" t="str" cm="1">
        <f t="array" ref="H3780">IFERROR(INDEX(INVESTOR_LIST[INVESTOR NAME],MATCH(I3780,INVESTOR_LIST[INVESTOR CODE],0),)," ")</f>
        <v xml:space="preserve"> </v>
      </c>
      <c r="I3780" s="245"/>
      <c r="J3780" s="246" t="s">
        <v>64</v>
      </c>
      <c r="K3780" s="247"/>
      <c r="L3780" s="247">
        <v>2747.2527472527472</v>
      </c>
    </row>
    <row r="3781" spans="1:12" ht="11.25" customHeight="1" x14ac:dyDescent="0.2">
      <c r="A3781" s="236">
        <v>2023</v>
      </c>
      <c r="B3781" s="236">
        <v>11</v>
      </c>
      <c r="C3781" s="236">
        <v>9</v>
      </c>
      <c r="D3781" s="237">
        <f t="shared" si="407"/>
        <v>45239</v>
      </c>
      <c r="E3781" s="238">
        <f t="shared" si="411"/>
        <v>45239</v>
      </c>
      <c r="F3781" s="476" t="s">
        <v>1121</v>
      </c>
      <c r="G3781" s="239" t="s">
        <v>86</v>
      </c>
      <c r="H3781" s="239" t="str" cm="1">
        <f t="array" ref="H3781">IFERROR(INDEX(INVESTOR_LIST[INVESTOR NAME],MATCH(I3781,INVESTOR_LIST[INVESTOR CODE],0),)," ")</f>
        <v xml:space="preserve"> </v>
      </c>
      <c r="I3781" s="240"/>
      <c r="J3781" s="241" t="s">
        <v>89</v>
      </c>
      <c r="K3781" s="242">
        <v>67051.709916958367</v>
      </c>
      <c r="L3781" s="242"/>
    </row>
    <row r="3782" spans="1:12" ht="11.25" customHeight="1" x14ac:dyDescent="0.2">
      <c r="A3782" s="243">
        <v>2023</v>
      </c>
      <c r="B3782" s="243">
        <v>11</v>
      </c>
      <c r="C3782" s="243">
        <v>9</v>
      </c>
      <c r="D3782" s="248">
        <f t="shared" si="407"/>
        <v>45239</v>
      </c>
      <c r="E3782" s="249">
        <f t="shared" si="411"/>
        <v>45239</v>
      </c>
      <c r="F3782" s="477"/>
      <c r="G3782" s="244" t="s">
        <v>86</v>
      </c>
      <c r="H3782" s="244" t="str" cm="1">
        <f t="array" ref="H3782">IFERROR(INDEX(INVESTOR_LIST[INVESTOR NAME],MATCH(I3782,INVESTOR_LIST[INVESTOR CODE],0),)," ")</f>
        <v xml:space="preserve"> </v>
      </c>
      <c r="I3782" s="245"/>
      <c r="J3782" s="246" t="s">
        <v>50</v>
      </c>
      <c r="K3782" s="247"/>
      <c r="L3782" s="247">
        <v>67051.709916958367</v>
      </c>
    </row>
    <row r="3783" spans="1:12" ht="11.25" customHeight="1" x14ac:dyDescent="0.2">
      <c r="A3783" s="236">
        <v>2023</v>
      </c>
      <c r="B3783" s="236">
        <v>11</v>
      </c>
      <c r="C3783" s="236">
        <v>9</v>
      </c>
      <c r="D3783" s="237">
        <f t="shared" si="407"/>
        <v>45239</v>
      </c>
      <c r="E3783" s="238">
        <f t="shared" si="411"/>
        <v>45239</v>
      </c>
      <c r="F3783" s="476" t="s">
        <v>1122</v>
      </c>
      <c r="G3783" s="239" t="s">
        <v>86</v>
      </c>
      <c r="H3783" s="239" t="str" cm="1">
        <f t="array" ref="H3783">IFERROR(INDEX(INVESTOR_LIST[INVESTOR NAME],MATCH(I3783,INVESTOR_LIST[INVESTOR CODE],0),)," ")</f>
        <v xml:space="preserve"> </v>
      </c>
      <c r="I3783" s="240"/>
      <c r="J3783" s="241" t="s">
        <v>91</v>
      </c>
      <c r="K3783" s="242">
        <v>3352.5854958479185</v>
      </c>
      <c r="L3783" s="242"/>
    </row>
    <row r="3784" spans="1:12" ht="11.25" customHeight="1" x14ac:dyDescent="0.2">
      <c r="A3784" s="243">
        <v>2023</v>
      </c>
      <c r="B3784" s="243">
        <v>11</v>
      </c>
      <c r="C3784" s="243">
        <v>9</v>
      </c>
      <c r="D3784" s="248">
        <f t="shared" si="407"/>
        <v>45239</v>
      </c>
      <c r="E3784" s="249">
        <f t="shared" si="411"/>
        <v>45239</v>
      </c>
      <c r="F3784" s="477"/>
      <c r="G3784" s="244" t="s">
        <v>86</v>
      </c>
      <c r="H3784" s="244" t="str" cm="1">
        <f t="array" ref="H3784">IFERROR(INDEX(INVESTOR_LIST[INVESTOR NAME],MATCH(I3784,INVESTOR_LIST[INVESTOR CODE],0),)," ")</f>
        <v xml:space="preserve"> </v>
      </c>
      <c r="I3784" s="245"/>
      <c r="J3784" s="246" t="s">
        <v>51</v>
      </c>
      <c r="K3784" s="247"/>
      <c r="L3784" s="247">
        <v>3352.5854958479185</v>
      </c>
    </row>
    <row r="3785" spans="1:12" ht="11.25" customHeight="1" x14ac:dyDescent="0.2">
      <c r="A3785" s="221">
        <v>2023</v>
      </c>
      <c r="B3785" s="221">
        <v>11</v>
      </c>
      <c r="C3785" s="221">
        <v>12</v>
      </c>
      <c r="D3785" s="221">
        <f t="shared" ref="D3785:D3848" si="412">DATE(A3785,B3785,C3785)</f>
        <v>45242</v>
      </c>
      <c r="E3785" s="233">
        <f t="shared" si="411"/>
        <v>45242</v>
      </c>
      <c r="F3785" s="478" t="s">
        <v>1589</v>
      </c>
      <c r="G3785" s="222" t="s">
        <v>86</v>
      </c>
      <c r="H3785" s="222" t="str" cm="1">
        <f t="array" ref="H3785">IFERROR(INDEX(INVESTOR_LIST[INVESTOR NAME],MATCH(I3785,INVESTOR_LIST[INVESTOR CODE],0),)," ")</f>
        <v xml:space="preserve"> </v>
      </c>
      <c r="I3785" s="223"/>
      <c r="J3785" s="165" t="s">
        <v>199</v>
      </c>
      <c r="K3785" s="225">
        <v>12282.86</v>
      </c>
      <c r="L3785" s="225"/>
    </row>
    <row r="3786" spans="1:12" ht="11.25" customHeight="1" x14ac:dyDescent="0.2">
      <c r="A3786" s="164">
        <v>2023</v>
      </c>
      <c r="B3786" s="164">
        <v>11</v>
      </c>
      <c r="C3786" s="164">
        <v>12</v>
      </c>
      <c r="D3786" s="164">
        <f t="shared" si="412"/>
        <v>45242</v>
      </c>
      <c r="E3786" s="235">
        <f t="shared" si="411"/>
        <v>45242</v>
      </c>
      <c r="F3786" s="480"/>
      <c r="G3786" s="208" t="s">
        <v>86</v>
      </c>
      <c r="H3786" s="208"/>
      <c r="J3786" s="165" t="s">
        <v>960</v>
      </c>
      <c r="K3786" s="205">
        <v>22.14</v>
      </c>
      <c r="L3786" s="205"/>
    </row>
    <row r="3787" spans="1:12" ht="11.25" customHeight="1" x14ac:dyDescent="0.2">
      <c r="A3787" s="164">
        <v>2023</v>
      </c>
      <c r="B3787" s="164">
        <v>11</v>
      </c>
      <c r="C3787" s="164">
        <v>12</v>
      </c>
      <c r="D3787" s="164">
        <f t="shared" si="412"/>
        <v>45242</v>
      </c>
      <c r="E3787" s="235">
        <f t="shared" si="411"/>
        <v>45242</v>
      </c>
      <c r="F3787" s="480"/>
      <c r="G3787" s="208" t="s">
        <v>86</v>
      </c>
      <c r="H3787" s="208"/>
      <c r="J3787" s="165" t="s">
        <v>200</v>
      </c>
      <c r="K3787" s="205"/>
      <c r="L3787" s="205">
        <v>327.17</v>
      </c>
    </row>
    <row r="3788" spans="1:12" ht="11.25" customHeight="1" x14ac:dyDescent="0.2">
      <c r="A3788" s="226">
        <v>2023</v>
      </c>
      <c r="B3788" s="226">
        <v>11</v>
      </c>
      <c r="C3788" s="226">
        <v>12</v>
      </c>
      <c r="D3788" s="226">
        <f t="shared" si="412"/>
        <v>45242</v>
      </c>
      <c r="E3788" s="234">
        <f t="shared" si="411"/>
        <v>45242</v>
      </c>
      <c r="F3788" s="479"/>
      <c r="G3788" s="227" t="s">
        <v>86</v>
      </c>
      <c r="H3788" s="228" t="str" cm="1">
        <f t="array" ref="H3788">IFERROR(INDEX(INVESTOR_LIST[INVESTOR NAME],MATCH(I3788,INVESTOR_LIST[INVESTOR CODE],0),)," ")</f>
        <v xml:space="preserve"> </v>
      </c>
      <c r="I3788" s="228"/>
      <c r="J3788" s="229" t="s">
        <v>80</v>
      </c>
      <c r="K3788" s="230"/>
      <c r="L3788" s="230">
        <v>11977.83</v>
      </c>
    </row>
    <row r="3789" spans="1:12" ht="11.25" customHeight="1" x14ac:dyDescent="0.2">
      <c r="A3789" s="221">
        <v>2023</v>
      </c>
      <c r="B3789" s="221">
        <v>11</v>
      </c>
      <c r="C3789" s="221">
        <v>12</v>
      </c>
      <c r="D3789" s="231">
        <f t="shared" si="412"/>
        <v>45242</v>
      </c>
      <c r="E3789" s="233">
        <f t="shared" si="411"/>
        <v>45242</v>
      </c>
      <c r="F3789" s="478" t="s">
        <v>1634</v>
      </c>
      <c r="G3789" s="222" t="s">
        <v>1111</v>
      </c>
      <c r="H3789" s="223" t="str" cm="1">
        <f t="array" ref="H3789">IFERROR(INDEX(INVESTOR_LIST[INVESTOR NAME],MATCH(I3789,INVESTOR_LIST[INVESTOR CODE],0),)," ")</f>
        <v xml:space="preserve"> </v>
      </c>
      <c r="I3789" s="223"/>
      <c r="J3789" s="224" t="s">
        <v>192</v>
      </c>
      <c r="K3789" s="225">
        <v>74375</v>
      </c>
      <c r="L3789" s="225"/>
    </row>
    <row r="3790" spans="1:12" ht="11.25" customHeight="1" x14ac:dyDescent="0.2">
      <c r="A3790" s="226">
        <v>2023</v>
      </c>
      <c r="B3790" s="226">
        <v>11</v>
      </c>
      <c r="C3790" s="226">
        <v>12</v>
      </c>
      <c r="D3790" s="232">
        <f t="shared" si="412"/>
        <v>45242</v>
      </c>
      <c r="E3790" s="234">
        <f t="shared" si="411"/>
        <v>45242</v>
      </c>
      <c r="F3790" s="479"/>
      <c r="G3790" s="227" t="s">
        <v>1111</v>
      </c>
      <c r="H3790" s="228" t="str" cm="1">
        <f t="array" ref="H3790">IFERROR(INDEX(INVESTOR_LIST[INVESTOR NAME],MATCH(I3790,INVESTOR_LIST[INVESTOR CODE],0),)," ")</f>
        <v xml:space="preserve"> </v>
      </c>
      <c r="I3790" s="228"/>
      <c r="J3790" s="229" t="s">
        <v>191</v>
      </c>
      <c r="K3790" s="230"/>
      <c r="L3790" s="230">
        <v>74375</v>
      </c>
    </row>
    <row r="3791" spans="1:12" ht="11.25" customHeight="1" x14ac:dyDescent="0.2">
      <c r="A3791" s="221">
        <v>2023</v>
      </c>
      <c r="B3791" s="221">
        <v>11</v>
      </c>
      <c r="C3791" s="221">
        <v>13</v>
      </c>
      <c r="D3791" s="231">
        <f t="shared" si="412"/>
        <v>45243</v>
      </c>
      <c r="E3791" s="233">
        <f t="shared" si="411"/>
        <v>45243</v>
      </c>
      <c r="F3791" s="478" t="s">
        <v>1115</v>
      </c>
      <c r="G3791" s="222" t="s">
        <v>1111</v>
      </c>
      <c r="H3791" s="223" t="str" cm="1">
        <f t="array" ref="H3791">IFERROR(INDEX(INVESTOR_LIST[INVESTOR NAME],MATCH(I3791,INVESTOR_LIST[INVESTOR CODE],0),)," ")</f>
        <v>FARDINA HAFIZ</v>
      </c>
      <c r="I3791" s="223" t="s">
        <v>369</v>
      </c>
      <c r="J3791" s="224" t="s">
        <v>14</v>
      </c>
      <c r="K3791" s="225">
        <v>200000</v>
      </c>
      <c r="L3791" s="225"/>
    </row>
    <row r="3792" spans="1:12" ht="11.25" customHeight="1" x14ac:dyDescent="0.2">
      <c r="A3792" s="164">
        <v>2023</v>
      </c>
      <c r="B3792" s="164">
        <v>11</v>
      </c>
      <c r="C3792" s="164">
        <v>13</v>
      </c>
      <c r="D3792" s="156">
        <f t="shared" si="412"/>
        <v>45243</v>
      </c>
      <c r="E3792" s="235">
        <f t="shared" si="411"/>
        <v>45243</v>
      </c>
      <c r="F3792" s="480"/>
      <c r="G3792" s="208" t="s">
        <v>1111</v>
      </c>
      <c r="H3792" s="206" t="str" cm="1">
        <f t="array" ref="H3792">IFERROR(INDEX(INVESTOR_LIST[INVESTOR NAME],MATCH(I3792,INVESTOR_LIST[INVESTOR CODE],0),)," ")</f>
        <v>FARDINA HAFIZ</v>
      </c>
      <c r="I3792" s="206" t="s">
        <v>369</v>
      </c>
      <c r="J3792" s="165" t="s">
        <v>1112</v>
      </c>
      <c r="K3792" s="205">
        <v>6220</v>
      </c>
    </row>
    <row r="3793" spans="1:13" ht="11.25" customHeight="1" x14ac:dyDescent="0.2">
      <c r="A3793" s="226">
        <v>2023</v>
      </c>
      <c r="B3793" s="226">
        <v>11</v>
      </c>
      <c r="C3793" s="226">
        <v>13</v>
      </c>
      <c r="D3793" s="232">
        <f t="shared" si="412"/>
        <v>45243</v>
      </c>
      <c r="E3793" s="234">
        <f t="shared" si="411"/>
        <v>45243</v>
      </c>
      <c r="F3793" s="479"/>
      <c r="G3793" s="227" t="s">
        <v>1111</v>
      </c>
      <c r="H3793" s="228" t="str" cm="1">
        <f t="array" ref="H3793">IFERROR(INDEX(INVESTOR_LIST[INVESTOR NAME],MATCH(I3793,INVESTOR_LIST[INVESTOR CODE],0),)," ")</f>
        <v>FARDINA HAFIZ</v>
      </c>
      <c r="I3793" s="228" t="s">
        <v>369</v>
      </c>
      <c r="J3793" s="229" t="s">
        <v>55</v>
      </c>
      <c r="K3793" s="230"/>
      <c r="L3793" s="230">
        <v>206220</v>
      </c>
    </row>
    <row r="3794" spans="1:13" ht="11.25" customHeight="1" x14ac:dyDescent="0.2">
      <c r="A3794" s="221">
        <v>2023</v>
      </c>
      <c r="B3794" s="221">
        <v>11</v>
      </c>
      <c r="C3794" s="221">
        <v>13</v>
      </c>
      <c r="D3794" s="231">
        <f t="shared" si="412"/>
        <v>45243</v>
      </c>
      <c r="E3794" s="233">
        <f t="shared" si="411"/>
        <v>45243</v>
      </c>
      <c r="F3794" s="478" t="s">
        <v>1196</v>
      </c>
      <c r="G3794" s="222" t="s">
        <v>1111</v>
      </c>
      <c r="H3794" s="223" t="str" cm="1">
        <f t="array" ref="H3794">IFERROR(INDEX(INVESTOR_LIST[INVESTOR NAME],MATCH(I3794,INVESTOR_LIST[INVESTOR CODE],0),)," ")</f>
        <v xml:space="preserve"> </v>
      </c>
      <c r="I3794" s="223"/>
      <c r="J3794" s="224" t="s">
        <v>95</v>
      </c>
      <c r="K3794" s="225">
        <v>61.83</v>
      </c>
      <c r="L3794" s="225" t="s">
        <v>1119</v>
      </c>
    </row>
    <row r="3795" spans="1:13" ht="11.25" customHeight="1" x14ac:dyDescent="0.2">
      <c r="A3795" s="226">
        <v>2023</v>
      </c>
      <c r="B3795" s="226">
        <v>11</v>
      </c>
      <c r="C3795" s="226">
        <v>13</v>
      </c>
      <c r="D3795" s="232">
        <f t="shared" si="412"/>
        <v>45243</v>
      </c>
      <c r="E3795" s="234">
        <f t="shared" si="411"/>
        <v>45243</v>
      </c>
      <c r="F3795" s="479"/>
      <c r="G3795" s="227" t="s">
        <v>1111</v>
      </c>
      <c r="H3795" s="228" t="str" cm="1">
        <f t="array" ref="H3795">IFERROR(INDEX(INVESTOR_LIST[INVESTOR NAME],MATCH(I3795,INVESTOR_LIST[INVESTOR CODE],0),)," ")</f>
        <v xml:space="preserve"> </v>
      </c>
      <c r="I3795" s="228"/>
      <c r="J3795" s="229" t="s">
        <v>55</v>
      </c>
      <c r="K3795" s="230" t="s">
        <v>1119</v>
      </c>
      <c r="L3795" s="230">
        <v>61.83</v>
      </c>
    </row>
    <row r="3796" spans="1:13" ht="11.25" customHeight="1" x14ac:dyDescent="0.2">
      <c r="A3796" s="221">
        <v>2023</v>
      </c>
      <c r="B3796" s="221">
        <v>11</v>
      </c>
      <c r="C3796" s="221">
        <v>13</v>
      </c>
      <c r="D3796" s="231">
        <f t="shared" si="412"/>
        <v>45243</v>
      </c>
      <c r="E3796" s="233">
        <f>DATE(A3796,B3796,C3796)</f>
        <v>45243</v>
      </c>
      <c r="F3796" s="478" t="s">
        <v>1590</v>
      </c>
      <c r="G3796" s="222" t="s">
        <v>1111</v>
      </c>
      <c r="H3796" s="223" t="str" cm="1">
        <f t="array" ref="H3796">IFERROR(INDEX(INVESTOR_LIST[INVESTOR NAME],MATCH(I3796,INVESTOR_LIST[INVESTOR CODE],0),)," ")</f>
        <v xml:space="preserve"> </v>
      </c>
      <c r="I3796" s="223"/>
      <c r="J3796" s="224" t="s">
        <v>55</v>
      </c>
      <c r="K3796" s="225">
        <v>501600.51</v>
      </c>
      <c r="L3796" s="225"/>
    </row>
    <row r="3797" spans="1:13" ht="11.25" customHeight="1" x14ac:dyDescent="0.2">
      <c r="A3797" s="226">
        <v>2023</v>
      </c>
      <c r="B3797" s="226">
        <v>11</v>
      </c>
      <c r="C3797" s="226">
        <v>13</v>
      </c>
      <c r="D3797" s="232">
        <f t="shared" si="412"/>
        <v>45243</v>
      </c>
      <c r="E3797" s="234">
        <f>DATE(A3797,B3797,C3797)</f>
        <v>45243</v>
      </c>
      <c r="F3797" s="479"/>
      <c r="G3797" s="227" t="s">
        <v>1111</v>
      </c>
      <c r="H3797" s="228" t="str" cm="1">
        <f t="array" ref="H3797">IFERROR(INDEX(INVESTOR_LIST[INVESTOR NAME],MATCH(I3797,INVESTOR_LIST[INVESTOR CODE],0),)," ")</f>
        <v xml:space="preserve"> </v>
      </c>
      <c r="I3797" s="228"/>
      <c r="J3797" s="229" t="s">
        <v>199</v>
      </c>
      <c r="K3797" s="230"/>
      <c r="L3797" s="230">
        <v>501600.51</v>
      </c>
      <c r="M3797" s="166"/>
    </row>
    <row r="3798" spans="1:13" ht="11.25" customHeight="1" x14ac:dyDescent="0.2">
      <c r="A3798" s="221">
        <v>2023</v>
      </c>
      <c r="B3798" s="221">
        <v>11</v>
      </c>
      <c r="C3798" s="221">
        <v>14</v>
      </c>
      <c r="D3798" s="231">
        <f t="shared" si="412"/>
        <v>45244</v>
      </c>
      <c r="E3798" s="233">
        <f t="shared" ref="E3798:E3820" si="413">DATE(A3798,B3798,C3798)</f>
        <v>45244</v>
      </c>
      <c r="F3798" s="478" t="s">
        <v>1115</v>
      </c>
      <c r="G3798" s="222" t="s">
        <v>1111</v>
      </c>
      <c r="H3798" s="223" t="str" cm="1">
        <f t="array" ref="H3798">IFERROR(INDEX(INVESTOR_LIST[INVESTOR NAME],MATCH(I3798,INVESTOR_LIST[INVESTOR CODE],0),)," ")</f>
        <v>M A QUAYOOM</v>
      </c>
      <c r="I3798" s="223" t="s">
        <v>361</v>
      </c>
      <c r="J3798" s="224" t="s">
        <v>14</v>
      </c>
      <c r="K3798" s="225">
        <v>600000</v>
      </c>
      <c r="L3798" s="225"/>
    </row>
    <row r="3799" spans="1:13" ht="11.25" customHeight="1" x14ac:dyDescent="0.2">
      <c r="A3799" s="164">
        <v>2023</v>
      </c>
      <c r="B3799" s="164">
        <v>11</v>
      </c>
      <c r="C3799" s="164">
        <v>14</v>
      </c>
      <c r="D3799" s="156">
        <f t="shared" si="412"/>
        <v>45244</v>
      </c>
      <c r="E3799" s="235">
        <f t="shared" si="413"/>
        <v>45244</v>
      </c>
      <c r="F3799" s="480"/>
      <c r="G3799" s="208" t="s">
        <v>1111</v>
      </c>
      <c r="H3799" s="206" t="str" cm="1">
        <f t="array" ref="H3799">IFERROR(INDEX(INVESTOR_LIST[INVESTOR NAME],MATCH(I3799,INVESTOR_LIST[INVESTOR CODE],0),)," ")</f>
        <v>M A QUAYOOM</v>
      </c>
      <c r="I3799" s="206" t="s">
        <v>361</v>
      </c>
      <c r="J3799" s="165" t="s">
        <v>1112</v>
      </c>
      <c r="K3799" s="205">
        <v>18660</v>
      </c>
    </row>
    <row r="3800" spans="1:13" ht="11.25" customHeight="1" x14ac:dyDescent="0.2">
      <c r="A3800" s="226">
        <v>2023</v>
      </c>
      <c r="B3800" s="226">
        <v>11</v>
      </c>
      <c r="C3800" s="226">
        <v>14</v>
      </c>
      <c r="D3800" s="232">
        <f t="shared" si="412"/>
        <v>45244</v>
      </c>
      <c r="E3800" s="234">
        <f t="shared" si="413"/>
        <v>45244</v>
      </c>
      <c r="F3800" s="479"/>
      <c r="G3800" s="227" t="s">
        <v>1111</v>
      </c>
      <c r="H3800" s="228" t="str" cm="1">
        <f t="array" ref="H3800">IFERROR(INDEX(INVESTOR_LIST[INVESTOR NAME],MATCH(I3800,INVESTOR_LIST[INVESTOR CODE],0),)," ")</f>
        <v>M A QUAYOOM</v>
      </c>
      <c r="I3800" s="228" t="s">
        <v>361</v>
      </c>
      <c r="J3800" s="229" t="s">
        <v>55</v>
      </c>
      <c r="K3800" s="230"/>
      <c r="L3800" s="230">
        <v>618660</v>
      </c>
    </row>
    <row r="3801" spans="1:13" ht="11.25" customHeight="1" x14ac:dyDescent="0.2">
      <c r="A3801" s="280">
        <v>2023</v>
      </c>
      <c r="B3801" s="280">
        <v>11</v>
      </c>
      <c r="C3801" s="280">
        <v>16</v>
      </c>
      <c r="D3801" s="281">
        <f t="shared" si="412"/>
        <v>45246</v>
      </c>
      <c r="E3801" s="282">
        <f t="shared" si="413"/>
        <v>45246</v>
      </c>
      <c r="F3801" s="472" t="s">
        <v>1369</v>
      </c>
      <c r="G3801" s="283" t="s">
        <v>86</v>
      </c>
      <c r="H3801" s="284" t="str" cm="1">
        <f t="array" ref="H3801">IFERROR(INDEX(INVESTOR_LIST[INVESTOR NAME],MATCH(I3801,INVESTOR_LIST[INVESTOR CODE],0),)," ")</f>
        <v xml:space="preserve"> </v>
      </c>
      <c r="I3801" s="284"/>
      <c r="J3801" s="285" t="s">
        <v>131</v>
      </c>
      <c r="K3801" s="286">
        <v>99425.919999999998</v>
      </c>
      <c r="L3801" s="286"/>
    </row>
    <row r="3802" spans="1:13" ht="11.25" customHeight="1" x14ac:dyDescent="0.2">
      <c r="A3802" s="287">
        <v>2023</v>
      </c>
      <c r="B3802" s="287">
        <v>11</v>
      </c>
      <c r="C3802" s="287">
        <v>16</v>
      </c>
      <c r="D3802" s="288">
        <f t="shared" si="412"/>
        <v>45246</v>
      </c>
      <c r="E3802" s="289">
        <f t="shared" si="413"/>
        <v>45246</v>
      </c>
      <c r="F3802" s="473"/>
      <c r="G3802" s="290" t="s">
        <v>86</v>
      </c>
      <c r="H3802" s="291" t="str" cm="1">
        <f t="array" ref="H3802">IFERROR(INDEX(INVESTOR_LIST[INVESTOR NAME],MATCH(I3802,INVESTOR_LIST[INVESTOR CODE],0),)," ")</f>
        <v xml:space="preserve"> </v>
      </c>
      <c r="I3802" s="291"/>
      <c r="J3802" s="292" t="s">
        <v>174</v>
      </c>
      <c r="K3802" s="293"/>
      <c r="L3802" s="293">
        <v>99425.919999999998</v>
      </c>
    </row>
    <row r="3803" spans="1:13" ht="11.25" customHeight="1" x14ac:dyDescent="0.2">
      <c r="A3803" s="280">
        <v>2023</v>
      </c>
      <c r="B3803" s="280">
        <v>11</v>
      </c>
      <c r="C3803" s="280">
        <v>16</v>
      </c>
      <c r="D3803" s="281">
        <f t="shared" si="412"/>
        <v>45246</v>
      </c>
      <c r="E3803" s="282">
        <f t="shared" si="413"/>
        <v>45246</v>
      </c>
      <c r="F3803" s="472" t="s">
        <v>1295</v>
      </c>
      <c r="G3803" s="283" t="s">
        <v>86</v>
      </c>
      <c r="H3803" s="284" t="str" cm="1">
        <f t="array" ref="H3803">IFERROR(INDEX(INVESTOR_LIST[INVESTOR NAME],MATCH(I3803,INVESTOR_LIST[INVESTOR CODE],0),)," ")</f>
        <v xml:space="preserve"> </v>
      </c>
      <c r="I3803" s="284"/>
      <c r="J3803" s="285" t="s">
        <v>131</v>
      </c>
      <c r="K3803" s="286">
        <v>18342.63</v>
      </c>
      <c r="L3803" s="286"/>
    </row>
    <row r="3804" spans="1:13" ht="11.25" customHeight="1" x14ac:dyDescent="0.2">
      <c r="A3804" s="287">
        <v>2023</v>
      </c>
      <c r="B3804" s="287">
        <v>11</v>
      </c>
      <c r="C3804" s="287">
        <v>16</v>
      </c>
      <c r="D3804" s="288">
        <f t="shared" si="412"/>
        <v>45246</v>
      </c>
      <c r="E3804" s="289">
        <f t="shared" si="413"/>
        <v>45246</v>
      </c>
      <c r="F3804" s="473"/>
      <c r="G3804" s="290" t="s">
        <v>86</v>
      </c>
      <c r="H3804" s="291" t="str" cm="1">
        <f t="array" ref="H3804">IFERROR(INDEX(INVESTOR_LIST[INVESTOR NAME],MATCH(I3804,INVESTOR_LIST[INVESTOR CODE],0),)," ")</f>
        <v xml:space="preserve"> </v>
      </c>
      <c r="I3804" s="291"/>
      <c r="J3804" s="292" t="s">
        <v>174</v>
      </c>
      <c r="K3804" s="293"/>
      <c r="L3804" s="293">
        <v>18342.63</v>
      </c>
    </row>
    <row r="3805" spans="1:13" ht="11.25" customHeight="1" x14ac:dyDescent="0.2">
      <c r="A3805" s="280">
        <v>2023</v>
      </c>
      <c r="B3805" s="280">
        <v>11</v>
      </c>
      <c r="C3805" s="280">
        <v>16</v>
      </c>
      <c r="D3805" s="281">
        <f t="shared" si="412"/>
        <v>45246</v>
      </c>
      <c r="E3805" s="282">
        <f t="shared" si="413"/>
        <v>45246</v>
      </c>
      <c r="F3805" s="472" t="s">
        <v>1584</v>
      </c>
      <c r="G3805" s="283" t="s">
        <v>86</v>
      </c>
      <c r="H3805" s="284" t="str" cm="1">
        <f t="array" ref="H3805">IFERROR(INDEX(INVESTOR_LIST[INVESTOR NAME],MATCH(I3805,INVESTOR_LIST[INVESTOR CODE],0),)," ")</f>
        <v xml:space="preserve"> </v>
      </c>
      <c r="I3805" s="284"/>
      <c r="J3805" s="285" t="s">
        <v>131</v>
      </c>
      <c r="K3805" s="286">
        <v>6346.15</v>
      </c>
      <c r="L3805" s="286"/>
    </row>
    <row r="3806" spans="1:13" ht="11.25" customHeight="1" x14ac:dyDescent="0.2">
      <c r="A3806" s="287">
        <v>2023</v>
      </c>
      <c r="B3806" s="287">
        <v>11</v>
      </c>
      <c r="C3806" s="287">
        <v>16</v>
      </c>
      <c r="D3806" s="288">
        <f t="shared" si="412"/>
        <v>45246</v>
      </c>
      <c r="E3806" s="289">
        <f t="shared" si="413"/>
        <v>45246</v>
      </c>
      <c r="F3806" s="473"/>
      <c r="G3806" s="290" t="s">
        <v>86</v>
      </c>
      <c r="H3806" s="291" t="str" cm="1">
        <f t="array" ref="H3806">IFERROR(INDEX(INVESTOR_LIST[INVESTOR NAME],MATCH(I3806,INVESTOR_LIST[INVESTOR CODE],0),)," ")</f>
        <v xml:space="preserve"> </v>
      </c>
      <c r="I3806" s="291"/>
      <c r="J3806" s="292" t="s">
        <v>174</v>
      </c>
      <c r="K3806" s="293"/>
      <c r="L3806" s="293">
        <v>6346.15</v>
      </c>
    </row>
    <row r="3807" spans="1:13" ht="11.25" customHeight="1" x14ac:dyDescent="0.2">
      <c r="A3807" s="358">
        <v>2023</v>
      </c>
      <c r="B3807" s="358">
        <v>11</v>
      </c>
      <c r="C3807" s="358">
        <v>16</v>
      </c>
      <c r="D3807" s="312">
        <f t="shared" si="412"/>
        <v>45246</v>
      </c>
      <c r="E3807" s="313">
        <f t="shared" si="413"/>
        <v>45246</v>
      </c>
      <c r="F3807" s="482" t="s">
        <v>1627</v>
      </c>
      <c r="G3807" s="314" t="s">
        <v>86</v>
      </c>
      <c r="H3807" s="324" t="str" cm="1">
        <f t="array" ref="H3807">IFERROR(INDEX(INVESTOR_LIST[INVESTOR NAME],MATCH(I3807,INVESTOR_LIST[INVESTOR CODE],0),)," ")</f>
        <v xml:space="preserve"> </v>
      </c>
      <c r="I3807" s="324"/>
      <c r="J3807" s="364" t="s">
        <v>1621</v>
      </c>
      <c r="K3807" s="365">
        <v>1091</v>
      </c>
      <c r="L3807" s="365"/>
    </row>
    <row r="3808" spans="1:13" ht="11.25" customHeight="1" x14ac:dyDescent="0.2">
      <c r="A3808" s="320">
        <v>2023</v>
      </c>
      <c r="B3808" s="320">
        <v>11</v>
      </c>
      <c r="C3808" s="320">
        <v>16</v>
      </c>
      <c r="D3808" s="323">
        <f t="shared" si="412"/>
        <v>45246</v>
      </c>
      <c r="E3808" s="321">
        <f t="shared" si="413"/>
        <v>45246</v>
      </c>
      <c r="F3808" s="483"/>
      <c r="G3808" s="322" t="s">
        <v>86</v>
      </c>
      <c r="H3808" s="325" t="str" cm="1">
        <f t="array" ref="H3808">IFERROR(INDEX(INVESTOR_LIST[INVESTOR NAME],MATCH(I3808,INVESTOR_LIST[INVESTOR CODE],0),)," ")</f>
        <v xml:space="preserve"> </v>
      </c>
      <c r="I3808" s="325"/>
      <c r="J3808" s="366" t="s">
        <v>1613</v>
      </c>
      <c r="K3808" s="367"/>
      <c r="L3808" s="367">
        <v>1091</v>
      </c>
    </row>
    <row r="3809" spans="1:12" ht="11.25" customHeight="1" x14ac:dyDescent="0.2">
      <c r="A3809" s="236">
        <v>2023</v>
      </c>
      <c r="B3809" s="236">
        <v>11</v>
      </c>
      <c r="C3809" s="236">
        <v>16</v>
      </c>
      <c r="D3809" s="237">
        <f t="shared" si="412"/>
        <v>45246</v>
      </c>
      <c r="E3809" s="238">
        <f t="shared" si="413"/>
        <v>45246</v>
      </c>
      <c r="F3809" s="476" t="s">
        <v>1118</v>
      </c>
      <c r="G3809" s="239" t="s">
        <v>86</v>
      </c>
      <c r="H3809" s="239" t="str" cm="1">
        <f t="array" ref="H3809">IFERROR(INDEX(INVESTOR_LIST[INVESTOR NAME],MATCH(I3809,INVESTOR_LIST[INVESTOR CODE],0),)," ")</f>
        <v xml:space="preserve"> </v>
      </c>
      <c r="I3809" s="240"/>
      <c r="J3809" s="241" t="s">
        <v>82</v>
      </c>
      <c r="K3809" s="242">
        <v>177688.67000000179</v>
      </c>
      <c r="L3809" s="242"/>
    </row>
    <row r="3810" spans="1:12" ht="11.25" customHeight="1" x14ac:dyDescent="0.2">
      <c r="A3810" s="243">
        <v>2023</v>
      </c>
      <c r="B3810" s="243">
        <v>11</v>
      </c>
      <c r="C3810" s="243">
        <v>16</v>
      </c>
      <c r="D3810" s="248">
        <f t="shared" si="412"/>
        <v>45246</v>
      </c>
      <c r="E3810" s="249">
        <f t="shared" si="413"/>
        <v>45246</v>
      </c>
      <c r="F3810" s="477"/>
      <c r="G3810" s="244" t="s">
        <v>86</v>
      </c>
      <c r="H3810" s="244" t="str" cm="1">
        <f t="array" ref="H3810">IFERROR(INDEX(INVESTOR_LIST[INVESTOR NAME],MATCH(I3810,INVESTOR_LIST[INVESTOR CODE],0),)," ")</f>
        <v xml:space="preserve"> </v>
      </c>
      <c r="I3810" s="245"/>
      <c r="J3810" s="246" t="s">
        <v>98</v>
      </c>
      <c r="K3810" s="247"/>
      <c r="L3810" s="247">
        <v>177688.67000000179</v>
      </c>
    </row>
    <row r="3811" spans="1:12" ht="11.25" customHeight="1" x14ac:dyDescent="0.2">
      <c r="A3811" s="236">
        <v>2023</v>
      </c>
      <c r="B3811" s="236">
        <v>11</v>
      </c>
      <c r="C3811" s="236">
        <v>16</v>
      </c>
      <c r="D3811" s="237">
        <f t="shared" si="412"/>
        <v>45246</v>
      </c>
      <c r="E3811" s="238">
        <f t="shared" si="413"/>
        <v>45246</v>
      </c>
      <c r="F3811" s="476" t="s">
        <v>1120</v>
      </c>
      <c r="G3811" s="239" t="s">
        <v>86</v>
      </c>
      <c r="H3811" s="239" t="str" cm="1">
        <f t="array" ref="H3811">IFERROR(INDEX(INVESTOR_LIST[INVESTOR NAME],MATCH(I3811,INVESTOR_LIST[INVESTOR CODE],0),)," ")</f>
        <v xml:space="preserve"> </v>
      </c>
      <c r="I3811" s="240"/>
      <c r="J3811" s="241" t="s">
        <v>87</v>
      </c>
      <c r="K3811" s="242">
        <v>2747.2527472527472</v>
      </c>
      <c r="L3811" s="242"/>
    </row>
    <row r="3812" spans="1:12" ht="11.25" customHeight="1" x14ac:dyDescent="0.2">
      <c r="A3812" s="243">
        <v>2023</v>
      </c>
      <c r="B3812" s="243">
        <v>11</v>
      </c>
      <c r="C3812" s="243">
        <v>16</v>
      </c>
      <c r="D3812" s="248">
        <f t="shared" si="412"/>
        <v>45246</v>
      </c>
      <c r="E3812" s="249">
        <f t="shared" si="413"/>
        <v>45246</v>
      </c>
      <c r="F3812" s="477"/>
      <c r="G3812" s="244" t="s">
        <v>86</v>
      </c>
      <c r="H3812" s="244" t="str" cm="1">
        <f t="array" ref="H3812">IFERROR(INDEX(INVESTOR_LIST[INVESTOR NAME],MATCH(I3812,INVESTOR_LIST[INVESTOR CODE],0),)," ")</f>
        <v xml:space="preserve"> </v>
      </c>
      <c r="I3812" s="245"/>
      <c r="J3812" s="246" t="s">
        <v>64</v>
      </c>
      <c r="K3812" s="247"/>
      <c r="L3812" s="247">
        <v>2747.2527472527472</v>
      </c>
    </row>
    <row r="3813" spans="1:12" ht="11.25" customHeight="1" x14ac:dyDescent="0.2">
      <c r="A3813" s="236">
        <v>2023</v>
      </c>
      <c r="B3813" s="236">
        <v>11</v>
      </c>
      <c r="C3813" s="236">
        <v>16</v>
      </c>
      <c r="D3813" s="237">
        <f t="shared" si="412"/>
        <v>45246</v>
      </c>
      <c r="E3813" s="238">
        <f t="shared" si="413"/>
        <v>45246</v>
      </c>
      <c r="F3813" s="476" t="s">
        <v>1121</v>
      </c>
      <c r="G3813" s="239" t="s">
        <v>86</v>
      </c>
      <c r="H3813" s="239" t="str" cm="1">
        <f t="array" ref="H3813">IFERROR(INDEX(INVESTOR_LIST[INVESTOR NAME],MATCH(I3813,INVESTOR_LIST[INVESTOR CODE],0),)," ")</f>
        <v xml:space="preserve"> </v>
      </c>
      <c r="I3813" s="240"/>
      <c r="J3813" s="241" t="s">
        <v>89</v>
      </c>
      <c r="K3813" s="242">
        <v>66714.826717666045</v>
      </c>
      <c r="L3813" s="242"/>
    </row>
    <row r="3814" spans="1:12" ht="11.25" customHeight="1" x14ac:dyDescent="0.2">
      <c r="A3814" s="243">
        <v>2023</v>
      </c>
      <c r="B3814" s="243">
        <v>11</v>
      </c>
      <c r="C3814" s="243">
        <v>16</v>
      </c>
      <c r="D3814" s="248">
        <f t="shared" si="412"/>
        <v>45246</v>
      </c>
      <c r="E3814" s="249">
        <f t="shared" si="413"/>
        <v>45246</v>
      </c>
      <c r="F3814" s="477"/>
      <c r="G3814" s="244" t="s">
        <v>86</v>
      </c>
      <c r="H3814" s="244" t="str" cm="1">
        <f t="array" ref="H3814">IFERROR(INDEX(INVESTOR_LIST[INVESTOR NAME],MATCH(I3814,INVESTOR_LIST[INVESTOR CODE],0),)," ")</f>
        <v xml:space="preserve"> </v>
      </c>
      <c r="I3814" s="245"/>
      <c r="J3814" s="246" t="s">
        <v>50</v>
      </c>
      <c r="K3814" s="247"/>
      <c r="L3814" s="247">
        <v>66714.826717666045</v>
      </c>
    </row>
    <row r="3815" spans="1:12" ht="11.25" customHeight="1" x14ac:dyDescent="0.2">
      <c r="A3815" s="236">
        <v>2023</v>
      </c>
      <c r="B3815" s="236">
        <v>11</v>
      </c>
      <c r="C3815" s="236">
        <v>16</v>
      </c>
      <c r="D3815" s="237">
        <f t="shared" si="412"/>
        <v>45246</v>
      </c>
      <c r="E3815" s="238">
        <f t="shared" si="413"/>
        <v>45246</v>
      </c>
      <c r="F3815" s="476" t="s">
        <v>1122</v>
      </c>
      <c r="G3815" s="239" t="s">
        <v>86</v>
      </c>
      <c r="H3815" s="239" t="str" cm="1">
        <f t="array" ref="H3815">IFERROR(INDEX(INVESTOR_LIST[INVESTOR NAME],MATCH(I3815,INVESTOR_LIST[INVESTOR CODE],0),)," ")</f>
        <v xml:space="preserve"> </v>
      </c>
      <c r="I3815" s="240"/>
      <c r="J3815" s="241" t="s">
        <v>91</v>
      </c>
      <c r="K3815" s="242">
        <v>3335.7413358833023</v>
      </c>
      <c r="L3815" s="242"/>
    </row>
    <row r="3816" spans="1:12" ht="11.25" customHeight="1" x14ac:dyDescent="0.2">
      <c r="A3816" s="243">
        <v>2023</v>
      </c>
      <c r="B3816" s="243">
        <v>11</v>
      </c>
      <c r="C3816" s="243">
        <v>16</v>
      </c>
      <c r="D3816" s="248">
        <f t="shared" si="412"/>
        <v>45246</v>
      </c>
      <c r="E3816" s="249">
        <f t="shared" si="413"/>
        <v>45246</v>
      </c>
      <c r="F3816" s="477"/>
      <c r="G3816" s="244" t="s">
        <v>86</v>
      </c>
      <c r="H3816" s="244" t="str" cm="1">
        <f t="array" ref="H3816">IFERROR(INDEX(INVESTOR_LIST[INVESTOR NAME],MATCH(I3816,INVESTOR_LIST[INVESTOR CODE],0),)," ")</f>
        <v xml:space="preserve"> </v>
      </c>
      <c r="I3816" s="245"/>
      <c r="J3816" s="246" t="s">
        <v>51</v>
      </c>
      <c r="K3816" s="247"/>
      <c r="L3816" s="247">
        <v>3335.7413358833023</v>
      </c>
    </row>
    <row r="3817" spans="1:12" ht="11.25" customHeight="1" x14ac:dyDescent="0.2">
      <c r="A3817" s="221">
        <v>2023</v>
      </c>
      <c r="B3817" s="221">
        <v>11</v>
      </c>
      <c r="C3817" s="221">
        <v>19</v>
      </c>
      <c r="D3817" s="221">
        <f t="shared" si="412"/>
        <v>45249</v>
      </c>
      <c r="E3817" s="233">
        <f t="shared" si="413"/>
        <v>45249</v>
      </c>
      <c r="F3817" s="478" t="s">
        <v>1589</v>
      </c>
      <c r="G3817" s="222" t="s">
        <v>86</v>
      </c>
      <c r="H3817" s="222" t="str" cm="1">
        <f t="array" ref="H3817">IFERROR(INDEX(INVESTOR_LIST[INVESTOR NAME],MATCH(I3817,INVESTOR_LIST[INVESTOR CODE],0),)," ")</f>
        <v xml:space="preserve"> </v>
      </c>
      <c r="I3817" s="223"/>
      <c r="J3817" s="165" t="s">
        <v>199</v>
      </c>
      <c r="K3817" s="225">
        <v>1370649.09</v>
      </c>
      <c r="L3817" s="225"/>
    </row>
    <row r="3818" spans="1:12" ht="11.25" customHeight="1" x14ac:dyDescent="0.2">
      <c r="A3818" s="164">
        <v>2023</v>
      </c>
      <c r="B3818" s="164">
        <v>11</v>
      </c>
      <c r="C3818" s="164">
        <v>19</v>
      </c>
      <c r="D3818" s="164">
        <f t="shared" si="412"/>
        <v>45249</v>
      </c>
      <c r="E3818" s="235">
        <f t="shared" si="413"/>
        <v>45249</v>
      </c>
      <c r="F3818" s="480"/>
      <c r="G3818" s="208" t="s">
        <v>86</v>
      </c>
      <c r="H3818" s="208"/>
      <c r="J3818" s="165" t="s">
        <v>960</v>
      </c>
      <c r="K3818" s="205">
        <v>2471.61</v>
      </c>
      <c r="L3818" s="205"/>
    </row>
    <row r="3819" spans="1:12" ht="11.25" customHeight="1" x14ac:dyDescent="0.2">
      <c r="A3819" s="164">
        <v>2023</v>
      </c>
      <c r="B3819" s="164">
        <v>11</v>
      </c>
      <c r="C3819" s="164">
        <v>19</v>
      </c>
      <c r="D3819" s="164">
        <f t="shared" si="412"/>
        <v>45249</v>
      </c>
      <c r="E3819" s="235">
        <f t="shared" si="413"/>
        <v>45249</v>
      </c>
      <c r="F3819" s="480"/>
      <c r="G3819" s="208" t="s">
        <v>86</v>
      </c>
      <c r="H3819" s="208"/>
      <c r="J3819" s="165" t="s">
        <v>200</v>
      </c>
      <c r="K3819" s="205"/>
      <c r="L3819" s="205">
        <v>14835.26</v>
      </c>
    </row>
    <row r="3820" spans="1:12" ht="11.25" customHeight="1" x14ac:dyDescent="0.2">
      <c r="A3820" s="226">
        <v>2023</v>
      </c>
      <c r="B3820" s="226">
        <v>11</v>
      </c>
      <c r="C3820" s="226">
        <v>19</v>
      </c>
      <c r="D3820" s="226">
        <f t="shared" si="412"/>
        <v>45249</v>
      </c>
      <c r="E3820" s="234">
        <f t="shared" si="413"/>
        <v>45249</v>
      </c>
      <c r="F3820" s="479"/>
      <c r="G3820" s="227" t="s">
        <v>86</v>
      </c>
      <c r="H3820" s="228" t="str" cm="1">
        <f t="array" ref="H3820">IFERROR(INDEX(INVESTOR_LIST[INVESTOR NAME],MATCH(I3820,INVESTOR_LIST[INVESTOR CODE],0),)," ")</f>
        <v xml:space="preserve"> </v>
      </c>
      <c r="I3820" s="228"/>
      <c r="J3820" s="229" t="s">
        <v>80</v>
      </c>
      <c r="K3820" s="230"/>
      <c r="L3820" s="230">
        <v>1358285.44</v>
      </c>
    </row>
    <row r="3821" spans="1:12" ht="11.25" customHeight="1" x14ac:dyDescent="0.2">
      <c r="A3821" s="221">
        <v>2023</v>
      </c>
      <c r="B3821" s="221">
        <v>11</v>
      </c>
      <c r="C3821" s="221">
        <v>20</v>
      </c>
      <c r="D3821" s="231">
        <f t="shared" si="412"/>
        <v>45250</v>
      </c>
      <c r="E3821" s="233">
        <f t="shared" ref="E3821:E3845" si="414">DATE(A3821,B3821,C3821)</f>
        <v>45250</v>
      </c>
      <c r="F3821" s="478" t="s">
        <v>1115</v>
      </c>
      <c r="G3821" s="222" t="s">
        <v>1111</v>
      </c>
      <c r="H3821" s="223" t="str" cm="1">
        <f t="array" ref="H3821">IFERROR(INDEX(INVESTOR_LIST[INVESTOR NAME],MATCH(I3821,INVESTOR_LIST[INVESTOR CODE],0),)," ")</f>
        <v>MUBTASIN KABIR</v>
      </c>
      <c r="I3821" s="223" t="s">
        <v>1578</v>
      </c>
      <c r="J3821" s="224" t="s">
        <v>14</v>
      </c>
      <c r="K3821" s="225">
        <v>244020</v>
      </c>
      <c r="L3821" s="225"/>
    </row>
    <row r="3822" spans="1:12" ht="11.25" customHeight="1" x14ac:dyDescent="0.2">
      <c r="A3822" s="164">
        <v>2023</v>
      </c>
      <c r="B3822" s="164">
        <v>11</v>
      </c>
      <c r="C3822" s="164">
        <v>20</v>
      </c>
      <c r="D3822" s="156">
        <f t="shared" si="412"/>
        <v>45250</v>
      </c>
      <c r="E3822" s="235">
        <f t="shared" si="414"/>
        <v>45250</v>
      </c>
      <c r="F3822" s="480"/>
      <c r="G3822" s="208" t="s">
        <v>1111</v>
      </c>
      <c r="H3822" s="206" t="str" cm="1">
        <f t="array" ref="H3822">IFERROR(INDEX(INVESTOR_LIST[INVESTOR NAME],MATCH(I3822,INVESTOR_LIST[INVESTOR CODE],0),)," ")</f>
        <v>MUBTASIN KABIR</v>
      </c>
      <c r="I3822" s="206" t="s">
        <v>1578</v>
      </c>
      <c r="J3822" s="165" t="s">
        <v>1112</v>
      </c>
      <c r="K3822" s="205">
        <v>7515.820000000007</v>
      </c>
    </row>
    <row r="3823" spans="1:12" ht="11.25" customHeight="1" x14ac:dyDescent="0.2">
      <c r="A3823" s="226">
        <v>2023</v>
      </c>
      <c r="B3823" s="226">
        <v>11</v>
      </c>
      <c r="C3823" s="226">
        <v>20</v>
      </c>
      <c r="D3823" s="232">
        <f t="shared" si="412"/>
        <v>45250</v>
      </c>
      <c r="E3823" s="234">
        <f t="shared" si="414"/>
        <v>45250</v>
      </c>
      <c r="F3823" s="479"/>
      <c r="G3823" s="227" t="s">
        <v>1111</v>
      </c>
      <c r="H3823" s="228" t="str" cm="1">
        <f t="array" ref="H3823">IFERROR(INDEX(INVESTOR_LIST[INVESTOR NAME],MATCH(I3823,INVESTOR_LIST[INVESTOR CODE],0),)," ")</f>
        <v>MUBTASIN KABIR</v>
      </c>
      <c r="I3823" s="228" t="s">
        <v>1578</v>
      </c>
      <c r="J3823" s="229" t="s">
        <v>55</v>
      </c>
      <c r="K3823" s="230"/>
      <c r="L3823" s="230">
        <v>251535.82</v>
      </c>
    </row>
    <row r="3824" spans="1:12" ht="11.25" customHeight="1" x14ac:dyDescent="0.2">
      <c r="A3824" s="221">
        <v>2023</v>
      </c>
      <c r="B3824" s="221">
        <v>11</v>
      </c>
      <c r="C3824" s="221">
        <v>20</v>
      </c>
      <c r="D3824" s="231">
        <f t="shared" si="412"/>
        <v>45250</v>
      </c>
      <c r="E3824" s="233">
        <f t="shared" si="414"/>
        <v>45250</v>
      </c>
      <c r="F3824" s="478" t="s">
        <v>1142</v>
      </c>
      <c r="G3824" s="222" t="s">
        <v>1111</v>
      </c>
      <c r="H3824" s="223" t="str" cm="1">
        <f t="array" ref="H3824">IFERROR(INDEX(INVESTOR_LIST[INVESTOR NAME],MATCH(I3824,INVESTOR_LIST[INVESTOR CODE],0),)," ")</f>
        <v xml:space="preserve"> </v>
      </c>
      <c r="I3824" s="223"/>
      <c r="J3824" s="224" t="s">
        <v>189</v>
      </c>
      <c r="K3824" s="225">
        <v>1575</v>
      </c>
      <c r="L3824" s="225"/>
    </row>
    <row r="3825" spans="1:12" ht="11.25" customHeight="1" x14ac:dyDescent="0.2">
      <c r="A3825" s="226">
        <v>2023</v>
      </c>
      <c r="B3825" s="226">
        <v>11</v>
      </c>
      <c r="C3825" s="226">
        <v>20</v>
      </c>
      <c r="D3825" s="232">
        <f t="shared" si="412"/>
        <v>45250</v>
      </c>
      <c r="E3825" s="234">
        <f t="shared" si="414"/>
        <v>45250</v>
      </c>
      <c r="F3825" s="479"/>
      <c r="G3825" s="227" t="s">
        <v>1111</v>
      </c>
      <c r="H3825" s="228" t="str" cm="1">
        <f t="array" ref="H3825">IFERROR(INDEX(INVESTOR_LIST[INVESTOR NAME],MATCH(I3825,INVESTOR_LIST[INVESTOR CODE],0),)," ")</f>
        <v xml:space="preserve"> </v>
      </c>
      <c r="I3825" s="228"/>
      <c r="J3825" s="229" t="s">
        <v>55</v>
      </c>
      <c r="K3825" s="230"/>
      <c r="L3825" s="230">
        <v>1575</v>
      </c>
    </row>
    <row r="3826" spans="1:12" ht="11.25" customHeight="1" x14ac:dyDescent="0.2">
      <c r="A3826" s="221">
        <v>2023</v>
      </c>
      <c r="B3826" s="221">
        <v>11</v>
      </c>
      <c r="C3826" s="221">
        <v>22</v>
      </c>
      <c r="D3826" s="221">
        <f t="shared" si="412"/>
        <v>45252</v>
      </c>
      <c r="E3826" s="233">
        <f t="shared" si="414"/>
        <v>45252</v>
      </c>
      <c r="F3826" s="478" t="s">
        <v>1589</v>
      </c>
      <c r="G3826" s="222" t="s">
        <v>86</v>
      </c>
      <c r="H3826" s="222" t="str" cm="1">
        <f t="array" ref="H3826">IFERROR(INDEX(INVESTOR_LIST[INVESTOR NAME],MATCH(I3826,INVESTOR_LIST[INVESTOR CODE],0),)," ")</f>
        <v xml:space="preserve"> </v>
      </c>
      <c r="I3826" s="223"/>
      <c r="J3826" s="165" t="s">
        <v>199</v>
      </c>
      <c r="K3826" s="225">
        <v>120857.06</v>
      </c>
      <c r="L3826" s="225"/>
    </row>
    <row r="3827" spans="1:12" ht="11.25" customHeight="1" x14ac:dyDescent="0.2">
      <c r="A3827" s="164">
        <v>2023</v>
      </c>
      <c r="B3827" s="164">
        <v>11</v>
      </c>
      <c r="C3827" s="164">
        <v>22</v>
      </c>
      <c r="D3827" s="164">
        <f t="shared" si="412"/>
        <v>45252</v>
      </c>
      <c r="E3827" s="235">
        <f t="shared" si="414"/>
        <v>45252</v>
      </c>
      <c r="F3827" s="480"/>
      <c r="G3827" s="208" t="s">
        <v>86</v>
      </c>
      <c r="H3827" s="208"/>
      <c r="J3827" s="165" t="s">
        <v>960</v>
      </c>
      <c r="K3827" s="205">
        <v>217.94</v>
      </c>
      <c r="L3827" s="205"/>
    </row>
    <row r="3828" spans="1:12" ht="11.25" customHeight="1" x14ac:dyDescent="0.2">
      <c r="A3828" s="164">
        <v>2023</v>
      </c>
      <c r="B3828" s="164">
        <v>11</v>
      </c>
      <c r="C3828" s="164">
        <v>22</v>
      </c>
      <c r="D3828" s="164">
        <f t="shared" si="412"/>
        <v>45252</v>
      </c>
      <c r="E3828" s="235">
        <f t="shared" si="414"/>
        <v>45252</v>
      </c>
      <c r="F3828" s="480"/>
      <c r="G3828" s="208" t="s">
        <v>86</v>
      </c>
      <c r="H3828" s="208"/>
      <c r="J3828" s="165" t="s">
        <v>200</v>
      </c>
      <c r="K3828" s="205"/>
      <c r="L3828" s="205">
        <v>1296.74</v>
      </c>
    </row>
    <row r="3829" spans="1:12" ht="11.25" customHeight="1" x14ac:dyDescent="0.2">
      <c r="A3829" s="226">
        <v>2023</v>
      </c>
      <c r="B3829" s="226">
        <v>11</v>
      </c>
      <c r="C3829" s="226">
        <v>22</v>
      </c>
      <c r="D3829" s="226">
        <f t="shared" si="412"/>
        <v>45252</v>
      </c>
      <c r="E3829" s="234">
        <f t="shared" si="414"/>
        <v>45252</v>
      </c>
      <c r="F3829" s="479"/>
      <c r="G3829" s="227" t="s">
        <v>86</v>
      </c>
      <c r="H3829" s="228" t="str" cm="1">
        <f t="array" ref="H3829">IFERROR(INDEX(INVESTOR_LIST[INVESTOR NAME],MATCH(I3829,INVESTOR_LIST[INVESTOR CODE],0),)," ")</f>
        <v xml:space="preserve"> </v>
      </c>
      <c r="I3829" s="228"/>
      <c r="J3829" s="229" t="s">
        <v>80</v>
      </c>
      <c r="K3829" s="230"/>
      <c r="L3829" s="230">
        <v>119778.26</v>
      </c>
    </row>
    <row r="3830" spans="1:12" ht="11.25" customHeight="1" x14ac:dyDescent="0.2">
      <c r="A3830" s="280">
        <v>2023</v>
      </c>
      <c r="B3830" s="280">
        <v>11</v>
      </c>
      <c r="C3830" s="280">
        <v>23</v>
      </c>
      <c r="D3830" s="281">
        <f t="shared" si="412"/>
        <v>45253</v>
      </c>
      <c r="E3830" s="282">
        <f t="shared" si="414"/>
        <v>45253</v>
      </c>
      <c r="F3830" s="472" t="s">
        <v>1369</v>
      </c>
      <c r="G3830" s="283" t="s">
        <v>86</v>
      </c>
      <c r="H3830" s="284" t="str" cm="1">
        <f t="array" ref="H3830">IFERROR(INDEX(INVESTOR_LIST[INVESTOR NAME],MATCH(I3830,INVESTOR_LIST[INVESTOR CODE],0),)," ")</f>
        <v xml:space="preserve"> </v>
      </c>
      <c r="I3830" s="284"/>
      <c r="J3830" s="285" t="s">
        <v>131</v>
      </c>
      <c r="K3830" s="286">
        <v>99425.919999999998</v>
      </c>
      <c r="L3830" s="286"/>
    </row>
    <row r="3831" spans="1:12" ht="11.25" customHeight="1" x14ac:dyDescent="0.2">
      <c r="A3831" s="287">
        <v>2023</v>
      </c>
      <c r="B3831" s="287">
        <v>11</v>
      </c>
      <c r="C3831" s="287">
        <v>23</v>
      </c>
      <c r="D3831" s="288">
        <f t="shared" si="412"/>
        <v>45253</v>
      </c>
      <c r="E3831" s="289">
        <f t="shared" si="414"/>
        <v>45253</v>
      </c>
      <c r="F3831" s="473"/>
      <c r="G3831" s="290" t="s">
        <v>86</v>
      </c>
      <c r="H3831" s="291" t="str" cm="1">
        <f t="array" ref="H3831">IFERROR(INDEX(INVESTOR_LIST[INVESTOR NAME],MATCH(I3831,INVESTOR_LIST[INVESTOR CODE],0),)," ")</f>
        <v xml:space="preserve"> </v>
      </c>
      <c r="I3831" s="291"/>
      <c r="J3831" s="292" t="s">
        <v>174</v>
      </c>
      <c r="K3831" s="293"/>
      <c r="L3831" s="293">
        <v>99425.919999999998</v>
      </c>
    </row>
    <row r="3832" spans="1:12" ht="11.25" customHeight="1" x14ac:dyDescent="0.2">
      <c r="A3832" s="280">
        <v>2023</v>
      </c>
      <c r="B3832" s="280">
        <v>11</v>
      </c>
      <c r="C3832" s="280">
        <v>23</v>
      </c>
      <c r="D3832" s="281">
        <f t="shared" si="412"/>
        <v>45253</v>
      </c>
      <c r="E3832" s="282">
        <f t="shared" si="414"/>
        <v>45253</v>
      </c>
      <c r="F3832" s="472" t="s">
        <v>1295</v>
      </c>
      <c r="G3832" s="283" t="s">
        <v>86</v>
      </c>
      <c r="H3832" s="284" t="str" cm="1">
        <f t="array" ref="H3832">IFERROR(INDEX(INVESTOR_LIST[INVESTOR NAME],MATCH(I3832,INVESTOR_LIST[INVESTOR CODE],0),)," ")</f>
        <v xml:space="preserve"> </v>
      </c>
      <c r="I3832" s="284"/>
      <c r="J3832" s="285" t="s">
        <v>131</v>
      </c>
      <c r="K3832" s="286">
        <v>18342.63</v>
      </c>
      <c r="L3832" s="286"/>
    </row>
    <row r="3833" spans="1:12" ht="11.25" customHeight="1" x14ac:dyDescent="0.2">
      <c r="A3833" s="287">
        <v>2023</v>
      </c>
      <c r="B3833" s="287">
        <v>11</v>
      </c>
      <c r="C3833" s="287">
        <v>23</v>
      </c>
      <c r="D3833" s="288">
        <f t="shared" si="412"/>
        <v>45253</v>
      </c>
      <c r="E3833" s="289">
        <f t="shared" si="414"/>
        <v>45253</v>
      </c>
      <c r="F3833" s="473"/>
      <c r="G3833" s="290" t="s">
        <v>86</v>
      </c>
      <c r="H3833" s="291" t="str" cm="1">
        <f t="array" ref="H3833">IFERROR(INDEX(INVESTOR_LIST[INVESTOR NAME],MATCH(I3833,INVESTOR_LIST[INVESTOR CODE],0),)," ")</f>
        <v xml:space="preserve"> </v>
      </c>
      <c r="I3833" s="291"/>
      <c r="J3833" s="292" t="s">
        <v>174</v>
      </c>
      <c r="K3833" s="293"/>
      <c r="L3833" s="293">
        <v>18342.63</v>
      </c>
    </row>
    <row r="3834" spans="1:12" ht="11.25" customHeight="1" x14ac:dyDescent="0.2">
      <c r="A3834" s="280">
        <v>2023</v>
      </c>
      <c r="B3834" s="280">
        <v>11</v>
      </c>
      <c r="C3834" s="280">
        <v>23</v>
      </c>
      <c r="D3834" s="281">
        <f t="shared" si="412"/>
        <v>45253</v>
      </c>
      <c r="E3834" s="282">
        <f t="shared" si="414"/>
        <v>45253</v>
      </c>
      <c r="F3834" s="472" t="s">
        <v>1584</v>
      </c>
      <c r="G3834" s="283" t="s">
        <v>86</v>
      </c>
      <c r="H3834" s="284" t="str" cm="1">
        <f t="array" ref="H3834">IFERROR(INDEX(INVESTOR_LIST[INVESTOR NAME],MATCH(I3834,INVESTOR_LIST[INVESTOR CODE],0),)," ")</f>
        <v xml:space="preserve"> </v>
      </c>
      <c r="I3834" s="284"/>
      <c r="J3834" s="285" t="s">
        <v>131</v>
      </c>
      <c r="K3834" s="286">
        <v>6346.15</v>
      </c>
      <c r="L3834" s="286"/>
    </row>
    <row r="3835" spans="1:12" ht="11.25" customHeight="1" x14ac:dyDescent="0.2">
      <c r="A3835" s="287">
        <v>2023</v>
      </c>
      <c r="B3835" s="287">
        <v>11</v>
      </c>
      <c r="C3835" s="287">
        <v>23</v>
      </c>
      <c r="D3835" s="288">
        <f t="shared" si="412"/>
        <v>45253</v>
      </c>
      <c r="E3835" s="289">
        <f t="shared" si="414"/>
        <v>45253</v>
      </c>
      <c r="F3835" s="473"/>
      <c r="G3835" s="290" t="s">
        <v>86</v>
      </c>
      <c r="H3835" s="291" t="str" cm="1">
        <f t="array" ref="H3835">IFERROR(INDEX(INVESTOR_LIST[INVESTOR NAME],MATCH(I3835,INVESTOR_LIST[INVESTOR CODE],0),)," ")</f>
        <v xml:space="preserve"> </v>
      </c>
      <c r="I3835" s="291"/>
      <c r="J3835" s="292" t="s">
        <v>174</v>
      </c>
      <c r="K3835" s="293"/>
      <c r="L3835" s="293">
        <v>6346.15</v>
      </c>
    </row>
    <row r="3836" spans="1:12" ht="11.25" customHeight="1" x14ac:dyDescent="0.2">
      <c r="A3836" s="358">
        <v>2023</v>
      </c>
      <c r="B3836" s="358">
        <v>11</v>
      </c>
      <c r="C3836" s="358">
        <v>23</v>
      </c>
      <c r="D3836" s="312">
        <f t="shared" si="412"/>
        <v>45253</v>
      </c>
      <c r="E3836" s="313">
        <f t="shared" si="414"/>
        <v>45253</v>
      </c>
      <c r="F3836" s="482" t="s">
        <v>1627</v>
      </c>
      <c r="G3836" s="314" t="s">
        <v>86</v>
      </c>
      <c r="H3836" s="324" t="str" cm="1">
        <f t="array" ref="H3836">IFERROR(INDEX(INVESTOR_LIST[INVESTOR NAME],MATCH(I3836,INVESTOR_LIST[INVESTOR CODE],0),)," ")</f>
        <v xml:space="preserve"> </v>
      </c>
      <c r="I3836" s="324"/>
      <c r="J3836" s="364" t="s">
        <v>1621</v>
      </c>
      <c r="K3836" s="365">
        <v>1851</v>
      </c>
      <c r="L3836" s="365"/>
    </row>
    <row r="3837" spans="1:12" ht="11.25" customHeight="1" x14ac:dyDescent="0.2">
      <c r="A3837" s="320">
        <v>2023</v>
      </c>
      <c r="B3837" s="320">
        <v>11</v>
      </c>
      <c r="C3837" s="320">
        <v>23</v>
      </c>
      <c r="D3837" s="323">
        <f t="shared" si="412"/>
        <v>45253</v>
      </c>
      <c r="E3837" s="321">
        <f t="shared" si="414"/>
        <v>45253</v>
      </c>
      <c r="F3837" s="483"/>
      <c r="G3837" s="322" t="s">
        <v>86</v>
      </c>
      <c r="H3837" s="325" t="str" cm="1">
        <f t="array" ref="H3837">IFERROR(INDEX(INVESTOR_LIST[INVESTOR NAME],MATCH(I3837,INVESTOR_LIST[INVESTOR CODE],0),)," ")</f>
        <v xml:space="preserve"> </v>
      </c>
      <c r="I3837" s="325"/>
      <c r="J3837" s="366" t="s">
        <v>1613</v>
      </c>
      <c r="K3837" s="367"/>
      <c r="L3837" s="367">
        <v>1851</v>
      </c>
    </row>
    <row r="3838" spans="1:12" ht="11.25" customHeight="1" x14ac:dyDescent="0.2">
      <c r="A3838" s="236">
        <v>2023</v>
      </c>
      <c r="B3838" s="236">
        <v>11</v>
      </c>
      <c r="C3838" s="236">
        <v>23</v>
      </c>
      <c r="D3838" s="237">
        <f t="shared" si="412"/>
        <v>45253</v>
      </c>
      <c r="E3838" s="238">
        <f t="shared" si="414"/>
        <v>45253</v>
      </c>
      <c r="F3838" s="476" t="s">
        <v>1118</v>
      </c>
      <c r="G3838" s="239" t="s">
        <v>86</v>
      </c>
      <c r="H3838" s="239" t="str" cm="1">
        <f t="array" ref="H3838">IFERROR(INDEX(INVESTOR_LIST[INVESTOR NAME],MATCH(I3838,INVESTOR_LIST[INVESTOR CODE],0),)," ")</f>
        <v xml:space="preserve"> </v>
      </c>
      <c r="I3838" s="240"/>
      <c r="J3838" s="241" t="s">
        <v>82</v>
      </c>
      <c r="K3838" s="242">
        <v>9191</v>
      </c>
      <c r="L3838" s="242"/>
    </row>
    <row r="3839" spans="1:12" ht="11.25" customHeight="1" x14ac:dyDescent="0.2">
      <c r="A3839" s="243">
        <v>2023</v>
      </c>
      <c r="B3839" s="243">
        <v>11</v>
      </c>
      <c r="C3839" s="243">
        <v>23</v>
      </c>
      <c r="D3839" s="248">
        <f t="shared" si="412"/>
        <v>45253</v>
      </c>
      <c r="E3839" s="249">
        <f t="shared" si="414"/>
        <v>45253</v>
      </c>
      <c r="F3839" s="477"/>
      <c r="G3839" s="244" t="s">
        <v>86</v>
      </c>
      <c r="H3839" s="244" t="str" cm="1">
        <f t="array" ref="H3839">IFERROR(INDEX(INVESTOR_LIST[INVESTOR NAME],MATCH(I3839,INVESTOR_LIST[INVESTOR CODE],0),)," ")</f>
        <v xml:space="preserve"> </v>
      </c>
      <c r="I3839" s="245"/>
      <c r="J3839" s="246" t="s">
        <v>98</v>
      </c>
      <c r="K3839" s="247"/>
      <c r="L3839" s="247">
        <v>9191</v>
      </c>
    </row>
    <row r="3840" spans="1:12" ht="11.25" customHeight="1" x14ac:dyDescent="0.2">
      <c r="A3840" s="236">
        <v>2023</v>
      </c>
      <c r="B3840" s="236">
        <v>11</v>
      </c>
      <c r="C3840" s="236">
        <v>23</v>
      </c>
      <c r="D3840" s="237">
        <f t="shared" si="412"/>
        <v>45253</v>
      </c>
      <c r="E3840" s="238">
        <f t="shared" si="414"/>
        <v>45253</v>
      </c>
      <c r="F3840" s="476" t="s">
        <v>1120</v>
      </c>
      <c r="G3840" s="239" t="s">
        <v>86</v>
      </c>
      <c r="H3840" s="239" t="str" cm="1">
        <f t="array" ref="H3840">IFERROR(INDEX(INVESTOR_LIST[INVESTOR NAME],MATCH(I3840,INVESTOR_LIST[INVESTOR CODE],0),)," ")</f>
        <v xml:space="preserve"> </v>
      </c>
      <c r="I3840" s="240"/>
      <c r="J3840" s="241" t="s">
        <v>87</v>
      </c>
      <c r="K3840" s="242">
        <v>2747.2527472527472</v>
      </c>
      <c r="L3840" s="242"/>
    </row>
    <row r="3841" spans="1:13" ht="11.25" customHeight="1" x14ac:dyDescent="0.2">
      <c r="A3841" s="243">
        <v>2023</v>
      </c>
      <c r="B3841" s="243">
        <v>11</v>
      </c>
      <c r="C3841" s="243">
        <v>23</v>
      </c>
      <c r="D3841" s="248">
        <f t="shared" si="412"/>
        <v>45253</v>
      </c>
      <c r="E3841" s="249">
        <f t="shared" si="414"/>
        <v>45253</v>
      </c>
      <c r="F3841" s="477"/>
      <c r="G3841" s="244" t="s">
        <v>86</v>
      </c>
      <c r="H3841" s="244" t="str" cm="1">
        <f t="array" ref="H3841">IFERROR(INDEX(INVESTOR_LIST[INVESTOR NAME],MATCH(I3841,INVESTOR_LIST[INVESTOR CODE],0),)," ")</f>
        <v xml:space="preserve"> </v>
      </c>
      <c r="I3841" s="245"/>
      <c r="J3841" s="246" t="s">
        <v>64</v>
      </c>
      <c r="K3841" s="247"/>
      <c r="L3841" s="247">
        <v>2747.2527472527472</v>
      </c>
    </row>
    <row r="3842" spans="1:13" ht="11.25" customHeight="1" x14ac:dyDescent="0.2">
      <c r="A3842" s="236">
        <v>2023</v>
      </c>
      <c r="B3842" s="236">
        <v>11</v>
      </c>
      <c r="C3842" s="236">
        <v>23</v>
      </c>
      <c r="D3842" s="237">
        <f t="shared" si="412"/>
        <v>45253</v>
      </c>
      <c r="E3842" s="238">
        <f t="shared" si="414"/>
        <v>45253</v>
      </c>
      <c r="F3842" s="476" t="s">
        <v>1121</v>
      </c>
      <c r="G3842" s="239" t="s">
        <v>86</v>
      </c>
      <c r="H3842" s="239" t="str" cm="1">
        <f t="array" ref="H3842">IFERROR(INDEX(INVESTOR_LIST[INVESTOR NAME],MATCH(I3842,INVESTOR_LIST[INVESTOR CODE],0),)," ")</f>
        <v xml:space="preserve"> </v>
      </c>
      <c r="I3842" s="240"/>
      <c r="J3842" s="241" t="s">
        <v>89</v>
      </c>
      <c r="K3842" s="242">
        <v>66634.390586588823</v>
      </c>
      <c r="L3842" s="242"/>
    </row>
    <row r="3843" spans="1:13" ht="11.25" customHeight="1" x14ac:dyDescent="0.2">
      <c r="A3843" s="243">
        <v>2023</v>
      </c>
      <c r="B3843" s="243">
        <v>11</v>
      </c>
      <c r="C3843" s="243">
        <v>23</v>
      </c>
      <c r="D3843" s="248">
        <f t="shared" si="412"/>
        <v>45253</v>
      </c>
      <c r="E3843" s="249">
        <f t="shared" si="414"/>
        <v>45253</v>
      </c>
      <c r="F3843" s="477"/>
      <c r="G3843" s="244" t="s">
        <v>86</v>
      </c>
      <c r="H3843" s="244" t="str" cm="1">
        <f t="array" ref="H3843">IFERROR(INDEX(INVESTOR_LIST[INVESTOR NAME],MATCH(I3843,INVESTOR_LIST[INVESTOR CODE],0),)," ")</f>
        <v xml:space="preserve"> </v>
      </c>
      <c r="I3843" s="245"/>
      <c r="J3843" s="246" t="s">
        <v>50</v>
      </c>
      <c r="K3843" s="247"/>
      <c r="L3843" s="247">
        <v>66634.390586588823</v>
      </c>
    </row>
    <row r="3844" spans="1:13" ht="11.25" customHeight="1" x14ac:dyDescent="0.2">
      <c r="A3844" s="236">
        <v>2023</v>
      </c>
      <c r="B3844" s="236">
        <v>11</v>
      </c>
      <c r="C3844" s="236">
        <v>23</v>
      </c>
      <c r="D3844" s="237">
        <f t="shared" si="412"/>
        <v>45253</v>
      </c>
      <c r="E3844" s="238">
        <f t="shared" si="414"/>
        <v>45253</v>
      </c>
      <c r="F3844" s="476" t="s">
        <v>1122</v>
      </c>
      <c r="G3844" s="239" t="s">
        <v>86</v>
      </c>
      <c r="H3844" s="239" t="str" cm="1">
        <f t="array" ref="H3844">IFERROR(INDEX(INVESTOR_LIST[INVESTOR NAME],MATCH(I3844,INVESTOR_LIST[INVESTOR CODE],0),)," ")</f>
        <v xml:space="preserve"> </v>
      </c>
      <c r="I3844" s="240"/>
      <c r="J3844" s="241" t="s">
        <v>91</v>
      </c>
      <c r="K3844" s="242">
        <v>3331.7195293294408</v>
      </c>
      <c r="L3844" s="242"/>
    </row>
    <row r="3845" spans="1:13" ht="11.25" customHeight="1" x14ac:dyDescent="0.2">
      <c r="A3845" s="243">
        <v>2023</v>
      </c>
      <c r="B3845" s="243">
        <v>11</v>
      </c>
      <c r="C3845" s="243">
        <v>23</v>
      </c>
      <c r="D3845" s="248">
        <f t="shared" si="412"/>
        <v>45253</v>
      </c>
      <c r="E3845" s="249">
        <f t="shared" si="414"/>
        <v>45253</v>
      </c>
      <c r="F3845" s="477"/>
      <c r="G3845" s="244" t="s">
        <v>86</v>
      </c>
      <c r="H3845" s="244" t="str" cm="1">
        <f t="array" ref="H3845">IFERROR(INDEX(INVESTOR_LIST[INVESTOR NAME],MATCH(I3845,INVESTOR_LIST[INVESTOR CODE],0),)," ")</f>
        <v xml:space="preserve"> </v>
      </c>
      <c r="I3845" s="245"/>
      <c r="J3845" s="246" t="s">
        <v>51</v>
      </c>
      <c r="K3845" s="247"/>
      <c r="L3845" s="247">
        <v>3331.7195293294408</v>
      </c>
    </row>
    <row r="3846" spans="1:13" ht="11.25" customHeight="1" x14ac:dyDescent="0.2">
      <c r="A3846" s="221">
        <v>2023</v>
      </c>
      <c r="B3846" s="221">
        <v>11</v>
      </c>
      <c r="C3846" s="221">
        <v>26</v>
      </c>
      <c r="D3846" s="231">
        <f t="shared" si="412"/>
        <v>45256</v>
      </c>
      <c r="E3846" s="233">
        <f>DATE(A3846,B3846,C3846)</f>
        <v>45256</v>
      </c>
      <c r="F3846" s="478" t="s">
        <v>1590</v>
      </c>
      <c r="G3846" s="222" t="s">
        <v>1111</v>
      </c>
      <c r="H3846" s="223" t="str" cm="1">
        <f t="array" ref="H3846">IFERROR(INDEX(INVESTOR_LIST[INVESTOR NAME],MATCH(I3846,INVESTOR_LIST[INVESTOR CODE],0),)," ")</f>
        <v xml:space="preserve"> </v>
      </c>
      <c r="I3846" s="223"/>
      <c r="J3846" s="224" t="s">
        <v>55</v>
      </c>
      <c r="K3846" s="225">
        <v>1370649.09</v>
      </c>
      <c r="L3846" s="225"/>
    </row>
    <row r="3847" spans="1:13" ht="11.25" customHeight="1" x14ac:dyDescent="0.2">
      <c r="A3847" s="226">
        <v>2023</v>
      </c>
      <c r="B3847" s="226">
        <v>11</v>
      </c>
      <c r="C3847" s="226">
        <v>26</v>
      </c>
      <c r="D3847" s="232">
        <f t="shared" si="412"/>
        <v>45256</v>
      </c>
      <c r="E3847" s="234">
        <f>DATE(A3847,B3847,C3847)</f>
        <v>45256</v>
      </c>
      <c r="F3847" s="479"/>
      <c r="G3847" s="227" t="s">
        <v>1111</v>
      </c>
      <c r="H3847" s="228" t="str" cm="1">
        <f t="array" ref="H3847">IFERROR(INDEX(INVESTOR_LIST[INVESTOR NAME],MATCH(I3847,INVESTOR_LIST[INVESTOR CODE],0),)," ")</f>
        <v xml:space="preserve"> </v>
      </c>
      <c r="I3847" s="228"/>
      <c r="J3847" s="229" t="s">
        <v>199</v>
      </c>
      <c r="K3847" s="230"/>
      <c r="L3847" s="230">
        <v>1370649.09</v>
      </c>
      <c r="M3847" s="166"/>
    </row>
    <row r="3848" spans="1:13" ht="11.25" customHeight="1" x14ac:dyDescent="0.2">
      <c r="A3848" s="221">
        <v>2023</v>
      </c>
      <c r="B3848" s="221">
        <v>11</v>
      </c>
      <c r="C3848" s="221">
        <v>26</v>
      </c>
      <c r="D3848" s="231">
        <f t="shared" si="412"/>
        <v>45256</v>
      </c>
      <c r="E3848" s="233">
        <f t="shared" ref="E3848:E3850" si="415">DATE(A3848,B3848,C3848)</f>
        <v>45256</v>
      </c>
      <c r="F3848" s="478" t="s">
        <v>1132</v>
      </c>
      <c r="G3848" s="222" t="s">
        <v>1111</v>
      </c>
      <c r="H3848" s="223" t="str" cm="1">
        <f t="array" ref="H3848">IFERROR(INDEX(INVESTOR_LIST[INVESTOR NAME],MATCH(I3848,INVESTOR_LIST[INVESTOR CODE],0),)," ")</f>
        <v xml:space="preserve"> </v>
      </c>
      <c r="I3848" s="223"/>
      <c r="J3848" s="224" t="s">
        <v>55</v>
      </c>
      <c r="K3848" s="167">
        <v>15000</v>
      </c>
      <c r="L3848" s="225"/>
    </row>
    <row r="3849" spans="1:13" ht="11.25" customHeight="1" x14ac:dyDescent="0.2">
      <c r="A3849" s="164">
        <v>2023</v>
      </c>
      <c r="B3849" s="164">
        <v>11</v>
      </c>
      <c r="C3849" s="164">
        <v>26</v>
      </c>
      <c r="D3849" s="156">
        <f t="shared" ref="D3849:D3912" si="416">DATE(A3849,B3849,C3849)</f>
        <v>45256</v>
      </c>
      <c r="E3849" s="235">
        <f t="shared" si="415"/>
        <v>45256</v>
      </c>
      <c r="F3849" s="480"/>
      <c r="G3849" s="208" t="s">
        <v>1111</v>
      </c>
      <c r="H3849" s="206" t="str" cm="1">
        <f t="array" ref="H3849">IFERROR(INDEX(INVESTOR_LIST[INVESTOR NAME],MATCH(I3849,INVESTOR_LIST[INVESTOR CODE],0),)," ")</f>
        <v xml:space="preserve"> </v>
      </c>
      <c r="J3849" s="165" t="s">
        <v>14</v>
      </c>
      <c r="L3849" s="205">
        <v>14550</v>
      </c>
    </row>
    <row r="3850" spans="1:13" ht="11.25" customHeight="1" x14ac:dyDescent="0.2">
      <c r="A3850" s="226">
        <v>2023</v>
      </c>
      <c r="B3850" s="226">
        <v>11</v>
      </c>
      <c r="C3850" s="226">
        <v>26</v>
      </c>
      <c r="D3850" s="232">
        <f t="shared" si="416"/>
        <v>45256</v>
      </c>
      <c r="E3850" s="234">
        <f t="shared" si="415"/>
        <v>45256</v>
      </c>
      <c r="F3850" s="479"/>
      <c r="G3850" s="227" t="s">
        <v>1111</v>
      </c>
      <c r="H3850" s="228" t="str" cm="1">
        <f t="array" ref="H3850">IFERROR(INDEX(INVESTOR_LIST[INVESTOR NAME],MATCH(I3850,INVESTOR_LIST[INVESTOR CODE],0),)," ")</f>
        <v xml:space="preserve"> </v>
      </c>
      <c r="I3850" s="228"/>
      <c r="J3850" s="229" t="s">
        <v>1112</v>
      </c>
      <c r="K3850" s="230"/>
      <c r="L3850" s="230">
        <v>450</v>
      </c>
    </row>
    <row r="3851" spans="1:13" ht="11.25" customHeight="1" x14ac:dyDescent="0.2">
      <c r="A3851" s="221">
        <v>2023</v>
      </c>
      <c r="B3851" s="221">
        <v>11</v>
      </c>
      <c r="C3851" s="221">
        <v>27</v>
      </c>
      <c r="D3851" s="231">
        <f t="shared" si="416"/>
        <v>45257</v>
      </c>
      <c r="E3851" s="233">
        <f>DATE(A3851,B3851,C3851)</f>
        <v>45257</v>
      </c>
      <c r="F3851" s="478" t="s">
        <v>1590</v>
      </c>
      <c r="G3851" s="222" t="s">
        <v>1111</v>
      </c>
      <c r="H3851" s="223" t="str" cm="1">
        <f t="array" ref="H3851">IFERROR(INDEX(INVESTOR_LIST[INVESTOR NAME],MATCH(I3851,INVESTOR_LIST[INVESTOR CODE],0),)," ")</f>
        <v xml:space="preserve"> </v>
      </c>
      <c r="I3851" s="223"/>
      <c r="J3851" s="224" t="s">
        <v>55</v>
      </c>
      <c r="K3851" s="225">
        <v>120857.06</v>
      </c>
      <c r="L3851" s="225"/>
    </row>
    <row r="3852" spans="1:13" ht="11.25" customHeight="1" x14ac:dyDescent="0.2">
      <c r="A3852" s="226">
        <v>2023</v>
      </c>
      <c r="B3852" s="226">
        <v>11</v>
      </c>
      <c r="C3852" s="226">
        <v>27</v>
      </c>
      <c r="D3852" s="232">
        <f t="shared" si="416"/>
        <v>45257</v>
      </c>
      <c r="E3852" s="234">
        <f>DATE(A3852,B3852,C3852)</f>
        <v>45257</v>
      </c>
      <c r="F3852" s="479"/>
      <c r="G3852" s="227" t="s">
        <v>1111</v>
      </c>
      <c r="H3852" s="228" t="str" cm="1">
        <f t="array" ref="H3852">IFERROR(INDEX(INVESTOR_LIST[INVESTOR NAME],MATCH(I3852,INVESTOR_LIST[INVESTOR CODE],0),)," ")</f>
        <v xml:space="preserve"> </v>
      </c>
      <c r="I3852" s="228"/>
      <c r="J3852" s="229" t="s">
        <v>199</v>
      </c>
      <c r="K3852" s="230"/>
      <c r="L3852" s="230">
        <v>120857.06</v>
      </c>
      <c r="M3852" s="166"/>
    </row>
    <row r="3853" spans="1:13" ht="11.25" customHeight="1" x14ac:dyDescent="0.2">
      <c r="A3853" s="221">
        <v>2023</v>
      </c>
      <c r="B3853" s="221">
        <v>11</v>
      </c>
      <c r="C3853" s="221">
        <v>28</v>
      </c>
      <c r="D3853" s="231">
        <f t="shared" si="416"/>
        <v>45258</v>
      </c>
      <c r="E3853" s="233">
        <f t="shared" ref="E3853:E3910" si="417">DATE(A3853,B3853,C3853)</f>
        <v>45258</v>
      </c>
      <c r="F3853" s="478" t="s">
        <v>1115</v>
      </c>
      <c r="G3853" s="222" t="s">
        <v>1111</v>
      </c>
      <c r="H3853" s="223" t="str" cm="1">
        <f t="array" ref="H3853">IFERROR(INDEX(INVESTOR_LIST[INVESTOR NAME],MATCH(I3853,INVESTOR_LIST[INVESTOR CODE],0),)," ")</f>
        <v>SHIULI RANI SAHA</v>
      </c>
      <c r="I3853" s="223" t="s">
        <v>894</v>
      </c>
      <c r="J3853" s="224" t="s">
        <v>14</v>
      </c>
      <c r="K3853" s="225">
        <v>100000</v>
      </c>
      <c r="L3853" s="225"/>
    </row>
    <row r="3854" spans="1:13" ht="11.25" customHeight="1" x14ac:dyDescent="0.2">
      <c r="A3854" s="164">
        <v>2023</v>
      </c>
      <c r="B3854" s="164">
        <v>11</v>
      </c>
      <c r="C3854" s="164">
        <v>28</v>
      </c>
      <c r="D3854" s="156">
        <f t="shared" si="416"/>
        <v>45258</v>
      </c>
      <c r="E3854" s="235">
        <f t="shared" si="417"/>
        <v>45258</v>
      </c>
      <c r="F3854" s="480"/>
      <c r="G3854" s="208" t="s">
        <v>1111</v>
      </c>
      <c r="H3854" s="206" t="str" cm="1">
        <f t="array" ref="H3854">IFERROR(INDEX(INVESTOR_LIST[INVESTOR NAME],MATCH(I3854,INVESTOR_LIST[INVESTOR CODE],0),)," ")</f>
        <v>SHIULI RANI SAHA</v>
      </c>
      <c r="I3854" s="206" t="s">
        <v>894</v>
      </c>
      <c r="J3854" s="165" t="s">
        <v>1112</v>
      </c>
      <c r="K3854" s="205">
        <v>3100</v>
      </c>
    </row>
    <row r="3855" spans="1:13" ht="11.25" customHeight="1" x14ac:dyDescent="0.2">
      <c r="A3855" s="226">
        <v>2023</v>
      </c>
      <c r="B3855" s="226">
        <v>11</v>
      </c>
      <c r="C3855" s="226">
        <v>28</v>
      </c>
      <c r="D3855" s="232">
        <f t="shared" si="416"/>
        <v>45258</v>
      </c>
      <c r="E3855" s="234">
        <f t="shared" si="417"/>
        <v>45258</v>
      </c>
      <c r="F3855" s="479"/>
      <c r="G3855" s="227" t="s">
        <v>1111</v>
      </c>
      <c r="H3855" s="228" t="str" cm="1">
        <f t="array" ref="H3855">IFERROR(INDEX(INVESTOR_LIST[INVESTOR NAME],MATCH(I3855,INVESTOR_LIST[INVESTOR CODE],0),)," ")</f>
        <v>SHIULI RANI SAHA</v>
      </c>
      <c r="I3855" s="228" t="s">
        <v>894</v>
      </c>
      <c r="J3855" s="229" t="s">
        <v>55</v>
      </c>
      <c r="K3855" s="230"/>
      <c r="L3855" s="230">
        <v>103100</v>
      </c>
    </row>
    <row r="3856" spans="1:13" ht="11.25" customHeight="1" x14ac:dyDescent="0.2">
      <c r="A3856" s="231">
        <v>2023</v>
      </c>
      <c r="B3856" s="231">
        <v>11</v>
      </c>
      <c r="C3856" s="231">
        <v>28</v>
      </c>
      <c r="D3856" s="221">
        <f t="shared" si="416"/>
        <v>45258</v>
      </c>
      <c r="E3856" s="233">
        <f t="shared" si="417"/>
        <v>45258</v>
      </c>
      <c r="F3856" s="478" t="s">
        <v>1635</v>
      </c>
      <c r="G3856" s="222" t="s">
        <v>1111</v>
      </c>
      <c r="H3856" s="222" t="str" cm="1">
        <f t="array" ref="H3856">IFERROR(INDEX(INVESTOR_LIST[INVESTOR NAME],MATCH(I3856,INVESTOR_LIST[INVESTOR CODE],0),)," ")</f>
        <v xml:space="preserve"> </v>
      </c>
      <c r="I3856" s="223"/>
      <c r="J3856" s="224" t="s">
        <v>50</v>
      </c>
      <c r="K3856" s="225">
        <v>1095294.1599999999</v>
      </c>
      <c r="L3856" s="225"/>
    </row>
    <row r="3857" spans="1:13" ht="11.25" customHeight="1" x14ac:dyDescent="0.2">
      <c r="A3857" s="232">
        <v>2023</v>
      </c>
      <c r="B3857" s="232">
        <v>11</v>
      </c>
      <c r="C3857" s="232">
        <v>28</v>
      </c>
      <c r="D3857" s="226">
        <f t="shared" si="416"/>
        <v>45258</v>
      </c>
      <c r="E3857" s="234">
        <f t="shared" si="417"/>
        <v>45258</v>
      </c>
      <c r="F3857" s="479"/>
      <c r="G3857" s="227" t="s">
        <v>1111</v>
      </c>
      <c r="H3857" s="227" t="str" cm="1">
        <f t="array" ref="H3857">IFERROR(INDEX(INVESTOR_LIST[INVESTOR NAME],MATCH(I3857,INVESTOR_LIST[INVESTOR CODE],0),)," ")</f>
        <v xml:space="preserve"> </v>
      </c>
      <c r="I3857" s="228"/>
      <c r="J3857" s="229" t="s">
        <v>55</v>
      </c>
      <c r="K3857" s="230"/>
      <c r="L3857" s="230">
        <v>1095294.1599999999</v>
      </c>
    </row>
    <row r="3858" spans="1:13" ht="11.25" customHeight="1" x14ac:dyDescent="0.2">
      <c r="A3858" s="221">
        <v>2023</v>
      </c>
      <c r="B3858" s="221">
        <v>11</v>
      </c>
      <c r="C3858" s="221">
        <v>29</v>
      </c>
      <c r="D3858" s="231">
        <f t="shared" si="416"/>
        <v>45259</v>
      </c>
      <c r="E3858" s="233">
        <f t="shared" si="417"/>
        <v>45259</v>
      </c>
      <c r="F3858" s="478" t="s">
        <v>1636</v>
      </c>
      <c r="G3858" s="222" t="s">
        <v>1111</v>
      </c>
      <c r="H3858" s="222" t="str" cm="1">
        <f t="array" ref="H3858">IFERROR(INDEX(INVESTOR_LIST[INVESTOR NAME],MATCH(I3858,INVESTOR_LIST[INVESTOR CODE],0),)," ")</f>
        <v xml:space="preserve"> </v>
      </c>
      <c r="I3858" s="223"/>
      <c r="J3858" s="224" t="s">
        <v>196</v>
      </c>
      <c r="K3858" s="225">
        <v>2400000</v>
      </c>
      <c r="L3858" s="225"/>
      <c r="M3858" s="166"/>
    </row>
    <row r="3859" spans="1:13" ht="11.25" customHeight="1" x14ac:dyDescent="0.2">
      <c r="A3859" s="164">
        <v>2023</v>
      </c>
      <c r="B3859" s="164">
        <v>11</v>
      </c>
      <c r="C3859" s="164">
        <v>29</v>
      </c>
      <c r="D3859" s="164">
        <f t="shared" si="416"/>
        <v>45259</v>
      </c>
      <c r="E3859" s="235">
        <f t="shared" si="417"/>
        <v>45259</v>
      </c>
      <c r="F3859" s="480"/>
      <c r="G3859" s="208" t="s">
        <v>1111</v>
      </c>
      <c r="H3859" s="208" t="str" cm="1">
        <f t="array" ref="H3859">IFERROR(INDEX(INVESTOR_LIST[INVESTOR NAME],MATCH(I3859,INVESTOR_LIST[INVESTOR CODE],0),)," ")</f>
        <v xml:space="preserve"> </v>
      </c>
      <c r="J3859" s="165" t="s">
        <v>63</v>
      </c>
      <c r="K3859" s="205">
        <v>115</v>
      </c>
      <c r="L3859" s="205"/>
    </row>
    <row r="3860" spans="1:13" ht="11.25" customHeight="1" x14ac:dyDescent="0.2">
      <c r="A3860" s="226">
        <v>2023</v>
      </c>
      <c r="B3860" s="226">
        <v>11</v>
      </c>
      <c r="C3860" s="226">
        <v>29</v>
      </c>
      <c r="D3860" s="226">
        <f t="shared" si="416"/>
        <v>45259</v>
      </c>
      <c r="E3860" s="234">
        <f t="shared" si="417"/>
        <v>45259</v>
      </c>
      <c r="F3860" s="479"/>
      <c r="G3860" s="227" t="s">
        <v>1111</v>
      </c>
      <c r="H3860" s="228" t="str" cm="1">
        <f t="array" ref="H3860">IFERROR(INDEX(INVESTOR_LIST[INVESTOR NAME],MATCH(I3860,INVESTOR_LIST[INVESTOR CODE],0),)," ")</f>
        <v xml:space="preserve"> </v>
      </c>
      <c r="I3860" s="228"/>
      <c r="J3860" s="229" t="s">
        <v>55</v>
      </c>
      <c r="K3860" s="230"/>
      <c r="L3860" s="230">
        <v>2400115</v>
      </c>
    </row>
    <row r="3861" spans="1:13" ht="11.25" customHeight="1" x14ac:dyDescent="0.2">
      <c r="A3861" s="221">
        <v>2023</v>
      </c>
      <c r="B3861" s="221">
        <v>11</v>
      </c>
      <c r="C3861" s="221">
        <v>30</v>
      </c>
      <c r="D3861" s="221">
        <f t="shared" si="416"/>
        <v>45260</v>
      </c>
      <c r="E3861" s="233">
        <f t="shared" si="417"/>
        <v>45260</v>
      </c>
      <c r="F3861" s="478" t="s">
        <v>1589</v>
      </c>
      <c r="G3861" s="222" t="s">
        <v>86</v>
      </c>
      <c r="H3861" s="222" t="str" cm="1">
        <f t="array" ref="H3861">IFERROR(INDEX(INVESTOR_LIST[INVESTOR NAME],MATCH(I3861,INVESTOR_LIST[INVESTOR CODE],0),)," ")</f>
        <v xml:space="preserve"> </v>
      </c>
      <c r="I3861" s="223"/>
      <c r="J3861" s="165" t="s">
        <v>199</v>
      </c>
      <c r="K3861" s="225">
        <v>1208570.6399999999</v>
      </c>
      <c r="L3861" s="225"/>
    </row>
    <row r="3862" spans="1:13" ht="11.25" customHeight="1" x14ac:dyDescent="0.2">
      <c r="A3862" s="164">
        <v>2023</v>
      </c>
      <c r="B3862" s="164">
        <v>11</v>
      </c>
      <c r="C3862" s="164">
        <v>30</v>
      </c>
      <c r="D3862" s="164">
        <f t="shared" si="416"/>
        <v>45260</v>
      </c>
      <c r="E3862" s="235">
        <f t="shared" si="417"/>
        <v>45260</v>
      </c>
      <c r="F3862" s="480"/>
      <c r="G3862" s="208" t="s">
        <v>86</v>
      </c>
      <c r="H3862" s="208"/>
      <c r="J3862" s="165" t="s">
        <v>960</v>
      </c>
      <c r="K3862" s="205">
        <v>2179.36</v>
      </c>
      <c r="L3862" s="205"/>
    </row>
    <row r="3863" spans="1:13" ht="11.25" customHeight="1" x14ac:dyDescent="0.2">
      <c r="A3863" s="164">
        <v>2023</v>
      </c>
      <c r="B3863" s="164">
        <v>11</v>
      </c>
      <c r="C3863" s="164">
        <v>30</v>
      </c>
      <c r="D3863" s="164">
        <f t="shared" si="416"/>
        <v>45260</v>
      </c>
      <c r="E3863" s="235">
        <f t="shared" si="417"/>
        <v>45260</v>
      </c>
      <c r="F3863" s="480"/>
      <c r="G3863" s="208" t="s">
        <v>86</v>
      </c>
      <c r="H3863" s="208"/>
      <c r="J3863" s="165" t="s">
        <v>200</v>
      </c>
      <c r="K3863" s="205"/>
      <c r="L3863" s="205">
        <v>12967.42</v>
      </c>
    </row>
    <row r="3864" spans="1:13" ht="11.25" customHeight="1" x14ac:dyDescent="0.2">
      <c r="A3864" s="226">
        <v>2023</v>
      </c>
      <c r="B3864" s="226">
        <v>11</v>
      </c>
      <c r="C3864" s="226">
        <v>30</v>
      </c>
      <c r="D3864" s="226">
        <f t="shared" si="416"/>
        <v>45260</v>
      </c>
      <c r="E3864" s="234">
        <f t="shared" si="417"/>
        <v>45260</v>
      </c>
      <c r="F3864" s="479"/>
      <c r="G3864" s="227" t="s">
        <v>86</v>
      </c>
      <c r="H3864" s="228" t="str" cm="1">
        <f t="array" ref="H3864">IFERROR(INDEX(INVESTOR_LIST[INVESTOR NAME],MATCH(I3864,INVESTOR_LIST[INVESTOR CODE],0),)," ")</f>
        <v xml:space="preserve"> </v>
      </c>
      <c r="I3864" s="228"/>
      <c r="J3864" s="229" t="s">
        <v>80</v>
      </c>
      <c r="K3864" s="230"/>
      <c r="L3864" s="230">
        <v>1197782.58</v>
      </c>
    </row>
    <row r="3865" spans="1:13" ht="11.25" customHeight="1" x14ac:dyDescent="0.2">
      <c r="A3865" s="280">
        <v>2023</v>
      </c>
      <c r="B3865" s="280">
        <v>11</v>
      </c>
      <c r="C3865" s="280">
        <v>30</v>
      </c>
      <c r="D3865" s="281">
        <f t="shared" si="416"/>
        <v>45260</v>
      </c>
      <c r="E3865" s="282">
        <f t="shared" si="417"/>
        <v>45260</v>
      </c>
      <c r="F3865" s="472" t="s">
        <v>1369</v>
      </c>
      <c r="G3865" s="283" t="s">
        <v>86</v>
      </c>
      <c r="H3865" s="284" t="str" cm="1">
        <f t="array" ref="H3865">IFERROR(INDEX(INVESTOR_LIST[INVESTOR NAME],MATCH(I3865,INVESTOR_LIST[INVESTOR CODE],0),)," ")</f>
        <v xml:space="preserve"> </v>
      </c>
      <c r="I3865" s="284"/>
      <c r="J3865" s="285" t="s">
        <v>131</v>
      </c>
      <c r="K3865" s="286">
        <v>122144.16</v>
      </c>
      <c r="L3865" s="286"/>
    </row>
    <row r="3866" spans="1:13" ht="11.25" customHeight="1" x14ac:dyDescent="0.2">
      <c r="A3866" s="287">
        <v>2023</v>
      </c>
      <c r="B3866" s="287">
        <v>11</v>
      </c>
      <c r="C3866" s="287">
        <v>30</v>
      </c>
      <c r="D3866" s="288">
        <f t="shared" si="416"/>
        <v>45260</v>
      </c>
      <c r="E3866" s="289">
        <f t="shared" si="417"/>
        <v>45260</v>
      </c>
      <c r="F3866" s="473"/>
      <c r="G3866" s="290" t="s">
        <v>86</v>
      </c>
      <c r="H3866" s="291" t="str" cm="1">
        <f t="array" ref="H3866">IFERROR(INDEX(INVESTOR_LIST[INVESTOR NAME],MATCH(I3866,INVESTOR_LIST[INVESTOR CODE],0),)," ")</f>
        <v xml:space="preserve"> </v>
      </c>
      <c r="I3866" s="291"/>
      <c r="J3866" s="292" t="s">
        <v>174</v>
      </c>
      <c r="K3866" s="293"/>
      <c r="L3866" s="293">
        <v>122144.16</v>
      </c>
    </row>
    <row r="3867" spans="1:13" ht="11.25" customHeight="1" x14ac:dyDescent="0.2">
      <c r="A3867" s="280">
        <v>2023</v>
      </c>
      <c r="B3867" s="280">
        <v>11</v>
      </c>
      <c r="C3867" s="280">
        <v>30</v>
      </c>
      <c r="D3867" s="281">
        <f t="shared" si="416"/>
        <v>45260</v>
      </c>
      <c r="E3867" s="282">
        <f t="shared" si="417"/>
        <v>45260</v>
      </c>
      <c r="F3867" s="472" t="s">
        <v>1295</v>
      </c>
      <c r="G3867" s="283" t="s">
        <v>86</v>
      </c>
      <c r="H3867" s="284" t="str" cm="1">
        <f t="array" ref="H3867">IFERROR(INDEX(INVESTOR_LIST[INVESTOR NAME],MATCH(I3867,INVESTOR_LIST[INVESTOR CODE],0),)," ")</f>
        <v xml:space="preserve"> </v>
      </c>
      <c r="I3867" s="284"/>
      <c r="J3867" s="285" t="s">
        <v>131</v>
      </c>
      <c r="K3867" s="286">
        <v>18342.63</v>
      </c>
      <c r="L3867" s="286"/>
    </row>
    <row r="3868" spans="1:13" ht="11.25" customHeight="1" x14ac:dyDescent="0.2">
      <c r="A3868" s="287">
        <v>2023</v>
      </c>
      <c r="B3868" s="287">
        <v>11</v>
      </c>
      <c r="C3868" s="287">
        <v>30</v>
      </c>
      <c r="D3868" s="288">
        <f t="shared" si="416"/>
        <v>45260</v>
      </c>
      <c r="E3868" s="289">
        <f t="shared" si="417"/>
        <v>45260</v>
      </c>
      <c r="F3868" s="473"/>
      <c r="G3868" s="290" t="s">
        <v>86</v>
      </c>
      <c r="H3868" s="291" t="str" cm="1">
        <f t="array" ref="H3868">IFERROR(INDEX(INVESTOR_LIST[INVESTOR NAME],MATCH(I3868,INVESTOR_LIST[INVESTOR CODE],0),)," ")</f>
        <v xml:space="preserve"> </v>
      </c>
      <c r="I3868" s="291"/>
      <c r="J3868" s="292" t="s">
        <v>174</v>
      </c>
      <c r="K3868" s="293"/>
      <c r="L3868" s="293">
        <v>18342.63</v>
      </c>
    </row>
    <row r="3869" spans="1:13" ht="11.25" customHeight="1" x14ac:dyDescent="0.2">
      <c r="A3869" s="280">
        <v>2023</v>
      </c>
      <c r="B3869" s="280">
        <v>11</v>
      </c>
      <c r="C3869" s="280">
        <v>30</v>
      </c>
      <c r="D3869" s="281">
        <f t="shared" si="416"/>
        <v>45260</v>
      </c>
      <c r="E3869" s="282">
        <f t="shared" si="417"/>
        <v>45260</v>
      </c>
      <c r="F3869" s="472" t="s">
        <v>1584</v>
      </c>
      <c r="G3869" s="283" t="s">
        <v>86</v>
      </c>
      <c r="H3869" s="284" t="str" cm="1">
        <f t="array" ref="H3869">IFERROR(INDEX(INVESTOR_LIST[INVESTOR NAME],MATCH(I3869,INVESTOR_LIST[INVESTOR CODE],0),)," ")</f>
        <v xml:space="preserve"> </v>
      </c>
      <c r="I3869" s="284"/>
      <c r="J3869" s="285" t="s">
        <v>131</v>
      </c>
      <c r="K3869" s="286">
        <v>6346.15</v>
      </c>
      <c r="L3869" s="286"/>
    </row>
    <row r="3870" spans="1:13" ht="11.25" customHeight="1" x14ac:dyDescent="0.2">
      <c r="A3870" s="287">
        <v>2023</v>
      </c>
      <c r="B3870" s="287">
        <v>11</v>
      </c>
      <c r="C3870" s="287">
        <v>30</v>
      </c>
      <c r="D3870" s="288">
        <f t="shared" si="416"/>
        <v>45260</v>
      </c>
      <c r="E3870" s="289">
        <f t="shared" si="417"/>
        <v>45260</v>
      </c>
      <c r="F3870" s="473"/>
      <c r="G3870" s="290" t="s">
        <v>86</v>
      </c>
      <c r="H3870" s="291" t="str" cm="1">
        <f t="array" ref="H3870">IFERROR(INDEX(INVESTOR_LIST[INVESTOR NAME],MATCH(I3870,INVESTOR_LIST[INVESTOR CODE],0),)," ")</f>
        <v xml:space="preserve"> </v>
      </c>
      <c r="I3870" s="291"/>
      <c r="J3870" s="292" t="s">
        <v>174</v>
      </c>
      <c r="K3870" s="293"/>
      <c r="L3870" s="293">
        <v>6346.15</v>
      </c>
    </row>
    <row r="3871" spans="1:13" ht="11.25" customHeight="1" x14ac:dyDescent="0.2">
      <c r="A3871" s="358">
        <v>2023</v>
      </c>
      <c r="B3871" s="358">
        <v>11</v>
      </c>
      <c r="C3871" s="358">
        <v>30</v>
      </c>
      <c r="D3871" s="312">
        <f t="shared" si="416"/>
        <v>45260</v>
      </c>
      <c r="E3871" s="313">
        <f t="shared" si="417"/>
        <v>45260</v>
      </c>
      <c r="F3871" s="482" t="s">
        <v>1627</v>
      </c>
      <c r="G3871" s="314" t="s">
        <v>86</v>
      </c>
      <c r="H3871" s="324" t="str" cm="1">
        <f t="array" ref="H3871">IFERROR(INDEX(INVESTOR_LIST[INVESTOR NAME],MATCH(I3871,INVESTOR_LIST[INVESTOR CODE],0),)," ")</f>
        <v xml:space="preserve"> </v>
      </c>
      <c r="I3871" s="324"/>
      <c r="J3871" s="364" t="s">
        <v>1621</v>
      </c>
      <c r="K3871" s="365">
        <v>763.99999999988358</v>
      </c>
      <c r="L3871" s="365"/>
    </row>
    <row r="3872" spans="1:13" ht="11.25" customHeight="1" x14ac:dyDescent="0.2">
      <c r="A3872" s="320">
        <v>2023</v>
      </c>
      <c r="B3872" s="320">
        <v>11</v>
      </c>
      <c r="C3872" s="320">
        <v>30</v>
      </c>
      <c r="D3872" s="323">
        <f t="shared" si="416"/>
        <v>45260</v>
      </c>
      <c r="E3872" s="321">
        <f t="shared" si="417"/>
        <v>45260</v>
      </c>
      <c r="F3872" s="483"/>
      <c r="G3872" s="322" t="s">
        <v>86</v>
      </c>
      <c r="H3872" s="325" t="str" cm="1">
        <f t="array" ref="H3872">IFERROR(INDEX(INVESTOR_LIST[INVESTOR NAME],MATCH(I3872,INVESTOR_LIST[INVESTOR CODE],0),)," ")</f>
        <v xml:space="preserve"> </v>
      </c>
      <c r="I3872" s="325"/>
      <c r="J3872" s="366" t="s">
        <v>1613</v>
      </c>
      <c r="K3872" s="367"/>
      <c r="L3872" s="367">
        <v>763.99999999988358</v>
      </c>
    </row>
    <row r="3873" spans="1:12" ht="11.25" customHeight="1" x14ac:dyDescent="0.2">
      <c r="A3873" s="236">
        <v>2023</v>
      </c>
      <c r="B3873" s="236">
        <v>11</v>
      </c>
      <c r="C3873" s="236">
        <v>30</v>
      </c>
      <c r="D3873" s="237">
        <f t="shared" si="416"/>
        <v>45260</v>
      </c>
      <c r="E3873" s="238">
        <f t="shared" si="417"/>
        <v>45260</v>
      </c>
      <c r="F3873" s="476" t="s">
        <v>1118</v>
      </c>
      <c r="G3873" s="239" t="s">
        <v>86</v>
      </c>
      <c r="H3873" s="239" t="str" cm="1">
        <f t="array" ref="H3873">IFERROR(INDEX(INVESTOR_LIST[INVESTOR NAME],MATCH(I3873,INVESTOR_LIST[INVESTOR CODE],0),)," ")</f>
        <v xml:space="preserve"> </v>
      </c>
      <c r="I3873" s="240"/>
      <c r="J3873" s="241" t="s">
        <v>82</v>
      </c>
      <c r="K3873" s="242">
        <v>21469.219999998808</v>
      </c>
      <c r="L3873" s="242"/>
    </row>
    <row r="3874" spans="1:12" ht="11.25" customHeight="1" x14ac:dyDescent="0.2">
      <c r="A3874" s="243">
        <v>2023</v>
      </c>
      <c r="B3874" s="243">
        <v>11</v>
      </c>
      <c r="C3874" s="243">
        <v>30</v>
      </c>
      <c r="D3874" s="248">
        <f t="shared" si="416"/>
        <v>45260</v>
      </c>
      <c r="E3874" s="249">
        <f t="shared" si="417"/>
        <v>45260</v>
      </c>
      <c r="F3874" s="477"/>
      <c r="G3874" s="244" t="s">
        <v>86</v>
      </c>
      <c r="H3874" s="244" t="str" cm="1">
        <f t="array" ref="H3874">IFERROR(INDEX(INVESTOR_LIST[INVESTOR NAME],MATCH(I3874,INVESTOR_LIST[INVESTOR CODE],0),)," ")</f>
        <v xml:space="preserve"> </v>
      </c>
      <c r="I3874" s="245"/>
      <c r="J3874" s="246" t="s">
        <v>98</v>
      </c>
      <c r="K3874" s="247"/>
      <c r="L3874" s="247">
        <v>21469.219999998808</v>
      </c>
    </row>
    <row r="3875" spans="1:12" ht="11.25" customHeight="1" x14ac:dyDescent="0.2">
      <c r="A3875" s="236">
        <v>2023</v>
      </c>
      <c r="B3875" s="236">
        <v>11</v>
      </c>
      <c r="C3875" s="236">
        <v>30</v>
      </c>
      <c r="D3875" s="237">
        <f t="shared" si="416"/>
        <v>45260</v>
      </c>
      <c r="E3875" s="238">
        <f t="shared" si="417"/>
        <v>45260</v>
      </c>
      <c r="F3875" s="476" t="s">
        <v>1120</v>
      </c>
      <c r="G3875" s="239" t="s">
        <v>86</v>
      </c>
      <c r="H3875" s="239" t="str" cm="1">
        <f t="array" ref="H3875">IFERROR(INDEX(INVESTOR_LIST[INVESTOR NAME],MATCH(I3875,INVESTOR_LIST[INVESTOR CODE],0),)," ")</f>
        <v xml:space="preserve"> </v>
      </c>
      <c r="I3875" s="240"/>
      <c r="J3875" s="241" t="s">
        <v>87</v>
      </c>
      <c r="K3875" s="242">
        <v>2747.2527472527472</v>
      </c>
      <c r="L3875" s="242"/>
    </row>
    <row r="3876" spans="1:12" ht="11.25" customHeight="1" x14ac:dyDescent="0.2">
      <c r="A3876" s="243">
        <v>2023</v>
      </c>
      <c r="B3876" s="243">
        <v>11</v>
      </c>
      <c r="C3876" s="243">
        <v>30</v>
      </c>
      <c r="D3876" s="248">
        <f t="shared" si="416"/>
        <v>45260</v>
      </c>
      <c r="E3876" s="249">
        <f t="shared" si="417"/>
        <v>45260</v>
      </c>
      <c r="F3876" s="477"/>
      <c r="G3876" s="244" t="s">
        <v>86</v>
      </c>
      <c r="H3876" s="244" t="str" cm="1">
        <f t="array" ref="H3876">IFERROR(INDEX(INVESTOR_LIST[INVESTOR NAME],MATCH(I3876,INVESTOR_LIST[INVESTOR CODE],0),)," ")</f>
        <v xml:space="preserve"> </v>
      </c>
      <c r="I3876" s="245"/>
      <c r="J3876" s="246" t="s">
        <v>64</v>
      </c>
      <c r="K3876" s="247"/>
      <c r="L3876" s="247">
        <v>2747.2527472527472</v>
      </c>
    </row>
    <row r="3877" spans="1:12" ht="11.25" customHeight="1" x14ac:dyDescent="0.2">
      <c r="A3877" s="236">
        <v>2023</v>
      </c>
      <c r="B3877" s="236">
        <v>11</v>
      </c>
      <c r="C3877" s="236">
        <v>30</v>
      </c>
      <c r="D3877" s="237">
        <f t="shared" si="416"/>
        <v>45260</v>
      </c>
      <c r="E3877" s="238">
        <f t="shared" si="417"/>
        <v>45260</v>
      </c>
      <c r="F3877" s="476" t="s">
        <v>1121</v>
      </c>
      <c r="G3877" s="239" t="s">
        <v>86</v>
      </c>
      <c r="H3877" s="239" t="str" cm="1">
        <f t="array" ref="H3877">IFERROR(INDEX(INVESTOR_LIST[INVESTOR NAME],MATCH(I3877,INVESTOR_LIST[INVESTOR CODE],0),)," ")</f>
        <v xml:space="preserve"> </v>
      </c>
      <c r="I3877" s="240"/>
      <c r="J3877" s="241" t="s">
        <v>89</v>
      </c>
      <c r="K3877" s="242">
        <v>66621.587370102978</v>
      </c>
      <c r="L3877" s="242"/>
    </row>
    <row r="3878" spans="1:12" ht="11.25" customHeight="1" x14ac:dyDescent="0.2">
      <c r="A3878" s="243">
        <v>2023</v>
      </c>
      <c r="B3878" s="243">
        <v>11</v>
      </c>
      <c r="C3878" s="243">
        <v>30</v>
      </c>
      <c r="D3878" s="248">
        <f t="shared" si="416"/>
        <v>45260</v>
      </c>
      <c r="E3878" s="249">
        <f t="shared" si="417"/>
        <v>45260</v>
      </c>
      <c r="F3878" s="477"/>
      <c r="G3878" s="244" t="s">
        <v>86</v>
      </c>
      <c r="H3878" s="244" t="str" cm="1">
        <f t="array" ref="H3878">IFERROR(INDEX(INVESTOR_LIST[INVESTOR NAME],MATCH(I3878,INVESTOR_LIST[INVESTOR CODE],0),)," ")</f>
        <v xml:space="preserve"> </v>
      </c>
      <c r="I3878" s="245"/>
      <c r="J3878" s="246" t="s">
        <v>50</v>
      </c>
      <c r="K3878" s="247"/>
      <c r="L3878" s="247">
        <v>66621.587370102978</v>
      </c>
    </row>
    <row r="3879" spans="1:12" ht="11.25" customHeight="1" x14ac:dyDescent="0.2">
      <c r="A3879" s="236">
        <v>2023</v>
      </c>
      <c r="B3879" s="236">
        <v>11</v>
      </c>
      <c r="C3879" s="236">
        <v>30</v>
      </c>
      <c r="D3879" s="237">
        <f t="shared" si="416"/>
        <v>45260</v>
      </c>
      <c r="E3879" s="238">
        <f t="shared" si="417"/>
        <v>45260</v>
      </c>
      <c r="F3879" s="476" t="s">
        <v>1122</v>
      </c>
      <c r="G3879" s="239" t="s">
        <v>86</v>
      </c>
      <c r="H3879" s="239" t="str" cm="1">
        <f t="array" ref="H3879">IFERROR(INDEX(INVESTOR_LIST[INVESTOR NAME],MATCH(I3879,INVESTOR_LIST[INVESTOR CODE],0),)," ")</f>
        <v xml:space="preserve"> </v>
      </c>
      <c r="I3879" s="240"/>
      <c r="J3879" s="241" t="s">
        <v>91</v>
      </c>
      <c r="K3879" s="242">
        <v>3331.079368505149</v>
      </c>
      <c r="L3879" s="242"/>
    </row>
    <row r="3880" spans="1:12" ht="11.25" customHeight="1" x14ac:dyDescent="0.2">
      <c r="A3880" s="243">
        <v>2023</v>
      </c>
      <c r="B3880" s="243">
        <v>11</v>
      </c>
      <c r="C3880" s="243">
        <v>30</v>
      </c>
      <c r="D3880" s="248">
        <f t="shared" si="416"/>
        <v>45260</v>
      </c>
      <c r="E3880" s="249">
        <f t="shared" si="417"/>
        <v>45260</v>
      </c>
      <c r="F3880" s="477"/>
      <c r="G3880" s="244" t="s">
        <v>86</v>
      </c>
      <c r="H3880" s="244" t="str" cm="1">
        <f t="array" ref="H3880">IFERROR(INDEX(INVESTOR_LIST[INVESTOR NAME],MATCH(I3880,INVESTOR_LIST[INVESTOR CODE],0),)," ")</f>
        <v xml:space="preserve"> </v>
      </c>
      <c r="I3880" s="245"/>
      <c r="J3880" s="246" t="s">
        <v>51</v>
      </c>
      <c r="K3880" s="247"/>
      <c r="L3880" s="247">
        <v>3331.079368505149</v>
      </c>
    </row>
    <row r="3881" spans="1:12" ht="11.25" customHeight="1" x14ac:dyDescent="0.2">
      <c r="A3881" s="221">
        <v>2023</v>
      </c>
      <c r="B3881" s="221">
        <v>12</v>
      </c>
      <c r="C3881" s="221">
        <v>3</v>
      </c>
      <c r="D3881" s="231">
        <f t="shared" si="416"/>
        <v>45263</v>
      </c>
      <c r="E3881" s="233">
        <f t="shared" si="417"/>
        <v>45263</v>
      </c>
      <c r="F3881" s="478" t="s">
        <v>1178</v>
      </c>
      <c r="G3881" s="222" t="s">
        <v>1111</v>
      </c>
      <c r="H3881" s="223" t="str" cm="1">
        <f t="array" ref="H3881">IFERROR(INDEX(INVESTOR_LIST[INVESTOR NAME],MATCH(I3881,INVESTOR_LIST[INVESTOR CODE],0),)," ")</f>
        <v xml:space="preserve"> </v>
      </c>
      <c r="I3881" s="223"/>
      <c r="J3881" s="224" t="s">
        <v>189</v>
      </c>
      <c r="K3881" s="225">
        <v>6250</v>
      </c>
      <c r="L3881" s="225"/>
    </row>
    <row r="3882" spans="1:12" ht="11.25" customHeight="1" x14ac:dyDescent="0.2">
      <c r="A3882" s="226">
        <v>2023</v>
      </c>
      <c r="B3882" s="226">
        <v>12</v>
      </c>
      <c r="C3882" s="226">
        <v>3</v>
      </c>
      <c r="D3882" s="232">
        <f t="shared" si="416"/>
        <v>45263</v>
      </c>
      <c r="E3882" s="234">
        <f t="shared" si="417"/>
        <v>45263</v>
      </c>
      <c r="F3882" s="479"/>
      <c r="G3882" s="227" t="s">
        <v>1111</v>
      </c>
      <c r="H3882" s="228" t="str" cm="1">
        <f t="array" ref="H3882">IFERROR(INDEX(INVESTOR_LIST[INVESTOR NAME],MATCH(I3882,INVESTOR_LIST[INVESTOR CODE],0),)," ")</f>
        <v xml:space="preserve"> </v>
      </c>
      <c r="I3882" s="228"/>
      <c r="J3882" s="229" t="s">
        <v>55</v>
      </c>
      <c r="K3882" s="230"/>
      <c r="L3882" s="230">
        <v>6250</v>
      </c>
    </row>
    <row r="3883" spans="1:12" ht="11.25" customHeight="1" x14ac:dyDescent="0.2">
      <c r="A3883" s="221">
        <v>2023</v>
      </c>
      <c r="B3883" s="221">
        <v>12</v>
      </c>
      <c r="C3883" s="221">
        <v>3</v>
      </c>
      <c r="D3883" s="231">
        <f t="shared" si="416"/>
        <v>45263</v>
      </c>
      <c r="E3883" s="233">
        <f t="shared" si="417"/>
        <v>45263</v>
      </c>
      <c r="F3883" s="478" t="s">
        <v>1638</v>
      </c>
      <c r="G3883" s="222" t="s">
        <v>1111</v>
      </c>
      <c r="H3883" s="223" t="str" cm="1">
        <f t="array" ref="H3883">IFERROR(INDEX(INVESTOR_LIST[INVESTOR NAME],MATCH(I3883,INVESTOR_LIST[INVESTOR CODE],0),)," ")</f>
        <v xml:space="preserve"> </v>
      </c>
      <c r="I3883" s="223"/>
      <c r="J3883" s="224" t="s">
        <v>55</v>
      </c>
      <c r="K3883" s="225">
        <v>9088459.8699999992</v>
      </c>
      <c r="L3883" s="225"/>
    </row>
    <row r="3884" spans="1:12" ht="11.25" customHeight="1" x14ac:dyDescent="0.2">
      <c r="A3884" s="164">
        <v>2023</v>
      </c>
      <c r="B3884" s="164">
        <v>12</v>
      </c>
      <c r="C3884" s="164">
        <v>3</v>
      </c>
      <c r="D3884" s="156">
        <f t="shared" si="416"/>
        <v>45263</v>
      </c>
      <c r="E3884" s="235">
        <f t="shared" ref="E3884" si="418">DATE(A3884,B3884,C3884)</f>
        <v>45263</v>
      </c>
      <c r="F3884" s="480"/>
      <c r="G3884" s="208" t="s">
        <v>1111</v>
      </c>
      <c r="J3884" s="165" t="s">
        <v>63</v>
      </c>
      <c r="K3884" s="205">
        <v>3000</v>
      </c>
      <c r="L3884" s="205"/>
    </row>
    <row r="3885" spans="1:12" ht="11.25" customHeight="1" x14ac:dyDescent="0.2">
      <c r="A3885" s="164">
        <v>2023</v>
      </c>
      <c r="B3885" s="164">
        <v>12</v>
      </c>
      <c r="C3885" s="164">
        <v>3</v>
      </c>
      <c r="D3885" s="156">
        <f t="shared" si="416"/>
        <v>45263</v>
      </c>
      <c r="E3885" s="235">
        <f t="shared" si="417"/>
        <v>45263</v>
      </c>
      <c r="F3885" s="480"/>
      <c r="G3885" s="208" t="s">
        <v>1111</v>
      </c>
      <c r="J3885" s="165" t="s">
        <v>131</v>
      </c>
      <c r="K3885" s="205"/>
      <c r="L3885" s="205">
        <v>189173.58</v>
      </c>
    </row>
    <row r="3886" spans="1:12" ht="11.25" customHeight="1" x14ac:dyDescent="0.2">
      <c r="A3886" s="226">
        <v>2023</v>
      </c>
      <c r="B3886" s="226">
        <v>12</v>
      </c>
      <c r="C3886" s="226">
        <v>3</v>
      </c>
      <c r="D3886" s="232">
        <f t="shared" si="416"/>
        <v>45263</v>
      </c>
      <c r="E3886" s="234">
        <f t="shared" si="417"/>
        <v>45263</v>
      </c>
      <c r="F3886" s="479"/>
      <c r="G3886" s="208" t="s">
        <v>1111</v>
      </c>
      <c r="H3886" s="228" t="str" cm="1">
        <f t="array" ref="H3886">IFERROR(INDEX(INVESTOR_LIST[INVESTOR NAME],MATCH(I3886,INVESTOR_LIST[INVESTOR CODE],0),)," ")</f>
        <v xml:space="preserve"> </v>
      </c>
      <c r="I3886" s="228"/>
      <c r="J3886" s="229" t="s">
        <v>88</v>
      </c>
      <c r="K3886" s="230"/>
      <c r="L3886" s="230">
        <v>8902286.2899999991</v>
      </c>
    </row>
    <row r="3887" spans="1:12" ht="11.25" customHeight="1" x14ac:dyDescent="0.2">
      <c r="A3887" s="221">
        <v>2023</v>
      </c>
      <c r="B3887" s="221">
        <v>12</v>
      </c>
      <c r="C3887" s="221">
        <v>3</v>
      </c>
      <c r="D3887" s="231">
        <f t="shared" si="416"/>
        <v>45263</v>
      </c>
      <c r="E3887" s="233">
        <f t="shared" si="417"/>
        <v>45263</v>
      </c>
      <c r="F3887" s="478" t="s">
        <v>1639</v>
      </c>
      <c r="G3887" s="222" t="s">
        <v>1111</v>
      </c>
      <c r="H3887" s="223" t="str" cm="1">
        <f t="array" ref="H3887">IFERROR(INDEX(INVESTOR_LIST[INVESTOR NAME],MATCH(I3887,INVESTOR_LIST[INVESTOR CODE],0),)," ")</f>
        <v xml:space="preserve"> </v>
      </c>
      <c r="I3887" s="223"/>
      <c r="J3887" s="224" t="s">
        <v>55</v>
      </c>
      <c r="K3887" s="225">
        <v>9088459.8699999992</v>
      </c>
      <c r="L3887" s="225"/>
    </row>
    <row r="3888" spans="1:12" ht="11.25" customHeight="1" x14ac:dyDescent="0.2">
      <c r="A3888" s="164">
        <v>2023</v>
      </c>
      <c r="B3888" s="164">
        <v>12</v>
      </c>
      <c r="C3888" s="164">
        <v>3</v>
      </c>
      <c r="D3888" s="156">
        <f t="shared" si="416"/>
        <v>45263</v>
      </c>
      <c r="E3888" s="235">
        <f t="shared" si="417"/>
        <v>45263</v>
      </c>
      <c r="F3888" s="480"/>
      <c r="G3888" s="208" t="s">
        <v>1111</v>
      </c>
      <c r="J3888" s="165" t="s">
        <v>63</v>
      </c>
      <c r="K3888" s="205">
        <v>3000</v>
      </c>
      <c r="L3888" s="205"/>
    </row>
    <row r="3889" spans="1:12" ht="11.25" customHeight="1" x14ac:dyDescent="0.2">
      <c r="A3889" s="164">
        <v>2023</v>
      </c>
      <c r="B3889" s="164">
        <v>12</v>
      </c>
      <c r="C3889" s="164">
        <v>3</v>
      </c>
      <c r="D3889" s="156">
        <f t="shared" si="416"/>
        <v>45263</v>
      </c>
      <c r="E3889" s="235">
        <f t="shared" si="417"/>
        <v>45263</v>
      </c>
      <c r="F3889" s="480"/>
      <c r="G3889" s="208" t="s">
        <v>1111</v>
      </c>
      <c r="J3889" s="165" t="s">
        <v>131</v>
      </c>
      <c r="K3889" s="205"/>
      <c r="L3889" s="205">
        <v>189173.58</v>
      </c>
    </row>
    <row r="3890" spans="1:12" ht="11.25" customHeight="1" x14ac:dyDescent="0.2">
      <c r="A3890" s="226">
        <v>2023</v>
      </c>
      <c r="B3890" s="226">
        <v>12</v>
      </c>
      <c r="C3890" s="226">
        <v>3</v>
      </c>
      <c r="D3890" s="232">
        <f t="shared" si="416"/>
        <v>45263</v>
      </c>
      <c r="E3890" s="234">
        <f t="shared" si="417"/>
        <v>45263</v>
      </c>
      <c r="F3890" s="479"/>
      <c r="G3890" s="208" t="s">
        <v>1111</v>
      </c>
      <c r="H3890" s="228" t="str" cm="1">
        <f t="array" ref="H3890">IFERROR(INDEX(INVESTOR_LIST[INVESTOR NAME],MATCH(I3890,INVESTOR_LIST[INVESTOR CODE],0),)," ")</f>
        <v xml:space="preserve"> </v>
      </c>
      <c r="I3890" s="228"/>
      <c r="J3890" s="229" t="s">
        <v>88</v>
      </c>
      <c r="K3890" s="230"/>
      <c r="L3890" s="230">
        <v>8902286.2899999991</v>
      </c>
    </row>
    <row r="3891" spans="1:12" ht="11.25" customHeight="1" x14ac:dyDescent="0.2">
      <c r="A3891" s="221">
        <v>2023</v>
      </c>
      <c r="B3891" s="221">
        <v>12</v>
      </c>
      <c r="C3891" s="221">
        <v>3</v>
      </c>
      <c r="D3891" s="231">
        <f t="shared" si="416"/>
        <v>45263</v>
      </c>
      <c r="E3891" s="233">
        <f t="shared" si="417"/>
        <v>45263</v>
      </c>
      <c r="F3891" s="478" t="s">
        <v>1640</v>
      </c>
      <c r="G3891" s="222" t="s">
        <v>1111</v>
      </c>
      <c r="H3891" s="223" t="str" cm="1">
        <f t="array" ref="H3891">IFERROR(INDEX(INVESTOR_LIST[INVESTOR NAME],MATCH(I3891,INVESTOR_LIST[INVESTOR CODE],0),)," ")</f>
        <v xml:space="preserve"> </v>
      </c>
      <c r="I3891" s="223"/>
      <c r="J3891" s="224" t="s">
        <v>55</v>
      </c>
      <c r="K3891" s="225">
        <v>9088459.8699999992</v>
      </c>
      <c r="L3891" s="225"/>
    </row>
    <row r="3892" spans="1:12" ht="11.25" customHeight="1" x14ac:dyDescent="0.2">
      <c r="A3892" s="164">
        <v>2023</v>
      </c>
      <c r="B3892" s="164">
        <v>12</v>
      </c>
      <c r="C3892" s="164">
        <v>3</v>
      </c>
      <c r="D3892" s="156">
        <f t="shared" si="416"/>
        <v>45263</v>
      </c>
      <c r="E3892" s="235">
        <f t="shared" ref="E3892" si="419">DATE(A3892,B3892,C3892)</f>
        <v>45263</v>
      </c>
      <c r="F3892" s="480"/>
      <c r="G3892" s="208" t="s">
        <v>1111</v>
      </c>
      <c r="J3892" s="165" t="s">
        <v>63</v>
      </c>
      <c r="K3892" s="205">
        <v>3000</v>
      </c>
      <c r="L3892" s="205"/>
    </row>
    <row r="3893" spans="1:12" ht="11.25" customHeight="1" x14ac:dyDescent="0.2">
      <c r="A3893" s="164">
        <v>2023</v>
      </c>
      <c r="B3893" s="164">
        <v>12</v>
      </c>
      <c r="C3893" s="164">
        <v>3</v>
      </c>
      <c r="D3893" s="156">
        <f t="shared" si="416"/>
        <v>45263</v>
      </c>
      <c r="E3893" s="235">
        <f t="shared" si="417"/>
        <v>45263</v>
      </c>
      <c r="F3893" s="480"/>
      <c r="G3893" s="208" t="s">
        <v>1111</v>
      </c>
      <c r="J3893" s="165" t="s">
        <v>131</v>
      </c>
      <c r="K3893" s="205"/>
      <c r="L3893" s="205">
        <v>189173.58</v>
      </c>
    </row>
    <row r="3894" spans="1:12" ht="11.25" customHeight="1" x14ac:dyDescent="0.2">
      <c r="A3894" s="226">
        <v>2023</v>
      </c>
      <c r="B3894" s="226">
        <v>12</v>
      </c>
      <c r="C3894" s="226">
        <v>3</v>
      </c>
      <c r="D3894" s="232">
        <f t="shared" si="416"/>
        <v>45263</v>
      </c>
      <c r="E3894" s="234">
        <f t="shared" si="417"/>
        <v>45263</v>
      </c>
      <c r="F3894" s="479"/>
      <c r="G3894" s="208" t="s">
        <v>1111</v>
      </c>
      <c r="H3894" s="228" t="str" cm="1">
        <f t="array" ref="H3894">IFERROR(INDEX(INVESTOR_LIST[INVESTOR NAME],MATCH(I3894,INVESTOR_LIST[INVESTOR CODE],0),)," ")</f>
        <v xml:space="preserve"> </v>
      </c>
      <c r="I3894" s="228"/>
      <c r="J3894" s="229" t="s">
        <v>88</v>
      </c>
      <c r="K3894" s="230"/>
      <c r="L3894" s="230">
        <v>8902286.2899999991</v>
      </c>
    </row>
    <row r="3895" spans="1:12" ht="11.25" customHeight="1" x14ac:dyDescent="0.2">
      <c r="A3895" s="221">
        <v>2023</v>
      </c>
      <c r="B3895" s="221">
        <v>12</v>
      </c>
      <c r="C3895" s="221">
        <v>3</v>
      </c>
      <c r="D3895" s="231">
        <f t="shared" si="416"/>
        <v>45263</v>
      </c>
      <c r="E3895" s="233">
        <f t="shared" si="417"/>
        <v>45263</v>
      </c>
      <c r="F3895" s="478" t="s">
        <v>1641</v>
      </c>
      <c r="G3895" s="222" t="s">
        <v>1111</v>
      </c>
      <c r="H3895" s="223" t="str" cm="1">
        <f t="array" ref="H3895">IFERROR(INDEX(INVESTOR_LIST[INVESTOR NAME],MATCH(I3895,INVESTOR_LIST[INVESTOR CODE],0),)," ")</f>
        <v xml:space="preserve"> </v>
      </c>
      <c r="I3895" s="223"/>
      <c r="J3895" s="224" t="s">
        <v>55</v>
      </c>
      <c r="K3895" s="225">
        <v>9088459.8699999992</v>
      </c>
      <c r="L3895" s="225"/>
    </row>
    <row r="3896" spans="1:12" ht="11.25" customHeight="1" x14ac:dyDescent="0.2">
      <c r="A3896" s="164">
        <v>2023</v>
      </c>
      <c r="B3896" s="164">
        <v>12</v>
      </c>
      <c r="C3896" s="164">
        <v>3</v>
      </c>
      <c r="D3896" s="156">
        <f t="shared" si="416"/>
        <v>45263</v>
      </c>
      <c r="E3896" s="235">
        <f t="shared" si="417"/>
        <v>45263</v>
      </c>
      <c r="F3896" s="480"/>
      <c r="G3896" s="208" t="s">
        <v>1111</v>
      </c>
      <c r="J3896" s="165" t="s">
        <v>63</v>
      </c>
      <c r="K3896" s="205">
        <v>3000</v>
      </c>
      <c r="L3896" s="205"/>
    </row>
    <row r="3897" spans="1:12" ht="11.25" customHeight="1" x14ac:dyDescent="0.2">
      <c r="A3897" s="164">
        <v>2023</v>
      </c>
      <c r="B3897" s="164">
        <v>12</v>
      </c>
      <c r="C3897" s="164">
        <v>3</v>
      </c>
      <c r="D3897" s="156">
        <f t="shared" si="416"/>
        <v>45263</v>
      </c>
      <c r="E3897" s="235">
        <f t="shared" si="417"/>
        <v>45263</v>
      </c>
      <c r="F3897" s="480"/>
      <c r="G3897" s="208" t="s">
        <v>1111</v>
      </c>
      <c r="J3897" s="165" t="s">
        <v>131</v>
      </c>
      <c r="K3897" s="205"/>
      <c r="L3897" s="205">
        <v>189173.58</v>
      </c>
    </row>
    <row r="3898" spans="1:12" ht="11.25" customHeight="1" x14ac:dyDescent="0.2">
      <c r="A3898" s="226">
        <v>2023</v>
      </c>
      <c r="B3898" s="226">
        <v>12</v>
      </c>
      <c r="C3898" s="226">
        <v>3</v>
      </c>
      <c r="D3898" s="232">
        <f t="shared" si="416"/>
        <v>45263</v>
      </c>
      <c r="E3898" s="234">
        <f t="shared" si="417"/>
        <v>45263</v>
      </c>
      <c r="F3898" s="479"/>
      <c r="G3898" s="208" t="s">
        <v>1111</v>
      </c>
      <c r="H3898" s="228" t="str" cm="1">
        <f t="array" ref="H3898">IFERROR(INDEX(INVESTOR_LIST[INVESTOR NAME],MATCH(I3898,INVESTOR_LIST[INVESTOR CODE],0),)," ")</f>
        <v xml:space="preserve"> </v>
      </c>
      <c r="I3898" s="228"/>
      <c r="J3898" s="229" t="s">
        <v>88</v>
      </c>
      <c r="K3898" s="230"/>
      <c r="L3898" s="230">
        <v>8902286.2899999991</v>
      </c>
    </row>
    <row r="3899" spans="1:12" ht="11.25" customHeight="1" x14ac:dyDescent="0.2">
      <c r="A3899" s="221">
        <v>2023</v>
      </c>
      <c r="B3899" s="221">
        <v>12</v>
      </c>
      <c r="C3899" s="221">
        <v>3</v>
      </c>
      <c r="D3899" s="231">
        <f t="shared" si="416"/>
        <v>45263</v>
      </c>
      <c r="E3899" s="233">
        <f t="shared" si="417"/>
        <v>45263</v>
      </c>
      <c r="F3899" s="478" t="s">
        <v>1642</v>
      </c>
      <c r="G3899" s="222" t="s">
        <v>1111</v>
      </c>
      <c r="H3899" s="223" t="str" cm="1">
        <f t="array" ref="H3899">IFERROR(INDEX(INVESTOR_LIST[INVESTOR NAME],MATCH(I3899,INVESTOR_LIST[INVESTOR CODE],0),)," ")</f>
        <v xml:space="preserve"> </v>
      </c>
      <c r="I3899" s="223"/>
      <c r="J3899" s="224" t="s">
        <v>55</v>
      </c>
      <c r="K3899" s="225">
        <v>6814798.5099999998</v>
      </c>
      <c r="L3899" s="225"/>
    </row>
    <row r="3900" spans="1:12" ht="11.25" customHeight="1" x14ac:dyDescent="0.2">
      <c r="A3900" s="164">
        <v>2023</v>
      </c>
      <c r="B3900" s="164">
        <v>12</v>
      </c>
      <c r="C3900" s="164">
        <v>3</v>
      </c>
      <c r="D3900" s="156">
        <f t="shared" si="416"/>
        <v>45263</v>
      </c>
      <c r="E3900" s="235">
        <f t="shared" ref="E3900" si="420">DATE(A3900,B3900,C3900)</f>
        <v>45263</v>
      </c>
      <c r="F3900" s="480"/>
      <c r="G3900" s="208" t="s">
        <v>1111</v>
      </c>
      <c r="J3900" s="165" t="s">
        <v>63</v>
      </c>
      <c r="K3900" s="205">
        <v>3000</v>
      </c>
      <c r="L3900" s="205"/>
    </row>
    <row r="3901" spans="1:12" ht="11.25" customHeight="1" x14ac:dyDescent="0.2">
      <c r="A3901" s="164">
        <v>2023</v>
      </c>
      <c r="B3901" s="164">
        <v>12</v>
      </c>
      <c r="C3901" s="164">
        <v>3</v>
      </c>
      <c r="D3901" s="156">
        <f t="shared" si="416"/>
        <v>45263</v>
      </c>
      <c r="E3901" s="235">
        <f t="shared" si="417"/>
        <v>45263</v>
      </c>
      <c r="F3901" s="480"/>
      <c r="G3901" s="208" t="s">
        <v>1111</v>
      </c>
      <c r="J3901" s="165" t="s">
        <v>131</v>
      </c>
      <c r="K3901" s="205"/>
      <c r="L3901" s="205">
        <v>141863.60999999999</v>
      </c>
    </row>
    <row r="3902" spans="1:12" ht="11.25" customHeight="1" x14ac:dyDescent="0.2">
      <c r="A3902" s="226">
        <v>2023</v>
      </c>
      <c r="B3902" s="226">
        <v>12</v>
      </c>
      <c r="C3902" s="226">
        <v>3</v>
      </c>
      <c r="D3902" s="232">
        <f t="shared" si="416"/>
        <v>45263</v>
      </c>
      <c r="E3902" s="234">
        <f t="shared" si="417"/>
        <v>45263</v>
      </c>
      <c r="F3902" s="479"/>
      <c r="G3902" s="208" t="s">
        <v>1111</v>
      </c>
      <c r="H3902" s="228" t="str" cm="1">
        <f t="array" ref="H3902">IFERROR(INDEX(INVESTOR_LIST[INVESTOR NAME],MATCH(I3902,INVESTOR_LIST[INVESTOR CODE],0),)," ")</f>
        <v xml:space="preserve"> </v>
      </c>
      <c r="I3902" s="228"/>
      <c r="J3902" s="229" t="s">
        <v>88</v>
      </c>
      <c r="K3902" s="230"/>
      <c r="L3902" s="230">
        <v>6675934.9000000004</v>
      </c>
    </row>
    <row r="3903" spans="1:12" ht="11.25" customHeight="1" x14ac:dyDescent="0.2">
      <c r="A3903" s="221">
        <v>2023</v>
      </c>
      <c r="B3903" s="221">
        <v>12</v>
      </c>
      <c r="C3903" s="221">
        <v>3</v>
      </c>
      <c r="D3903" s="231">
        <f t="shared" si="416"/>
        <v>45263</v>
      </c>
      <c r="E3903" s="233">
        <f t="shared" si="417"/>
        <v>45263</v>
      </c>
      <c r="F3903" s="478" t="s">
        <v>1643</v>
      </c>
      <c r="G3903" s="222" t="s">
        <v>1111</v>
      </c>
      <c r="H3903" s="223" t="str" cm="1">
        <f t="array" ref="H3903">IFERROR(INDEX(INVESTOR_LIST[INVESTOR NAME],MATCH(I3903,INVESTOR_LIST[INVESTOR CODE],0),)," ")</f>
        <v xml:space="preserve"> </v>
      </c>
      <c r="I3903" s="223"/>
      <c r="J3903" s="224" t="s">
        <v>55</v>
      </c>
      <c r="K3903" s="225">
        <v>6814798.5099999998</v>
      </c>
      <c r="L3903" s="225"/>
    </row>
    <row r="3904" spans="1:12" ht="11.25" customHeight="1" x14ac:dyDescent="0.2">
      <c r="A3904" s="164">
        <v>2023</v>
      </c>
      <c r="B3904" s="164">
        <v>12</v>
      </c>
      <c r="C3904" s="164">
        <v>3</v>
      </c>
      <c r="D3904" s="156">
        <f t="shared" si="416"/>
        <v>45263</v>
      </c>
      <c r="E3904" s="235">
        <f t="shared" si="417"/>
        <v>45263</v>
      </c>
      <c r="F3904" s="480"/>
      <c r="G3904" s="208" t="s">
        <v>1111</v>
      </c>
      <c r="J3904" s="165" t="s">
        <v>63</v>
      </c>
      <c r="K3904" s="205">
        <v>3000</v>
      </c>
      <c r="L3904" s="205"/>
    </row>
    <row r="3905" spans="1:12" ht="11.25" customHeight="1" x14ac:dyDescent="0.2">
      <c r="A3905" s="164">
        <v>2023</v>
      </c>
      <c r="B3905" s="164">
        <v>12</v>
      </c>
      <c r="C3905" s="164">
        <v>3</v>
      </c>
      <c r="D3905" s="156">
        <f t="shared" si="416"/>
        <v>45263</v>
      </c>
      <c r="E3905" s="235">
        <f t="shared" si="417"/>
        <v>45263</v>
      </c>
      <c r="F3905" s="480"/>
      <c r="G3905" s="208" t="s">
        <v>1111</v>
      </c>
      <c r="J3905" s="165" t="s">
        <v>131</v>
      </c>
      <c r="K3905" s="205"/>
      <c r="L3905" s="205">
        <v>141863.60999999999</v>
      </c>
    </row>
    <row r="3906" spans="1:12" ht="11.25" customHeight="1" x14ac:dyDescent="0.2">
      <c r="A3906" s="226">
        <v>2023</v>
      </c>
      <c r="B3906" s="226">
        <v>12</v>
      </c>
      <c r="C3906" s="226">
        <v>3</v>
      </c>
      <c r="D3906" s="232">
        <f t="shared" si="416"/>
        <v>45263</v>
      </c>
      <c r="E3906" s="234">
        <f t="shared" si="417"/>
        <v>45263</v>
      </c>
      <c r="F3906" s="479"/>
      <c r="G3906" s="208" t="s">
        <v>1111</v>
      </c>
      <c r="H3906" s="228" t="str" cm="1">
        <f t="array" ref="H3906">IFERROR(INDEX(INVESTOR_LIST[INVESTOR NAME],MATCH(I3906,INVESTOR_LIST[INVESTOR CODE],0),)," ")</f>
        <v xml:space="preserve"> </v>
      </c>
      <c r="I3906" s="228"/>
      <c r="J3906" s="229" t="s">
        <v>88</v>
      </c>
      <c r="K3906" s="230"/>
      <c r="L3906" s="230">
        <v>6675934.9000000004</v>
      </c>
    </row>
    <row r="3907" spans="1:12" ht="11.25" customHeight="1" x14ac:dyDescent="0.2">
      <c r="A3907" s="221">
        <v>2023</v>
      </c>
      <c r="B3907" s="221">
        <v>12</v>
      </c>
      <c r="C3907" s="221">
        <v>3</v>
      </c>
      <c r="D3907" s="231">
        <f t="shared" si="416"/>
        <v>45263</v>
      </c>
      <c r="E3907" s="233">
        <f t="shared" si="417"/>
        <v>45263</v>
      </c>
      <c r="F3907" s="478" t="s">
        <v>1644</v>
      </c>
      <c r="G3907" s="222" t="s">
        <v>1111</v>
      </c>
      <c r="H3907" s="223" t="str" cm="1">
        <f t="array" ref="H3907">IFERROR(INDEX(INVESTOR_LIST[INVESTOR NAME],MATCH(I3907,INVESTOR_LIST[INVESTOR CODE],0),)," ")</f>
        <v xml:space="preserve"> </v>
      </c>
      <c r="I3907" s="223"/>
      <c r="J3907" s="224" t="s">
        <v>55</v>
      </c>
      <c r="K3907" s="225">
        <v>5677967.8399999999</v>
      </c>
      <c r="L3907" s="225"/>
    </row>
    <row r="3908" spans="1:12" ht="11.25" customHeight="1" x14ac:dyDescent="0.2">
      <c r="A3908" s="164">
        <v>2023</v>
      </c>
      <c r="B3908" s="164">
        <v>12</v>
      </c>
      <c r="C3908" s="164">
        <v>3</v>
      </c>
      <c r="D3908" s="156">
        <f t="shared" si="416"/>
        <v>45263</v>
      </c>
      <c r="E3908" s="235">
        <f t="shared" ref="E3908" si="421">DATE(A3908,B3908,C3908)</f>
        <v>45263</v>
      </c>
      <c r="F3908" s="480"/>
      <c r="G3908" s="208" t="s">
        <v>1111</v>
      </c>
      <c r="J3908" s="165" t="s">
        <v>63</v>
      </c>
      <c r="K3908" s="205">
        <v>3000</v>
      </c>
      <c r="L3908" s="205"/>
    </row>
    <row r="3909" spans="1:12" ht="11.25" customHeight="1" x14ac:dyDescent="0.2">
      <c r="A3909" s="164">
        <v>2023</v>
      </c>
      <c r="B3909" s="164">
        <v>12</v>
      </c>
      <c r="C3909" s="164">
        <v>3</v>
      </c>
      <c r="D3909" s="156">
        <f t="shared" si="416"/>
        <v>45263</v>
      </c>
      <c r="E3909" s="235">
        <f t="shared" si="417"/>
        <v>45263</v>
      </c>
      <c r="F3909" s="480"/>
      <c r="G3909" s="208" t="s">
        <v>1111</v>
      </c>
      <c r="J3909" s="165" t="s">
        <v>131</v>
      </c>
      <c r="K3909" s="205"/>
      <c r="L3909" s="205">
        <v>118208.63</v>
      </c>
    </row>
    <row r="3910" spans="1:12" ht="11.25" customHeight="1" x14ac:dyDescent="0.2">
      <c r="A3910" s="226">
        <v>2023</v>
      </c>
      <c r="B3910" s="226">
        <v>12</v>
      </c>
      <c r="C3910" s="226">
        <v>3</v>
      </c>
      <c r="D3910" s="232">
        <f t="shared" si="416"/>
        <v>45263</v>
      </c>
      <c r="E3910" s="234">
        <f t="shared" si="417"/>
        <v>45263</v>
      </c>
      <c r="F3910" s="479"/>
      <c r="G3910" s="227" t="s">
        <v>1111</v>
      </c>
      <c r="H3910" s="228" t="str" cm="1">
        <f t="array" ref="H3910">IFERROR(INDEX(INVESTOR_LIST[INVESTOR NAME],MATCH(I3910,INVESTOR_LIST[INVESTOR CODE],0),)," ")</f>
        <v xml:space="preserve"> </v>
      </c>
      <c r="I3910" s="228"/>
      <c r="J3910" s="229" t="s">
        <v>88</v>
      </c>
      <c r="K3910" s="230"/>
      <c r="L3910" s="230">
        <v>5562759.21</v>
      </c>
    </row>
    <row r="3911" spans="1:12" ht="11.25" customHeight="1" x14ac:dyDescent="0.2">
      <c r="A3911" s="221">
        <v>2023</v>
      </c>
      <c r="B3911" s="221">
        <v>12</v>
      </c>
      <c r="C3911" s="221">
        <v>4</v>
      </c>
      <c r="D3911" s="231">
        <f t="shared" si="416"/>
        <v>45264</v>
      </c>
      <c r="E3911" s="233">
        <f>DATE(A3911,B3911,C3911)</f>
        <v>45264</v>
      </c>
      <c r="F3911" s="478" t="s">
        <v>1637</v>
      </c>
      <c r="G3911" s="222" t="s">
        <v>1111</v>
      </c>
      <c r="H3911" s="222" t="str" cm="1">
        <f t="array" ref="H3911">IFERROR(INDEX(INVESTOR_LIST[INVESTOR NAME],MATCH(I3911,INVESTOR_LIST[INVESTOR CODE],0),)," ")</f>
        <v xml:space="preserve"> </v>
      </c>
      <c r="I3911" s="223"/>
      <c r="J3911" s="224" t="s">
        <v>1465</v>
      </c>
      <c r="K3911" s="357">
        <v>1267006</v>
      </c>
      <c r="L3911" s="225"/>
    </row>
    <row r="3912" spans="1:12" ht="11.25" customHeight="1" x14ac:dyDescent="0.2">
      <c r="A3912" s="226">
        <v>2023</v>
      </c>
      <c r="B3912" s="226">
        <v>12</v>
      </c>
      <c r="C3912" s="226">
        <v>4</v>
      </c>
      <c r="D3912" s="226">
        <f t="shared" si="416"/>
        <v>45264</v>
      </c>
      <c r="E3912" s="234">
        <f>DATE(A3912,B3912,C3912)</f>
        <v>45264</v>
      </c>
      <c r="F3912" s="479"/>
      <c r="G3912" s="227" t="s">
        <v>1111</v>
      </c>
      <c r="H3912" s="227"/>
      <c r="I3912" s="228"/>
      <c r="J3912" s="229" t="s">
        <v>55</v>
      </c>
      <c r="K3912" s="294"/>
      <c r="L3912" s="230">
        <v>1267006</v>
      </c>
    </row>
    <row r="3913" spans="1:12" ht="11.25" customHeight="1" x14ac:dyDescent="0.2">
      <c r="A3913" s="221">
        <v>2023</v>
      </c>
      <c r="B3913" s="221">
        <v>12</v>
      </c>
      <c r="C3913" s="221">
        <v>5</v>
      </c>
      <c r="D3913" s="231">
        <f t="shared" ref="D3913:D3976" si="422">DATE(A3913,B3913,C3913)</f>
        <v>45265</v>
      </c>
      <c r="E3913" s="233">
        <f>DATE(A3913,B3913,C3913)</f>
        <v>45265</v>
      </c>
      <c r="F3913" s="478" t="s">
        <v>1645</v>
      </c>
      <c r="G3913" s="222" t="s">
        <v>1111</v>
      </c>
      <c r="H3913" s="222" t="str" cm="1">
        <f t="array" ref="H3913">IFERROR(INDEX(INVESTOR_LIST[INVESTOR NAME],MATCH(I3913,INVESTOR_LIST[INVESTOR CODE],0),)," ")</f>
        <v xml:space="preserve"> </v>
      </c>
      <c r="I3913" s="223"/>
      <c r="J3913" s="224" t="s">
        <v>55</v>
      </c>
      <c r="K3913" s="357">
        <v>12000</v>
      </c>
      <c r="L3913" s="225"/>
    </row>
    <row r="3914" spans="1:12" ht="11.25" customHeight="1" x14ac:dyDescent="0.2">
      <c r="A3914" s="226">
        <v>2023</v>
      </c>
      <c r="B3914" s="226">
        <v>12</v>
      </c>
      <c r="C3914" s="226">
        <v>5</v>
      </c>
      <c r="D3914" s="226">
        <f t="shared" si="422"/>
        <v>45265</v>
      </c>
      <c r="E3914" s="234">
        <f>DATE(A3914,B3914,C3914)</f>
        <v>45265</v>
      </c>
      <c r="F3914" s="479"/>
      <c r="G3914" s="227" t="s">
        <v>1111</v>
      </c>
      <c r="H3914" s="227"/>
      <c r="I3914" s="228"/>
      <c r="J3914" s="229" t="s">
        <v>63</v>
      </c>
      <c r="K3914" s="294"/>
      <c r="L3914" s="230">
        <v>12000</v>
      </c>
    </row>
    <row r="3915" spans="1:12" ht="11.25" customHeight="1" x14ac:dyDescent="0.2">
      <c r="A3915" s="280">
        <v>2023</v>
      </c>
      <c r="B3915" s="280">
        <v>12</v>
      </c>
      <c r="C3915" s="280">
        <v>7</v>
      </c>
      <c r="D3915" s="281">
        <f t="shared" si="422"/>
        <v>45267</v>
      </c>
      <c r="E3915" s="282">
        <f t="shared" ref="E3915:E3934" si="423">DATE(A3915,B3915,C3915)</f>
        <v>45267</v>
      </c>
      <c r="F3915" s="472" t="s">
        <v>1369</v>
      </c>
      <c r="G3915" s="283" t="s">
        <v>86</v>
      </c>
      <c r="H3915" s="284" t="str" cm="1">
        <f t="array" ref="H3915">IFERROR(INDEX(INVESTOR_LIST[INVESTOR NAME],MATCH(I3915,INVESTOR_LIST[INVESTOR CODE],0),)," ")</f>
        <v xml:space="preserve"> </v>
      </c>
      <c r="I3915" s="284"/>
      <c r="J3915" s="285" t="s">
        <v>131</v>
      </c>
      <c r="K3915" s="286">
        <v>12048.08</v>
      </c>
      <c r="L3915" s="286"/>
    </row>
    <row r="3916" spans="1:12" ht="11.25" customHeight="1" x14ac:dyDescent="0.2">
      <c r="A3916" s="287">
        <v>2023</v>
      </c>
      <c r="B3916" s="287">
        <v>12</v>
      </c>
      <c r="C3916" s="287">
        <v>7</v>
      </c>
      <c r="D3916" s="288">
        <f t="shared" si="422"/>
        <v>45267</v>
      </c>
      <c r="E3916" s="289">
        <f t="shared" si="423"/>
        <v>45267</v>
      </c>
      <c r="F3916" s="473"/>
      <c r="G3916" s="290" t="s">
        <v>86</v>
      </c>
      <c r="H3916" s="291" t="str" cm="1">
        <f t="array" ref="H3916">IFERROR(INDEX(INVESTOR_LIST[INVESTOR NAME],MATCH(I3916,INVESTOR_LIST[INVESTOR CODE],0),)," ")</f>
        <v xml:space="preserve"> </v>
      </c>
      <c r="I3916" s="291"/>
      <c r="J3916" s="292" t="s">
        <v>174</v>
      </c>
      <c r="K3916" s="293"/>
      <c r="L3916" s="293">
        <v>12048.08</v>
      </c>
    </row>
    <row r="3917" spans="1:12" ht="11.25" customHeight="1" x14ac:dyDescent="0.2">
      <c r="A3917" s="280">
        <v>2023</v>
      </c>
      <c r="B3917" s="280">
        <v>12</v>
      </c>
      <c r="C3917" s="280">
        <v>7</v>
      </c>
      <c r="D3917" s="281">
        <f t="shared" si="422"/>
        <v>45267</v>
      </c>
      <c r="E3917" s="282">
        <f t="shared" si="423"/>
        <v>45267</v>
      </c>
      <c r="F3917" s="472" t="s">
        <v>1295</v>
      </c>
      <c r="G3917" s="283" t="s">
        <v>86</v>
      </c>
      <c r="H3917" s="284" t="str" cm="1">
        <f t="array" ref="H3917">IFERROR(INDEX(INVESTOR_LIST[INVESTOR NAME],MATCH(I3917,INVESTOR_LIST[INVESTOR CODE],0),)," ")</f>
        <v xml:space="preserve"> </v>
      </c>
      <c r="I3917" s="284"/>
      <c r="J3917" s="285" t="s">
        <v>131</v>
      </c>
      <c r="K3917" s="286">
        <v>18342.63</v>
      </c>
      <c r="L3917" s="286"/>
    </row>
    <row r="3918" spans="1:12" ht="11.25" customHeight="1" x14ac:dyDescent="0.2">
      <c r="A3918" s="287">
        <v>2023</v>
      </c>
      <c r="B3918" s="287">
        <v>12</v>
      </c>
      <c r="C3918" s="287">
        <v>7</v>
      </c>
      <c r="D3918" s="288">
        <f t="shared" si="422"/>
        <v>45267</v>
      </c>
      <c r="E3918" s="289">
        <f t="shared" si="423"/>
        <v>45267</v>
      </c>
      <c r="F3918" s="473"/>
      <c r="G3918" s="290" t="s">
        <v>86</v>
      </c>
      <c r="H3918" s="291" t="str" cm="1">
        <f t="array" ref="H3918">IFERROR(INDEX(INVESTOR_LIST[INVESTOR NAME],MATCH(I3918,INVESTOR_LIST[INVESTOR CODE],0),)," ")</f>
        <v xml:space="preserve"> </v>
      </c>
      <c r="I3918" s="291"/>
      <c r="J3918" s="292" t="s">
        <v>174</v>
      </c>
      <c r="K3918" s="293"/>
      <c r="L3918" s="293">
        <v>18342.63</v>
      </c>
    </row>
    <row r="3919" spans="1:12" ht="11.25" customHeight="1" x14ac:dyDescent="0.2">
      <c r="A3919" s="280">
        <v>2023</v>
      </c>
      <c r="B3919" s="280">
        <v>12</v>
      </c>
      <c r="C3919" s="280">
        <v>7</v>
      </c>
      <c r="D3919" s="281">
        <f t="shared" si="422"/>
        <v>45267</v>
      </c>
      <c r="E3919" s="282">
        <f t="shared" si="423"/>
        <v>45267</v>
      </c>
      <c r="F3919" s="472" t="s">
        <v>1584</v>
      </c>
      <c r="G3919" s="283" t="s">
        <v>86</v>
      </c>
      <c r="H3919" s="284" t="str" cm="1">
        <f t="array" ref="H3919">IFERROR(INDEX(INVESTOR_LIST[INVESTOR NAME],MATCH(I3919,INVESTOR_LIST[INVESTOR CODE],0),)," ")</f>
        <v xml:space="preserve"> </v>
      </c>
      <c r="I3919" s="284"/>
      <c r="J3919" s="285" t="s">
        <v>131</v>
      </c>
      <c r="K3919" s="286">
        <v>6346.1538461538457</v>
      </c>
      <c r="L3919" s="286"/>
    </row>
    <row r="3920" spans="1:12" ht="11.25" customHeight="1" x14ac:dyDescent="0.2">
      <c r="A3920" s="287">
        <v>2023</v>
      </c>
      <c r="B3920" s="287">
        <v>12</v>
      </c>
      <c r="C3920" s="287">
        <v>7</v>
      </c>
      <c r="D3920" s="288">
        <f t="shared" si="422"/>
        <v>45267</v>
      </c>
      <c r="E3920" s="289">
        <f t="shared" si="423"/>
        <v>45267</v>
      </c>
      <c r="F3920" s="473"/>
      <c r="G3920" s="290" t="s">
        <v>86</v>
      </c>
      <c r="H3920" s="291" t="str" cm="1">
        <f t="array" ref="H3920">IFERROR(INDEX(INVESTOR_LIST[INVESTOR NAME],MATCH(I3920,INVESTOR_LIST[INVESTOR CODE],0),)," ")</f>
        <v xml:space="preserve"> </v>
      </c>
      <c r="I3920" s="291"/>
      <c r="J3920" s="292" t="s">
        <v>174</v>
      </c>
      <c r="K3920" s="293"/>
      <c r="L3920" s="293">
        <v>6346.1538461538457</v>
      </c>
    </row>
    <row r="3921" spans="1:12" ht="11.25" customHeight="1" x14ac:dyDescent="0.2">
      <c r="A3921" s="358">
        <v>2023</v>
      </c>
      <c r="B3921" s="358">
        <v>12</v>
      </c>
      <c r="C3921" s="358">
        <v>7</v>
      </c>
      <c r="D3921" s="312">
        <f t="shared" si="422"/>
        <v>45267</v>
      </c>
      <c r="E3921" s="313">
        <f t="shared" si="423"/>
        <v>45267</v>
      </c>
      <c r="F3921" s="482" t="s">
        <v>1627</v>
      </c>
      <c r="G3921" s="314" t="s">
        <v>86</v>
      </c>
      <c r="H3921" s="324" t="str" cm="1">
        <f t="array" ref="H3921">IFERROR(INDEX(INVESTOR_LIST[INVESTOR NAME],MATCH(I3921,INVESTOR_LIST[INVESTOR CODE],0),)," ")</f>
        <v xml:space="preserve"> </v>
      </c>
      <c r="I3921" s="324"/>
      <c r="J3921" s="364" t="s">
        <v>1621</v>
      </c>
      <c r="K3921" s="365">
        <v>506.00000000011642</v>
      </c>
      <c r="L3921" s="365"/>
    </row>
    <row r="3922" spans="1:12" ht="11.25" customHeight="1" x14ac:dyDescent="0.2">
      <c r="A3922" s="320">
        <v>2023</v>
      </c>
      <c r="B3922" s="320">
        <v>12</v>
      </c>
      <c r="C3922" s="320">
        <v>7</v>
      </c>
      <c r="D3922" s="323">
        <f t="shared" si="422"/>
        <v>45267</v>
      </c>
      <c r="E3922" s="321">
        <f t="shared" si="423"/>
        <v>45267</v>
      </c>
      <c r="F3922" s="483"/>
      <c r="G3922" s="322" t="s">
        <v>86</v>
      </c>
      <c r="H3922" s="325" t="str" cm="1">
        <f t="array" ref="H3922">IFERROR(INDEX(INVESTOR_LIST[INVESTOR NAME],MATCH(I3922,INVESTOR_LIST[INVESTOR CODE],0),)," ")</f>
        <v xml:space="preserve"> </v>
      </c>
      <c r="I3922" s="325"/>
      <c r="J3922" s="366" t="s">
        <v>1613</v>
      </c>
      <c r="K3922" s="367"/>
      <c r="L3922" s="367">
        <v>506.00000000011642</v>
      </c>
    </row>
    <row r="3923" spans="1:12" ht="11.25" customHeight="1" x14ac:dyDescent="0.2">
      <c r="A3923" s="236">
        <v>2023</v>
      </c>
      <c r="B3923" s="236">
        <v>12</v>
      </c>
      <c r="C3923" s="236">
        <v>7</v>
      </c>
      <c r="D3923" s="237">
        <f t="shared" si="422"/>
        <v>45267</v>
      </c>
      <c r="E3923" s="238">
        <f t="shared" si="423"/>
        <v>45267</v>
      </c>
      <c r="F3923" s="476" t="s">
        <v>1118</v>
      </c>
      <c r="G3923" s="239" t="s">
        <v>86</v>
      </c>
      <c r="H3923" s="239" t="str" cm="1">
        <f t="array" ref="H3923">IFERROR(INDEX(INVESTOR_LIST[INVESTOR NAME],MATCH(I3923,INVESTOR_LIST[INVESTOR CODE],0),)," ")</f>
        <v xml:space="preserve"> </v>
      </c>
      <c r="I3923" s="240"/>
      <c r="J3923" s="241" t="s">
        <v>98</v>
      </c>
      <c r="K3923" s="242">
        <v>112749</v>
      </c>
      <c r="L3923" s="242"/>
    </row>
    <row r="3924" spans="1:12" ht="11.25" customHeight="1" x14ac:dyDescent="0.2">
      <c r="A3924" s="243">
        <v>2023</v>
      </c>
      <c r="B3924" s="243">
        <v>12</v>
      </c>
      <c r="C3924" s="243">
        <v>7</v>
      </c>
      <c r="D3924" s="248">
        <f t="shared" si="422"/>
        <v>45267</v>
      </c>
      <c r="E3924" s="249">
        <f t="shared" si="423"/>
        <v>45267</v>
      </c>
      <c r="F3924" s="477"/>
      <c r="G3924" s="244" t="s">
        <v>86</v>
      </c>
      <c r="H3924" s="244" t="str" cm="1">
        <f t="array" ref="H3924">IFERROR(INDEX(INVESTOR_LIST[INVESTOR NAME],MATCH(I3924,INVESTOR_LIST[INVESTOR CODE],0),)," ")</f>
        <v xml:space="preserve"> </v>
      </c>
      <c r="I3924" s="245"/>
      <c r="J3924" s="246" t="s">
        <v>82</v>
      </c>
      <c r="K3924" s="247"/>
      <c r="L3924" s="247">
        <v>112749</v>
      </c>
    </row>
    <row r="3925" spans="1:12" ht="11.25" customHeight="1" x14ac:dyDescent="0.2">
      <c r="A3925" s="236">
        <v>2023</v>
      </c>
      <c r="B3925" s="236">
        <v>12</v>
      </c>
      <c r="C3925" s="236">
        <v>7</v>
      </c>
      <c r="D3925" s="237">
        <f t="shared" si="422"/>
        <v>45267</v>
      </c>
      <c r="E3925" s="238">
        <f t="shared" si="423"/>
        <v>45267</v>
      </c>
      <c r="F3925" s="476" t="s">
        <v>1120</v>
      </c>
      <c r="G3925" s="239" t="s">
        <v>86</v>
      </c>
      <c r="H3925" s="239" t="str" cm="1">
        <f t="array" ref="H3925">IFERROR(INDEX(INVESTOR_LIST[INVESTOR NAME],MATCH(I3925,INVESTOR_LIST[INVESTOR CODE],0),)," ")</f>
        <v xml:space="preserve"> </v>
      </c>
      <c r="I3925" s="240"/>
      <c r="J3925" s="241" t="s">
        <v>87</v>
      </c>
      <c r="K3925" s="242">
        <v>2747.2527472527472</v>
      </c>
      <c r="L3925" s="242"/>
    </row>
    <row r="3926" spans="1:12" ht="11.25" customHeight="1" x14ac:dyDescent="0.2">
      <c r="A3926" s="243">
        <v>2023</v>
      </c>
      <c r="B3926" s="243">
        <v>12</v>
      </c>
      <c r="C3926" s="243">
        <v>7</v>
      </c>
      <c r="D3926" s="248">
        <f t="shared" si="422"/>
        <v>45267</v>
      </c>
      <c r="E3926" s="249">
        <f t="shared" si="423"/>
        <v>45267</v>
      </c>
      <c r="F3926" s="477"/>
      <c r="G3926" s="244" t="s">
        <v>86</v>
      </c>
      <c r="H3926" s="244" t="str" cm="1">
        <f t="array" ref="H3926">IFERROR(INDEX(INVESTOR_LIST[INVESTOR NAME],MATCH(I3926,INVESTOR_LIST[INVESTOR CODE],0),)," ")</f>
        <v xml:space="preserve"> </v>
      </c>
      <c r="I3926" s="245"/>
      <c r="J3926" s="246" t="s">
        <v>64</v>
      </c>
      <c r="K3926" s="247"/>
      <c r="L3926" s="247">
        <v>2747.2527472527472</v>
      </c>
    </row>
    <row r="3927" spans="1:12" ht="11.25" customHeight="1" x14ac:dyDescent="0.2">
      <c r="A3927" s="236">
        <v>2023</v>
      </c>
      <c r="B3927" s="236">
        <v>12</v>
      </c>
      <c r="C3927" s="236">
        <v>7</v>
      </c>
      <c r="D3927" s="237">
        <f t="shared" si="422"/>
        <v>45267</v>
      </c>
      <c r="E3927" s="238">
        <f t="shared" si="423"/>
        <v>45267</v>
      </c>
      <c r="F3927" s="476" t="s">
        <v>1121</v>
      </c>
      <c r="G3927" s="239" t="s">
        <v>86</v>
      </c>
      <c r="H3927" s="239" t="str" cm="1">
        <f t="array" ref="H3927">IFERROR(INDEX(INVESTOR_LIST[INVESTOR NAME],MATCH(I3927,INVESTOR_LIST[INVESTOR CODE],0),)," ")</f>
        <v xml:space="preserve"> </v>
      </c>
      <c r="I3927" s="240"/>
      <c r="J3927" s="241" t="s">
        <v>89</v>
      </c>
      <c r="K3927" s="242">
        <v>66654.187441010785</v>
      </c>
      <c r="L3927" s="242"/>
    </row>
    <row r="3928" spans="1:12" ht="11.25" customHeight="1" x14ac:dyDescent="0.2">
      <c r="A3928" s="243">
        <v>2023</v>
      </c>
      <c r="B3928" s="243">
        <v>12</v>
      </c>
      <c r="C3928" s="243">
        <v>7</v>
      </c>
      <c r="D3928" s="248">
        <f t="shared" si="422"/>
        <v>45267</v>
      </c>
      <c r="E3928" s="249">
        <f t="shared" si="423"/>
        <v>45267</v>
      </c>
      <c r="F3928" s="477"/>
      <c r="G3928" s="244" t="s">
        <v>86</v>
      </c>
      <c r="H3928" s="244" t="str" cm="1">
        <f t="array" ref="H3928">IFERROR(INDEX(INVESTOR_LIST[INVESTOR NAME],MATCH(I3928,INVESTOR_LIST[INVESTOR CODE],0),)," ")</f>
        <v xml:space="preserve"> </v>
      </c>
      <c r="I3928" s="245"/>
      <c r="J3928" s="246" t="s">
        <v>50</v>
      </c>
      <c r="K3928" s="247"/>
      <c r="L3928" s="247">
        <v>66654.187441010785</v>
      </c>
    </row>
    <row r="3929" spans="1:12" ht="11.25" customHeight="1" x14ac:dyDescent="0.2">
      <c r="A3929" s="236">
        <v>2023</v>
      </c>
      <c r="B3929" s="236">
        <v>12</v>
      </c>
      <c r="C3929" s="236">
        <v>7</v>
      </c>
      <c r="D3929" s="237">
        <f t="shared" si="422"/>
        <v>45267</v>
      </c>
      <c r="E3929" s="238">
        <f t="shared" si="423"/>
        <v>45267</v>
      </c>
      <c r="F3929" s="476" t="s">
        <v>1122</v>
      </c>
      <c r="G3929" s="239" t="s">
        <v>86</v>
      </c>
      <c r="H3929" s="239" t="str" cm="1">
        <f t="array" ref="H3929">IFERROR(INDEX(INVESTOR_LIST[INVESTOR NAME],MATCH(I3929,INVESTOR_LIST[INVESTOR CODE],0),)," ")</f>
        <v xml:space="preserve"> </v>
      </c>
      <c r="I3929" s="240"/>
      <c r="J3929" s="241" t="s">
        <v>91</v>
      </c>
      <c r="K3929" s="242">
        <v>3332.7093720505391</v>
      </c>
      <c r="L3929" s="242"/>
    </row>
    <row r="3930" spans="1:12" ht="11.25" customHeight="1" x14ac:dyDescent="0.2">
      <c r="A3930" s="243">
        <v>2023</v>
      </c>
      <c r="B3930" s="243">
        <v>12</v>
      </c>
      <c r="C3930" s="243">
        <v>7</v>
      </c>
      <c r="D3930" s="248">
        <f t="shared" si="422"/>
        <v>45267</v>
      </c>
      <c r="E3930" s="249">
        <f t="shared" si="423"/>
        <v>45267</v>
      </c>
      <c r="F3930" s="477"/>
      <c r="G3930" s="244" t="s">
        <v>86</v>
      </c>
      <c r="H3930" s="244" t="str" cm="1">
        <f t="array" ref="H3930">IFERROR(INDEX(INVESTOR_LIST[INVESTOR NAME],MATCH(I3930,INVESTOR_LIST[INVESTOR CODE],0),)," ")</f>
        <v xml:space="preserve"> </v>
      </c>
      <c r="I3930" s="245"/>
      <c r="J3930" s="246" t="s">
        <v>51</v>
      </c>
      <c r="K3930" s="247"/>
      <c r="L3930" s="247">
        <v>3332.7093720505391</v>
      </c>
    </row>
    <row r="3931" spans="1:12" ht="11.25" customHeight="1" x14ac:dyDescent="0.2">
      <c r="A3931" s="221">
        <v>2023</v>
      </c>
      <c r="B3931" s="221">
        <v>12</v>
      </c>
      <c r="C3931" s="221">
        <v>10</v>
      </c>
      <c r="D3931" s="231">
        <f t="shared" si="422"/>
        <v>45270</v>
      </c>
      <c r="E3931" s="233">
        <f t="shared" si="423"/>
        <v>45270</v>
      </c>
      <c r="F3931" s="478" t="s">
        <v>1646</v>
      </c>
      <c r="G3931" s="222" t="s">
        <v>1111</v>
      </c>
      <c r="H3931" s="223" t="str" cm="1">
        <f t="array" ref="H3931">IFERROR(INDEX(INVESTOR_LIST[INVESTOR NAME],MATCH(I3931,INVESTOR_LIST[INVESTOR CODE],0),)," ")</f>
        <v xml:space="preserve"> </v>
      </c>
      <c r="I3931" s="223"/>
      <c r="J3931" s="224" t="s">
        <v>55</v>
      </c>
      <c r="K3931" s="225">
        <v>6247815.9400000004</v>
      </c>
      <c r="L3931" s="225"/>
    </row>
    <row r="3932" spans="1:12" ht="11.25" customHeight="1" x14ac:dyDescent="0.2">
      <c r="A3932" s="164">
        <v>2023</v>
      </c>
      <c r="B3932" s="164">
        <v>12</v>
      </c>
      <c r="C3932" s="164">
        <v>10</v>
      </c>
      <c r="D3932" s="156">
        <f t="shared" si="422"/>
        <v>45270</v>
      </c>
      <c r="E3932" s="235">
        <f t="shared" si="423"/>
        <v>45270</v>
      </c>
      <c r="F3932" s="480"/>
      <c r="G3932" s="208" t="s">
        <v>1111</v>
      </c>
      <c r="J3932" s="165" t="s">
        <v>63</v>
      </c>
      <c r="K3932" s="205">
        <v>3000</v>
      </c>
      <c r="L3932" s="205"/>
    </row>
    <row r="3933" spans="1:12" ht="11.25" customHeight="1" x14ac:dyDescent="0.2">
      <c r="A3933" s="164">
        <v>2023</v>
      </c>
      <c r="B3933" s="164">
        <v>12</v>
      </c>
      <c r="C3933" s="164">
        <v>10</v>
      </c>
      <c r="D3933" s="156">
        <f t="shared" si="422"/>
        <v>45270</v>
      </c>
      <c r="E3933" s="235">
        <f t="shared" si="423"/>
        <v>45270</v>
      </c>
      <c r="F3933" s="480"/>
      <c r="G3933" s="208" t="s">
        <v>1111</v>
      </c>
      <c r="J3933" s="165" t="s">
        <v>131</v>
      </c>
      <c r="K3933" s="205"/>
      <c r="L3933" s="205">
        <v>130065.94</v>
      </c>
    </row>
    <row r="3934" spans="1:12" ht="11.25" customHeight="1" x14ac:dyDescent="0.2">
      <c r="A3934" s="226">
        <v>2023</v>
      </c>
      <c r="B3934" s="226">
        <v>12</v>
      </c>
      <c r="C3934" s="226">
        <v>10</v>
      </c>
      <c r="D3934" s="232">
        <f t="shared" si="422"/>
        <v>45270</v>
      </c>
      <c r="E3934" s="234">
        <f t="shared" si="423"/>
        <v>45270</v>
      </c>
      <c r="F3934" s="479"/>
      <c r="G3934" s="227" t="s">
        <v>1111</v>
      </c>
      <c r="H3934" s="228" t="str" cm="1">
        <f t="array" ref="H3934">IFERROR(INDEX(INVESTOR_LIST[INVESTOR NAME],MATCH(I3934,INVESTOR_LIST[INVESTOR CODE],0),)," ")</f>
        <v xml:space="preserve"> </v>
      </c>
      <c r="I3934" s="228"/>
      <c r="J3934" s="229" t="s">
        <v>88</v>
      </c>
      <c r="K3934" s="230"/>
      <c r="L3934" s="230">
        <v>6120750</v>
      </c>
    </row>
    <row r="3935" spans="1:12" ht="11.25" customHeight="1" x14ac:dyDescent="0.2">
      <c r="A3935" s="221">
        <v>2023</v>
      </c>
      <c r="B3935" s="221">
        <v>12</v>
      </c>
      <c r="C3935" s="221">
        <v>10</v>
      </c>
      <c r="D3935" s="231">
        <f t="shared" si="422"/>
        <v>45270</v>
      </c>
      <c r="E3935" s="233">
        <f t="shared" ref="E3935:E3941" si="424">DATE(A3935,B3935,C3935)</f>
        <v>45270</v>
      </c>
      <c r="F3935" s="478" t="s">
        <v>1647</v>
      </c>
      <c r="G3935" s="222" t="s">
        <v>1111</v>
      </c>
      <c r="H3935" s="223" t="str" cm="1">
        <f t="array" ref="H3935">IFERROR(INDEX(INVESTOR_LIST[INVESTOR NAME],MATCH(I3935,INVESTOR_LIST[INVESTOR CODE],0),)," ")</f>
        <v xml:space="preserve"> </v>
      </c>
      <c r="I3935" s="223"/>
      <c r="J3935" s="224" t="s">
        <v>55</v>
      </c>
      <c r="K3935" s="225">
        <v>5206013.28</v>
      </c>
      <c r="L3935" s="225"/>
    </row>
    <row r="3936" spans="1:12" ht="11.25" customHeight="1" x14ac:dyDescent="0.2">
      <c r="A3936" s="164">
        <v>2023</v>
      </c>
      <c r="B3936" s="164">
        <v>12</v>
      </c>
      <c r="C3936" s="164">
        <v>10</v>
      </c>
      <c r="D3936" s="156">
        <f t="shared" si="422"/>
        <v>45270</v>
      </c>
      <c r="E3936" s="235">
        <f t="shared" si="424"/>
        <v>45270</v>
      </c>
      <c r="F3936" s="480"/>
      <c r="G3936" s="208" t="s">
        <v>1111</v>
      </c>
      <c r="J3936" s="165" t="s">
        <v>63</v>
      </c>
      <c r="K3936" s="205">
        <v>3000</v>
      </c>
      <c r="L3936" s="205"/>
    </row>
    <row r="3937" spans="1:13" ht="11.25" customHeight="1" x14ac:dyDescent="0.2">
      <c r="A3937" s="164">
        <v>2023</v>
      </c>
      <c r="B3937" s="164">
        <v>12</v>
      </c>
      <c r="C3937" s="164">
        <v>10</v>
      </c>
      <c r="D3937" s="156">
        <f t="shared" si="422"/>
        <v>45270</v>
      </c>
      <c r="E3937" s="235">
        <f t="shared" si="424"/>
        <v>45270</v>
      </c>
      <c r="F3937" s="480"/>
      <c r="G3937" s="208" t="s">
        <v>1111</v>
      </c>
      <c r="J3937" s="165" t="s">
        <v>131</v>
      </c>
      <c r="K3937" s="205"/>
      <c r="L3937" s="205">
        <v>108388.28</v>
      </c>
    </row>
    <row r="3938" spans="1:13" ht="11.25" customHeight="1" x14ac:dyDescent="0.2">
      <c r="A3938" s="226">
        <v>2023</v>
      </c>
      <c r="B3938" s="226">
        <v>12</v>
      </c>
      <c r="C3938" s="226">
        <v>10</v>
      </c>
      <c r="D3938" s="232">
        <f t="shared" si="422"/>
        <v>45270</v>
      </c>
      <c r="E3938" s="234">
        <f t="shared" si="424"/>
        <v>45270</v>
      </c>
      <c r="F3938" s="479"/>
      <c r="G3938" s="227" t="s">
        <v>1111</v>
      </c>
      <c r="H3938" s="228" t="str" cm="1">
        <f t="array" ref="H3938">IFERROR(INDEX(INVESTOR_LIST[INVESTOR NAME],MATCH(I3938,INVESTOR_LIST[INVESTOR CODE],0),)," ")</f>
        <v xml:space="preserve"> </v>
      </c>
      <c r="I3938" s="228"/>
      <c r="J3938" s="229" t="s">
        <v>88</v>
      </c>
      <c r="K3938" s="230"/>
      <c r="L3938" s="230">
        <v>5100625</v>
      </c>
    </row>
    <row r="3939" spans="1:13" ht="11.25" customHeight="1" x14ac:dyDescent="0.2">
      <c r="A3939" s="221">
        <v>2023</v>
      </c>
      <c r="B3939" s="221">
        <v>12</v>
      </c>
      <c r="C3939" s="221">
        <v>11</v>
      </c>
      <c r="D3939" s="221">
        <f t="shared" si="422"/>
        <v>45271</v>
      </c>
      <c r="E3939" s="233">
        <f t="shared" si="424"/>
        <v>45271</v>
      </c>
      <c r="F3939" s="478" t="s">
        <v>1648</v>
      </c>
      <c r="G3939" s="222" t="s">
        <v>1111</v>
      </c>
      <c r="H3939" s="222" t="str" cm="1">
        <f t="array" ref="H3939">IFERROR(INDEX(INVESTOR_LIST[INVESTOR NAME],MATCH(I3939,INVESTOR_LIST[INVESTOR CODE],0),)," ")</f>
        <v xml:space="preserve"> </v>
      </c>
      <c r="I3939" s="223"/>
      <c r="J3939" s="224" t="s">
        <v>80</v>
      </c>
      <c r="K3939" s="225">
        <v>36950</v>
      </c>
      <c r="L3939" s="225"/>
    </row>
    <row r="3940" spans="1:13" ht="11.25" customHeight="1" x14ac:dyDescent="0.2">
      <c r="A3940" s="164">
        <v>2023</v>
      </c>
      <c r="B3940" s="164">
        <v>12</v>
      </c>
      <c r="C3940" s="164">
        <v>11</v>
      </c>
      <c r="D3940" s="164">
        <f t="shared" si="422"/>
        <v>45271</v>
      </c>
      <c r="E3940" s="235">
        <f t="shared" si="424"/>
        <v>45271</v>
      </c>
      <c r="F3940" s="480"/>
      <c r="G3940" s="208" t="s">
        <v>1111</v>
      </c>
      <c r="H3940" s="208" t="str" cm="1">
        <f t="array" ref="H3940">IFERROR(INDEX(INVESTOR_LIST[INVESTOR NAME],MATCH(I3940,INVESTOR_LIST[INVESTOR CODE],0),)," ")</f>
        <v xml:space="preserve"> </v>
      </c>
      <c r="J3940" s="165" t="s">
        <v>55</v>
      </c>
      <c r="K3940" s="205">
        <v>2363050</v>
      </c>
      <c r="L3940" s="205"/>
      <c r="M3940" s="166"/>
    </row>
    <row r="3941" spans="1:13" ht="11.25" customHeight="1" x14ac:dyDescent="0.2">
      <c r="A3941" s="226">
        <v>2023</v>
      </c>
      <c r="B3941" s="226">
        <v>12</v>
      </c>
      <c r="C3941" s="226">
        <v>11</v>
      </c>
      <c r="D3941" s="226">
        <f t="shared" si="422"/>
        <v>45271</v>
      </c>
      <c r="E3941" s="234">
        <f t="shared" si="424"/>
        <v>45271</v>
      </c>
      <c r="F3941" s="479"/>
      <c r="G3941" s="227" t="s">
        <v>1111</v>
      </c>
      <c r="H3941" s="228" t="str" cm="1">
        <f t="array" ref="H3941">IFERROR(INDEX(INVESTOR_LIST[INVESTOR NAME],MATCH(I3941,INVESTOR_LIST[INVESTOR CODE],0),)," ")</f>
        <v xml:space="preserve"> </v>
      </c>
      <c r="I3941" s="228"/>
      <c r="J3941" s="229" t="s">
        <v>196</v>
      </c>
      <c r="K3941" s="230"/>
      <c r="L3941" s="230">
        <v>2400000</v>
      </c>
    </row>
    <row r="3942" spans="1:13" ht="11.25" customHeight="1" x14ac:dyDescent="0.2">
      <c r="A3942" s="221">
        <v>2023</v>
      </c>
      <c r="B3942" s="221">
        <v>12</v>
      </c>
      <c r="C3942" s="221">
        <v>11</v>
      </c>
      <c r="D3942" s="231">
        <f t="shared" si="422"/>
        <v>45271</v>
      </c>
      <c r="E3942" s="233">
        <f t="shared" ref="E3942:E3965" si="425">DATE(A3942,B3942,C3942)</f>
        <v>45271</v>
      </c>
      <c r="F3942" s="478" t="s">
        <v>1649</v>
      </c>
      <c r="G3942" s="222" t="s">
        <v>1111</v>
      </c>
      <c r="H3942" s="222" t="str" cm="1">
        <f t="array" ref="H3942">IFERROR(INDEX(INVESTOR_LIST[INVESTOR NAME],MATCH(I3942,INVESTOR_LIST[INVESTOR CODE],0),)," ")</f>
        <v xml:space="preserve"> </v>
      </c>
      <c r="I3942" s="223"/>
      <c r="J3942" s="224" t="s">
        <v>1465</v>
      </c>
      <c r="K3942" s="357">
        <v>9736350</v>
      </c>
      <c r="L3942" s="225"/>
    </row>
    <row r="3943" spans="1:13" ht="11.25" customHeight="1" x14ac:dyDescent="0.2">
      <c r="A3943" s="226">
        <v>2023</v>
      </c>
      <c r="B3943" s="226">
        <v>12</v>
      </c>
      <c r="C3943" s="226">
        <v>11</v>
      </c>
      <c r="D3943" s="226">
        <f t="shared" si="422"/>
        <v>45271</v>
      </c>
      <c r="E3943" s="234">
        <f t="shared" si="425"/>
        <v>45271</v>
      </c>
      <c r="F3943" s="479"/>
      <c r="G3943" s="227" t="s">
        <v>1111</v>
      </c>
      <c r="H3943" s="227"/>
      <c r="I3943" s="228"/>
      <c r="J3943" s="229" t="s">
        <v>55</v>
      </c>
      <c r="K3943" s="294"/>
      <c r="L3943" s="230">
        <v>9736350</v>
      </c>
    </row>
    <row r="3944" spans="1:13" ht="11.25" customHeight="1" x14ac:dyDescent="0.2">
      <c r="A3944" s="221">
        <v>2023</v>
      </c>
      <c r="B3944" s="221">
        <v>12</v>
      </c>
      <c r="C3944" s="221">
        <v>11</v>
      </c>
      <c r="D3944" s="231">
        <f t="shared" si="422"/>
        <v>45271</v>
      </c>
      <c r="E3944" s="233">
        <f t="shared" si="425"/>
        <v>45271</v>
      </c>
      <c r="F3944" s="478" t="s">
        <v>1649</v>
      </c>
      <c r="G3944" s="222" t="s">
        <v>1111</v>
      </c>
      <c r="H3944" s="222" t="str" cm="1">
        <f t="array" ref="H3944">IFERROR(INDEX(INVESTOR_LIST[INVESTOR NAME],MATCH(I3944,INVESTOR_LIST[INVESTOR CODE],0),)," ")</f>
        <v xml:space="preserve"> </v>
      </c>
      <c r="I3944" s="223"/>
      <c r="J3944" s="224" t="s">
        <v>1465</v>
      </c>
      <c r="K3944" s="357">
        <v>9733070</v>
      </c>
      <c r="L3944" s="225"/>
    </row>
    <row r="3945" spans="1:13" ht="11.25" customHeight="1" x14ac:dyDescent="0.2">
      <c r="A3945" s="226">
        <v>2023</v>
      </c>
      <c r="B3945" s="226">
        <v>12</v>
      </c>
      <c r="C3945" s="226">
        <v>11</v>
      </c>
      <c r="D3945" s="226">
        <f t="shared" si="422"/>
        <v>45271</v>
      </c>
      <c r="E3945" s="234">
        <f t="shared" si="425"/>
        <v>45271</v>
      </c>
      <c r="F3945" s="479"/>
      <c r="G3945" s="227" t="s">
        <v>1111</v>
      </c>
      <c r="H3945" s="227"/>
      <c r="I3945" s="228"/>
      <c r="J3945" s="229" t="s">
        <v>55</v>
      </c>
      <c r="K3945" s="294"/>
      <c r="L3945" s="230">
        <v>9733070</v>
      </c>
    </row>
    <row r="3946" spans="1:13" ht="11.25" customHeight="1" x14ac:dyDescent="0.2">
      <c r="A3946" s="221">
        <v>2023</v>
      </c>
      <c r="B3946" s="221">
        <v>12</v>
      </c>
      <c r="C3946" s="221">
        <v>11</v>
      </c>
      <c r="D3946" s="231">
        <f t="shared" si="422"/>
        <v>45271</v>
      </c>
      <c r="E3946" s="233">
        <f t="shared" si="425"/>
        <v>45271</v>
      </c>
      <c r="F3946" s="478" t="s">
        <v>1649</v>
      </c>
      <c r="G3946" s="222" t="s">
        <v>1111</v>
      </c>
      <c r="H3946" s="222" t="str" cm="1">
        <f t="array" ref="H3946">IFERROR(INDEX(INVESTOR_LIST[INVESTOR NAME],MATCH(I3946,INVESTOR_LIST[INVESTOR CODE],0),)," ")</f>
        <v xml:space="preserve"> </v>
      </c>
      <c r="I3946" s="223"/>
      <c r="J3946" s="224" t="s">
        <v>1465</v>
      </c>
      <c r="K3946" s="357">
        <v>9734250</v>
      </c>
      <c r="L3946" s="225"/>
    </row>
    <row r="3947" spans="1:13" ht="11.25" customHeight="1" x14ac:dyDescent="0.2">
      <c r="A3947" s="226">
        <v>2023</v>
      </c>
      <c r="B3947" s="226">
        <v>12</v>
      </c>
      <c r="C3947" s="226">
        <v>11</v>
      </c>
      <c r="D3947" s="226">
        <f t="shared" si="422"/>
        <v>45271</v>
      </c>
      <c r="E3947" s="234">
        <f t="shared" si="425"/>
        <v>45271</v>
      </c>
      <c r="F3947" s="479"/>
      <c r="G3947" s="227" t="s">
        <v>1111</v>
      </c>
      <c r="H3947" s="227"/>
      <c r="I3947" s="228"/>
      <c r="J3947" s="229" t="s">
        <v>55</v>
      </c>
      <c r="K3947" s="294"/>
      <c r="L3947" s="230">
        <v>9734250</v>
      </c>
    </row>
    <row r="3948" spans="1:13" ht="11.25" customHeight="1" x14ac:dyDescent="0.2">
      <c r="A3948" s="221">
        <v>2023</v>
      </c>
      <c r="B3948" s="221">
        <v>12</v>
      </c>
      <c r="C3948" s="221">
        <v>11</v>
      </c>
      <c r="D3948" s="231">
        <f t="shared" si="422"/>
        <v>45271</v>
      </c>
      <c r="E3948" s="233">
        <f t="shared" si="425"/>
        <v>45271</v>
      </c>
      <c r="F3948" s="478" t="s">
        <v>1649</v>
      </c>
      <c r="G3948" s="222" t="s">
        <v>1111</v>
      </c>
      <c r="H3948" s="222" t="str" cm="1">
        <f t="array" ref="H3948">IFERROR(INDEX(INVESTOR_LIST[INVESTOR NAME],MATCH(I3948,INVESTOR_LIST[INVESTOR CODE],0),)," ")</f>
        <v xml:space="preserve"> </v>
      </c>
      <c r="I3948" s="223"/>
      <c r="J3948" s="224" t="s">
        <v>1465</v>
      </c>
      <c r="K3948" s="357">
        <v>9735440</v>
      </c>
      <c r="L3948" s="225"/>
    </row>
    <row r="3949" spans="1:13" ht="11.25" customHeight="1" x14ac:dyDescent="0.2">
      <c r="A3949" s="226">
        <v>2023</v>
      </c>
      <c r="B3949" s="226">
        <v>12</v>
      </c>
      <c r="C3949" s="226">
        <v>11</v>
      </c>
      <c r="D3949" s="226">
        <f t="shared" si="422"/>
        <v>45271</v>
      </c>
      <c r="E3949" s="234">
        <f t="shared" si="425"/>
        <v>45271</v>
      </c>
      <c r="F3949" s="479"/>
      <c r="G3949" s="227" t="s">
        <v>1111</v>
      </c>
      <c r="H3949" s="227"/>
      <c r="I3949" s="228"/>
      <c r="J3949" s="229" t="s">
        <v>55</v>
      </c>
      <c r="K3949" s="294"/>
      <c r="L3949" s="230">
        <v>9735440</v>
      </c>
    </row>
    <row r="3950" spans="1:13" ht="11.25" customHeight="1" x14ac:dyDescent="0.2">
      <c r="A3950" s="221">
        <v>2023</v>
      </c>
      <c r="B3950" s="221">
        <v>12</v>
      </c>
      <c r="C3950" s="221">
        <v>11</v>
      </c>
      <c r="D3950" s="231">
        <f t="shared" si="422"/>
        <v>45271</v>
      </c>
      <c r="E3950" s="233">
        <f t="shared" si="425"/>
        <v>45271</v>
      </c>
      <c r="F3950" s="478" t="s">
        <v>1649</v>
      </c>
      <c r="G3950" s="222" t="s">
        <v>1111</v>
      </c>
      <c r="H3950" s="222" t="str" cm="1">
        <f t="array" ref="H3950">IFERROR(INDEX(INVESTOR_LIST[INVESTOR NAME],MATCH(I3950,INVESTOR_LIST[INVESTOR CODE],0),)," ")</f>
        <v xml:space="preserve"> </v>
      </c>
      <c r="I3950" s="223"/>
      <c r="J3950" s="224" t="s">
        <v>1465</v>
      </c>
      <c r="K3950" s="357">
        <v>4868310</v>
      </c>
      <c r="L3950" s="225"/>
    </row>
    <row r="3951" spans="1:13" ht="11.25" customHeight="1" x14ac:dyDescent="0.2">
      <c r="A3951" s="226">
        <v>2023</v>
      </c>
      <c r="B3951" s="226">
        <v>12</v>
      </c>
      <c r="C3951" s="226">
        <v>11</v>
      </c>
      <c r="D3951" s="226">
        <f t="shared" si="422"/>
        <v>45271</v>
      </c>
      <c r="E3951" s="234">
        <f t="shared" si="425"/>
        <v>45271</v>
      </c>
      <c r="F3951" s="479"/>
      <c r="G3951" s="227" t="s">
        <v>1111</v>
      </c>
      <c r="H3951" s="227"/>
      <c r="I3951" s="228"/>
      <c r="J3951" s="229" t="s">
        <v>55</v>
      </c>
      <c r="K3951" s="294"/>
      <c r="L3951" s="230">
        <v>4868310</v>
      </c>
    </row>
    <row r="3952" spans="1:13" ht="11.25" customHeight="1" x14ac:dyDescent="0.2">
      <c r="A3952" s="221">
        <v>2023</v>
      </c>
      <c r="B3952" s="221">
        <v>12</v>
      </c>
      <c r="C3952" s="221">
        <v>11</v>
      </c>
      <c r="D3952" s="231">
        <f t="shared" si="422"/>
        <v>45271</v>
      </c>
      <c r="E3952" s="233">
        <f>DATE(A3952,B3952,C3952)</f>
        <v>45271</v>
      </c>
      <c r="F3952" s="478" t="s">
        <v>1590</v>
      </c>
      <c r="G3952" s="222" t="s">
        <v>1111</v>
      </c>
      <c r="H3952" s="223" t="str" cm="1">
        <f t="array" ref="H3952">IFERROR(INDEX(INVESTOR_LIST[INVESTOR NAME],MATCH(I3952,INVESTOR_LIST[INVESTOR CODE],0),)," ")</f>
        <v xml:space="preserve"> </v>
      </c>
      <c r="I3952" s="223"/>
      <c r="J3952" s="224" t="s">
        <v>55</v>
      </c>
      <c r="K3952" s="225">
        <v>1208570.6399999999</v>
      </c>
      <c r="L3952" s="225"/>
    </row>
    <row r="3953" spans="1:13" ht="11.25" customHeight="1" x14ac:dyDescent="0.2">
      <c r="A3953" s="226">
        <v>2023</v>
      </c>
      <c r="B3953" s="226">
        <v>12</v>
      </c>
      <c r="C3953" s="226">
        <v>11</v>
      </c>
      <c r="D3953" s="232">
        <f t="shared" si="422"/>
        <v>45271</v>
      </c>
      <c r="E3953" s="234">
        <f>DATE(A3953,B3953,C3953)</f>
        <v>45271</v>
      </c>
      <c r="F3953" s="479"/>
      <c r="G3953" s="227" t="s">
        <v>1111</v>
      </c>
      <c r="H3953" s="228" t="str" cm="1">
        <f t="array" ref="H3953">IFERROR(INDEX(INVESTOR_LIST[INVESTOR NAME],MATCH(I3953,INVESTOR_LIST[INVESTOR CODE],0),)," ")</f>
        <v xml:space="preserve"> </v>
      </c>
      <c r="I3953" s="228"/>
      <c r="J3953" s="229" t="s">
        <v>199</v>
      </c>
      <c r="K3953" s="230"/>
      <c r="L3953" s="230">
        <v>1208570.6399999999</v>
      </c>
      <c r="M3953" s="166"/>
    </row>
    <row r="3954" spans="1:13" ht="11.25" customHeight="1" x14ac:dyDescent="0.2">
      <c r="A3954" s="221">
        <v>2023</v>
      </c>
      <c r="B3954" s="221">
        <v>12</v>
      </c>
      <c r="C3954" s="221">
        <v>11</v>
      </c>
      <c r="D3954" s="231">
        <f t="shared" si="422"/>
        <v>45271</v>
      </c>
      <c r="E3954" s="233">
        <f t="shared" ref="E3954:E3961" si="426">DATE(A3954,B3954,C3954)</f>
        <v>45271</v>
      </c>
      <c r="F3954" s="478" t="s">
        <v>1650</v>
      </c>
      <c r="G3954" s="222" t="s">
        <v>1111</v>
      </c>
      <c r="H3954" s="222" t="str" cm="1">
        <f t="array" ref="H3954">IFERROR(INDEX(INVESTOR_LIST[INVESTOR NAME],MATCH(I3954,INVESTOR_LIST[INVESTOR CODE],0),)," ")</f>
        <v xml:space="preserve"> </v>
      </c>
      <c r="I3954" s="223"/>
      <c r="J3954" s="224" t="s">
        <v>55</v>
      </c>
      <c r="K3954" s="357">
        <v>9733070</v>
      </c>
      <c r="L3954" s="225"/>
    </row>
    <row r="3955" spans="1:13" ht="11.25" customHeight="1" x14ac:dyDescent="0.2">
      <c r="A3955" s="226">
        <v>2023</v>
      </c>
      <c r="B3955" s="226">
        <v>12</v>
      </c>
      <c r="C3955" s="226">
        <v>11</v>
      </c>
      <c r="D3955" s="226">
        <f t="shared" si="422"/>
        <v>45271</v>
      </c>
      <c r="E3955" s="234">
        <f t="shared" si="426"/>
        <v>45271</v>
      </c>
      <c r="F3955" s="479"/>
      <c r="G3955" s="227" t="s">
        <v>1111</v>
      </c>
      <c r="H3955" s="227"/>
      <c r="I3955" s="228"/>
      <c r="J3955" s="229" t="s">
        <v>1465</v>
      </c>
      <c r="K3955" s="294"/>
      <c r="L3955" s="230">
        <v>9733070</v>
      </c>
    </row>
    <row r="3956" spans="1:13" ht="11.25" customHeight="1" x14ac:dyDescent="0.2">
      <c r="A3956" s="221">
        <v>2023</v>
      </c>
      <c r="B3956" s="221">
        <v>12</v>
      </c>
      <c r="C3956" s="221">
        <v>11</v>
      </c>
      <c r="D3956" s="231">
        <f t="shared" si="422"/>
        <v>45271</v>
      </c>
      <c r="E3956" s="233">
        <f t="shared" si="426"/>
        <v>45271</v>
      </c>
      <c r="F3956" s="478" t="s">
        <v>1650</v>
      </c>
      <c r="G3956" s="222" t="s">
        <v>1111</v>
      </c>
      <c r="H3956" s="222" t="str" cm="1">
        <f t="array" ref="H3956">IFERROR(INDEX(INVESTOR_LIST[INVESTOR NAME],MATCH(I3956,INVESTOR_LIST[INVESTOR CODE],0),)," ")</f>
        <v xml:space="preserve"> </v>
      </c>
      <c r="I3956" s="223"/>
      <c r="J3956" s="224" t="s">
        <v>55</v>
      </c>
      <c r="K3956" s="357">
        <v>9733070</v>
      </c>
      <c r="L3956" s="225"/>
    </row>
    <row r="3957" spans="1:13" ht="11.25" customHeight="1" x14ac:dyDescent="0.2">
      <c r="A3957" s="164">
        <v>2023</v>
      </c>
      <c r="B3957" s="164">
        <v>12</v>
      </c>
      <c r="C3957" s="164">
        <v>11</v>
      </c>
      <c r="D3957" s="156">
        <f t="shared" si="422"/>
        <v>45271</v>
      </c>
      <c r="E3957" s="235">
        <f t="shared" ref="E3957" si="427">DATE(A3957,B3957,C3957)</f>
        <v>45271</v>
      </c>
      <c r="F3957" s="480"/>
      <c r="G3957" s="208" t="s">
        <v>1111</v>
      </c>
      <c r="H3957" s="208"/>
      <c r="J3957" s="165" t="s">
        <v>1617</v>
      </c>
      <c r="K3957" s="263">
        <v>1180</v>
      </c>
      <c r="L3957" s="205"/>
    </row>
    <row r="3958" spans="1:13" ht="11.25" customHeight="1" x14ac:dyDescent="0.2">
      <c r="A3958" s="226">
        <v>2023</v>
      </c>
      <c r="B3958" s="226">
        <v>12</v>
      </c>
      <c r="C3958" s="226">
        <v>11</v>
      </c>
      <c r="D3958" s="226">
        <f t="shared" si="422"/>
        <v>45271</v>
      </c>
      <c r="E3958" s="234">
        <f t="shared" si="426"/>
        <v>45271</v>
      </c>
      <c r="F3958" s="479"/>
      <c r="G3958" s="227" t="s">
        <v>1111</v>
      </c>
      <c r="H3958" s="227"/>
      <c r="I3958" s="228"/>
      <c r="J3958" s="229" t="s">
        <v>1465</v>
      </c>
      <c r="K3958" s="294"/>
      <c r="L3958" s="230">
        <v>9734250</v>
      </c>
    </row>
    <row r="3959" spans="1:13" ht="11.25" customHeight="1" x14ac:dyDescent="0.2">
      <c r="A3959" s="221">
        <v>2023</v>
      </c>
      <c r="B3959" s="221">
        <v>12</v>
      </c>
      <c r="C3959" s="221">
        <v>11</v>
      </c>
      <c r="D3959" s="231">
        <f t="shared" si="422"/>
        <v>45271</v>
      </c>
      <c r="E3959" s="233">
        <f t="shared" si="426"/>
        <v>45271</v>
      </c>
      <c r="F3959" s="478" t="s">
        <v>1650</v>
      </c>
      <c r="G3959" s="222" t="s">
        <v>1111</v>
      </c>
      <c r="H3959" s="222" t="str" cm="1">
        <f t="array" ref="H3959">IFERROR(INDEX(INVESTOR_LIST[INVESTOR NAME],MATCH(I3959,INVESTOR_LIST[INVESTOR CODE],0),)," ")</f>
        <v xml:space="preserve"> </v>
      </c>
      <c r="I3959" s="223"/>
      <c r="J3959" s="224" t="s">
        <v>55</v>
      </c>
      <c r="K3959" s="357">
        <v>4866535</v>
      </c>
      <c r="L3959" s="225"/>
    </row>
    <row r="3960" spans="1:13" ht="11.25" customHeight="1" x14ac:dyDescent="0.2">
      <c r="A3960" s="164">
        <v>2023</v>
      </c>
      <c r="B3960" s="164">
        <v>12</v>
      </c>
      <c r="C3960" s="164">
        <v>11</v>
      </c>
      <c r="D3960" s="156">
        <f t="shared" si="422"/>
        <v>45271</v>
      </c>
      <c r="E3960" s="235">
        <f t="shared" si="426"/>
        <v>45271</v>
      </c>
      <c r="F3960" s="480"/>
      <c r="G3960" s="208" t="s">
        <v>1111</v>
      </c>
      <c r="H3960" s="208"/>
      <c r="J3960" s="165" t="s">
        <v>1617</v>
      </c>
      <c r="K3960" s="263">
        <v>1775</v>
      </c>
      <c r="L3960" s="205"/>
    </row>
    <row r="3961" spans="1:13" ht="11.25" customHeight="1" x14ac:dyDescent="0.2">
      <c r="A3961" s="226">
        <v>2023</v>
      </c>
      <c r="B3961" s="226">
        <v>12</v>
      </c>
      <c r="C3961" s="226">
        <v>11</v>
      </c>
      <c r="D3961" s="226">
        <f t="shared" si="422"/>
        <v>45271</v>
      </c>
      <c r="E3961" s="234">
        <f t="shared" si="426"/>
        <v>45271</v>
      </c>
      <c r="F3961" s="479"/>
      <c r="G3961" s="227" t="s">
        <v>1111</v>
      </c>
      <c r="H3961" s="227"/>
      <c r="I3961" s="228"/>
      <c r="J3961" s="229" t="s">
        <v>1465</v>
      </c>
      <c r="K3961" s="294"/>
      <c r="L3961" s="230">
        <v>4868310</v>
      </c>
    </row>
    <row r="3962" spans="1:13" ht="11.25" customHeight="1" x14ac:dyDescent="0.2">
      <c r="A3962" s="221">
        <v>2023</v>
      </c>
      <c r="B3962" s="221">
        <v>12</v>
      </c>
      <c r="C3962" s="221">
        <v>12</v>
      </c>
      <c r="D3962" s="221">
        <f t="shared" si="422"/>
        <v>45272</v>
      </c>
      <c r="E3962" s="233">
        <f t="shared" si="425"/>
        <v>45272</v>
      </c>
      <c r="F3962" s="478" t="s">
        <v>1589</v>
      </c>
      <c r="G3962" s="222" t="s">
        <v>86</v>
      </c>
      <c r="H3962" s="222" t="str" cm="1">
        <f t="array" ref="H3962">IFERROR(INDEX(INVESTOR_LIST[INVESTOR NAME],MATCH(I3962,INVESTOR_LIST[INVESTOR CODE],0),)," ")</f>
        <v xml:space="preserve"> </v>
      </c>
      <c r="I3962" s="223"/>
      <c r="J3962" s="165" t="s">
        <v>199</v>
      </c>
      <c r="K3962" s="225">
        <v>1217754.0900000001</v>
      </c>
      <c r="L3962" s="225"/>
    </row>
    <row r="3963" spans="1:13" ht="11.25" customHeight="1" x14ac:dyDescent="0.2">
      <c r="A3963" s="164">
        <v>2023</v>
      </c>
      <c r="B3963" s="164">
        <v>12</v>
      </c>
      <c r="C3963" s="164">
        <v>12</v>
      </c>
      <c r="D3963" s="164">
        <f t="shared" si="422"/>
        <v>45272</v>
      </c>
      <c r="E3963" s="235">
        <f t="shared" si="425"/>
        <v>45272</v>
      </c>
      <c r="F3963" s="480"/>
      <c r="G3963" s="208" t="s">
        <v>86</v>
      </c>
      <c r="H3963" s="208"/>
      <c r="J3963" s="165" t="s">
        <v>960</v>
      </c>
      <c r="K3963" s="205">
        <v>2195.91</v>
      </c>
      <c r="L3963" s="205"/>
    </row>
    <row r="3964" spans="1:13" ht="11.25" customHeight="1" x14ac:dyDescent="0.2">
      <c r="A3964" s="164">
        <v>2023</v>
      </c>
      <c r="B3964" s="164">
        <v>12</v>
      </c>
      <c r="C3964" s="164">
        <v>12</v>
      </c>
      <c r="D3964" s="164">
        <f t="shared" si="422"/>
        <v>45272</v>
      </c>
      <c r="E3964" s="235">
        <f t="shared" si="425"/>
        <v>45272</v>
      </c>
      <c r="F3964" s="480"/>
      <c r="G3964" s="208" t="s">
        <v>86</v>
      </c>
      <c r="H3964" s="208"/>
      <c r="J3964" s="165" t="s">
        <v>200</v>
      </c>
      <c r="K3964" s="205"/>
      <c r="L3964" s="205">
        <v>22167.42</v>
      </c>
    </row>
    <row r="3965" spans="1:13" ht="11.25" customHeight="1" x14ac:dyDescent="0.2">
      <c r="A3965" s="226">
        <v>2023</v>
      </c>
      <c r="B3965" s="226">
        <v>12</v>
      </c>
      <c r="C3965" s="226">
        <v>12</v>
      </c>
      <c r="D3965" s="226">
        <f t="shared" si="422"/>
        <v>45272</v>
      </c>
      <c r="E3965" s="234">
        <f t="shared" si="425"/>
        <v>45272</v>
      </c>
      <c r="F3965" s="479"/>
      <c r="G3965" s="227" t="s">
        <v>86</v>
      </c>
      <c r="H3965" s="228" t="str" cm="1">
        <f t="array" ref="H3965">IFERROR(INDEX(INVESTOR_LIST[INVESTOR NAME],MATCH(I3965,INVESTOR_LIST[INVESTOR CODE],0),)," ")</f>
        <v xml:space="preserve"> </v>
      </c>
      <c r="I3965" s="228"/>
      <c r="J3965" s="229" t="s">
        <v>80</v>
      </c>
      <c r="K3965" s="230"/>
      <c r="L3965" s="230">
        <v>1197782.58</v>
      </c>
    </row>
    <row r="3966" spans="1:13" ht="11.25" customHeight="1" x14ac:dyDescent="0.2">
      <c r="A3966" s="221">
        <v>2023</v>
      </c>
      <c r="B3966" s="221">
        <v>12</v>
      </c>
      <c r="C3966" s="221">
        <v>13</v>
      </c>
      <c r="D3966" s="221">
        <f t="shared" si="422"/>
        <v>45273</v>
      </c>
      <c r="E3966" s="233">
        <f t="shared" ref="E3966:E3969" si="428">DATE(A3966,B3966,C3966)</f>
        <v>45273</v>
      </c>
      <c r="F3966" s="478" t="s">
        <v>1589</v>
      </c>
      <c r="G3966" s="222" t="s">
        <v>86</v>
      </c>
      <c r="H3966" s="222" t="str" cm="1">
        <f t="array" ref="H3966">IFERROR(INDEX(INVESTOR_LIST[INVESTOR NAME],MATCH(I3966,INVESTOR_LIST[INVESTOR CODE],0),)," ")</f>
        <v xml:space="preserve"> </v>
      </c>
      <c r="I3966" s="223"/>
      <c r="J3966" s="165" t="s">
        <v>199</v>
      </c>
      <c r="K3966" s="225">
        <v>1961522.91</v>
      </c>
      <c r="L3966" s="225"/>
    </row>
    <row r="3967" spans="1:13" ht="11.25" customHeight="1" x14ac:dyDescent="0.2">
      <c r="A3967" s="164">
        <v>2023</v>
      </c>
      <c r="B3967" s="164">
        <v>12</v>
      </c>
      <c r="C3967" s="164">
        <v>13</v>
      </c>
      <c r="D3967" s="164">
        <f t="shared" si="422"/>
        <v>45273</v>
      </c>
      <c r="E3967" s="235">
        <f t="shared" si="428"/>
        <v>45273</v>
      </c>
      <c r="F3967" s="480"/>
      <c r="G3967" s="208" t="s">
        <v>86</v>
      </c>
      <c r="H3967" s="208"/>
      <c r="J3967" s="165" t="s">
        <v>960</v>
      </c>
      <c r="K3967" s="205">
        <v>3537.09</v>
      </c>
      <c r="L3967" s="205"/>
    </row>
    <row r="3968" spans="1:13" ht="11.25" customHeight="1" x14ac:dyDescent="0.2">
      <c r="A3968" s="164">
        <v>2023</v>
      </c>
      <c r="B3968" s="164">
        <v>12</v>
      </c>
      <c r="C3968" s="164">
        <v>13</v>
      </c>
      <c r="D3968" s="164">
        <f t="shared" si="422"/>
        <v>45273</v>
      </c>
      <c r="E3968" s="235">
        <f t="shared" si="428"/>
        <v>45273</v>
      </c>
      <c r="F3968" s="480"/>
      <c r="G3968" s="208" t="s">
        <v>86</v>
      </c>
      <c r="H3968" s="208"/>
      <c r="J3968" s="165" t="s">
        <v>200</v>
      </c>
      <c r="K3968" s="205"/>
      <c r="L3968" s="205">
        <v>48607.88</v>
      </c>
    </row>
    <row r="3969" spans="1:12" ht="11.25" customHeight="1" x14ac:dyDescent="0.2">
      <c r="A3969" s="226">
        <v>2023</v>
      </c>
      <c r="B3969" s="226">
        <v>12</v>
      </c>
      <c r="C3969" s="226">
        <v>13</v>
      </c>
      <c r="D3969" s="226">
        <f t="shared" si="422"/>
        <v>45273</v>
      </c>
      <c r="E3969" s="234">
        <f t="shared" si="428"/>
        <v>45273</v>
      </c>
      <c r="F3969" s="479"/>
      <c r="G3969" s="227" t="s">
        <v>86</v>
      </c>
      <c r="H3969" s="228" t="str" cm="1">
        <f t="array" ref="H3969">IFERROR(INDEX(INVESTOR_LIST[INVESTOR NAME],MATCH(I3969,INVESTOR_LIST[INVESTOR CODE],0),)," ")</f>
        <v xml:space="preserve"> </v>
      </c>
      <c r="I3969" s="228"/>
      <c r="J3969" s="229" t="s">
        <v>80</v>
      </c>
      <c r="K3969" s="230"/>
      <c r="L3969" s="230">
        <v>1916452.12</v>
      </c>
    </row>
    <row r="3970" spans="1:12" ht="11.25" customHeight="1" x14ac:dyDescent="0.2">
      <c r="A3970" s="221">
        <v>2023</v>
      </c>
      <c r="B3970" s="221">
        <v>12</v>
      </c>
      <c r="C3970" s="221">
        <v>14</v>
      </c>
      <c r="D3970" s="221">
        <f t="shared" si="422"/>
        <v>45274</v>
      </c>
      <c r="E3970" s="233">
        <f t="shared" ref="E3970:E4007" si="429">DATE(A3970,B3970,C3970)</f>
        <v>45274</v>
      </c>
      <c r="F3970" s="478" t="s">
        <v>1589</v>
      </c>
      <c r="G3970" s="222" t="s">
        <v>86</v>
      </c>
      <c r="H3970" s="222" t="str" cm="1">
        <f t="array" ref="H3970">IFERROR(INDEX(INVESTOR_LIST[INVESTOR NAME],MATCH(I3970,INVESTOR_LIST[INVESTOR CODE],0),)," ")</f>
        <v xml:space="preserve"> </v>
      </c>
      <c r="I3970" s="223"/>
      <c r="J3970" s="165" t="s">
        <v>199</v>
      </c>
      <c r="K3970" s="225">
        <v>1244156.48</v>
      </c>
      <c r="L3970" s="225"/>
    </row>
    <row r="3971" spans="1:12" ht="11.25" customHeight="1" x14ac:dyDescent="0.2">
      <c r="A3971" s="164">
        <v>2023</v>
      </c>
      <c r="B3971" s="164">
        <v>12</v>
      </c>
      <c r="C3971" s="164">
        <v>14</v>
      </c>
      <c r="D3971" s="164">
        <f t="shared" si="422"/>
        <v>45274</v>
      </c>
      <c r="E3971" s="235">
        <f t="shared" si="429"/>
        <v>45274</v>
      </c>
      <c r="F3971" s="480"/>
      <c r="G3971" s="208" t="s">
        <v>86</v>
      </c>
      <c r="H3971" s="208"/>
      <c r="J3971" s="165" t="s">
        <v>960</v>
      </c>
      <c r="K3971" s="205">
        <v>2243.52</v>
      </c>
      <c r="L3971" s="205"/>
    </row>
    <row r="3972" spans="1:12" ht="11.25" customHeight="1" x14ac:dyDescent="0.2">
      <c r="A3972" s="164">
        <v>2023</v>
      </c>
      <c r="B3972" s="164">
        <v>12</v>
      </c>
      <c r="C3972" s="164">
        <v>14</v>
      </c>
      <c r="D3972" s="164">
        <f t="shared" si="422"/>
        <v>45274</v>
      </c>
      <c r="E3972" s="235">
        <f t="shared" si="429"/>
        <v>45274</v>
      </c>
      <c r="F3972" s="480"/>
      <c r="G3972" s="208" t="s">
        <v>86</v>
      </c>
      <c r="H3972" s="208"/>
      <c r="J3972" s="165" t="s">
        <v>200</v>
      </c>
      <c r="K3972" s="205"/>
      <c r="L3972" s="205">
        <v>48617.42</v>
      </c>
    </row>
    <row r="3973" spans="1:12" ht="11.25" customHeight="1" x14ac:dyDescent="0.2">
      <c r="A3973" s="226">
        <v>2023</v>
      </c>
      <c r="B3973" s="226">
        <v>12</v>
      </c>
      <c r="C3973" s="226">
        <v>14</v>
      </c>
      <c r="D3973" s="226">
        <f t="shared" si="422"/>
        <v>45274</v>
      </c>
      <c r="E3973" s="234">
        <f t="shared" si="429"/>
        <v>45274</v>
      </c>
      <c r="F3973" s="479"/>
      <c r="G3973" s="227" t="s">
        <v>86</v>
      </c>
      <c r="H3973" s="228" t="str" cm="1">
        <f t="array" ref="H3973">IFERROR(INDEX(INVESTOR_LIST[INVESTOR NAME],MATCH(I3973,INVESTOR_LIST[INVESTOR CODE],0),)," ")</f>
        <v xml:space="preserve"> </v>
      </c>
      <c r="I3973" s="228"/>
      <c r="J3973" s="229" t="s">
        <v>80</v>
      </c>
      <c r="K3973" s="230"/>
      <c r="L3973" s="230">
        <v>1197782.58</v>
      </c>
    </row>
    <row r="3974" spans="1:12" ht="11.25" customHeight="1" x14ac:dyDescent="0.2">
      <c r="A3974" s="280">
        <v>2023</v>
      </c>
      <c r="B3974" s="280">
        <v>12</v>
      </c>
      <c r="C3974" s="280">
        <v>14</v>
      </c>
      <c r="D3974" s="281">
        <f t="shared" si="422"/>
        <v>45274</v>
      </c>
      <c r="E3974" s="282">
        <f t="shared" si="429"/>
        <v>45274</v>
      </c>
      <c r="F3974" s="472" t="s">
        <v>1369</v>
      </c>
      <c r="G3974" s="283" t="s">
        <v>86</v>
      </c>
      <c r="H3974" s="284" t="str" cm="1">
        <f t="array" ref="H3974">IFERROR(INDEX(INVESTOR_LIST[INVESTOR NAME],MATCH(I3974,INVESTOR_LIST[INVESTOR CODE],0),)," ")</f>
        <v xml:space="preserve"> </v>
      </c>
      <c r="I3974" s="284"/>
      <c r="J3974" s="285" t="s">
        <v>131</v>
      </c>
      <c r="K3974" s="286">
        <v>12048.08</v>
      </c>
      <c r="L3974" s="286"/>
    </row>
    <row r="3975" spans="1:12" ht="11.25" customHeight="1" x14ac:dyDescent="0.2">
      <c r="A3975" s="287">
        <v>2023</v>
      </c>
      <c r="B3975" s="287">
        <v>12</v>
      </c>
      <c r="C3975" s="287">
        <v>14</v>
      </c>
      <c r="D3975" s="288">
        <f t="shared" si="422"/>
        <v>45274</v>
      </c>
      <c r="E3975" s="289">
        <f t="shared" si="429"/>
        <v>45274</v>
      </c>
      <c r="F3975" s="473"/>
      <c r="G3975" s="290" t="s">
        <v>86</v>
      </c>
      <c r="H3975" s="291" t="str" cm="1">
        <f t="array" ref="H3975">IFERROR(INDEX(INVESTOR_LIST[INVESTOR NAME],MATCH(I3975,INVESTOR_LIST[INVESTOR CODE],0),)," ")</f>
        <v xml:space="preserve"> </v>
      </c>
      <c r="I3975" s="291"/>
      <c r="J3975" s="292" t="s">
        <v>174</v>
      </c>
      <c r="K3975" s="293"/>
      <c r="L3975" s="293">
        <v>12048.08</v>
      </c>
    </row>
    <row r="3976" spans="1:12" ht="11.25" customHeight="1" x14ac:dyDescent="0.2">
      <c r="A3976" s="280">
        <v>2023</v>
      </c>
      <c r="B3976" s="280">
        <v>12</v>
      </c>
      <c r="C3976" s="280">
        <v>14</v>
      </c>
      <c r="D3976" s="281">
        <f t="shared" si="422"/>
        <v>45274</v>
      </c>
      <c r="E3976" s="282">
        <f t="shared" si="429"/>
        <v>45274</v>
      </c>
      <c r="F3976" s="472" t="s">
        <v>1584</v>
      </c>
      <c r="G3976" s="283" t="s">
        <v>86</v>
      </c>
      <c r="H3976" s="284" t="str" cm="1">
        <f t="array" ref="H3976">IFERROR(INDEX(INVESTOR_LIST[INVESTOR NAME],MATCH(I3976,INVESTOR_LIST[INVESTOR CODE],0),)," ")</f>
        <v xml:space="preserve"> </v>
      </c>
      <c r="I3976" s="284"/>
      <c r="J3976" s="285" t="s">
        <v>131</v>
      </c>
      <c r="K3976" s="286">
        <v>6346.1538461538457</v>
      </c>
      <c r="L3976" s="286"/>
    </row>
    <row r="3977" spans="1:12" ht="11.25" customHeight="1" x14ac:dyDescent="0.2">
      <c r="A3977" s="287">
        <v>2023</v>
      </c>
      <c r="B3977" s="287">
        <v>12</v>
      </c>
      <c r="C3977" s="287">
        <v>14</v>
      </c>
      <c r="D3977" s="288">
        <f t="shared" ref="D3977:D4040" si="430">DATE(A3977,B3977,C3977)</f>
        <v>45274</v>
      </c>
      <c r="E3977" s="289">
        <f t="shared" si="429"/>
        <v>45274</v>
      </c>
      <c r="F3977" s="473"/>
      <c r="G3977" s="290" t="s">
        <v>86</v>
      </c>
      <c r="H3977" s="291" t="str" cm="1">
        <f t="array" ref="H3977">IFERROR(INDEX(INVESTOR_LIST[INVESTOR NAME],MATCH(I3977,INVESTOR_LIST[INVESTOR CODE],0),)," ")</f>
        <v xml:space="preserve"> </v>
      </c>
      <c r="I3977" s="291"/>
      <c r="J3977" s="292" t="s">
        <v>174</v>
      </c>
      <c r="K3977" s="293"/>
      <c r="L3977" s="293">
        <v>6346.1538461538457</v>
      </c>
    </row>
    <row r="3978" spans="1:12" ht="11.25" customHeight="1" x14ac:dyDescent="0.2">
      <c r="A3978" s="358">
        <v>2023</v>
      </c>
      <c r="B3978" s="358">
        <v>12</v>
      </c>
      <c r="C3978" s="358">
        <v>14</v>
      </c>
      <c r="D3978" s="312">
        <f t="shared" si="430"/>
        <v>45274</v>
      </c>
      <c r="E3978" s="313">
        <f t="shared" si="429"/>
        <v>45274</v>
      </c>
      <c r="F3978" s="482" t="s">
        <v>1627</v>
      </c>
      <c r="G3978" s="314" t="s">
        <v>86</v>
      </c>
      <c r="H3978" s="324" t="str" cm="1">
        <f t="array" ref="H3978">IFERROR(INDEX(INVESTOR_LIST[INVESTOR NAME],MATCH(I3978,INVESTOR_LIST[INVESTOR CODE],0),)," ")</f>
        <v xml:space="preserve"> </v>
      </c>
      <c r="I3978" s="324"/>
      <c r="J3978" s="364" t="s">
        <v>1621</v>
      </c>
      <c r="K3978" s="365">
        <v>16647.199999999255</v>
      </c>
      <c r="L3978" s="365"/>
    </row>
    <row r="3979" spans="1:12" ht="11.25" customHeight="1" x14ac:dyDescent="0.2">
      <c r="A3979" s="320">
        <v>2023</v>
      </c>
      <c r="B3979" s="320">
        <v>12</v>
      </c>
      <c r="C3979" s="320">
        <v>14</v>
      </c>
      <c r="D3979" s="323">
        <f t="shared" si="430"/>
        <v>45274</v>
      </c>
      <c r="E3979" s="321">
        <f t="shared" si="429"/>
        <v>45274</v>
      </c>
      <c r="F3979" s="483"/>
      <c r="G3979" s="322" t="s">
        <v>86</v>
      </c>
      <c r="H3979" s="325" t="str" cm="1">
        <f t="array" ref="H3979">IFERROR(INDEX(INVESTOR_LIST[INVESTOR NAME],MATCH(I3979,INVESTOR_LIST[INVESTOR CODE],0),)," ")</f>
        <v xml:space="preserve"> </v>
      </c>
      <c r="I3979" s="325"/>
      <c r="J3979" s="366" t="s">
        <v>1613</v>
      </c>
      <c r="K3979" s="367"/>
      <c r="L3979" s="367">
        <v>16647.199999999255</v>
      </c>
    </row>
    <row r="3980" spans="1:12" ht="11.25" customHeight="1" x14ac:dyDescent="0.2">
      <c r="A3980" s="236">
        <v>2023</v>
      </c>
      <c r="B3980" s="236">
        <v>12</v>
      </c>
      <c r="C3980" s="236">
        <v>14</v>
      </c>
      <c r="D3980" s="237">
        <f t="shared" si="430"/>
        <v>45274</v>
      </c>
      <c r="E3980" s="238">
        <f t="shared" si="429"/>
        <v>45274</v>
      </c>
      <c r="F3980" s="476" t="s">
        <v>1118</v>
      </c>
      <c r="G3980" s="239" t="s">
        <v>86</v>
      </c>
      <c r="H3980" s="239" t="str" cm="1">
        <f t="array" ref="H3980">IFERROR(INDEX(INVESTOR_LIST[INVESTOR NAME],MATCH(I3980,INVESTOR_LIST[INVESTOR CODE],0),)," ")</f>
        <v xml:space="preserve"> </v>
      </c>
      <c r="I3980" s="240"/>
      <c r="J3980" s="241" t="s">
        <v>98</v>
      </c>
      <c r="K3980" s="242">
        <v>122854.07999999821</v>
      </c>
      <c r="L3980" s="242"/>
    </row>
    <row r="3981" spans="1:12" ht="11.25" customHeight="1" x14ac:dyDescent="0.2">
      <c r="A3981" s="243">
        <v>2023</v>
      </c>
      <c r="B3981" s="243">
        <v>12</v>
      </c>
      <c r="C3981" s="243">
        <v>14</v>
      </c>
      <c r="D3981" s="248">
        <f t="shared" si="430"/>
        <v>45274</v>
      </c>
      <c r="E3981" s="249">
        <f t="shared" si="429"/>
        <v>45274</v>
      </c>
      <c r="F3981" s="477"/>
      <c r="G3981" s="244" t="s">
        <v>86</v>
      </c>
      <c r="H3981" s="244" t="str" cm="1">
        <f t="array" ref="H3981">IFERROR(INDEX(INVESTOR_LIST[INVESTOR NAME],MATCH(I3981,INVESTOR_LIST[INVESTOR CODE],0),)," ")</f>
        <v xml:space="preserve"> </v>
      </c>
      <c r="I3981" s="245"/>
      <c r="J3981" s="246" t="s">
        <v>82</v>
      </c>
      <c r="K3981" s="247"/>
      <c r="L3981" s="247">
        <v>122854.07999999821</v>
      </c>
    </row>
    <row r="3982" spans="1:12" ht="11.25" customHeight="1" x14ac:dyDescent="0.2">
      <c r="A3982" s="236">
        <v>2023</v>
      </c>
      <c r="B3982" s="236">
        <v>12</v>
      </c>
      <c r="C3982" s="236">
        <v>14</v>
      </c>
      <c r="D3982" s="237">
        <f t="shared" si="430"/>
        <v>45274</v>
      </c>
      <c r="E3982" s="238">
        <f t="shared" si="429"/>
        <v>45274</v>
      </c>
      <c r="F3982" s="476" t="s">
        <v>1120</v>
      </c>
      <c r="G3982" s="239" t="s">
        <v>86</v>
      </c>
      <c r="H3982" s="239" t="str" cm="1">
        <f t="array" ref="H3982">IFERROR(INDEX(INVESTOR_LIST[INVESTOR NAME],MATCH(I3982,INVESTOR_LIST[INVESTOR CODE],0),)," ")</f>
        <v xml:space="preserve"> </v>
      </c>
      <c r="I3982" s="240"/>
      <c r="J3982" s="241" t="s">
        <v>87</v>
      </c>
      <c r="K3982" s="242">
        <v>2747.2527472527472</v>
      </c>
      <c r="L3982" s="242"/>
    </row>
    <row r="3983" spans="1:12" ht="11.25" customHeight="1" x14ac:dyDescent="0.2">
      <c r="A3983" s="243">
        <v>2023</v>
      </c>
      <c r="B3983" s="243">
        <v>12</v>
      </c>
      <c r="C3983" s="243">
        <v>14</v>
      </c>
      <c r="D3983" s="248">
        <f t="shared" si="430"/>
        <v>45274</v>
      </c>
      <c r="E3983" s="249">
        <f t="shared" si="429"/>
        <v>45274</v>
      </c>
      <c r="F3983" s="477"/>
      <c r="G3983" s="244" t="s">
        <v>86</v>
      </c>
      <c r="H3983" s="244" t="str" cm="1">
        <f t="array" ref="H3983">IFERROR(INDEX(INVESTOR_LIST[INVESTOR NAME],MATCH(I3983,INVESTOR_LIST[INVESTOR CODE],0),)," ")</f>
        <v xml:space="preserve"> </v>
      </c>
      <c r="I3983" s="245"/>
      <c r="J3983" s="246" t="s">
        <v>64</v>
      </c>
      <c r="K3983" s="247"/>
      <c r="L3983" s="247">
        <v>2747.2527472527472</v>
      </c>
    </row>
    <row r="3984" spans="1:12" ht="11.25" customHeight="1" x14ac:dyDescent="0.2">
      <c r="A3984" s="236">
        <v>2023</v>
      </c>
      <c r="B3984" s="236">
        <v>12</v>
      </c>
      <c r="C3984" s="236">
        <v>14</v>
      </c>
      <c r="D3984" s="237">
        <f t="shared" si="430"/>
        <v>45274</v>
      </c>
      <c r="E3984" s="238">
        <f t="shared" si="429"/>
        <v>45274</v>
      </c>
      <c r="F3984" s="476" t="s">
        <v>1121</v>
      </c>
      <c r="G3984" s="239" t="s">
        <v>86</v>
      </c>
      <c r="H3984" s="239" t="str" cm="1">
        <f t="array" ref="H3984">IFERROR(INDEX(INVESTOR_LIST[INVESTOR NAME],MATCH(I3984,INVESTOR_LIST[INVESTOR CODE],0),)," ")</f>
        <v xml:space="preserve"> </v>
      </c>
      <c r="I3984" s="240"/>
      <c r="J3984" s="241" t="s">
        <v>89</v>
      </c>
      <c r="K3984" s="242">
        <v>66726.349958043793</v>
      </c>
      <c r="L3984" s="242"/>
    </row>
    <row r="3985" spans="1:13" ht="11.25" customHeight="1" x14ac:dyDescent="0.2">
      <c r="A3985" s="243">
        <v>2023</v>
      </c>
      <c r="B3985" s="243">
        <v>12</v>
      </c>
      <c r="C3985" s="243">
        <v>14</v>
      </c>
      <c r="D3985" s="248">
        <f t="shared" si="430"/>
        <v>45274</v>
      </c>
      <c r="E3985" s="249">
        <f t="shared" si="429"/>
        <v>45274</v>
      </c>
      <c r="F3985" s="477"/>
      <c r="G3985" s="244" t="s">
        <v>86</v>
      </c>
      <c r="H3985" s="244" t="str" cm="1">
        <f t="array" ref="H3985">IFERROR(INDEX(INVESTOR_LIST[INVESTOR NAME],MATCH(I3985,INVESTOR_LIST[INVESTOR CODE],0),)," ")</f>
        <v xml:space="preserve"> </v>
      </c>
      <c r="I3985" s="245"/>
      <c r="J3985" s="246" t="s">
        <v>50</v>
      </c>
      <c r="K3985" s="247"/>
      <c r="L3985" s="247">
        <v>66726.349958043793</v>
      </c>
    </row>
    <row r="3986" spans="1:13" ht="11.25" customHeight="1" x14ac:dyDescent="0.2">
      <c r="A3986" s="236">
        <v>2023</v>
      </c>
      <c r="B3986" s="236">
        <v>12</v>
      </c>
      <c r="C3986" s="236">
        <v>14</v>
      </c>
      <c r="D3986" s="237">
        <f t="shared" si="430"/>
        <v>45274</v>
      </c>
      <c r="E3986" s="238">
        <f t="shared" si="429"/>
        <v>45274</v>
      </c>
      <c r="F3986" s="476" t="s">
        <v>1122</v>
      </c>
      <c r="G3986" s="239" t="s">
        <v>86</v>
      </c>
      <c r="H3986" s="239" t="str" cm="1">
        <f t="array" ref="H3986">IFERROR(INDEX(INVESTOR_LIST[INVESTOR NAME],MATCH(I3986,INVESTOR_LIST[INVESTOR CODE],0),)," ")</f>
        <v xml:space="preserve"> </v>
      </c>
      <c r="I3986" s="240"/>
      <c r="J3986" s="241" t="s">
        <v>91</v>
      </c>
      <c r="K3986" s="242">
        <v>3336.3174979021901</v>
      </c>
      <c r="L3986" s="242"/>
    </row>
    <row r="3987" spans="1:13" ht="11.25" customHeight="1" x14ac:dyDescent="0.2">
      <c r="A3987" s="243">
        <v>2023</v>
      </c>
      <c r="B3987" s="243">
        <v>12</v>
      </c>
      <c r="C3987" s="243">
        <v>14</v>
      </c>
      <c r="D3987" s="248">
        <f t="shared" si="430"/>
        <v>45274</v>
      </c>
      <c r="E3987" s="249">
        <f t="shared" si="429"/>
        <v>45274</v>
      </c>
      <c r="F3987" s="477"/>
      <c r="G3987" s="244" t="s">
        <v>86</v>
      </c>
      <c r="H3987" s="244" t="str" cm="1">
        <f t="array" ref="H3987">IFERROR(INDEX(INVESTOR_LIST[INVESTOR NAME],MATCH(I3987,INVESTOR_LIST[INVESTOR CODE],0),)," ")</f>
        <v xml:space="preserve"> </v>
      </c>
      <c r="I3987" s="245"/>
      <c r="J3987" s="246" t="s">
        <v>51</v>
      </c>
      <c r="K3987" s="247"/>
      <c r="L3987" s="247">
        <v>3336.3174979021901</v>
      </c>
    </row>
    <row r="3988" spans="1:13" ht="11.25" customHeight="1" x14ac:dyDescent="0.2">
      <c r="A3988" s="221">
        <v>2023</v>
      </c>
      <c r="B3988" s="221">
        <v>12</v>
      </c>
      <c r="C3988" s="221">
        <v>17</v>
      </c>
      <c r="D3988" s="231">
        <f t="shared" si="430"/>
        <v>45277</v>
      </c>
      <c r="E3988" s="233">
        <f>DATE(A3988,B3988,C3988)</f>
        <v>45277</v>
      </c>
      <c r="F3988" s="478" t="s">
        <v>1590</v>
      </c>
      <c r="G3988" s="222" t="s">
        <v>1111</v>
      </c>
      <c r="H3988" s="223" t="str" cm="1">
        <f t="array" ref="H3988">IFERROR(INDEX(INVESTOR_LIST[INVESTOR NAME],MATCH(I3988,INVESTOR_LIST[INVESTOR CODE],0),)," ")</f>
        <v xml:space="preserve"> </v>
      </c>
      <c r="I3988" s="223"/>
      <c r="J3988" s="224" t="s">
        <v>55</v>
      </c>
      <c r="K3988" s="225">
        <v>1217754.0900000001</v>
      </c>
      <c r="L3988" s="225"/>
    </row>
    <row r="3989" spans="1:13" ht="11.25" customHeight="1" x14ac:dyDescent="0.2">
      <c r="A3989" s="226">
        <v>2023</v>
      </c>
      <c r="B3989" s="226">
        <v>12</v>
      </c>
      <c r="C3989" s="226">
        <v>17</v>
      </c>
      <c r="D3989" s="232">
        <f t="shared" si="430"/>
        <v>45277</v>
      </c>
      <c r="E3989" s="234">
        <f>DATE(A3989,B3989,C3989)</f>
        <v>45277</v>
      </c>
      <c r="F3989" s="479"/>
      <c r="G3989" s="227" t="s">
        <v>1111</v>
      </c>
      <c r="H3989" s="228" t="str" cm="1">
        <f t="array" ref="H3989">IFERROR(INDEX(INVESTOR_LIST[INVESTOR NAME],MATCH(I3989,INVESTOR_LIST[INVESTOR CODE],0),)," ")</f>
        <v xml:space="preserve"> </v>
      </c>
      <c r="I3989" s="228"/>
      <c r="J3989" s="229" t="s">
        <v>199</v>
      </c>
      <c r="K3989" s="230"/>
      <c r="L3989" s="230">
        <v>1217754.0900000001</v>
      </c>
      <c r="M3989" s="166"/>
    </row>
    <row r="3990" spans="1:13" ht="11.25" customHeight="1" x14ac:dyDescent="0.2">
      <c r="A3990" s="221">
        <v>2023</v>
      </c>
      <c r="B3990" s="221">
        <v>12</v>
      </c>
      <c r="C3990" s="221">
        <v>18</v>
      </c>
      <c r="D3990" s="231">
        <f t="shared" si="430"/>
        <v>45278</v>
      </c>
      <c r="E3990" s="233">
        <f t="shared" si="429"/>
        <v>45278</v>
      </c>
      <c r="F3990" s="478" t="s">
        <v>1115</v>
      </c>
      <c r="G3990" s="222" t="s">
        <v>1111</v>
      </c>
      <c r="H3990" s="223" t="str" cm="1">
        <f t="array" ref="H3990">IFERROR(INDEX(INVESTOR_LIST[INVESTOR NAME],MATCH(I3990,INVESTOR_LIST[INVESTOR CODE],0),)," ")</f>
        <v>AMIT KANTI SARKER</v>
      </c>
      <c r="I3990" s="223" t="s">
        <v>443</v>
      </c>
      <c r="J3990" s="224" t="s">
        <v>14</v>
      </c>
      <c r="K3990" s="225">
        <v>1000000</v>
      </c>
      <c r="L3990" s="225"/>
    </row>
    <row r="3991" spans="1:13" ht="11.25" customHeight="1" x14ac:dyDescent="0.2">
      <c r="A3991" s="164">
        <v>2023</v>
      </c>
      <c r="B3991" s="164">
        <v>12</v>
      </c>
      <c r="C3991" s="164">
        <v>18</v>
      </c>
      <c r="D3991" s="156">
        <f t="shared" si="430"/>
        <v>45278</v>
      </c>
      <c r="E3991" s="235">
        <f t="shared" si="429"/>
        <v>45278</v>
      </c>
      <c r="F3991" s="480"/>
      <c r="G3991" s="208" t="s">
        <v>1111</v>
      </c>
      <c r="H3991" s="206" t="str" cm="1">
        <f t="array" ref="H3991">IFERROR(INDEX(INVESTOR_LIST[INVESTOR NAME],MATCH(I3991,INVESTOR_LIST[INVESTOR CODE],0),)," ")</f>
        <v>AMIT KANTI SARKER</v>
      </c>
      <c r="I3991" s="206" t="s">
        <v>443</v>
      </c>
      <c r="J3991" s="165" t="s">
        <v>1112</v>
      </c>
      <c r="K3991" s="205">
        <v>33000</v>
      </c>
    </row>
    <row r="3992" spans="1:13" ht="11.25" customHeight="1" x14ac:dyDescent="0.2">
      <c r="A3992" s="226">
        <v>2023</v>
      </c>
      <c r="B3992" s="226">
        <v>12</v>
      </c>
      <c r="C3992" s="226">
        <v>18</v>
      </c>
      <c r="D3992" s="232">
        <f t="shared" si="430"/>
        <v>45278</v>
      </c>
      <c r="E3992" s="234">
        <f t="shared" si="429"/>
        <v>45278</v>
      </c>
      <c r="F3992" s="479"/>
      <c r="G3992" s="227" t="s">
        <v>1111</v>
      </c>
      <c r="H3992" s="228" t="str" cm="1">
        <f t="array" ref="H3992">IFERROR(INDEX(INVESTOR_LIST[INVESTOR NAME],MATCH(I3992,INVESTOR_LIST[INVESTOR CODE],0),)," ")</f>
        <v>AMIT KANTI SARKER</v>
      </c>
      <c r="I3992" s="228" t="s">
        <v>443</v>
      </c>
      <c r="J3992" s="229" t="s">
        <v>55</v>
      </c>
      <c r="K3992" s="230"/>
      <c r="L3992" s="230">
        <v>1033000</v>
      </c>
    </row>
    <row r="3993" spans="1:13" ht="11.25" customHeight="1" x14ac:dyDescent="0.2">
      <c r="A3993" s="221">
        <v>2023</v>
      </c>
      <c r="B3993" s="221">
        <v>12</v>
      </c>
      <c r="C3993" s="221">
        <v>18</v>
      </c>
      <c r="D3993" s="231">
        <f t="shared" si="430"/>
        <v>45278</v>
      </c>
      <c r="E3993" s="233">
        <f t="shared" si="429"/>
        <v>45278</v>
      </c>
      <c r="F3993" s="478" t="s">
        <v>1651</v>
      </c>
      <c r="G3993" s="222" t="s">
        <v>1111</v>
      </c>
      <c r="H3993" s="222" t="str" cm="1">
        <f t="array" ref="H3993">IFERROR(INDEX(INVESTOR_LIST[INVESTOR NAME],MATCH(I3993,INVESTOR_LIST[INVESTOR CODE],0),)," ")</f>
        <v xml:space="preserve"> </v>
      </c>
      <c r="I3993" s="223"/>
      <c r="J3993" s="224" t="s">
        <v>1465</v>
      </c>
      <c r="K3993" s="357">
        <v>4865355</v>
      </c>
      <c r="L3993" s="225"/>
    </row>
    <row r="3994" spans="1:13" ht="11.25" customHeight="1" x14ac:dyDescent="0.2">
      <c r="A3994" s="226">
        <v>2023</v>
      </c>
      <c r="B3994" s="226">
        <v>12</v>
      </c>
      <c r="C3994" s="226">
        <v>18</v>
      </c>
      <c r="D3994" s="226">
        <f t="shared" si="430"/>
        <v>45278</v>
      </c>
      <c r="E3994" s="234">
        <f t="shared" si="429"/>
        <v>45278</v>
      </c>
      <c r="F3994" s="479"/>
      <c r="G3994" s="227" t="s">
        <v>1111</v>
      </c>
      <c r="H3994" s="227"/>
      <c r="I3994" s="228"/>
      <c r="J3994" s="229" t="s">
        <v>55</v>
      </c>
      <c r="K3994" s="294"/>
      <c r="L3994" s="230">
        <v>4865355</v>
      </c>
    </row>
    <row r="3995" spans="1:13" ht="11.25" customHeight="1" x14ac:dyDescent="0.2">
      <c r="A3995" s="221">
        <v>2023</v>
      </c>
      <c r="B3995" s="221">
        <v>12</v>
      </c>
      <c r="C3995" s="221">
        <v>18</v>
      </c>
      <c r="D3995" s="231">
        <f t="shared" si="430"/>
        <v>45278</v>
      </c>
      <c r="E3995" s="233">
        <f t="shared" si="429"/>
        <v>45278</v>
      </c>
      <c r="F3995" s="478" t="s">
        <v>1651</v>
      </c>
      <c r="G3995" s="222" t="s">
        <v>1111</v>
      </c>
      <c r="H3995" s="222" t="str" cm="1">
        <f t="array" ref="H3995">IFERROR(INDEX(INVESTOR_LIST[INVESTOR NAME],MATCH(I3995,INVESTOR_LIST[INVESTOR CODE],0),)," ")</f>
        <v xml:space="preserve"> </v>
      </c>
      <c r="I3995" s="223"/>
      <c r="J3995" s="224" t="s">
        <v>1465</v>
      </c>
      <c r="K3995" s="357">
        <v>4866135</v>
      </c>
      <c r="L3995" s="225"/>
    </row>
    <row r="3996" spans="1:13" ht="11.25" customHeight="1" x14ac:dyDescent="0.2">
      <c r="A3996" s="226">
        <v>2023</v>
      </c>
      <c r="B3996" s="226">
        <v>12</v>
      </c>
      <c r="C3996" s="226">
        <v>18</v>
      </c>
      <c r="D3996" s="226">
        <f t="shared" si="430"/>
        <v>45278</v>
      </c>
      <c r="E3996" s="234">
        <f t="shared" si="429"/>
        <v>45278</v>
      </c>
      <c r="F3996" s="479"/>
      <c r="G3996" s="227" t="s">
        <v>1111</v>
      </c>
      <c r="H3996" s="227"/>
      <c r="I3996" s="228"/>
      <c r="J3996" s="229" t="s">
        <v>55</v>
      </c>
      <c r="K3996" s="294"/>
      <c r="L3996" s="230">
        <v>4866135</v>
      </c>
    </row>
    <row r="3997" spans="1:13" ht="11.25" customHeight="1" x14ac:dyDescent="0.2">
      <c r="A3997" s="221">
        <v>2023</v>
      </c>
      <c r="B3997" s="221">
        <v>12</v>
      </c>
      <c r="C3997" s="221">
        <v>18</v>
      </c>
      <c r="D3997" s="231">
        <f t="shared" si="430"/>
        <v>45278</v>
      </c>
      <c r="E3997" s="233">
        <f t="shared" si="429"/>
        <v>45278</v>
      </c>
      <c r="F3997" s="478" t="s">
        <v>1652</v>
      </c>
      <c r="G3997" s="222" t="s">
        <v>1111</v>
      </c>
      <c r="H3997" s="222" t="str" cm="1">
        <f t="array" ref="H3997">IFERROR(INDEX(INVESTOR_LIST[INVESTOR NAME],MATCH(I3997,INVESTOR_LIST[INVESTOR CODE],0),)," ")</f>
        <v xml:space="preserve"> </v>
      </c>
      <c r="I3997" s="223"/>
      <c r="J3997" s="224" t="s">
        <v>55</v>
      </c>
      <c r="K3997" s="357">
        <v>4865355</v>
      </c>
      <c r="L3997" s="225"/>
    </row>
    <row r="3998" spans="1:13" ht="11.25" customHeight="1" x14ac:dyDescent="0.2">
      <c r="A3998" s="226">
        <v>2023</v>
      </c>
      <c r="B3998" s="226">
        <v>12</v>
      </c>
      <c r="C3998" s="226">
        <v>18</v>
      </c>
      <c r="D3998" s="226">
        <f t="shared" si="430"/>
        <v>45278</v>
      </c>
      <c r="E3998" s="234">
        <f t="shared" si="429"/>
        <v>45278</v>
      </c>
      <c r="F3998" s="479"/>
      <c r="G3998" s="227" t="s">
        <v>1111</v>
      </c>
      <c r="H3998" s="227"/>
      <c r="I3998" s="228"/>
      <c r="J3998" s="229" t="s">
        <v>1465</v>
      </c>
      <c r="K3998" s="294"/>
      <c r="L3998" s="230">
        <v>4865355</v>
      </c>
    </row>
    <row r="3999" spans="1:13" ht="11.25" customHeight="1" x14ac:dyDescent="0.2">
      <c r="A3999" s="221">
        <v>2023</v>
      </c>
      <c r="B3999" s="221">
        <v>12</v>
      </c>
      <c r="C3999" s="221">
        <v>18</v>
      </c>
      <c r="D3999" s="231">
        <f t="shared" si="430"/>
        <v>45278</v>
      </c>
      <c r="E3999" s="233">
        <f t="shared" si="429"/>
        <v>45278</v>
      </c>
      <c r="F3999" s="478" t="s">
        <v>1652</v>
      </c>
      <c r="G3999" s="222" t="s">
        <v>1111</v>
      </c>
      <c r="H3999" s="222" t="str" cm="1">
        <f t="array" ref="H3999">IFERROR(INDEX(INVESTOR_LIST[INVESTOR NAME],MATCH(I3999,INVESTOR_LIST[INVESTOR CODE],0),)," ")</f>
        <v xml:space="preserve"> </v>
      </c>
      <c r="I3999" s="223"/>
      <c r="J3999" s="224" t="s">
        <v>55</v>
      </c>
      <c r="K3999" s="357">
        <v>4865355</v>
      </c>
      <c r="L3999" s="225"/>
    </row>
    <row r="4000" spans="1:13" ht="11.25" customHeight="1" x14ac:dyDescent="0.2">
      <c r="A4000" s="164">
        <v>2023</v>
      </c>
      <c r="B4000" s="164">
        <v>12</v>
      </c>
      <c r="C4000" s="164">
        <v>18</v>
      </c>
      <c r="D4000" s="156">
        <f t="shared" si="430"/>
        <v>45278</v>
      </c>
      <c r="E4000" s="235">
        <f t="shared" si="429"/>
        <v>45278</v>
      </c>
      <c r="F4000" s="480"/>
      <c r="G4000" s="208" t="s">
        <v>1111</v>
      </c>
      <c r="H4000" s="208"/>
      <c r="J4000" s="165" t="s">
        <v>1617</v>
      </c>
      <c r="K4000" s="263">
        <v>780</v>
      </c>
      <c r="L4000" s="205"/>
    </row>
    <row r="4001" spans="1:13" ht="11.25" customHeight="1" x14ac:dyDescent="0.2">
      <c r="A4001" s="226">
        <v>2023</v>
      </c>
      <c r="B4001" s="226">
        <v>12</v>
      </c>
      <c r="C4001" s="226">
        <v>18</v>
      </c>
      <c r="D4001" s="226">
        <f t="shared" si="430"/>
        <v>45278</v>
      </c>
      <c r="E4001" s="234">
        <f t="shared" si="429"/>
        <v>45278</v>
      </c>
      <c r="F4001" s="479"/>
      <c r="G4001" s="227" t="s">
        <v>1111</v>
      </c>
      <c r="H4001" s="227"/>
      <c r="I4001" s="228"/>
      <c r="J4001" s="229" t="s">
        <v>1465</v>
      </c>
      <c r="K4001" s="294"/>
      <c r="L4001" s="230">
        <v>4866135</v>
      </c>
    </row>
    <row r="4002" spans="1:13" ht="11.25" customHeight="1" x14ac:dyDescent="0.2">
      <c r="A4002" s="221">
        <v>2023</v>
      </c>
      <c r="B4002" s="221">
        <v>12</v>
      </c>
      <c r="C4002" s="221">
        <v>19</v>
      </c>
      <c r="D4002" s="231">
        <f t="shared" si="430"/>
        <v>45279</v>
      </c>
      <c r="E4002" s="233">
        <f t="shared" si="429"/>
        <v>45279</v>
      </c>
      <c r="F4002" s="478" t="s">
        <v>1114</v>
      </c>
      <c r="G4002" s="222" t="s">
        <v>1111</v>
      </c>
      <c r="H4002" s="223" t="str" cm="1">
        <f t="array" ref="H4002">IFERROR(INDEX(INVESTOR_LIST[INVESTOR NAME],MATCH(I4002,INVESTOR_LIST[INVESTOR CODE],0),)," ")</f>
        <v xml:space="preserve"> </v>
      </c>
      <c r="I4002" s="223"/>
      <c r="J4002" s="224" t="s">
        <v>63</v>
      </c>
      <c r="K4002" s="225">
        <v>100</v>
      </c>
      <c r="L4002" s="225"/>
    </row>
    <row r="4003" spans="1:13" ht="11.25" customHeight="1" x14ac:dyDescent="0.2">
      <c r="A4003" s="226">
        <v>2023</v>
      </c>
      <c r="B4003" s="226">
        <v>12</v>
      </c>
      <c r="C4003" s="226">
        <v>19</v>
      </c>
      <c r="D4003" s="232">
        <f t="shared" si="430"/>
        <v>45279</v>
      </c>
      <c r="E4003" s="234">
        <f t="shared" si="429"/>
        <v>45279</v>
      </c>
      <c r="F4003" s="479"/>
      <c r="G4003" s="227" t="s">
        <v>1111</v>
      </c>
      <c r="H4003" s="228" t="str" cm="1">
        <f t="array" ref="H4003">IFERROR(INDEX(INVESTOR_LIST[INVESTOR NAME],MATCH(I4003,INVESTOR_LIST[INVESTOR CODE],0),)," ")</f>
        <v xml:space="preserve"> </v>
      </c>
      <c r="I4003" s="228"/>
      <c r="J4003" s="229" t="s">
        <v>55</v>
      </c>
      <c r="K4003" s="230"/>
      <c r="L4003" s="230">
        <v>100</v>
      </c>
    </row>
    <row r="4004" spans="1:13" ht="11.25" customHeight="1" x14ac:dyDescent="0.2">
      <c r="A4004" s="221">
        <v>2023</v>
      </c>
      <c r="B4004" s="221">
        <v>12</v>
      </c>
      <c r="C4004" s="221">
        <v>19</v>
      </c>
      <c r="D4004" s="231">
        <f t="shared" si="430"/>
        <v>45279</v>
      </c>
      <c r="E4004" s="233">
        <f t="shared" si="429"/>
        <v>45279</v>
      </c>
      <c r="F4004" s="478" t="s">
        <v>1196</v>
      </c>
      <c r="G4004" s="222" t="s">
        <v>1111</v>
      </c>
      <c r="H4004" s="223" t="str" cm="1">
        <f t="array" ref="H4004">IFERROR(INDEX(INVESTOR_LIST[INVESTOR NAME],MATCH(I4004,INVESTOR_LIST[INVESTOR CODE],0),)," ")</f>
        <v xml:space="preserve"> </v>
      </c>
      <c r="I4004" s="223"/>
      <c r="J4004" s="224" t="s">
        <v>95</v>
      </c>
      <c r="K4004" s="225">
        <v>400.9</v>
      </c>
      <c r="L4004" s="225" t="s">
        <v>1119</v>
      </c>
    </row>
    <row r="4005" spans="1:13" ht="11.25" customHeight="1" x14ac:dyDescent="0.2">
      <c r="A4005" s="226">
        <v>2023</v>
      </c>
      <c r="B4005" s="226">
        <v>12</v>
      </c>
      <c r="C4005" s="226">
        <v>19</v>
      </c>
      <c r="D4005" s="232">
        <f t="shared" si="430"/>
        <v>45279</v>
      </c>
      <c r="E4005" s="234">
        <f t="shared" si="429"/>
        <v>45279</v>
      </c>
      <c r="F4005" s="479"/>
      <c r="G4005" s="227" t="s">
        <v>1111</v>
      </c>
      <c r="H4005" s="228" t="str" cm="1">
        <f t="array" ref="H4005">IFERROR(INDEX(INVESTOR_LIST[INVESTOR NAME],MATCH(I4005,INVESTOR_LIST[INVESTOR CODE],0),)," ")</f>
        <v xml:space="preserve"> </v>
      </c>
      <c r="I4005" s="228"/>
      <c r="J4005" s="229" t="s">
        <v>55</v>
      </c>
      <c r="K4005" s="230" t="s">
        <v>1119</v>
      </c>
      <c r="L4005" s="230">
        <v>400.9</v>
      </c>
    </row>
    <row r="4006" spans="1:13" ht="11.25" customHeight="1" x14ac:dyDescent="0.2">
      <c r="A4006" s="221">
        <v>2023</v>
      </c>
      <c r="B4006" s="221">
        <v>12</v>
      </c>
      <c r="C4006" s="221">
        <v>20</v>
      </c>
      <c r="D4006" s="231">
        <f t="shared" si="430"/>
        <v>45280</v>
      </c>
      <c r="E4006" s="233">
        <f t="shared" si="429"/>
        <v>45280</v>
      </c>
      <c r="F4006" s="478" t="s">
        <v>1142</v>
      </c>
      <c r="G4006" s="222" t="s">
        <v>1111</v>
      </c>
      <c r="H4006" s="223" t="str" cm="1">
        <f t="array" ref="H4006">IFERROR(INDEX(INVESTOR_LIST[INVESTOR NAME],MATCH(I4006,INVESTOR_LIST[INVESTOR CODE],0),)," ")</f>
        <v xml:space="preserve"> </v>
      </c>
      <c r="I4006" s="223"/>
      <c r="J4006" s="224" t="s">
        <v>189</v>
      </c>
      <c r="K4006" s="225">
        <v>1575</v>
      </c>
      <c r="L4006" s="225"/>
    </row>
    <row r="4007" spans="1:13" ht="11.25" customHeight="1" x14ac:dyDescent="0.2">
      <c r="A4007" s="226">
        <v>2023</v>
      </c>
      <c r="B4007" s="226">
        <v>12</v>
      </c>
      <c r="C4007" s="226">
        <v>20</v>
      </c>
      <c r="D4007" s="232">
        <f t="shared" si="430"/>
        <v>45280</v>
      </c>
      <c r="E4007" s="234">
        <f t="shared" si="429"/>
        <v>45280</v>
      </c>
      <c r="F4007" s="479"/>
      <c r="G4007" s="227" t="s">
        <v>1111</v>
      </c>
      <c r="H4007" s="228" t="str" cm="1">
        <f t="array" ref="H4007">IFERROR(INDEX(INVESTOR_LIST[INVESTOR NAME],MATCH(I4007,INVESTOR_LIST[INVESTOR CODE],0),)," ")</f>
        <v xml:space="preserve"> </v>
      </c>
      <c r="I4007" s="228"/>
      <c r="J4007" s="229" t="s">
        <v>55</v>
      </c>
      <c r="K4007" s="230"/>
      <c r="L4007" s="230">
        <v>1575</v>
      </c>
    </row>
    <row r="4008" spans="1:13" ht="11.25" customHeight="1" x14ac:dyDescent="0.2">
      <c r="A4008" s="221">
        <v>2023</v>
      </c>
      <c r="B4008" s="221">
        <v>12</v>
      </c>
      <c r="C4008" s="221">
        <v>20</v>
      </c>
      <c r="D4008" s="231">
        <f t="shared" si="430"/>
        <v>45280</v>
      </c>
      <c r="E4008" s="233">
        <f>DATE(A4008,B4008,C4008)</f>
        <v>45280</v>
      </c>
      <c r="F4008" s="478" t="s">
        <v>1590</v>
      </c>
      <c r="G4008" s="222" t="s">
        <v>1111</v>
      </c>
      <c r="H4008" s="223" t="str" cm="1">
        <f t="array" ref="H4008">IFERROR(INDEX(INVESTOR_LIST[INVESTOR NAME],MATCH(I4008,INVESTOR_LIST[INVESTOR CODE],0),)," ")</f>
        <v xml:space="preserve"> </v>
      </c>
      <c r="I4008" s="223"/>
      <c r="J4008" s="224" t="s">
        <v>55</v>
      </c>
      <c r="K4008" s="225">
        <v>1961522.91</v>
      </c>
      <c r="L4008" s="225"/>
    </row>
    <row r="4009" spans="1:13" ht="11.25" customHeight="1" x14ac:dyDescent="0.2">
      <c r="A4009" s="226">
        <v>2023</v>
      </c>
      <c r="B4009" s="226">
        <v>12</v>
      </c>
      <c r="C4009" s="226">
        <v>20</v>
      </c>
      <c r="D4009" s="232">
        <f t="shared" si="430"/>
        <v>45280</v>
      </c>
      <c r="E4009" s="234">
        <f>DATE(A4009,B4009,C4009)</f>
        <v>45280</v>
      </c>
      <c r="F4009" s="479"/>
      <c r="G4009" s="227" t="s">
        <v>1111</v>
      </c>
      <c r="H4009" s="228" t="str" cm="1">
        <f t="array" ref="H4009">IFERROR(INDEX(INVESTOR_LIST[INVESTOR NAME],MATCH(I4009,INVESTOR_LIST[INVESTOR CODE],0),)," ")</f>
        <v xml:space="preserve"> </v>
      </c>
      <c r="I4009" s="228"/>
      <c r="J4009" s="229" t="s">
        <v>199</v>
      </c>
      <c r="K4009" s="230"/>
      <c r="L4009" s="230">
        <v>1961522.91</v>
      </c>
      <c r="M4009" s="166"/>
    </row>
    <row r="4010" spans="1:13" ht="11.25" customHeight="1" x14ac:dyDescent="0.2">
      <c r="A4010" s="221">
        <v>2023</v>
      </c>
      <c r="B4010" s="221">
        <v>12</v>
      </c>
      <c r="C4010" s="221">
        <v>20</v>
      </c>
      <c r="D4010" s="231">
        <f t="shared" si="430"/>
        <v>45280</v>
      </c>
      <c r="E4010" s="233">
        <f>DATE(A4010,B4010,C4010)</f>
        <v>45280</v>
      </c>
      <c r="F4010" s="478" t="s">
        <v>1590</v>
      </c>
      <c r="G4010" s="222" t="s">
        <v>1111</v>
      </c>
      <c r="H4010" s="223" t="str" cm="1">
        <f t="array" ref="H4010">IFERROR(INDEX(INVESTOR_LIST[INVESTOR NAME],MATCH(I4010,INVESTOR_LIST[INVESTOR CODE],0),)," ")</f>
        <v xml:space="preserve"> </v>
      </c>
      <c r="I4010" s="223"/>
      <c r="J4010" s="224" t="s">
        <v>55</v>
      </c>
      <c r="K4010" s="225">
        <v>1244156.48</v>
      </c>
      <c r="L4010" s="225"/>
    </row>
    <row r="4011" spans="1:13" ht="11.25" customHeight="1" x14ac:dyDescent="0.2">
      <c r="A4011" s="226">
        <v>2023</v>
      </c>
      <c r="B4011" s="226">
        <v>12</v>
      </c>
      <c r="C4011" s="226">
        <v>20</v>
      </c>
      <c r="D4011" s="232">
        <f t="shared" si="430"/>
        <v>45280</v>
      </c>
      <c r="E4011" s="234">
        <f>DATE(A4011,B4011,C4011)</f>
        <v>45280</v>
      </c>
      <c r="F4011" s="479"/>
      <c r="G4011" s="227" t="s">
        <v>1111</v>
      </c>
      <c r="H4011" s="228" t="str" cm="1">
        <f t="array" ref="H4011">IFERROR(INDEX(INVESTOR_LIST[INVESTOR NAME],MATCH(I4011,INVESTOR_LIST[INVESTOR CODE],0),)," ")</f>
        <v xml:space="preserve"> </v>
      </c>
      <c r="I4011" s="228"/>
      <c r="J4011" s="229" t="s">
        <v>199</v>
      </c>
      <c r="K4011" s="230"/>
      <c r="L4011" s="230">
        <v>1244156.48</v>
      </c>
      <c r="M4011" s="166"/>
    </row>
    <row r="4012" spans="1:13" ht="11.25" customHeight="1" x14ac:dyDescent="0.2">
      <c r="A4012" s="221">
        <v>2023</v>
      </c>
      <c r="B4012" s="221">
        <v>12</v>
      </c>
      <c r="C4012" s="221">
        <v>20</v>
      </c>
      <c r="D4012" s="221">
        <f t="shared" si="430"/>
        <v>45280</v>
      </c>
      <c r="E4012" s="233">
        <f t="shared" ref="E4012:E4015" si="431">DATE(A4012,B4012,C4012)</f>
        <v>45280</v>
      </c>
      <c r="F4012" s="478" t="s">
        <v>1589</v>
      </c>
      <c r="G4012" s="222" t="s">
        <v>86</v>
      </c>
      <c r="H4012" s="222" t="str" cm="1">
        <f t="array" ref="H4012">IFERROR(INDEX(INVESTOR_LIST[INVESTOR NAME],MATCH(I4012,INVESTOR_LIST[INVESTOR CODE],0),)," ")</f>
        <v xml:space="preserve"> </v>
      </c>
      <c r="I4012" s="223"/>
      <c r="J4012" s="165" t="s">
        <v>199</v>
      </c>
      <c r="K4012" s="225">
        <v>172239.41</v>
      </c>
      <c r="L4012" s="225"/>
    </row>
    <row r="4013" spans="1:13" ht="11.25" customHeight="1" x14ac:dyDescent="0.2">
      <c r="A4013" s="164">
        <v>2023</v>
      </c>
      <c r="B4013" s="164">
        <v>12</v>
      </c>
      <c r="C4013" s="164">
        <v>20</v>
      </c>
      <c r="D4013" s="164">
        <f t="shared" si="430"/>
        <v>45280</v>
      </c>
      <c r="E4013" s="235">
        <f t="shared" si="431"/>
        <v>45280</v>
      </c>
      <c r="F4013" s="480"/>
      <c r="G4013" s="208" t="s">
        <v>86</v>
      </c>
      <c r="H4013" s="208"/>
      <c r="J4013" s="165" t="s">
        <v>960</v>
      </c>
      <c r="K4013" s="205">
        <v>310.58999999999997</v>
      </c>
      <c r="L4013" s="205"/>
    </row>
    <row r="4014" spans="1:13" ht="11.25" customHeight="1" x14ac:dyDescent="0.2">
      <c r="A4014" s="164">
        <v>2023</v>
      </c>
      <c r="B4014" s="164">
        <v>12</v>
      </c>
      <c r="C4014" s="164">
        <v>20</v>
      </c>
      <c r="D4014" s="164">
        <f t="shared" si="430"/>
        <v>45280</v>
      </c>
      <c r="E4014" s="235">
        <f t="shared" si="431"/>
        <v>45280</v>
      </c>
      <c r="F4014" s="480"/>
      <c r="G4014" s="208" t="s">
        <v>86</v>
      </c>
      <c r="H4014" s="208"/>
      <c r="J4014" s="165" t="s">
        <v>200</v>
      </c>
      <c r="K4014" s="205"/>
      <c r="L4014" s="205">
        <v>4860.4399999999996</v>
      </c>
    </row>
    <row r="4015" spans="1:13" ht="11.25" customHeight="1" x14ac:dyDescent="0.2">
      <c r="A4015" s="226">
        <v>2023</v>
      </c>
      <c r="B4015" s="226">
        <v>12</v>
      </c>
      <c r="C4015" s="226">
        <v>20</v>
      </c>
      <c r="D4015" s="226">
        <f t="shared" si="430"/>
        <v>45280</v>
      </c>
      <c r="E4015" s="234">
        <f t="shared" si="431"/>
        <v>45280</v>
      </c>
      <c r="F4015" s="479"/>
      <c r="G4015" s="227" t="s">
        <v>86</v>
      </c>
      <c r="H4015" s="228" t="str" cm="1">
        <f t="array" ref="H4015">IFERROR(INDEX(INVESTOR_LIST[INVESTOR NAME],MATCH(I4015,INVESTOR_LIST[INVESTOR CODE],0),)," ")</f>
        <v xml:space="preserve"> </v>
      </c>
      <c r="I4015" s="228"/>
      <c r="J4015" s="229" t="s">
        <v>80</v>
      </c>
      <c r="K4015" s="230"/>
      <c r="L4015" s="230">
        <v>167689.56</v>
      </c>
    </row>
    <row r="4016" spans="1:13" ht="11.25" customHeight="1" x14ac:dyDescent="0.2">
      <c r="A4016" s="221">
        <v>2023</v>
      </c>
      <c r="B4016" s="221">
        <v>12</v>
      </c>
      <c r="C4016" s="221">
        <v>20</v>
      </c>
      <c r="D4016" s="221">
        <f t="shared" si="430"/>
        <v>45280</v>
      </c>
      <c r="E4016" s="233">
        <f t="shared" ref="E4016:E4073" si="432">DATE(A4016,B4016,C4016)</f>
        <v>45280</v>
      </c>
      <c r="F4016" s="478" t="s">
        <v>1589</v>
      </c>
      <c r="G4016" s="222" t="s">
        <v>86</v>
      </c>
      <c r="H4016" s="222" t="str" cm="1">
        <f t="array" ref="H4016">IFERROR(INDEX(INVESTOR_LIST[INVESTOR NAME],MATCH(I4016,INVESTOR_LIST[INVESTOR CODE],0),)," ")</f>
        <v xml:space="preserve"> </v>
      </c>
      <c r="I4016" s="223"/>
      <c r="J4016" s="165" t="s">
        <v>199</v>
      </c>
      <c r="K4016" s="225">
        <v>245058.1</v>
      </c>
      <c r="L4016" s="225"/>
    </row>
    <row r="4017" spans="1:12" ht="11.25" customHeight="1" x14ac:dyDescent="0.2">
      <c r="A4017" s="164">
        <v>2023</v>
      </c>
      <c r="B4017" s="164">
        <v>12</v>
      </c>
      <c r="C4017" s="164">
        <v>20</v>
      </c>
      <c r="D4017" s="164">
        <f t="shared" si="430"/>
        <v>45280</v>
      </c>
      <c r="E4017" s="235">
        <f t="shared" si="432"/>
        <v>45280</v>
      </c>
      <c r="F4017" s="480"/>
      <c r="G4017" s="208" t="s">
        <v>86</v>
      </c>
      <c r="H4017" s="208"/>
      <c r="J4017" s="165" t="s">
        <v>960</v>
      </c>
      <c r="K4017" s="205">
        <v>441.9</v>
      </c>
      <c r="L4017" s="205"/>
    </row>
    <row r="4018" spans="1:12" ht="11.25" customHeight="1" x14ac:dyDescent="0.2">
      <c r="A4018" s="164">
        <v>2023</v>
      </c>
      <c r="B4018" s="164">
        <v>12</v>
      </c>
      <c r="C4018" s="164">
        <v>20</v>
      </c>
      <c r="D4018" s="164">
        <f t="shared" si="430"/>
        <v>45280</v>
      </c>
      <c r="E4018" s="235">
        <f t="shared" si="432"/>
        <v>45280</v>
      </c>
      <c r="F4018" s="480"/>
      <c r="G4018" s="208" t="s">
        <v>86</v>
      </c>
      <c r="H4018" s="208"/>
      <c r="J4018" s="165" t="s">
        <v>200</v>
      </c>
      <c r="K4018" s="205"/>
      <c r="L4018" s="205">
        <v>5943.48</v>
      </c>
    </row>
    <row r="4019" spans="1:12" ht="11.25" customHeight="1" x14ac:dyDescent="0.2">
      <c r="A4019" s="226">
        <v>2023</v>
      </c>
      <c r="B4019" s="226">
        <v>12</v>
      </c>
      <c r="C4019" s="226">
        <v>20</v>
      </c>
      <c r="D4019" s="226">
        <f t="shared" si="430"/>
        <v>45280</v>
      </c>
      <c r="E4019" s="234">
        <f t="shared" si="432"/>
        <v>45280</v>
      </c>
      <c r="F4019" s="479"/>
      <c r="G4019" s="227" t="s">
        <v>86</v>
      </c>
      <c r="H4019" s="228" t="str" cm="1">
        <f t="array" ref="H4019">IFERROR(INDEX(INVESTOR_LIST[INVESTOR NAME],MATCH(I4019,INVESTOR_LIST[INVESTOR CODE],0),)," ")</f>
        <v xml:space="preserve"> </v>
      </c>
      <c r="I4019" s="228"/>
      <c r="J4019" s="229" t="s">
        <v>80</v>
      </c>
      <c r="K4019" s="230"/>
      <c r="L4019" s="230">
        <v>239556.52</v>
      </c>
    </row>
    <row r="4020" spans="1:12" ht="11.25" customHeight="1" x14ac:dyDescent="0.2">
      <c r="A4020" s="221">
        <v>2023</v>
      </c>
      <c r="B4020" s="221">
        <v>12</v>
      </c>
      <c r="C4020" s="221">
        <v>20</v>
      </c>
      <c r="D4020" s="231">
        <f t="shared" si="430"/>
        <v>45280</v>
      </c>
      <c r="E4020" s="233">
        <f t="shared" si="432"/>
        <v>45280</v>
      </c>
      <c r="F4020" s="478" t="s">
        <v>1677</v>
      </c>
      <c r="G4020" s="222" t="s">
        <v>1111</v>
      </c>
      <c r="H4020" s="223" t="str" cm="1">
        <f t="array" ref="H4020">IFERROR(INDEX(INVESTOR_LIST[INVESTOR NAME],MATCH(I4020,INVESTOR_LIST[INVESTOR CODE],0),)," ")</f>
        <v xml:space="preserve"> </v>
      </c>
      <c r="I4020" s="223"/>
      <c r="J4020" s="224" t="s">
        <v>63</v>
      </c>
      <c r="K4020" s="225">
        <v>1380</v>
      </c>
      <c r="L4020" s="225"/>
    </row>
    <row r="4021" spans="1:12" ht="11.25" customHeight="1" x14ac:dyDescent="0.2">
      <c r="A4021" s="226">
        <v>2023</v>
      </c>
      <c r="B4021" s="226">
        <v>12</v>
      </c>
      <c r="C4021" s="226">
        <v>20</v>
      </c>
      <c r="D4021" s="232">
        <f t="shared" si="430"/>
        <v>45280</v>
      </c>
      <c r="E4021" s="234">
        <f t="shared" si="432"/>
        <v>45280</v>
      </c>
      <c r="F4021" s="479"/>
      <c r="G4021" s="227" t="s">
        <v>1111</v>
      </c>
      <c r="H4021" s="228" t="str" cm="1">
        <f t="array" ref="H4021">IFERROR(INDEX(INVESTOR_LIST[INVESTOR NAME],MATCH(I4021,INVESTOR_LIST[INVESTOR CODE],0),)," ")</f>
        <v xml:space="preserve"> </v>
      </c>
      <c r="I4021" s="228"/>
      <c r="J4021" s="229" t="s">
        <v>55</v>
      </c>
      <c r="K4021" s="230"/>
      <c r="L4021" s="230">
        <v>1380</v>
      </c>
    </row>
    <row r="4022" spans="1:12" ht="11.25" customHeight="1" x14ac:dyDescent="0.2">
      <c r="A4022" s="280">
        <v>2023</v>
      </c>
      <c r="B4022" s="280">
        <v>12</v>
      </c>
      <c r="C4022" s="280">
        <v>21</v>
      </c>
      <c r="D4022" s="281">
        <f t="shared" si="430"/>
        <v>45281</v>
      </c>
      <c r="E4022" s="282">
        <f t="shared" si="432"/>
        <v>45281</v>
      </c>
      <c r="F4022" s="472" t="s">
        <v>1369</v>
      </c>
      <c r="G4022" s="283" t="s">
        <v>86</v>
      </c>
      <c r="H4022" s="284" t="str" cm="1">
        <f t="array" ref="H4022">IFERROR(INDEX(INVESTOR_LIST[INVESTOR NAME],MATCH(I4022,INVESTOR_LIST[INVESTOR CODE],0),)," ")</f>
        <v xml:space="preserve"> </v>
      </c>
      <c r="I4022" s="284"/>
      <c r="J4022" s="285" t="s">
        <v>131</v>
      </c>
      <c r="K4022" s="286">
        <v>12048.08</v>
      </c>
      <c r="L4022" s="286"/>
    </row>
    <row r="4023" spans="1:12" ht="11.25" customHeight="1" x14ac:dyDescent="0.2">
      <c r="A4023" s="287">
        <v>2023</v>
      </c>
      <c r="B4023" s="287">
        <v>12</v>
      </c>
      <c r="C4023" s="287">
        <v>21</v>
      </c>
      <c r="D4023" s="288">
        <f t="shared" si="430"/>
        <v>45281</v>
      </c>
      <c r="E4023" s="289">
        <f t="shared" si="432"/>
        <v>45281</v>
      </c>
      <c r="F4023" s="473"/>
      <c r="G4023" s="290" t="s">
        <v>86</v>
      </c>
      <c r="H4023" s="291" t="str" cm="1">
        <f t="array" ref="H4023">IFERROR(INDEX(INVESTOR_LIST[INVESTOR NAME],MATCH(I4023,INVESTOR_LIST[INVESTOR CODE],0),)," ")</f>
        <v xml:space="preserve"> </v>
      </c>
      <c r="I4023" s="291"/>
      <c r="J4023" s="292" t="s">
        <v>174</v>
      </c>
      <c r="K4023" s="293"/>
      <c r="L4023" s="293">
        <v>12048.08</v>
      </c>
    </row>
    <row r="4024" spans="1:12" ht="11.25" customHeight="1" x14ac:dyDescent="0.2">
      <c r="A4024" s="280">
        <v>2023</v>
      </c>
      <c r="B4024" s="280">
        <v>12</v>
      </c>
      <c r="C4024" s="280">
        <v>21</v>
      </c>
      <c r="D4024" s="281">
        <f t="shared" si="430"/>
        <v>45281</v>
      </c>
      <c r="E4024" s="282">
        <f t="shared" si="432"/>
        <v>45281</v>
      </c>
      <c r="F4024" s="472" t="s">
        <v>1584</v>
      </c>
      <c r="G4024" s="283" t="s">
        <v>86</v>
      </c>
      <c r="H4024" s="284" t="str" cm="1">
        <f t="array" ref="H4024">IFERROR(INDEX(INVESTOR_LIST[INVESTOR NAME],MATCH(I4024,INVESTOR_LIST[INVESTOR CODE],0),)," ")</f>
        <v xml:space="preserve"> </v>
      </c>
      <c r="I4024" s="284"/>
      <c r="J4024" s="285" t="s">
        <v>131</v>
      </c>
      <c r="K4024" s="286">
        <v>6346.1538461538457</v>
      </c>
      <c r="L4024" s="286"/>
    </row>
    <row r="4025" spans="1:12" ht="11.25" customHeight="1" x14ac:dyDescent="0.2">
      <c r="A4025" s="287">
        <v>2023</v>
      </c>
      <c r="B4025" s="287">
        <v>12</v>
      </c>
      <c r="C4025" s="287">
        <v>21</v>
      </c>
      <c r="D4025" s="288">
        <f t="shared" si="430"/>
        <v>45281</v>
      </c>
      <c r="E4025" s="289">
        <f t="shared" si="432"/>
        <v>45281</v>
      </c>
      <c r="F4025" s="473"/>
      <c r="G4025" s="290" t="s">
        <v>86</v>
      </c>
      <c r="H4025" s="291" t="str" cm="1">
        <f t="array" ref="H4025">IFERROR(INDEX(INVESTOR_LIST[INVESTOR NAME],MATCH(I4025,INVESTOR_LIST[INVESTOR CODE],0),)," ")</f>
        <v xml:space="preserve"> </v>
      </c>
      <c r="I4025" s="291"/>
      <c r="J4025" s="292" t="s">
        <v>174</v>
      </c>
      <c r="K4025" s="293"/>
      <c r="L4025" s="293">
        <v>6346.1538461538457</v>
      </c>
    </row>
    <row r="4026" spans="1:12" ht="11.25" customHeight="1" x14ac:dyDescent="0.2">
      <c r="A4026" s="358">
        <v>2023</v>
      </c>
      <c r="B4026" s="358">
        <v>12</v>
      </c>
      <c r="C4026" s="358">
        <v>21</v>
      </c>
      <c r="D4026" s="312">
        <f t="shared" si="430"/>
        <v>45281</v>
      </c>
      <c r="E4026" s="313">
        <f t="shared" si="432"/>
        <v>45281</v>
      </c>
      <c r="F4026" s="482" t="s">
        <v>1627</v>
      </c>
      <c r="G4026" s="314" t="s">
        <v>86</v>
      </c>
      <c r="H4026" s="324" t="str" cm="1">
        <f t="array" ref="H4026">IFERROR(INDEX(INVESTOR_LIST[INVESTOR NAME],MATCH(I4026,INVESTOR_LIST[INVESTOR CODE],0),)," ")</f>
        <v xml:space="preserve"> </v>
      </c>
      <c r="I4026" s="324"/>
      <c r="J4026" s="364" t="s">
        <v>1621</v>
      </c>
      <c r="K4026" s="365">
        <v>43993.199999999255</v>
      </c>
      <c r="L4026" s="365"/>
    </row>
    <row r="4027" spans="1:12" ht="11.25" customHeight="1" x14ac:dyDescent="0.2">
      <c r="A4027" s="320">
        <v>2023</v>
      </c>
      <c r="B4027" s="320">
        <v>12</v>
      </c>
      <c r="C4027" s="320">
        <v>21</v>
      </c>
      <c r="D4027" s="323">
        <f t="shared" si="430"/>
        <v>45281</v>
      </c>
      <c r="E4027" s="321">
        <f t="shared" si="432"/>
        <v>45281</v>
      </c>
      <c r="F4027" s="483"/>
      <c r="G4027" s="322" t="s">
        <v>86</v>
      </c>
      <c r="H4027" s="325" t="str" cm="1">
        <f t="array" ref="H4027">IFERROR(INDEX(INVESTOR_LIST[INVESTOR NAME],MATCH(I4027,INVESTOR_LIST[INVESTOR CODE],0),)," ")</f>
        <v xml:space="preserve"> </v>
      </c>
      <c r="I4027" s="325"/>
      <c r="J4027" s="366" t="s">
        <v>1613</v>
      </c>
      <c r="K4027" s="367"/>
      <c r="L4027" s="367">
        <v>43993.199999999255</v>
      </c>
    </row>
    <row r="4028" spans="1:12" ht="11.25" customHeight="1" x14ac:dyDescent="0.2">
      <c r="A4028" s="236">
        <v>2023</v>
      </c>
      <c r="B4028" s="236">
        <v>12</v>
      </c>
      <c r="C4028" s="236">
        <v>21</v>
      </c>
      <c r="D4028" s="237">
        <f t="shared" si="430"/>
        <v>45281</v>
      </c>
      <c r="E4028" s="238">
        <f t="shared" si="432"/>
        <v>45281</v>
      </c>
      <c r="F4028" s="476" t="s">
        <v>1118</v>
      </c>
      <c r="G4028" s="239" t="s">
        <v>86</v>
      </c>
      <c r="H4028" s="239" t="str" cm="1">
        <f t="array" ref="H4028">IFERROR(INDEX(INVESTOR_LIST[INVESTOR NAME],MATCH(I4028,INVESTOR_LIST[INVESTOR CODE],0),)," ")</f>
        <v xml:space="preserve"> </v>
      </c>
      <c r="I4028" s="240"/>
      <c r="J4028" s="241" t="s">
        <v>82</v>
      </c>
      <c r="K4028" s="242">
        <v>159764.81999997795</v>
      </c>
      <c r="L4028" s="242"/>
    </row>
    <row r="4029" spans="1:12" ht="11.25" customHeight="1" x14ac:dyDescent="0.2">
      <c r="A4029" s="243">
        <v>2023</v>
      </c>
      <c r="B4029" s="243">
        <v>12</v>
      </c>
      <c r="C4029" s="243">
        <v>21</v>
      </c>
      <c r="D4029" s="248">
        <f t="shared" si="430"/>
        <v>45281</v>
      </c>
      <c r="E4029" s="249">
        <f t="shared" si="432"/>
        <v>45281</v>
      </c>
      <c r="F4029" s="477"/>
      <c r="G4029" s="244" t="s">
        <v>86</v>
      </c>
      <c r="H4029" s="244" t="str" cm="1">
        <f t="array" ref="H4029">IFERROR(INDEX(INVESTOR_LIST[INVESTOR NAME],MATCH(I4029,INVESTOR_LIST[INVESTOR CODE],0),)," ")</f>
        <v xml:space="preserve"> </v>
      </c>
      <c r="I4029" s="245"/>
      <c r="J4029" s="246" t="s">
        <v>98</v>
      </c>
      <c r="K4029" s="247"/>
      <c r="L4029" s="247">
        <v>159764.81999997795</v>
      </c>
    </row>
    <row r="4030" spans="1:12" ht="11.25" customHeight="1" x14ac:dyDescent="0.2">
      <c r="A4030" s="236">
        <v>2023</v>
      </c>
      <c r="B4030" s="236">
        <v>12</v>
      </c>
      <c r="C4030" s="236">
        <v>21</v>
      </c>
      <c r="D4030" s="237">
        <f t="shared" si="430"/>
        <v>45281</v>
      </c>
      <c r="E4030" s="238">
        <f t="shared" si="432"/>
        <v>45281</v>
      </c>
      <c r="F4030" s="476" t="s">
        <v>1120</v>
      </c>
      <c r="G4030" s="239" t="s">
        <v>86</v>
      </c>
      <c r="H4030" s="239" t="str" cm="1">
        <f t="array" ref="H4030">IFERROR(INDEX(INVESTOR_LIST[INVESTOR NAME],MATCH(I4030,INVESTOR_LIST[INVESTOR CODE],0),)," ")</f>
        <v xml:space="preserve"> </v>
      </c>
      <c r="I4030" s="240"/>
      <c r="J4030" s="241" t="s">
        <v>87</v>
      </c>
      <c r="K4030" s="242">
        <v>2747.2527472527472</v>
      </c>
      <c r="L4030" s="242"/>
    </row>
    <row r="4031" spans="1:12" ht="11.25" customHeight="1" x14ac:dyDescent="0.2">
      <c r="A4031" s="243">
        <v>2023</v>
      </c>
      <c r="B4031" s="243">
        <v>12</v>
      </c>
      <c r="C4031" s="243">
        <v>21</v>
      </c>
      <c r="D4031" s="248">
        <f t="shared" si="430"/>
        <v>45281</v>
      </c>
      <c r="E4031" s="249">
        <f t="shared" si="432"/>
        <v>45281</v>
      </c>
      <c r="F4031" s="477"/>
      <c r="G4031" s="244" t="s">
        <v>86</v>
      </c>
      <c r="H4031" s="244" t="str" cm="1">
        <f t="array" ref="H4031">IFERROR(INDEX(INVESTOR_LIST[INVESTOR NAME],MATCH(I4031,INVESTOR_LIST[INVESTOR CODE],0),)," ")</f>
        <v xml:space="preserve"> </v>
      </c>
      <c r="I4031" s="245"/>
      <c r="J4031" s="246" t="s">
        <v>64</v>
      </c>
      <c r="K4031" s="247"/>
      <c r="L4031" s="247">
        <v>2747.2527472527472</v>
      </c>
    </row>
    <row r="4032" spans="1:12" ht="11.25" customHeight="1" x14ac:dyDescent="0.2">
      <c r="A4032" s="236">
        <v>2023</v>
      </c>
      <c r="B4032" s="236">
        <v>12</v>
      </c>
      <c r="C4032" s="236">
        <v>21</v>
      </c>
      <c r="D4032" s="237">
        <f t="shared" si="430"/>
        <v>45281</v>
      </c>
      <c r="E4032" s="238">
        <f t="shared" si="432"/>
        <v>45281</v>
      </c>
      <c r="F4032" s="476" t="s">
        <v>1121</v>
      </c>
      <c r="G4032" s="239" t="s">
        <v>86</v>
      </c>
      <c r="H4032" s="239" t="str" cm="1">
        <f t="array" ref="H4032">IFERROR(INDEX(INVESTOR_LIST[INVESTOR NAME],MATCH(I4032,INVESTOR_LIST[INVESTOR CODE],0),)," ")</f>
        <v xml:space="preserve"> </v>
      </c>
      <c r="I4032" s="240"/>
      <c r="J4032" s="241" t="s">
        <v>89</v>
      </c>
      <c r="K4032" s="242">
        <v>66266.353128675721</v>
      </c>
      <c r="L4032" s="242"/>
    </row>
    <row r="4033" spans="1:12" ht="11.25" customHeight="1" x14ac:dyDescent="0.2">
      <c r="A4033" s="243">
        <v>2023</v>
      </c>
      <c r="B4033" s="243">
        <v>12</v>
      </c>
      <c r="C4033" s="243">
        <v>21</v>
      </c>
      <c r="D4033" s="248">
        <f t="shared" si="430"/>
        <v>45281</v>
      </c>
      <c r="E4033" s="249">
        <f t="shared" si="432"/>
        <v>45281</v>
      </c>
      <c r="F4033" s="477"/>
      <c r="G4033" s="244" t="s">
        <v>86</v>
      </c>
      <c r="H4033" s="244" t="str" cm="1">
        <f t="array" ref="H4033">IFERROR(INDEX(INVESTOR_LIST[INVESTOR NAME],MATCH(I4033,INVESTOR_LIST[INVESTOR CODE],0),)," ")</f>
        <v xml:space="preserve"> </v>
      </c>
      <c r="I4033" s="245"/>
      <c r="J4033" s="246" t="s">
        <v>50</v>
      </c>
      <c r="K4033" s="247"/>
      <c r="L4033" s="247">
        <v>66266.353128675721</v>
      </c>
    </row>
    <row r="4034" spans="1:12" ht="11.25" customHeight="1" x14ac:dyDescent="0.2">
      <c r="A4034" s="236">
        <v>2023</v>
      </c>
      <c r="B4034" s="236">
        <v>12</v>
      </c>
      <c r="C4034" s="236">
        <v>21</v>
      </c>
      <c r="D4034" s="237">
        <f t="shared" si="430"/>
        <v>45281</v>
      </c>
      <c r="E4034" s="238">
        <f t="shared" si="432"/>
        <v>45281</v>
      </c>
      <c r="F4034" s="476" t="s">
        <v>1122</v>
      </c>
      <c r="G4034" s="239" t="s">
        <v>86</v>
      </c>
      <c r="H4034" s="239" t="str" cm="1">
        <f t="array" ref="H4034">IFERROR(INDEX(INVESTOR_LIST[INVESTOR NAME],MATCH(I4034,INVESTOR_LIST[INVESTOR CODE],0),)," ")</f>
        <v xml:space="preserve"> </v>
      </c>
      <c r="I4034" s="240"/>
      <c r="J4034" s="241" t="s">
        <v>91</v>
      </c>
      <c r="K4034" s="242">
        <v>3313.3176564337855</v>
      </c>
      <c r="L4034" s="242"/>
    </row>
    <row r="4035" spans="1:12" ht="11.25" customHeight="1" x14ac:dyDescent="0.2">
      <c r="A4035" s="243">
        <v>2023</v>
      </c>
      <c r="B4035" s="243">
        <v>12</v>
      </c>
      <c r="C4035" s="243">
        <v>21</v>
      </c>
      <c r="D4035" s="248">
        <f t="shared" si="430"/>
        <v>45281</v>
      </c>
      <c r="E4035" s="249">
        <f t="shared" si="432"/>
        <v>45281</v>
      </c>
      <c r="F4035" s="477"/>
      <c r="G4035" s="244" t="s">
        <v>86</v>
      </c>
      <c r="H4035" s="244" t="str" cm="1">
        <f t="array" ref="H4035">IFERROR(INDEX(INVESTOR_LIST[INVESTOR NAME],MATCH(I4035,INVESTOR_LIST[INVESTOR CODE],0),)," ")</f>
        <v xml:space="preserve"> </v>
      </c>
      <c r="I4035" s="245"/>
      <c r="J4035" s="246" t="s">
        <v>51</v>
      </c>
      <c r="K4035" s="247"/>
      <c r="L4035" s="247">
        <v>3313.3176564337855</v>
      </c>
    </row>
    <row r="4036" spans="1:12" ht="11.25" customHeight="1" x14ac:dyDescent="0.2">
      <c r="A4036" s="221">
        <v>2023</v>
      </c>
      <c r="B4036" s="221">
        <v>12</v>
      </c>
      <c r="C4036" s="221">
        <v>26</v>
      </c>
      <c r="D4036" s="231">
        <f t="shared" si="430"/>
        <v>45286</v>
      </c>
      <c r="E4036" s="233">
        <f t="shared" ref="E4036:E4038" si="433">DATE(A4036,B4036,C4036)</f>
        <v>45286</v>
      </c>
      <c r="F4036" s="478" t="s">
        <v>1132</v>
      </c>
      <c r="G4036" s="222" t="s">
        <v>1111</v>
      </c>
      <c r="H4036" s="223" t="str" cm="1">
        <f t="array" ref="H4036">IFERROR(INDEX(INVESTOR_LIST[INVESTOR NAME],MATCH(I4036,INVESTOR_LIST[INVESTOR CODE],0),)," ")</f>
        <v xml:space="preserve"> </v>
      </c>
      <c r="I4036" s="223"/>
      <c r="J4036" s="224" t="s">
        <v>55</v>
      </c>
      <c r="K4036" s="167">
        <v>15000</v>
      </c>
      <c r="L4036" s="225"/>
    </row>
    <row r="4037" spans="1:12" ht="11.25" customHeight="1" x14ac:dyDescent="0.2">
      <c r="A4037" s="164">
        <v>2023</v>
      </c>
      <c r="B4037" s="164">
        <v>12</v>
      </c>
      <c r="C4037" s="164">
        <v>26</v>
      </c>
      <c r="D4037" s="156">
        <f t="shared" si="430"/>
        <v>45286</v>
      </c>
      <c r="E4037" s="235">
        <f t="shared" si="433"/>
        <v>45286</v>
      </c>
      <c r="F4037" s="480"/>
      <c r="G4037" s="208" t="s">
        <v>1111</v>
      </c>
      <c r="H4037" s="206" t="str" cm="1">
        <f t="array" ref="H4037">IFERROR(INDEX(INVESTOR_LIST[INVESTOR NAME],MATCH(I4037,INVESTOR_LIST[INVESTOR CODE],0),)," ")</f>
        <v xml:space="preserve"> </v>
      </c>
      <c r="J4037" s="165" t="s">
        <v>14</v>
      </c>
      <c r="L4037" s="205">
        <v>14530</v>
      </c>
    </row>
    <row r="4038" spans="1:12" ht="11.25" customHeight="1" x14ac:dyDescent="0.2">
      <c r="A4038" s="226">
        <v>2023</v>
      </c>
      <c r="B4038" s="226">
        <v>12</v>
      </c>
      <c r="C4038" s="226">
        <v>26</v>
      </c>
      <c r="D4038" s="232">
        <f t="shared" si="430"/>
        <v>45286</v>
      </c>
      <c r="E4038" s="234">
        <f t="shared" si="433"/>
        <v>45286</v>
      </c>
      <c r="F4038" s="479"/>
      <c r="G4038" s="227" t="s">
        <v>1111</v>
      </c>
      <c r="H4038" s="228" t="str" cm="1">
        <f t="array" ref="H4038">IFERROR(INDEX(INVESTOR_LIST[INVESTOR NAME],MATCH(I4038,INVESTOR_LIST[INVESTOR CODE],0),)," ")</f>
        <v xml:space="preserve"> </v>
      </c>
      <c r="I4038" s="228"/>
      <c r="J4038" s="229" t="s">
        <v>1112</v>
      </c>
      <c r="K4038" s="230"/>
      <c r="L4038" s="230">
        <v>470</v>
      </c>
    </row>
    <row r="4039" spans="1:12" ht="11.25" customHeight="1" x14ac:dyDescent="0.2">
      <c r="A4039" s="221">
        <v>2023</v>
      </c>
      <c r="B4039" s="221">
        <v>12</v>
      </c>
      <c r="C4039" s="221">
        <v>26</v>
      </c>
      <c r="D4039" s="231">
        <f t="shared" si="430"/>
        <v>45286</v>
      </c>
      <c r="E4039" s="233">
        <f t="shared" si="432"/>
        <v>45286</v>
      </c>
      <c r="F4039" s="478" t="s">
        <v>1656</v>
      </c>
      <c r="G4039" s="222" t="s">
        <v>1111</v>
      </c>
      <c r="H4039" s="222" t="str" cm="1">
        <f t="array" ref="H4039">IFERROR(INDEX(INVESTOR_LIST[INVESTOR NAME],MATCH(I4039,INVESTOR_LIST[INVESTOR CODE],0),)," ")</f>
        <v xml:space="preserve"> </v>
      </c>
      <c r="I4039" s="223"/>
      <c r="J4039" s="224" t="s">
        <v>1465</v>
      </c>
      <c r="K4039" s="357">
        <v>9730720</v>
      </c>
      <c r="L4039" s="225"/>
    </row>
    <row r="4040" spans="1:12" ht="11.25" customHeight="1" x14ac:dyDescent="0.2">
      <c r="A4040" s="226">
        <v>2023</v>
      </c>
      <c r="B4040" s="226">
        <v>12</v>
      </c>
      <c r="C4040" s="226">
        <v>26</v>
      </c>
      <c r="D4040" s="226">
        <f t="shared" si="430"/>
        <v>45286</v>
      </c>
      <c r="E4040" s="234">
        <f t="shared" si="432"/>
        <v>45286</v>
      </c>
      <c r="F4040" s="479"/>
      <c r="G4040" s="227" t="s">
        <v>1111</v>
      </c>
      <c r="H4040" s="227"/>
      <c r="I4040" s="228"/>
      <c r="J4040" s="229" t="s">
        <v>55</v>
      </c>
      <c r="K4040" s="294"/>
      <c r="L4040" s="230">
        <v>9730720</v>
      </c>
    </row>
    <row r="4041" spans="1:12" ht="11.25" customHeight="1" x14ac:dyDescent="0.2">
      <c r="A4041" s="221">
        <v>2023</v>
      </c>
      <c r="B4041" s="221">
        <v>12</v>
      </c>
      <c r="C4041" s="221">
        <v>26</v>
      </c>
      <c r="D4041" s="231">
        <f t="shared" ref="D4041:D4104" si="434">DATE(A4041,B4041,C4041)</f>
        <v>45286</v>
      </c>
      <c r="E4041" s="233">
        <f t="shared" si="432"/>
        <v>45286</v>
      </c>
      <c r="F4041" s="478" t="s">
        <v>1656</v>
      </c>
      <c r="G4041" s="222" t="s">
        <v>1111</v>
      </c>
      <c r="H4041" s="222" t="str" cm="1">
        <f t="array" ref="H4041">IFERROR(INDEX(INVESTOR_LIST[INVESTOR NAME],MATCH(I4041,INVESTOR_LIST[INVESTOR CODE],0),)," ")</f>
        <v xml:space="preserve"> </v>
      </c>
      <c r="I4041" s="223"/>
      <c r="J4041" s="224" t="s">
        <v>1465</v>
      </c>
      <c r="K4041" s="357">
        <v>11192352</v>
      </c>
      <c r="L4041" s="225"/>
    </row>
    <row r="4042" spans="1:12" ht="11.25" customHeight="1" x14ac:dyDescent="0.2">
      <c r="A4042" s="226">
        <v>2023</v>
      </c>
      <c r="B4042" s="226">
        <v>12</v>
      </c>
      <c r="C4042" s="226">
        <v>26</v>
      </c>
      <c r="D4042" s="226">
        <f t="shared" si="434"/>
        <v>45286</v>
      </c>
      <c r="E4042" s="234">
        <f t="shared" si="432"/>
        <v>45286</v>
      </c>
      <c r="F4042" s="479"/>
      <c r="G4042" s="227" t="s">
        <v>1111</v>
      </c>
      <c r="H4042" s="227"/>
      <c r="I4042" s="228"/>
      <c r="J4042" s="229" t="s">
        <v>55</v>
      </c>
      <c r="K4042" s="294"/>
      <c r="L4042" s="230">
        <v>11192352</v>
      </c>
    </row>
    <row r="4043" spans="1:12" ht="11.25" customHeight="1" x14ac:dyDescent="0.2">
      <c r="A4043" s="221">
        <v>2023</v>
      </c>
      <c r="B4043" s="221">
        <v>12</v>
      </c>
      <c r="C4043" s="221">
        <v>26</v>
      </c>
      <c r="D4043" s="231">
        <f t="shared" si="434"/>
        <v>45286</v>
      </c>
      <c r="E4043" s="233">
        <f t="shared" si="432"/>
        <v>45286</v>
      </c>
      <c r="F4043" s="478" t="s">
        <v>1178</v>
      </c>
      <c r="G4043" s="222" t="s">
        <v>1111</v>
      </c>
      <c r="H4043" s="223" t="str" cm="1">
        <f t="array" ref="H4043">IFERROR(INDEX(INVESTOR_LIST[INVESTOR NAME],MATCH(I4043,INVESTOR_LIST[INVESTOR CODE],0),)," ")</f>
        <v xml:space="preserve"> </v>
      </c>
      <c r="I4043" s="223"/>
      <c r="J4043" s="224" t="s">
        <v>189</v>
      </c>
      <c r="K4043" s="225">
        <v>5000</v>
      </c>
      <c r="L4043" s="225"/>
    </row>
    <row r="4044" spans="1:12" ht="11.25" customHeight="1" x14ac:dyDescent="0.2">
      <c r="A4044" s="226">
        <v>2023</v>
      </c>
      <c r="B4044" s="226">
        <v>12</v>
      </c>
      <c r="C4044" s="226">
        <v>26</v>
      </c>
      <c r="D4044" s="232">
        <f t="shared" si="434"/>
        <v>45286</v>
      </c>
      <c r="E4044" s="234">
        <f t="shared" si="432"/>
        <v>45286</v>
      </c>
      <c r="F4044" s="479"/>
      <c r="G4044" s="227" t="s">
        <v>1111</v>
      </c>
      <c r="H4044" s="228" t="str" cm="1">
        <f t="array" ref="H4044">IFERROR(INDEX(INVESTOR_LIST[INVESTOR NAME],MATCH(I4044,INVESTOR_LIST[INVESTOR CODE],0),)," ")</f>
        <v xml:space="preserve"> </v>
      </c>
      <c r="I4044" s="228"/>
      <c r="J4044" s="229" t="s">
        <v>55</v>
      </c>
      <c r="K4044" s="230"/>
      <c r="L4044" s="230">
        <v>5000</v>
      </c>
    </row>
    <row r="4045" spans="1:12" ht="11.25" customHeight="1" x14ac:dyDescent="0.2">
      <c r="A4045" s="221">
        <v>2023</v>
      </c>
      <c r="B4045" s="221">
        <v>12</v>
      </c>
      <c r="C4045" s="221">
        <v>26</v>
      </c>
      <c r="D4045" s="231">
        <f t="shared" si="434"/>
        <v>45286</v>
      </c>
      <c r="E4045" s="233">
        <f t="shared" si="432"/>
        <v>45286</v>
      </c>
      <c r="F4045" s="478" t="s">
        <v>1657</v>
      </c>
      <c r="G4045" s="222" t="s">
        <v>1111</v>
      </c>
      <c r="H4045" s="223" t="str" cm="1">
        <f t="array" ref="H4045">IFERROR(INDEX(INVESTOR_LIST[INVESTOR NAME],MATCH(I4045,INVESTOR_LIST[INVESTOR CODE],0),)," ")</f>
        <v xml:space="preserve"> </v>
      </c>
      <c r="I4045" s="223"/>
      <c r="J4045" s="224" t="s">
        <v>55</v>
      </c>
      <c r="K4045" s="225">
        <v>42500</v>
      </c>
      <c r="L4045" s="225"/>
    </row>
    <row r="4046" spans="1:12" ht="11.25" customHeight="1" x14ac:dyDescent="0.2">
      <c r="A4046" s="164">
        <v>2023</v>
      </c>
      <c r="B4046" s="164">
        <v>12</v>
      </c>
      <c r="C4046" s="164">
        <v>26</v>
      </c>
      <c r="D4046" s="156">
        <f t="shared" si="434"/>
        <v>45286</v>
      </c>
      <c r="E4046" s="235">
        <f t="shared" si="432"/>
        <v>45286</v>
      </c>
      <c r="F4046" s="480"/>
      <c r="G4046" s="208" t="s">
        <v>1111</v>
      </c>
      <c r="J4046" s="165" t="s">
        <v>1457</v>
      </c>
      <c r="K4046" s="205">
        <v>2000000</v>
      </c>
      <c r="L4046" s="205"/>
    </row>
    <row r="4047" spans="1:12" ht="11.25" customHeight="1" x14ac:dyDescent="0.2">
      <c r="A4047" s="164">
        <v>2023</v>
      </c>
      <c r="B4047" s="164">
        <v>12</v>
      </c>
      <c r="C4047" s="164">
        <v>26</v>
      </c>
      <c r="D4047" s="156">
        <f t="shared" si="434"/>
        <v>45286</v>
      </c>
      <c r="E4047" s="235">
        <f t="shared" si="432"/>
        <v>45286</v>
      </c>
      <c r="F4047" s="480"/>
      <c r="G4047" s="208" t="s">
        <v>1111</v>
      </c>
      <c r="J4047" s="165" t="s">
        <v>131</v>
      </c>
      <c r="K4047" s="205"/>
      <c r="L4047" s="205">
        <v>42500</v>
      </c>
    </row>
    <row r="4048" spans="1:12" ht="11.25" customHeight="1" x14ac:dyDescent="0.2">
      <c r="A4048" s="226">
        <v>2023</v>
      </c>
      <c r="B4048" s="226">
        <v>12</v>
      </c>
      <c r="C4048" s="226">
        <v>26</v>
      </c>
      <c r="D4048" s="232">
        <f t="shared" si="434"/>
        <v>45286</v>
      </c>
      <c r="E4048" s="234">
        <f t="shared" si="432"/>
        <v>45286</v>
      </c>
      <c r="F4048" s="479"/>
      <c r="G4048" s="227" t="s">
        <v>1111</v>
      </c>
      <c r="H4048" s="228" t="str" cm="1">
        <f t="array" ref="H4048">IFERROR(INDEX(INVESTOR_LIST[INVESTOR NAME],MATCH(I4048,INVESTOR_LIST[INVESTOR CODE],0),)," ")</f>
        <v xml:space="preserve"> </v>
      </c>
      <c r="I4048" s="228"/>
      <c r="J4048" s="229" t="s">
        <v>88</v>
      </c>
      <c r="K4048" s="230"/>
      <c r="L4048" s="230">
        <v>2000000</v>
      </c>
    </row>
    <row r="4049" spans="1:13" ht="11.25" customHeight="1" x14ac:dyDescent="0.2">
      <c r="A4049" s="221">
        <v>2023</v>
      </c>
      <c r="B4049" s="221">
        <v>12</v>
      </c>
      <c r="C4049" s="221">
        <v>26</v>
      </c>
      <c r="D4049" s="231">
        <f t="shared" si="434"/>
        <v>45286</v>
      </c>
      <c r="E4049" s="233">
        <f t="shared" ref="E4049:E4063" si="435">DATE(A4049,B4049,C4049)</f>
        <v>45286</v>
      </c>
      <c r="F4049" s="478" t="s">
        <v>1658</v>
      </c>
      <c r="G4049" s="222" t="s">
        <v>1111</v>
      </c>
      <c r="H4049" s="223" t="str" cm="1">
        <f t="array" ref="H4049">IFERROR(INDEX(INVESTOR_LIST[INVESTOR NAME],MATCH(I4049,INVESTOR_LIST[INVESTOR CODE],0),)," ")</f>
        <v xml:space="preserve"> </v>
      </c>
      <c r="I4049" s="223"/>
      <c r="J4049" s="224" t="s">
        <v>55</v>
      </c>
      <c r="K4049" s="225">
        <v>42500</v>
      </c>
      <c r="L4049" s="225"/>
    </row>
    <row r="4050" spans="1:13" ht="11.25" customHeight="1" x14ac:dyDescent="0.2">
      <c r="A4050" s="164">
        <v>2023</v>
      </c>
      <c r="B4050" s="164">
        <v>12</v>
      </c>
      <c r="C4050" s="164">
        <v>26</v>
      </c>
      <c r="D4050" s="156">
        <f t="shared" si="434"/>
        <v>45286</v>
      </c>
      <c r="E4050" s="235">
        <f t="shared" si="435"/>
        <v>45286</v>
      </c>
      <c r="F4050" s="480"/>
      <c r="G4050" s="208" t="s">
        <v>1111</v>
      </c>
      <c r="J4050" s="165" t="s">
        <v>1457</v>
      </c>
      <c r="K4050" s="205">
        <v>2000000</v>
      </c>
      <c r="L4050" s="205"/>
    </row>
    <row r="4051" spans="1:13" ht="11.25" customHeight="1" x14ac:dyDescent="0.2">
      <c r="A4051" s="164">
        <v>2023</v>
      </c>
      <c r="B4051" s="164">
        <v>12</v>
      </c>
      <c r="C4051" s="164">
        <v>26</v>
      </c>
      <c r="D4051" s="156">
        <f t="shared" si="434"/>
        <v>45286</v>
      </c>
      <c r="E4051" s="235">
        <f t="shared" si="435"/>
        <v>45286</v>
      </c>
      <c r="F4051" s="480"/>
      <c r="G4051" s="208" t="s">
        <v>1111</v>
      </c>
      <c r="J4051" s="165" t="s">
        <v>131</v>
      </c>
      <c r="K4051" s="205"/>
      <c r="L4051" s="205">
        <v>42500</v>
      </c>
    </row>
    <row r="4052" spans="1:13" ht="11.25" customHeight="1" x14ac:dyDescent="0.2">
      <c r="A4052" s="226">
        <v>2023</v>
      </c>
      <c r="B4052" s="226">
        <v>12</v>
      </c>
      <c r="C4052" s="226">
        <v>26</v>
      </c>
      <c r="D4052" s="232">
        <f t="shared" si="434"/>
        <v>45286</v>
      </c>
      <c r="E4052" s="234">
        <f t="shared" si="435"/>
        <v>45286</v>
      </c>
      <c r="F4052" s="479"/>
      <c r="G4052" s="227" t="s">
        <v>1111</v>
      </c>
      <c r="H4052" s="228" t="str" cm="1">
        <f t="array" ref="H4052">IFERROR(INDEX(INVESTOR_LIST[INVESTOR NAME],MATCH(I4052,INVESTOR_LIST[INVESTOR CODE],0),)," ")</f>
        <v xml:space="preserve"> </v>
      </c>
      <c r="I4052" s="228"/>
      <c r="J4052" s="229" t="s">
        <v>88</v>
      </c>
      <c r="K4052" s="230"/>
      <c r="L4052" s="230">
        <v>2000000</v>
      </c>
    </row>
    <row r="4053" spans="1:13" ht="11.25" customHeight="1" x14ac:dyDescent="0.2">
      <c r="A4053" s="221">
        <v>2023</v>
      </c>
      <c r="B4053" s="221">
        <v>12</v>
      </c>
      <c r="C4053" s="221">
        <v>26</v>
      </c>
      <c r="D4053" s="221">
        <f t="shared" si="434"/>
        <v>45286</v>
      </c>
      <c r="E4053" s="233">
        <f t="shared" si="435"/>
        <v>45286</v>
      </c>
      <c r="F4053" s="478" t="s">
        <v>1589</v>
      </c>
      <c r="G4053" s="222" t="s">
        <v>86</v>
      </c>
      <c r="H4053" s="222" t="str" cm="1">
        <f t="array" ref="H4053">IFERROR(INDEX(INVESTOR_LIST[INVESTOR NAME],MATCH(I4053,INVESTOR_LIST[INVESTOR CODE],0),)," ")</f>
        <v xml:space="preserve"> </v>
      </c>
      <c r="I4053" s="223"/>
      <c r="J4053" s="165" t="s">
        <v>199</v>
      </c>
      <c r="K4053" s="225">
        <v>1479611.35</v>
      </c>
      <c r="L4053" s="225"/>
    </row>
    <row r="4054" spans="1:13" ht="11.25" customHeight="1" x14ac:dyDescent="0.2">
      <c r="A4054" s="164">
        <v>2023</v>
      </c>
      <c r="B4054" s="164">
        <v>12</v>
      </c>
      <c r="C4054" s="164">
        <v>26</v>
      </c>
      <c r="D4054" s="164">
        <f t="shared" si="434"/>
        <v>45286</v>
      </c>
      <c r="E4054" s="235">
        <f t="shared" si="435"/>
        <v>45286</v>
      </c>
      <c r="F4054" s="480"/>
      <c r="G4054" s="208" t="s">
        <v>86</v>
      </c>
      <c r="H4054" s="208"/>
      <c r="J4054" s="165" t="s">
        <v>960</v>
      </c>
      <c r="K4054" s="205">
        <v>2668.15</v>
      </c>
      <c r="L4054" s="205"/>
    </row>
    <row r="4055" spans="1:13" ht="11.25" customHeight="1" x14ac:dyDescent="0.2">
      <c r="A4055" s="164">
        <v>2023</v>
      </c>
      <c r="B4055" s="164">
        <v>12</v>
      </c>
      <c r="C4055" s="164">
        <v>26</v>
      </c>
      <c r="D4055" s="164">
        <f t="shared" si="434"/>
        <v>45286</v>
      </c>
      <c r="E4055" s="235">
        <f t="shared" si="435"/>
        <v>45286</v>
      </c>
      <c r="F4055" s="480"/>
      <c r="G4055" s="208" t="s">
        <v>86</v>
      </c>
      <c r="H4055" s="208"/>
      <c r="J4055" s="165" t="s">
        <v>200</v>
      </c>
      <c r="K4055" s="205"/>
      <c r="L4055" s="205">
        <v>44940.41</v>
      </c>
    </row>
    <row r="4056" spans="1:13" ht="11.25" customHeight="1" x14ac:dyDescent="0.2">
      <c r="A4056" s="226">
        <v>2023</v>
      </c>
      <c r="B4056" s="226">
        <v>12</v>
      </c>
      <c r="C4056" s="226">
        <v>26</v>
      </c>
      <c r="D4056" s="226">
        <f t="shared" si="434"/>
        <v>45286</v>
      </c>
      <c r="E4056" s="234">
        <f t="shared" si="435"/>
        <v>45286</v>
      </c>
      <c r="F4056" s="479"/>
      <c r="G4056" s="227" t="s">
        <v>86</v>
      </c>
      <c r="H4056" s="228" t="str" cm="1">
        <f t="array" ref="H4056">IFERROR(INDEX(INVESTOR_LIST[INVESTOR NAME],MATCH(I4056,INVESTOR_LIST[INVESTOR CODE],0),)," ")</f>
        <v xml:space="preserve"> </v>
      </c>
      <c r="I4056" s="228"/>
      <c r="J4056" s="229" t="s">
        <v>80</v>
      </c>
      <c r="K4056" s="230"/>
      <c r="L4056" s="230">
        <v>1437339.09</v>
      </c>
    </row>
    <row r="4057" spans="1:13" ht="11.25" customHeight="1" x14ac:dyDescent="0.2">
      <c r="A4057" s="221">
        <v>2023</v>
      </c>
      <c r="B4057" s="221">
        <v>12</v>
      </c>
      <c r="C4057" s="221">
        <v>27</v>
      </c>
      <c r="D4057" s="231">
        <f t="shared" si="434"/>
        <v>45287</v>
      </c>
      <c r="E4057" s="233">
        <f t="shared" si="435"/>
        <v>45287</v>
      </c>
      <c r="F4057" s="478" t="s">
        <v>1659</v>
      </c>
      <c r="G4057" s="222" t="s">
        <v>1111</v>
      </c>
      <c r="H4057" s="222" t="str" cm="1">
        <f t="array" ref="H4057">IFERROR(INDEX(INVESTOR_LIST[INVESTOR NAME],MATCH(I4057,INVESTOR_LIST[INVESTOR CODE],0),)," ")</f>
        <v xml:space="preserve"> </v>
      </c>
      <c r="I4057" s="223"/>
      <c r="J4057" s="224" t="s">
        <v>196</v>
      </c>
      <c r="K4057" s="225">
        <v>680000</v>
      </c>
      <c r="L4057" s="225"/>
      <c r="M4057" s="166"/>
    </row>
    <row r="4058" spans="1:13" ht="11.25" customHeight="1" x14ac:dyDescent="0.2">
      <c r="A4058" s="164">
        <v>2023</v>
      </c>
      <c r="B4058" s="164">
        <v>12</v>
      </c>
      <c r="C4058" s="164">
        <v>27</v>
      </c>
      <c r="D4058" s="164">
        <f t="shared" si="434"/>
        <v>45287</v>
      </c>
      <c r="E4058" s="235">
        <f t="shared" ref="E4058" si="436">DATE(A4058,B4058,C4058)</f>
        <v>45287</v>
      </c>
      <c r="F4058" s="480"/>
      <c r="G4058" s="208" t="s">
        <v>1111</v>
      </c>
      <c r="H4058" s="208"/>
      <c r="J4058" s="165" t="s">
        <v>197</v>
      </c>
      <c r="K4058" s="205">
        <v>3000</v>
      </c>
      <c r="L4058" s="205"/>
      <c r="M4058" s="166"/>
    </row>
    <row r="4059" spans="1:13" ht="11.25" customHeight="1" x14ac:dyDescent="0.2">
      <c r="A4059" s="164">
        <v>2023</v>
      </c>
      <c r="B4059" s="164">
        <v>12</v>
      </c>
      <c r="C4059" s="164">
        <v>27</v>
      </c>
      <c r="D4059" s="164">
        <f t="shared" si="434"/>
        <v>45287</v>
      </c>
      <c r="E4059" s="235">
        <f t="shared" si="435"/>
        <v>45287</v>
      </c>
      <c r="F4059" s="480"/>
      <c r="G4059" s="208" t="s">
        <v>1111</v>
      </c>
      <c r="H4059" s="208" t="str" cm="1">
        <f t="array" ref="H4059">IFERROR(INDEX(INVESTOR_LIST[INVESTOR NAME],MATCH(I4059,INVESTOR_LIST[INVESTOR CODE],0),)," ")</f>
        <v xml:space="preserve"> </v>
      </c>
      <c r="J4059" s="165" t="s">
        <v>63</v>
      </c>
      <c r="K4059" s="205">
        <v>115</v>
      </c>
      <c r="L4059" s="205"/>
    </row>
    <row r="4060" spans="1:13" ht="11.25" customHeight="1" x14ac:dyDescent="0.2">
      <c r="A4060" s="226">
        <v>2023</v>
      </c>
      <c r="B4060" s="226">
        <v>12</v>
      </c>
      <c r="C4060" s="226">
        <v>27</v>
      </c>
      <c r="D4060" s="226">
        <f t="shared" si="434"/>
        <v>45287</v>
      </c>
      <c r="E4060" s="234">
        <f t="shared" si="435"/>
        <v>45287</v>
      </c>
      <c r="F4060" s="479"/>
      <c r="G4060" s="227" t="s">
        <v>1111</v>
      </c>
      <c r="H4060" s="228" t="str" cm="1">
        <f t="array" ref="H4060">IFERROR(INDEX(INVESTOR_LIST[INVESTOR NAME],MATCH(I4060,INVESTOR_LIST[INVESTOR CODE],0),)," ")</f>
        <v xml:space="preserve"> </v>
      </c>
      <c r="I4060" s="228"/>
      <c r="J4060" s="229" t="s">
        <v>55</v>
      </c>
      <c r="K4060" s="230"/>
      <c r="L4060" s="230">
        <v>683115</v>
      </c>
    </row>
    <row r="4061" spans="1:13" ht="11.25" customHeight="1" x14ac:dyDescent="0.2">
      <c r="A4061" s="221">
        <v>2023</v>
      </c>
      <c r="B4061" s="221">
        <v>12</v>
      </c>
      <c r="C4061" s="221">
        <v>27</v>
      </c>
      <c r="D4061" s="231">
        <f t="shared" si="434"/>
        <v>45287</v>
      </c>
      <c r="E4061" s="233">
        <f t="shared" si="435"/>
        <v>45287</v>
      </c>
      <c r="F4061" s="478" t="s">
        <v>1660</v>
      </c>
      <c r="G4061" s="222" t="s">
        <v>1111</v>
      </c>
      <c r="H4061" s="222" t="str" cm="1">
        <f t="array" ref="H4061">IFERROR(INDEX(INVESTOR_LIST[INVESTOR NAME],MATCH(I4061,INVESTOR_LIST[INVESTOR CODE],0),)," ")</f>
        <v xml:space="preserve"> </v>
      </c>
      <c r="I4061" s="223"/>
      <c r="J4061" s="224" t="s">
        <v>55</v>
      </c>
      <c r="K4061" s="357">
        <v>11193962</v>
      </c>
      <c r="L4061" s="225"/>
    </row>
    <row r="4062" spans="1:13" ht="11.25" customHeight="1" x14ac:dyDescent="0.2">
      <c r="A4062" s="164">
        <v>2023</v>
      </c>
      <c r="B4062" s="164">
        <v>12</v>
      </c>
      <c r="C4062" s="164">
        <v>27</v>
      </c>
      <c r="D4062" s="164">
        <f t="shared" si="434"/>
        <v>45287</v>
      </c>
      <c r="E4062" s="235">
        <f t="shared" ref="E4062" si="437">DATE(A4062,B4062,C4062)</f>
        <v>45287</v>
      </c>
      <c r="F4062" s="480"/>
      <c r="G4062" s="208" t="s">
        <v>1111</v>
      </c>
      <c r="H4062" s="208"/>
      <c r="J4062" s="165" t="s">
        <v>1617</v>
      </c>
      <c r="K4062" s="263"/>
      <c r="L4062" s="205">
        <v>1610</v>
      </c>
    </row>
    <row r="4063" spans="1:13" ht="11.25" customHeight="1" x14ac:dyDescent="0.2">
      <c r="A4063" s="226">
        <v>2023</v>
      </c>
      <c r="B4063" s="226">
        <v>12</v>
      </c>
      <c r="C4063" s="226">
        <v>27</v>
      </c>
      <c r="D4063" s="226">
        <f t="shared" si="434"/>
        <v>45287</v>
      </c>
      <c r="E4063" s="234">
        <f t="shared" si="435"/>
        <v>45287</v>
      </c>
      <c r="F4063" s="479"/>
      <c r="G4063" s="227" t="s">
        <v>1111</v>
      </c>
      <c r="H4063" s="227"/>
      <c r="I4063" s="228"/>
      <c r="J4063" s="229" t="s">
        <v>1465</v>
      </c>
      <c r="K4063" s="294"/>
      <c r="L4063" s="230">
        <v>11192352</v>
      </c>
    </row>
    <row r="4064" spans="1:13" ht="11.25" customHeight="1" x14ac:dyDescent="0.2">
      <c r="A4064" s="221">
        <v>2023</v>
      </c>
      <c r="B4064" s="221">
        <v>12</v>
      </c>
      <c r="C4064" s="221">
        <v>27</v>
      </c>
      <c r="D4064" s="231">
        <f t="shared" si="434"/>
        <v>45287</v>
      </c>
      <c r="E4064" s="233">
        <f t="shared" ref="E4064:E4070" si="438">DATE(A4064,B4064,C4064)</f>
        <v>45287</v>
      </c>
      <c r="F4064" s="478" t="s">
        <v>1660</v>
      </c>
      <c r="G4064" s="222" t="s">
        <v>1111</v>
      </c>
      <c r="H4064" s="222" t="str" cm="1">
        <f t="array" ref="H4064">IFERROR(INDEX(INVESTOR_LIST[INVESTOR NAME],MATCH(I4064,INVESTOR_LIST[INVESTOR CODE],0),)," ")</f>
        <v xml:space="preserve"> </v>
      </c>
      <c r="I4064" s="223"/>
      <c r="J4064" s="224" t="s">
        <v>55</v>
      </c>
      <c r="K4064" s="357">
        <v>9733880</v>
      </c>
      <c r="L4064" s="225"/>
    </row>
    <row r="4065" spans="1:12" ht="11.25" customHeight="1" x14ac:dyDescent="0.2">
      <c r="A4065" s="164">
        <v>2023</v>
      </c>
      <c r="B4065" s="164">
        <v>12</v>
      </c>
      <c r="C4065" s="164">
        <v>27</v>
      </c>
      <c r="D4065" s="164">
        <f t="shared" si="434"/>
        <v>45287</v>
      </c>
      <c r="E4065" s="235">
        <f t="shared" si="438"/>
        <v>45287</v>
      </c>
      <c r="F4065" s="480"/>
      <c r="G4065" s="208" t="s">
        <v>1111</v>
      </c>
      <c r="H4065" s="208"/>
      <c r="J4065" s="165" t="s">
        <v>1617</v>
      </c>
      <c r="K4065" s="263"/>
      <c r="L4065" s="205">
        <v>3160</v>
      </c>
    </row>
    <row r="4066" spans="1:12" ht="11.25" customHeight="1" x14ac:dyDescent="0.2">
      <c r="A4066" s="226">
        <v>2023</v>
      </c>
      <c r="B4066" s="226">
        <v>12</v>
      </c>
      <c r="C4066" s="226">
        <v>27</v>
      </c>
      <c r="D4066" s="226">
        <f t="shared" si="434"/>
        <v>45287</v>
      </c>
      <c r="E4066" s="234">
        <f t="shared" si="438"/>
        <v>45287</v>
      </c>
      <c r="F4066" s="479"/>
      <c r="G4066" s="227" t="s">
        <v>1111</v>
      </c>
      <c r="H4066" s="227"/>
      <c r="I4066" s="228"/>
      <c r="J4066" s="229" t="s">
        <v>1465</v>
      </c>
      <c r="K4066" s="294"/>
      <c r="L4066" s="230">
        <v>9730720</v>
      </c>
    </row>
    <row r="4067" spans="1:12" ht="11.25" customHeight="1" x14ac:dyDescent="0.2">
      <c r="A4067" s="221">
        <v>2023</v>
      </c>
      <c r="B4067" s="221">
        <v>12</v>
      </c>
      <c r="C4067" s="221">
        <v>28</v>
      </c>
      <c r="D4067" s="221">
        <f t="shared" si="434"/>
        <v>45288</v>
      </c>
      <c r="E4067" s="233">
        <f t="shared" si="438"/>
        <v>45288</v>
      </c>
      <c r="F4067" s="478" t="s">
        <v>1589</v>
      </c>
      <c r="G4067" s="222" t="s">
        <v>86</v>
      </c>
      <c r="H4067" s="222" t="str" cm="1">
        <f t="array" ref="H4067">IFERROR(INDEX(INVESTOR_LIST[INVESTOR NAME],MATCH(I4067,INVESTOR_LIST[INVESTOR CODE],0),)," ")</f>
        <v xml:space="preserve"> </v>
      </c>
      <c r="I4067" s="223"/>
      <c r="J4067" s="165" t="s">
        <v>199</v>
      </c>
      <c r="K4067" s="225">
        <v>1479362.36</v>
      </c>
      <c r="L4067" s="225"/>
    </row>
    <row r="4068" spans="1:12" ht="11.25" customHeight="1" x14ac:dyDescent="0.2">
      <c r="A4068" s="164">
        <v>2023</v>
      </c>
      <c r="B4068" s="164">
        <v>12</v>
      </c>
      <c r="C4068" s="164">
        <v>28</v>
      </c>
      <c r="D4068" s="164">
        <f t="shared" si="434"/>
        <v>45288</v>
      </c>
      <c r="E4068" s="235">
        <f t="shared" si="438"/>
        <v>45288</v>
      </c>
      <c r="F4068" s="480"/>
      <c r="G4068" s="208" t="s">
        <v>86</v>
      </c>
      <c r="H4068" s="208"/>
      <c r="J4068" s="165" t="s">
        <v>960</v>
      </c>
      <c r="K4068" s="205">
        <v>2667.64</v>
      </c>
      <c r="L4068" s="205"/>
    </row>
    <row r="4069" spans="1:12" ht="11.25" customHeight="1" x14ac:dyDescent="0.2">
      <c r="A4069" s="164">
        <v>2023</v>
      </c>
      <c r="B4069" s="164">
        <v>12</v>
      </c>
      <c r="C4069" s="164">
        <v>28</v>
      </c>
      <c r="D4069" s="164">
        <f t="shared" si="434"/>
        <v>45288</v>
      </c>
      <c r="E4069" s="235">
        <f t="shared" si="438"/>
        <v>45288</v>
      </c>
      <c r="F4069" s="480"/>
      <c r="G4069" s="208" t="s">
        <v>86</v>
      </c>
      <c r="H4069" s="208"/>
      <c r="J4069" s="165" t="s">
        <v>200</v>
      </c>
      <c r="K4069" s="205"/>
      <c r="L4069" s="205">
        <v>44690.91</v>
      </c>
    </row>
    <row r="4070" spans="1:12" ht="11.25" customHeight="1" x14ac:dyDescent="0.2">
      <c r="A4070" s="226">
        <v>2023</v>
      </c>
      <c r="B4070" s="226">
        <v>12</v>
      </c>
      <c r="C4070" s="226">
        <v>28</v>
      </c>
      <c r="D4070" s="226">
        <f t="shared" si="434"/>
        <v>45288</v>
      </c>
      <c r="E4070" s="234">
        <f t="shared" si="438"/>
        <v>45288</v>
      </c>
      <c r="F4070" s="479"/>
      <c r="G4070" s="227" t="s">
        <v>86</v>
      </c>
      <c r="H4070" s="228" t="str" cm="1">
        <f t="array" ref="H4070">IFERROR(INDEX(INVESTOR_LIST[INVESTOR NAME],MATCH(I4070,INVESTOR_LIST[INVESTOR CODE],0),)," ")</f>
        <v xml:space="preserve"> </v>
      </c>
      <c r="I4070" s="228"/>
      <c r="J4070" s="229" t="s">
        <v>80</v>
      </c>
      <c r="K4070" s="230"/>
      <c r="L4070" s="230">
        <v>1437339.09</v>
      </c>
    </row>
    <row r="4071" spans="1:12" ht="11.25" customHeight="1" x14ac:dyDescent="0.2">
      <c r="A4071" s="221">
        <v>2023</v>
      </c>
      <c r="B4071" s="221">
        <v>12</v>
      </c>
      <c r="C4071" s="221">
        <v>28</v>
      </c>
      <c r="D4071" s="231">
        <f t="shared" si="434"/>
        <v>45288</v>
      </c>
      <c r="E4071" s="233">
        <f t="shared" si="432"/>
        <v>45288</v>
      </c>
      <c r="F4071" s="478" t="s">
        <v>1605</v>
      </c>
      <c r="G4071" s="222" t="s">
        <v>1111</v>
      </c>
      <c r="H4071" s="223" t="str" cm="1">
        <f t="array" ref="H4071">IFERROR(INDEX(INVESTOR_LIST[INVESTOR NAME],MATCH(I4071,INVESTOR_LIST[INVESTOR CODE],0),)," ")</f>
        <v>EKUSH WEALTH MANAGEMENT LIMITED</v>
      </c>
      <c r="I4071" s="223" t="s">
        <v>320</v>
      </c>
      <c r="J4071" s="224" t="s">
        <v>55</v>
      </c>
      <c r="K4071" s="167">
        <v>3200000</v>
      </c>
      <c r="L4071" s="225"/>
    </row>
    <row r="4072" spans="1:12" ht="11.25" customHeight="1" x14ac:dyDescent="0.2">
      <c r="A4072" s="164">
        <v>2023</v>
      </c>
      <c r="B4072" s="164">
        <v>12</v>
      </c>
      <c r="C4072" s="164">
        <v>28</v>
      </c>
      <c r="D4072" s="156">
        <f t="shared" si="434"/>
        <v>45288</v>
      </c>
      <c r="E4072" s="235">
        <f t="shared" si="432"/>
        <v>45288</v>
      </c>
      <c r="F4072" s="480"/>
      <c r="G4072" s="208" t="s">
        <v>1111</v>
      </c>
      <c r="H4072" s="206" t="str" cm="1">
        <f t="array" ref="H4072">IFERROR(INDEX(INVESTOR_LIST[INVESTOR NAME],MATCH(I4072,INVESTOR_LIST[INVESTOR CODE],0),)," ")</f>
        <v>EKUSH WEALTH MANAGEMENT LIMITED</v>
      </c>
      <c r="I4072" s="206" t="s">
        <v>320</v>
      </c>
      <c r="J4072" s="165" t="s">
        <v>14</v>
      </c>
      <c r="L4072" s="205">
        <v>3100780</v>
      </c>
    </row>
    <row r="4073" spans="1:12" ht="11.25" customHeight="1" x14ac:dyDescent="0.2">
      <c r="A4073" s="226">
        <v>2023</v>
      </c>
      <c r="B4073" s="226">
        <v>12</v>
      </c>
      <c r="C4073" s="226">
        <v>28</v>
      </c>
      <c r="D4073" s="232">
        <f t="shared" si="434"/>
        <v>45288</v>
      </c>
      <c r="E4073" s="234">
        <f t="shared" si="432"/>
        <v>45288</v>
      </c>
      <c r="F4073" s="479"/>
      <c r="G4073" s="227" t="s">
        <v>1111</v>
      </c>
      <c r="H4073" s="228" t="str" cm="1">
        <f t="array" ref="H4073">IFERROR(INDEX(INVESTOR_LIST[INVESTOR NAME],MATCH(I4073,INVESTOR_LIST[INVESTOR CODE],0),)," ")</f>
        <v>EKUSH WEALTH MANAGEMENT LIMITED</v>
      </c>
      <c r="I4073" s="228" t="s">
        <v>320</v>
      </c>
      <c r="J4073" s="229" t="s">
        <v>1112</v>
      </c>
      <c r="K4073" s="230"/>
      <c r="L4073" s="230">
        <v>99220</v>
      </c>
    </row>
    <row r="4074" spans="1:12" ht="11.25" customHeight="1" x14ac:dyDescent="0.2">
      <c r="A4074" s="221">
        <v>2023</v>
      </c>
      <c r="B4074" s="221">
        <v>12</v>
      </c>
      <c r="C4074" s="221">
        <v>28</v>
      </c>
      <c r="D4074" s="231">
        <f t="shared" si="434"/>
        <v>45288</v>
      </c>
      <c r="E4074" s="233">
        <f t="shared" ref="E4074:E4132" si="439">DATE(A4074,B4074,C4074)</f>
        <v>45288</v>
      </c>
      <c r="F4074" s="478" t="s">
        <v>1605</v>
      </c>
      <c r="G4074" s="222" t="s">
        <v>1111</v>
      </c>
      <c r="H4074" s="223" t="str" cm="1">
        <f t="array" ref="H4074">IFERROR(INDEX(INVESTOR_LIST[INVESTOR NAME],MATCH(I4074,INVESTOR_LIST[INVESTOR CODE],0),)," ")</f>
        <v>EKUSH WEALTH MANAGEMENT LIMITED</v>
      </c>
      <c r="I4074" s="223" t="s">
        <v>320</v>
      </c>
      <c r="J4074" s="224" t="s">
        <v>55</v>
      </c>
      <c r="K4074" s="167">
        <v>500000</v>
      </c>
      <c r="L4074" s="225"/>
    </row>
    <row r="4075" spans="1:12" ht="11.25" customHeight="1" x14ac:dyDescent="0.2">
      <c r="A4075" s="164">
        <v>2023</v>
      </c>
      <c r="B4075" s="164">
        <v>12</v>
      </c>
      <c r="C4075" s="164">
        <v>28</v>
      </c>
      <c r="D4075" s="156">
        <f t="shared" si="434"/>
        <v>45288</v>
      </c>
      <c r="E4075" s="235">
        <f t="shared" si="439"/>
        <v>45288</v>
      </c>
      <c r="F4075" s="480"/>
      <c r="G4075" s="208" t="s">
        <v>1111</v>
      </c>
      <c r="H4075" s="206" t="str" cm="1">
        <f t="array" ref="H4075">IFERROR(INDEX(INVESTOR_LIST[INVESTOR NAME],MATCH(I4075,INVESTOR_LIST[INVESTOR CODE],0),)," ")</f>
        <v>EKUSH WEALTH MANAGEMENT LIMITED</v>
      </c>
      <c r="I4075" s="206" t="s">
        <v>320</v>
      </c>
      <c r="J4075" s="165" t="s">
        <v>14</v>
      </c>
      <c r="L4075" s="205">
        <v>484500</v>
      </c>
    </row>
    <row r="4076" spans="1:12" ht="11.25" customHeight="1" x14ac:dyDescent="0.2">
      <c r="A4076" s="226">
        <v>2023</v>
      </c>
      <c r="B4076" s="226">
        <v>12</v>
      </c>
      <c r="C4076" s="226">
        <v>28</v>
      </c>
      <c r="D4076" s="232">
        <f t="shared" si="434"/>
        <v>45288</v>
      </c>
      <c r="E4076" s="234">
        <f t="shared" si="439"/>
        <v>45288</v>
      </c>
      <c r="F4076" s="479"/>
      <c r="G4076" s="227" t="s">
        <v>1111</v>
      </c>
      <c r="H4076" s="228" t="str" cm="1">
        <f t="array" ref="H4076">IFERROR(INDEX(INVESTOR_LIST[INVESTOR NAME],MATCH(I4076,INVESTOR_LIST[INVESTOR CODE],0),)," ")</f>
        <v>EKUSH WEALTH MANAGEMENT LIMITED</v>
      </c>
      <c r="I4076" s="228" t="s">
        <v>320</v>
      </c>
      <c r="J4076" s="229" t="s">
        <v>1112</v>
      </c>
      <c r="K4076" s="230"/>
      <c r="L4076" s="230">
        <v>15500</v>
      </c>
    </row>
    <row r="4077" spans="1:12" ht="11.25" customHeight="1" x14ac:dyDescent="0.2">
      <c r="A4077" s="280">
        <v>2023</v>
      </c>
      <c r="B4077" s="280">
        <v>12</v>
      </c>
      <c r="C4077" s="280">
        <v>28</v>
      </c>
      <c r="D4077" s="281">
        <f t="shared" si="434"/>
        <v>45288</v>
      </c>
      <c r="E4077" s="282">
        <f t="shared" si="439"/>
        <v>45288</v>
      </c>
      <c r="F4077" s="472" t="s">
        <v>1369</v>
      </c>
      <c r="G4077" s="283" t="s">
        <v>86</v>
      </c>
      <c r="H4077" s="284" t="str" cm="1">
        <f t="array" ref="H4077">IFERROR(INDEX(INVESTOR_LIST[INVESTOR NAME],MATCH(I4077,INVESTOR_LIST[INVESTOR CODE],0),)," ")</f>
        <v xml:space="preserve"> </v>
      </c>
      <c r="I4077" s="284"/>
      <c r="J4077" s="285" t="s">
        <v>131</v>
      </c>
      <c r="K4077" s="286">
        <v>5509.6153846153848</v>
      </c>
      <c r="L4077" s="286"/>
    </row>
    <row r="4078" spans="1:12" ht="11.25" customHeight="1" x14ac:dyDescent="0.2">
      <c r="A4078" s="287">
        <v>2023</v>
      </c>
      <c r="B4078" s="287">
        <v>12</v>
      </c>
      <c r="C4078" s="287">
        <v>28</v>
      </c>
      <c r="D4078" s="288">
        <f t="shared" si="434"/>
        <v>45288</v>
      </c>
      <c r="E4078" s="289">
        <f t="shared" si="439"/>
        <v>45288</v>
      </c>
      <c r="F4078" s="473"/>
      <c r="G4078" s="290" t="s">
        <v>86</v>
      </c>
      <c r="H4078" s="291" t="str" cm="1">
        <f t="array" ref="H4078">IFERROR(INDEX(INVESTOR_LIST[INVESTOR NAME],MATCH(I4078,INVESTOR_LIST[INVESTOR CODE],0),)," ")</f>
        <v xml:space="preserve"> </v>
      </c>
      <c r="I4078" s="291"/>
      <c r="J4078" s="292" t="s">
        <v>174</v>
      </c>
      <c r="K4078" s="293"/>
      <c r="L4078" s="293">
        <v>5509.6153846153848</v>
      </c>
    </row>
    <row r="4079" spans="1:12" ht="11.25" customHeight="1" x14ac:dyDescent="0.2">
      <c r="A4079" s="280">
        <v>2023</v>
      </c>
      <c r="B4079" s="280">
        <v>12</v>
      </c>
      <c r="C4079" s="280">
        <v>28</v>
      </c>
      <c r="D4079" s="281">
        <f t="shared" si="434"/>
        <v>45288</v>
      </c>
      <c r="E4079" s="282">
        <f t="shared" si="439"/>
        <v>45288</v>
      </c>
      <c r="F4079" s="472" t="s">
        <v>1584</v>
      </c>
      <c r="G4079" s="283" t="s">
        <v>86</v>
      </c>
      <c r="H4079" s="284" t="str" cm="1">
        <f t="array" ref="H4079">IFERROR(INDEX(INVESTOR_LIST[INVESTOR NAME],MATCH(I4079,INVESTOR_LIST[INVESTOR CODE],0),)," ")</f>
        <v xml:space="preserve"> </v>
      </c>
      <c r="I4079" s="284"/>
      <c r="J4079" s="285" t="s">
        <v>131</v>
      </c>
      <c r="K4079" s="286">
        <v>7307.6923076923076</v>
      </c>
      <c r="L4079" s="286"/>
    </row>
    <row r="4080" spans="1:12" ht="11.25" customHeight="1" x14ac:dyDescent="0.2">
      <c r="A4080" s="287">
        <v>2023</v>
      </c>
      <c r="B4080" s="287">
        <v>12</v>
      </c>
      <c r="C4080" s="287">
        <v>28</v>
      </c>
      <c r="D4080" s="288">
        <f t="shared" si="434"/>
        <v>45288</v>
      </c>
      <c r="E4080" s="289">
        <f t="shared" si="439"/>
        <v>45288</v>
      </c>
      <c r="F4080" s="473"/>
      <c r="G4080" s="290" t="s">
        <v>86</v>
      </c>
      <c r="H4080" s="291" t="str" cm="1">
        <f t="array" ref="H4080">IFERROR(INDEX(INVESTOR_LIST[INVESTOR NAME],MATCH(I4080,INVESTOR_LIST[INVESTOR CODE],0),)," ")</f>
        <v xml:space="preserve"> </v>
      </c>
      <c r="I4080" s="291"/>
      <c r="J4080" s="292" t="s">
        <v>174</v>
      </c>
      <c r="K4080" s="293"/>
      <c r="L4080" s="293">
        <v>7307.6923076923076</v>
      </c>
    </row>
    <row r="4081" spans="1:12" ht="11.25" customHeight="1" x14ac:dyDescent="0.2">
      <c r="A4081" s="358">
        <v>2023</v>
      </c>
      <c r="B4081" s="358">
        <v>12</v>
      </c>
      <c r="C4081" s="358">
        <v>28</v>
      </c>
      <c r="D4081" s="312">
        <f t="shared" si="434"/>
        <v>45288</v>
      </c>
      <c r="E4081" s="313">
        <f t="shared" si="439"/>
        <v>45288</v>
      </c>
      <c r="F4081" s="482" t="s">
        <v>1627</v>
      </c>
      <c r="G4081" s="314" t="s">
        <v>86</v>
      </c>
      <c r="H4081" s="324" t="str" cm="1">
        <f t="array" ref="H4081">IFERROR(INDEX(INVESTOR_LIST[INVESTOR NAME],MATCH(I4081,INVESTOR_LIST[INVESTOR CODE],0),)," ")</f>
        <v xml:space="preserve"> </v>
      </c>
      <c r="I4081" s="324"/>
      <c r="J4081" s="364" t="s">
        <v>1621</v>
      </c>
      <c r="K4081" s="365">
        <v>22227.800000000745</v>
      </c>
      <c r="L4081" s="365"/>
    </row>
    <row r="4082" spans="1:12" ht="11.25" customHeight="1" x14ac:dyDescent="0.2">
      <c r="A4082" s="320">
        <v>2023</v>
      </c>
      <c r="B4082" s="320">
        <v>12</v>
      </c>
      <c r="C4082" s="320">
        <v>28</v>
      </c>
      <c r="D4082" s="323">
        <f t="shared" si="434"/>
        <v>45288</v>
      </c>
      <c r="E4082" s="321">
        <f t="shared" si="439"/>
        <v>45288</v>
      </c>
      <c r="F4082" s="483"/>
      <c r="G4082" s="322" t="s">
        <v>86</v>
      </c>
      <c r="H4082" s="325" t="str" cm="1">
        <f t="array" ref="H4082">IFERROR(INDEX(INVESTOR_LIST[INVESTOR NAME],MATCH(I4082,INVESTOR_LIST[INVESTOR CODE],0),)," ")</f>
        <v xml:space="preserve"> </v>
      </c>
      <c r="I4082" s="325"/>
      <c r="J4082" s="366" t="s">
        <v>1613</v>
      </c>
      <c r="K4082" s="367"/>
      <c r="L4082" s="367">
        <v>22227.800000000745</v>
      </c>
    </row>
    <row r="4083" spans="1:12" ht="11.25" customHeight="1" x14ac:dyDescent="0.2">
      <c r="A4083" s="236">
        <v>2023</v>
      </c>
      <c r="B4083" s="236">
        <v>12</v>
      </c>
      <c r="C4083" s="236">
        <v>28</v>
      </c>
      <c r="D4083" s="237">
        <f t="shared" si="434"/>
        <v>45288</v>
      </c>
      <c r="E4083" s="238">
        <f t="shared" si="439"/>
        <v>45288</v>
      </c>
      <c r="F4083" s="476" t="s">
        <v>1118</v>
      </c>
      <c r="G4083" s="239" t="s">
        <v>86</v>
      </c>
      <c r="H4083" s="239" t="str" cm="1">
        <f t="array" ref="H4083">IFERROR(INDEX(INVESTOR_LIST[INVESTOR NAME],MATCH(I4083,INVESTOR_LIST[INVESTOR CODE],0),)," ")</f>
        <v xml:space="preserve"> </v>
      </c>
      <c r="I4083" s="240"/>
      <c r="J4083" s="241" t="s">
        <v>82</v>
      </c>
      <c r="K4083" s="242">
        <v>28416.119999989867</v>
      </c>
      <c r="L4083" s="242"/>
    </row>
    <row r="4084" spans="1:12" ht="11.25" customHeight="1" x14ac:dyDescent="0.2">
      <c r="A4084" s="243">
        <v>2023</v>
      </c>
      <c r="B4084" s="243">
        <v>12</v>
      </c>
      <c r="C4084" s="243">
        <v>28</v>
      </c>
      <c r="D4084" s="248">
        <f t="shared" si="434"/>
        <v>45288</v>
      </c>
      <c r="E4084" s="249">
        <f t="shared" si="439"/>
        <v>45288</v>
      </c>
      <c r="F4084" s="477"/>
      <c r="G4084" s="244" t="s">
        <v>86</v>
      </c>
      <c r="H4084" s="244" t="str" cm="1">
        <f t="array" ref="H4084">IFERROR(INDEX(INVESTOR_LIST[INVESTOR NAME],MATCH(I4084,INVESTOR_LIST[INVESTOR CODE],0),)," ")</f>
        <v xml:space="preserve"> </v>
      </c>
      <c r="I4084" s="245"/>
      <c r="J4084" s="246" t="s">
        <v>98</v>
      </c>
      <c r="K4084" s="247"/>
      <c r="L4084" s="247">
        <v>28416.119999989867</v>
      </c>
    </row>
    <row r="4085" spans="1:12" ht="11.25" customHeight="1" x14ac:dyDescent="0.2">
      <c r="A4085" s="236">
        <v>2023</v>
      </c>
      <c r="B4085" s="236">
        <v>12</v>
      </c>
      <c r="C4085" s="236">
        <v>28</v>
      </c>
      <c r="D4085" s="237">
        <f t="shared" si="434"/>
        <v>45288</v>
      </c>
      <c r="E4085" s="238">
        <f t="shared" si="439"/>
        <v>45288</v>
      </c>
      <c r="F4085" s="476" t="s">
        <v>1120</v>
      </c>
      <c r="G4085" s="239" t="s">
        <v>86</v>
      </c>
      <c r="H4085" s="239" t="str" cm="1">
        <f t="array" ref="H4085">IFERROR(INDEX(INVESTOR_LIST[INVESTOR NAME],MATCH(I4085,INVESTOR_LIST[INVESTOR CODE],0),)," ")</f>
        <v xml:space="preserve"> </v>
      </c>
      <c r="I4085" s="240"/>
      <c r="J4085" s="241" t="s">
        <v>87</v>
      </c>
      <c r="K4085" s="242">
        <v>2747.2527472527472</v>
      </c>
      <c r="L4085" s="242"/>
    </row>
    <row r="4086" spans="1:12" ht="11.25" customHeight="1" x14ac:dyDescent="0.2">
      <c r="A4086" s="243">
        <v>2023</v>
      </c>
      <c r="B4086" s="243">
        <v>12</v>
      </c>
      <c r="C4086" s="243">
        <v>28</v>
      </c>
      <c r="D4086" s="248">
        <f t="shared" si="434"/>
        <v>45288</v>
      </c>
      <c r="E4086" s="249">
        <f t="shared" si="439"/>
        <v>45288</v>
      </c>
      <c r="F4086" s="477"/>
      <c r="G4086" s="244" t="s">
        <v>86</v>
      </c>
      <c r="H4086" s="244" t="str" cm="1">
        <f t="array" ref="H4086">IFERROR(INDEX(INVESTOR_LIST[INVESTOR NAME],MATCH(I4086,INVESTOR_LIST[INVESTOR CODE],0),)," ")</f>
        <v xml:space="preserve"> </v>
      </c>
      <c r="I4086" s="245"/>
      <c r="J4086" s="246" t="s">
        <v>64</v>
      </c>
      <c r="K4086" s="247"/>
      <c r="L4086" s="247">
        <v>2747.2527472527472</v>
      </c>
    </row>
    <row r="4087" spans="1:12" ht="11.25" customHeight="1" x14ac:dyDescent="0.2">
      <c r="A4087" s="236">
        <v>2023</v>
      </c>
      <c r="B4087" s="236">
        <v>12</v>
      </c>
      <c r="C4087" s="236">
        <v>28</v>
      </c>
      <c r="D4087" s="237">
        <f t="shared" si="434"/>
        <v>45288</v>
      </c>
      <c r="E4087" s="238">
        <f t="shared" si="439"/>
        <v>45288</v>
      </c>
      <c r="F4087" s="476" t="s">
        <v>1121</v>
      </c>
      <c r="G4087" s="239" t="s">
        <v>86</v>
      </c>
      <c r="H4087" s="239" t="str" cm="1">
        <f t="array" ref="H4087">IFERROR(INDEX(INVESTOR_LIST[INVESTOR NAME],MATCH(I4087,INVESTOR_LIST[INVESTOR CODE],0),)," ")</f>
        <v xml:space="preserve"> </v>
      </c>
      <c r="I4087" s="240"/>
      <c r="J4087" s="241" t="s">
        <v>89</v>
      </c>
      <c r="K4087" s="242">
        <v>67710.756227021266</v>
      </c>
      <c r="L4087" s="242"/>
    </row>
    <row r="4088" spans="1:12" ht="11.25" customHeight="1" x14ac:dyDescent="0.2">
      <c r="A4088" s="243">
        <v>2023</v>
      </c>
      <c r="B4088" s="243">
        <v>12</v>
      </c>
      <c r="C4088" s="243">
        <v>28</v>
      </c>
      <c r="D4088" s="248">
        <f t="shared" si="434"/>
        <v>45288</v>
      </c>
      <c r="E4088" s="249">
        <f t="shared" si="439"/>
        <v>45288</v>
      </c>
      <c r="F4088" s="477"/>
      <c r="G4088" s="244" t="s">
        <v>86</v>
      </c>
      <c r="H4088" s="244" t="str" cm="1">
        <f t="array" ref="H4088">IFERROR(INDEX(INVESTOR_LIST[INVESTOR NAME],MATCH(I4088,INVESTOR_LIST[INVESTOR CODE],0),)," ")</f>
        <v xml:space="preserve"> </v>
      </c>
      <c r="I4088" s="245"/>
      <c r="J4088" s="246" t="s">
        <v>50</v>
      </c>
      <c r="K4088" s="247"/>
      <c r="L4088" s="247">
        <v>67710.756227021266</v>
      </c>
    </row>
    <row r="4089" spans="1:12" ht="11.25" customHeight="1" x14ac:dyDescent="0.2">
      <c r="A4089" s="236">
        <v>2023</v>
      </c>
      <c r="B4089" s="236">
        <v>12</v>
      </c>
      <c r="C4089" s="236">
        <v>28</v>
      </c>
      <c r="D4089" s="237">
        <f t="shared" si="434"/>
        <v>45288</v>
      </c>
      <c r="E4089" s="238">
        <f t="shared" si="439"/>
        <v>45288</v>
      </c>
      <c r="F4089" s="476" t="s">
        <v>1122</v>
      </c>
      <c r="G4089" s="239" t="s">
        <v>86</v>
      </c>
      <c r="H4089" s="239" t="str" cm="1">
        <f t="array" ref="H4089">IFERROR(INDEX(INVESTOR_LIST[INVESTOR NAME],MATCH(I4089,INVESTOR_LIST[INVESTOR CODE],0),)," ")</f>
        <v xml:space="preserve"> </v>
      </c>
      <c r="I4089" s="240"/>
      <c r="J4089" s="241" t="s">
        <v>91</v>
      </c>
      <c r="K4089" s="242">
        <v>3385.5378113510628</v>
      </c>
      <c r="L4089" s="242"/>
    </row>
    <row r="4090" spans="1:12" ht="11.25" customHeight="1" x14ac:dyDescent="0.2">
      <c r="A4090" s="243">
        <v>2023</v>
      </c>
      <c r="B4090" s="243">
        <v>12</v>
      </c>
      <c r="C4090" s="243">
        <v>28</v>
      </c>
      <c r="D4090" s="248">
        <f t="shared" si="434"/>
        <v>45288</v>
      </c>
      <c r="E4090" s="249">
        <f t="shared" si="439"/>
        <v>45288</v>
      </c>
      <c r="F4090" s="477"/>
      <c r="G4090" s="244" t="s">
        <v>86</v>
      </c>
      <c r="H4090" s="244" t="str" cm="1">
        <f t="array" ref="H4090">IFERROR(INDEX(INVESTOR_LIST[INVESTOR NAME],MATCH(I4090,INVESTOR_LIST[INVESTOR CODE],0),)," ")</f>
        <v xml:space="preserve"> </v>
      </c>
      <c r="I4090" s="245"/>
      <c r="J4090" s="246" t="s">
        <v>51</v>
      </c>
      <c r="K4090" s="247"/>
      <c r="L4090" s="247">
        <v>3385.5378113510628</v>
      </c>
    </row>
    <row r="4091" spans="1:12" ht="11.25" customHeight="1" x14ac:dyDescent="0.2">
      <c r="A4091" s="221">
        <v>2023</v>
      </c>
      <c r="B4091" s="221">
        <v>12</v>
      </c>
      <c r="C4091" s="221">
        <v>24</v>
      </c>
      <c r="D4091" s="231">
        <f t="shared" si="434"/>
        <v>45284</v>
      </c>
      <c r="E4091" s="233">
        <f t="shared" si="439"/>
        <v>45284</v>
      </c>
      <c r="F4091" s="478" t="s">
        <v>1676</v>
      </c>
      <c r="G4091" s="222" t="s">
        <v>1111</v>
      </c>
      <c r="H4091" s="223" t="str" cm="1">
        <f t="array" ref="H4091">IFERROR(INDEX(INVESTOR_LIST[INVESTOR NAME],MATCH(I4091,INVESTOR_LIST[INVESTOR CODE],0),)," ")</f>
        <v xml:space="preserve"> </v>
      </c>
      <c r="I4091" s="223"/>
      <c r="J4091" s="224" t="s">
        <v>63</v>
      </c>
      <c r="K4091" s="225">
        <v>345</v>
      </c>
      <c r="L4091" s="225"/>
    </row>
    <row r="4092" spans="1:12" ht="11.25" customHeight="1" x14ac:dyDescent="0.2">
      <c r="A4092" s="226">
        <v>2023</v>
      </c>
      <c r="B4092" s="226">
        <v>12</v>
      </c>
      <c r="C4092" s="226">
        <v>24</v>
      </c>
      <c r="D4092" s="232">
        <f t="shared" si="434"/>
        <v>45284</v>
      </c>
      <c r="E4092" s="234">
        <f t="shared" si="439"/>
        <v>45284</v>
      </c>
      <c r="F4092" s="479"/>
      <c r="G4092" s="227" t="s">
        <v>1111</v>
      </c>
      <c r="H4092" s="228" t="str" cm="1">
        <f t="array" ref="H4092">IFERROR(INDEX(INVESTOR_LIST[INVESTOR NAME],MATCH(I4092,INVESTOR_LIST[INVESTOR CODE],0),)," ")</f>
        <v xml:space="preserve"> </v>
      </c>
      <c r="I4092" s="228"/>
      <c r="J4092" s="229" t="s">
        <v>55</v>
      </c>
      <c r="K4092" s="230"/>
      <c r="L4092" s="230">
        <v>345</v>
      </c>
    </row>
    <row r="4093" spans="1:12" ht="11.25" customHeight="1" x14ac:dyDescent="0.2">
      <c r="A4093" s="221">
        <v>2023</v>
      </c>
      <c r="B4093" s="221">
        <v>12</v>
      </c>
      <c r="C4093" s="221">
        <v>24</v>
      </c>
      <c r="D4093" s="231">
        <f t="shared" si="434"/>
        <v>45284</v>
      </c>
      <c r="E4093" s="233">
        <f t="shared" ref="E4093:E4094" si="440">DATE(A4093,B4093,C4093)</f>
        <v>45284</v>
      </c>
      <c r="F4093" s="478" t="s">
        <v>1676</v>
      </c>
      <c r="G4093" s="222" t="s">
        <v>1111</v>
      </c>
      <c r="H4093" s="223" t="str" cm="1">
        <f t="array" ref="H4093">IFERROR(INDEX(INVESTOR_LIST[INVESTOR NAME],MATCH(I4093,INVESTOR_LIST[INVESTOR CODE],0),)," ")</f>
        <v xml:space="preserve"> </v>
      </c>
      <c r="I4093" s="223"/>
      <c r="J4093" s="224" t="s">
        <v>63</v>
      </c>
      <c r="K4093" s="225">
        <v>575</v>
      </c>
      <c r="L4093" s="225"/>
    </row>
    <row r="4094" spans="1:12" ht="11.25" customHeight="1" x14ac:dyDescent="0.2">
      <c r="A4094" s="226">
        <v>2023</v>
      </c>
      <c r="B4094" s="226">
        <v>12</v>
      </c>
      <c r="C4094" s="226">
        <v>24</v>
      </c>
      <c r="D4094" s="232">
        <f t="shared" si="434"/>
        <v>45284</v>
      </c>
      <c r="E4094" s="234">
        <f t="shared" si="440"/>
        <v>45284</v>
      </c>
      <c r="F4094" s="479"/>
      <c r="G4094" s="227" t="s">
        <v>1111</v>
      </c>
      <c r="H4094" s="228" t="str" cm="1">
        <f t="array" ref="H4094">IFERROR(INDEX(INVESTOR_LIST[INVESTOR NAME],MATCH(I4094,INVESTOR_LIST[INVESTOR CODE],0),)," ")</f>
        <v xml:space="preserve"> </v>
      </c>
      <c r="I4094" s="228"/>
      <c r="J4094" s="229" t="s">
        <v>55</v>
      </c>
      <c r="K4094" s="230"/>
      <c r="L4094" s="230">
        <v>575</v>
      </c>
    </row>
    <row r="4095" spans="1:12" ht="11.25" customHeight="1" x14ac:dyDescent="0.2">
      <c r="A4095" s="221">
        <v>2023</v>
      </c>
      <c r="B4095" s="221">
        <v>12</v>
      </c>
      <c r="C4095" s="221">
        <v>28</v>
      </c>
      <c r="D4095" s="231">
        <f t="shared" si="434"/>
        <v>45288</v>
      </c>
      <c r="E4095" s="233">
        <f t="shared" si="439"/>
        <v>45288</v>
      </c>
      <c r="F4095" s="478" t="s">
        <v>1675</v>
      </c>
      <c r="G4095" s="222" t="s">
        <v>1111</v>
      </c>
      <c r="H4095" s="223" t="str" cm="1">
        <f t="array" ref="H4095">IFERROR(INDEX(INVESTOR_LIST[INVESTOR NAME],MATCH(I4095,INVESTOR_LIST[INVESTOR CODE],0),)," ")</f>
        <v xml:space="preserve"> </v>
      </c>
      <c r="I4095" s="223"/>
      <c r="J4095" s="224" t="s">
        <v>55</v>
      </c>
      <c r="K4095" s="225">
        <v>32.090000000000003</v>
      </c>
      <c r="L4095" s="225"/>
    </row>
    <row r="4096" spans="1:12" ht="11.25" customHeight="1" x14ac:dyDescent="0.2">
      <c r="A4096" s="226">
        <v>2023</v>
      </c>
      <c r="B4096" s="226">
        <v>12</v>
      </c>
      <c r="C4096" s="226">
        <v>28</v>
      </c>
      <c r="D4096" s="232">
        <f t="shared" si="434"/>
        <v>45288</v>
      </c>
      <c r="E4096" s="234">
        <f t="shared" si="439"/>
        <v>45288</v>
      </c>
      <c r="F4096" s="479"/>
      <c r="G4096" s="227" t="s">
        <v>1111</v>
      </c>
      <c r="H4096" s="228" t="str" cm="1">
        <f t="array" ref="H4096">IFERROR(INDEX(INVESTOR_LIST[INVESTOR NAME],MATCH(I4096,INVESTOR_LIST[INVESTOR CODE],0),)," ")</f>
        <v xml:space="preserve"> </v>
      </c>
      <c r="I4096" s="228"/>
      <c r="J4096" s="229" t="s">
        <v>174</v>
      </c>
      <c r="K4096" s="230"/>
      <c r="L4096" s="230">
        <v>32.090000000000003</v>
      </c>
    </row>
    <row r="4097" spans="1:12" ht="11.25" customHeight="1" x14ac:dyDescent="0.2">
      <c r="A4097" s="221">
        <v>2023</v>
      </c>
      <c r="B4097" s="221">
        <v>12</v>
      </c>
      <c r="C4097" s="221">
        <v>28</v>
      </c>
      <c r="D4097" s="231">
        <f t="shared" si="434"/>
        <v>45288</v>
      </c>
      <c r="E4097" s="233">
        <f t="shared" ref="E4097:E4098" si="441">DATE(A4097,B4097,C4097)</f>
        <v>45288</v>
      </c>
      <c r="F4097" s="478" t="s">
        <v>1676</v>
      </c>
      <c r="G4097" s="222" t="s">
        <v>1111</v>
      </c>
      <c r="H4097" s="223" t="str" cm="1">
        <f t="array" ref="H4097">IFERROR(INDEX(INVESTOR_LIST[INVESTOR NAME],MATCH(I4097,INVESTOR_LIST[INVESTOR CODE],0),)," ")</f>
        <v xml:space="preserve"> </v>
      </c>
      <c r="I4097" s="223"/>
      <c r="J4097" s="224" t="s">
        <v>63</v>
      </c>
      <c r="K4097" s="225">
        <v>4.8099999999999996</v>
      </c>
      <c r="L4097" s="225"/>
    </row>
    <row r="4098" spans="1:12" ht="11.25" customHeight="1" x14ac:dyDescent="0.2">
      <c r="A4098" s="226">
        <v>2023</v>
      </c>
      <c r="B4098" s="226">
        <v>12</v>
      </c>
      <c r="C4098" s="226">
        <v>28</v>
      </c>
      <c r="D4098" s="232">
        <f t="shared" si="434"/>
        <v>45288</v>
      </c>
      <c r="E4098" s="234">
        <f t="shared" si="441"/>
        <v>45288</v>
      </c>
      <c r="F4098" s="479"/>
      <c r="G4098" s="227" t="s">
        <v>1111</v>
      </c>
      <c r="H4098" s="228" t="str" cm="1">
        <f t="array" ref="H4098">IFERROR(INDEX(INVESTOR_LIST[INVESTOR NAME],MATCH(I4098,INVESTOR_LIST[INVESTOR CODE],0),)," ")</f>
        <v xml:space="preserve"> </v>
      </c>
      <c r="I4098" s="228"/>
      <c r="J4098" s="229" t="s">
        <v>55</v>
      </c>
      <c r="K4098" s="230"/>
      <c r="L4098" s="230">
        <v>4.8099999999999996</v>
      </c>
    </row>
    <row r="4099" spans="1:12" ht="11.25" customHeight="1" x14ac:dyDescent="0.2">
      <c r="A4099" s="221">
        <v>2023</v>
      </c>
      <c r="B4099" s="221">
        <v>12</v>
      </c>
      <c r="C4099" s="221">
        <v>28</v>
      </c>
      <c r="D4099" s="231">
        <f t="shared" si="434"/>
        <v>45288</v>
      </c>
      <c r="E4099" s="233">
        <f t="shared" si="439"/>
        <v>45288</v>
      </c>
      <c r="F4099" s="478" t="s">
        <v>1670</v>
      </c>
      <c r="G4099" s="222" t="s">
        <v>1111</v>
      </c>
      <c r="H4099" s="223" t="str" cm="1">
        <f t="array" ref="H4099">IFERROR(INDEX(INVESTOR_LIST[INVESTOR NAME],MATCH(I4099,INVESTOR_LIST[INVESTOR CODE],0),)," ")</f>
        <v xml:space="preserve"> </v>
      </c>
      <c r="I4099" s="223"/>
      <c r="J4099" s="224" t="s">
        <v>63</v>
      </c>
      <c r="K4099" s="225">
        <v>345</v>
      </c>
      <c r="L4099" s="225"/>
    </row>
    <row r="4100" spans="1:12" ht="11.25" customHeight="1" x14ac:dyDescent="0.2">
      <c r="A4100" s="226">
        <v>2023</v>
      </c>
      <c r="B4100" s="226">
        <v>12</v>
      </c>
      <c r="C4100" s="226">
        <v>28</v>
      </c>
      <c r="D4100" s="232">
        <f t="shared" si="434"/>
        <v>45288</v>
      </c>
      <c r="E4100" s="234">
        <f t="shared" si="439"/>
        <v>45288</v>
      </c>
      <c r="F4100" s="479"/>
      <c r="G4100" s="227" t="s">
        <v>1111</v>
      </c>
      <c r="H4100" s="228" t="str" cm="1">
        <f t="array" ref="H4100">IFERROR(INDEX(INVESTOR_LIST[INVESTOR NAME],MATCH(I4100,INVESTOR_LIST[INVESTOR CODE],0),)," ")</f>
        <v xml:space="preserve"> </v>
      </c>
      <c r="I4100" s="228"/>
      <c r="J4100" s="229" t="s">
        <v>55</v>
      </c>
      <c r="K4100" s="230"/>
      <c r="L4100" s="230">
        <v>345</v>
      </c>
    </row>
    <row r="4101" spans="1:12" ht="11.25" customHeight="1" x14ac:dyDescent="0.2">
      <c r="A4101" s="221">
        <v>2023</v>
      </c>
      <c r="B4101" s="221">
        <v>12</v>
      </c>
      <c r="C4101" s="221">
        <v>28</v>
      </c>
      <c r="D4101" s="231">
        <f t="shared" si="434"/>
        <v>45288</v>
      </c>
      <c r="E4101" s="233">
        <f t="shared" ref="E4101:E4104" si="442">DATE(A4101,B4101,C4101)</f>
        <v>45288</v>
      </c>
      <c r="F4101" s="478" t="s">
        <v>1671</v>
      </c>
      <c r="G4101" s="222" t="s">
        <v>1111</v>
      </c>
      <c r="H4101" s="223" t="str" cm="1">
        <f t="array" ref="H4101">IFERROR(INDEX(INVESTOR_LIST[INVESTOR NAME],MATCH(I4101,INVESTOR_LIST[INVESTOR CODE],0),)," ")</f>
        <v xml:space="preserve"> </v>
      </c>
      <c r="I4101" s="223"/>
      <c r="J4101" s="224" t="s">
        <v>55</v>
      </c>
      <c r="K4101" s="225">
        <v>15784</v>
      </c>
      <c r="L4101" s="225"/>
    </row>
    <row r="4102" spans="1:12" ht="11.25" customHeight="1" x14ac:dyDescent="0.2">
      <c r="A4102" s="226">
        <v>2023</v>
      </c>
      <c r="B4102" s="226">
        <v>12</v>
      </c>
      <c r="C4102" s="226">
        <v>28</v>
      </c>
      <c r="D4102" s="232">
        <f t="shared" si="434"/>
        <v>45288</v>
      </c>
      <c r="E4102" s="234">
        <f t="shared" si="442"/>
        <v>45288</v>
      </c>
      <c r="F4102" s="479"/>
      <c r="G4102" s="227" t="s">
        <v>1111</v>
      </c>
      <c r="H4102" s="228" t="str" cm="1">
        <f t="array" ref="H4102">IFERROR(INDEX(INVESTOR_LIST[INVESTOR NAME],MATCH(I4102,INVESTOR_LIST[INVESTOR CODE],0),)," ")</f>
        <v xml:space="preserve"> </v>
      </c>
      <c r="I4102" s="228"/>
      <c r="J4102" s="229" t="s">
        <v>174</v>
      </c>
      <c r="K4102" s="230"/>
      <c r="L4102" s="230">
        <v>15784</v>
      </c>
    </row>
    <row r="4103" spans="1:12" ht="11.25" customHeight="1" x14ac:dyDescent="0.2">
      <c r="A4103" s="221">
        <v>2023</v>
      </c>
      <c r="B4103" s="221">
        <v>12</v>
      </c>
      <c r="C4103" s="221">
        <v>30</v>
      </c>
      <c r="D4103" s="231">
        <f t="shared" si="434"/>
        <v>45290</v>
      </c>
      <c r="E4103" s="233">
        <f t="shared" si="442"/>
        <v>45290</v>
      </c>
      <c r="F4103" s="478" t="s">
        <v>1672</v>
      </c>
      <c r="G4103" s="222" t="s">
        <v>1111</v>
      </c>
      <c r="H4103" s="223" t="str" cm="1">
        <f t="array" ref="H4103">IFERROR(INDEX(INVESTOR_LIST[INVESTOR NAME],MATCH(I4103,INVESTOR_LIST[INVESTOR CODE],0),)," ")</f>
        <v xml:space="preserve"> </v>
      </c>
      <c r="I4103" s="223"/>
      <c r="J4103" s="224" t="s">
        <v>63</v>
      </c>
      <c r="K4103" s="225">
        <v>15000</v>
      </c>
      <c r="L4103" s="225"/>
    </row>
    <row r="4104" spans="1:12" ht="11.25" customHeight="1" x14ac:dyDescent="0.2">
      <c r="A4104" s="226">
        <v>2023</v>
      </c>
      <c r="B4104" s="226">
        <v>12</v>
      </c>
      <c r="C4104" s="226">
        <v>30</v>
      </c>
      <c r="D4104" s="232">
        <f t="shared" si="434"/>
        <v>45290</v>
      </c>
      <c r="E4104" s="234">
        <f t="shared" si="442"/>
        <v>45290</v>
      </c>
      <c r="F4104" s="479"/>
      <c r="G4104" s="227" t="s">
        <v>1111</v>
      </c>
      <c r="H4104" s="228" t="str" cm="1">
        <f t="array" ref="H4104">IFERROR(INDEX(INVESTOR_LIST[INVESTOR NAME],MATCH(I4104,INVESTOR_LIST[INVESTOR CODE],0),)," ")</f>
        <v xml:space="preserve"> </v>
      </c>
      <c r="I4104" s="228"/>
      <c r="J4104" s="229" t="s">
        <v>55</v>
      </c>
      <c r="K4104" s="230"/>
      <c r="L4104" s="230">
        <v>15000</v>
      </c>
    </row>
    <row r="4105" spans="1:12" ht="11.25" customHeight="1" x14ac:dyDescent="0.2">
      <c r="A4105" s="221">
        <v>2023</v>
      </c>
      <c r="B4105" s="221">
        <v>12</v>
      </c>
      <c r="C4105" s="221">
        <v>30</v>
      </c>
      <c r="D4105" s="231">
        <f t="shared" ref="D4105:D4168" si="443">DATE(A4105,B4105,C4105)</f>
        <v>45290</v>
      </c>
      <c r="E4105" s="233">
        <f t="shared" ref="E4105:E4112" si="444">DATE(A4105,B4105,C4105)</f>
        <v>45290</v>
      </c>
      <c r="F4105" s="478" t="s">
        <v>1671</v>
      </c>
      <c r="G4105" s="222" t="s">
        <v>1111</v>
      </c>
      <c r="H4105" s="223" t="str" cm="1">
        <f t="array" ref="H4105">IFERROR(INDEX(INVESTOR_LIST[INVESTOR NAME],MATCH(I4105,INVESTOR_LIST[INVESTOR CODE],0),)," ")</f>
        <v xml:space="preserve"> </v>
      </c>
      <c r="I4105" s="223"/>
      <c r="J4105" s="224" t="s">
        <v>55</v>
      </c>
      <c r="K4105" s="225">
        <v>915</v>
      </c>
      <c r="L4105" s="225"/>
    </row>
    <row r="4106" spans="1:12" ht="11.25" customHeight="1" x14ac:dyDescent="0.2">
      <c r="A4106" s="226">
        <v>2023</v>
      </c>
      <c r="B4106" s="226">
        <v>12</v>
      </c>
      <c r="C4106" s="226">
        <v>30</v>
      </c>
      <c r="D4106" s="232">
        <f t="shared" si="443"/>
        <v>45290</v>
      </c>
      <c r="E4106" s="234">
        <f t="shared" si="444"/>
        <v>45290</v>
      </c>
      <c r="F4106" s="479"/>
      <c r="G4106" s="227" t="s">
        <v>1111</v>
      </c>
      <c r="H4106" s="228" t="str" cm="1">
        <f t="array" ref="H4106">IFERROR(INDEX(INVESTOR_LIST[INVESTOR NAME],MATCH(I4106,INVESTOR_LIST[INVESTOR CODE],0),)," ")</f>
        <v xml:space="preserve"> </v>
      </c>
      <c r="I4106" s="228"/>
      <c r="J4106" s="229" t="s">
        <v>174</v>
      </c>
      <c r="K4106" s="230"/>
      <c r="L4106" s="230">
        <v>915</v>
      </c>
    </row>
    <row r="4107" spans="1:12" ht="11.25" customHeight="1" x14ac:dyDescent="0.2">
      <c r="A4107" s="221">
        <v>2023</v>
      </c>
      <c r="B4107" s="221">
        <v>12</v>
      </c>
      <c r="C4107" s="221">
        <v>28</v>
      </c>
      <c r="D4107" s="231">
        <f t="shared" si="443"/>
        <v>45288</v>
      </c>
      <c r="E4107" s="233">
        <f t="shared" si="444"/>
        <v>45288</v>
      </c>
      <c r="F4107" s="478" t="s">
        <v>1670</v>
      </c>
      <c r="G4107" s="222" t="s">
        <v>1111</v>
      </c>
      <c r="H4107" s="223" t="str" cm="1">
        <f t="array" ref="H4107">IFERROR(INDEX(INVESTOR_LIST[INVESTOR NAME],MATCH(I4107,INVESTOR_LIST[INVESTOR CODE],0),)," ")</f>
        <v xml:space="preserve"> </v>
      </c>
      <c r="I4107" s="223"/>
      <c r="J4107" s="224" t="s">
        <v>63</v>
      </c>
      <c r="K4107" s="225">
        <v>575</v>
      </c>
      <c r="L4107" s="225"/>
    </row>
    <row r="4108" spans="1:12" ht="11.25" customHeight="1" x14ac:dyDescent="0.2">
      <c r="A4108" s="226">
        <v>2023</v>
      </c>
      <c r="B4108" s="226">
        <v>12</v>
      </c>
      <c r="C4108" s="226">
        <v>28</v>
      </c>
      <c r="D4108" s="232">
        <f t="shared" si="443"/>
        <v>45288</v>
      </c>
      <c r="E4108" s="234">
        <f t="shared" si="444"/>
        <v>45288</v>
      </c>
      <c r="F4108" s="479"/>
      <c r="G4108" s="227" t="s">
        <v>1111</v>
      </c>
      <c r="H4108" s="228" t="str" cm="1">
        <f t="array" ref="H4108">IFERROR(INDEX(INVESTOR_LIST[INVESTOR NAME],MATCH(I4108,INVESTOR_LIST[INVESTOR CODE],0),)," ")</f>
        <v xml:space="preserve"> </v>
      </c>
      <c r="I4108" s="228"/>
      <c r="J4108" s="229" t="s">
        <v>55</v>
      </c>
      <c r="K4108" s="230"/>
      <c r="L4108" s="230">
        <v>575</v>
      </c>
    </row>
    <row r="4109" spans="1:12" ht="11.25" customHeight="1" x14ac:dyDescent="0.2">
      <c r="A4109" s="221">
        <v>2023</v>
      </c>
      <c r="B4109" s="221">
        <v>12</v>
      </c>
      <c r="C4109" s="221">
        <v>28</v>
      </c>
      <c r="D4109" s="231">
        <f t="shared" si="443"/>
        <v>45288</v>
      </c>
      <c r="E4109" s="233">
        <f t="shared" si="444"/>
        <v>45288</v>
      </c>
      <c r="F4109" s="478" t="s">
        <v>1671</v>
      </c>
      <c r="G4109" s="222" t="s">
        <v>1111</v>
      </c>
      <c r="H4109" s="223" t="str" cm="1">
        <f t="array" ref="H4109">IFERROR(INDEX(INVESTOR_LIST[INVESTOR NAME],MATCH(I4109,INVESTOR_LIST[INVESTOR CODE],0),)," ")</f>
        <v xml:space="preserve"> </v>
      </c>
      <c r="I4109" s="223"/>
      <c r="J4109" s="224" t="s">
        <v>55</v>
      </c>
      <c r="K4109" s="225">
        <v>296747</v>
      </c>
      <c r="L4109" s="225"/>
    </row>
    <row r="4110" spans="1:12" ht="11.25" customHeight="1" x14ac:dyDescent="0.2">
      <c r="A4110" s="226">
        <v>2023</v>
      </c>
      <c r="B4110" s="226">
        <v>12</v>
      </c>
      <c r="C4110" s="226">
        <v>28</v>
      </c>
      <c r="D4110" s="232">
        <f t="shared" si="443"/>
        <v>45288</v>
      </c>
      <c r="E4110" s="234">
        <f t="shared" si="444"/>
        <v>45288</v>
      </c>
      <c r="F4110" s="479"/>
      <c r="G4110" s="227" t="s">
        <v>1111</v>
      </c>
      <c r="H4110" s="228" t="str" cm="1">
        <f t="array" ref="H4110">IFERROR(INDEX(INVESTOR_LIST[INVESTOR NAME],MATCH(I4110,INVESTOR_LIST[INVESTOR CODE],0),)," ")</f>
        <v xml:space="preserve"> </v>
      </c>
      <c r="I4110" s="228"/>
      <c r="J4110" s="229" t="s">
        <v>174</v>
      </c>
      <c r="K4110" s="230"/>
      <c r="L4110" s="230">
        <v>296747</v>
      </c>
    </row>
    <row r="4111" spans="1:12" ht="11.25" customHeight="1" x14ac:dyDescent="0.2">
      <c r="A4111" s="221">
        <v>2023</v>
      </c>
      <c r="B4111" s="221">
        <v>12</v>
      </c>
      <c r="C4111" s="221">
        <v>30</v>
      </c>
      <c r="D4111" s="231">
        <f t="shared" si="443"/>
        <v>45290</v>
      </c>
      <c r="E4111" s="233">
        <f t="shared" si="444"/>
        <v>45290</v>
      </c>
      <c r="F4111" s="478" t="s">
        <v>1672</v>
      </c>
      <c r="G4111" s="222" t="s">
        <v>1111</v>
      </c>
      <c r="H4111" s="223" t="str" cm="1">
        <f t="array" ref="H4111">IFERROR(INDEX(INVESTOR_LIST[INVESTOR NAME],MATCH(I4111,INVESTOR_LIST[INVESTOR CODE],0),)," ")</f>
        <v xml:space="preserve"> </v>
      </c>
      <c r="I4111" s="223"/>
      <c r="J4111" s="224" t="s">
        <v>63</v>
      </c>
      <c r="K4111" s="225">
        <v>50000</v>
      </c>
      <c r="L4111" s="225"/>
    </row>
    <row r="4112" spans="1:12" ht="11.25" customHeight="1" x14ac:dyDescent="0.2">
      <c r="A4112" s="226">
        <v>2023</v>
      </c>
      <c r="B4112" s="226">
        <v>12</v>
      </c>
      <c r="C4112" s="226">
        <v>30</v>
      </c>
      <c r="D4112" s="232">
        <f t="shared" si="443"/>
        <v>45290</v>
      </c>
      <c r="E4112" s="234">
        <f t="shared" si="444"/>
        <v>45290</v>
      </c>
      <c r="F4112" s="479"/>
      <c r="G4112" s="227" t="s">
        <v>1111</v>
      </c>
      <c r="H4112" s="228" t="str" cm="1">
        <f t="array" ref="H4112">IFERROR(INDEX(INVESTOR_LIST[INVESTOR NAME],MATCH(I4112,INVESTOR_LIST[INVESTOR CODE],0),)," ")</f>
        <v xml:space="preserve"> </v>
      </c>
      <c r="I4112" s="228"/>
      <c r="J4112" s="229" t="s">
        <v>55</v>
      </c>
      <c r="K4112" s="230"/>
      <c r="L4112" s="230">
        <v>50000</v>
      </c>
    </row>
    <row r="4113" spans="1:13" ht="11.25" customHeight="1" x14ac:dyDescent="0.2">
      <c r="A4113" s="221">
        <v>2023</v>
      </c>
      <c r="B4113" s="221">
        <v>12</v>
      </c>
      <c r="C4113" s="221">
        <v>30</v>
      </c>
      <c r="D4113" s="231">
        <f t="shared" si="443"/>
        <v>45290</v>
      </c>
      <c r="E4113" s="233">
        <f t="shared" ref="E4113:E4118" si="445">DATE(A4113,B4113,C4113)</f>
        <v>45290</v>
      </c>
      <c r="F4113" s="478" t="s">
        <v>1671</v>
      </c>
      <c r="G4113" s="222" t="s">
        <v>1111</v>
      </c>
      <c r="H4113" s="223" t="str" cm="1">
        <f t="array" ref="H4113">IFERROR(INDEX(INVESTOR_LIST[INVESTOR NAME],MATCH(I4113,INVESTOR_LIST[INVESTOR CODE],0),)," ")</f>
        <v xml:space="preserve"> </v>
      </c>
      <c r="I4113" s="223"/>
      <c r="J4113" s="224" t="s">
        <v>55</v>
      </c>
      <c r="K4113" s="225">
        <v>41314</v>
      </c>
      <c r="L4113" s="225"/>
    </row>
    <row r="4114" spans="1:13" ht="11.25" customHeight="1" x14ac:dyDescent="0.2">
      <c r="A4114" s="226">
        <v>2023</v>
      </c>
      <c r="B4114" s="226">
        <v>12</v>
      </c>
      <c r="C4114" s="226">
        <v>30</v>
      </c>
      <c r="D4114" s="232">
        <f t="shared" si="443"/>
        <v>45290</v>
      </c>
      <c r="E4114" s="234">
        <f t="shared" si="445"/>
        <v>45290</v>
      </c>
      <c r="F4114" s="479"/>
      <c r="G4114" s="227" t="s">
        <v>1111</v>
      </c>
      <c r="H4114" s="228" t="str" cm="1">
        <f t="array" ref="H4114">IFERROR(INDEX(INVESTOR_LIST[INVESTOR NAME],MATCH(I4114,INVESTOR_LIST[INVESTOR CODE],0),)," ")</f>
        <v xml:space="preserve"> </v>
      </c>
      <c r="I4114" s="228"/>
      <c r="J4114" s="229" t="s">
        <v>174</v>
      </c>
      <c r="K4114" s="230"/>
      <c r="L4114" s="230">
        <v>41314</v>
      </c>
    </row>
    <row r="4115" spans="1:13" ht="11.25" customHeight="1" x14ac:dyDescent="0.2">
      <c r="A4115" s="221">
        <v>2023</v>
      </c>
      <c r="B4115" s="221">
        <v>12</v>
      </c>
      <c r="C4115" s="221">
        <v>28</v>
      </c>
      <c r="D4115" s="231">
        <f t="shared" si="443"/>
        <v>45288</v>
      </c>
      <c r="E4115" s="233">
        <f t="shared" ref="E4115:E4116" si="446">DATE(A4115,B4115,C4115)</f>
        <v>45288</v>
      </c>
      <c r="F4115" s="478" t="s">
        <v>1671</v>
      </c>
      <c r="G4115" s="222" t="s">
        <v>1111</v>
      </c>
      <c r="H4115" s="223" t="str" cm="1">
        <f t="array" ref="H4115">IFERROR(INDEX(INVESTOR_LIST[INVESTOR NAME],MATCH(I4115,INVESTOR_LIST[INVESTOR CODE],0),)," ")</f>
        <v xml:space="preserve"> </v>
      </c>
      <c r="I4115" s="223"/>
      <c r="J4115" s="224" t="s">
        <v>55</v>
      </c>
      <c r="K4115" s="225">
        <v>86040.13</v>
      </c>
      <c r="L4115" s="225"/>
    </row>
    <row r="4116" spans="1:13" ht="11.25" customHeight="1" x14ac:dyDescent="0.2">
      <c r="A4116" s="226">
        <v>2023</v>
      </c>
      <c r="B4116" s="226">
        <v>12</v>
      </c>
      <c r="C4116" s="226">
        <v>28</v>
      </c>
      <c r="D4116" s="232">
        <f t="shared" si="443"/>
        <v>45288</v>
      </c>
      <c r="E4116" s="234">
        <f t="shared" si="446"/>
        <v>45288</v>
      </c>
      <c r="F4116" s="479"/>
      <c r="G4116" s="227" t="s">
        <v>1111</v>
      </c>
      <c r="H4116" s="228" t="str" cm="1">
        <f t="array" ref="H4116">IFERROR(INDEX(INVESTOR_LIST[INVESTOR NAME],MATCH(I4116,INVESTOR_LIST[INVESTOR CODE],0),)," ")</f>
        <v xml:space="preserve"> </v>
      </c>
      <c r="I4116" s="228"/>
      <c r="J4116" s="229" t="s">
        <v>174</v>
      </c>
      <c r="K4116" s="230"/>
      <c r="L4116" s="230">
        <v>86040.13</v>
      </c>
    </row>
    <row r="4117" spans="1:13" ht="11.25" customHeight="1" x14ac:dyDescent="0.2">
      <c r="A4117" s="221">
        <v>2023</v>
      </c>
      <c r="B4117" s="221">
        <v>12</v>
      </c>
      <c r="C4117" s="221">
        <v>28</v>
      </c>
      <c r="D4117" s="231">
        <f t="shared" si="443"/>
        <v>45288</v>
      </c>
      <c r="E4117" s="233">
        <f t="shared" si="445"/>
        <v>45288</v>
      </c>
      <c r="F4117" s="478" t="s">
        <v>1673</v>
      </c>
      <c r="G4117" s="222" t="s">
        <v>1111</v>
      </c>
      <c r="H4117" s="223" t="str" cm="1">
        <f t="array" ref="H4117">IFERROR(INDEX(INVESTOR_LIST[INVESTOR NAME],MATCH(I4117,INVESTOR_LIST[INVESTOR CODE],0),)," ")</f>
        <v xml:space="preserve"> </v>
      </c>
      <c r="I4117" s="223"/>
      <c r="J4117" s="224" t="s">
        <v>63</v>
      </c>
      <c r="K4117" s="225">
        <v>4302.01</v>
      </c>
      <c r="L4117" s="225"/>
    </row>
    <row r="4118" spans="1:13" ht="11.25" customHeight="1" x14ac:dyDescent="0.2">
      <c r="A4118" s="226">
        <v>2023</v>
      </c>
      <c r="B4118" s="226">
        <v>12</v>
      </c>
      <c r="C4118" s="226">
        <v>28</v>
      </c>
      <c r="D4118" s="232">
        <f t="shared" si="443"/>
        <v>45288</v>
      </c>
      <c r="E4118" s="234">
        <f t="shared" si="445"/>
        <v>45288</v>
      </c>
      <c r="F4118" s="479"/>
      <c r="G4118" s="227" t="s">
        <v>1111</v>
      </c>
      <c r="H4118" s="228" t="str" cm="1">
        <f t="array" ref="H4118">IFERROR(INDEX(INVESTOR_LIST[INVESTOR NAME],MATCH(I4118,INVESTOR_LIST[INVESTOR CODE],0),)," ")</f>
        <v xml:space="preserve"> </v>
      </c>
      <c r="I4118" s="228"/>
      <c r="J4118" s="229" t="s">
        <v>55</v>
      </c>
      <c r="K4118" s="230"/>
      <c r="L4118" s="230">
        <v>4302.01</v>
      </c>
      <c r="M4118" s="263"/>
    </row>
    <row r="4119" spans="1:13" ht="11.25" customHeight="1" x14ac:dyDescent="0.2">
      <c r="A4119" s="221">
        <v>2023</v>
      </c>
      <c r="B4119" s="221">
        <v>12</v>
      </c>
      <c r="C4119" s="221">
        <v>28</v>
      </c>
      <c r="D4119" s="231">
        <f t="shared" si="443"/>
        <v>45288</v>
      </c>
      <c r="E4119" s="233">
        <f t="shared" ref="E4119:E4120" si="447">DATE(A4119,B4119,C4119)</f>
        <v>45288</v>
      </c>
      <c r="F4119" s="478" t="s">
        <v>1673</v>
      </c>
      <c r="G4119" s="222" t="s">
        <v>1111</v>
      </c>
      <c r="H4119" s="223" t="str" cm="1">
        <f t="array" ref="H4119">IFERROR(INDEX(INVESTOR_LIST[INVESTOR NAME],MATCH(I4119,INVESTOR_LIST[INVESTOR CODE],0),)," ")</f>
        <v xml:space="preserve"> </v>
      </c>
      <c r="I4119" s="223"/>
      <c r="J4119" s="224" t="s">
        <v>63</v>
      </c>
      <c r="K4119" s="225">
        <v>345</v>
      </c>
      <c r="L4119" s="225"/>
      <c r="M4119" s="263"/>
    </row>
    <row r="4120" spans="1:13" ht="11.25" customHeight="1" x14ac:dyDescent="0.2">
      <c r="A4120" s="226">
        <v>2023</v>
      </c>
      <c r="B4120" s="226">
        <v>12</v>
      </c>
      <c r="C4120" s="226">
        <v>28</v>
      </c>
      <c r="D4120" s="232">
        <f t="shared" si="443"/>
        <v>45288</v>
      </c>
      <c r="E4120" s="234">
        <f t="shared" si="447"/>
        <v>45288</v>
      </c>
      <c r="F4120" s="479"/>
      <c r="G4120" s="227" t="s">
        <v>1111</v>
      </c>
      <c r="H4120" s="228" t="str" cm="1">
        <f t="array" ref="H4120">IFERROR(INDEX(INVESTOR_LIST[INVESTOR NAME],MATCH(I4120,INVESTOR_LIST[INVESTOR CODE],0),)," ")</f>
        <v xml:space="preserve"> </v>
      </c>
      <c r="I4120" s="228"/>
      <c r="J4120" s="229" t="s">
        <v>55</v>
      </c>
      <c r="K4120" s="230"/>
      <c r="L4120" s="230">
        <v>345</v>
      </c>
      <c r="M4120" s="263"/>
    </row>
    <row r="4121" spans="1:13" ht="11.25" customHeight="1" x14ac:dyDescent="0.2">
      <c r="A4121" s="221">
        <v>2023</v>
      </c>
      <c r="B4121" s="221">
        <v>12</v>
      </c>
      <c r="C4121" s="221">
        <v>28</v>
      </c>
      <c r="D4121" s="231">
        <f t="shared" si="443"/>
        <v>45288</v>
      </c>
      <c r="E4121" s="233">
        <f t="shared" ref="E4121:E4124" si="448">DATE(A4121,B4121,C4121)</f>
        <v>45288</v>
      </c>
      <c r="F4121" s="478" t="s">
        <v>1674</v>
      </c>
      <c r="G4121" s="222" t="s">
        <v>1111</v>
      </c>
      <c r="H4121" s="223" t="str" cm="1">
        <f t="array" ref="H4121">IFERROR(INDEX(INVESTOR_LIST[INVESTOR NAME],MATCH(I4121,INVESTOR_LIST[INVESTOR CODE],0),)," ")</f>
        <v xml:space="preserve"> </v>
      </c>
      <c r="I4121" s="223"/>
      <c r="J4121" s="224" t="s">
        <v>63</v>
      </c>
      <c r="K4121" s="225">
        <v>15000</v>
      </c>
      <c r="L4121" s="225"/>
    </row>
    <row r="4122" spans="1:13" ht="11.25" customHeight="1" x14ac:dyDescent="0.2">
      <c r="A4122" s="226">
        <v>2023</v>
      </c>
      <c r="B4122" s="226">
        <v>12</v>
      </c>
      <c r="C4122" s="226">
        <v>28</v>
      </c>
      <c r="D4122" s="232">
        <f t="shared" si="443"/>
        <v>45288</v>
      </c>
      <c r="E4122" s="234">
        <f t="shared" si="448"/>
        <v>45288</v>
      </c>
      <c r="F4122" s="479"/>
      <c r="G4122" s="227" t="s">
        <v>1111</v>
      </c>
      <c r="H4122" s="228" t="str" cm="1">
        <f t="array" ref="H4122">IFERROR(INDEX(INVESTOR_LIST[INVESTOR NAME],MATCH(I4122,INVESTOR_LIST[INVESTOR CODE],0),)," ")</f>
        <v xml:space="preserve"> </v>
      </c>
      <c r="I4122" s="228"/>
      <c r="J4122" s="229" t="s">
        <v>55</v>
      </c>
      <c r="K4122" s="230"/>
      <c r="L4122" s="230">
        <v>15000</v>
      </c>
    </row>
    <row r="4123" spans="1:13" ht="11.25" customHeight="1" x14ac:dyDescent="0.2">
      <c r="A4123" s="221">
        <v>2023</v>
      </c>
      <c r="B4123" s="221">
        <v>12</v>
      </c>
      <c r="C4123" s="221">
        <v>30</v>
      </c>
      <c r="D4123" s="231">
        <f t="shared" si="443"/>
        <v>45290</v>
      </c>
      <c r="E4123" s="233">
        <f t="shared" si="448"/>
        <v>45290</v>
      </c>
      <c r="F4123" s="478" t="s">
        <v>1677</v>
      </c>
      <c r="G4123" s="222" t="s">
        <v>1111</v>
      </c>
      <c r="H4123" s="223" t="str" cm="1">
        <f t="array" ref="H4123">IFERROR(INDEX(INVESTOR_LIST[INVESTOR NAME],MATCH(I4123,INVESTOR_LIST[INVESTOR CODE],0),)," ")</f>
        <v xml:space="preserve"> </v>
      </c>
      <c r="I4123" s="223"/>
      <c r="J4123" s="224" t="s">
        <v>63</v>
      </c>
      <c r="K4123" s="225">
        <v>575</v>
      </c>
      <c r="L4123" s="225"/>
    </row>
    <row r="4124" spans="1:13" ht="11.25" customHeight="1" x14ac:dyDescent="0.2">
      <c r="A4124" s="226">
        <v>2023</v>
      </c>
      <c r="B4124" s="226">
        <v>12</v>
      </c>
      <c r="C4124" s="226">
        <v>30</v>
      </c>
      <c r="D4124" s="232">
        <f t="shared" si="443"/>
        <v>45290</v>
      </c>
      <c r="E4124" s="234">
        <f t="shared" si="448"/>
        <v>45290</v>
      </c>
      <c r="F4124" s="479"/>
      <c r="G4124" s="227" t="s">
        <v>1111</v>
      </c>
      <c r="H4124" s="228" t="str" cm="1">
        <f t="array" ref="H4124">IFERROR(INDEX(INVESTOR_LIST[INVESTOR NAME],MATCH(I4124,INVESTOR_LIST[INVESTOR CODE],0),)," ")</f>
        <v xml:space="preserve"> </v>
      </c>
      <c r="I4124" s="228"/>
      <c r="J4124" s="229" t="s">
        <v>55</v>
      </c>
      <c r="K4124" s="230"/>
      <c r="L4124" s="230">
        <v>575</v>
      </c>
    </row>
    <row r="4125" spans="1:13" ht="11.25" customHeight="1" x14ac:dyDescent="0.2">
      <c r="A4125" s="221">
        <v>2023</v>
      </c>
      <c r="B4125" s="221">
        <v>12</v>
      </c>
      <c r="C4125" s="221">
        <v>30</v>
      </c>
      <c r="D4125" s="231">
        <f t="shared" si="443"/>
        <v>45290</v>
      </c>
      <c r="E4125" s="233">
        <f t="shared" ref="E4125:E4128" si="449">DATE(A4125,B4125,C4125)</f>
        <v>45290</v>
      </c>
      <c r="F4125" s="478" t="s">
        <v>1677</v>
      </c>
      <c r="G4125" s="222" t="s">
        <v>1111</v>
      </c>
      <c r="H4125" s="223" t="str" cm="1">
        <f t="array" ref="H4125">IFERROR(INDEX(INVESTOR_LIST[INVESTOR NAME],MATCH(I4125,INVESTOR_LIST[INVESTOR CODE],0),)," ")</f>
        <v xml:space="preserve"> </v>
      </c>
      <c r="I4125" s="223"/>
      <c r="J4125" s="224" t="s">
        <v>63</v>
      </c>
      <c r="K4125" s="225">
        <v>230</v>
      </c>
      <c r="L4125" s="225"/>
    </row>
    <row r="4126" spans="1:13" ht="11.25" customHeight="1" x14ac:dyDescent="0.2">
      <c r="A4126" s="226">
        <v>2023</v>
      </c>
      <c r="B4126" s="226">
        <v>12</v>
      </c>
      <c r="C4126" s="226">
        <v>30</v>
      </c>
      <c r="D4126" s="232">
        <f t="shared" si="443"/>
        <v>45290</v>
      </c>
      <c r="E4126" s="234">
        <f t="shared" si="449"/>
        <v>45290</v>
      </c>
      <c r="F4126" s="479"/>
      <c r="G4126" s="227" t="s">
        <v>1111</v>
      </c>
      <c r="H4126" s="228" t="str" cm="1">
        <f t="array" ref="H4126">IFERROR(INDEX(INVESTOR_LIST[INVESTOR NAME],MATCH(I4126,INVESTOR_LIST[INVESTOR CODE],0),)," ")</f>
        <v xml:space="preserve"> </v>
      </c>
      <c r="I4126" s="228"/>
      <c r="J4126" s="229" t="s">
        <v>55</v>
      </c>
      <c r="K4126" s="230"/>
      <c r="L4126" s="230">
        <v>230</v>
      </c>
    </row>
    <row r="4127" spans="1:13" ht="11.25" customHeight="1" x14ac:dyDescent="0.2">
      <c r="A4127" s="221">
        <v>2023</v>
      </c>
      <c r="B4127" s="221">
        <v>12</v>
      </c>
      <c r="C4127" s="221">
        <v>31</v>
      </c>
      <c r="D4127" s="231">
        <f t="shared" si="443"/>
        <v>45291</v>
      </c>
      <c r="E4127" s="233">
        <f t="shared" si="449"/>
        <v>45291</v>
      </c>
      <c r="F4127" s="478" t="s">
        <v>1678</v>
      </c>
      <c r="G4127" s="222" t="s">
        <v>1111</v>
      </c>
      <c r="H4127" s="223" t="str" cm="1">
        <f t="array" ref="H4127">IFERROR(INDEX(INVESTOR_LIST[INVESTOR NAME],MATCH(I4127,INVESTOR_LIST[INVESTOR CODE],0),)," ")</f>
        <v xml:space="preserve"> </v>
      </c>
      <c r="I4127" s="223"/>
      <c r="J4127" s="224" t="s">
        <v>55</v>
      </c>
      <c r="K4127" s="225">
        <v>9252.49</v>
      </c>
      <c r="L4127" s="225"/>
    </row>
    <row r="4128" spans="1:13" ht="11.25" customHeight="1" x14ac:dyDescent="0.2">
      <c r="A4128" s="226">
        <v>2023</v>
      </c>
      <c r="B4128" s="226">
        <v>12</v>
      </c>
      <c r="C4128" s="226">
        <v>31</v>
      </c>
      <c r="D4128" s="232">
        <f t="shared" si="443"/>
        <v>45291</v>
      </c>
      <c r="E4128" s="234">
        <f t="shared" si="449"/>
        <v>45291</v>
      </c>
      <c r="F4128" s="479"/>
      <c r="G4128" s="227" t="s">
        <v>1111</v>
      </c>
      <c r="H4128" s="228" t="str" cm="1">
        <f t="array" ref="H4128">IFERROR(INDEX(INVESTOR_LIST[INVESTOR NAME],MATCH(I4128,INVESTOR_LIST[INVESTOR CODE],0),)," ")</f>
        <v xml:space="preserve"> </v>
      </c>
      <c r="I4128" s="228"/>
      <c r="J4128" s="229" t="s">
        <v>174</v>
      </c>
      <c r="K4128" s="230"/>
      <c r="L4128" s="230">
        <v>9252.49</v>
      </c>
    </row>
    <row r="4129" spans="1:12" ht="11.25" customHeight="1" x14ac:dyDescent="0.2">
      <c r="A4129" s="221">
        <v>2023</v>
      </c>
      <c r="B4129" s="221">
        <v>12</v>
      </c>
      <c r="C4129" s="221">
        <v>31</v>
      </c>
      <c r="D4129" s="231">
        <f t="shared" si="443"/>
        <v>45291</v>
      </c>
      <c r="E4129" s="233">
        <f t="shared" ref="E4129:E4130" si="450">DATE(A4129,B4129,C4129)</f>
        <v>45291</v>
      </c>
      <c r="F4129" s="478" t="s">
        <v>1677</v>
      </c>
      <c r="G4129" s="222" t="s">
        <v>1111</v>
      </c>
      <c r="H4129" s="223" t="str" cm="1">
        <f t="array" ref="H4129">IFERROR(INDEX(INVESTOR_LIST[INVESTOR NAME],MATCH(I4129,INVESTOR_LIST[INVESTOR CODE],0),)," ")</f>
        <v xml:space="preserve"> </v>
      </c>
      <c r="I4129" s="223"/>
      <c r="J4129" s="224" t="s">
        <v>63</v>
      </c>
      <c r="K4129" s="225">
        <v>5776</v>
      </c>
      <c r="L4129" s="225"/>
    </row>
    <row r="4130" spans="1:12" ht="11.25" customHeight="1" x14ac:dyDescent="0.2">
      <c r="A4130" s="226">
        <v>2023</v>
      </c>
      <c r="B4130" s="226">
        <v>12</v>
      </c>
      <c r="C4130" s="226">
        <v>31</v>
      </c>
      <c r="D4130" s="232">
        <f t="shared" si="443"/>
        <v>45291</v>
      </c>
      <c r="E4130" s="234">
        <f t="shared" si="450"/>
        <v>45291</v>
      </c>
      <c r="F4130" s="479"/>
      <c r="G4130" s="227" t="s">
        <v>1111</v>
      </c>
      <c r="H4130" s="228" t="str" cm="1">
        <f t="array" ref="H4130">IFERROR(INDEX(INVESTOR_LIST[INVESTOR NAME],MATCH(I4130,INVESTOR_LIST[INVESTOR CODE],0),)," ")</f>
        <v xml:space="preserve"> </v>
      </c>
      <c r="I4130" s="228"/>
      <c r="J4130" s="229" t="s">
        <v>55</v>
      </c>
      <c r="K4130" s="230"/>
      <c r="L4130" s="230">
        <v>5776</v>
      </c>
    </row>
    <row r="4131" spans="1:12" ht="11.25" customHeight="1" x14ac:dyDescent="0.2">
      <c r="A4131" s="221">
        <v>2023</v>
      </c>
      <c r="B4131" s="221">
        <v>12</v>
      </c>
      <c r="C4131" s="221">
        <v>31</v>
      </c>
      <c r="D4131" s="231">
        <f t="shared" si="443"/>
        <v>45291</v>
      </c>
      <c r="E4131" s="233">
        <f t="shared" si="439"/>
        <v>45291</v>
      </c>
      <c r="F4131" s="478" t="s">
        <v>1586</v>
      </c>
      <c r="G4131" s="222" t="s">
        <v>1111</v>
      </c>
      <c r="H4131" s="223" t="str" cm="1">
        <f t="array" ref="H4131">IFERROR(INDEX(INVESTOR_LIST[INVESTOR NAME],MATCH(I4131,INVESTOR_LIST[INVESTOR CODE],0),)," ")</f>
        <v xml:space="preserve"> </v>
      </c>
      <c r="I4131" s="223"/>
      <c r="J4131" s="224" t="s">
        <v>55</v>
      </c>
      <c r="K4131" s="225">
        <v>973.27</v>
      </c>
      <c r="L4131" s="225"/>
    </row>
    <row r="4132" spans="1:12" ht="11.25" customHeight="1" x14ac:dyDescent="0.2">
      <c r="A4132" s="226">
        <v>2023</v>
      </c>
      <c r="B4132" s="226">
        <v>12</v>
      </c>
      <c r="C4132" s="226">
        <v>31</v>
      </c>
      <c r="D4132" s="232">
        <f t="shared" si="443"/>
        <v>45291</v>
      </c>
      <c r="E4132" s="234">
        <f t="shared" si="439"/>
        <v>45291</v>
      </c>
      <c r="F4132" s="479"/>
      <c r="G4132" s="227" t="s">
        <v>1111</v>
      </c>
      <c r="H4132" s="228" t="str" cm="1">
        <f t="array" ref="H4132">IFERROR(INDEX(INVESTOR_LIST[INVESTOR NAME],MATCH(I4132,INVESTOR_LIST[INVESTOR CODE],0),)," ")</f>
        <v xml:space="preserve"> </v>
      </c>
      <c r="I4132" s="228"/>
      <c r="J4132" s="229" t="s">
        <v>174</v>
      </c>
      <c r="K4132" s="230"/>
      <c r="L4132" s="230">
        <v>973.27</v>
      </c>
    </row>
    <row r="4133" spans="1:12" ht="11.25" customHeight="1" x14ac:dyDescent="0.2">
      <c r="A4133" s="221">
        <v>2023</v>
      </c>
      <c r="B4133" s="221">
        <v>12</v>
      </c>
      <c r="C4133" s="221">
        <v>31</v>
      </c>
      <c r="D4133" s="231">
        <f t="shared" si="443"/>
        <v>45291</v>
      </c>
      <c r="E4133" s="233">
        <f t="shared" ref="E4133:E4154" si="451">DATE(A4133,B4133,C4133)</f>
        <v>45291</v>
      </c>
      <c r="F4133" s="478" t="s">
        <v>1586</v>
      </c>
      <c r="G4133" s="222" t="s">
        <v>1111</v>
      </c>
      <c r="H4133" s="223" t="str" cm="1">
        <f t="array" ref="H4133">IFERROR(INDEX(INVESTOR_LIST[INVESTOR NAME],MATCH(I4133,INVESTOR_LIST[INVESTOR CODE],0),)," ")</f>
        <v xml:space="preserve"> </v>
      </c>
      <c r="I4133" s="223"/>
      <c r="J4133" s="224" t="s">
        <v>55</v>
      </c>
      <c r="K4133" s="225">
        <v>114.2</v>
      </c>
      <c r="L4133" s="225"/>
    </row>
    <row r="4134" spans="1:12" ht="11.25" customHeight="1" x14ac:dyDescent="0.2">
      <c r="A4134" s="226">
        <v>2023</v>
      </c>
      <c r="B4134" s="226">
        <v>12</v>
      </c>
      <c r="C4134" s="226">
        <v>31</v>
      </c>
      <c r="D4134" s="232">
        <f t="shared" si="443"/>
        <v>45291</v>
      </c>
      <c r="E4134" s="234">
        <f t="shared" si="451"/>
        <v>45291</v>
      </c>
      <c r="F4134" s="479"/>
      <c r="G4134" s="227" t="s">
        <v>1111</v>
      </c>
      <c r="H4134" s="228" t="str" cm="1">
        <f t="array" ref="H4134">IFERROR(INDEX(INVESTOR_LIST[INVESTOR NAME],MATCH(I4134,INVESTOR_LIST[INVESTOR CODE],0),)," ")</f>
        <v xml:space="preserve"> </v>
      </c>
      <c r="I4134" s="228"/>
      <c r="J4134" s="229" t="s">
        <v>174</v>
      </c>
      <c r="K4134" s="230"/>
      <c r="L4134" s="230">
        <v>114.2</v>
      </c>
    </row>
    <row r="4135" spans="1:12" ht="11.25" customHeight="1" x14ac:dyDescent="0.2">
      <c r="A4135" s="221">
        <v>2023</v>
      </c>
      <c r="B4135" s="221">
        <v>12</v>
      </c>
      <c r="C4135" s="221">
        <v>31</v>
      </c>
      <c r="D4135" s="231">
        <f t="shared" si="443"/>
        <v>45291</v>
      </c>
      <c r="E4135" s="233">
        <f t="shared" si="451"/>
        <v>45291</v>
      </c>
      <c r="F4135" s="478" t="s">
        <v>1390</v>
      </c>
      <c r="G4135" s="222" t="s">
        <v>86</v>
      </c>
      <c r="H4135" s="223" t="str" cm="1">
        <f t="array" ref="H4135">IFERROR(INDEX(INVESTOR_LIST[INVESTOR NAME],MATCH(I4135,INVESTOR_LIST[INVESTOR CODE],0),)," ")</f>
        <v xml:space="preserve"> </v>
      </c>
      <c r="I4135" s="223"/>
      <c r="J4135" s="224" t="s">
        <v>128</v>
      </c>
      <c r="K4135" s="225">
        <v>30000</v>
      </c>
      <c r="L4135" s="225"/>
    </row>
    <row r="4136" spans="1:12" ht="11.25" customHeight="1" x14ac:dyDescent="0.2">
      <c r="A4136" s="226">
        <v>2023</v>
      </c>
      <c r="B4136" s="226">
        <v>12</v>
      </c>
      <c r="C4136" s="226">
        <v>31</v>
      </c>
      <c r="D4136" s="232">
        <f t="shared" si="443"/>
        <v>45291</v>
      </c>
      <c r="E4136" s="234">
        <f t="shared" si="451"/>
        <v>45291</v>
      </c>
      <c r="F4136" s="479"/>
      <c r="G4136" s="227" t="s">
        <v>86</v>
      </c>
      <c r="H4136" s="228" t="str" cm="1">
        <f t="array" ref="H4136">IFERROR(INDEX(INVESTOR_LIST[INVESTOR NAME],MATCH(I4136,INVESTOR_LIST[INVESTOR CODE],0),)," ")</f>
        <v xml:space="preserve"> </v>
      </c>
      <c r="I4136" s="228"/>
      <c r="J4136" s="229" t="s">
        <v>53</v>
      </c>
      <c r="K4136" s="230"/>
      <c r="L4136" s="230">
        <v>30000</v>
      </c>
    </row>
    <row r="4137" spans="1:12" ht="11.25" customHeight="1" x14ac:dyDescent="0.2">
      <c r="A4137" s="280">
        <v>2023</v>
      </c>
      <c r="B4137" s="280">
        <v>12</v>
      </c>
      <c r="C4137" s="280">
        <v>31</v>
      </c>
      <c r="D4137" s="281">
        <f t="shared" si="443"/>
        <v>45291</v>
      </c>
      <c r="E4137" s="282">
        <f t="shared" si="451"/>
        <v>45291</v>
      </c>
      <c r="F4137" s="472" t="s">
        <v>1369</v>
      </c>
      <c r="G4137" s="283" t="s">
        <v>86</v>
      </c>
      <c r="H4137" s="284" t="str" cm="1">
        <f t="array" ref="H4137">IFERROR(INDEX(INVESTOR_LIST[INVESTOR NAME],MATCH(I4137,INVESTOR_LIST[INVESTOR CODE],0),)," ")</f>
        <v xml:space="preserve"> </v>
      </c>
      <c r="I4137" s="284"/>
      <c r="J4137" s="285" t="s">
        <v>131</v>
      </c>
      <c r="K4137" s="286">
        <v>2361.2637362637361</v>
      </c>
      <c r="L4137" s="286"/>
    </row>
    <row r="4138" spans="1:12" ht="11.25" customHeight="1" x14ac:dyDescent="0.2">
      <c r="A4138" s="287">
        <v>2023</v>
      </c>
      <c r="B4138" s="287">
        <v>12</v>
      </c>
      <c r="C4138" s="287">
        <v>31</v>
      </c>
      <c r="D4138" s="288">
        <f t="shared" si="443"/>
        <v>45291</v>
      </c>
      <c r="E4138" s="289">
        <f t="shared" si="451"/>
        <v>45291</v>
      </c>
      <c r="F4138" s="473"/>
      <c r="G4138" s="290" t="s">
        <v>86</v>
      </c>
      <c r="H4138" s="291" t="str" cm="1">
        <f t="array" ref="H4138">IFERROR(INDEX(INVESTOR_LIST[INVESTOR NAME],MATCH(I4138,INVESTOR_LIST[INVESTOR CODE],0),)," ")</f>
        <v xml:space="preserve"> </v>
      </c>
      <c r="I4138" s="291"/>
      <c r="J4138" s="292" t="s">
        <v>174</v>
      </c>
      <c r="K4138" s="293"/>
      <c r="L4138" s="293">
        <v>2361.2637362637361</v>
      </c>
    </row>
    <row r="4139" spans="1:12" ht="11.25" customHeight="1" x14ac:dyDescent="0.2">
      <c r="A4139" s="280">
        <v>2023</v>
      </c>
      <c r="B4139" s="280">
        <v>12</v>
      </c>
      <c r="C4139" s="280">
        <v>31</v>
      </c>
      <c r="D4139" s="281">
        <f t="shared" si="443"/>
        <v>45291</v>
      </c>
      <c r="E4139" s="282">
        <f t="shared" si="451"/>
        <v>45291</v>
      </c>
      <c r="F4139" s="472" t="s">
        <v>1584</v>
      </c>
      <c r="G4139" s="283" t="s">
        <v>86</v>
      </c>
      <c r="H4139" s="284" t="str" cm="1">
        <f t="array" ref="H4139">IFERROR(INDEX(INVESTOR_LIST[INVESTOR NAME],MATCH(I4139,INVESTOR_LIST[INVESTOR CODE],0),)," ")</f>
        <v xml:space="preserve"> </v>
      </c>
      <c r="I4139" s="284"/>
      <c r="J4139" s="285" t="s">
        <v>131</v>
      </c>
      <c r="K4139" s="286">
        <v>3131.868131868132</v>
      </c>
      <c r="L4139" s="286"/>
    </row>
    <row r="4140" spans="1:12" ht="11.25" customHeight="1" x14ac:dyDescent="0.2">
      <c r="A4140" s="287">
        <v>2023</v>
      </c>
      <c r="B4140" s="287">
        <v>12</v>
      </c>
      <c r="C4140" s="287">
        <v>31</v>
      </c>
      <c r="D4140" s="288">
        <f t="shared" si="443"/>
        <v>45291</v>
      </c>
      <c r="E4140" s="289">
        <f t="shared" si="451"/>
        <v>45291</v>
      </c>
      <c r="F4140" s="473"/>
      <c r="G4140" s="290" t="s">
        <v>86</v>
      </c>
      <c r="H4140" s="291" t="str" cm="1">
        <f t="array" ref="H4140">IFERROR(INDEX(INVESTOR_LIST[INVESTOR NAME],MATCH(I4140,INVESTOR_LIST[INVESTOR CODE],0),)," ")</f>
        <v xml:space="preserve"> </v>
      </c>
      <c r="I4140" s="291"/>
      <c r="J4140" s="292" t="s">
        <v>174</v>
      </c>
      <c r="K4140" s="293"/>
      <c r="L4140" s="293">
        <v>3131.868131868132</v>
      </c>
    </row>
    <row r="4141" spans="1:12" ht="11.25" customHeight="1" x14ac:dyDescent="0.2">
      <c r="A4141" s="358">
        <v>2023</v>
      </c>
      <c r="B4141" s="358">
        <v>12</v>
      </c>
      <c r="C4141" s="358">
        <v>31</v>
      </c>
      <c r="D4141" s="312">
        <f t="shared" si="443"/>
        <v>45291</v>
      </c>
      <c r="E4141" s="313">
        <f t="shared" si="451"/>
        <v>45291</v>
      </c>
      <c r="F4141" s="482" t="s">
        <v>1627</v>
      </c>
      <c r="G4141" s="314" t="s">
        <v>86</v>
      </c>
      <c r="H4141" s="324" t="str" cm="1">
        <f t="array" ref="H4141">IFERROR(INDEX(INVESTOR_LIST[INVESTOR NAME],MATCH(I4141,INVESTOR_LIST[INVESTOR CODE],0),)," ")</f>
        <v xml:space="preserve"> </v>
      </c>
      <c r="I4141" s="324"/>
      <c r="J4141" s="364" t="s">
        <v>1621</v>
      </c>
      <c r="K4141" s="365">
        <v>20601.10000000149</v>
      </c>
      <c r="L4141" s="365"/>
    </row>
    <row r="4142" spans="1:12" ht="11.25" customHeight="1" x14ac:dyDescent="0.2">
      <c r="A4142" s="320">
        <v>2023</v>
      </c>
      <c r="B4142" s="320">
        <v>12</v>
      </c>
      <c r="C4142" s="320">
        <v>31</v>
      </c>
      <c r="D4142" s="323">
        <f t="shared" si="443"/>
        <v>45291</v>
      </c>
      <c r="E4142" s="321">
        <f t="shared" si="451"/>
        <v>45291</v>
      </c>
      <c r="F4142" s="483"/>
      <c r="G4142" s="322" t="s">
        <v>86</v>
      </c>
      <c r="H4142" s="325" t="str" cm="1">
        <f t="array" ref="H4142">IFERROR(INDEX(INVESTOR_LIST[INVESTOR NAME],MATCH(I4142,INVESTOR_LIST[INVESTOR CODE],0),)," ")</f>
        <v xml:space="preserve"> </v>
      </c>
      <c r="I4142" s="325"/>
      <c r="J4142" s="366" t="s">
        <v>1613</v>
      </c>
      <c r="K4142" s="367"/>
      <c r="L4142" s="367">
        <v>20601.10000000149</v>
      </c>
    </row>
    <row r="4143" spans="1:12" ht="11.25" customHeight="1" x14ac:dyDescent="0.2">
      <c r="A4143" s="236">
        <v>2023</v>
      </c>
      <c r="B4143" s="236">
        <v>12</v>
      </c>
      <c r="C4143" s="236">
        <v>31</v>
      </c>
      <c r="D4143" s="237">
        <f t="shared" si="443"/>
        <v>45291</v>
      </c>
      <c r="E4143" s="238">
        <f t="shared" si="451"/>
        <v>45291</v>
      </c>
      <c r="F4143" s="476" t="s">
        <v>1118</v>
      </c>
      <c r="G4143" s="239" t="s">
        <v>86</v>
      </c>
      <c r="H4143" s="239" t="str" cm="1">
        <f t="array" ref="H4143">IFERROR(INDEX(INVESTOR_LIST[INVESTOR NAME],MATCH(I4143,INVESTOR_LIST[INVESTOR CODE],0),)," ")</f>
        <v xml:space="preserve"> </v>
      </c>
      <c r="I4143" s="240"/>
      <c r="J4143" s="241" t="s">
        <v>98</v>
      </c>
      <c r="K4143" s="242">
        <v>15000</v>
      </c>
      <c r="L4143" s="242"/>
    </row>
    <row r="4144" spans="1:12" ht="11.25" customHeight="1" x14ac:dyDescent="0.2">
      <c r="A4144" s="243">
        <v>2023</v>
      </c>
      <c r="B4144" s="243">
        <v>12</v>
      </c>
      <c r="C4144" s="243">
        <v>31</v>
      </c>
      <c r="D4144" s="248">
        <f t="shared" si="443"/>
        <v>45291</v>
      </c>
      <c r="E4144" s="249">
        <f t="shared" si="451"/>
        <v>45291</v>
      </c>
      <c r="F4144" s="477"/>
      <c r="G4144" s="244" t="s">
        <v>86</v>
      </c>
      <c r="H4144" s="244" t="str" cm="1">
        <f t="array" ref="H4144">IFERROR(INDEX(INVESTOR_LIST[INVESTOR NAME],MATCH(I4144,INVESTOR_LIST[INVESTOR CODE],0),)," ")</f>
        <v xml:space="preserve"> </v>
      </c>
      <c r="I4144" s="245"/>
      <c r="J4144" s="246" t="s">
        <v>82</v>
      </c>
      <c r="K4144" s="247"/>
      <c r="L4144" s="247">
        <v>15000</v>
      </c>
    </row>
    <row r="4145" spans="1:12" ht="11.25" customHeight="1" x14ac:dyDescent="0.2">
      <c r="A4145" s="236">
        <v>2023</v>
      </c>
      <c r="B4145" s="236">
        <v>12</v>
      </c>
      <c r="C4145" s="236">
        <v>31</v>
      </c>
      <c r="D4145" s="237">
        <f t="shared" si="443"/>
        <v>45291</v>
      </c>
      <c r="E4145" s="238">
        <f t="shared" si="451"/>
        <v>45291</v>
      </c>
      <c r="F4145" s="476" t="s">
        <v>1120</v>
      </c>
      <c r="G4145" s="239" t="s">
        <v>86</v>
      </c>
      <c r="H4145" s="239" t="str" cm="1">
        <f t="array" ref="H4145">IFERROR(INDEX(INVESTOR_LIST[INVESTOR NAME],MATCH(I4145,INVESTOR_LIST[INVESTOR CODE],0),)," ")</f>
        <v xml:space="preserve"> </v>
      </c>
      <c r="I4145" s="240"/>
      <c r="J4145" s="241" t="s">
        <v>87</v>
      </c>
      <c r="K4145" s="242">
        <v>1177.3940345368917</v>
      </c>
      <c r="L4145" s="242"/>
    </row>
    <row r="4146" spans="1:12" ht="11.25" customHeight="1" x14ac:dyDescent="0.2">
      <c r="A4146" s="243">
        <v>2023</v>
      </c>
      <c r="B4146" s="243">
        <v>12</v>
      </c>
      <c r="C4146" s="243">
        <v>31</v>
      </c>
      <c r="D4146" s="248">
        <f t="shared" si="443"/>
        <v>45291</v>
      </c>
      <c r="E4146" s="249">
        <f t="shared" si="451"/>
        <v>45291</v>
      </c>
      <c r="F4146" s="477"/>
      <c r="G4146" s="244" t="s">
        <v>86</v>
      </c>
      <c r="H4146" s="244" t="str" cm="1">
        <f t="array" ref="H4146">IFERROR(INDEX(INVESTOR_LIST[INVESTOR NAME],MATCH(I4146,INVESTOR_LIST[INVESTOR CODE],0),)," ")</f>
        <v xml:space="preserve"> </v>
      </c>
      <c r="I4146" s="245"/>
      <c r="J4146" s="246" t="s">
        <v>64</v>
      </c>
      <c r="K4146" s="247"/>
      <c r="L4146" s="247">
        <v>1177.3940345368917</v>
      </c>
    </row>
    <row r="4147" spans="1:12" ht="11.25" customHeight="1" x14ac:dyDescent="0.2">
      <c r="A4147" s="236">
        <v>2023</v>
      </c>
      <c r="B4147" s="236">
        <v>12</v>
      </c>
      <c r="C4147" s="236">
        <v>31</v>
      </c>
      <c r="D4147" s="237">
        <f t="shared" si="443"/>
        <v>45291</v>
      </c>
      <c r="E4147" s="238">
        <f t="shared" si="451"/>
        <v>45291</v>
      </c>
      <c r="F4147" s="476" t="s">
        <v>1121</v>
      </c>
      <c r="G4147" s="239" t="s">
        <v>86</v>
      </c>
      <c r="H4147" s="239" t="str" cm="1">
        <f t="array" ref="H4147">IFERROR(INDEX(INVESTOR_LIST[INVESTOR NAME],MATCH(I4147,INVESTOR_LIST[INVESTOR CODE],0),)," ")</f>
        <v xml:space="preserve"> </v>
      </c>
      <c r="I4147" s="240"/>
      <c r="J4147" s="241" t="s">
        <v>89</v>
      </c>
      <c r="K4147" s="242">
        <v>29068.717902959928</v>
      </c>
      <c r="L4147" s="242"/>
    </row>
    <row r="4148" spans="1:12" ht="11.25" customHeight="1" x14ac:dyDescent="0.2">
      <c r="A4148" s="243">
        <v>2023</v>
      </c>
      <c r="B4148" s="243">
        <v>12</v>
      </c>
      <c r="C4148" s="243">
        <v>31</v>
      </c>
      <c r="D4148" s="248">
        <f t="shared" si="443"/>
        <v>45291</v>
      </c>
      <c r="E4148" s="249">
        <f t="shared" si="451"/>
        <v>45291</v>
      </c>
      <c r="F4148" s="477"/>
      <c r="G4148" s="244" t="s">
        <v>86</v>
      </c>
      <c r="H4148" s="244" t="str" cm="1">
        <f t="array" ref="H4148">IFERROR(INDEX(INVESTOR_LIST[INVESTOR NAME],MATCH(I4148,INVESTOR_LIST[INVESTOR CODE],0),)," ")</f>
        <v xml:space="preserve"> </v>
      </c>
      <c r="I4148" s="245"/>
      <c r="J4148" s="246" t="s">
        <v>50</v>
      </c>
      <c r="K4148" s="247"/>
      <c r="L4148" s="247">
        <v>29068.717902959928</v>
      </c>
    </row>
    <row r="4149" spans="1:12" ht="11.25" customHeight="1" x14ac:dyDescent="0.2">
      <c r="A4149" s="236">
        <v>2023</v>
      </c>
      <c r="B4149" s="236">
        <v>12</v>
      </c>
      <c r="C4149" s="236">
        <v>31</v>
      </c>
      <c r="D4149" s="237">
        <f t="shared" si="443"/>
        <v>45291</v>
      </c>
      <c r="E4149" s="238">
        <f t="shared" si="451"/>
        <v>45291</v>
      </c>
      <c r="F4149" s="476" t="s">
        <v>1122</v>
      </c>
      <c r="G4149" s="239" t="s">
        <v>86</v>
      </c>
      <c r="H4149" s="239" t="str" cm="1">
        <f t="array" ref="H4149">IFERROR(INDEX(INVESTOR_LIST[INVESTOR NAME],MATCH(I4149,INVESTOR_LIST[INVESTOR CODE],0),)," ")</f>
        <v xml:space="preserve"> </v>
      </c>
      <c r="I4149" s="240"/>
      <c r="J4149" s="241" t="s">
        <v>91</v>
      </c>
      <c r="K4149" s="242">
        <v>1453.4358951479965</v>
      </c>
      <c r="L4149" s="242"/>
    </row>
    <row r="4150" spans="1:12" ht="11.25" customHeight="1" x14ac:dyDescent="0.2">
      <c r="A4150" s="243">
        <v>2023</v>
      </c>
      <c r="B4150" s="243">
        <v>12</v>
      </c>
      <c r="C4150" s="243">
        <v>31</v>
      </c>
      <c r="D4150" s="248">
        <f t="shared" si="443"/>
        <v>45291</v>
      </c>
      <c r="E4150" s="249">
        <f t="shared" si="451"/>
        <v>45291</v>
      </c>
      <c r="F4150" s="477"/>
      <c r="G4150" s="244" t="s">
        <v>86</v>
      </c>
      <c r="H4150" s="244" t="str" cm="1">
        <f t="array" ref="H4150">IFERROR(INDEX(INVESTOR_LIST[INVESTOR NAME],MATCH(I4150,INVESTOR_LIST[INVESTOR CODE],0),)," ")</f>
        <v xml:space="preserve"> </v>
      </c>
      <c r="I4150" s="245"/>
      <c r="J4150" s="246" t="s">
        <v>51</v>
      </c>
      <c r="K4150" s="247"/>
      <c r="L4150" s="247">
        <v>1453.4358951479965</v>
      </c>
    </row>
    <row r="4151" spans="1:12" ht="11.25" customHeight="1" x14ac:dyDescent="0.2">
      <c r="A4151" s="221">
        <v>2024</v>
      </c>
      <c r="B4151" s="221">
        <v>1</v>
      </c>
      <c r="C4151" s="221">
        <v>1</v>
      </c>
      <c r="D4151" s="231">
        <f t="shared" si="443"/>
        <v>45292</v>
      </c>
      <c r="E4151" s="233">
        <f t="shared" si="451"/>
        <v>45292</v>
      </c>
      <c r="F4151" s="478" t="s">
        <v>1677</v>
      </c>
      <c r="G4151" s="222" t="s">
        <v>1111</v>
      </c>
      <c r="H4151" s="223" t="str" cm="1">
        <f t="array" ref="H4151">IFERROR(INDEX(INVESTOR_LIST[INVESTOR NAME],MATCH(I4151,INVESTOR_LIST[INVESTOR CODE],0),)," ")</f>
        <v xml:space="preserve"> </v>
      </c>
      <c r="I4151" s="223"/>
      <c r="J4151" s="224" t="s">
        <v>63</v>
      </c>
      <c r="K4151" s="225">
        <v>345</v>
      </c>
      <c r="L4151" s="225"/>
    </row>
    <row r="4152" spans="1:12" ht="11.25" customHeight="1" x14ac:dyDescent="0.2">
      <c r="A4152" s="226">
        <v>2024</v>
      </c>
      <c r="B4152" s="226">
        <v>1</v>
      </c>
      <c r="C4152" s="226">
        <v>1</v>
      </c>
      <c r="D4152" s="232">
        <f t="shared" si="443"/>
        <v>45292</v>
      </c>
      <c r="E4152" s="234">
        <f t="shared" si="451"/>
        <v>45292</v>
      </c>
      <c r="F4152" s="479"/>
      <c r="G4152" s="227" t="s">
        <v>1111</v>
      </c>
      <c r="H4152" s="228" t="str" cm="1">
        <f t="array" ref="H4152">IFERROR(INDEX(INVESTOR_LIST[INVESTOR NAME],MATCH(I4152,INVESTOR_LIST[INVESTOR CODE],0),)," ")</f>
        <v xml:space="preserve"> </v>
      </c>
      <c r="I4152" s="228"/>
      <c r="J4152" s="229" t="s">
        <v>55</v>
      </c>
      <c r="K4152" s="230"/>
      <c r="L4152" s="230">
        <v>345</v>
      </c>
    </row>
    <row r="4153" spans="1:12" ht="11.25" customHeight="1" x14ac:dyDescent="0.2">
      <c r="A4153" s="221">
        <v>2024</v>
      </c>
      <c r="B4153" s="221">
        <v>1</v>
      </c>
      <c r="C4153" s="221">
        <v>1</v>
      </c>
      <c r="D4153" s="231">
        <f t="shared" si="443"/>
        <v>45292</v>
      </c>
      <c r="E4153" s="233">
        <f t="shared" si="451"/>
        <v>45292</v>
      </c>
      <c r="F4153" s="478" t="s">
        <v>1677</v>
      </c>
      <c r="G4153" s="222" t="s">
        <v>1111</v>
      </c>
      <c r="H4153" s="223" t="str" cm="1">
        <f t="array" ref="H4153">IFERROR(INDEX(INVESTOR_LIST[INVESTOR NAME],MATCH(I4153,INVESTOR_LIST[INVESTOR CODE],0),)," ")</f>
        <v xml:space="preserve"> </v>
      </c>
      <c r="I4153" s="223"/>
      <c r="J4153" s="224" t="s">
        <v>63</v>
      </c>
      <c r="K4153" s="225">
        <v>345</v>
      </c>
      <c r="L4153" s="225"/>
    </row>
    <row r="4154" spans="1:12" ht="11.25" customHeight="1" x14ac:dyDescent="0.2">
      <c r="A4154" s="226">
        <v>2024</v>
      </c>
      <c r="B4154" s="226">
        <v>1</v>
      </c>
      <c r="C4154" s="226">
        <v>1</v>
      </c>
      <c r="D4154" s="232">
        <f t="shared" si="443"/>
        <v>45292</v>
      </c>
      <c r="E4154" s="234">
        <f t="shared" si="451"/>
        <v>45292</v>
      </c>
      <c r="F4154" s="479"/>
      <c r="G4154" s="227" t="s">
        <v>1111</v>
      </c>
      <c r="H4154" s="228" t="str" cm="1">
        <f t="array" ref="H4154">IFERROR(INDEX(INVESTOR_LIST[INVESTOR NAME],MATCH(I4154,INVESTOR_LIST[INVESTOR CODE],0),)," ")</f>
        <v xml:space="preserve"> </v>
      </c>
      <c r="I4154" s="228"/>
      <c r="J4154" s="229" t="s">
        <v>55</v>
      </c>
      <c r="K4154" s="230"/>
      <c r="L4154" s="230">
        <v>345</v>
      </c>
    </row>
    <row r="4155" spans="1:12" ht="11.25" customHeight="1" x14ac:dyDescent="0.2">
      <c r="A4155" s="221">
        <v>2024</v>
      </c>
      <c r="B4155" s="221">
        <v>1</v>
      </c>
      <c r="C4155" s="221">
        <v>1</v>
      </c>
      <c r="D4155" s="231">
        <f t="shared" si="443"/>
        <v>45292</v>
      </c>
      <c r="E4155" s="233">
        <f>DATE(A4155,B4155,C4155)</f>
        <v>45292</v>
      </c>
      <c r="F4155" s="478" t="s">
        <v>1590</v>
      </c>
      <c r="G4155" s="222" t="s">
        <v>1111</v>
      </c>
      <c r="H4155" s="223" t="str" cm="1">
        <f t="array" ref="H4155">IFERROR(INDEX(INVESTOR_LIST[INVESTOR NAME],MATCH(I4155,INVESTOR_LIST[INVESTOR CODE],0),)," ")</f>
        <v xml:space="preserve"> </v>
      </c>
      <c r="I4155" s="223"/>
      <c r="J4155" s="224" t="s">
        <v>55</v>
      </c>
      <c r="K4155" s="225">
        <v>1724669.5</v>
      </c>
      <c r="L4155" s="225"/>
    </row>
    <row r="4156" spans="1:12" ht="11.25" customHeight="1" x14ac:dyDescent="0.2">
      <c r="A4156" s="226">
        <v>2024</v>
      </c>
      <c r="B4156" s="226">
        <v>1</v>
      </c>
      <c r="C4156" s="226">
        <v>1</v>
      </c>
      <c r="D4156" s="232">
        <f t="shared" si="443"/>
        <v>45292</v>
      </c>
      <c r="E4156" s="234">
        <f>DATE(A4156,B4156,C4156)</f>
        <v>45292</v>
      </c>
      <c r="F4156" s="479"/>
      <c r="G4156" s="227" t="s">
        <v>1111</v>
      </c>
      <c r="H4156" s="228" t="str" cm="1">
        <f t="array" ref="H4156">IFERROR(INDEX(INVESTOR_LIST[INVESTOR NAME],MATCH(I4156,INVESTOR_LIST[INVESTOR CODE],0),)," ")</f>
        <v xml:space="preserve"> </v>
      </c>
      <c r="I4156" s="228"/>
      <c r="J4156" s="229" t="s">
        <v>199</v>
      </c>
      <c r="K4156" s="230"/>
      <c r="L4156" s="230">
        <v>1724669.5</v>
      </c>
    </row>
    <row r="4157" spans="1:12" ht="11.25" customHeight="1" x14ac:dyDescent="0.2">
      <c r="A4157" s="221">
        <v>2024</v>
      </c>
      <c r="B4157" s="221">
        <v>1</v>
      </c>
      <c r="C4157" s="221">
        <v>1</v>
      </c>
      <c r="D4157" s="221">
        <f t="shared" si="443"/>
        <v>45292</v>
      </c>
      <c r="E4157" s="233">
        <f t="shared" ref="E4157:E4160" si="452">DATE(A4157,B4157,C4157)</f>
        <v>45292</v>
      </c>
      <c r="F4157" s="478" t="s">
        <v>1589</v>
      </c>
      <c r="G4157" s="222" t="s">
        <v>86</v>
      </c>
      <c r="H4157" s="222" t="str" cm="1">
        <f t="array" ref="H4157">IFERROR(INDEX(INVESTOR_LIST[INVESTOR NAME],MATCH(I4157,INVESTOR_LIST[INVESTOR CODE],0),)," ")</f>
        <v xml:space="preserve"> </v>
      </c>
      <c r="I4157" s="223"/>
      <c r="J4157" s="165" t="s">
        <v>199</v>
      </c>
      <c r="K4157" s="225">
        <v>29574.67</v>
      </c>
      <c r="L4157" s="225"/>
    </row>
    <row r="4158" spans="1:12" ht="11.25" customHeight="1" x14ac:dyDescent="0.2">
      <c r="A4158" s="164">
        <v>2024</v>
      </c>
      <c r="B4158" s="164">
        <v>1</v>
      </c>
      <c r="C4158" s="164">
        <v>1</v>
      </c>
      <c r="D4158" s="164">
        <f t="shared" si="443"/>
        <v>45292</v>
      </c>
      <c r="E4158" s="235">
        <f t="shared" si="452"/>
        <v>45292</v>
      </c>
      <c r="F4158" s="480"/>
      <c r="G4158" s="208" t="s">
        <v>86</v>
      </c>
      <c r="H4158" s="208"/>
      <c r="J4158" s="165" t="s">
        <v>960</v>
      </c>
      <c r="K4158" s="205">
        <v>53.33</v>
      </c>
      <c r="L4158" s="205"/>
    </row>
    <row r="4159" spans="1:12" ht="11.25" customHeight="1" x14ac:dyDescent="0.2">
      <c r="A4159" s="164">
        <v>2024</v>
      </c>
      <c r="B4159" s="164">
        <v>1</v>
      </c>
      <c r="C4159" s="164">
        <v>1</v>
      </c>
      <c r="D4159" s="164">
        <f t="shared" si="443"/>
        <v>45292</v>
      </c>
      <c r="E4159" s="235">
        <f t="shared" si="452"/>
        <v>45292</v>
      </c>
      <c r="F4159" s="480"/>
      <c r="G4159" s="208" t="s">
        <v>86</v>
      </c>
      <c r="H4159" s="208"/>
      <c r="J4159" s="165" t="s">
        <v>200</v>
      </c>
      <c r="K4159" s="205"/>
      <c r="L4159" s="205">
        <v>881.22</v>
      </c>
    </row>
    <row r="4160" spans="1:12" ht="11.25" customHeight="1" x14ac:dyDescent="0.2">
      <c r="A4160" s="226">
        <v>2024</v>
      </c>
      <c r="B4160" s="226">
        <v>1</v>
      </c>
      <c r="C4160" s="226">
        <v>1</v>
      </c>
      <c r="D4160" s="226">
        <f t="shared" si="443"/>
        <v>45292</v>
      </c>
      <c r="E4160" s="234">
        <f t="shared" si="452"/>
        <v>45292</v>
      </c>
      <c r="F4160" s="479"/>
      <c r="G4160" s="227" t="s">
        <v>86</v>
      </c>
      <c r="H4160" s="228" t="str" cm="1">
        <f t="array" ref="H4160">IFERROR(INDEX(INVESTOR_LIST[INVESTOR NAME],MATCH(I4160,INVESTOR_LIST[INVESTOR CODE],0),)," ")</f>
        <v xml:space="preserve"> </v>
      </c>
      <c r="I4160" s="228"/>
      <c r="J4160" s="229" t="s">
        <v>80</v>
      </c>
      <c r="K4160" s="230"/>
      <c r="L4160" s="230">
        <v>28746.78</v>
      </c>
    </row>
    <row r="4161" spans="1:12" ht="11.25" customHeight="1" x14ac:dyDescent="0.2">
      <c r="A4161" s="221">
        <v>2024</v>
      </c>
      <c r="B4161" s="221">
        <v>1</v>
      </c>
      <c r="C4161" s="221">
        <v>2</v>
      </c>
      <c r="D4161" s="231">
        <f t="shared" si="443"/>
        <v>45293</v>
      </c>
      <c r="E4161" s="233">
        <f>DATE(A4161,B4161,C4161)</f>
        <v>45293</v>
      </c>
      <c r="F4161" s="478" t="s">
        <v>1590</v>
      </c>
      <c r="G4161" s="222" t="s">
        <v>1111</v>
      </c>
      <c r="H4161" s="223" t="str" cm="1">
        <f t="array" ref="H4161">IFERROR(INDEX(INVESTOR_LIST[INVESTOR NAME],MATCH(I4161,INVESTOR_LIST[INVESTOR CODE],0),)," ")</f>
        <v xml:space="preserve"> </v>
      </c>
      <c r="I4161" s="223"/>
      <c r="J4161" s="224" t="s">
        <v>55</v>
      </c>
      <c r="K4161" s="225">
        <v>1479362.34</v>
      </c>
      <c r="L4161" s="225"/>
    </row>
    <row r="4162" spans="1:12" ht="11.25" customHeight="1" x14ac:dyDescent="0.2">
      <c r="A4162" s="226">
        <v>2024</v>
      </c>
      <c r="B4162" s="226">
        <v>1</v>
      </c>
      <c r="C4162" s="226">
        <v>2</v>
      </c>
      <c r="D4162" s="232">
        <f t="shared" si="443"/>
        <v>45293</v>
      </c>
      <c r="E4162" s="234">
        <f>DATE(A4162,B4162,C4162)</f>
        <v>45293</v>
      </c>
      <c r="F4162" s="479"/>
      <c r="G4162" s="227" t="s">
        <v>1111</v>
      </c>
      <c r="H4162" s="228" t="str" cm="1">
        <f t="array" ref="H4162">IFERROR(INDEX(INVESTOR_LIST[INVESTOR NAME],MATCH(I4162,INVESTOR_LIST[INVESTOR CODE],0),)," ")</f>
        <v xml:space="preserve"> </v>
      </c>
      <c r="I4162" s="228"/>
      <c r="J4162" s="229" t="s">
        <v>199</v>
      </c>
      <c r="K4162" s="230"/>
      <c r="L4162" s="230">
        <v>1479362.34</v>
      </c>
    </row>
    <row r="4163" spans="1:12" ht="11.25" customHeight="1" x14ac:dyDescent="0.2">
      <c r="A4163" s="231">
        <v>2024</v>
      </c>
      <c r="B4163" s="231">
        <v>1</v>
      </c>
      <c r="C4163" s="231">
        <v>2</v>
      </c>
      <c r="D4163" s="221">
        <f t="shared" si="443"/>
        <v>45293</v>
      </c>
      <c r="E4163" s="271">
        <f t="shared" ref="E4163:E4165" si="453">DATE(A4163,B4163,C4163)</f>
        <v>45293</v>
      </c>
      <c r="F4163" s="478" t="s">
        <v>1703</v>
      </c>
      <c r="G4163" s="222" t="s">
        <v>86</v>
      </c>
      <c r="H4163" s="223" t="str" cm="1">
        <f t="array" ref="H4163">IFERROR(INDEX(INVESTOR_LIST[INVESTOR NAME],MATCH(I4163,INVESTOR_LIST[INVESTOR CODE],0),)," ")</f>
        <v>ZINAT MAHRUKH BANU</v>
      </c>
      <c r="I4163" s="223" t="s">
        <v>935</v>
      </c>
      <c r="J4163" s="377" t="s">
        <v>316</v>
      </c>
      <c r="K4163" s="225">
        <v>5000</v>
      </c>
      <c r="L4163" s="225"/>
    </row>
    <row r="4164" spans="1:12" ht="11.25" customHeight="1" x14ac:dyDescent="0.2">
      <c r="A4164" s="156">
        <v>2024</v>
      </c>
      <c r="B4164" s="156">
        <v>1</v>
      </c>
      <c r="C4164" s="156">
        <v>2</v>
      </c>
      <c r="D4164" s="164">
        <f t="shared" si="443"/>
        <v>45293</v>
      </c>
      <c r="E4164" s="276">
        <f t="shared" si="453"/>
        <v>45293</v>
      </c>
      <c r="F4164" s="480"/>
      <c r="G4164" s="208" t="s">
        <v>86</v>
      </c>
      <c r="H4164" s="206" t="str" cm="1">
        <f t="array" ref="H4164">IFERROR(INDEX(INVESTOR_LIST[INVESTOR NAME],MATCH(I4164,INVESTOR_LIST[INVESTOR CODE],0),)," ")</f>
        <v>ZINAT MAHRUKH BANU</v>
      </c>
      <c r="I4164" s="206" t="s">
        <v>935</v>
      </c>
      <c r="J4164" s="378" t="s">
        <v>14</v>
      </c>
      <c r="K4164" s="205"/>
      <c r="L4164" s="418">
        <v>4840</v>
      </c>
    </row>
    <row r="4165" spans="1:12" ht="11.25" customHeight="1" x14ac:dyDescent="0.2">
      <c r="A4165" s="156">
        <v>2024</v>
      </c>
      <c r="B4165" s="232">
        <v>1</v>
      </c>
      <c r="C4165" s="232">
        <v>2</v>
      </c>
      <c r="D4165" s="164">
        <f t="shared" si="443"/>
        <v>45293</v>
      </c>
      <c r="E4165" s="276">
        <f t="shared" si="453"/>
        <v>45293</v>
      </c>
      <c r="F4165" s="480"/>
      <c r="G4165" s="208" t="s">
        <v>86</v>
      </c>
      <c r="H4165" s="228" t="str" cm="1">
        <f t="array" ref="H4165">IFERROR(INDEX(INVESTOR_LIST[INVESTOR NAME],MATCH(I4165,INVESTOR_LIST[INVESTOR CODE],0),)," ")</f>
        <v>ZINAT MAHRUKH BANU</v>
      </c>
      <c r="I4165" s="206" t="s">
        <v>935</v>
      </c>
      <c r="J4165" s="378" t="s">
        <v>56</v>
      </c>
      <c r="K4165" s="230"/>
      <c r="L4165" s="205">
        <v>160</v>
      </c>
    </row>
    <row r="4166" spans="1:12" ht="11.25" customHeight="1" x14ac:dyDescent="0.2">
      <c r="A4166" s="221">
        <v>2024</v>
      </c>
      <c r="B4166" s="221">
        <v>1</v>
      </c>
      <c r="C4166" s="221">
        <v>2</v>
      </c>
      <c r="D4166" s="231">
        <f t="shared" si="443"/>
        <v>45293</v>
      </c>
      <c r="E4166" s="233">
        <f t="shared" ref="E4166:E4210" si="454">DATE(A4166,B4166,C4166)</f>
        <v>45293</v>
      </c>
      <c r="F4166" s="478" t="s">
        <v>1115</v>
      </c>
      <c r="G4166" s="222" t="s">
        <v>1111</v>
      </c>
      <c r="H4166" s="223" t="str" cm="1">
        <f t="array" ref="H4166">IFERROR(INDEX(INVESTOR_LIST[INVESTOR NAME],MATCH(I4166,INVESTOR_LIST[INVESTOR CODE],0),)," ")</f>
        <v>ZINAT MAHRUKH BANU</v>
      </c>
      <c r="I4166" s="223" t="s">
        <v>935</v>
      </c>
      <c r="J4166" s="224" t="s">
        <v>14</v>
      </c>
      <c r="K4166" s="225">
        <v>204840</v>
      </c>
      <c r="L4166" s="225"/>
    </row>
    <row r="4167" spans="1:12" ht="11.25" customHeight="1" x14ac:dyDescent="0.2">
      <c r="A4167" s="164">
        <v>2024</v>
      </c>
      <c r="B4167" s="164">
        <v>1</v>
      </c>
      <c r="C4167" s="164">
        <v>2</v>
      </c>
      <c r="D4167" s="156">
        <f t="shared" si="443"/>
        <v>45293</v>
      </c>
      <c r="E4167" s="235">
        <f t="shared" si="454"/>
        <v>45293</v>
      </c>
      <c r="F4167" s="480"/>
      <c r="G4167" s="208" t="s">
        <v>1111</v>
      </c>
      <c r="H4167" s="206" t="str" cm="1">
        <f t="array" ref="H4167">IFERROR(INDEX(INVESTOR_LIST[INVESTOR NAME],MATCH(I4167,INVESTOR_LIST[INVESTOR CODE],0),)," ")</f>
        <v>ZINAT MAHRUKH BANU</v>
      </c>
      <c r="I4167" s="206" t="s">
        <v>935</v>
      </c>
      <c r="J4167" s="165" t="s">
        <v>1112</v>
      </c>
      <c r="K4167" s="205">
        <v>1560</v>
      </c>
    </row>
    <row r="4168" spans="1:12" ht="11.25" customHeight="1" x14ac:dyDescent="0.2">
      <c r="A4168" s="226">
        <v>2024</v>
      </c>
      <c r="B4168" s="226">
        <v>1</v>
      </c>
      <c r="C4168" s="226">
        <v>2</v>
      </c>
      <c r="D4168" s="232">
        <f t="shared" si="443"/>
        <v>45293</v>
      </c>
      <c r="E4168" s="234">
        <f t="shared" si="454"/>
        <v>45293</v>
      </c>
      <c r="F4168" s="479"/>
      <c r="G4168" s="227" t="s">
        <v>1111</v>
      </c>
      <c r="H4168" s="228" t="str" cm="1">
        <f t="array" ref="H4168">IFERROR(INDEX(INVESTOR_LIST[INVESTOR NAME],MATCH(I4168,INVESTOR_LIST[INVESTOR CODE],0),)," ")</f>
        <v>ZINAT MAHRUKH BANU</v>
      </c>
      <c r="I4168" s="228" t="s">
        <v>935</v>
      </c>
      <c r="J4168" s="229" t="s">
        <v>55</v>
      </c>
      <c r="K4168" s="230"/>
      <c r="L4168" s="230">
        <v>206400</v>
      </c>
    </row>
    <row r="4169" spans="1:12" ht="11.25" customHeight="1" x14ac:dyDescent="0.2">
      <c r="A4169" s="221">
        <v>2024</v>
      </c>
      <c r="B4169" s="221">
        <v>1</v>
      </c>
      <c r="C4169" s="221">
        <v>2</v>
      </c>
      <c r="D4169" s="231">
        <f t="shared" ref="D4169:D4232" si="455">DATE(A4169,B4169,C4169)</f>
        <v>45293</v>
      </c>
      <c r="E4169" s="233">
        <f t="shared" si="454"/>
        <v>45293</v>
      </c>
      <c r="F4169" s="478" t="s">
        <v>1679</v>
      </c>
      <c r="G4169" s="222" t="s">
        <v>1111</v>
      </c>
      <c r="H4169" s="223" t="str" cm="1">
        <f t="array" ref="H4169">IFERROR(INDEX(INVESTOR_LIST[INVESTOR NAME],MATCH(I4169,INVESTOR_LIST[INVESTOR CODE],0),)," ")</f>
        <v xml:space="preserve"> </v>
      </c>
      <c r="I4169" s="223"/>
      <c r="J4169" s="224" t="s">
        <v>55</v>
      </c>
      <c r="K4169" s="225">
        <v>1991000</v>
      </c>
      <c r="L4169" s="225"/>
    </row>
    <row r="4170" spans="1:12" ht="11.25" customHeight="1" x14ac:dyDescent="0.2">
      <c r="A4170" s="164">
        <v>2024</v>
      </c>
      <c r="B4170" s="164">
        <v>1</v>
      </c>
      <c r="C4170" s="164">
        <v>2</v>
      </c>
      <c r="D4170" s="156">
        <f t="shared" si="455"/>
        <v>45293</v>
      </c>
      <c r="E4170" s="235">
        <f t="shared" si="454"/>
        <v>45293</v>
      </c>
      <c r="F4170" s="480"/>
      <c r="G4170" s="208" t="s">
        <v>1111</v>
      </c>
      <c r="J4170" s="165" t="s">
        <v>63</v>
      </c>
      <c r="K4170" s="205">
        <v>9000</v>
      </c>
      <c r="L4170" s="205"/>
    </row>
    <row r="4171" spans="1:12" ht="11.25" customHeight="1" x14ac:dyDescent="0.2">
      <c r="A4171" s="164">
        <v>2024</v>
      </c>
      <c r="B4171" s="164">
        <v>1</v>
      </c>
      <c r="C4171" s="164">
        <v>2</v>
      </c>
      <c r="D4171" s="156">
        <f t="shared" si="455"/>
        <v>45293</v>
      </c>
      <c r="E4171" s="235">
        <f t="shared" si="454"/>
        <v>45293</v>
      </c>
      <c r="F4171" s="480"/>
      <c r="G4171" s="208" t="s">
        <v>1111</v>
      </c>
      <c r="J4171" s="165" t="s">
        <v>1457</v>
      </c>
      <c r="K4171" s="205"/>
      <c r="L4171" s="205">
        <v>2000000</v>
      </c>
    </row>
    <row r="4172" spans="1:12" ht="11.25" customHeight="1" x14ac:dyDescent="0.2">
      <c r="A4172" s="221">
        <v>2024</v>
      </c>
      <c r="B4172" s="221">
        <v>1</v>
      </c>
      <c r="C4172" s="221">
        <v>2</v>
      </c>
      <c r="D4172" s="231">
        <f t="shared" si="455"/>
        <v>45293</v>
      </c>
      <c r="E4172" s="233">
        <f t="shared" si="454"/>
        <v>45293</v>
      </c>
      <c r="F4172" s="478" t="s">
        <v>1680</v>
      </c>
      <c r="G4172" s="222" t="s">
        <v>1111</v>
      </c>
      <c r="H4172" s="223" t="str" cm="1">
        <f t="array" ref="H4172">IFERROR(INDEX(INVESTOR_LIST[INVESTOR NAME],MATCH(I4172,INVESTOR_LIST[INVESTOR CODE],0),)," ")</f>
        <v xml:space="preserve"> </v>
      </c>
      <c r="I4172" s="223"/>
      <c r="J4172" s="224" t="s">
        <v>55</v>
      </c>
      <c r="K4172" s="225">
        <v>1991000</v>
      </c>
      <c r="L4172" s="225"/>
    </row>
    <row r="4173" spans="1:12" ht="11.25" customHeight="1" x14ac:dyDescent="0.2">
      <c r="A4173" s="164">
        <v>2024</v>
      </c>
      <c r="B4173" s="164">
        <v>1</v>
      </c>
      <c r="C4173" s="164">
        <v>2</v>
      </c>
      <c r="D4173" s="156">
        <f t="shared" si="455"/>
        <v>45293</v>
      </c>
      <c r="E4173" s="235">
        <f t="shared" si="454"/>
        <v>45293</v>
      </c>
      <c r="F4173" s="480"/>
      <c r="G4173" s="208" t="s">
        <v>1111</v>
      </c>
      <c r="J4173" s="165" t="s">
        <v>63</v>
      </c>
      <c r="K4173" s="205">
        <v>9000</v>
      </c>
      <c r="L4173" s="205"/>
    </row>
    <row r="4174" spans="1:12" ht="11.25" customHeight="1" x14ac:dyDescent="0.2">
      <c r="A4174" s="226">
        <v>2024</v>
      </c>
      <c r="B4174" s="226">
        <v>1</v>
      </c>
      <c r="C4174" s="226">
        <v>2</v>
      </c>
      <c r="D4174" s="232">
        <f t="shared" si="455"/>
        <v>45293</v>
      </c>
      <c r="E4174" s="234">
        <f t="shared" si="454"/>
        <v>45293</v>
      </c>
      <c r="F4174" s="479"/>
      <c r="G4174" s="227" t="s">
        <v>1111</v>
      </c>
      <c r="H4174" s="228"/>
      <c r="I4174" s="228"/>
      <c r="J4174" s="229" t="s">
        <v>1457</v>
      </c>
      <c r="K4174" s="230"/>
      <c r="L4174" s="230">
        <v>2000000</v>
      </c>
    </row>
    <row r="4175" spans="1:12" ht="11.25" customHeight="1" x14ac:dyDescent="0.2">
      <c r="A4175" s="221">
        <v>2024</v>
      </c>
      <c r="B4175" s="221">
        <v>1</v>
      </c>
      <c r="C4175" s="221">
        <v>2</v>
      </c>
      <c r="D4175" s="221">
        <f t="shared" si="455"/>
        <v>45293</v>
      </c>
      <c r="E4175" s="233">
        <f t="shared" si="454"/>
        <v>45293</v>
      </c>
      <c r="F4175" s="478" t="s">
        <v>1589</v>
      </c>
      <c r="G4175" s="222" t="s">
        <v>86</v>
      </c>
      <c r="H4175" s="222" t="str" cm="1">
        <f t="array" ref="H4175">IFERROR(INDEX(INVESTOR_LIST[INVESTOR NAME],MATCH(I4175,INVESTOR_LIST[INVESTOR CODE],0),)," ")</f>
        <v xml:space="preserve"> </v>
      </c>
      <c r="I4175" s="223"/>
      <c r="J4175" s="165" t="s">
        <v>199</v>
      </c>
      <c r="K4175" s="225">
        <v>201356.91</v>
      </c>
      <c r="L4175" s="225"/>
    </row>
    <row r="4176" spans="1:12" ht="11.25" customHeight="1" x14ac:dyDescent="0.2">
      <c r="A4176" s="164">
        <v>2024</v>
      </c>
      <c r="B4176" s="164">
        <v>1</v>
      </c>
      <c r="C4176" s="164">
        <v>2</v>
      </c>
      <c r="D4176" s="164">
        <f t="shared" si="455"/>
        <v>45293</v>
      </c>
      <c r="E4176" s="235">
        <f t="shared" si="454"/>
        <v>45293</v>
      </c>
      <c r="F4176" s="480"/>
      <c r="G4176" s="208" t="s">
        <v>86</v>
      </c>
      <c r="H4176" s="208"/>
      <c r="J4176" s="165" t="s">
        <v>960</v>
      </c>
      <c r="K4176" s="205">
        <v>363.09</v>
      </c>
      <c r="L4176" s="205"/>
    </row>
    <row r="4177" spans="1:12" ht="11.25" customHeight="1" x14ac:dyDescent="0.2">
      <c r="A4177" s="164">
        <v>2024</v>
      </c>
      <c r="B4177" s="164">
        <v>1</v>
      </c>
      <c r="C4177" s="164">
        <v>2</v>
      </c>
      <c r="D4177" s="164">
        <f t="shared" si="455"/>
        <v>45293</v>
      </c>
      <c r="E4177" s="235">
        <f t="shared" si="454"/>
        <v>45293</v>
      </c>
      <c r="F4177" s="480"/>
      <c r="G4177" s="208" t="s">
        <v>86</v>
      </c>
      <c r="H4177" s="208"/>
      <c r="J4177" s="165" t="s">
        <v>200</v>
      </c>
      <c r="K4177" s="205"/>
      <c r="L4177" s="205">
        <v>5283.66</v>
      </c>
    </row>
    <row r="4178" spans="1:12" ht="11.25" customHeight="1" x14ac:dyDescent="0.2">
      <c r="A4178" s="226">
        <v>2024</v>
      </c>
      <c r="B4178" s="226">
        <v>1</v>
      </c>
      <c r="C4178" s="226">
        <v>2</v>
      </c>
      <c r="D4178" s="226">
        <f t="shared" si="455"/>
        <v>45293</v>
      </c>
      <c r="E4178" s="234">
        <f t="shared" si="454"/>
        <v>45293</v>
      </c>
      <c r="F4178" s="479"/>
      <c r="G4178" s="227" t="s">
        <v>86</v>
      </c>
      <c r="H4178" s="228" t="str" cm="1">
        <f t="array" ref="H4178">IFERROR(INDEX(INVESTOR_LIST[INVESTOR NAME],MATCH(I4178,INVESTOR_LIST[INVESTOR CODE],0),)," ")</f>
        <v xml:space="preserve"> </v>
      </c>
      <c r="I4178" s="228"/>
      <c r="J4178" s="229" t="s">
        <v>80</v>
      </c>
      <c r="K4178" s="230"/>
      <c r="L4178" s="230">
        <v>196436.34</v>
      </c>
    </row>
    <row r="4179" spans="1:12" ht="11.25" customHeight="1" x14ac:dyDescent="0.2">
      <c r="A4179" s="221">
        <v>2024</v>
      </c>
      <c r="B4179" s="221">
        <v>1</v>
      </c>
      <c r="C4179" s="221">
        <v>3</v>
      </c>
      <c r="D4179" s="221">
        <f t="shared" si="455"/>
        <v>45294</v>
      </c>
      <c r="E4179" s="233">
        <f t="shared" si="454"/>
        <v>45294</v>
      </c>
      <c r="F4179" s="478" t="s">
        <v>1589</v>
      </c>
      <c r="G4179" s="222" t="s">
        <v>86</v>
      </c>
      <c r="H4179" s="222" t="str" cm="1">
        <f t="array" ref="H4179">IFERROR(INDEX(INVESTOR_LIST[INVESTOR NAME],MATCH(I4179,INVESTOR_LIST[INVESTOR CODE],0),)," ")</f>
        <v xml:space="preserve"> </v>
      </c>
      <c r="I4179" s="223"/>
      <c r="J4179" s="165" t="s">
        <v>199</v>
      </c>
      <c r="K4179" s="225">
        <v>1958828.25</v>
      </c>
      <c r="L4179" s="225"/>
    </row>
    <row r="4180" spans="1:12" ht="11.25" customHeight="1" x14ac:dyDescent="0.2">
      <c r="A4180" s="164">
        <v>2024</v>
      </c>
      <c r="B4180" s="164">
        <v>1</v>
      </c>
      <c r="C4180" s="164">
        <v>3</v>
      </c>
      <c r="D4180" s="164">
        <f t="shared" si="455"/>
        <v>45294</v>
      </c>
      <c r="E4180" s="235">
        <f t="shared" si="454"/>
        <v>45294</v>
      </c>
      <c r="F4180" s="480"/>
      <c r="G4180" s="208" t="s">
        <v>86</v>
      </c>
      <c r="H4180" s="208"/>
      <c r="J4180" s="165" t="s">
        <v>960</v>
      </c>
      <c r="K4180" s="205">
        <v>3532.25</v>
      </c>
      <c r="L4180" s="205"/>
    </row>
    <row r="4181" spans="1:12" ht="11.25" customHeight="1" x14ac:dyDescent="0.2">
      <c r="A4181" s="164">
        <v>2024</v>
      </c>
      <c r="B4181" s="164">
        <v>1</v>
      </c>
      <c r="C4181" s="164">
        <v>3</v>
      </c>
      <c r="D4181" s="164">
        <f t="shared" si="455"/>
        <v>45294</v>
      </c>
      <c r="E4181" s="235">
        <f t="shared" si="454"/>
        <v>45294</v>
      </c>
      <c r="F4181" s="480"/>
      <c r="G4181" s="208" t="s">
        <v>86</v>
      </c>
      <c r="H4181" s="208"/>
      <c r="J4181" s="165" t="s">
        <v>200</v>
      </c>
      <c r="K4181" s="205"/>
      <c r="L4181" s="205">
        <v>45908.38</v>
      </c>
    </row>
    <row r="4182" spans="1:12" ht="11.25" customHeight="1" x14ac:dyDescent="0.2">
      <c r="A4182" s="226">
        <v>2024</v>
      </c>
      <c r="B4182" s="226">
        <v>1</v>
      </c>
      <c r="C4182" s="226">
        <v>3</v>
      </c>
      <c r="D4182" s="226">
        <f t="shared" si="455"/>
        <v>45294</v>
      </c>
      <c r="E4182" s="234">
        <f t="shared" si="454"/>
        <v>45294</v>
      </c>
      <c r="F4182" s="479"/>
      <c r="G4182" s="227" t="s">
        <v>86</v>
      </c>
      <c r="H4182" s="228" t="str" cm="1">
        <f t="array" ref="H4182">IFERROR(INDEX(INVESTOR_LIST[INVESTOR NAME],MATCH(I4182,INVESTOR_LIST[INVESTOR CODE],0),)," ")</f>
        <v xml:space="preserve"> </v>
      </c>
      <c r="I4182" s="228"/>
      <c r="J4182" s="229" t="s">
        <v>80</v>
      </c>
      <c r="K4182" s="230"/>
      <c r="L4182" s="230">
        <v>1916452.12</v>
      </c>
    </row>
    <row r="4183" spans="1:12" ht="11.25" customHeight="1" x14ac:dyDescent="0.2">
      <c r="A4183" s="221">
        <v>2024</v>
      </c>
      <c r="B4183" s="221">
        <v>1</v>
      </c>
      <c r="C4183" s="221">
        <v>4</v>
      </c>
      <c r="D4183" s="231">
        <f t="shared" si="455"/>
        <v>45295</v>
      </c>
      <c r="E4183" s="233">
        <f t="shared" si="454"/>
        <v>45295</v>
      </c>
      <c r="F4183" s="478" t="s">
        <v>1670</v>
      </c>
      <c r="G4183" s="222" t="s">
        <v>1111</v>
      </c>
      <c r="H4183" s="223" t="str" cm="1">
        <f t="array" ref="H4183">IFERROR(INDEX(INVESTOR_LIST[INVESTOR NAME],MATCH(I4183,INVESTOR_LIST[INVESTOR CODE],0),)," ")</f>
        <v xml:space="preserve"> </v>
      </c>
      <c r="I4183" s="223"/>
      <c r="J4183" s="224" t="s">
        <v>63</v>
      </c>
      <c r="K4183" s="225">
        <v>230</v>
      </c>
      <c r="L4183" s="225"/>
    </row>
    <row r="4184" spans="1:12" ht="11.25" customHeight="1" x14ac:dyDescent="0.2">
      <c r="A4184" s="226">
        <v>2024</v>
      </c>
      <c r="B4184" s="226">
        <v>1</v>
      </c>
      <c r="C4184" s="226">
        <v>4</v>
      </c>
      <c r="D4184" s="232">
        <f t="shared" si="455"/>
        <v>45295</v>
      </c>
      <c r="E4184" s="234">
        <f t="shared" si="454"/>
        <v>45295</v>
      </c>
      <c r="F4184" s="479"/>
      <c r="G4184" s="227" t="s">
        <v>1111</v>
      </c>
      <c r="H4184" s="228" t="str" cm="1">
        <f t="array" ref="H4184">IFERROR(INDEX(INVESTOR_LIST[INVESTOR NAME],MATCH(I4184,INVESTOR_LIST[INVESTOR CODE],0),)," ")</f>
        <v xml:space="preserve"> </v>
      </c>
      <c r="I4184" s="228"/>
      <c r="J4184" s="229" t="s">
        <v>55</v>
      </c>
      <c r="K4184" s="230"/>
      <c r="L4184" s="230">
        <v>230</v>
      </c>
    </row>
    <row r="4185" spans="1:12" ht="11.25" customHeight="1" x14ac:dyDescent="0.2">
      <c r="A4185" s="221">
        <v>2024</v>
      </c>
      <c r="B4185" s="221">
        <v>1</v>
      </c>
      <c r="C4185" s="221">
        <v>4</v>
      </c>
      <c r="D4185" s="231">
        <f t="shared" si="455"/>
        <v>45295</v>
      </c>
      <c r="E4185" s="233">
        <f t="shared" ref="E4185:E4186" si="456">DATE(A4185,B4185,C4185)</f>
        <v>45295</v>
      </c>
      <c r="F4185" s="478" t="s">
        <v>1681</v>
      </c>
      <c r="G4185" s="222" t="s">
        <v>1111</v>
      </c>
      <c r="H4185" s="223" t="str" cm="1">
        <f t="array" ref="H4185">IFERROR(INDEX(INVESTOR_LIST[INVESTOR NAME],MATCH(I4185,INVESTOR_LIST[INVESTOR CODE],0),)," ")</f>
        <v xml:space="preserve"> </v>
      </c>
      <c r="I4185" s="223"/>
      <c r="J4185" s="224" t="s">
        <v>63</v>
      </c>
      <c r="K4185" s="225">
        <v>230</v>
      </c>
      <c r="L4185" s="225"/>
    </row>
    <row r="4186" spans="1:12" ht="11.25" customHeight="1" x14ac:dyDescent="0.2">
      <c r="A4186" s="226">
        <v>2024</v>
      </c>
      <c r="B4186" s="226">
        <v>1</v>
      </c>
      <c r="C4186" s="226">
        <v>4</v>
      </c>
      <c r="D4186" s="232">
        <f t="shared" si="455"/>
        <v>45295</v>
      </c>
      <c r="E4186" s="234">
        <f t="shared" si="456"/>
        <v>45295</v>
      </c>
      <c r="F4186" s="479"/>
      <c r="G4186" s="227" t="s">
        <v>1111</v>
      </c>
      <c r="H4186" s="228" t="str" cm="1">
        <f t="array" ref="H4186">IFERROR(INDEX(INVESTOR_LIST[INVESTOR NAME],MATCH(I4186,INVESTOR_LIST[INVESTOR CODE],0),)," ")</f>
        <v xml:space="preserve"> </v>
      </c>
      <c r="I4186" s="228"/>
      <c r="J4186" s="229" t="s">
        <v>55</v>
      </c>
      <c r="K4186" s="230"/>
      <c r="L4186" s="230">
        <v>230</v>
      </c>
    </row>
    <row r="4187" spans="1:12" ht="11.25" customHeight="1" x14ac:dyDescent="0.2">
      <c r="A4187" s="221">
        <v>2024</v>
      </c>
      <c r="B4187" s="221">
        <v>1</v>
      </c>
      <c r="C4187" s="221">
        <v>4</v>
      </c>
      <c r="D4187" s="231">
        <f t="shared" si="455"/>
        <v>45295</v>
      </c>
      <c r="E4187" s="233">
        <f>DATE(A4187,B4187,C4187)</f>
        <v>45295</v>
      </c>
      <c r="F4187" s="478" t="s">
        <v>1590</v>
      </c>
      <c r="G4187" s="222" t="s">
        <v>1111</v>
      </c>
      <c r="H4187" s="223" t="str" cm="1">
        <f t="array" ref="H4187">IFERROR(INDEX(INVESTOR_LIST[INVESTOR NAME],MATCH(I4187,INVESTOR_LIST[INVESTOR CODE],0),)," ")</f>
        <v xml:space="preserve"> </v>
      </c>
      <c r="I4187" s="223"/>
      <c r="J4187" s="224" t="s">
        <v>55</v>
      </c>
      <c r="K4187" s="225">
        <v>29574.67</v>
      </c>
      <c r="L4187" s="225"/>
    </row>
    <row r="4188" spans="1:12" ht="11.25" customHeight="1" x14ac:dyDescent="0.2">
      <c r="A4188" s="226">
        <v>2024</v>
      </c>
      <c r="B4188" s="226">
        <v>1</v>
      </c>
      <c r="C4188" s="226">
        <v>4</v>
      </c>
      <c r="D4188" s="232">
        <f t="shared" si="455"/>
        <v>45295</v>
      </c>
      <c r="E4188" s="234">
        <f>DATE(A4188,B4188,C4188)</f>
        <v>45295</v>
      </c>
      <c r="F4188" s="479"/>
      <c r="G4188" s="227" t="s">
        <v>1111</v>
      </c>
      <c r="H4188" s="228" t="str" cm="1">
        <f t="array" ref="H4188">IFERROR(INDEX(INVESTOR_LIST[INVESTOR NAME],MATCH(I4188,INVESTOR_LIST[INVESTOR CODE],0),)," ")</f>
        <v xml:space="preserve"> </v>
      </c>
      <c r="I4188" s="228"/>
      <c r="J4188" s="229" t="s">
        <v>199</v>
      </c>
      <c r="K4188" s="230"/>
      <c r="L4188" s="230">
        <v>29574.67</v>
      </c>
    </row>
    <row r="4189" spans="1:12" ht="11.25" customHeight="1" x14ac:dyDescent="0.2">
      <c r="A4189" s="221">
        <v>2024</v>
      </c>
      <c r="B4189" s="221">
        <v>1</v>
      </c>
      <c r="C4189" s="221">
        <v>4</v>
      </c>
      <c r="D4189" s="231">
        <f t="shared" si="455"/>
        <v>45295</v>
      </c>
      <c r="E4189" s="233">
        <f>DATE(A4189,B4189,C4189)</f>
        <v>45295</v>
      </c>
      <c r="F4189" s="478" t="s">
        <v>1590</v>
      </c>
      <c r="G4189" s="222" t="s">
        <v>1111</v>
      </c>
      <c r="H4189" s="223" t="str" cm="1">
        <f t="array" ref="H4189">IFERROR(INDEX(INVESTOR_LIST[INVESTOR NAME],MATCH(I4189,INVESTOR_LIST[INVESTOR CODE],0),)," ")</f>
        <v xml:space="preserve"> </v>
      </c>
      <c r="I4189" s="223"/>
      <c r="J4189" s="224" t="s">
        <v>55</v>
      </c>
      <c r="K4189" s="225">
        <v>201356.91</v>
      </c>
      <c r="L4189" s="225"/>
    </row>
    <row r="4190" spans="1:12" ht="11.25" customHeight="1" x14ac:dyDescent="0.2">
      <c r="A4190" s="226">
        <v>2024</v>
      </c>
      <c r="B4190" s="226">
        <v>1</v>
      </c>
      <c r="C4190" s="226">
        <v>4</v>
      </c>
      <c r="D4190" s="232">
        <f t="shared" si="455"/>
        <v>45295</v>
      </c>
      <c r="E4190" s="234">
        <f>DATE(A4190,B4190,C4190)</f>
        <v>45295</v>
      </c>
      <c r="F4190" s="479"/>
      <c r="G4190" s="227" t="s">
        <v>1111</v>
      </c>
      <c r="H4190" s="228" t="str" cm="1">
        <f t="array" ref="H4190">IFERROR(INDEX(INVESTOR_LIST[INVESTOR NAME],MATCH(I4190,INVESTOR_LIST[INVESTOR CODE],0),)," ")</f>
        <v xml:space="preserve"> </v>
      </c>
      <c r="I4190" s="228"/>
      <c r="J4190" s="229" t="s">
        <v>199</v>
      </c>
      <c r="K4190" s="230"/>
      <c r="L4190" s="230">
        <v>201356.91</v>
      </c>
    </row>
    <row r="4191" spans="1:12" ht="11.25" customHeight="1" x14ac:dyDescent="0.2">
      <c r="A4191" s="280">
        <v>2024</v>
      </c>
      <c r="B4191" s="280">
        <v>1</v>
      </c>
      <c r="C4191" s="280">
        <v>4</v>
      </c>
      <c r="D4191" s="281">
        <f t="shared" si="455"/>
        <v>45295</v>
      </c>
      <c r="E4191" s="282">
        <f t="shared" si="454"/>
        <v>45295</v>
      </c>
      <c r="F4191" s="472" t="s">
        <v>1369</v>
      </c>
      <c r="G4191" s="283" t="s">
        <v>86</v>
      </c>
      <c r="H4191" s="284" t="str" cm="1">
        <f t="array" ref="H4191">IFERROR(INDEX(INVESTOR_LIST[INVESTOR NAME],MATCH(I4191,INVESTOR_LIST[INVESTOR CODE],0),)," ")</f>
        <v xml:space="preserve"> </v>
      </c>
      <c r="I4191" s="284"/>
      <c r="J4191" s="285" t="s">
        <v>131</v>
      </c>
      <c r="K4191" s="286">
        <v>5509.6153846153848</v>
      </c>
      <c r="L4191" s="286"/>
    </row>
    <row r="4192" spans="1:12" ht="11.25" customHeight="1" x14ac:dyDescent="0.2">
      <c r="A4192" s="287">
        <v>2024</v>
      </c>
      <c r="B4192" s="287">
        <v>1</v>
      </c>
      <c r="C4192" s="287">
        <v>4</v>
      </c>
      <c r="D4192" s="288">
        <f t="shared" si="455"/>
        <v>45295</v>
      </c>
      <c r="E4192" s="289">
        <f t="shared" si="454"/>
        <v>45295</v>
      </c>
      <c r="F4192" s="473"/>
      <c r="G4192" s="290" t="s">
        <v>86</v>
      </c>
      <c r="H4192" s="291" t="str" cm="1">
        <f t="array" ref="H4192">IFERROR(INDEX(INVESTOR_LIST[INVESTOR NAME],MATCH(I4192,INVESTOR_LIST[INVESTOR CODE],0),)," ")</f>
        <v xml:space="preserve"> </v>
      </c>
      <c r="I4192" s="291"/>
      <c r="J4192" s="292" t="s">
        <v>174</v>
      </c>
      <c r="K4192" s="293"/>
      <c r="L4192" s="293">
        <v>5509.6153846153848</v>
      </c>
    </row>
    <row r="4193" spans="1:12" ht="11.25" customHeight="1" x14ac:dyDescent="0.2">
      <c r="A4193" s="280">
        <v>2024</v>
      </c>
      <c r="B4193" s="280">
        <v>1</v>
      </c>
      <c r="C4193" s="280">
        <v>4</v>
      </c>
      <c r="D4193" s="281">
        <f t="shared" si="455"/>
        <v>45295</v>
      </c>
      <c r="E4193" s="282">
        <f t="shared" si="454"/>
        <v>45295</v>
      </c>
      <c r="F4193" s="472" t="s">
        <v>1584</v>
      </c>
      <c r="G4193" s="283" t="s">
        <v>86</v>
      </c>
      <c r="H4193" s="284" t="str" cm="1">
        <f t="array" ref="H4193">IFERROR(INDEX(INVESTOR_LIST[INVESTOR NAME],MATCH(I4193,INVESTOR_LIST[INVESTOR CODE],0),)," ")</f>
        <v xml:space="preserve"> </v>
      </c>
      <c r="I4193" s="284"/>
      <c r="J4193" s="285" t="s">
        <v>131</v>
      </c>
      <c r="K4193" s="286">
        <v>7307.6923076923076</v>
      </c>
      <c r="L4193" s="286"/>
    </row>
    <row r="4194" spans="1:12" ht="11.25" customHeight="1" x14ac:dyDescent="0.2">
      <c r="A4194" s="287">
        <v>2024</v>
      </c>
      <c r="B4194" s="287">
        <v>1</v>
      </c>
      <c r="C4194" s="287">
        <v>4</v>
      </c>
      <c r="D4194" s="288">
        <f t="shared" si="455"/>
        <v>45295</v>
      </c>
      <c r="E4194" s="289">
        <f t="shared" si="454"/>
        <v>45295</v>
      </c>
      <c r="F4194" s="473"/>
      <c r="G4194" s="290" t="s">
        <v>86</v>
      </c>
      <c r="H4194" s="291" t="str" cm="1">
        <f t="array" ref="H4194">IFERROR(INDEX(INVESTOR_LIST[INVESTOR NAME],MATCH(I4194,INVESTOR_LIST[INVESTOR CODE],0),)," ")</f>
        <v xml:space="preserve"> </v>
      </c>
      <c r="I4194" s="291"/>
      <c r="J4194" s="292" t="s">
        <v>174</v>
      </c>
      <c r="K4194" s="293"/>
      <c r="L4194" s="293">
        <v>7307.6923076923076</v>
      </c>
    </row>
    <row r="4195" spans="1:12" ht="11.25" customHeight="1" x14ac:dyDescent="0.2">
      <c r="A4195" s="358">
        <v>2024</v>
      </c>
      <c r="B4195" s="358">
        <v>1</v>
      </c>
      <c r="C4195" s="358">
        <v>4</v>
      </c>
      <c r="D4195" s="312">
        <f t="shared" si="455"/>
        <v>45295</v>
      </c>
      <c r="E4195" s="313">
        <f t="shared" si="454"/>
        <v>45295</v>
      </c>
      <c r="F4195" s="482" t="s">
        <v>1627</v>
      </c>
      <c r="G4195" s="314" t="s">
        <v>86</v>
      </c>
      <c r="H4195" s="324" t="str" cm="1">
        <f t="array" ref="H4195">IFERROR(INDEX(INVESTOR_LIST[INVESTOR NAME],MATCH(I4195,INVESTOR_LIST[INVESTOR CODE],0),)," ")</f>
        <v xml:space="preserve"> </v>
      </c>
      <c r="I4195" s="324"/>
      <c r="J4195" s="364" t="s">
        <v>1621</v>
      </c>
      <c r="K4195" s="365">
        <v>27319.800000000745</v>
      </c>
      <c r="L4195" s="365"/>
    </row>
    <row r="4196" spans="1:12" ht="11.25" customHeight="1" x14ac:dyDescent="0.2">
      <c r="A4196" s="320">
        <v>2024</v>
      </c>
      <c r="B4196" s="320">
        <v>1</v>
      </c>
      <c r="C4196" s="320">
        <v>4</v>
      </c>
      <c r="D4196" s="323">
        <f t="shared" si="455"/>
        <v>45295</v>
      </c>
      <c r="E4196" s="321">
        <f t="shared" si="454"/>
        <v>45295</v>
      </c>
      <c r="F4196" s="483"/>
      <c r="G4196" s="322" t="s">
        <v>86</v>
      </c>
      <c r="H4196" s="325" t="str" cm="1">
        <f t="array" ref="H4196">IFERROR(INDEX(INVESTOR_LIST[INVESTOR NAME],MATCH(I4196,INVESTOR_LIST[INVESTOR CODE],0),)," ")</f>
        <v xml:space="preserve"> </v>
      </c>
      <c r="I4196" s="325"/>
      <c r="J4196" s="366" t="s">
        <v>1613</v>
      </c>
      <c r="K4196" s="367"/>
      <c r="L4196" s="367">
        <v>27319.800000000745</v>
      </c>
    </row>
    <row r="4197" spans="1:12" ht="11.25" customHeight="1" x14ac:dyDescent="0.2">
      <c r="A4197" s="236">
        <v>2024</v>
      </c>
      <c r="B4197" s="236">
        <v>1</v>
      </c>
      <c r="C4197" s="236">
        <v>4</v>
      </c>
      <c r="D4197" s="237">
        <f t="shared" si="455"/>
        <v>45295</v>
      </c>
      <c r="E4197" s="238">
        <f t="shared" si="454"/>
        <v>45295</v>
      </c>
      <c r="F4197" s="476" t="s">
        <v>1118</v>
      </c>
      <c r="G4197" s="239" t="s">
        <v>86</v>
      </c>
      <c r="H4197" s="239" t="str" cm="1">
        <f t="array" ref="H4197">IFERROR(INDEX(INVESTOR_LIST[INVESTOR NAME],MATCH(I4197,INVESTOR_LIST[INVESTOR CODE],0),)," ")</f>
        <v xml:space="preserve"> </v>
      </c>
      <c r="I4197" s="240"/>
      <c r="J4197" s="241" t="s">
        <v>82</v>
      </c>
      <c r="K4197" s="242">
        <v>13033.960000038147</v>
      </c>
      <c r="L4197" s="242"/>
    </row>
    <row r="4198" spans="1:12" ht="11.25" customHeight="1" x14ac:dyDescent="0.2">
      <c r="A4198" s="243">
        <v>2024</v>
      </c>
      <c r="B4198" s="243">
        <v>1</v>
      </c>
      <c r="C4198" s="243">
        <v>4</v>
      </c>
      <c r="D4198" s="248">
        <f t="shared" si="455"/>
        <v>45295</v>
      </c>
      <c r="E4198" s="249">
        <f t="shared" si="454"/>
        <v>45295</v>
      </c>
      <c r="F4198" s="477"/>
      <c r="G4198" s="244" t="s">
        <v>86</v>
      </c>
      <c r="H4198" s="244" t="str" cm="1">
        <f t="array" ref="H4198">IFERROR(INDEX(INVESTOR_LIST[INVESTOR NAME],MATCH(I4198,INVESTOR_LIST[INVESTOR CODE],0),)," ")</f>
        <v xml:space="preserve"> </v>
      </c>
      <c r="I4198" s="245"/>
      <c r="J4198" s="246" t="s">
        <v>98</v>
      </c>
      <c r="K4198" s="247"/>
      <c r="L4198" s="247">
        <v>13033.960000038147</v>
      </c>
    </row>
    <row r="4199" spans="1:12" ht="11.25" customHeight="1" x14ac:dyDescent="0.2">
      <c r="A4199" s="236">
        <v>2024</v>
      </c>
      <c r="B4199" s="236">
        <v>1</v>
      </c>
      <c r="C4199" s="236">
        <v>4</v>
      </c>
      <c r="D4199" s="237">
        <f t="shared" si="455"/>
        <v>45295</v>
      </c>
      <c r="E4199" s="238">
        <f t="shared" si="454"/>
        <v>45295</v>
      </c>
      <c r="F4199" s="476" t="s">
        <v>1120</v>
      </c>
      <c r="G4199" s="239" t="s">
        <v>86</v>
      </c>
      <c r="H4199" s="239" t="str" cm="1">
        <f t="array" ref="H4199">IFERROR(INDEX(INVESTOR_LIST[INVESTOR NAME],MATCH(I4199,INVESTOR_LIST[INVESTOR CODE],0),)," ")</f>
        <v xml:space="preserve"> </v>
      </c>
      <c r="I4199" s="240"/>
      <c r="J4199" s="241" t="s">
        <v>87</v>
      </c>
      <c r="K4199" s="242">
        <v>2747.2527472527472</v>
      </c>
      <c r="L4199" s="242"/>
    </row>
    <row r="4200" spans="1:12" ht="11.25" customHeight="1" x14ac:dyDescent="0.2">
      <c r="A4200" s="243">
        <v>2024</v>
      </c>
      <c r="B4200" s="243">
        <v>1</v>
      </c>
      <c r="C4200" s="243">
        <v>4</v>
      </c>
      <c r="D4200" s="248">
        <f t="shared" si="455"/>
        <v>45295</v>
      </c>
      <c r="E4200" s="249">
        <f t="shared" si="454"/>
        <v>45295</v>
      </c>
      <c r="F4200" s="477"/>
      <c r="G4200" s="244" t="s">
        <v>86</v>
      </c>
      <c r="H4200" s="244" t="str" cm="1">
        <f t="array" ref="H4200">IFERROR(INDEX(INVESTOR_LIST[INVESTOR NAME],MATCH(I4200,INVESTOR_LIST[INVESTOR CODE],0),)," ")</f>
        <v xml:space="preserve"> </v>
      </c>
      <c r="I4200" s="245"/>
      <c r="J4200" s="246" t="s">
        <v>64</v>
      </c>
      <c r="K4200" s="247"/>
      <c r="L4200" s="247">
        <v>2747.2527472527472</v>
      </c>
    </row>
    <row r="4201" spans="1:12" ht="11.25" customHeight="1" x14ac:dyDescent="0.2">
      <c r="A4201" s="236">
        <v>2024</v>
      </c>
      <c r="B4201" s="236">
        <v>1</v>
      </c>
      <c r="C4201" s="236">
        <v>4</v>
      </c>
      <c r="D4201" s="237">
        <f t="shared" si="455"/>
        <v>45295</v>
      </c>
      <c r="E4201" s="238">
        <f t="shared" si="454"/>
        <v>45295</v>
      </c>
      <c r="F4201" s="476" t="s">
        <v>1121</v>
      </c>
      <c r="G4201" s="239" t="s">
        <v>86</v>
      </c>
      <c r="H4201" s="239" t="str" cm="1">
        <f t="array" ref="H4201">IFERROR(INDEX(INVESTOR_LIST[INVESTOR NAME],MATCH(I4201,INVESTOR_LIST[INVESTOR CODE],0),)," ")</f>
        <v xml:space="preserve"> </v>
      </c>
      <c r="I4201" s="240"/>
      <c r="J4201" s="241" t="s">
        <v>89</v>
      </c>
      <c r="K4201" s="242">
        <v>67754.359972561171</v>
      </c>
      <c r="L4201" s="242"/>
    </row>
    <row r="4202" spans="1:12" ht="11.25" customHeight="1" x14ac:dyDescent="0.2">
      <c r="A4202" s="243">
        <v>2024</v>
      </c>
      <c r="B4202" s="243">
        <v>1</v>
      </c>
      <c r="C4202" s="243">
        <v>4</v>
      </c>
      <c r="D4202" s="248">
        <f t="shared" si="455"/>
        <v>45295</v>
      </c>
      <c r="E4202" s="249">
        <f t="shared" si="454"/>
        <v>45295</v>
      </c>
      <c r="F4202" s="477"/>
      <c r="G4202" s="244" t="s">
        <v>86</v>
      </c>
      <c r="H4202" s="244" t="str" cm="1">
        <f t="array" ref="H4202">IFERROR(INDEX(INVESTOR_LIST[INVESTOR NAME],MATCH(I4202,INVESTOR_LIST[INVESTOR CODE],0),)," ")</f>
        <v xml:space="preserve"> </v>
      </c>
      <c r="I4202" s="245"/>
      <c r="J4202" s="246" t="s">
        <v>50</v>
      </c>
      <c r="K4202" s="247"/>
      <c r="L4202" s="247">
        <v>67754.359972561171</v>
      </c>
    </row>
    <row r="4203" spans="1:12" ht="11.25" customHeight="1" x14ac:dyDescent="0.2">
      <c r="A4203" s="236">
        <v>2024</v>
      </c>
      <c r="B4203" s="236">
        <v>1</v>
      </c>
      <c r="C4203" s="236">
        <v>4</v>
      </c>
      <c r="D4203" s="237">
        <f t="shared" si="455"/>
        <v>45295</v>
      </c>
      <c r="E4203" s="238">
        <f t="shared" si="454"/>
        <v>45295</v>
      </c>
      <c r="F4203" s="476" t="s">
        <v>1122</v>
      </c>
      <c r="G4203" s="239" t="s">
        <v>86</v>
      </c>
      <c r="H4203" s="239" t="str" cm="1">
        <f t="array" ref="H4203">IFERROR(INDEX(INVESTOR_LIST[INVESTOR NAME],MATCH(I4203,INVESTOR_LIST[INVESTOR CODE],0),)," ")</f>
        <v xml:space="preserve"> </v>
      </c>
      <c r="I4203" s="240"/>
      <c r="J4203" s="241" t="s">
        <v>91</v>
      </c>
      <c r="K4203" s="242">
        <v>3387.7179986280585</v>
      </c>
      <c r="L4203" s="242"/>
    </row>
    <row r="4204" spans="1:12" ht="11.25" customHeight="1" x14ac:dyDescent="0.2">
      <c r="A4204" s="243">
        <v>2024</v>
      </c>
      <c r="B4204" s="243">
        <v>1</v>
      </c>
      <c r="C4204" s="243">
        <v>4</v>
      </c>
      <c r="D4204" s="248">
        <f t="shared" si="455"/>
        <v>45295</v>
      </c>
      <c r="E4204" s="249">
        <f t="shared" si="454"/>
        <v>45295</v>
      </c>
      <c r="F4204" s="477"/>
      <c r="G4204" s="244" t="s">
        <v>86</v>
      </c>
      <c r="H4204" s="244" t="str" cm="1">
        <f t="array" ref="H4204">IFERROR(INDEX(INVESTOR_LIST[INVESTOR NAME],MATCH(I4204,INVESTOR_LIST[INVESTOR CODE],0),)," ")</f>
        <v xml:space="preserve"> </v>
      </c>
      <c r="I4204" s="245"/>
      <c r="J4204" s="246" t="s">
        <v>51</v>
      </c>
      <c r="K4204" s="247"/>
      <c r="L4204" s="247">
        <v>3387.7179986280585</v>
      </c>
    </row>
    <row r="4205" spans="1:12" ht="11.25" customHeight="1" x14ac:dyDescent="0.2">
      <c r="A4205" s="221">
        <v>2024</v>
      </c>
      <c r="B4205" s="221">
        <v>1</v>
      </c>
      <c r="C4205" s="221">
        <v>8</v>
      </c>
      <c r="D4205" s="221">
        <f t="shared" si="455"/>
        <v>45299</v>
      </c>
      <c r="E4205" s="233">
        <f t="shared" ref="E4205:E4208" si="457">DATE(A4205,B4205,C4205)</f>
        <v>45299</v>
      </c>
      <c r="F4205" s="478" t="s">
        <v>1589</v>
      </c>
      <c r="G4205" s="222" t="s">
        <v>86</v>
      </c>
      <c r="H4205" s="222" t="str" cm="1">
        <f t="array" ref="H4205">IFERROR(INDEX(INVESTOR_LIST[INVESTOR NAME],MATCH(I4205,INVESTOR_LIST[INVESTOR CODE],0),)," ")</f>
        <v xml:space="preserve"> </v>
      </c>
      <c r="I4205" s="223"/>
      <c r="J4205" s="165" t="s">
        <v>199</v>
      </c>
      <c r="K4205" s="225">
        <v>249550</v>
      </c>
      <c r="L4205" s="225"/>
    </row>
    <row r="4206" spans="1:12" ht="11.25" customHeight="1" x14ac:dyDescent="0.2">
      <c r="A4206" s="164">
        <v>2024</v>
      </c>
      <c r="B4206" s="164">
        <v>1</v>
      </c>
      <c r="C4206" s="164">
        <v>8</v>
      </c>
      <c r="D4206" s="164">
        <f t="shared" si="455"/>
        <v>45299</v>
      </c>
      <c r="E4206" s="235">
        <f t="shared" si="457"/>
        <v>45299</v>
      </c>
      <c r="F4206" s="480"/>
      <c r="G4206" s="208" t="s">
        <v>86</v>
      </c>
      <c r="H4206" s="208"/>
      <c r="J4206" s="165" t="s">
        <v>960</v>
      </c>
      <c r="K4206" s="205">
        <v>450</v>
      </c>
      <c r="L4206" s="205"/>
    </row>
    <row r="4207" spans="1:12" ht="11.25" customHeight="1" x14ac:dyDescent="0.2">
      <c r="A4207" s="164">
        <v>2024</v>
      </c>
      <c r="B4207" s="164">
        <v>1</v>
      </c>
      <c r="C4207" s="164">
        <v>8</v>
      </c>
      <c r="D4207" s="164">
        <f t="shared" si="455"/>
        <v>45299</v>
      </c>
      <c r="E4207" s="235">
        <f t="shared" si="457"/>
        <v>45299</v>
      </c>
      <c r="F4207" s="480"/>
      <c r="G4207" s="208" t="s">
        <v>86</v>
      </c>
      <c r="H4207" s="208"/>
      <c r="J4207" s="165" t="s">
        <v>200</v>
      </c>
      <c r="K4207" s="205"/>
      <c r="L4207" s="205">
        <v>10443.48</v>
      </c>
    </row>
    <row r="4208" spans="1:12" ht="11.25" customHeight="1" x14ac:dyDescent="0.2">
      <c r="A4208" s="226">
        <v>2024</v>
      </c>
      <c r="B4208" s="226">
        <v>1</v>
      </c>
      <c r="C4208" s="226">
        <v>8</v>
      </c>
      <c r="D4208" s="226">
        <f t="shared" si="455"/>
        <v>45299</v>
      </c>
      <c r="E4208" s="234">
        <f t="shared" si="457"/>
        <v>45299</v>
      </c>
      <c r="F4208" s="479"/>
      <c r="G4208" s="227" t="s">
        <v>86</v>
      </c>
      <c r="H4208" s="228" t="str" cm="1">
        <f t="array" ref="H4208">IFERROR(INDEX(INVESTOR_LIST[INVESTOR NAME],MATCH(I4208,INVESTOR_LIST[INVESTOR CODE],0),)," ")</f>
        <v xml:space="preserve"> </v>
      </c>
      <c r="I4208" s="228"/>
      <c r="J4208" s="229" t="s">
        <v>80</v>
      </c>
      <c r="K4208" s="230"/>
      <c r="L4208" s="230">
        <v>239556.52</v>
      </c>
    </row>
    <row r="4209" spans="1:12" ht="11.25" customHeight="1" x14ac:dyDescent="0.2">
      <c r="A4209" s="221">
        <v>2024</v>
      </c>
      <c r="B4209" s="221">
        <v>1</v>
      </c>
      <c r="C4209" s="221">
        <v>8</v>
      </c>
      <c r="D4209" s="231">
        <f t="shared" si="455"/>
        <v>45299</v>
      </c>
      <c r="E4209" s="233">
        <f t="shared" si="454"/>
        <v>45299</v>
      </c>
      <c r="F4209" s="478" t="s">
        <v>1682</v>
      </c>
      <c r="G4209" s="222" t="s">
        <v>1111</v>
      </c>
      <c r="H4209" s="223" t="str" cm="1">
        <f t="array" ref="H4209">IFERROR(INDEX(INVESTOR_LIST[INVESTOR NAME],MATCH(I4209,INVESTOR_LIST[INVESTOR CODE],0),)," ")</f>
        <v xml:space="preserve"> </v>
      </c>
      <c r="I4209" s="223"/>
      <c r="J4209" s="224" t="s">
        <v>55</v>
      </c>
      <c r="K4209" s="225">
        <v>74375</v>
      </c>
      <c r="L4209" s="225"/>
    </row>
    <row r="4210" spans="1:12" ht="11.25" customHeight="1" x14ac:dyDescent="0.2">
      <c r="A4210" s="226">
        <v>2024</v>
      </c>
      <c r="B4210" s="226">
        <v>1</v>
      </c>
      <c r="C4210" s="226">
        <v>8</v>
      </c>
      <c r="D4210" s="232">
        <f t="shared" si="455"/>
        <v>45299</v>
      </c>
      <c r="E4210" s="234">
        <f t="shared" si="454"/>
        <v>45299</v>
      </c>
      <c r="F4210" s="479"/>
      <c r="G4210" s="227" t="s">
        <v>1111</v>
      </c>
      <c r="H4210" s="228" t="str" cm="1">
        <f t="array" ref="H4210">IFERROR(INDEX(INVESTOR_LIST[INVESTOR NAME],MATCH(I4210,INVESTOR_LIST[INVESTOR CODE],0),)," ")</f>
        <v xml:space="preserve"> </v>
      </c>
      <c r="I4210" s="228"/>
      <c r="J4210" s="229" t="s">
        <v>192</v>
      </c>
      <c r="K4210" s="230"/>
      <c r="L4210" s="230">
        <v>74375</v>
      </c>
    </row>
    <row r="4211" spans="1:12" ht="11.25" customHeight="1" x14ac:dyDescent="0.2">
      <c r="A4211" s="221">
        <v>2024</v>
      </c>
      <c r="B4211" s="221">
        <v>1</v>
      </c>
      <c r="C4211" s="221">
        <v>9</v>
      </c>
      <c r="D4211" s="231">
        <f t="shared" si="455"/>
        <v>45300</v>
      </c>
      <c r="E4211" s="233">
        <f>DATE(A4211,B4211,C4211)</f>
        <v>45300</v>
      </c>
      <c r="F4211" s="478" t="s">
        <v>1590</v>
      </c>
      <c r="G4211" s="222" t="s">
        <v>1111</v>
      </c>
      <c r="H4211" s="223" t="str" cm="1">
        <f t="array" ref="H4211">IFERROR(INDEX(INVESTOR_LIST[INVESTOR NAME],MATCH(I4211,INVESTOR_LIST[INVESTOR CODE],0),)," ")</f>
        <v xml:space="preserve"> </v>
      </c>
      <c r="I4211" s="223"/>
      <c r="J4211" s="224" t="s">
        <v>55</v>
      </c>
      <c r="K4211" s="225">
        <v>172239.41</v>
      </c>
      <c r="L4211" s="225"/>
    </row>
    <row r="4212" spans="1:12" ht="11.25" customHeight="1" x14ac:dyDescent="0.2">
      <c r="A4212" s="226">
        <v>2024</v>
      </c>
      <c r="B4212" s="226">
        <v>1</v>
      </c>
      <c r="C4212" s="226">
        <v>9</v>
      </c>
      <c r="D4212" s="232">
        <f t="shared" si="455"/>
        <v>45300</v>
      </c>
      <c r="E4212" s="234">
        <f>DATE(A4212,B4212,C4212)</f>
        <v>45300</v>
      </c>
      <c r="F4212" s="479"/>
      <c r="G4212" s="227" t="s">
        <v>1111</v>
      </c>
      <c r="H4212" s="228" t="str" cm="1">
        <f t="array" ref="H4212">IFERROR(INDEX(INVESTOR_LIST[INVESTOR NAME],MATCH(I4212,INVESTOR_LIST[INVESTOR CODE],0),)," ")</f>
        <v xml:space="preserve"> </v>
      </c>
      <c r="I4212" s="228"/>
      <c r="J4212" s="229" t="s">
        <v>199</v>
      </c>
      <c r="K4212" s="230"/>
      <c r="L4212" s="230">
        <v>172239.41</v>
      </c>
    </row>
    <row r="4213" spans="1:12" ht="11.25" customHeight="1" x14ac:dyDescent="0.2">
      <c r="A4213" s="221">
        <v>2024</v>
      </c>
      <c r="B4213" s="221">
        <v>1</v>
      </c>
      <c r="C4213" s="221">
        <v>9</v>
      </c>
      <c r="D4213" s="231">
        <f t="shared" si="455"/>
        <v>45300</v>
      </c>
      <c r="E4213" s="233">
        <f>DATE(A4213,B4213,C4213)</f>
        <v>45300</v>
      </c>
      <c r="F4213" s="478" t="s">
        <v>1590</v>
      </c>
      <c r="G4213" s="222" t="s">
        <v>1111</v>
      </c>
      <c r="H4213" s="223" t="str" cm="1">
        <f t="array" ref="H4213">IFERROR(INDEX(INVESTOR_LIST[INVESTOR NAME],MATCH(I4213,INVESTOR_LIST[INVESTOR CODE],0),)," ")</f>
        <v xml:space="preserve"> </v>
      </c>
      <c r="I4213" s="223"/>
      <c r="J4213" s="224" t="s">
        <v>55</v>
      </c>
      <c r="K4213" s="225">
        <v>1958828.25</v>
      </c>
      <c r="L4213" s="225"/>
    </row>
    <row r="4214" spans="1:12" ht="11.25" customHeight="1" x14ac:dyDescent="0.2">
      <c r="A4214" s="226">
        <v>2024</v>
      </c>
      <c r="B4214" s="226">
        <v>1</v>
      </c>
      <c r="C4214" s="226">
        <v>9</v>
      </c>
      <c r="D4214" s="232">
        <f t="shared" si="455"/>
        <v>45300</v>
      </c>
      <c r="E4214" s="234">
        <f>DATE(A4214,B4214,C4214)</f>
        <v>45300</v>
      </c>
      <c r="F4214" s="479"/>
      <c r="G4214" s="227" t="s">
        <v>1111</v>
      </c>
      <c r="H4214" s="228" t="str" cm="1">
        <f t="array" ref="H4214">IFERROR(INDEX(INVESTOR_LIST[INVESTOR NAME],MATCH(I4214,INVESTOR_LIST[INVESTOR CODE],0),)," ")</f>
        <v xml:space="preserve"> </v>
      </c>
      <c r="I4214" s="228"/>
      <c r="J4214" s="229" t="s">
        <v>199</v>
      </c>
      <c r="K4214" s="230"/>
      <c r="L4214" s="230">
        <v>1958828.25</v>
      </c>
    </row>
    <row r="4215" spans="1:12" ht="11.25" customHeight="1" x14ac:dyDescent="0.2">
      <c r="A4215" s="221">
        <v>2024</v>
      </c>
      <c r="B4215" s="221">
        <v>1</v>
      </c>
      <c r="C4215" s="221">
        <v>10</v>
      </c>
      <c r="D4215" s="221">
        <f t="shared" si="455"/>
        <v>45301</v>
      </c>
      <c r="E4215" s="233">
        <f t="shared" ref="E4215:E4218" si="458">DATE(A4215,B4215,C4215)</f>
        <v>45301</v>
      </c>
      <c r="F4215" s="478" t="s">
        <v>1589</v>
      </c>
      <c r="G4215" s="222" t="s">
        <v>86</v>
      </c>
      <c r="H4215" s="222" t="str" cm="1">
        <f t="array" ref="H4215">IFERROR(INDEX(INVESTOR_LIST[INVESTOR NAME],MATCH(I4215,INVESTOR_LIST[INVESTOR CODE],0),)," ")</f>
        <v xml:space="preserve"> </v>
      </c>
      <c r="I4215" s="223"/>
      <c r="J4215" s="165" t="s">
        <v>199</v>
      </c>
      <c r="K4215" s="225">
        <v>751644.6</v>
      </c>
      <c r="L4215" s="225"/>
    </row>
    <row r="4216" spans="1:12" ht="11.25" customHeight="1" x14ac:dyDescent="0.2">
      <c r="A4216" s="164">
        <v>2024</v>
      </c>
      <c r="B4216" s="164">
        <v>1</v>
      </c>
      <c r="C4216" s="164">
        <v>10</v>
      </c>
      <c r="D4216" s="164">
        <f t="shared" si="455"/>
        <v>45301</v>
      </c>
      <c r="E4216" s="235">
        <f t="shared" si="458"/>
        <v>45301</v>
      </c>
      <c r="F4216" s="480"/>
      <c r="G4216" s="208" t="s">
        <v>86</v>
      </c>
      <c r="H4216" s="208"/>
      <c r="J4216" s="165" t="s">
        <v>960</v>
      </c>
      <c r="K4216" s="205">
        <v>1355.4</v>
      </c>
      <c r="L4216" s="205"/>
    </row>
    <row r="4217" spans="1:12" ht="11.25" customHeight="1" x14ac:dyDescent="0.2">
      <c r="A4217" s="164">
        <v>2024</v>
      </c>
      <c r="B4217" s="164">
        <v>1</v>
      </c>
      <c r="C4217" s="164">
        <v>10</v>
      </c>
      <c r="D4217" s="164">
        <f t="shared" si="455"/>
        <v>45301</v>
      </c>
      <c r="E4217" s="235">
        <f t="shared" si="458"/>
        <v>45301</v>
      </c>
      <c r="F4217" s="480"/>
      <c r="G4217" s="208" t="s">
        <v>86</v>
      </c>
      <c r="H4217" s="208"/>
      <c r="J4217" s="165" t="s">
        <v>200</v>
      </c>
      <c r="K4217" s="205"/>
      <c r="L4217" s="205">
        <v>34330.449999999997</v>
      </c>
    </row>
    <row r="4218" spans="1:12" ht="11.25" customHeight="1" x14ac:dyDescent="0.2">
      <c r="A4218" s="226">
        <v>2024</v>
      </c>
      <c r="B4218" s="226">
        <v>1</v>
      </c>
      <c r="C4218" s="226">
        <v>10</v>
      </c>
      <c r="D4218" s="226">
        <f t="shared" si="455"/>
        <v>45301</v>
      </c>
      <c r="E4218" s="234">
        <f t="shared" si="458"/>
        <v>45301</v>
      </c>
      <c r="F4218" s="479"/>
      <c r="G4218" s="227" t="s">
        <v>86</v>
      </c>
      <c r="H4218" s="228" t="str" cm="1">
        <f t="array" ref="H4218">IFERROR(INDEX(INVESTOR_LIST[INVESTOR NAME],MATCH(I4218,INVESTOR_LIST[INVESTOR CODE],0),)," ")</f>
        <v xml:space="preserve"> </v>
      </c>
      <c r="I4218" s="228"/>
      <c r="J4218" s="229" t="s">
        <v>80</v>
      </c>
      <c r="K4218" s="230"/>
      <c r="L4218" s="230">
        <v>718669.55</v>
      </c>
    </row>
    <row r="4219" spans="1:12" ht="11.25" customHeight="1" x14ac:dyDescent="0.2">
      <c r="A4219" s="221">
        <v>2024</v>
      </c>
      <c r="B4219" s="221">
        <v>1</v>
      </c>
      <c r="C4219" s="221">
        <v>10</v>
      </c>
      <c r="D4219" s="231">
        <f t="shared" si="455"/>
        <v>45301</v>
      </c>
      <c r="E4219" s="233">
        <f>DATE(A4219,B4219,C4219)</f>
        <v>45301</v>
      </c>
      <c r="F4219" s="478" t="s">
        <v>1590</v>
      </c>
      <c r="G4219" s="222" t="s">
        <v>1111</v>
      </c>
      <c r="H4219" s="223" t="str" cm="1">
        <f t="array" ref="H4219">IFERROR(INDEX(INVESTOR_LIST[INVESTOR NAME],MATCH(I4219,INVESTOR_LIST[INVESTOR CODE],0),)," ")</f>
        <v xml:space="preserve"> </v>
      </c>
      <c r="I4219" s="223"/>
      <c r="J4219" s="224" t="s">
        <v>55</v>
      </c>
      <c r="K4219" s="225">
        <v>249550</v>
      </c>
      <c r="L4219" s="225"/>
    </row>
    <row r="4220" spans="1:12" ht="11.25" customHeight="1" x14ac:dyDescent="0.2">
      <c r="A4220" s="226">
        <v>2024</v>
      </c>
      <c r="B4220" s="226">
        <v>1</v>
      </c>
      <c r="C4220" s="226">
        <v>10</v>
      </c>
      <c r="D4220" s="232">
        <f t="shared" si="455"/>
        <v>45301</v>
      </c>
      <c r="E4220" s="234">
        <f>DATE(A4220,B4220,C4220)</f>
        <v>45301</v>
      </c>
      <c r="F4220" s="479"/>
      <c r="G4220" s="227" t="s">
        <v>1111</v>
      </c>
      <c r="H4220" s="228" t="str" cm="1">
        <f t="array" ref="H4220">IFERROR(INDEX(INVESTOR_LIST[INVESTOR NAME],MATCH(I4220,INVESTOR_LIST[INVESTOR CODE],0),)," ")</f>
        <v xml:space="preserve"> </v>
      </c>
      <c r="I4220" s="228"/>
      <c r="J4220" s="229" t="s">
        <v>199</v>
      </c>
      <c r="K4220" s="230"/>
      <c r="L4220" s="230">
        <v>249550</v>
      </c>
    </row>
    <row r="4221" spans="1:12" ht="11.25" customHeight="1" x14ac:dyDescent="0.2">
      <c r="A4221" s="280">
        <v>2024</v>
      </c>
      <c r="B4221" s="280">
        <v>1</v>
      </c>
      <c r="C4221" s="280">
        <v>11</v>
      </c>
      <c r="D4221" s="281">
        <f t="shared" si="455"/>
        <v>45302</v>
      </c>
      <c r="E4221" s="282">
        <f t="shared" ref="E4221:E4240" si="459">DATE(A4221,B4221,C4221)</f>
        <v>45302</v>
      </c>
      <c r="F4221" s="472" t="s">
        <v>1369</v>
      </c>
      <c r="G4221" s="283" t="s">
        <v>86</v>
      </c>
      <c r="H4221" s="284" t="str" cm="1">
        <f t="array" ref="H4221">IFERROR(INDEX(INVESTOR_LIST[INVESTOR NAME],MATCH(I4221,INVESTOR_LIST[INVESTOR CODE],0),)," ")</f>
        <v xml:space="preserve"> </v>
      </c>
      <c r="I4221" s="284"/>
      <c r="J4221" s="285" t="s">
        <v>131</v>
      </c>
      <c r="K4221" s="286">
        <v>5509.6153846153848</v>
      </c>
      <c r="L4221" s="286"/>
    </row>
    <row r="4222" spans="1:12" ht="11.25" customHeight="1" x14ac:dyDescent="0.2">
      <c r="A4222" s="287">
        <v>2024</v>
      </c>
      <c r="B4222" s="287">
        <v>1</v>
      </c>
      <c r="C4222" s="287">
        <v>11</v>
      </c>
      <c r="D4222" s="288">
        <f t="shared" si="455"/>
        <v>45302</v>
      </c>
      <c r="E4222" s="289">
        <f t="shared" si="459"/>
        <v>45302</v>
      </c>
      <c r="F4222" s="473"/>
      <c r="G4222" s="290" t="s">
        <v>86</v>
      </c>
      <c r="H4222" s="291" t="str" cm="1">
        <f t="array" ref="H4222">IFERROR(INDEX(INVESTOR_LIST[INVESTOR NAME],MATCH(I4222,INVESTOR_LIST[INVESTOR CODE],0),)," ")</f>
        <v xml:space="preserve"> </v>
      </c>
      <c r="I4222" s="291"/>
      <c r="J4222" s="292" t="s">
        <v>174</v>
      </c>
      <c r="K4222" s="293"/>
      <c r="L4222" s="293">
        <v>5509.6153846153848</v>
      </c>
    </row>
    <row r="4223" spans="1:12" ht="11.25" customHeight="1" x14ac:dyDescent="0.2">
      <c r="A4223" s="280">
        <v>2024</v>
      </c>
      <c r="B4223" s="280">
        <v>1</v>
      </c>
      <c r="C4223" s="280">
        <v>11</v>
      </c>
      <c r="D4223" s="281">
        <f t="shared" si="455"/>
        <v>45302</v>
      </c>
      <c r="E4223" s="282">
        <f t="shared" si="459"/>
        <v>45302</v>
      </c>
      <c r="F4223" s="472" t="s">
        <v>1584</v>
      </c>
      <c r="G4223" s="283" t="s">
        <v>86</v>
      </c>
      <c r="H4223" s="284" t="str" cm="1">
        <f t="array" ref="H4223">IFERROR(INDEX(INVESTOR_LIST[INVESTOR NAME],MATCH(I4223,INVESTOR_LIST[INVESTOR CODE],0),)," ")</f>
        <v xml:space="preserve"> </v>
      </c>
      <c r="I4223" s="284"/>
      <c r="J4223" s="285" t="s">
        <v>131</v>
      </c>
      <c r="K4223" s="286">
        <v>7307.6923076923076</v>
      </c>
      <c r="L4223" s="286"/>
    </row>
    <row r="4224" spans="1:12" ht="11.25" customHeight="1" x14ac:dyDescent="0.2">
      <c r="A4224" s="287">
        <v>2024</v>
      </c>
      <c r="B4224" s="287">
        <v>1</v>
      </c>
      <c r="C4224" s="287">
        <v>11</v>
      </c>
      <c r="D4224" s="288">
        <f t="shared" si="455"/>
        <v>45302</v>
      </c>
      <c r="E4224" s="289">
        <f t="shared" si="459"/>
        <v>45302</v>
      </c>
      <c r="F4224" s="473"/>
      <c r="G4224" s="290" t="s">
        <v>86</v>
      </c>
      <c r="H4224" s="291" t="str" cm="1">
        <f t="array" ref="H4224">IFERROR(INDEX(INVESTOR_LIST[INVESTOR NAME],MATCH(I4224,INVESTOR_LIST[INVESTOR CODE],0),)," ")</f>
        <v xml:space="preserve"> </v>
      </c>
      <c r="I4224" s="291"/>
      <c r="J4224" s="292" t="s">
        <v>174</v>
      </c>
      <c r="K4224" s="293"/>
      <c r="L4224" s="293">
        <v>7307.6923076923076</v>
      </c>
    </row>
    <row r="4225" spans="1:12" ht="11.25" customHeight="1" x14ac:dyDescent="0.2">
      <c r="A4225" s="358">
        <v>2024</v>
      </c>
      <c r="B4225" s="358">
        <v>1</v>
      </c>
      <c r="C4225" s="358">
        <v>11</v>
      </c>
      <c r="D4225" s="312">
        <f t="shared" si="455"/>
        <v>45302</v>
      </c>
      <c r="E4225" s="313">
        <f t="shared" si="459"/>
        <v>45302</v>
      </c>
      <c r="F4225" s="482" t="s">
        <v>1627</v>
      </c>
      <c r="G4225" s="314" t="s">
        <v>86</v>
      </c>
      <c r="H4225" s="324" t="str" cm="1">
        <f t="array" ref="H4225">IFERROR(INDEX(INVESTOR_LIST[INVESTOR NAME],MATCH(I4225,INVESTOR_LIST[INVESTOR CODE],0),)," ")</f>
        <v xml:space="preserve"> </v>
      </c>
      <c r="I4225" s="324"/>
      <c r="J4225" s="364" t="s">
        <v>1621</v>
      </c>
      <c r="K4225" s="365">
        <v>47515.29999999702</v>
      </c>
      <c r="L4225" s="365"/>
    </row>
    <row r="4226" spans="1:12" ht="11.25" customHeight="1" x14ac:dyDescent="0.2">
      <c r="A4226" s="320">
        <v>2024</v>
      </c>
      <c r="B4226" s="320">
        <v>1</v>
      </c>
      <c r="C4226" s="320">
        <v>11</v>
      </c>
      <c r="D4226" s="323">
        <f t="shared" si="455"/>
        <v>45302</v>
      </c>
      <c r="E4226" s="321">
        <f t="shared" si="459"/>
        <v>45302</v>
      </c>
      <c r="F4226" s="483"/>
      <c r="G4226" s="322" t="s">
        <v>86</v>
      </c>
      <c r="H4226" s="325" t="str" cm="1">
        <f t="array" ref="H4226">IFERROR(INDEX(INVESTOR_LIST[INVESTOR NAME],MATCH(I4226,INVESTOR_LIST[INVESTOR CODE],0),)," ")</f>
        <v xml:space="preserve"> </v>
      </c>
      <c r="I4226" s="325"/>
      <c r="J4226" s="366" t="s">
        <v>1613</v>
      </c>
      <c r="K4226" s="367"/>
      <c r="L4226" s="367">
        <v>47515.29999999702</v>
      </c>
    </row>
    <row r="4227" spans="1:12" ht="11.25" customHeight="1" x14ac:dyDescent="0.2">
      <c r="A4227" s="236">
        <v>2024</v>
      </c>
      <c r="B4227" s="236">
        <v>1</v>
      </c>
      <c r="C4227" s="236">
        <v>11</v>
      </c>
      <c r="D4227" s="237">
        <f t="shared" si="455"/>
        <v>45302</v>
      </c>
      <c r="E4227" s="238">
        <f t="shared" si="459"/>
        <v>45302</v>
      </c>
      <c r="F4227" s="476" t="s">
        <v>1118</v>
      </c>
      <c r="G4227" s="239" t="s">
        <v>86</v>
      </c>
      <c r="H4227" s="239" t="str" cm="1">
        <f t="array" ref="H4227">IFERROR(INDEX(INVESTOR_LIST[INVESTOR NAME],MATCH(I4227,INVESTOR_LIST[INVESTOR CODE],0),)," ")</f>
        <v xml:space="preserve"> </v>
      </c>
      <c r="I4227" s="240"/>
      <c r="J4227" s="241" t="s">
        <v>98</v>
      </c>
      <c r="K4227" s="242">
        <v>49554.269999995828</v>
      </c>
      <c r="L4227" s="242"/>
    </row>
    <row r="4228" spans="1:12" ht="11.25" customHeight="1" x14ac:dyDescent="0.2">
      <c r="A4228" s="243">
        <v>2024</v>
      </c>
      <c r="B4228" s="243">
        <v>1</v>
      </c>
      <c r="C4228" s="243">
        <v>11</v>
      </c>
      <c r="D4228" s="248">
        <f t="shared" si="455"/>
        <v>45302</v>
      </c>
      <c r="E4228" s="249">
        <f t="shared" si="459"/>
        <v>45302</v>
      </c>
      <c r="F4228" s="477"/>
      <c r="G4228" s="244" t="s">
        <v>86</v>
      </c>
      <c r="H4228" s="244" t="str" cm="1">
        <f t="array" ref="H4228">IFERROR(INDEX(INVESTOR_LIST[INVESTOR NAME],MATCH(I4228,INVESTOR_LIST[INVESTOR CODE],0),)," ")</f>
        <v xml:space="preserve"> </v>
      </c>
      <c r="I4228" s="245"/>
      <c r="J4228" s="246" t="s">
        <v>82</v>
      </c>
      <c r="K4228" s="247"/>
      <c r="L4228" s="247">
        <v>49554.269999995828</v>
      </c>
    </row>
    <row r="4229" spans="1:12" ht="11.25" customHeight="1" x14ac:dyDescent="0.2">
      <c r="A4229" s="236">
        <v>2024</v>
      </c>
      <c r="B4229" s="236">
        <v>1</v>
      </c>
      <c r="C4229" s="236">
        <v>11</v>
      </c>
      <c r="D4229" s="237">
        <f t="shared" si="455"/>
        <v>45302</v>
      </c>
      <c r="E4229" s="238">
        <f t="shared" si="459"/>
        <v>45302</v>
      </c>
      <c r="F4229" s="476" t="s">
        <v>1120</v>
      </c>
      <c r="G4229" s="239" t="s">
        <v>86</v>
      </c>
      <c r="H4229" s="239" t="str" cm="1">
        <f t="array" ref="H4229">IFERROR(INDEX(INVESTOR_LIST[INVESTOR NAME],MATCH(I4229,INVESTOR_LIST[INVESTOR CODE],0),)," ")</f>
        <v xml:space="preserve"> </v>
      </c>
      <c r="I4229" s="240"/>
      <c r="J4229" s="241" t="s">
        <v>87</v>
      </c>
      <c r="K4229" s="242">
        <v>2747.2527472527472</v>
      </c>
      <c r="L4229" s="242"/>
    </row>
    <row r="4230" spans="1:12" ht="11.25" customHeight="1" x14ac:dyDescent="0.2">
      <c r="A4230" s="243">
        <v>2024</v>
      </c>
      <c r="B4230" s="243">
        <v>1</v>
      </c>
      <c r="C4230" s="243">
        <v>11</v>
      </c>
      <c r="D4230" s="248">
        <f t="shared" si="455"/>
        <v>45302</v>
      </c>
      <c r="E4230" s="249">
        <f t="shared" si="459"/>
        <v>45302</v>
      </c>
      <c r="F4230" s="477"/>
      <c r="G4230" s="244" t="s">
        <v>86</v>
      </c>
      <c r="H4230" s="244" t="str" cm="1">
        <f t="array" ref="H4230">IFERROR(INDEX(INVESTOR_LIST[INVESTOR NAME],MATCH(I4230,INVESTOR_LIST[INVESTOR CODE],0),)," ")</f>
        <v xml:space="preserve"> </v>
      </c>
      <c r="I4230" s="245"/>
      <c r="J4230" s="246" t="s">
        <v>64</v>
      </c>
      <c r="K4230" s="247"/>
      <c r="L4230" s="247">
        <v>2747.2527472527472</v>
      </c>
    </row>
    <row r="4231" spans="1:12" ht="11.25" customHeight="1" x14ac:dyDescent="0.2">
      <c r="A4231" s="236">
        <v>2024</v>
      </c>
      <c r="B4231" s="236">
        <v>1</v>
      </c>
      <c r="C4231" s="236">
        <v>11</v>
      </c>
      <c r="D4231" s="237">
        <f t="shared" si="455"/>
        <v>45302</v>
      </c>
      <c r="E4231" s="238">
        <f t="shared" si="459"/>
        <v>45302</v>
      </c>
      <c r="F4231" s="476" t="s">
        <v>1121</v>
      </c>
      <c r="G4231" s="239" t="s">
        <v>86</v>
      </c>
      <c r="H4231" s="239" t="str" cm="1">
        <f t="array" ref="H4231">IFERROR(INDEX(INVESTOR_LIST[INVESTOR NAME],MATCH(I4231,INVESTOR_LIST[INVESTOR CODE],0),)," ")</f>
        <v xml:space="preserve"> </v>
      </c>
      <c r="I4231" s="240"/>
      <c r="J4231" s="241" t="s">
        <v>89</v>
      </c>
      <c r="K4231" s="242">
        <v>67784.554625243429</v>
      </c>
      <c r="L4231" s="242"/>
    </row>
    <row r="4232" spans="1:12" ht="11.25" customHeight="1" x14ac:dyDescent="0.2">
      <c r="A4232" s="243">
        <v>2024</v>
      </c>
      <c r="B4232" s="243">
        <v>1</v>
      </c>
      <c r="C4232" s="243">
        <v>11</v>
      </c>
      <c r="D4232" s="248">
        <f t="shared" si="455"/>
        <v>45302</v>
      </c>
      <c r="E4232" s="249">
        <f t="shared" si="459"/>
        <v>45302</v>
      </c>
      <c r="F4232" s="477"/>
      <c r="G4232" s="244" t="s">
        <v>86</v>
      </c>
      <c r="H4232" s="244" t="str" cm="1">
        <f t="array" ref="H4232">IFERROR(INDEX(INVESTOR_LIST[INVESTOR NAME],MATCH(I4232,INVESTOR_LIST[INVESTOR CODE],0),)," ")</f>
        <v xml:space="preserve"> </v>
      </c>
      <c r="I4232" s="245"/>
      <c r="J4232" s="246" t="s">
        <v>50</v>
      </c>
      <c r="K4232" s="247"/>
      <c r="L4232" s="247">
        <v>67784.554625243429</v>
      </c>
    </row>
    <row r="4233" spans="1:12" ht="11.25" customHeight="1" x14ac:dyDescent="0.2">
      <c r="A4233" s="236">
        <v>2024</v>
      </c>
      <c r="B4233" s="236">
        <v>1</v>
      </c>
      <c r="C4233" s="236">
        <v>11</v>
      </c>
      <c r="D4233" s="237">
        <f t="shared" ref="D4233:D4296" si="460">DATE(A4233,B4233,C4233)</f>
        <v>45302</v>
      </c>
      <c r="E4233" s="238">
        <f t="shared" si="459"/>
        <v>45302</v>
      </c>
      <c r="F4233" s="476" t="s">
        <v>1122</v>
      </c>
      <c r="G4233" s="239" t="s">
        <v>86</v>
      </c>
      <c r="H4233" s="239" t="str" cm="1">
        <f t="array" ref="H4233">IFERROR(INDEX(INVESTOR_LIST[INVESTOR NAME],MATCH(I4233,INVESTOR_LIST[INVESTOR CODE],0),)," ")</f>
        <v xml:space="preserve"> </v>
      </c>
      <c r="I4233" s="240"/>
      <c r="J4233" s="241" t="s">
        <v>91</v>
      </c>
      <c r="K4233" s="242">
        <v>3389.2277312621709</v>
      </c>
      <c r="L4233" s="242"/>
    </row>
    <row r="4234" spans="1:12" ht="11.25" customHeight="1" x14ac:dyDescent="0.2">
      <c r="A4234" s="243">
        <v>2024</v>
      </c>
      <c r="B4234" s="243">
        <v>1</v>
      </c>
      <c r="C4234" s="243">
        <v>11</v>
      </c>
      <c r="D4234" s="248">
        <f t="shared" si="460"/>
        <v>45302</v>
      </c>
      <c r="E4234" s="249">
        <f t="shared" si="459"/>
        <v>45302</v>
      </c>
      <c r="F4234" s="477"/>
      <c r="G4234" s="244" t="s">
        <v>86</v>
      </c>
      <c r="H4234" s="244" t="str" cm="1">
        <f t="array" ref="H4234">IFERROR(INDEX(INVESTOR_LIST[INVESTOR NAME],MATCH(I4234,INVESTOR_LIST[INVESTOR CODE],0),)," ")</f>
        <v xml:space="preserve"> </v>
      </c>
      <c r="I4234" s="245"/>
      <c r="J4234" s="246" t="s">
        <v>51</v>
      </c>
      <c r="K4234" s="247"/>
      <c r="L4234" s="247">
        <v>3389.2277312621709</v>
      </c>
    </row>
    <row r="4235" spans="1:12" ht="11.25" customHeight="1" x14ac:dyDescent="0.2">
      <c r="A4235" s="221">
        <v>2024</v>
      </c>
      <c r="B4235" s="221">
        <v>1</v>
      </c>
      <c r="C4235" s="221">
        <v>14</v>
      </c>
      <c r="D4235" s="231">
        <f t="shared" si="460"/>
        <v>45305</v>
      </c>
      <c r="E4235" s="233">
        <f t="shared" si="459"/>
        <v>45305</v>
      </c>
      <c r="F4235" s="478" t="s">
        <v>1115</v>
      </c>
      <c r="G4235" s="222" t="s">
        <v>1111</v>
      </c>
      <c r="H4235" s="223" t="str" cm="1">
        <f t="array" ref="H4235">IFERROR(INDEX(INVESTOR_LIST[INVESTOR NAME],MATCH(I4235,INVESTOR_LIST[INVESTOR CODE],0),)," ")</f>
        <v>KAZI AHSAN MARUF</v>
      </c>
      <c r="I4235" s="223" t="s">
        <v>372</v>
      </c>
      <c r="J4235" s="224" t="s">
        <v>14</v>
      </c>
      <c r="K4235" s="225">
        <v>1023200</v>
      </c>
      <c r="L4235" s="225"/>
    </row>
    <row r="4236" spans="1:12" ht="11.25" customHeight="1" x14ac:dyDescent="0.2">
      <c r="A4236" s="164">
        <v>2024</v>
      </c>
      <c r="B4236" s="164">
        <v>1</v>
      </c>
      <c r="C4236" s="164">
        <v>14</v>
      </c>
      <c r="D4236" s="156">
        <f t="shared" si="460"/>
        <v>45305</v>
      </c>
      <c r="E4236" s="235">
        <f t="shared" si="459"/>
        <v>45305</v>
      </c>
      <c r="F4236" s="480"/>
      <c r="G4236" s="208" t="s">
        <v>1111</v>
      </c>
      <c r="H4236" s="206" t="str" cm="1">
        <f t="array" ref="H4236">IFERROR(INDEX(INVESTOR_LIST[INVESTOR NAME],MATCH(I4236,INVESTOR_LIST[INVESTOR CODE],0),)," ")</f>
        <v>KAZI AHSAN MARUF</v>
      </c>
      <c r="I4236" s="206" t="s">
        <v>372</v>
      </c>
      <c r="J4236" s="165" t="s">
        <v>1112</v>
      </c>
      <c r="K4236" s="205">
        <v>34890.5</v>
      </c>
    </row>
    <row r="4237" spans="1:12" ht="11.25" customHeight="1" x14ac:dyDescent="0.2">
      <c r="A4237" s="226">
        <v>2024</v>
      </c>
      <c r="B4237" s="226">
        <v>1</v>
      </c>
      <c r="C4237" s="226">
        <v>14</v>
      </c>
      <c r="D4237" s="232">
        <f t="shared" si="460"/>
        <v>45305</v>
      </c>
      <c r="E4237" s="234">
        <f t="shared" si="459"/>
        <v>45305</v>
      </c>
      <c r="F4237" s="479"/>
      <c r="G4237" s="227" t="s">
        <v>1111</v>
      </c>
      <c r="H4237" s="228" t="str" cm="1">
        <f t="array" ref="H4237">IFERROR(INDEX(INVESTOR_LIST[INVESTOR NAME],MATCH(I4237,INVESTOR_LIST[INVESTOR CODE],0),)," ")</f>
        <v>KAZI AHSAN MARUF</v>
      </c>
      <c r="I4237" s="228" t="s">
        <v>372</v>
      </c>
      <c r="J4237" s="229" t="s">
        <v>55</v>
      </c>
      <c r="K4237" s="230"/>
      <c r="L4237" s="230">
        <v>1058090.5</v>
      </c>
    </row>
    <row r="4238" spans="1:12" ht="11.25" customHeight="1" x14ac:dyDescent="0.2">
      <c r="A4238" s="231">
        <v>2024</v>
      </c>
      <c r="B4238" s="231">
        <v>1</v>
      </c>
      <c r="C4238" s="221">
        <v>14</v>
      </c>
      <c r="D4238" s="221">
        <f t="shared" si="460"/>
        <v>45305</v>
      </c>
      <c r="E4238" s="271">
        <f t="shared" si="459"/>
        <v>45305</v>
      </c>
      <c r="F4238" s="478" t="s">
        <v>1703</v>
      </c>
      <c r="G4238" s="222" t="s">
        <v>86</v>
      </c>
      <c r="H4238" s="223" t="str" cm="1">
        <f t="array" ref="H4238">IFERROR(INDEX(INVESTOR_LIST[INVESTOR NAME],MATCH(I4238,INVESTOR_LIST[INVESTOR CODE],0),)," ")</f>
        <v>MD. WALIULLAH. SWADESH RANJAN SAHA &amp; MD. MIZZNUR RAHMAN</v>
      </c>
      <c r="I4238" s="223" t="s">
        <v>656</v>
      </c>
      <c r="J4238" s="377" t="s">
        <v>316</v>
      </c>
      <c r="K4238" s="225">
        <v>4250</v>
      </c>
      <c r="L4238" s="225"/>
    </row>
    <row r="4239" spans="1:12" ht="11.25" customHeight="1" x14ac:dyDescent="0.2">
      <c r="A4239" s="156">
        <v>2024</v>
      </c>
      <c r="B4239" s="156">
        <v>1</v>
      </c>
      <c r="C4239" s="164">
        <v>14</v>
      </c>
      <c r="D4239" s="164">
        <f t="shared" si="460"/>
        <v>45305</v>
      </c>
      <c r="E4239" s="276">
        <f t="shared" si="459"/>
        <v>45305</v>
      </c>
      <c r="F4239" s="480"/>
      <c r="G4239" s="208" t="s">
        <v>86</v>
      </c>
      <c r="H4239" s="206" t="str" cm="1">
        <f t="array" ref="H4239">IFERROR(INDEX(INVESTOR_LIST[INVESTOR NAME],MATCH(I4239,INVESTOR_LIST[INVESTOR CODE],0),)," ")</f>
        <v>MD. WALIULLAH. SWADESH RANJAN SAHA &amp; MD. MIZZNUR RAHMAN</v>
      </c>
      <c r="I4239" s="206" t="s">
        <v>656</v>
      </c>
      <c r="J4239" s="378" t="s">
        <v>14</v>
      </c>
      <c r="K4239" s="205"/>
      <c r="L4239" s="418">
        <v>4120</v>
      </c>
    </row>
    <row r="4240" spans="1:12" ht="11.25" customHeight="1" x14ac:dyDescent="0.2">
      <c r="A4240" s="156">
        <v>2024</v>
      </c>
      <c r="B4240" s="232">
        <v>1</v>
      </c>
      <c r="C4240" s="226">
        <v>14</v>
      </c>
      <c r="D4240" s="164">
        <f t="shared" si="460"/>
        <v>45305</v>
      </c>
      <c r="E4240" s="276">
        <f t="shared" si="459"/>
        <v>45305</v>
      </c>
      <c r="F4240" s="480"/>
      <c r="G4240" s="208" t="s">
        <v>86</v>
      </c>
      <c r="H4240" s="228" t="str" cm="1">
        <f t="array" ref="H4240">IFERROR(INDEX(INVESTOR_LIST[INVESTOR NAME],MATCH(I4240,INVESTOR_LIST[INVESTOR CODE],0),)," ")</f>
        <v>MD. WALIULLAH. SWADESH RANJAN SAHA &amp; MD. MIZZNUR RAHMAN</v>
      </c>
      <c r="I4240" s="228" t="s">
        <v>656</v>
      </c>
      <c r="J4240" s="378" t="s">
        <v>56</v>
      </c>
      <c r="K4240" s="230"/>
      <c r="L4240" s="205">
        <v>130</v>
      </c>
    </row>
    <row r="4241" spans="1:13" ht="11.25" customHeight="1" x14ac:dyDescent="0.2">
      <c r="A4241" s="221">
        <v>2024</v>
      </c>
      <c r="B4241" s="221">
        <v>1</v>
      </c>
      <c r="C4241" s="221">
        <v>14</v>
      </c>
      <c r="D4241" s="231">
        <f t="shared" si="460"/>
        <v>45305</v>
      </c>
      <c r="E4241" s="233">
        <f t="shared" ref="E4241:E4263" si="461">DATE(A4241,B4241,C4241)</f>
        <v>45305</v>
      </c>
      <c r="F4241" s="478" t="s">
        <v>1115</v>
      </c>
      <c r="G4241" s="222" t="s">
        <v>1111</v>
      </c>
      <c r="H4241" s="223" t="str" cm="1">
        <f t="array" ref="H4241">IFERROR(INDEX(INVESTOR_LIST[INVESTOR NAME],MATCH(I4241,INVESTOR_LIST[INVESTOR CODE],0),)," ")</f>
        <v>MD. WALIULLAH. SWADESH RANJAN SAHA &amp; MD. MIZZNUR RAHMAN</v>
      </c>
      <c r="I4241" s="223" t="s">
        <v>656</v>
      </c>
      <c r="J4241" s="224" t="s">
        <v>14</v>
      </c>
      <c r="K4241" s="225">
        <v>174120</v>
      </c>
      <c r="L4241" s="225"/>
    </row>
    <row r="4242" spans="1:13" ht="11.25" customHeight="1" x14ac:dyDescent="0.2">
      <c r="A4242" s="164">
        <v>2024</v>
      </c>
      <c r="B4242" s="164">
        <v>1</v>
      </c>
      <c r="C4242" s="164">
        <v>14</v>
      </c>
      <c r="D4242" s="156">
        <f t="shared" si="460"/>
        <v>45305</v>
      </c>
      <c r="E4242" s="235">
        <f t="shared" si="461"/>
        <v>45305</v>
      </c>
      <c r="F4242" s="480"/>
      <c r="G4242" s="208" t="s">
        <v>1111</v>
      </c>
      <c r="H4242" s="206" t="str" cm="1">
        <f t="array" ref="H4242">IFERROR(INDEX(INVESTOR_LIST[INVESTOR NAME],MATCH(I4242,INVESTOR_LIST[INVESTOR CODE],0),)," ")</f>
        <v>MD. WALIULLAH. SWADESH RANJAN SAHA &amp; MD. MIZZNUR RAHMAN</v>
      </c>
      <c r="I4242" s="206" t="s">
        <v>656</v>
      </c>
      <c r="J4242" s="165" t="s">
        <v>1112</v>
      </c>
      <c r="K4242" s="205">
        <v>1677</v>
      </c>
    </row>
    <row r="4243" spans="1:13" ht="11.25" customHeight="1" x14ac:dyDescent="0.2">
      <c r="A4243" s="226">
        <v>2024</v>
      </c>
      <c r="B4243" s="226">
        <v>1</v>
      </c>
      <c r="C4243" s="226">
        <v>14</v>
      </c>
      <c r="D4243" s="232">
        <f t="shared" si="460"/>
        <v>45305</v>
      </c>
      <c r="E4243" s="234">
        <f t="shared" si="461"/>
        <v>45305</v>
      </c>
      <c r="F4243" s="479"/>
      <c r="G4243" s="227" t="s">
        <v>1111</v>
      </c>
      <c r="H4243" s="228" t="str" cm="1">
        <f t="array" ref="H4243">IFERROR(INDEX(INVESTOR_LIST[INVESTOR NAME],MATCH(I4243,INVESTOR_LIST[INVESTOR CODE],0),)," ")</f>
        <v>MD. WALIULLAH. SWADESH RANJAN SAHA &amp; MD. MIZZNUR RAHMAN</v>
      </c>
      <c r="I4243" s="228" t="s">
        <v>656</v>
      </c>
      <c r="J4243" s="229" t="s">
        <v>55</v>
      </c>
      <c r="K4243" s="230"/>
      <c r="L4243" s="230">
        <v>175797</v>
      </c>
    </row>
    <row r="4244" spans="1:13" ht="11.25" customHeight="1" x14ac:dyDescent="0.2">
      <c r="A4244" s="221">
        <v>2024</v>
      </c>
      <c r="B4244" s="221">
        <v>1</v>
      </c>
      <c r="C4244" s="221">
        <v>14</v>
      </c>
      <c r="D4244" s="221">
        <f t="shared" si="460"/>
        <v>45305</v>
      </c>
      <c r="E4244" s="233">
        <f t="shared" si="461"/>
        <v>45305</v>
      </c>
      <c r="F4244" s="478" t="s">
        <v>1683</v>
      </c>
      <c r="G4244" s="222" t="s">
        <v>1111</v>
      </c>
      <c r="H4244" s="222" t="str" cm="1">
        <f t="array" ref="H4244">IFERROR(INDEX(INVESTOR_LIST[INVESTOR NAME],MATCH(I4244,INVESTOR_LIST[INVESTOR CODE],0),)," ")</f>
        <v xml:space="preserve"> </v>
      </c>
      <c r="I4244" s="223"/>
      <c r="J4244" s="224" t="s">
        <v>80</v>
      </c>
      <c r="K4244" s="225">
        <v>74720</v>
      </c>
      <c r="L4244" s="225"/>
    </row>
    <row r="4245" spans="1:13" ht="11.25" customHeight="1" x14ac:dyDescent="0.2">
      <c r="A4245" s="164">
        <v>2024</v>
      </c>
      <c r="B4245" s="164">
        <v>1</v>
      </c>
      <c r="C4245" s="164">
        <v>14</v>
      </c>
      <c r="D4245" s="164">
        <f t="shared" si="460"/>
        <v>45305</v>
      </c>
      <c r="E4245" s="235">
        <f t="shared" si="461"/>
        <v>45305</v>
      </c>
      <c r="F4245" s="480"/>
      <c r="G4245" s="208" t="s">
        <v>1111</v>
      </c>
      <c r="H4245" s="208" t="str" cm="1">
        <f t="array" ref="H4245">IFERROR(INDEX(INVESTOR_LIST[INVESTOR NAME],MATCH(I4245,INVESTOR_LIST[INVESTOR CODE],0),)," ")</f>
        <v xml:space="preserve"> </v>
      </c>
      <c r="J4245" s="165" t="s">
        <v>55</v>
      </c>
      <c r="K4245" s="205">
        <v>605280</v>
      </c>
      <c r="L4245" s="205"/>
      <c r="M4245" s="166"/>
    </row>
    <row r="4246" spans="1:13" ht="11.25" customHeight="1" x14ac:dyDescent="0.2">
      <c r="A4246" s="226">
        <v>2024</v>
      </c>
      <c r="B4246" s="226">
        <v>1</v>
      </c>
      <c r="C4246" s="226">
        <v>14</v>
      </c>
      <c r="D4246" s="226">
        <f t="shared" si="460"/>
        <v>45305</v>
      </c>
      <c r="E4246" s="234">
        <f t="shared" si="461"/>
        <v>45305</v>
      </c>
      <c r="F4246" s="479"/>
      <c r="G4246" s="227" t="s">
        <v>1111</v>
      </c>
      <c r="H4246" s="228" t="str" cm="1">
        <f t="array" ref="H4246">IFERROR(INDEX(INVESTOR_LIST[INVESTOR NAME],MATCH(I4246,INVESTOR_LIST[INVESTOR CODE],0),)," ")</f>
        <v xml:space="preserve"> </v>
      </c>
      <c r="I4246" s="228"/>
      <c r="J4246" s="229" t="s">
        <v>196</v>
      </c>
      <c r="K4246" s="230"/>
      <c r="L4246" s="230">
        <v>680000</v>
      </c>
    </row>
    <row r="4247" spans="1:13" ht="11.25" customHeight="1" x14ac:dyDescent="0.2">
      <c r="A4247" s="221">
        <v>2024</v>
      </c>
      <c r="B4247" s="221">
        <v>1</v>
      </c>
      <c r="C4247" s="221">
        <v>14</v>
      </c>
      <c r="D4247" s="221">
        <f t="shared" si="460"/>
        <v>45305</v>
      </c>
      <c r="E4247" s="233">
        <f t="shared" si="461"/>
        <v>45305</v>
      </c>
      <c r="F4247" s="478" t="s">
        <v>1589</v>
      </c>
      <c r="G4247" s="222" t="s">
        <v>86</v>
      </c>
      <c r="H4247" s="222" t="str" cm="1">
        <f t="array" ref="H4247">IFERROR(INDEX(INVESTOR_LIST[INVESTOR NAME],MATCH(I4247,INVESTOR_LIST[INVESTOR CODE],0),)," ")</f>
        <v xml:space="preserve"> </v>
      </c>
      <c r="I4247" s="223"/>
      <c r="J4247" s="165" t="s">
        <v>199</v>
      </c>
      <c r="K4247" s="225">
        <v>540086.09</v>
      </c>
      <c r="L4247" s="225"/>
    </row>
    <row r="4248" spans="1:13" ht="11.25" customHeight="1" x14ac:dyDescent="0.2">
      <c r="A4248" s="164">
        <v>2024</v>
      </c>
      <c r="B4248" s="164">
        <v>1</v>
      </c>
      <c r="C4248" s="164">
        <v>14</v>
      </c>
      <c r="D4248" s="164">
        <f t="shared" si="460"/>
        <v>45305</v>
      </c>
      <c r="E4248" s="235">
        <f t="shared" si="461"/>
        <v>45305</v>
      </c>
      <c r="F4248" s="480"/>
      <c r="G4248" s="208" t="s">
        <v>86</v>
      </c>
      <c r="H4248" s="208"/>
      <c r="J4248" s="165" t="s">
        <v>960</v>
      </c>
      <c r="K4248" s="205">
        <v>973.91</v>
      </c>
      <c r="L4248" s="205"/>
    </row>
    <row r="4249" spans="1:13" ht="11.25" customHeight="1" x14ac:dyDescent="0.2">
      <c r="A4249" s="164">
        <v>2024</v>
      </c>
      <c r="B4249" s="164">
        <v>1</v>
      </c>
      <c r="C4249" s="164">
        <v>14</v>
      </c>
      <c r="D4249" s="164">
        <f t="shared" si="460"/>
        <v>45305</v>
      </c>
      <c r="E4249" s="235">
        <f t="shared" si="461"/>
        <v>45305</v>
      </c>
      <c r="F4249" s="480"/>
      <c r="G4249" s="208" t="s">
        <v>86</v>
      </c>
      <c r="H4249" s="208"/>
      <c r="J4249" s="165" t="s">
        <v>200</v>
      </c>
      <c r="K4249" s="205"/>
      <c r="L4249" s="205">
        <v>28409.06</v>
      </c>
    </row>
    <row r="4250" spans="1:13" ht="11.25" customHeight="1" x14ac:dyDescent="0.2">
      <c r="A4250" s="226">
        <v>2024</v>
      </c>
      <c r="B4250" s="226">
        <v>1</v>
      </c>
      <c r="C4250" s="226">
        <v>14</v>
      </c>
      <c r="D4250" s="226">
        <f t="shared" si="460"/>
        <v>45305</v>
      </c>
      <c r="E4250" s="234">
        <f t="shared" si="461"/>
        <v>45305</v>
      </c>
      <c r="F4250" s="479"/>
      <c r="G4250" s="227" t="s">
        <v>86</v>
      </c>
      <c r="H4250" s="228" t="str" cm="1">
        <f t="array" ref="H4250">IFERROR(INDEX(INVESTOR_LIST[INVESTOR NAME],MATCH(I4250,INVESTOR_LIST[INVESTOR CODE],0),)," ")</f>
        <v xml:space="preserve"> </v>
      </c>
      <c r="I4250" s="228"/>
      <c r="J4250" s="229" t="s">
        <v>80</v>
      </c>
      <c r="K4250" s="230"/>
      <c r="L4250" s="230">
        <v>512650.94</v>
      </c>
    </row>
    <row r="4251" spans="1:13" ht="11.25" customHeight="1" x14ac:dyDescent="0.2">
      <c r="A4251" s="221">
        <v>2024</v>
      </c>
      <c r="B4251" s="221">
        <v>1</v>
      </c>
      <c r="C4251" s="221">
        <v>14</v>
      </c>
      <c r="D4251" s="231">
        <f t="shared" si="460"/>
        <v>45305</v>
      </c>
      <c r="E4251" s="233">
        <f>DATE(A4251,B4251,C4251)</f>
        <v>45305</v>
      </c>
      <c r="F4251" s="478" t="s">
        <v>1590</v>
      </c>
      <c r="G4251" s="222" t="s">
        <v>1111</v>
      </c>
      <c r="H4251" s="223" t="str" cm="1">
        <f t="array" ref="H4251">IFERROR(INDEX(INVESTOR_LIST[INVESTOR NAME],MATCH(I4251,INVESTOR_LIST[INVESTOR CODE],0),)," ")</f>
        <v xml:space="preserve"> </v>
      </c>
      <c r="I4251" s="223"/>
      <c r="J4251" s="224" t="s">
        <v>55</v>
      </c>
      <c r="K4251" s="225">
        <v>751644.6</v>
      </c>
      <c r="L4251" s="225"/>
    </row>
    <row r="4252" spans="1:13" ht="11.25" customHeight="1" x14ac:dyDescent="0.2">
      <c r="A4252" s="226">
        <v>2024</v>
      </c>
      <c r="B4252" s="226">
        <v>1</v>
      </c>
      <c r="C4252" s="226">
        <v>14</v>
      </c>
      <c r="D4252" s="232">
        <f t="shared" si="460"/>
        <v>45305</v>
      </c>
      <c r="E4252" s="234">
        <f>DATE(A4252,B4252,C4252)</f>
        <v>45305</v>
      </c>
      <c r="F4252" s="479"/>
      <c r="G4252" s="227" t="s">
        <v>1111</v>
      </c>
      <c r="H4252" s="228" t="str" cm="1">
        <f t="array" ref="H4252">IFERROR(INDEX(INVESTOR_LIST[INVESTOR NAME],MATCH(I4252,INVESTOR_LIST[INVESTOR CODE],0),)," ")</f>
        <v xml:space="preserve"> </v>
      </c>
      <c r="I4252" s="228"/>
      <c r="J4252" s="229" t="s">
        <v>199</v>
      </c>
      <c r="K4252" s="230"/>
      <c r="L4252" s="230">
        <v>751644.6</v>
      </c>
    </row>
    <row r="4253" spans="1:13" ht="11.25" customHeight="1" x14ac:dyDescent="0.2">
      <c r="A4253" s="221">
        <v>2024</v>
      </c>
      <c r="B4253" s="221">
        <v>1</v>
      </c>
      <c r="C4253" s="221">
        <v>15</v>
      </c>
      <c r="D4253" s="231">
        <f t="shared" si="460"/>
        <v>45306</v>
      </c>
      <c r="E4253" s="233">
        <f t="shared" ref="E4253:E4258" si="462">DATE(A4253,B4253,C4253)</f>
        <v>45306</v>
      </c>
      <c r="F4253" s="478" t="s">
        <v>1684</v>
      </c>
      <c r="G4253" s="222" t="s">
        <v>1111</v>
      </c>
      <c r="H4253" s="222" t="str" cm="1">
        <f t="array" ref="H4253">IFERROR(INDEX(INVESTOR_LIST[INVESTOR NAME],MATCH(I4253,INVESTOR_LIST[INVESTOR CODE],0),)," ")</f>
        <v xml:space="preserve"> </v>
      </c>
      <c r="I4253" s="223"/>
      <c r="J4253" s="224" t="s">
        <v>1465</v>
      </c>
      <c r="K4253" s="357">
        <v>4863585</v>
      </c>
      <c r="L4253" s="225"/>
    </row>
    <row r="4254" spans="1:13" ht="11.25" customHeight="1" x14ac:dyDescent="0.2">
      <c r="A4254" s="226">
        <v>2024</v>
      </c>
      <c r="B4254" s="226">
        <v>1</v>
      </c>
      <c r="C4254" s="226">
        <v>15</v>
      </c>
      <c r="D4254" s="226">
        <f t="shared" si="460"/>
        <v>45306</v>
      </c>
      <c r="E4254" s="234">
        <f t="shared" si="462"/>
        <v>45306</v>
      </c>
      <c r="F4254" s="479"/>
      <c r="G4254" s="227" t="s">
        <v>1111</v>
      </c>
      <c r="H4254" s="227"/>
      <c r="I4254" s="228"/>
      <c r="J4254" s="229" t="s">
        <v>55</v>
      </c>
      <c r="K4254" s="294"/>
      <c r="L4254" s="230">
        <v>4863585</v>
      </c>
    </row>
    <row r="4255" spans="1:13" ht="11.25" customHeight="1" x14ac:dyDescent="0.2">
      <c r="A4255" s="221">
        <v>2024</v>
      </c>
      <c r="B4255" s="221">
        <v>1</v>
      </c>
      <c r="C4255" s="221">
        <v>15</v>
      </c>
      <c r="D4255" s="231">
        <f t="shared" si="460"/>
        <v>45306</v>
      </c>
      <c r="E4255" s="233">
        <f t="shared" si="462"/>
        <v>45306</v>
      </c>
      <c r="F4255" s="478" t="s">
        <v>1684</v>
      </c>
      <c r="G4255" s="222" t="s">
        <v>1111</v>
      </c>
      <c r="H4255" s="222" t="str" cm="1">
        <f t="array" ref="H4255">IFERROR(INDEX(INVESTOR_LIST[INVESTOR NAME],MATCH(I4255,INVESTOR_LIST[INVESTOR CODE],0),)," ")</f>
        <v xml:space="preserve"> </v>
      </c>
      <c r="I4255" s="223"/>
      <c r="J4255" s="224" t="s">
        <v>1465</v>
      </c>
      <c r="K4255" s="357">
        <v>10895964.800000001</v>
      </c>
      <c r="L4255" s="225"/>
    </row>
    <row r="4256" spans="1:13" ht="11.25" customHeight="1" x14ac:dyDescent="0.2">
      <c r="A4256" s="226">
        <v>2024</v>
      </c>
      <c r="B4256" s="226">
        <v>1</v>
      </c>
      <c r="C4256" s="226">
        <v>15</v>
      </c>
      <c r="D4256" s="226">
        <f t="shared" si="460"/>
        <v>45306</v>
      </c>
      <c r="E4256" s="234">
        <f t="shared" si="462"/>
        <v>45306</v>
      </c>
      <c r="F4256" s="479"/>
      <c r="G4256" s="227" t="s">
        <v>1111</v>
      </c>
      <c r="H4256" s="227"/>
      <c r="I4256" s="228"/>
      <c r="J4256" s="229" t="s">
        <v>55</v>
      </c>
      <c r="K4256" s="294"/>
      <c r="L4256" s="230">
        <v>10895964.800000001</v>
      </c>
    </row>
    <row r="4257" spans="1:12" ht="11.25" customHeight="1" x14ac:dyDescent="0.2">
      <c r="A4257" s="221">
        <v>2024</v>
      </c>
      <c r="B4257" s="221">
        <v>1</v>
      </c>
      <c r="C4257" s="221">
        <v>16</v>
      </c>
      <c r="D4257" s="231">
        <f t="shared" si="460"/>
        <v>45307</v>
      </c>
      <c r="E4257" s="233">
        <f t="shared" si="462"/>
        <v>45307</v>
      </c>
      <c r="F4257" s="478" t="s">
        <v>1178</v>
      </c>
      <c r="G4257" s="222" t="s">
        <v>1111</v>
      </c>
      <c r="H4257" s="223" t="str" cm="1">
        <f t="array" ref="H4257">IFERROR(INDEX(INVESTOR_LIST[INVESTOR NAME],MATCH(I4257,INVESTOR_LIST[INVESTOR CODE],0),)," ")</f>
        <v xml:space="preserve"> </v>
      </c>
      <c r="I4257" s="223"/>
      <c r="J4257" s="224" t="s">
        <v>189</v>
      </c>
      <c r="K4257" s="225">
        <v>6250</v>
      </c>
      <c r="L4257" s="225"/>
    </row>
    <row r="4258" spans="1:12" ht="11.25" customHeight="1" x14ac:dyDescent="0.2">
      <c r="A4258" s="226">
        <v>2024</v>
      </c>
      <c r="B4258" s="226">
        <v>1</v>
      </c>
      <c r="C4258" s="226">
        <v>16</v>
      </c>
      <c r="D4258" s="232">
        <f t="shared" si="460"/>
        <v>45307</v>
      </c>
      <c r="E4258" s="234">
        <f t="shared" si="462"/>
        <v>45307</v>
      </c>
      <c r="F4258" s="479"/>
      <c r="G4258" s="227" t="s">
        <v>1111</v>
      </c>
      <c r="H4258" s="228" t="str" cm="1">
        <f t="array" ref="H4258">IFERROR(INDEX(INVESTOR_LIST[INVESTOR NAME],MATCH(I4258,INVESTOR_LIST[INVESTOR CODE],0),)," ")</f>
        <v xml:space="preserve"> </v>
      </c>
      <c r="I4258" s="228"/>
      <c r="J4258" s="229" t="s">
        <v>55</v>
      </c>
      <c r="K4258" s="230"/>
      <c r="L4258" s="230">
        <v>6250</v>
      </c>
    </row>
    <row r="4259" spans="1:12" ht="11.25" customHeight="1" x14ac:dyDescent="0.2">
      <c r="A4259" s="221">
        <v>2024</v>
      </c>
      <c r="B4259" s="221">
        <v>1</v>
      </c>
      <c r="C4259" s="221">
        <v>17</v>
      </c>
      <c r="D4259" s="231">
        <f t="shared" si="460"/>
        <v>45308</v>
      </c>
      <c r="E4259" s="233">
        <f t="shared" si="461"/>
        <v>45308</v>
      </c>
      <c r="F4259" s="478" t="s">
        <v>1115</v>
      </c>
      <c r="G4259" s="222" t="s">
        <v>1111</v>
      </c>
      <c r="H4259" s="223" t="str" cm="1">
        <f t="array" ref="H4259">IFERROR(INDEX(INVESTOR_LIST[INVESTOR NAME],MATCH(I4259,INVESTOR_LIST[INVESTOR CODE],0),)," ")</f>
        <v>MD KAMRUL ISLAM</v>
      </c>
      <c r="I4259" s="223" t="s">
        <v>465</v>
      </c>
      <c r="J4259" s="224" t="s">
        <v>14</v>
      </c>
      <c r="K4259" s="225">
        <v>940000</v>
      </c>
      <c r="L4259" s="225"/>
    </row>
    <row r="4260" spans="1:12" ht="11.25" customHeight="1" x14ac:dyDescent="0.2">
      <c r="A4260" s="164">
        <v>2024</v>
      </c>
      <c r="B4260" s="164">
        <v>1</v>
      </c>
      <c r="C4260" s="164">
        <v>17</v>
      </c>
      <c r="D4260" s="156">
        <f t="shared" si="460"/>
        <v>45308</v>
      </c>
      <c r="E4260" s="235">
        <f t="shared" si="461"/>
        <v>45308</v>
      </c>
      <c r="F4260" s="480"/>
      <c r="G4260" s="208" t="s">
        <v>1111</v>
      </c>
      <c r="H4260" s="206" t="str" cm="1">
        <f t="array" ref="H4260">IFERROR(INDEX(INVESTOR_LIST[INVESTOR NAME],MATCH(I4260,INVESTOR_LIST[INVESTOR CODE],0),)," ")</f>
        <v>MD KAMRUL ISLAM</v>
      </c>
      <c r="I4260" s="206" t="s">
        <v>465</v>
      </c>
      <c r="J4260" s="165" t="s">
        <v>1112</v>
      </c>
      <c r="K4260" s="205">
        <v>32054</v>
      </c>
    </row>
    <row r="4261" spans="1:12" ht="11.25" customHeight="1" x14ac:dyDescent="0.2">
      <c r="A4261" s="226">
        <v>2024</v>
      </c>
      <c r="B4261" s="226">
        <v>1</v>
      </c>
      <c r="C4261" s="226">
        <v>17</v>
      </c>
      <c r="D4261" s="232">
        <f t="shared" si="460"/>
        <v>45308</v>
      </c>
      <c r="E4261" s="234">
        <f t="shared" si="461"/>
        <v>45308</v>
      </c>
      <c r="F4261" s="479"/>
      <c r="G4261" s="227" t="s">
        <v>1111</v>
      </c>
      <c r="H4261" s="228" t="str" cm="1">
        <f t="array" ref="H4261">IFERROR(INDEX(INVESTOR_LIST[INVESTOR NAME],MATCH(I4261,INVESTOR_LIST[INVESTOR CODE],0),)," ")</f>
        <v>MD KAMRUL ISLAM</v>
      </c>
      <c r="I4261" s="228" t="s">
        <v>465</v>
      </c>
      <c r="J4261" s="229" t="s">
        <v>55</v>
      </c>
      <c r="K4261" s="230"/>
      <c r="L4261" s="230">
        <v>972054</v>
      </c>
    </row>
    <row r="4262" spans="1:12" ht="11.25" customHeight="1" x14ac:dyDescent="0.2">
      <c r="A4262" s="221">
        <v>2024</v>
      </c>
      <c r="B4262" s="221">
        <v>1</v>
      </c>
      <c r="C4262" s="221">
        <v>17</v>
      </c>
      <c r="D4262" s="231">
        <f t="shared" si="460"/>
        <v>45308</v>
      </c>
      <c r="E4262" s="233">
        <f t="shared" si="461"/>
        <v>45308</v>
      </c>
      <c r="F4262" s="478" t="s">
        <v>1670</v>
      </c>
      <c r="G4262" s="222" t="s">
        <v>1111</v>
      </c>
      <c r="H4262" s="223" t="str" cm="1">
        <f t="array" ref="H4262">IFERROR(INDEX(INVESTOR_LIST[INVESTOR NAME],MATCH(I4262,INVESTOR_LIST[INVESTOR CODE],0),)," ")</f>
        <v xml:space="preserve"> </v>
      </c>
      <c r="I4262" s="223"/>
      <c r="J4262" s="224" t="s">
        <v>63</v>
      </c>
      <c r="K4262" s="225">
        <v>100</v>
      </c>
      <c r="L4262" s="225"/>
    </row>
    <row r="4263" spans="1:12" ht="11.25" customHeight="1" x14ac:dyDescent="0.2">
      <c r="A4263" s="226">
        <v>2024</v>
      </c>
      <c r="B4263" s="226">
        <v>1</v>
      </c>
      <c r="C4263" s="226">
        <v>17</v>
      </c>
      <c r="D4263" s="232">
        <f t="shared" si="460"/>
        <v>45308</v>
      </c>
      <c r="E4263" s="234">
        <f t="shared" si="461"/>
        <v>45308</v>
      </c>
      <c r="F4263" s="479"/>
      <c r="G4263" s="227" t="s">
        <v>1111</v>
      </c>
      <c r="H4263" s="228" t="str" cm="1">
        <f t="array" ref="H4263">IFERROR(INDEX(INVESTOR_LIST[INVESTOR NAME],MATCH(I4263,INVESTOR_LIST[INVESTOR CODE],0),)," ")</f>
        <v xml:space="preserve"> </v>
      </c>
      <c r="I4263" s="228"/>
      <c r="J4263" s="229" t="s">
        <v>55</v>
      </c>
      <c r="K4263" s="230"/>
      <c r="L4263" s="230">
        <v>100</v>
      </c>
    </row>
    <row r="4264" spans="1:12" ht="11.25" customHeight="1" x14ac:dyDescent="0.2">
      <c r="A4264" s="221">
        <v>2024</v>
      </c>
      <c r="B4264" s="221">
        <v>1</v>
      </c>
      <c r="C4264" s="221">
        <v>17</v>
      </c>
      <c r="D4264" s="221">
        <f t="shared" si="460"/>
        <v>45308</v>
      </c>
      <c r="E4264" s="233">
        <f t="shared" ref="E4264:E4267" si="463">DATE(A4264,B4264,C4264)</f>
        <v>45308</v>
      </c>
      <c r="F4264" s="478" t="s">
        <v>1589</v>
      </c>
      <c r="G4264" s="222" t="s">
        <v>86</v>
      </c>
      <c r="H4264" s="222" t="str" cm="1">
        <f t="array" ref="H4264">IFERROR(INDEX(INVESTOR_LIST[INVESTOR NAME],MATCH(I4264,INVESTOR_LIST[INVESTOR CODE],0),)," ")</f>
        <v xml:space="preserve"> </v>
      </c>
      <c r="I4264" s="223"/>
      <c r="J4264" s="165" t="s">
        <v>199</v>
      </c>
      <c r="K4264" s="225">
        <v>255547.18</v>
      </c>
      <c r="L4264" s="225"/>
    </row>
    <row r="4265" spans="1:12" ht="11.25" customHeight="1" x14ac:dyDescent="0.2">
      <c r="A4265" s="164">
        <v>2024</v>
      </c>
      <c r="B4265" s="164">
        <v>1</v>
      </c>
      <c r="C4265" s="164">
        <v>17</v>
      </c>
      <c r="D4265" s="164">
        <f t="shared" si="460"/>
        <v>45308</v>
      </c>
      <c r="E4265" s="235">
        <f t="shared" si="463"/>
        <v>45308</v>
      </c>
      <c r="F4265" s="480"/>
      <c r="G4265" s="208" t="s">
        <v>86</v>
      </c>
      <c r="H4265" s="208"/>
      <c r="J4265" s="165" t="s">
        <v>960</v>
      </c>
      <c r="K4265" s="205">
        <v>460.82</v>
      </c>
      <c r="L4265" s="205"/>
    </row>
    <row r="4266" spans="1:12" ht="11.25" customHeight="1" x14ac:dyDescent="0.2">
      <c r="A4266" s="164">
        <v>2024</v>
      </c>
      <c r="B4266" s="164">
        <v>1</v>
      </c>
      <c r="C4266" s="164">
        <v>17</v>
      </c>
      <c r="D4266" s="164">
        <f t="shared" si="460"/>
        <v>45308</v>
      </c>
      <c r="E4266" s="235">
        <f t="shared" si="463"/>
        <v>45308</v>
      </c>
      <c r="F4266" s="480"/>
      <c r="G4266" s="208" t="s">
        <v>86</v>
      </c>
      <c r="H4266" s="208"/>
      <c r="J4266" s="165" t="s">
        <v>200</v>
      </c>
      <c r="K4266" s="205"/>
      <c r="L4266" s="205">
        <v>16451.48</v>
      </c>
    </row>
    <row r="4267" spans="1:12" ht="11.25" customHeight="1" x14ac:dyDescent="0.2">
      <c r="A4267" s="226">
        <v>2024</v>
      </c>
      <c r="B4267" s="226">
        <v>1</v>
      </c>
      <c r="C4267" s="226">
        <v>17</v>
      </c>
      <c r="D4267" s="226">
        <f t="shared" si="460"/>
        <v>45308</v>
      </c>
      <c r="E4267" s="234">
        <f t="shared" si="463"/>
        <v>45308</v>
      </c>
      <c r="F4267" s="479"/>
      <c r="G4267" s="227" t="s">
        <v>86</v>
      </c>
      <c r="H4267" s="228" t="str" cm="1">
        <f t="array" ref="H4267">IFERROR(INDEX(INVESTOR_LIST[INVESTOR NAME],MATCH(I4267,INVESTOR_LIST[INVESTOR CODE],0),)," ")</f>
        <v xml:space="preserve"> </v>
      </c>
      <c r="I4267" s="228"/>
      <c r="J4267" s="229" t="s">
        <v>80</v>
      </c>
      <c r="K4267" s="230"/>
      <c r="L4267" s="230">
        <v>239556.52</v>
      </c>
    </row>
    <row r="4268" spans="1:12" ht="11.25" customHeight="1" x14ac:dyDescent="0.2">
      <c r="A4268" s="221">
        <v>2024</v>
      </c>
      <c r="B4268" s="221">
        <v>1</v>
      </c>
      <c r="C4268" s="221">
        <v>17</v>
      </c>
      <c r="D4268" s="231">
        <f t="shared" si="460"/>
        <v>45308</v>
      </c>
      <c r="E4268" s="233">
        <f>DATE(A4268,B4268,C4268)</f>
        <v>45308</v>
      </c>
      <c r="F4268" s="478" t="s">
        <v>1590</v>
      </c>
      <c r="G4268" s="222" t="s">
        <v>1111</v>
      </c>
      <c r="H4268" s="223" t="str" cm="1">
        <f t="array" ref="H4268">IFERROR(INDEX(INVESTOR_LIST[INVESTOR NAME],MATCH(I4268,INVESTOR_LIST[INVESTOR CODE],0),)," ")</f>
        <v xml:space="preserve"> </v>
      </c>
      <c r="I4268" s="223"/>
      <c r="J4268" s="224" t="s">
        <v>55</v>
      </c>
      <c r="K4268" s="225">
        <v>5400860.0899999999</v>
      </c>
      <c r="L4268" s="225"/>
    </row>
    <row r="4269" spans="1:12" ht="11.25" customHeight="1" x14ac:dyDescent="0.2">
      <c r="A4269" s="164">
        <v>2024</v>
      </c>
      <c r="B4269" s="164">
        <v>1</v>
      </c>
      <c r="C4269" s="164">
        <v>17</v>
      </c>
      <c r="D4269" s="156">
        <f t="shared" si="460"/>
        <v>45308</v>
      </c>
      <c r="E4269" s="235">
        <f>DATE(A4269,B4269,C4269)</f>
        <v>45308</v>
      </c>
      <c r="F4269" s="480"/>
      <c r="G4269" s="208" t="s">
        <v>1111</v>
      </c>
      <c r="J4269" s="165" t="s">
        <v>199</v>
      </c>
      <c r="K4269" s="205">
        <v>4860774</v>
      </c>
      <c r="L4269" s="205"/>
    </row>
    <row r="4270" spans="1:12" ht="11.25" customHeight="1" x14ac:dyDescent="0.2">
      <c r="A4270" s="164">
        <v>2024</v>
      </c>
      <c r="B4270" s="164">
        <v>1</v>
      </c>
      <c r="C4270" s="164">
        <v>17</v>
      </c>
      <c r="D4270" s="156">
        <f t="shared" si="460"/>
        <v>45308</v>
      </c>
      <c r="E4270" s="235">
        <f>DATE(A4270,B4270,C4270)</f>
        <v>45308</v>
      </c>
      <c r="F4270" s="480"/>
      <c r="G4270" s="208" t="s">
        <v>1111</v>
      </c>
      <c r="J4270" s="165" t="s">
        <v>55</v>
      </c>
      <c r="K4270" s="205"/>
      <c r="L4270" s="205">
        <v>4860774</v>
      </c>
    </row>
    <row r="4271" spans="1:12" ht="11.25" customHeight="1" x14ac:dyDescent="0.2">
      <c r="A4271" s="226">
        <v>2024</v>
      </c>
      <c r="B4271" s="226">
        <v>1</v>
      </c>
      <c r="C4271" s="226">
        <v>17</v>
      </c>
      <c r="D4271" s="232">
        <f t="shared" si="460"/>
        <v>45308</v>
      </c>
      <c r="E4271" s="234">
        <f>DATE(A4271,B4271,C4271)</f>
        <v>45308</v>
      </c>
      <c r="F4271" s="479"/>
      <c r="G4271" s="227" t="s">
        <v>1111</v>
      </c>
      <c r="H4271" s="228" t="str" cm="1">
        <f t="array" ref="H4271">IFERROR(INDEX(INVESTOR_LIST[INVESTOR NAME],MATCH(I4271,INVESTOR_LIST[INVESTOR CODE],0),)," ")</f>
        <v xml:space="preserve"> </v>
      </c>
      <c r="I4271" s="228"/>
      <c r="J4271" s="229" t="s">
        <v>199</v>
      </c>
      <c r="K4271" s="230"/>
      <c r="L4271" s="230">
        <v>5400860.0899999999</v>
      </c>
    </row>
    <row r="4272" spans="1:12" ht="11.25" customHeight="1" x14ac:dyDescent="0.2">
      <c r="A4272" s="221">
        <v>2024</v>
      </c>
      <c r="B4272" s="221">
        <v>1</v>
      </c>
      <c r="C4272" s="221">
        <v>17</v>
      </c>
      <c r="D4272" s="231">
        <f t="shared" si="460"/>
        <v>45308</v>
      </c>
      <c r="E4272" s="233">
        <f t="shared" ref="E4272:E4303" si="464">DATE(A4272,B4272,C4272)</f>
        <v>45308</v>
      </c>
      <c r="F4272" s="478" t="s">
        <v>1670</v>
      </c>
      <c r="G4272" s="222" t="s">
        <v>1111</v>
      </c>
      <c r="H4272" s="223" t="str" cm="1">
        <f t="array" ref="H4272">IFERROR(INDEX(INVESTOR_LIST[INVESTOR NAME],MATCH(I4272,INVESTOR_LIST[INVESTOR CODE],0),)," ")</f>
        <v xml:space="preserve"> </v>
      </c>
      <c r="I4272" s="223"/>
      <c r="J4272" s="224" t="s">
        <v>63</v>
      </c>
      <c r="K4272" s="225">
        <v>100</v>
      </c>
      <c r="L4272" s="225"/>
    </row>
    <row r="4273" spans="1:12" ht="11.25" customHeight="1" x14ac:dyDescent="0.2">
      <c r="A4273" s="226">
        <v>2024</v>
      </c>
      <c r="B4273" s="226">
        <v>1</v>
      </c>
      <c r="C4273" s="226">
        <v>17</v>
      </c>
      <c r="D4273" s="232">
        <f t="shared" si="460"/>
        <v>45308</v>
      </c>
      <c r="E4273" s="234">
        <f t="shared" si="464"/>
        <v>45308</v>
      </c>
      <c r="F4273" s="479"/>
      <c r="G4273" s="227" t="s">
        <v>1111</v>
      </c>
      <c r="H4273" s="228" t="str" cm="1">
        <f t="array" ref="H4273">IFERROR(INDEX(INVESTOR_LIST[INVESTOR NAME],MATCH(I4273,INVESTOR_LIST[INVESTOR CODE],0),)," ")</f>
        <v xml:space="preserve"> </v>
      </c>
      <c r="I4273" s="228"/>
      <c r="J4273" s="229" t="s">
        <v>55</v>
      </c>
      <c r="K4273" s="230"/>
      <c r="L4273" s="230">
        <v>100</v>
      </c>
    </row>
    <row r="4274" spans="1:12" ht="11.25" customHeight="1" x14ac:dyDescent="0.2">
      <c r="A4274" s="221">
        <v>2024</v>
      </c>
      <c r="B4274" s="221">
        <v>1</v>
      </c>
      <c r="C4274" s="221">
        <v>18</v>
      </c>
      <c r="D4274" s="231">
        <f t="shared" si="460"/>
        <v>45309</v>
      </c>
      <c r="E4274" s="233">
        <f t="shared" si="464"/>
        <v>45309</v>
      </c>
      <c r="F4274" s="478" t="s">
        <v>1142</v>
      </c>
      <c r="G4274" s="222" t="s">
        <v>1111</v>
      </c>
      <c r="H4274" s="223" t="str" cm="1">
        <f t="array" ref="H4274">IFERROR(INDEX(INVESTOR_LIST[INVESTOR NAME],MATCH(I4274,INVESTOR_LIST[INVESTOR CODE],0),)," ")</f>
        <v xml:space="preserve"> </v>
      </c>
      <c r="I4274" s="223"/>
      <c r="J4274" s="224" t="s">
        <v>189</v>
      </c>
      <c r="K4274" s="225">
        <v>1575</v>
      </c>
      <c r="L4274" s="225"/>
    </row>
    <row r="4275" spans="1:12" ht="11.25" customHeight="1" x14ac:dyDescent="0.2">
      <c r="A4275" s="226">
        <v>2024</v>
      </c>
      <c r="B4275" s="226">
        <v>1</v>
      </c>
      <c r="C4275" s="226">
        <v>18</v>
      </c>
      <c r="D4275" s="232">
        <f t="shared" si="460"/>
        <v>45309</v>
      </c>
      <c r="E4275" s="234">
        <f t="shared" si="464"/>
        <v>45309</v>
      </c>
      <c r="F4275" s="479"/>
      <c r="G4275" s="227" t="s">
        <v>1111</v>
      </c>
      <c r="H4275" s="228" t="str" cm="1">
        <f t="array" ref="H4275">IFERROR(INDEX(INVESTOR_LIST[INVESTOR NAME],MATCH(I4275,INVESTOR_LIST[INVESTOR CODE],0),)," ")</f>
        <v xml:space="preserve"> </v>
      </c>
      <c r="I4275" s="228"/>
      <c r="J4275" s="229" t="s">
        <v>55</v>
      </c>
      <c r="K4275" s="230"/>
      <c r="L4275" s="230">
        <v>1575</v>
      </c>
    </row>
    <row r="4276" spans="1:12" ht="11.25" customHeight="1" x14ac:dyDescent="0.2">
      <c r="A4276" s="280">
        <v>2024</v>
      </c>
      <c r="B4276" s="280">
        <v>1</v>
      </c>
      <c r="C4276" s="280">
        <v>18</v>
      </c>
      <c r="D4276" s="281">
        <f t="shared" si="460"/>
        <v>45309</v>
      </c>
      <c r="E4276" s="282">
        <f t="shared" si="464"/>
        <v>45309</v>
      </c>
      <c r="F4276" s="472" t="s">
        <v>1369</v>
      </c>
      <c r="G4276" s="283" t="s">
        <v>86</v>
      </c>
      <c r="H4276" s="284" t="str" cm="1">
        <f t="array" ref="H4276">IFERROR(INDEX(INVESTOR_LIST[INVESTOR NAME],MATCH(I4276,INVESTOR_LIST[INVESTOR CODE],0),)," ")</f>
        <v xml:space="preserve"> </v>
      </c>
      <c r="I4276" s="284"/>
      <c r="J4276" s="285" t="s">
        <v>131</v>
      </c>
      <c r="K4276" s="286">
        <v>5509.6153846153848</v>
      </c>
      <c r="L4276" s="286"/>
    </row>
    <row r="4277" spans="1:12" ht="11.25" customHeight="1" x14ac:dyDescent="0.2">
      <c r="A4277" s="287">
        <v>2024</v>
      </c>
      <c r="B4277" s="287">
        <v>1</v>
      </c>
      <c r="C4277" s="287">
        <v>18</v>
      </c>
      <c r="D4277" s="288">
        <f t="shared" si="460"/>
        <v>45309</v>
      </c>
      <c r="E4277" s="289">
        <f t="shared" si="464"/>
        <v>45309</v>
      </c>
      <c r="F4277" s="473"/>
      <c r="G4277" s="290" t="s">
        <v>86</v>
      </c>
      <c r="H4277" s="291" t="str" cm="1">
        <f t="array" ref="H4277">IFERROR(INDEX(INVESTOR_LIST[INVESTOR NAME],MATCH(I4277,INVESTOR_LIST[INVESTOR CODE],0),)," ")</f>
        <v xml:space="preserve"> </v>
      </c>
      <c r="I4277" s="291"/>
      <c r="J4277" s="292" t="s">
        <v>174</v>
      </c>
      <c r="K4277" s="293"/>
      <c r="L4277" s="293">
        <v>5509.6153846153848</v>
      </c>
    </row>
    <row r="4278" spans="1:12" ht="11.25" customHeight="1" x14ac:dyDescent="0.2">
      <c r="A4278" s="280">
        <v>2024</v>
      </c>
      <c r="B4278" s="280">
        <v>1</v>
      </c>
      <c r="C4278" s="280">
        <v>18</v>
      </c>
      <c r="D4278" s="281">
        <f t="shared" si="460"/>
        <v>45309</v>
      </c>
      <c r="E4278" s="282">
        <f t="shared" si="464"/>
        <v>45309</v>
      </c>
      <c r="F4278" s="472" t="s">
        <v>1584</v>
      </c>
      <c r="G4278" s="283" t="s">
        <v>86</v>
      </c>
      <c r="H4278" s="284" t="str" cm="1">
        <f t="array" ref="H4278">IFERROR(INDEX(INVESTOR_LIST[INVESTOR NAME],MATCH(I4278,INVESTOR_LIST[INVESTOR CODE],0),)," ")</f>
        <v xml:space="preserve"> </v>
      </c>
      <c r="I4278" s="284"/>
      <c r="J4278" s="285" t="s">
        <v>131</v>
      </c>
      <c r="K4278" s="286">
        <v>7307.6923076923076</v>
      </c>
      <c r="L4278" s="286"/>
    </row>
    <row r="4279" spans="1:12" ht="11.25" customHeight="1" x14ac:dyDescent="0.2">
      <c r="A4279" s="287">
        <v>2024</v>
      </c>
      <c r="B4279" s="287">
        <v>1</v>
      </c>
      <c r="C4279" s="287">
        <v>18</v>
      </c>
      <c r="D4279" s="288">
        <f t="shared" si="460"/>
        <v>45309</v>
      </c>
      <c r="E4279" s="289">
        <f t="shared" si="464"/>
        <v>45309</v>
      </c>
      <c r="F4279" s="473"/>
      <c r="G4279" s="290" t="s">
        <v>86</v>
      </c>
      <c r="H4279" s="291" t="str" cm="1">
        <f t="array" ref="H4279">IFERROR(INDEX(INVESTOR_LIST[INVESTOR NAME],MATCH(I4279,INVESTOR_LIST[INVESTOR CODE],0),)," ")</f>
        <v xml:space="preserve"> </v>
      </c>
      <c r="I4279" s="291"/>
      <c r="J4279" s="292" t="s">
        <v>174</v>
      </c>
      <c r="K4279" s="293"/>
      <c r="L4279" s="293">
        <v>7307.6923076923076</v>
      </c>
    </row>
    <row r="4280" spans="1:12" ht="11.25" customHeight="1" x14ac:dyDescent="0.2">
      <c r="A4280" s="358">
        <v>2024</v>
      </c>
      <c r="B4280" s="358">
        <v>1</v>
      </c>
      <c r="C4280" s="358">
        <v>18</v>
      </c>
      <c r="D4280" s="312">
        <f t="shared" si="460"/>
        <v>45309</v>
      </c>
      <c r="E4280" s="313">
        <f t="shared" si="464"/>
        <v>45309</v>
      </c>
      <c r="F4280" s="482" t="s">
        <v>1627</v>
      </c>
      <c r="G4280" s="314" t="s">
        <v>86</v>
      </c>
      <c r="H4280" s="324" t="str" cm="1">
        <f t="array" ref="H4280">IFERROR(INDEX(INVESTOR_LIST[INVESTOR NAME],MATCH(I4280,INVESTOR_LIST[INVESTOR CODE],0),)," ")</f>
        <v xml:space="preserve"> </v>
      </c>
      <c r="I4280" s="324"/>
      <c r="J4280" s="364" t="s">
        <v>1621</v>
      </c>
      <c r="K4280" s="365">
        <v>58860.39999999851</v>
      </c>
      <c r="L4280" s="365"/>
    </row>
    <row r="4281" spans="1:12" ht="11.25" customHeight="1" x14ac:dyDescent="0.2">
      <c r="A4281" s="320">
        <v>2024</v>
      </c>
      <c r="B4281" s="320">
        <v>1</v>
      </c>
      <c r="C4281" s="320">
        <v>18</v>
      </c>
      <c r="D4281" s="323">
        <f t="shared" si="460"/>
        <v>45309</v>
      </c>
      <c r="E4281" s="321">
        <f t="shared" si="464"/>
        <v>45309</v>
      </c>
      <c r="F4281" s="483"/>
      <c r="G4281" s="322" t="s">
        <v>86</v>
      </c>
      <c r="H4281" s="325" t="str" cm="1">
        <f t="array" ref="H4281">IFERROR(INDEX(INVESTOR_LIST[INVESTOR NAME],MATCH(I4281,INVESTOR_LIST[INVESTOR CODE],0),)," ")</f>
        <v xml:space="preserve"> </v>
      </c>
      <c r="I4281" s="325"/>
      <c r="J4281" s="366" t="s">
        <v>1613</v>
      </c>
      <c r="K4281" s="367"/>
      <c r="L4281" s="367">
        <v>58860.39999999851</v>
      </c>
    </row>
    <row r="4282" spans="1:12" ht="11.25" customHeight="1" x14ac:dyDescent="0.2">
      <c r="A4282" s="236">
        <v>2024</v>
      </c>
      <c r="B4282" s="236">
        <v>1</v>
      </c>
      <c r="C4282" s="236">
        <v>18</v>
      </c>
      <c r="D4282" s="237">
        <f t="shared" si="460"/>
        <v>45309</v>
      </c>
      <c r="E4282" s="238">
        <f t="shared" si="464"/>
        <v>45309</v>
      </c>
      <c r="F4282" s="476" t="s">
        <v>1118</v>
      </c>
      <c r="G4282" s="239" t="s">
        <v>86</v>
      </c>
      <c r="H4282" s="239" t="str" cm="1">
        <f t="array" ref="H4282">IFERROR(INDEX(INVESTOR_LIST[INVESTOR NAME],MATCH(I4282,INVESTOR_LIST[INVESTOR CODE],0),)," ")</f>
        <v xml:space="preserve"> </v>
      </c>
      <c r="I4282" s="240"/>
      <c r="J4282" s="241" t="s">
        <v>82</v>
      </c>
      <c r="K4282" s="242">
        <v>22865.640000000596</v>
      </c>
      <c r="L4282" s="242"/>
    </row>
    <row r="4283" spans="1:12" ht="11.25" customHeight="1" x14ac:dyDescent="0.2">
      <c r="A4283" s="243">
        <v>2024</v>
      </c>
      <c r="B4283" s="243">
        <v>1</v>
      </c>
      <c r="C4283" s="243">
        <v>18</v>
      </c>
      <c r="D4283" s="248">
        <f t="shared" si="460"/>
        <v>45309</v>
      </c>
      <c r="E4283" s="249">
        <f t="shared" si="464"/>
        <v>45309</v>
      </c>
      <c r="F4283" s="477"/>
      <c r="G4283" s="244" t="s">
        <v>86</v>
      </c>
      <c r="H4283" s="244" t="str" cm="1">
        <f t="array" ref="H4283">IFERROR(INDEX(INVESTOR_LIST[INVESTOR NAME],MATCH(I4283,INVESTOR_LIST[INVESTOR CODE],0),)," ")</f>
        <v xml:space="preserve"> </v>
      </c>
      <c r="I4283" s="245"/>
      <c r="J4283" s="246" t="s">
        <v>98</v>
      </c>
      <c r="K4283" s="247"/>
      <c r="L4283" s="247">
        <v>22865.640000000596</v>
      </c>
    </row>
    <row r="4284" spans="1:12" ht="11.25" customHeight="1" x14ac:dyDescent="0.2">
      <c r="A4284" s="236">
        <v>2024</v>
      </c>
      <c r="B4284" s="236">
        <v>1</v>
      </c>
      <c r="C4284" s="236">
        <v>18</v>
      </c>
      <c r="D4284" s="237">
        <f t="shared" si="460"/>
        <v>45309</v>
      </c>
      <c r="E4284" s="238">
        <f t="shared" si="464"/>
        <v>45309</v>
      </c>
      <c r="F4284" s="476" t="s">
        <v>1120</v>
      </c>
      <c r="G4284" s="239" t="s">
        <v>86</v>
      </c>
      <c r="H4284" s="239" t="str" cm="1">
        <f t="array" ref="H4284">IFERROR(INDEX(INVESTOR_LIST[INVESTOR NAME],MATCH(I4284,INVESTOR_LIST[INVESTOR CODE],0),)," ")</f>
        <v xml:space="preserve"> </v>
      </c>
      <c r="I4284" s="240"/>
      <c r="J4284" s="241" t="s">
        <v>87</v>
      </c>
      <c r="K4284" s="242">
        <v>2747.2527472527472</v>
      </c>
      <c r="L4284" s="242"/>
    </row>
    <row r="4285" spans="1:12" ht="11.25" customHeight="1" x14ac:dyDescent="0.2">
      <c r="A4285" s="243">
        <v>2024</v>
      </c>
      <c r="B4285" s="243">
        <v>1</v>
      </c>
      <c r="C4285" s="243">
        <v>18</v>
      </c>
      <c r="D4285" s="248">
        <f t="shared" si="460"/>
        <v>45309</v>
      </c>
      <c r="E4285" s="249">
        <f t="shared" si="464"/>
        <v>45309</v>
      </c>
      <c r="F4285" s="477"/>
      <c r="G4285" s="244" t="s">
        <v>86</v>
      </c>
      <c r="H4285" s="244" t="str" cm="1">
        <f t="array" ref="H4285">IFERROR(INDEX(INVESTOR_LIST[INVESTOR NAME],MATCH(I4285,INVESTOR_LIST[INVESTOR CODE],0),)," ")</f>
        <v xml:space="preserve"> </v>
      </c>
      <c r="I4285" s="245"/>
      <c r="J4285" s="246" t="s">
        <v>64</v>
      </c>
      <c r="K4285" s="247"/>
      <c r="L4285" s="247">
        <v>2747.2527472527472</v>
      </c>
    </row>
    <row r="4286" spans="1:12" ht="11.25" customHeight="1" x14ac:dyDescent="0.2">
      <c r="A4286" s="236">
        <v>2024</v>
      </c>
      <c r="B4286" s="236">
        <v>1</v>
      </c>
      <c r="C4286" s="236">
        <v>18</v>
      </c>
      <c r="D4286" s="237">
        <f t="shared" si="460"/>
        <v>45309</v>
      </c>
      <c r="E4286" s="238">
        <f t="shared" si="464"/>
        <v>45309</v>
      </c>
      <c r="F4286" s="476" t="s">
        <v>1121</v>
      </c>
      <c r="G4286" s="239" t="s">
        <v>86</v>
      </c>
      <c r="H4286" s="239" t="str" cm="1">
        <f t="array" ref="H4286">IFERROR(INDEX(INVESTOR_LIST[INVESTOR NAME],MATCH(I4286,INVESTOR_LIST[INVESTOR CODE],0),)," ")</f>
        <v xml:space="preserve"> </v>
      </c>
      <c r="I4286" s="240"/>
      <c r="J4286" s="241" t="s">
        <v>89</v>
      </c>
      <c r="K4286" s="242">
        <v>66940.6797608544</v>
      </c>
      <c r="L4286" s="242"/>
    </row>
    <row r="4287" spans="1:12" ht="11.25" customHeight="1" x14ac:dyDescent="0.2">
      <c r="A4287" s="243">
        <v>2024</v>
      </c>
      <c r="B4287" s="243">
        <v>1</v>
      </c>
      <c r="C4287" s="243">
        <v>18</v>
      </c>
      <c r="D4287" s="248">
        <f t="shared" si="460"/>
        <v>45309</v>
      </c>
      <c r="E4287" s="249">
        <f t="shared" si="464"/>
        <v>45309</v>
      </c>
      <c r="F4287" s="477"/>
      <c r="G4287" s="244" t="s">
        <v>86</v>
      </c>
      <c r="H4287" s="244" t="str" cm="1">
        <f t="array" ref="H4287">IFERROR(INDEX(INVESTOR_LIST[INVESTOR NAME],MATCH(I4287,INVESTOR_LIST[INVESTOR CODE],0),)," ")</f>
        <v xml:space="preserve"> </v>
      </c>
      <c r="I4287" s="245"/>
      <c r="J4287" s="246" t="s">
        <v>50</v>
      </c>
      <c r="K4287" s="247"/>
      <c r="L4287" s="247">
        <v>66940.6797608544</v>
      </c>
    </row>
    <row r="4288" spans="1:12" ht="11.25" customHeight="1" x14ac:dyDescent="0.2">
      <c r="A4288" s="236">
        <v>2024</v>
      </c>
      <c r="B4288" s="236">
        <v>1</v>
      </c>
      <c r="C4288" s="236">
        <v>18</v>
      </c>
      <c r="D4288" s="237">
        <f t="shared" si="460"/>
        <v>45309</v>
      </c>
      <c r="E4288" s="238">
        <f t="shared" si="464"/>
        <v>45309</v>
      </c>
      <c r="F4288" s="476" t="s">
        <v>1122</v>
      </c>
      <c r="G4288" s="239" t="s">
        <v>86</v>
      </c>
      <c r="H4288" s="239" t="str" cm="1">
        <f t="array" ref="H4288">IFERROR(INDEX(INVESTOR_LIST[INVESTOR NAME],MATCH(I4288,INVESTOR_LIST[INVESTOR CODE],0),)," ")</f>
        <v xml:space="preserve"> </v>
      </c>
      <c r="I4288" s="240"/>
      <c r="J4288" s="241" t="s">
        <v>91</v>
      </c>
      <c r="K4288" s="242">
        <v>3347.0339880427205</v>
      </c>
      <c r="L4288" s="242"/>
    </row>
    <row r="4289" spans="1:13" ht="11.25" customHeight="1" x14ac:dyDescent="0.2">
      <c r="A4289" s="243">
        <v>2024</v>
      </c>
      <c r="B4289" s="243">
        <v>1</v>
      </c>
      <c r="C4289" s="243">
        <v>18</v>
      </c>
      <c r="D4289" s="248">
        <f t="shared" si="460"/>
        <v>45309</v>
      </c>
      <c r="E4289" s="249">
        <f t="shared" si="464"/>
        <v>45309</v>
      </c>
      <c r="F4289" s="477"/>
      <c r="G4289" s="244" t="s">
        <v>86</v>
      </c>
      <c r="H4289" s="244" t="str" cm="1">
        <f t="array" ref="H4289">IFERROR(INDEX(INVESTOR_LIST[INVESTOR NAME],MATCH(I4289,INVESTOR_LIST[INVESTOR CODE],0),)," ")</f>
        <v xml:space="preserve"> </v>
      </c>
      <c r="I4289" s="245"/>
      <c r="J4289" s="246" t="s">
        <v>51</v>
      </c>
      <c r="K4289" s="247"/>
      <c r="L4289" s="247">
        <v>3347.0339880427205</v>
      </c>
    </row>
    <row r="4290" spans="1:13" ht="11.25" customHeight="1" x14ac:dyDescent="0.2">
      <c r="A4290" s="221">
        <v>2024</v>
      </c>
      <c r="B4290" s="221">
        <v>1</v>
      </c>
      <c r="C4290" s="221">
        <v>21</v>
      </c>
      <c r="D4290" s="231">
        <f t="shared" si="460"/>
        <v>45312</v>
      </c>
      <c r="E4290" s="233">
        <f t="shared" si="464"/>
        <v>45312</v>
      </c>
      <c r="F4290" s="478" t="s">
        <v>1690</v>
      </c>
      <c r="G4290" s="222" t="s">
        <v>1111</v>
      </c>
      <c r="H4290" s="223" t="str" cm="1">
        <f t="array" ref="H4290">IFERROR(INDEX(INVESTOR_LIST[INVESTOR NAME],MATCH(I4290,INVESTOR_LIST[INVESTOR CODE],0),)," ")</f>
        <v xml:space="preserve"> </v>
      </c>
      <c r="I4290" s="223"/>
      <c r="J4290" s="224" t="s">
        <v>88</v>
      </c>
      <c r="K4290" s="225">
        <v>4000000</v>
      </c>
      <c r="L4290" s="225"/>
    </row>
    <row r="4291" spans="1:13" ht="11.25" customHeight="1" x14ac:dyDescent="0.2">
      <c r="A4291" s="164">
        <v>2024</v>
      </c>
      <c r="B4291" s="164">
        <v>1</v>
      </c>
      <c r="C4291" s="164">
        <v>21</v>
      </c>
      <c r="D4291" s="156">
        <f t="shared" si="460"/>
        <v>45312</v>
      </c>
      <c r="E4291" s="235">
        <f t="shared" si="464"/>
        <v>45312</v>
      </c>
      <c r="F4291" s="480"/>
      <c r="G4291" s="208" t="s">
        <v>1111</v>
      </c>
      <c r="J4291" s="165" t="s">
        <v>55</v>
      </c>
      <c r="K4291" s="205">
        <v>82500</v>
      </c>
      <c r="L4291" s="205"/>
    </row>
    <row r="4292" spans="1:13" ht="11.25" customHeight="1" x14ac:dyDescent="0.2">
      <c r="A4292" s="164">
        <v>2024</v>
      </c>
      <c r="B4292" s="164">
        <v>1</v>
      </c>
      <c r="C4292" s="164">
        <v>21</v>
      </c>
      <c r="D4292" s="156">
        <f t="shared" si="460"/>
        <v>45312</v>
      </c>
      <c r="E4292" s="235">
        <f t="shared" si="464"/>
        <v>45312</v>
      </c>
      <c r="F4292" s="480"/>
      <c r="G4292" s="208" t="s">
        <v>1111</v>
      </c>
      <c r="J4292" s="165" t="s">
        <v>63</v>
      </c>
      <c r="K4292" s="205">
        <v>12500</v>
      </c>
      <c r="L4292" s="205"/>
    </row>
    <row r="4293" spans="1:13" ht="11.25" customHeight="1" x14ac:dyDescent="0.2">
      <c r="A4293" s="164">
        <v>2024</v>
      </c>
      <c r="B4293" s="164">
        <v>1</v>
      </c>
      <c r="C4293" s="164">
        <v>21</v>
      </c>
      <c r="D4293" s="156">
        <f t="shared" si="460"/>
        <v>45312</v>
      </c>
      <c r="E4293" s="235">
        <f t="shared" si="464"/>
        <v>45312</v>
      </c>
      <c r="F4293" s="480"/>
      <c r="G4293" s="208" t="s">
        <v>1111</v>
      </c>
      <c r="J4293" s="156" t="s">
        <v>131</v>
      </c>
      <c r="K4293" s="205"/>
      <c r="L4293" s="205">
        <v>95000</v>
      </c>
      <c r="M4293" s="166"/>
    </row>
    <row r="4294" spans="1:13" ht="11.25" customHeight="1" x14ac:dyDescent="0.2">
      <c r="A4294" s="226">
        <v>2024</v>
      </c>
      <c r="B4294" s="226">
        <v>1</v>
      </c>
      <c r="C4294" s="226">
        <v>21</v>
      </c>
      <c r="D4294" s="232">
        <f t="shared" si="460"/>
        <v>45312</v>
      </c>
      <c r="E4294" s="234">
        <f t="shared" si="464"/>
        <v>45312</v>
      </c>
      <c r="F4294" s="479"/>
      <c r="G4294" s="227" t="s">
        <v>1111</v>
      </c>
      <c r="H4294" s="228" t="str" cm="1">
        <f t="array" ref="H4294">IFERROR(INDEX(INVESTOR_LIST[INVESTOR NAME],MATCH(I4294,INVESTOR_LIST[INVESTOR CODE],0),)," ")</f>
        <v xml:space="preserve"> </v>
      </c>
      <c r="I4294" s="228"/>
      <c r="J4294" s="229" t="s">
        <v>88</v>
      </c>
      <c r="K4294" s="230"/>
      <c r="L4294" s="230">
        <v>4000000</v>
      </c>
    </row>
    <row r="4295" spans="1:13" ht="11.25" customHeight="1" x14ac:dyDescent="0.2">
      <c r="A4295" s="221">
        <v>2024</v>
      </c>
      <c r="B4295" s="221">
        <v>1</v>
      </c>
      <c r="C4295" s="221">
        <v>21</v>
      </c>
      <c r="D4295" s="221">
        <f t="shared" si="460"/>
        <v>45312</v>
      </c>
      <c r="E4295" s="233">
        <f t="shared" si="464"/>
        <v>45312</v>
      </c>
      <c r="F4295" s="478" t="s">
        <v>1589</v>
      </c>
      <c r="G4295" s="222" t="s">
        <v>86</v>
      </c>
      <c r="H4295" s="222" t="str" cm="1">
        <f t="array" ref="H4295">IFERROR(INDEX(INVESTOR_LIST[INVESTOR NAME],MATCH(I4295,INVESTOR_LIST[INVESTOR CODE],0),)," ")</f>
        <v xml:space="preserve"> </v>
      </c>
      <c r="I4295" s="223"/>
      <c r="J4295" s="165" t="s">
        <v>199</v>
      </c>
      <c r="K4295" s="225">
        <v>769312.74</v>
      </c>
      <c r="L4295" s="225"/>
    </row>
    <row r="4296" spans="1:13" ht="11.25" customHeight="1" x14ac:dyDescent="0.2">
      <c r="A4296" s="164">
        <v>2024</v>
      </c>
      <c r="B4296" s="164">
        <v>1</v>
      </c>
      <c r="C4296" s="164">
        <v>21</v>
      </c>
      <c r="D4296" s="164">
        <f t="shared" si="460"/>
        <v>45312</v>
      </c>
      <c r="E4296" s="235">
        <f t="shared" si="464"/>
        <v>45312</v>
      </c>
      <c r="F4296" s="480"/>
      <c r="G4296" s="208" t="s">
        <v>86</v>
      </c>
      <c r="H4296" s="208"/>
      <c r="J4296" s="165" t="s">
        <v>960</v>
      </c>
      <c r="K4296" s="205">
        <v>1387.26</v>
      </c>
      <c r="L4296" s="205"/>
    </row>
    <row r="4297" spans="1:13" ht="11.25" customHeight="1" x14ac:dyDescent="0.2">
      <c r="A4297" s="164">
        <v>2024</v>
      </c>
      <c r="B4297" s="164">
        <v>1</v>
      </c>
      <c r="C4297" s="164">
        <v>21</v>
      </c>
      <c r="D4297" s="164">
        <f t="shared" ref="D4297:D4360" si="465">DATE(A4297,B4297,C4297)</f>
        <v>45312</v>
      </c>
      <c r="E4297" s="235">
        <f t="shared" si="464"/>
        <v>45312</v>
      </c>
      <c r="F4297" s="480"/>
      <c r="G4297" s="208" t="s">
        <v>86</v>
      </c>
      <c r="H4297" s="208"/>
      <c r="J4297" s="165" t="s">
        <v>200</v>
      </c>
      <c r="K4297" s="205"/>
      <c r="L4297" s="205">
        <v>52030.45</v>
      </c>
    </row>
    <row r="4298" spans="1:13" ht="11.25" customHeight="1" x14ac:dyDescent="0.2">
      <c r="A4298" s="226">
        <v>2024</v>
      </c>
      <c r="B4298" s="226">
        <v>1</v>
      </c>
      <c r="C4298" s="226">
        <v>21</v>
      </c>
      <c r="D4298" s="226">
        <f t="shared" si="465"/>
        <v>45312</v>
      </c>
      <c r="E4298" s="234">
        <f t="shared" si="464"/>
        <v>45312</v>
      </c>
      <c r="F4298" s="479"/>
      <c r="G4298" s="227" t="s">
        <v>86</v>
      </c>
      <c r="H4298" s="228" t="str" cm="1">
        <f t="array" ref="H4298">IFERROR(INDEX(INVESTOR_LIST[INVESTOR NAME],MATCH(I4298,INVESTOR_LIST[INVESTOR CODE],0),)," ")</f>
        <v xml:space="preserve"> </v>
      </c>
      <c r="I4298" s="228"/>
      <c r="J4298" s="229" t="s">
        <v>80</v>
      </c>
      <c r="K4298" s="230"/>
      <c r="L4298" s="230">
        <v>718669.55</v>
      </c>
    </row>
    <row r="4299" spans="1:13" ht="11.25" customHeight="1" x14ac:dyDescent="0.2">
      <c r="A4299" s="221">
        <v>2024</v>
      </c>
      <c r="B4299" s="221">
        <v>1</v>
      </c>
      <c r="C4299" s="221">
        <v>21</v>
      </c>
      <c r="D4299" s="231">
        <f t="shared" si="465"/>
        <v>45312</v>
      </c>
      <c r="E4299" s="233">
        <f t="shared" ref="E4299:E4300" si="466">DATE(A4299,B4299,C4299)</f>
        <v>45312</v>
      </c>
      <c r="F4299" s="478" t="s">
        <v>1670</v>
      </c>
      <c r="G4299" s="222" t="s">
        <v>1111</v>
      </c>
      <c r="H4299" s="223" t="str" cm="1">
        <f t="array" ref="H4299">IFERROR(INDEX(INVESTOR_LIST[INVESTOR NAME],MATCH(I4299,INVESTOR_LIST[INVESTOR CODE],0),)," ")</f>
        <v xml:space="preserve"> </v>
      </c>
      <c r="I4299" s="223"/>
      <c r="J4299" s="224" t="s">
        <v>63</v>
      </c>
      <c r="K4299" s="225">
        <v>10</v>
      </c>
      <c r="L4299" s="225"/>
    </row>
    <row r="4300" spans="1:13" ht="11.25" customHeight="1" x14ac:dyDescent="0.2">
      <c r="A4300" s="226">
        <v>2024</v>
      </c>
      <c r="B4300" s="226">
        <v>1</v>
      </c>
      <c r="C4300" s="226">
        <v>21</v>
      </c>
      <c r="D4300" s="232">
        <f t="shared" si="465"/>
        <v>45312</v>
      </c>
      <c r="E4300" s="234">
        <f t="shared" si="466"/>
        <v>45312</v>
      </c>
      <c r="F4300" s="479"/>
      <c r="G4300" s="227" t="s">
        <v>1111</v>
      </c>
      <c r="H4300" s="228" t="str" cm="1">
        <f t="array" ref="H4300">IFERROR(INDEX(INVESTOR_LIST[INVESTOR NAME],MATCH(I4300,INVESTOR_LIST[INVESTOR CODE],0),)," ")</f>
        <v xml:space="preserve"> </v>
      </c>
      <c r="I4300" s="228"/>
      <c r="J4300" s="229" t="s">
        <v>55</v>
      </c>
      <c r="K4300" s="230"/>
      <c r="L4300" s="230">
        <v>10</v>
      </c>
    </row>
    <row r="4301" spans="1:13" ht="11.25" customHeight="1" x14ac:dyDescent="0.2">
      <c r="A4301" s="221">
        <v>2024</v>
      </c>
      <c r="B4301" s="221">
        <v>1</v>
      </c>
      <c r="C4301" s="221">
        <v>22</v>
      </c>
      <c r="D4301" s="231">
        <f t="shared" si="465"/>
        <v>45313</v>
      </c>
      <c r="E4301" s="233">
        <f t="shared" si="464"/>
        <v>45313</v>
      </c>
      <c r="F4301" s="478" t="s">
        <v>1115</v>
      </c>
      <c r="G4301" s="222" t="s">
        <v>1111</v>
      </c>
      <c r="H4301" s="223" t="str" cm="1">
        <f t="array" ref="H4301">IFERROR(INDEX(INVESTOR_LIST[INVESTOR NAME],MATCH(I4301,INVESTOR_LIST[INVESTOR CODE],0),)," ")</f>
        <v>SANDHANI AML SLIC FIXED INCOME FUND</v>
      </c>
      <c r="I4301" s="223" t="s">
        <v>1481</v>
      </c>
      <c r="J4301" s="224" t="s">
        <v>14</v>
      </c>
      <c r="K4301" s="225">
        <v>3673050</v>
      </c>
      <c r="L4301" s="225"/>
    </row>
    <row r="4302" spans="1:13" ht="11.25" customHeight="1" x14ac:dyDescent="0.2">
      <c r="A4302" s="164">
        <v>2024</v>
      </c>
      <c r="B4302" s="164">
        <v>1</v>
      </c>
      <c r="C4302" s="164">
        <v>22</v>
      </c>
      <c r="D4302" s="156">
        <f t="shared" si="465"/>
        <v>45313</v>
      </c>
      <c r="E4302" s="235">
        <f t="shared" si="464"/>
        <v>45313</v>
      </c>
      <c r="F4302" s="480"/>
      <c r="G4302" s="208" t="s">
        <v>1111</v>
      </c>
      <c r="H4302" s="206" t="str" cm="1">
        <f t="array" ref="H4302">IFERROR(INDEX(INVESTOR_LIST[INVESTOR NAME],MATCH(I4302,INVESTOR_LIST[INVESTOR CODE],0),)," ")</f>
        <v>SANDHANI AML SLIC FIXED INCOME FUND</v>
      </c>
      <c r="I4302" s="206" t="s">
        <v>1481</v>
      </c>
      <c r="J4302" s="165" t="s">
        <v>1112</v>
      </c>
      <c r="K4302" s="205">
        <v>127454.83999999985</v>
      </c>
    </row>
    <row r="4303" spans="1:13" ht="11.25" customHeight="1" x14ac:dyDescent="0.2">
      <c r="A4303" s="226">
        <v>2024</v>
      </c>
      <c r="B4303" s="226">
        <v>1</v>
      </c>
      <c r="C4303" s="226">
        <v>22</v>
      </c>
      <c r="D4303" s="232">
        <f t="shared" si="465"/>
        <v>45313</v>
      </c>
      <c r="E4303" s="234">
        <f t="shared" si="464"/>
        <v>45313</v>
      </c>
      <c r="F4303" s="479"/>
      <c r="G4303" s="227" t="s">
        <v>1111</v>
      </c>
      <c r="H4303" s="228" t="str" cm="1">
        <f t="array" ref="H4303">IFERROR(INDEX(INVESTOR_LIST[INVESTOR NAME],MATCH(I4303,INVESTOR_LIST[INVESTOR CODE],0),)," ")</f>
        <v>SANDHANI AML SLIC FIXED INCOME FUND</v>
      </c>
      <c r="I4303" s="228" t="s">
        <v>1481</v>
      </c>
      <c r="J4303" s="229" t="s">
        <v>55</v>
      </c>
      <c r="K4303" s="230"/>
      <c r="L4303" s="230">
        <v>3800504.84</v>
      </c>
    </row>
    <row r="4304" spans="1:13" ht="11.25" customHeight="1" x14ac:dyDescent="0.2">
      <c r="A4304" s="221">
        <v>2024</v>
      </c>
      <c r="B4304" s="221">
        <v>1</v>
      </c>
      <c r="C4304" s="221">
        <v>22</v>
      </c>
      <c r="D4304" s="231">
        <f t="shared" si="465"/>
        <v>45313</v>
      </c>
      <c r="E4304" s="233">
        <f>DATE(A4304,B4304,C4304)</f>
        <v>45313</v>
      </c>
      <c r="F4304" s="478" t="s">
        <v>1590</v>
      </c>
      <c r="G4304" s="222" t="s">
        <v>1111</v>
      </c>
      <c r="H4304" s="223" t="str" cm="1">
        <f t="array" ref="H4304">IFERROR(INDEX(INVESTOR_LIST[INVESTOR NAME],MATCH(I4304,INVESTOR_LIST[INVESTOR CODE],0),)," ")</f>
        <v xml:space="preserve"> </v>
      </c>
      <c r="I4304" s="223"/>
      <c r="J4304" s="224" t="s">
        <v>55</v>
      </c>
      <c r="K4304" s="225">
        <v>255547.18</v>
      </c>
      <c r="L4304" s="225"/>
    </row>
    <row r="4305" spans="1:12" ht="11.25" customHeight="1" x14ac:dyDescent="0.2">
      <c r="A4305" s="226">
        <v>2024</v>
      </c>
      <c r="B4305" s="226">
        <v>1</v>
      </c>
      <c r="C4305" s="226">
        <v>22</v>
      </c>
      <c r="D4305" s="232">
        <f t="shared" si="465"/>
        <v>45313</v>
      </c>
      <c r="E4305" s="234">
        <f>DATE(A4305,B4305,C4305)</f>
        <v>45313</v>
      </c>
      <c r="F4305" s="479"/>
      <c r="G4305" s="227" t="s">
        <v>1111</v>
      </c>
      <c r="H4305" s="228" t="str" cm="1">
        <f t="array" ref="H4305">IFERROR(INDEX(INVESTOR_LIST[INVESTOR NAME],MATCH(I4305,INVESTOR_LIST[INVESTOR CODE],0),)," ")</f>
        <v xml:space="preserve"> </v>
      </c>
      <c r="I4305" s="228"/>
      <c r="J4305" s="229" t="s">
        <v>199</v>
      </c>
      <c r="K4305" s="230"/>
      <c r="L4305" s="230">
        <v>255547.18</v>
      </c>
    </row>
    <row r="4306" spans="1:12" ht="11.25" customHeight="1" x14ac:dyDescent="0.2">
      <c r="A4306" s="221">
        <v>2024</v>
      </c>
      <c r="B4306" s="221">
        <v>1</v>
      </c>
      <c r="C4306" s="221">
        <v>22</v>
      </c>
      <c r="D4306" s="221">
        <f t="shared" si="465"/>
        <v>45313</v>
      </c>
      <c r="E4306" s="233">
        <f t="shared" ref="E4306:E4311" si="467">DATE(A4306,B4306,C4306)</f>
        <v>45313</v>
      </c>
      <c r="F4306" s="478" t="s">
        <v>1589</v>
      </c>
      <c r="G4306" s="222" t="s">
        <v>86</v>
      </c>
      <c r="H4306" s="222" t="str" cm="1">
        <f t="array" ref="H4306">IFERROR(INDEX(INVESTOR_LIST[INVESTOR NAME],MATCH(I4306,INVESTOR_LIST[INVESTOR CODE],0),)," ")</f>
        <v xml:space="preserve"> </v>
      </c>
      <c r="I4306" s="223"/>
      <c r="J4306" s="165" t="s">
        <v>199</v>
      </c>
      <c r="K4306" s="225">
        <v>259032.9</v>
      </c>
      <c r="L4306" s="225"/>
    </row>
    <row r="4307" spans="1:12" ht="11.25" customHeight="1" x14ac:dyDescent="0.2">
      <c r="A4307" s="164">
        <v>2024</v>
      </c>
      <c r="B4307" s="164">
        <v>1</v>
      </c>
      <c r="C4307" s="164">
        <v>22</v>
      </c>
      <c r="D4307" s="164">
        <f t="shared" si="465"/>
        <v>45313</v>
      </c>
      <c r="E4307" s="235">
        <f t="shared" si="467"/>
        <v>45313</v>
      </c>
      <c r="F4307" s="480"/>
      <c r="G4307" s="208" t="s">
        <v>86</v>
      </c>
      <c r="H4307" s="208"/>
      <c r="J4307" s="165" t="s">
        <v>960</v>
      </c>
      <c r="K4307" s="205">
        <v>467.1</v>
      </c>
      <c r="L4307" s="205"/>
    </row>
    <row r="4308" spans="1:12" ht="11.25" customHeight="1" x14ac:dyDescent="0.2">
      <c r="A4308" s="164">
        <v>2024</v>
      </c>
      <c r="B4308" s="164">
        <v>1</v>
      </c>
      <c r="C4308" s="164">
        <v>22</v>
      </c>
      <c r="D4308" s="164">
        <f t="shared" si="465"/>
        <v>45313</v>
      </c>
      <c r="E4308" s="235">
        <f t="shared" si="467"/>
        <v>45313</v>
      </c>
      <c r="F4308" s="480"/>
      <c r="G4308" s="208" t="s">
        <v>86</v>
      </c>
      <c r="H4308" s="208"/>
      <c r="J4308" s="165" t="s">
        <v>200</v>
      </c>
      <c r="K4308" s="205"/>
      <c r="L4308" s="205">
        <v>19943.48</v>
      </c>
    </row>
    <row r="4309" spans="1:12" ht="11.25" customHeight="1" x14ac:dyDescent="0.2">
      <c r="A4309" s="226">
        <v>2024</v>
      </c>
      <c r="B4309" s="226">
        <v>1</v>
      </c>
      <c r="C4309" s="226">
        <v>22</v>
      </c>
      <c r="D4309" s="226">
        <f t="shared" si="465"/>
        <v>45313</v>
      </c>
      <c r="E4309" s="234">
        <f t="shared" si="467"/>
        <v>45313</v>
      </c>
      <c r="F4309" s="479"/>
      <c r="G4309" s="227" t="s">
        <v>86</v>
      </c>
      <c r="H4309" s="228" t="str" cm="1">
        <f t="array" ref="H4309">IFERROR(INDEX(INVESTOR_LIST[INVESTOR NAME],MATCH(I4309,INVESTOR_LIST[INVESTOR CODE],0),)," ")</f>
        <v xml:space="preserve"> </v>
      </c>
      <c r="I4309" s="228"/>
      <c r="J4309" s="229" t="s">
        <v>80</v>
      </c>
      <c r="K4309" s="230"/>
      <c r="L4309" s="230">
        <v>239556.52</v>
      </c>
    </row>
    <row r="4310" spans="1:12" ht="11.25" customHeight="1" x14ac:dyDescent="0.2">
      <c r="A4310" s="221">
        <v>2024</v>
      </c>
      <c r="B4310" s="221">
        <v>1</v>
      </c>
      <c r="C4310" s="221">
        <v>22</v>
      </c>
      <c r="D4310" s="231">
        <f t="shared" si="465"/>
        <v>45313</v>
      </c>
      <c r="E4310" s="233">
        <f t="shared" si="467"/>
        <v>45313</v>
      </c>
      <c r="F4310" s="478" t="s">
        <v>1196</v>
      </c>
      <c r="G4310" s="222" t="s">
        <v>1111</v>
      </c>
      <c r="H4310" s="223" t="str" cm="1">
        <f t="array" ref="H4310">IFERROR(INDEX(INVESTOR_LIST[INVESTOR NAME],MATCH(I4310,INVESTOR_LIST[INVESTOR CODE],0),)," ")</f>
        <v xml:space="preserve"> </v>
      </c>
      <c r="I4310" s="223"/>
      <c r="J4310" s="224" t="s">
        <v>95</v>
      </c>
      <c r="K4310" s="225">
        <v>977.01</v>
      </c>
      <c r="L4310" s="225" t="s">
        <v>1119</v>
      </c>
    </row>
    <row r="4311" spans="1:12" ht="11.25" customHeight="1" x14ac:dyDescent="0.2">
      <c r="A4311" s="226">
        <v>2024</v>
      </c>
      <c r="B4311" s="226">
        <v>1</v>
      </c>
      <c r="C4311" s="226">
        <v>22</v>
      </c>
      <c r="D4311" s="232">
        <f t="shared" si="465"/>
        <v>45313</v>
      </c>
      <c r="E4311" s="234">
        <f t="shared" si="467"/>
        <v>45313</v>
      </c>
      <c r="F4311" s="479"/>
      <c r="G4311" s="227" t="s">
        <v>1111</v>
      </c>
      <c r="H4311" s="228" t="str" cm="1">
        <f t="array" ref="H4311">IFERROR(INDEX(INVESTOR_LIST[INVESTOR NAME],MATCH(I4311,INVESTOR_LIST[INVESTOR CODE],0),)," ")</f>
        <v xml:space="preserve"> </v>
      </c>
      <c r="I4311" s="228"/>
      <c r="J4311" s="229" t="s">
        <v>55</v>
      </c>
      <c r="K4311" s="230" t="s">
        <v>1119</v>
      </c>
      <c r="L4311" s="230">
        <v>977.01</v>
      </c>
    </row>
    <row r="4312" spans="1:12" ht="11.25" customHeight="1" x14ac:dyDescent="0.2">
      <c r="A4312" s="221">
        <v>2024</v>
      </c>
      <c r="B4312" s="221">
        <v>1</v>
      </c>
      <c r="C4312" s="221">
        <v>23</v>
      </c>
      <c r="D4312" s="221">
        <f t="shared" si="465"/>
        <v>45314</v>
      </c>
      <c r="E4312" s="233">
        <f t="shared" ref="E4312:E4318" si="468">DATE(A4312,B4312,C4312)</f>
        <v>45314</v>
      </c>
      <c r="F4312" s="478" t="s">
        <v>1589</v>
      </c>
      <c r="G4312" s="222" t="s">
        <v>86</v>
      </c>
      <c r="H4312" s="222" t="str" cm="1">
        <f t="array" ref="H4312">IFERROR(INDEX(INVESTOR_LIST[INVESTOR NAME],MATCH(I4312,INVESTOR_LIST[INVESTOR CODE],0),)," ")</f>
        <v xml:space="preserve"> </v>
      </c>
      <c r="I4312" s="223"/>
      <c r="J4312" s="165" t="s">
        <v>199</v>
      </c>
      <c r="K4312" s="225">
        <v>524554.1</v>
      </c>
      <c r="L4312" s="225"/>
    </row>
    <row r="4313" spans="1:12" ht="11.25" customHeight="1" x14ac:dyDescent="0.2">
      <c r="A4313" s="164">
        <v>2024</v>
      </c>
      <c r="B4313" s="164">
        <v>1</v>
      </c>
      <c r="C4313" s="164">
        <v>23</v>
      </c>
      <c r="D4313" s="164">
        <f t="shared" si="465"/>
        <v>45314</v>
      </c>
      <c r="E4313" s="235">
        <f t="shared" si="468"/>
        <v>45314</v>
      </c>
      <c r="F4313" s="480"/>
      <c r="G4313" s="208" t="s">
        <v>86</v>
      </c>
      <c r="H4313" s="208"/>
      <c r="J4313" s="165" t="s">
        <v>960</v>
      </c>
      <c r="K4313" s="205">
        <v>945.9</v>
      </c>
      <c r="L4313" s="205"/>
    </row>
    <row r="4314" spans="1:12" ht="11.25" customHeight="1" x14ac:dyDescent="0.2">
      <c r="A4314" s="164">
        <v>2024</v>
      </c>
      <c r="B4314" s="164">
        <v>1</v>
      </c>
      <c r="C4314" s="164">
        <v>23</v>
      </c>
      <c r="D4314" s="164">
        <f t="shared" si="465"/>
        <v>45314</v>
      </c>
      <c r="E4314" s="235">
        <f t="shared" si="468"/>
        <v>45314</v>
      </c>
      <c r="F4314" s="480"/>
      <c r="G4314" s="208" t="s">
        <v>86</v>
      </c>
      <c r="H4314" s="208"/>
      <c r="J4314" s="165" t="s">
        <v>200</v>
      </c>
      <c r="K4314" s="205"/>
      <c r="L4314" s="205">
        <v>46386.97</v>
      </c>
    </row>
    <row r="4315" spans="1:12" ht="11.25" customHeight="1" x14ac:dyDescent="0.2">
      <c r="A4315" s="226">
        <v>2024</v>
      </c>
      <c r="B4315" s="226">
        <v>1</v>
      </c>
      <c r="C4315" s="226">
        <v>23</v>
      </c>
      <c r="D4315" s="226">
        <f t="shared" si="465"/>
        <v>45314</v>
      </c>
      <c r="E4315" s="234">
        <f t="shared" si="468"/>
        <v>45314</v>
      </c>
      <c r="F4315" s="479"/>
      <c r="G4315" s="227" t="s">
        <v>86</v>
      </c>
      <c r="H4315" s="228" t="str" cm="1">
        <f t="array" ref="H4315">IFERROR(INDEX(INVESTOR_LIST[INVESTOR NAME],MATCH(I4315,INVESTOR_LIST[INVESTOR CODE],0),)," ")</f>
        <v xml:space="preserve"> </v>
      </c>
      <c r="I4315" s="228"/>
      <c r="J4315" s="229" t="s">
        <v>80</v>
      </c>
      <c r="K4315" s="230"/>
      <c r="L4315" s="230">
        <v>479113.03</v>
      </c>
    </row>
    <row r="4316" spans="1:12" ht="11.25" customHeight="1" x14ac:dyDescent="0.2">
      <c r="A4316" s="221">
        <v>2024</v>
      </c>
      <c r="B4316" s="221">
        <v>1</v>
      </c>
      <c r="C4316" s="221">
        <v>23</v>
      </c>
      <c r="D4316" s="231">
        <f t="shared" si="465"/>
        <v>45314</v>
      </c>
      <c r="E4316" s="233">
        <f t="shared" si="468"/>
        <v>45314</v>
      </c>
      <c r="F4316" s="478" t="s">
        <v>1115</v>
      </c>
      <c r="G4316" s="222" t="s">
        <v>1111</v>
      </c>
      <c r="H4316" s="223" t="str" cm="1">
        <f t="array" ref="H4316">IFERROR(INDEX(INVESTOR_LIST[INVESTOR NAME],MATCH(I4316,INVESTOR_LIST[INVESTOR CODE],0),)," ")</f>
        <v>MOHAMMAD SAMIUL ALAM</v>
      </c>
      <c r="I4316" s="223" t="s">
        <v>639</v>
      </c>
      <c r="J4316" s="224" t="s">
        <v>14</v>
      </c>
      <c r="K4316" s="225">
        <v>470000</v>
      </c>
      <c r="L4316" s="225"/>
    </row>
    <row r="4317" spans="1:12" ht="11.25" customHeight="1" x14ac:dyDescent="0.2">
      <c r="A4317" s="164">
        <v>2024</v>
      </c>
      <c r="B4317" s="164">
        <v>1</v>
      </c>
      <c r="C4317" s="164">
        <v>23</v>
      </c>
      <c r="D4317" s="156">
        <f t="shared" si="465"/>
        <v>45314</v>
      </c>
      <c r="E4317" s="235">
        <f t="shared" si="468"/>
        <v>45314</v>
      </c>
      <c r="F4317" s="480"/>
      <c r="G4317" s="208" t="s">
        <v>1111</v>
      </c>
      <c r="H4317" s="206" t="str" cm="1">
        <f t="array" ref="H4317">IFERROR(INDEX(INVESTOR_LIST[INVESTOR NAME],MATCH(I4317,INVESTOR_LIST[INVESTOR CODE],0),)," ")</f>
        <v>MOHAMMAD SAMIUL ALAM</v>
      </c>
      <c r="I4317" s="206" t="s">
        <v>639</v>
      </c>
      <c r="J4317" s="165" t="s">
        <v>1112</v>
      </c>
      <c r="K4317" s="205">
        <v>16309</v>
      </c>
    </row>
    <row r="4318" spans="1:12" ht="11.25" customHeight="1" x14ac:dyDescent="0.2">
      <c r="A4318" s="226">
        <v>2024</v>
      </c>
      <c r="B4318" s="226">
        <v>1</v>
      </c>
      <c r="C4318" s="226">
        <v>23</v>
      </c>
      <c r="D4318" s="232">
        <f t="shared" si="465"/>
        <v>45314</v>
      </c>
      <c r="E4318" s="234">
        <f t="shared" si="468"/>
        <v>45314</v>
      </c>
      <c r="F4318" s="479"/>
      <c r="G4318" s="227" t="s">
        <v>1111</v>
      </c>
      <c r="H4318" s="228" t="str" cm="1">
        <f t="array" ref="H4318">IFERROR(INDEX(INVESTOR_LIST[INVESTOR NAME],MATCH(I4318,INVESTOR_LIST[INVESTOR CODE],0),)," ")</f>
        <v>MOHAMMAD SAMIUL ALAM</v>
      </c>
      <c r="I4318" s="228" t="s">
        <v>639</v>
      </c>
      <c r="J4318" s="229" t="s">
        <v>55</v>
      </c>
      <c r="K4318" s="230"/>
      <c r="L4318" s="230">
        <v>486309</v>
      </c>
    </row>
    <row r="4319" spans="1:12" ht="11.25" customHeight="1" x14ac:dyDescent="0.2">
      <c r="A4319" s="221">
        <v>2024</v>
      </c>
      <c r="B4319" s="221">
        <v>1</v>
      </c>
      <c r="C4319" s="221">
        <v>23</v>
      </c>
      <c r="D4319" s="231">
        <f t="shared" si="465"/>
        <v>45314</v>
      </c>
      <c r="E4319" s="233">
        <f t="shared" ref="E4319:E4360" si="469">DATE(A4319,B4319,C4319)</f>
        <v>45314</v>
      </c>
      <c r="F4319" s="478" t="s">
        <v>1115</v>
      </c>
      <c r="G4319" s="222" t="s">
        <v>1111</v>
      </c>
      <c r="H4319" s="223" t="str" cm="1">
        <f t="array" ref="H4319">IFERROR(INDEX(INVESTOR_LIST[INVESTOR NAME],MATCH(I4319,INVESTOR_LIST[INVESTOR CODE],0),)," ")</f>
        <v>PHOENIX FINANCE &amp; INVESTMENTS LTD</v>
      </c>
      <c r="I4319" s="223" t="s">
        <v>451</v>
      </c>
      <c r="J4319" s="224" t="s">
        <v>14</v>
      </c>
      <c r="K4319" s="225">
        <v>2416160</v>
      </c>
      <c r="L4319" s="225"/>
    </row>
    <row r="4320" spans="1:12" ht="11.25" customHeight="1" x14ac:dyDescent="0.2">
      <c r="A4320" s="164">
        <v>2024</v>
      </c>
      <c r="B4320" s="164">
        <v>1</v>
      </c>
      <c r="C4320" s="164">
        <v>23</v>
      </c>
      <c r="D4320" s="156">
        <f t="shared" si="465"/>
        <v>45314</v>
      </c>
      <c r="E4320" s="235">
        <f t="shared" si="469"/>
        <v>45314</v>
      </c>
      <c r="F4320" s="480"/>
      <c r="G4320" s="208" t="s">
        <v>1111</v>
      </c>
      <c r="H4320" s="206" t="str" cm="1">
        <f t="array" ref="H4320">IFERROR(INDEX(INVESTOR_LIST[INVESTOR NAME],MATCH(I4320,INVESTOR_LIST[INVESTOR CODE],0),)," ")</f>
        <v>PHOENIX FINANCE &amp; INVESTMENTS LTD</v>
      </c>
      <c r="I4320" s="206" t="s">
        <v>451</v>
      </c>
      <c r="J4320" s="165" t="s">
        <v>1112</v>
      </c>
      <c r="K4320" s="205">
        <v>83840</v>
      </c>
    </row>
    <row r="4321" spans="1:12" ht="11.25" customHeight="1" x14ac:dyDescent="0.2">
      <c r="A4321" s="226">
        <v>2024</v>
      </c>
      <c r="B4321" s="226">
        <v>1</v>
      </c>
      <c r="C4321" s="226">
        <v>23</v>
      </c>
      <c r="D4321" s="232">
        <f t="shared" si="465"/>
        <v>45314</v>
      </c>
      <c r="E4321" s="234">
        <f t="shared" si="469"/>
        <v>45314</v>
      </c>
      <c r="F4321" s="479"/>
      <c r="G4321" s="227" t="s">
        <v>1111</v>
      </c>
      <c r="H4321" s="228" t="str" cm="1">
        <f t="array" ref="H4321">IFERROR(INDEX(INVESTOR_LIST[INVESTOR NAME],MATCH(I4321,INVESTOR_LIST[INVESTOR CODE],0),)," ")</f>
        <v>PHOENIX FINANCE &amp; INVESTMENTS LTD</v>
      </c>
      <c r="I4321" s="228" t="s">
        <v>451</v>
      </c>
      <c r="J4321" s="229" t="s">
        <v>55</v>
      </c>
      <c r="K4321" s="230"/>
      <c r="L4321" s="230">
        <v>2500000</v>
      </c>
    </row>
    <row r="4322" spans="1:12" ht="11.25" customHeight="1" x14ac:dyDescent="0.2">
      <c r="A4322" s="221">
        <v>2024</v>
      </c>
      <c r="B4322" s="221">
        <v>1</v>
      </c>
      <c r="C4322" s="221">
        <v>24</v>
      </c>
      <c r="D4322" s="221">
        <f t="shared" si="465"/>
        <v>45315</v>
      </c>
      <c r="E4322" s="233">
        <f t="shared" si="469"/>
        <v>45315</v>
      </c>
      <c r="F4322" s="478" t="s">
        <v>1589</v>
      </c>
      <c r="G4322" s="222" t="s">
        <v>86</v>
      </c>
      <c r="H4322" s="222" t="str" cm="1">
        <f t="array" ref="H4322">IFERROR(INDEX(INVESTOR_LIST[INVESTOR NAME],MATCH(I4322,INVESTOR_LIST[INVESTOR CODE],0),)," ")</f>
        <v xml:space="preserve"> </v>
      </c>
      <c r="I4322" s="223"/>
      <c r="J4322" s="165" t="s">
        <v>199</v>
      </c>
      <c r="K4322" s="225">
        <v>109912.8</v>
      </c>
      <c r="L4322" s="225"/>
    </row>
    <row r="4323" spans="1:12" ht="11.25" customHeight="1" x14ac:dyDescent="0.2">
      <c r="A4323" s="164">
        <v>2024</v>
      </c>
      <c r="B4323" s="164">
        <v>1</v>
      </c>
      <c r="C4323" s="164">
        <v>24</v>
      </c>
      <c r="D4323" s="164">
        <f t="shared" si="465"/>
        <v>45315</v>
      </c>
      <c r="E4323" s="235">
        <f t="shared" si="469"/>
        <v>45315</v>
      </c>
      <c r="F4323" s="480"/>
      <c r="G4323" s="208" t="s">
        <v>86</v>
      </c>
      <c r="H4323" s="208"/>
      <c r="J4323" s="165" t="s">
        <v>960</v>
      </c>
      <c r="K4323" s="205">
        <v>198.2</v>
      </c>
      <c r="L4323" s="205"/>
    </row>
    <row r="4324" spans="1:12" ht="11.25" customHeight="1" x14ac:dyDescent="0.2">
      <c r="A4324" s="164">
        <v>2024</v>
      </c>
      <c r="B4324" s="164">
        <v>1</v>
      </c>
      <c r="C4324" s="164">
        <v>24</v>
      </c>
      <c r="D4324" s="164">
        <f t="shared" si="465"/>
        <v>45315</v>
      </c>
      <c r="E4324" s="235">
        <f t="shared" si="469"/>
        <v>45315</v>
      </c>
      <c r="F4324" s="480"/>
      <c r="G4324" s="208" t="s">
        <v>86</v>
      </c>
      <c r="H4324" s="208"/>
      <c r="J4324" s="165" t="s">
        <v>200</v>
      </c>
      <c r="K4324" s="205"/>
      <c r="L4324" s="205">
        <v>73161</v>
      </c>
    </row>
    <row r="4325" spans="1:12" ht="11.25" customHeight="1" x14ac:dyDescent="0.2">
      <c r="A4325" s="226">
        <v>2024</v>
      </c>
      <c r="B4325" s="226">
        <v>1</v>
      </c>
      <c r="C4325" s="226">
        <v>24</v>
      </c>
      <c r="D4325" s="226">
        <f t="shared" si="465"/>
        <v>45315</v>
      </c>
      <c r="E4325" s="234">
        <f t="shared" si="469"/>
        <v>45315</v>
      </c>
      <c r="F4325" s="479"/>
      <c r="G4325" s="227" t="s">
        <v>86</v>
      </c>
      <c r="H4325" s="228" t="str" cm="1">
        <f t="array" ref="H4325">IFERROR(INDEX(INVESTOR_LIST[INVESTOR NAME],MATCH(I4325,INVESTOR_LIST[INVESTOR CODE],0),)," ")</f>
        <v xml:space="preserve"> </v>
      </c>
      <c r="I4325" s="228"/>
      <c r="J4325" s="229" t="s">
        <v>80</v>
      </c>
      <c r="K4325" s="230"/>
      <c r="L4325" s="230">
        <v>36950</v>
      </c>
    </row>
    <row r="4326" spans="1:12" ht="11.25" customHeight="1" x14ac:dyDescent="0.2">
      <c r="A4326" s="221">
        <v>2024</v>
      </c>
      <c r="B4326" s="221">
        <v>1</v>
      </c>
      <c r="C4326" s="221">
        <v>25</v>
      </c>
      <c r="D4326" s="221">
        <f t="shared" si="465"/>
        <v>45316</v>
      </c>
      <c r="E4326" s="233">
        <f t="shared" si="469"/>
        <v>45316</v>
      </c>
      <c r="F4326" s="478" t="s">
        <v>1685</v>
      </c>
      <c r="G4326" s="222" t="s">
        <v>86</v>
      </c>
      <c r="H4326" s="222" t="str" cm="1">
        <f t="array" ref="H4326">IFERROR(INDEX(INVESTOR_LIST[INVESTOR NAME],MATCH(I4326,INVESTOR_LIST[INVESTOR CODE],0),)," ")</f>
        <v xml:space="preserve"> </v>
      </c>
      <c r="I4326" s="223"/>
      <c r="J4326" s="224" t="s">
        <v>80</v>
      </c>
      <c r="K4326" s="225">
        <v>18900</v>
      </c>
      <c r="L4326" s="225"/>
    </row>
    <row r="4327" spans="1:12" ht="11.25" customHeight="1" x14ac:dyDescent="0.2">
      <c r="A4327" s="164">
        <v>2024</v>
      </c>
      <c r="B4327" s="164">
        <v>1</v>
      </c>
      <c r="C4327" s="164">
        <v>25</v>
      </c>
      <c r="D4327" s="164">
        <f t="shared" si="465"/>
        <v>45316</v>
      </c>
      <c r="E4327" s="235">
        <f t="shared" si="469"/>
        <v>45316</v>
      </c>
      <c r="F4327" s="480"/>
      <c r="G4327" s="208" t="s">
        <v>86</v>
      </c>
      <c r="H4327" s="208"/>
      <c r="J4327" s="165" t="s">
        <v>960</v>
      </c>
      <c r="K4327" s="205">
        <v>5279.32</v>
      </c>
      <c r="L4327" s="205"/>
    </row>
    <row r="4328" spans="1:12" ht="11.25" customHeight="1" x14ac:dyDescent="0.2">
      <c r="A4328" s="164">
        <v>2024</v>
      </c>
      <c r="B4328" s="164">
        <v>1</v>
      </c>
      <c r="C4328" s="164">
        <v>25</v>
      </c>
      <c r="D4328" s="164">
        <f t="shared" si="465"/>
        <v>45316</v>
      </c>
      <c r="E4328" s="235">
        <f t="shared" si="469"/>
        <v>45316</v>
      </c>
      <c r="F4328" s="480"/>
      <c r="G4328" s="208" t="s">
        <v>86</v>
      </c>
      <c r="H4328" s="208"/>
      <c r="J4328" s="165" t="s">
        <v>199</v>
      </c>
      <c r="K4328" s="263">
        <v>2889880.58</v>
      </c>
      <c r="L4328" s="205"/>
    </row>
    <row r="4329" spans="1:12" ht="11.25" customHeight="1" x14ac:dyDescent="0.2">
      <c r="A4329" s="164">
        <v>2024</v>
      </c>
      <c r="B4329" s="164">
        <v>1</v>
      </c>
      <c r="C4329" s="164">
        <v>25</v>
      </c>
      <c r="D4329" s="164">
        <f t="shared" si="465"/>
        <v>45316</v>
      </c>
      <c r="E4329" s="235">
        <f t="shared" si="469"/>
        <v>45316</v>
      </c>
      <c r="F4329" s="480"/>
      <c r="G4329" s="208" t="s">
        <v>86</v>
      </c>
      <c r="H4329" s="208"/>
      <c r="J4329" s="165" t="s">
        <v>200</v>
      </c>
      <c r="K4329" s="263">
        <v>864933.63</v>
      </c>
      <c r="L4329" s="156"/>
    </row>
    <row r="4330" spans="1:12" ht="11.25" customHeight="1" x14ac:dyDescent="0.2">
      <c r="A4330" s="226">
        <v>2024</v>
      </c>
      <c r="B4330" s="226">
        <v>1</v>
      </c>
      <c r="C4330" s="226">
        <v>25</v>
      </c>
      <c r="D4330" s="226">
        <f t="shared" si="465"/>
        <v>45316</v>
      </c>
      <c r="E4330" s="234">
        <f t="shared" si="469"/>
        <v>45316</v>
      </c>
      <c r="F4330" s="479"/>
      <c r="G4330" s="227" t="s">
        <v>86</v>
      </c>
      <c r="H4330" s="228" t="str" cm="1">
        <f t="array" ref="H4330">IFERROR(INDEX(INVESTOR_LIST[INVESTOR NAME],MATCH(I4330,INVESTOR_LIST[INVESTOR CODE],0),)," ")</f>
        <v xml:space="preserve"> </v>
      </c>
      <c r="I4330" s="228"/>
      <c r="J4330" s="229" t="s">
        <v>80</v>
      </c>
      <c r="K4330" s="230"/>
      <c r="L4330" s="230">
        <v>3778993.53</v>
      </c>
    </row>
    <row r="4331" spans="1:12" ht="11.25" customHeight="1" x14ac:dyDescent="0.2">
      <c r="A4331" s="221">
        <v>2024</v>
      </c>
      <c r="B4331" s="221">
        <v>1</v>
      </c>
      <c r="C4331" s="221">
        <v>25</v>
      </c>
      <c r="D4331" s="231">
        <f t="shared" si="465"/>
        <v>45316</v>
      </c>
      <c r="E4331" s="233">
        <f t="shared" ref="E4331:E4338" si="470">DATE(A4331,B4331,C4331)</f>
        <v>45316</v>
      </c>
      <c r="F4331" s="478" t="s">
        <v>1590</v>
      </c>
      <c r="G4331" s="222" t="s">
        <v>1111</v>
      </c>
      <c r="H4331" s="223" t="str" cm="1">
        <f t="array" ref="H4331">IFERROR(INDEX(INVESTOR_LIST[INVESTOR NAME],MATCH(I4331,INVESTOR_LIST[INVESTOR CODE],0),)," ")</f>
        <v xml:space="preserve"> </v>
      </c>
      <c r="I4331" s="223"/>
      <c r="J4331" s="224" t="s">
        <v>55</v>
      </c>
      <c r="K4331" s="225">
        <v>259032.9</v>
      </c>
      <c r="L4331" s="225"/>
    </row>
    <row r="4332" spans="1:12" ht="11.25" customHeight="1" x14ac:dyDescent="0.2">
      <c r="A4332" s="226">
        <v>2024</v>
      </c>
      <c r="B4332" s="226">
        <v>1</v>
      </c>
      <c r="C4332" s="226">
        <v>25</v>
      </c>
      <c r="D4332" s="232">
        <f t="shared" si="465"/>
        <v>45316</v>
      </c>
      <c r="E4332" s="234">
        <f t="shared" si="470"/>
        <v>45316</v>
      </c>
      <c r="F4332" s="479"/>
      <c r="G4332" s="227" t="s">
        <v>1111</v>
      </c>
      <c r="H4332" s="228" t="str" cm="1">
        <f t="array" ref="H4332">IFERROR(INDEX(INVESTOR_LIST[INVESTOR NAME],MATCH(I4332,INVESTOR_LIST[INVESTOR CODE],0),)," ")</f>
        <v xml:space="preserve"> </v>
      </c>
      <c r="I4332" s="228"/>
      <c r="J4332" s="229" t="s">
        <v>199</v>
      </c>
      <c r="K4332" s="230"/>
      <c r="L4332" s="230">
        <v>259032.9</v>
      </c>
    </row>
    <row r="4333" spans="1:12" ht="11.25" customHeight="1" x14ac:dyDescent="0.2">
      <c r="A4333" s="221">
        <v>2024</v>
      </c>
      <c r="B4333" s="221">
        <v>1</v>
      </c>
      <c r="C4333" s="221">
        <v>25</v>
      </c>
      <c r="D4333" s="231">
        <f t="shared" si="465"/>
        <v>45316</v>
      </c>
      <c r="E4333" s="233">
        <f t="shared" si="470"/>
        <v>45316</v>
      </c>
      <c r="F4333" s="478" t="s">
        <v>1590</v>
      </c>
      <c r="G4333" s="222" t="s">
        <v>1111</v>
      </c>
      <c r="H4333" s="223" t="str" cm="1">
        <f t="array" ref="H4333">IFERROR(INDEX(INVESTOR_LIST[INVESTOR NAME],MATCH(I4333,INVESTOR_LIST[INVESTOR CODE],0),)," ")</f>
        <v xml:space="preserve"> </v>
      </c>
      <c r="I4333" s="223"/>
      <c r="J4333" s="224" t="s">
        <v>55</v>
      </c>
      <c r="K4333" s="225">
        <v>769312.74</v>
      </c>
      <c r="L4333" s="225"/>
    </row>
    <row r="4334" spans="1:12" ht="11.25" customHeight="1" x14ac:dyDescent="0.2">
      <c r="A4334" s="226">
        <v>2024</v>
      </c>
      <c r="B4334" s="226">
        <v>1</v>
      </c>
      <c r="C4334" s="226">
        <v>25</v>
      </c>
      <c r="D4334" s="232">
        <f t="shared" si="465"/>
        <v>45316</v>
      </c>
      <c r="E4334" s="234">
        <f t="shared" si="470"/>
        <v>45316</v>
      </c>
      <c r="F4334" s="479"/>
      <c r="G4334" s="227" t="s">
        <v>1111</v>
      </c>
      <c r="H4334" s="228" t="str" cm="1">
        <f t="array" ref="H4334">IFERROR(INDEX(INVESTOR_LIST[INVESTOR NAME],MATCH(I4334,INVESTOR_LIST[INVESTOR CODE],0),)," ")</f>
        <v xml:space="preserve"> </v>
      </c>
      <c r="I4334" s="228"/>
      <c r="J4334" s="229" t="s">
        <v>199</v>
      </c>
      <c r="K4334" s="230"/>
      <c r="L4334" s="230">
        <v>769312.74</v>
      </c>
    </row>
    <row r="4335" spans="1:12" ht="11.25" customHeight="1" x14ac:dyDescent="0.2">
      <c r="A4335" s="221">
        <v>2024</v>
      </c>
      <c r="B4335" s="221">
        <v>1</v>
      </c>
      <c r="C4335" s="221">
        <v>25</v>
      </c>
      <c r="D4335" s="231">
        <f t="shared" si="465"/>
        <v>45316</v>
      </c>
      <c r="E4335" s="233">
        <f t="shared" si="470"/>
        <v>45316</v>
      </c>
      <c r="F4335" s="478" t="s">
        <v>1590</v>
      </c>
      <c r="G4335" s="222" t="s">
        <v>1111</v>
      </c>
      <c r="H4335" s="223" t="str" cm="1">
        <f t="array" ref="H4335">IFERROR(INDEX(INVESTOR_LIST[INVESTOR NAME],MATCH(I4335,INVESTOR_LIST[INVESTOR CODE],0),)," ")</f>
        <v xml:space="preserve"> </v>
      </c>
      <c r="I4335" s="223"/>
      <c r="J4335" s="224" t="s">
        <v>55</v>
      </c>
      <c r="K4335" s="225">
        <v>524554.1</v>
      </c>
      <c r="L4335" s="225"/>
    </row>
    <row r="4336" spans="1:12" ht="11.25" customHeight="1" x14ac:dyDescent="0.2">
      <c r="A4336" s="226">
        <v>2024</v>
      </c>
      <c r="B4336" s="226">
        <v>1</v>
      </c>
      <c r="C4336" s="226">
        <v>25</v>
      </c>
      <c r="D4336" s="232">
        <f t="shared" si="465"/>
        <v>45316</v>
      </c>
      <c r="E4336" s="234">
        <f t="shared" si="470"/>
        <v>45316</v>
      </c>
      <c r="F4336" s="479"/>
      <c r="G4336" s="227" t="s">
        <v>1111</v>
      </c>
      <c r="H4336" s="228" t="str" cm="1">
        <f t="array" ref="H4336">IFERROR(INDEX(INVESTOR_LIST[INVESTOR NAME],MATCH(I4336,INVESTOR_LIST[INVESTOR CODE],0),)," ")</f>
        <v xml:space="preserve"> </v>
      </c>
      <c r="I4336" s="228"/>
      <c r="J4336" s="229" t="s">
        <v>199</v>
      </c>
      <c r="K4336" s="230"/>
      <c r="L4336" s="230">
        <v>524554.1</v>
      </c>
    </row>
    <row r="4337" spans="1:13" ht="11.25" customHeight="1" x14ac:dyDescent="0.2">
      <c r="A4337" s="221">
        <v>2024</v>
      </c>
      <c r="B4337" s="221">
        <v>1</v>
      </c>
      <c r="C4337" s="221">
        <v>25</v>
      </c>
      <c r="D4337" s="231">
        <f t="shared" si="465"/>
        <v>45316</v>
      </c>
      <c r="E4337" s="233">
        <f t="shared" si="470"/>
        <v>45316</v>
      </c>
      <c r="F4337" s="478" t="s">
        <v>1590</v>
      </c>
      <c r="G4337" s="222" t="s">
        <v>1111</v>
      </c>
      <c r="H4337" s="223" t="str" cm="1">
        <f t="array" ref="H4337">IFERROR(INDEX(INVESTOR_LIST[INVESTOR NAME],MATCH(I4337,INVESTOR_LIST[INVESTOR CODE],0),)," ")</f>
        <v xml:space="preserve"> </v>
      </c>
      <c r="I4337" s="223"/>
      <c r="J4337" s="224" t="s">
        <v>55</v>
      </c>
      <c r="K4337" s="225">
        <v>109912.8</v>
      </c>
      <c r="L4337" s="225"/>
    </row>
    <row r="4338" spans="1:13" ht="11.25" customHeight="1" x14ac:dyDescent="0.2">
      <c r="A4338" s="226">
        <v>2024</v>
      </c>
      <c r="B4338" s="226">
        <v>1</v>
      </c>
      <c r="C4338" s="226">
        <v>25</v>
      </c>
      <c r="D4338" s="232">
        <f t="shared" si="465"/>
        <v>45316</v>
      </c>
      <c r="E4338" s="234">
        <f t="shared" si="470"/>
        <v>45316</v>
      </c>
      <c r="F4338" s="479"/>
      <c r="G4338" s="227" t="s">
        <v>1111</v>
      </c>
      <c r="H4338" s="228" t="str" cm="1">
        <f t="array" ref="H4338">IFERROR(INDEX(INVESTOR_LIST[INVESTOR NAME],MATCH(I4338,INVESTOR_LIST[INVESTOR CODE],0),)," ")</f>
        <v xml:space="preserve"> </v>
      </c>
      <c r="I4338" s="228"/>
      <c r="J4338" s="229" t="s">
        <v>199</v>
      </c>
      <c r="K4338" s="230"/>
      <c r="L4338" s="230">
        <v>109912.8</v>
      </c>
    </row>
    <row r="4339" spans="1:13" ht="11.25" customHeight="1" x14ac:dyDescent="0.2">
      <c r="A4339" s="280">
        <v>2024</v>
      </c>
      <c r="B4339" s="280">
        <v>1</v>
      </c>
      <c r="C4339" s="280">
        <v>25</v>
      </c>
      <c r="D4339" s="281">
        <f t="shared" si="465"/>
        <v>45316</v>
      </c>
      <c r="E4339" s="282">
        <f t="shared" si="469"/>
        <v>45316</v>
      </c>
      <c r="F4339" s="472" t="s">
        <v>1369</v>
      </c>
      <c r="G4339" s="283" t="s">
        <v>86</v>
      </c>
      <c r="H4339" s="284" t="str" cm="1">
        <f t="array" ref="H4339">IFERROR(INDEX(INVESTOR_LIST[INVESTOR NAME],MATCH(I4339,INVESTOR_LIST[INVESTOR CODE],0),)," ")</f>
        <v xml:space="preserve"> </v>
      </c>
      <c r="I4339" s="284"/>
      <c r="J4339" s="285" t="s">
        <v>131</v>
      </c>
      <c r="K4339" s="286">
        <v>5509.6153846153848</v>
      </c>
      <c r="L4339" s="286"/>
    </row>
    <row r="4340" spans="1:13" ht="11.25" customHeight="1" x14ac:dyDescent="0.2">
      <c r="A4340" s="287">
        <v>2024</v>
      </c>
      <c r="B4340" s="287">
        <v>1</v>
      </c>
      <c r="C4340" s="287">
        <v>25</v>
      </c>
      <c r="D4340" s="288">
        <f t="shared" si="465"/>
        <v>45316</v>
      </c>
      <c r="E4340" s="289">
        <f t="shared" si="469"/>
        <v>45316</v>
      </c>
      <c r="F4340" s="473"/>
      <c r="G4340" s="290" t="s">
        <v>86</v>
      </c>
      <c r="H4340" s="291" t="str" cm="1">
        <f t="array" ref="H4340">IFERROR(INDEX(INVESTOR_LIST[INVESTOR NAME],MATCH(I4340,INVESTOR_LIST[INVESTOR CODE],0),)," ")</f>
        <v xml:space="preserve"> </v>
      </c>
      <c r="I4340" s="291"/>
      <c r="J4340" s="292" t="s">
        <v>174</v>
      </c>
      <c r="K4340" s="293"/>
      <c r="L4340" s="293">
        <v>5509.6153846153848</v>
      </c>
    </row>
    <row r="4341" spans="1:13" ht="11.25" customHeight="1" x14ac:dyDescent="0.2">
      <c r="A4341" s="280">
        <v>2024</v>
      </c>
      <c r="B4341" s="280">
        <v>1</v>
      </c>
      <c r="C4341" s="280">
        <v>25</v>
      </c>
      <c r="D4341" s="281">
        <f t="shared" si="465"/>
        <v>45316</v>
      </c>
      <c r="E4341" s="282">
        <f t="shared" si="469"/>
        <v>45316</v>
      </c>
      <c r="F4341" s="472" t="s">
        <v>1584</v>
      </c>
      <c r="G4341" s="283" t="s">
        <v>86</v>
      </c>
      <c r="H4341" s="284" t="str" cm="1">
        <f t="array" ref="H4341">IFERROR(INDEX(INVESTOR_LIST[INVESTOR NAME],MATCH(I4341,INVESTOR_LIST[INVESTOR CODE],0),)," ")</f>
        <v xml:space="preserve"> </v>
      </c>
      <c r="I4341" s="284"/>
      <c r="J4341" s="285" t="s">
        <v>131</v>
      </c>
      <c r="K4341" s="286">
        <v>7307.6923076923076</v>
      </c>
      <c r="L4341" s="286"/>
    </row>
    <row r="4342" spans="1:13" ht="11.25" customHeight="1" x14ac:dyDescent="0.2">
      <c r="A4342" s="287">
        <v>2024</v>
      </c>
      <c r="B4342" s="287">
        <v>1</v>
      </c>
      <c r="C4342" s="287">
        <v>25</v>
      </c>
      <c r="D4342" s="288">
        <f t="shared" si="465"/>
        <v>45316</v>
      </c>
      <c r="E4342" s="289">
        <f t="shared" si="469"/>
        <v>45316</v>
      </c>
      <c r="F4342" s="473"/>
      <c r="G4342" s="290" t="s">
        <v>86</v>
      </c>
      <c r="H4342" s="291" t="str" cm="1">
        <f t="array" ref="H4342">IFERROR(INDEX(INVESTOR_LIST[INVESTOR NAME],MATCH(I4342,INVESTOR_LIST[INVESTOR CODE],0),)," ")</f>
        <v xml:space="preserve"> </v>
      </c>
      <c r="I4342" s="291"/>
      <c r="J4342" s="292" t="s">
        <v>174</v>
      </c>
      <c r="K4342" s="293"/>
      <c r="L4342" s="293">
        <v>7307.6923076923076</v>
      </c>
    </row>
    <row r="4343" spans="1:13" ht="11.25" customHeight="1" x14ac:dyDescent="0.2">
      <c r="A4343" s="358">
        <v>2024</v>
      </c>
      <c r="B4343" s="358">
        <v>1</v>
      </c>
      <c r="C4343" s="358">
        <v>25</v>
      </c>
      <c r="D4343" s="312">
        <f t="shared" si="465"/>
        <v>45316</v>
      </c>
      <c r="E4343" s="313">
        <f t="shared" si="469"/>
        <v>45316</v>
      </c>
      <c r="F4343" s="482" t="s">
        <v>1627</v>
      </c>
      <c r="G4343" s="314" t="s">
        <v>86</v>
      </c>
      <c r="H4343" s="324" t="str" cm="1">
        <f t="array" ref="H4343">IFERROR(INDEX(INVESTOR_LIST[INVESTOR NAME],MATCH(I4343,INVESTOR_LIST[INVESTOR CODE],0),)," ")</f>
        <v xml:space="preserve"> </v>
      </c>
      <c r="I4343" s="324"/>
      <c r="J4343" s="364" t="s">
        <v>1621</v>
      </c>
      <c r="K4343" s="365">
        <v>79586.600000008941</v>
      </c>
      <c r="L4343" s="365"/>
    </row>
    <row r="4344" spans="1:13" ht="11.25" customHeight="1" x14ac:dyDescent="0.2">
      <c r="A4344" s="320">
        <v>2024</v>
      </c>
      <c r="B4344" s="320">
        <v>1</v>
      </c>
      <c r="C4344" s="320">
        <v>25</v>
      </c>
      <c r="D4344" s="323">
        <f t="shared" si="465"/>
        <v>45316</v>
      </c>
      <c r="E4344" s="321">
        <f t="shared" si="469"/>
        <v>45316</v>
      </c>
      <c r="F4344" s="483"/>
      <c r="G4344" s="322" t="s">
        <v>86</v>
      </c>
      <c r="H4344" s="325" t="str" cm="1">
        <f t="array" ref="H4344">IFERROR(INDEX(INVESTOR_LIST[INVESTOR NAME],MATCH(I4344,INVESTOR_LIST[INVESTOR CODE],0),)," ")</f>
        <v xml:space="preserve"> </v>
      </c>
      <c r="I4344" s="325"/>
      <c r="J4344" s="366" t="s">
        <v>1613</v>
      </c>
      <c r="K4344" s="367"/>
      <c r="L4344" s="367">
        <v>79586.600000008941</v>
      </c>
    </row>
    <row r="4345" spans="1:13" ht="11.25" customHeight="1" x14ac:dyDescent="0.2">
      <c r="A4345" s="236">
        <v>2024</v>
      </c>
      <c r="B4345" s="236">
        <v>1</v>
      </c>
      <c r="C4345" s="236">
        <v>25</v>
      </c>
      <c r="D4345" s="237">
        <f t="shared" si="465"/>
        <v>45316</v>
      </c>
      <c r="E4345" s="238">
        <f t="shared" si="469"/>
        <v>45316</v>
      </c>
      <c r="F4345" s="476" t="s">
        <v>1118</v>
      </c>
      <c r="G4345" s="239" t="s">
        <v>86</v>
      </c>
      <c r="H4345" s="239" t="str" cm="1">
        <f t="array" ref="H4345">IFERROR(INDEX(INVESTOR_LIST[INVESTOR NAME],MATCH(I4345,INVESTOR_LIST[INVESTOR CODE],0),)," ")</f>
        <v xml:space="preserve"> </v>
      </c>
      <c r="I4345" s="240"/>
      <c r="J4345" s="241" t="s">
        <v>82</v>
      </c>
      <c r="K4345" s="242">
        <v>93637.399999991059</v>
      </c>
      <c r="L4345" s="242"/>
    </row>
    <row r="4346" spans="1:13" ht="11.25" customHeight="1" x14ac:dyDescent="0.2">
      <c r="A4346" s="243">
        <v>2024</v>
      </c>
      <c r="B4346" s="243">
        <v>1</v>
      </c>
      <c r="C4346" s="243">
        <v>25</v>
      </c>
      <c r="D4346" s="248">
        <f t="shared" si="465"/>
        <v>45316</v>
      </c>
      <c r="E4346" s="249">
        <f t="shared" si="469"/>
        <v>45316</v>
      </c>
      <c r="F4346" s="477"/>
      <c r="G4346" s="244" t="s">
        <v>86</v>
      </c>
      <c r="H4346" s="244" t="str" cm="1">
        <f t="array" ref="H4346">IFERROR(INDEX(INVESTOR_LIST[INVESTOR NAME],MATCH(I4346,INVESTOR_LIST[INVESTOR CODE],0),)," ")</f>
        <v xml:space="preserve"> </v>
      </c>
      <c r="I4346" s="245"/>
      <c r="J4346" s="246" t="s">
        <v>98</v>
      </c>
      <c r="K4346" s="247"/>
      <c r="L4346" s="247">
        <v>93637.399999991059</v>
      </c>
    </row>
    <row r="4347" spans="1:13" ht="11.25" customHeight="1" x14ac:dyDescent="0.2">
      <c r="A4347" s="236">
        <v>2024</v>
      </c>
      <c r="B4347" s="236">
        <v>1</v>
      </c>
      <c r="C4347" s="236">
        <v>25</v>
      </c>
      <c r="D4347" s="237">
        <f t="shared" si="465"/>
        <v>45316</v>
      </c>
      <c r="E4347" s="238">
        <f t="shared" si="469"/>
        <v>45316</v>
      </c>
      <c r="F4347" s="476" t="s">
        <v>1120</v>
      </c>
      <c r="G4347" s="239" t="s">
        <v>86</v>
      </c>
      <c r="H4347" s="239" t="str" cm="1">
        <f t="array" ref="H4347">IFERROR(INDEX(INVESTOR_LIST[INVESTOR NAME],MATCH(I4347,INVESTOR_LIST[INVESTOR CODE],0),)," ")</f>
        <v xml:space="preserve"> </v>
      </c>
      <c r="I4347" s="240"/>
      <c r="J4347" s="241" t="s">
        <v>87</v>
      </c>
      <c r="K4347" s="242">
        <f>M4347</f>
        <v>2747.2527472527472</v>
      </c>
      <c r="L4347" s="242"/>
      <c r="M4347" s="156">
        <v>2747.2527472527472</v>
      </c>
    </row>
    <row r="4348" spans="1:13" ht="11.25" customHeight="1" x14ac:dyDescent="0.2">
      <c r="A4348" s="243">
        <v>2024</v>
      </c>
      <c r="B4348" s="243">
        <v>1</v>
      </c>
      <c r="C4348" s="243">
        <v>25</v>
      </c>
      <c r="D4348" s="248">
        <f t="shared" si="465"/>
        <v>45316</v>
      </c>
      <c r="E4348" s="249">
        <f t="shared" si="469"/>
        <v>45316</v>
      </c>
      <c r="F4348" s="477"/>
      <c r="G4348" s="244" t="s">
        <v>86</v>
      </c>
      <c r="H4348" s="244" t="str" cm="1">
        <f t="array" ref="H4348">IFERROR(INDEX(INVESTOR_LIST[INVESTOR NAME],MATCH(I4348,INVESTOR_LIST[INVESTOR CODE],0),)," ")</f>
        <v xml:space="preserve"> </v>
      </c>
      <c r="I4348" s="245"/>
      <c r="J4348" s="246" t="s">
        <v>64</v>
      </c>
      <c r="K4348" s="247"/>
      <c r="L4348" s="247">
        <f>K4347</f>
        <v>2747.2527472527472</v>
      </c>
      <c r="M4348" s="156">
        <v>64373.325572852933</v>
      </c>
    </row>
    <row r="4349" spans="1:13" ht="11.25" customHeight="1" x14ac:dyDescent="0.2">
      <c r="A4349" s="236">
        <v>2024</v>
      </c>
      <c r="B4349" s="236">
        <v>1</v>
      </c>
      <c r="C4349" s="236">
        <v>25</v>
      </c>
      <c r="D4349" s="237">
        <f t="shared" si="465"/>
        <v>45316</v>
      </c>
      <c r="E4349" s="238">
        <f t="shared" si="469"/>
        <v>45316</v>
      </c>
      <c r="F4349" s="476" t="s">
        <v>1121</v>
      </c>
      <c r="G4349" s="239" t="s">
        <v>86</v>
      </c>
      <c r="H4349" s="239" t="str" cm="1">
        <f t="array" ref="H4349">IFERROR(INDEX(INVESTOR_LIST[INVESTOR NAME],MATCH(I4349,INVESTOR_LIST[INVESTOR CODE],0),)," ")</f>
        <v xml:space="preserve"> </v>
      </c>
      <c r="I4349" s="240"/>
      <c r="J4349" s="241" t="s">
        <v>89</v>
      </c>
      <c r="K4349" s="242">
        <f>M4348</f>
        <v>64373.325572852933</v>
      </c>
      <c r="L4349" s="242"/>
      <c r="M4349" s="156">
        <v>3218.6662786426464</v>
      </c>
    </row>
    <row r="4350" spans="1:13" ht="11.25" customHeight="1" x14ac:dyDescent="0.2">
      <c r="A4350" s="243">
        <v>2024</v>
      </c>
      <c r="B4350" s="243">
        <v>1</v>
      </c>
      <c r="C4350" s="243">
        <v>25</v>
      </c>
      <c r="D4350" s="248">
        <f t="shared" si="465"/>
        <v>45316</v>
      </c>
      <c r="E4350" s="249">
        <f t="shared" si="469"/>
        <v>45316</v>
      </c>
      <c r="F4350" s="477"/>
      <c r="G4350" s="244" t="s">
        <v>86</v>
      </c>
      <c r="H4350" s="244" t="str" cm="1">
        <f t="array" ref="H4350">IFERROR(INDEX(INVESTOR_LIST[INVESTOR NAME],MATCH(I4350,INVESTOR_LIST[INVESTOR CODE],0),)," ")</f>
        <v xml:space="preserve"> </v>
      </c>
      <c r="I4350" s="245"/>
      <c r="J4350" s="246" t="s">
        <v>50</v>
      </c>
      <c r="K4350" s="247"/>
      <c r="L4350" s="247">
        <f>K4349</f>
        <v>64373.325572852933</v>
      </c>
    </row>
    <row r="4351" spans="1:13" ht="11.25" customHeight="1" x14ac:dyDescent="0.2">
      <c r="A4351" s="236">
        <v>2024</v>
      </c>
      <c r="B4351" s="236">
        <v>1</v>
      </c>
      <c r="C4351" s="236">
        <v>25</v>
      </c>
      <c r="D4351" s="237">
        <f t="shared" si="465"/>
        <v>45316</v>
      </c>
      <c r="E4351" s="238">
        <f t="shared" si="469"/>
        <v>45316</v>
      </c>
      <c r="F4351" s="476" t="s">
        <v>1122</v>
      </c>
      <c r="G4351" s="239" t="s">
        <v>86</v>
      </c>
      <c r="H4351" s="239" t="str" cm="1">
        <f t="array" ref="H4351">IFERROR(INDEX(INVESTOR_LIST[INVESTOR NAME],MATCH(I4351,INVESTOR_LIST[INVESTOR CODE],0),)," ")</f>
        <v xml:space="preserve"> </v>
      </c>
      <c r="I4351" s="240"/>
      <c r="J4351" s="241" t="s">
        <v>91</v>
      </c>
      <c r="K4351" s="242">
        <f>M4349</f>
        <v>3218.6662786426464</v>
      </c>
      <c r="L4351" s="242"/>
    </row>
    <row r="4352" spans="1:13" ht="11.25" customHeight="1" x14ac:dyDescent="0.2">
      <c r="A4352" s="243">
        <v>2024</v>
      </c>
      <c r="B4352" s="243">
        <v>1</v>
      </c>
      <c r="C4352" s="243">
        <v>25</v>
      </c>
      <c r="D4352" s="248">
        <f t="shared" si="465"/>
        <v>45316</v>
      </c>
      <c r="E4352" s="249">
        <f t="shared" si="469"/>
        <v>45316</v>
      </c>
      <c r="F4352" s="477"/>
      <c r="G4352" s="244" t="s">
        <v>86</v>
      </c>
      <c r="H4352" s="244" t="str" cm="1">
        <f t="array" ref="H4352">IFERROR(INDEX(INVESTOR_LIST[INVESTOR NAME],MATCH(I4352,INVESTOR_LIST[INVESTOR CODE],0),)," ")</f>
        <v xml:space="preserve"> </v>
      </c>
      <c r="I4352" s="245"/>
      <c r="J4352" s="246" t="s">
        <v>51</v>
      </c>
      <c r="K4352" s="247"/>
      <c r="L4352" s="247">
        <f>K4351</f>
        <v>3218.6662786426464</v>
      </c>
    </row>
    <row r="4353" spans="1:13" ht="11.25" customHeight="1" x14ac:dyDescent="0.2">
      <c r="A4353" s="221">
        <v>2024</v>
      </c>
      <c r="B4353" s="221">
        <v>1</v>
      </c>
      <c r="C4353" s="221">
        <v>28</v>
      </c>
      <c r="D4353" s="231">
        <f t="shared" si="465"/>
        <v>45319</v>
      </c>
      <c r="E4353" s="233">
        <f t="shared" si="469"/>
        <v>45319</v>
      </c>
      <c r="F4353" s="478" t="s">
        <v>1132</v>
      </c>
      <c r="G4353" s="222" t="s">
        <v>1111</v>
      </c>
      <c r="H4353" s="223" t="str" cm="1">
        <f t="array" ref="H4353">IFERROR(INDEX(INVESTOR_LIST[INVESTOR NAME],MATCH(I4353,INVESTOR_LIST[INVESTOR CODE],0),)," ")</f>
        <v xml:space="preserve"> </v>
      </c>
      <c r="I4353" s="223"/>
      <c r="J4353" s="224" t="s">
        <v>55</v>
      </c>
      <c r="K4353" s="167">
        <v>15000</v>
      </c>
      <c r="L4353" s="225"/>
    </row>
    <row r="4354" spans="1:13" ht="11.25" customHeight="1" x14ac:dyDescent="0.2">
      <c r="A4354" s="164">
        <v>2024</v>
      </c>
      <c r="B4354" s="164">
        <v>1</v>
      </c>
      <c r="C4354" s="164">
        <v>28</v>
      </c>
      <c r="D4354" s="156">
        <f t="shared" si="465"/>
        <v>45319</v>
      </c>
      <c r="E4354" s="235">
        <f t="shared" si="469"/>
        <v>45319</v>
      </c>
      <c r="F4354" s="480"/>
      <c r="G4354" s="208" t="s">
        <v>1111</v>
      </c>
      <c r="H4354" s="206" t="str" cm="1">
        <f t="array" ref="H4354">IFERROR(INDEX(INVESTOR_LIST[INVESTOR NAME],MATCH(I4354,INVESTOR_LIST[INVESTOR CODE],0),)," ")</f>
        <v xml:space="preserve"> </v>
      </c>
      <c r="J4354" s="165" t="s">
        <v>14</v>
      </c>
      <c r="L4354" s="205">
        <v>14490</v>
      </c>
    </row>
    <row r="4355" spans="1:13" ht="11.25" customHeight="1" x14ac:dyDescent="0.2">
      <c r="A4355" s="226">
        <v>2024</v>
      </c>
      <c r="B4355" s="226">
        <v>1</v>
      </c>
      <c r="C4355" s="226">
        <v>28</v>
      </c>
      <c r="D4355" s="232">
        <f t="shared" si="465"/>
        <v>45319</v>
      </c>
      <c r="E4355" s="234">
        <f t="shared" si="469"/>
        <v>45319</v>
      </c>
      <c r="F4355" s="479"/>
      <c r="G4355" s="227" t="s">
        <v>1111</v>
      </c>
      <c r="H4355" s="228" t="str" cm="1">
        <f t="array" ref="H4355">IFERROR(INDEX(INVESTOR_LIST[INVESTOR NAME],MATCH(I4355,INVESTOR_LIST[INVESTOR CODE],0),)," ")</f>
        <v xml:space="preserve"> </v>
      </c>
      <c r="I4355" s="228"/>
      <c r="J4355" s="229" t="s">
        <v>1112</v>
      </c>
      <c r="K4355" s="230"/>
      <c r="L4355" s="230">
        <v>510</v>
      </c>
    </row>
    <row r="4356" spans="1:13" ht="11.25" customHeight="1" x14ac:dyDescent="0.2">
      <c r="A4356" s="221">
        <v>2024</v>
      </c>
      <c r="B4356" s="221">
        <v>1</v>
      </c>
      <c r="C4356" s="221">
        <v>29</v>
      </c>
      <c r="D4356" s="231">
        <f t="shared" si="465"/>
        <v>45320</v>
      </c>
      <c r="E4356" s="233">
        <f t="shared" si="469"/>
        <v>45320</v>
      </c>
      <c r="F4356" s="478" t="s">
        <v>1689</v>
      </c>
      <c r="G4356" s="222" t="s">
        <v>1111</v>
      </c>
      <c r="H4356" s="222" t="str" cm="1">
        <f t="array" ref="H4356">IFERROR(INDEX(INVESTOR_LIST[INVESTOR NAME],MATCH(I4356,INVESTOR_LIST[INVESTOR CODE],0),)," ")</f>
        <v xml:space="preserve"> </v>
      </c>
      <c r="I4356" s="223"/>
      <c r="J4356" s="224" t="s">
        <v>1465</v>
      </c>
      <c r="K4356" s="357">
        <v>31324160</v>
      </c>
      <c r="L4356" s="225"/>
    </row>
    <row r="4357" spans="1:13" ht="11.25" customHeight="1" x14ac:dyDescent="0.2">
      <c r="A4357" s="226">
        <v>2024</v>
      </c>
      <c r="B4357" s="226">
        <v>1</v>
      </c>
      <c r="C4357" s="226">
        <v>29</v>
      </c>
      <c r="D4357" s="226">
        <f t="shared" si="465"/>
        <v>45320</v>
      </c>
      <c r="E4357" s="234">
        <f t="shared" si="469"/>
        <v>45320</v>
      </c>
      <c r="F4357" s="479"/>
      <c r="G4357" s="227" t="s">
        <v>1111</v>
      </c>
      <c r="H4357" s="227"/>
      <c r="I4357" s="228"/>
      <c r="J4357" s="229" t="s">
        <v>55</v>
      </c>
      <c r="K4357" s="294"/>
      <c r="L4357" s="230">
        <v>31324160</v>
      </c>
    </row>
    <row r="4358" spans="1:13" ht="11.25" customHeight="1" x14ac:dyDescent="0.2">
      <c r="A4358" s="221">
        <v>2024</v>
      </c>
      <c r="B4358" s="221">
        <v>1</v>
      </c>
      <c r="C4358" s="221">
        <v>30</v>
      </c>
      <c r="D4358" s="231">
        <f t="shared" si="465"/>
        <v>45321</v>
      </c>
      <c r="E4358" s="233">
        <f t="shared" si="469"/>
        <v>45321</v>
      </c>
      <c r="F4358" s="478" t="s">
        <v>1115</v>
      </c>
      <c r="G4358" s="222" t="s">
        <v>1111</v>
      </c>
      <c r="H4358" s="223" t="str" cm="1">
        <f t="array" ref="H4358">IFERROR(INDEX(INVESTOR_LIST[INVESTOR NAME],MATCH(I4358,INVESTOR_LIST[INVESTOR CODE],0),)," ")</f>
        <v>ASRAAR HOSSAIN</v>
      </c>
      <c r="I4358" s="223" t="s">
        <v>927</v>
      </c>
      <c r="J4358" s="224" t="s">
        <v>14</v>
      </c>
      <c r="K4358" s="225">
        <v>18790</v>
      </c>
      <c r="L4358" s="225"/>
    </row>
    <row r="4359" spans="1:13" ht="11.25" customHeight="1" x14ac:dyDescent="0.2">
      <c r="A4359" s="164">
        <v>2024</v>
      </c>
      <c r="B4359" s="164">
        <v>1</v>
      </c>
      <c r="C4359" s="164">
        <v>30</v>
      </c>
      <c r="D4359" s="156">
        <f t="shared" si="465"/>
        <v>45321</v>
      </c>
      <c r="E4359" s="235">
        <f t="shared" si="469"/>
        <v>45321</v>
      </c>
      <c r="F4359" s="480"/>
      <c r="G4359" s="208" t="s">
        <v>1111</v>
      </c>
      <c r="H4359" s="206" t="str" cm="1">
        <f t="array" ref="H4359">IFERROR(INDEX(INVESTOR_LIST[INVESTOR NAME],MATCH(I4359,INVESTOR_LIST[INVESTOR CODE],0),)," ")</f>
        <v>ASRAAR HOSSAIN</v>
      </c>
      <c r="I4359" s="206" t="s">
        <v>927</v>
      </c>
      <c r="J4359" s="165" t="s">
        <v>1112</v>
      </c>
      <c r="K4359" s="205">
        <v>662.36000000000058</v>
      </c>
    </row>
    <row r="4360" spans="1:13" ht="11.25" customHeight="1" x14ac:dyDescent="0.2">
      <c r="A4360" s="226">
        <v>2024</v>
      </c>
      <c r="B4360" s="226">
        <v>1</v>
      </c>
      <c r="C4360" s="226">
        <v>30</v>
      </c>
      <c r="D4360" s="232">
        <f t="shared" si="465"/>
        <v>45321</v>
      </c>
      <c r="E4360" s="234">
        <f t="shared" si="469"/>
        <v>45321</v>
      </c>
      <c r="F4360" s="479"/>
      <c r="G4360" s="227" t="s">
        <v>1111</v>
      </c>
      <c r="H4360" s="228" t="str" cm="1">
        <f t="array" ref="H4360">IFERROR(INDEX(INVESTOR_LIST[INVESTOR NAME],MATCH(I4360,INVESTOR_LIST[INVESTOR CODE],0),)," ")</f>
        <v>ASRAAR HOSSAIN</v>
      </c>
      <c r="I4360" s="228" t="s">
        <v>927</v>
      </c>
      <c r="J4360" s="229" t="s">
        <v>55</v>
      </c>
      <c r="K4360" s="230"/>
      <c r="L4360" s="230">
        <v>19452.36</v>
      </c>
    </row>
    <row r="4361" spans="1:13" ht="11.25" customHeight="1" x14ac:dyDescent="0.2">
      <c r="A4361" s="221">
        <v>2024</v>
      </c>
      <c r="B4361" s="221">
        <v>1</v>
      </c>
      <c r="C4361" s="221">
        <v>30</v>
      </c>
      <c r="D4361" s="231">
        <f t="shared" ref="D4361:D4424" si="471">DATE(A4361,B4361,C4361)</f>
        <v>45321</v>
      </c>
      <c r="E4361" s="233">
        <f>DATE(A4361,B4361,C4361)</f>
        <v>45321</v>
      </c>
      <c r="F4361" s="478" t="s">
        <v>1590</v>
      </c>
      <c r="G4361" s="222" t="s">
        <v>1111</v>
      </c>
      <c r="H4361" s="223" t="str" cm="1">
        <f t="array" ref="H4361">IFERROR(INDEX(INVESTOR_LIST[INVESTOR NAME],MATCH(I4361,INVESTOR_LIST[INVESTOR CODE],0),)," ")</f>
        <v xml:space="preserve"> </v>
      </c>
      <c r="I4361" s="223"/>
      <c r="J4361" s="224" t="s">
        <v>55</v>
      </c>
      <c r="K4361" s="225">
        <v>2889880.58</v>
      </c>
      <c r="L4361" s="225"/>
    </row>
    <row r="4362" spans="1:13" ht="11.25" customHeight="1" x14ac:dyDescent="0.2">
      <c r="A4362" s="226">
        <v>2024</v>
      </c>
      <c r="B4362" s="226">
        <v>1</v>
      </c>
      <c r="C4362" s="226">
        <v>30</v>
      </c>
      <c r="D4362" s="232">
        <f t="shared" si="471"/>
        <v>45321</v>
      </c>
      <c r="E4362" s="234">
        <f>DATE(A4362,B4362,C4362)</f>
        <v>45321</v>
      </c>
      <c r="F4362" s="479"/>
      <c r="G4362" s="227" t="s">
        <v>1111</v>
      </c>
      <c r="H4362" s="228" t="str" cm="1">
        <f t="array" ref="H4362">IFERROR(INDEX(INVESTOR_LIST[INVESTOR NAME],MATCH(I4362,INVESTOR_LIST[INVESTOR CODE],0),)," ")</f>
        <v xml:space="preserve"> </v>
      </c>
      <c r="I4362" s="228"/>
      <c r="J4362" s="229" t="s">
        <v>199</v>
      </c>
      <c r="K4362" s="230"/>
      <c r="L4362" s="230">
        <v>2889880.58</v>
      </c>
    </row>
    <row r="4363" spans="1:13" ht="11.25" customHeight="1" x14ac:dyDescent="0.2">
      <c r="A4363" s="221">
        <v>2024</v>
      </c>
      <c r="B4363" s="221">
        <v>1</v>
      </c>
      <c r="C4363" s="221">
        <v>30</v>
      </c>
      <c r="D4363" s="231">
        <f t="shared" si="471"/>
        <v>45321</v>
      </c>
      <c r="E4363" s="233">
        <f t="shared" ref="E4363:E4367" si="472">DATE(A4363,B4363,C4363)</f>
        <v>45321</v>
      </c>
      <c r="F4363" s="478" t="s">
        <v>1686</v>
      </c>
      <c r="G4363" s="222" t="s">
        <v>1111</v>
      </c>
      <c r="H4363" s="223" t="str" cm="1">
        <f t="array" ref="H4363">IFERROR(INDEX(INVESTOR_LIST[INVESTOR NAME],MATCH(I4363,INVESTOR_LIST[INVESTOR CODE],0),)," ")</f>
        <v xml:space="preserve"> </v>
      </c>
      <c r="I4363" s="223"/>
      <c r="J4363" s="224" t="s">
        <v>55</v>
      </c>
      <c r="K4363" s="225">
        <v>1022875</v>
      </c>
      <c r="L4363" s="225"/>
    </row>
    <row r="4364" spans="1:13" ht="11.25" customHeight="1" x14ac:dyDescent="0.2">
      <c r="A4364" s="164">
        <v>2024</v>
      </c>
      <c r="B4364" s="164">
        <v>1</v>
      </c>
      <c r="C4364" s="164">
        <v>30</v>
      </c>
      <c r="D4364" s="156">
        <f t="shared" si="471"/>
        <v>45321</v>
      </c>
      <c r="E4364" s="235">
        <f t="shared" si="472"/>
        <v>45321</v>
      </c>
      <c r="F4364" s="480"/>
      <c r="G4364" s="208" t="s">
        <v>1111</v>
      </c>
      <c r="J4364" s="165" t="s">
        <v>63</v>
      </c>
      <c r="K4364" s="205">
        <v>1000</v>
      </c>
      <c r="L4364" s="205"/>
    </row>
    <row r="4365" spans="1:13" ht="11.25" customHeight="1" x14ac:dyDescent="0.2">
      <c r="A4365" s="164">
        <v>2024</v>
      </c>
      <c r="B4365" s="164">
        <v>1</v>
      </c>
      <c r="C4365" s="164">
        <v>30</v>
      </c>
      <c r="D4365" s="156">
        <f t="shared" si="471"/>
        <v>45321</v>
      </c>
      <c r="E4365" s="235">
        <f t="shared" si="472"/>
        <v>45321</v>
      </c>
      <c r="F4365" s="480"/>
      <c r="G4365" s="208" t="s">
        <v>86</v>
      </c>
      <c r="H4365" s="206" t="str" cm="1">
        <f t="array" ref="H4365">IFERROR(INDEX(INVESTOR_LIST[INVESTOR NAME],MATCH(I4365,INVESTOR_LIST[INVESTOR CODE],0),)," ")</f>
        <v xml:space="preserve"> </v>
      </c>
      <c r="J4365" s="165" t="s">
        <v>174</v>
      </c>
      <c r="K4365" s="205"/>
      <c r="L4365" s="205">
        <v>14518.747818681295</v>
      </c>
    </row>
    <row r="4366" spans="1:13" ht="11.25" customHeight="1" x14ac:dyDescent="0.2">
      <c r="A4366" s="164">
        <v>2024</v>
      </c>
      <c r="B4366" s="164">
        <v>1</v>
      </c>
      <c r="C4366" s="164">
        <v>30</v>
      </c>
      <c r="D4366" s="156">
        <f t="shared" si="471"/>
        <v>45321</v>
      </c>
      <c r="E4366" s="235">
        <f t="shared" si="472"/>
        <v>45321</v>
      </c>
      <c r="F4366" s="480"/>
      <c r="G4366" s="208" t="s">
        <v>1111</v>
      </c>
      <c r="J4366" s="165" t="s">
        <v>131</v>
      </c>
      <c r="K4366" s="205"/>
      <c r="L4366" s="205">
        <v>9356.252181318705</v>
      </c>
      <c r="M4366" s="401"/>
    </row>
    <row r="4367" spans="1:13" ht="11.25" customHeight="1" x14ac:dyDescent="0.2">
      <c r="A4367" s="226">
        <v>2024</v>
      </c>
      <c r="B4367" s="226">
        <v>1</v>
      </c>
      <c r="C4367" s="226">
        <v>30</v>
      </c>
      <c r="D4367" s="232">
        <f t="shared" si="471"/>
        <v>45321</v>
      </c>
      <c r="E4367" s="234">
        <f t="shared" si="472"/>
        <v>45321</v>
      </c>
      <c r="F4367" s="479"/>
      <c r="G4367" s="227" t="s">
        <v>1111</v>
      </c>
      <c r="H4367" s="228" t="str" cm="1">
        <f t="array" ref="H4367">IFERROR(INDEX(INVESTOR_LIST[INVESTOR NAME],MATCH(I4367,INVESTOR_LIST[INVESTOR CODE],0),)," ")</f>
        <v xml:space="preserve"> </v>
      </c>
      <c r="I4367" s="228"/>
      <c r="J4367" s="229" t="s">
        <v>88</v>
      </c>
      <c r="K4367" s="230"/>
      <c r="L4367" s="230">
        <v>1000000</v>
      </c>
    </row>
    <row r="4368" spans="1:13" ht="11.25" customHeight="1" x14ac:dyDescent="0.2">
      <c r="A4368" s="221">
        <v>2024</v>
      </c>
      <c r="B4368" s="221">
        <v>1</v>
      </c>
      <c r="C4368" s="221">
        <v>30</v>
      </c>
      <c r="D4368" s="231">
        <f t="shared" si="471"/>
        <v>45321</v>
      </c>
      <c r="E4368" s="233">
        <f t="shared" ref="E4368:E4371" si="473">DATE(A4368,B4368,C4368)</f>
        <v>45321</v>
      </c>
      <c r="F4368" s="478" t="s">
        <v>1687</v>
      </c>
      <c r="G4368" s="222" t="s">
        <v>1111</v>
      </c>
      <c r="H4368" s="223" t="str" cm="1">
        <f t="array" ref="H4368">IFERROR(INDEX(INVESTOR_LIST[INVESTOR NAME],MATCH(I4368,INVESTOR_LIST[INVESTOR CODE],0),)," ")</f>
        <v xml:space="preserve"> </v>
      </c>
      <c r="I4368" s="223"/>
      <c r="J4368" s="224" t="s">
        <v>55</v>
      </c>
      <c r="K4368" s="225">
        <v>1022875</v>
      </c>
      <c r="L4368" s="225"/>
    </row>
    <row r="4369" spans="1:13" ht="11.25" customHeight="1" x14ac:dyDescent="0.2">
      <c r="A4369" s="164">
        <v>2024</v>
      </c>
      <c r="B4369" s="164">
        <v>1</v>
      </c>
      <c r="C4369" s="164">
        <v>30</v>
      </c>
      <c r="D4369" s="156">
        <f t="shared" si="471"/>
        <v>45321</v>
      </c>
      <c r="E4369" s="235">
        <f t="shared" si="473"/>
        <v>45321</v>
      </c>
      <c r="F4369" s="480"/>
      <c r="G4369" s="208" t="s">
        <v>1111</v>
      </c>
      <c r="J4369" s="165" t="s">
        <v>63</v>
      </c>
      <c r="K4369" s="205">
        <v>1000</v>
      </c>
      <c r="L4369" s="205"/>
    </row>
    <row r="4370" spans="1:13" ht="11.25" customHeight="1" x14ac:dyDescent="0.2">
      <c r="A4370" s="164">
        <v>2024</v>
      </c>
      <c r="B4370" s="164">
        <v>1</v>
      </c>
      <c r="C4370" s="164">
        <v>30</v>
      </c>
      <c r="D4370" s="156">
        <f t="shared" si="471"/>
        <v>45321</v>
      </c>
      <c r="E4370" s="235">
        <f t="shared" si="473"/>
        <v>45321</v>
      </c>
      <c r="F4370" s="480"/>
      <c r="G4370" s="208" t="s">
        <v>1111</v>
      </c>
      <c r="J4370" s="165" t="s">
        <v>131</v>
      </c>
      <c r="K4370" s="205"/>
      <c r="L4370" s="205">
        <v>23875</v>
      </c>
    </row>
    <row r="4371" spans="1:13" ht="11.25" customHeight="1" x14ac:dyDescent="0.2">
      <c r="A4371" s="226">
        <v>2024</v>
      </c>
      <c r="B4371" s="226">
        <v>1</v>
      </c>
      <c r="C4371" s="226">
        <v>30</v>
      </c>
      <c r="D4371" s="232">
        <f t="shared" si="471"/>
        <v>45321</v>
      </c>
      <c r="E4371" s="234">
        <f t="shared" si="473"/>
        <v>45321</v>
      </c>
      <c r="F4371" s="479"/>
      <c r="G4371" s="227" t="s">
        <v>1111</v>
      </c>
      <c r="H4371" s="228" t="str" cm="1">
        <f t="array" ref="H4371">IFERROR(INDEX(INVESTOR_LIST[INVESTOR NAME],MATCH(I4371,INVESTOR_LIST[INVESTOR CODE],0),)," ")</f>
        <v xml:space="preserve"> </v>
      </c>
      <c r="I4371" s="228"/>
      <c r="J4371" s="229" t="s">
        <v>88</v>
      </c>
      <c r="K4371" s="230"/>
      <c r="L4371" s="230">
        <v>1000000</v>
      </c>
    </row>
    <row r="4372" spans="1:13" ht="11.25" customHeight="1" x14ac:dyDescent="0.2">
      <c r="A4372" s="221">
        <v>2024</v>
      </c>
      <c r="B4372" s="221">
        <v>1</v>
      </c>
      <c r="C4372" s="221">
        <v>30</v>
      </c>
      <c r="D4372" s="231">
        <f t="shared" si="471"/>
        <v>45321</v>
      </c>
      <c r="E4372" s="233">
        <f t="shared" ref="E4372:E4411" si="474">DATE(A4372,B4372,C4372)</f>
        <v>45321</v>
      </c>
      <c r="F4372" s="478" t="s">
        <v>1688</v>
      </c>
      <c r="G4372" s="222" t="s">
        <v>1111</v>
      </c>
      <c r="H4372" s="223" t="str" cm="1">
        <f t="array" ref="H4372">IFERROR(INDEX(INVESTOR_LIST[INVESTOR NAME],MATCH(I4372,INVESTOR_LIST[INVESTOR CODE],0),)," ")</f>
        <v xml:space="preserve"> </v>
      </c>
      <c r="I4372" s="223"/>
      <c r="J4372" s="224" t="s">
        <v>55</v>
      </c>
      <c r="K4372" s="225">
        <v>1022875</v>
      </c>
      <c r="L4372" s="225"/>
    </row>
    <row r="4373" spans="1:13" ht="11.25" customHeight="1" x14ac:dyDescent="0.2">
      <c r="A4373" s="164">
        <v>2024</v>
      </c>
      <c r="B4373" s="164">
        <v>1</v>
      </c>
      <c r="C4373" s="164">
        <v>30</v>
      </c>
      <c r="D4373" s="156">
        <f t="shared" si="471"/>
        <v>45321</v>
      </c>
      <c r="E4373" s="235">
        <f t="shared" si="474"/>
        <v>45321</v>
      </c>
      <c r="F4373" s="480"/>
      <c r="G4373" s="208" t="s">
        <v>1111</v>
      </c>
      <c r="J4373" s="165" t="s">
        <v>63</v>
      </c>
      <c r="K4373" s="205">
        <v>1000</v>
      </c>
      <c r="L4373" s="205"/>
    </row>
    <row r="4374" spans="1:13" ht="11.25" customHeight="1" x14ac:dyDescent="0.2">
      <c r="A4374" s="164">
        <v>2024</v>
      </c>
      <c r="B4374" s="164">
        <v>1</v>
      </c>
      <c r="C4374" s="164">
        <v>30</v>
      </c>
      <c r="D4374" s="156">
        <f t="shared" si="471"/>
        <v>45321</v>
      </c>
      <c r="E4374" s="235">
        <f t="shared" si="474"/>
        <v>45321</v>
      </c>
      <c r="F4374" s="480"/>
      <c r="G4374" s="208" t="s">
        <v>1111</v>
      </c>
      <c r="J4374" s="165" t="s">
        <v>131</v>
      </c>
      <c r="K4374" s="205"/>
      <c r="L4374" s="205">
        <v>23875</v>
      </c>
    </row>
    <row r="4375" spans="1:13" ht="11.25" customHeight="1" x14ac:dyDescent="0.2">
      <c r="A4375" s="226">
        <v>2024</v>
      </c>
      <c r="B4375" s="226">
        <v>1</v>
      </c>
      <c r="C4375" s="226">
        <v>30</v>
      </c>
      <c r="D4375" s="232">
        <f t="shared" si="471"/>
        <v>45321</v>
      </c>
      <c r="E4375" s="234">
        <f t="shared" si="474"/>
        <v>45321</v>
      </c>
      <c r="F4375" s="479"/>
      <c r="G4375" s="227" t="s">
        <v>1111</v>
      </c>
      <c r="H4375" s="228" t="str" cm="1">
        <f t="array" ref="H4375">IFERROR(INDEX(INVESTOR_LIST[INVESTOR NAME],MATCH(I4375,INVESTOR_LIST[INVESTOR CODE],0),)," ")</f>
        <v xml:space="preserve"> </v>
      </c>
      <c r="I4375" s="228"/>
      <c r="J4375" s="229" t="s">
        <v>88</v>
      </c>
      <c r="K4375" s="230"/>
      <c r="L4375" s="230">
        <v>1000000</v>
      </c>
    </row>
    <row r="4376" spans="1:13" ht="11.25" customHeight="1" x14ac:dyDescent="0.2">
      <c r="A4376" s="221">
        <v>2024</v>
      </c>
      <c r="B4376" s="221">
        <v>2</v>
      </c>
      <c r="C4376" s="221">
        <v>1</v>
      </c>
      <c r="D4376" s="231">
        <f t="shared" si="471"/>
        <v>45323</v>
      </c>
      <c r="E4376" s="233">
        <f t="shared" si="474"/>
        <v>45323</v>
      </c>
      <c r="F4376" s="478" t="s">
        <v>1677</v>
      </c>
      <c r="G4376" s="222" t="s">
        <v>1111</v>
      </c>
      <c r="H4376" s="223" t="str" cm="1">
        <f t="array" ref="H4376">IFERROR(INDEX(INVESTOR_LIST[INVESTOR NAME],MATCH(I4376,INVESTOR_LIST[INVESTOR CODE],0),)," ")</f>
        <v xml:space="preserve"> </v>
      </c>
      <c r="I4376" s="223"/>
      <c r="J4376" s="224" t="s">
        <v>63</v>
      </c>
      <c r="K4376" s="225">
        <v>100</v>
      </c>
      <c r="L4376" s="225"/>
    </row>
    <row r="4377" spans="1:13" ht="11.25" customHeight="1" x14ac:dyDescent="0.2">
      <c r="A4377" s="226">
        <v>2024</v>
      </c>
      <c r="B4377" s="226">
        <v>2</v>
      </c>
      <c r="C4377" s="226">
        <v>1</v>
      </c>
      <c r="D4377" s="232">
        <f t="shared" si="471"/>
        <v>45323</v>
      </c>
      <c r="E4377" s="234">
        <f t="shared" si="474"/>
        <v>45323</v>
      </c>
      <c r="F4377" s="479"/>
      <c r="G4377" s="227" t="s">
        <v>1111</v>
      </c>
      <c r="H4377" s="228" t="str" cm="1">
        <f t="array" ref="H4377">IFERROR(INDEX(INVESTOR_LIST[INVESTOR NAME],MATCH(I4377,INVESTOR_LIST[INVESTOR CODE],0),)," ")</f>
        <v xml:space="preserve"> </v>
      </c>
      <c r="I4377" s="228"/>
      <c r="J4377" s="229" t="s">
        <v>55</v>
      </c>
      <c r="K4377" s="230"/>
      <c r="L4377" s="230">
        <v>100</v>
      </c>
    </row>
    <row r="4378" spans="1:13" ht="11.25" customHeight="1" x14ac:dyDescent="0.2">
      <c r="A4378" s="280">
        <v>2024</v>
      </c>
      <c r="B4378" s="280">
        <v>2</v>
      </c>
      <c r="C4378" s="280">
        <v>1</v>
      </c>
      <c r="D4378" s="281">
        <f t="shared" si="471"/>
        <v>45323</v>
      </c>
      <c r="E4378" s="282">
        <f t="shared" si="474"/>
        <v>45323</v>
      </c>
      <c r="F4378" s="472" t="s">
        <v>1584</v>
      </c>
      <c r="G4378" s="283" t="s">
        <v>86</v>
      </c>
      <c r="H4378" s="284" t="str" cm="1">
        <f t="array" ref="H4378">IFERROR(INDEX(INVESTOR_LIST[INVESTOR NAME],MATCH(I4378,INVESTOR_LIST[INVESTOR CODE],0),)," ")</f>
        <v xml:space="preserve"> </v>
      </c>
      <c r="I4378" s="284"/>
      <c r="J4378" s="285" t="s">
        <v>131</v>
      </c>
      <c r="K4378" s="286">
        <v>7307.6923076923076</v>
      </c>
      <c r="L4378" s="286"/>
    </row>
    <row r="4379" spans="1:13" ht="11.25" customHeight="1" x14ac:dyDescent="0.2">
      <c r="A4379" s="287">
        <v>2024</v>
      </c>
      <c r="B4379" s="287">
        <v>2</v>
      </c>
      <c r="C4379" s="287">
        <v>1</v>
      </c>
      <c r="D4379" s="288">
        <f t="shared" si="471"/>
        <v>45323</v>
      </c>
      <c r="E4379" s="289">
        <f t="shared" si="474"/>
        <v>45323</v>
      </c>
      <c r="F4379" s="473"/>
      <c r="G4379" s="290" t="s">
        <v>86</v>
      </c>
      <c r="H4379" s="291" t="str" cm="1">
        <f t="array" ref="H4379">IFERROR(INDEX(INVESTOR_LIST[INVESTOR NAME],MATCH(I4379,INVESTOR_LIST[INVESTOR CODE],0),)," ")</f>
        <v xml:space="preserve"> </v>
      </c>
      <c r="I4379" s="291"/>
      <c r="J4379" s="292" t="s">
        <v>174</v>
      </c>
      <c r="K4379" s="293"/>
      <c r="L4379" s="293">
        <v>7307.6923076923076</v>
      </c>
    </row>
    <row r="4380" spans="1:13" ht="11.25" customHeight="1" x14ac:dyDescent="0.2">
      <c r="A4380" s="358">
        <v>2024</v>
      </c>
      <c r="B4380" s="358">
        <v>2</v>
      </c>
      <c r="C4380" s="358">
        <v>1</v>
      </c>
      <c r="D4380" s="312">
        <f t="shared" si="471"/>
        <v>45323</v>
      </c>
      <c r="E4380" s="313">
        <f t="shared" si="474"/>
        <v>45323</v>
      </c>
      <c r="F4380" s="482" t="s">
        <v>1627</v>
      </c>
      <c r="G4380" s="314" t="s">
        <v>86</v>
      </c>
      <c r="H4380" s="324" t="str" cm="1">
        <f t="array" ref="H4380">IFERROR(INDEX(INVESTOR_LIST[INVESTOR NAME],MATCH(I4380,INVESTOR_LIST[INVESTOR CODE],0),)," ")</f>
        <v xml:space="preserve"> </v>
      </c>
      <c r="I4380" s="324"/>
      <c r="J4380" s="364" t="s">
        <v>1621</v>
      </c>
      <c r="K4380" s="365">
        <v>127518.19999998808</v>
      </c>
      <c r="L4380" s="365"/>
    </row>
    <row r="4381" spans="1:13" ht="11.25" customHeight="1" x14ac:dyDescent="0.2">
      <c r="A4381" s="320">
        <v>2024</v>
      </c>
      <c r="B4381" s="320">
        <v>2</v>
      </c>
      <c r="C4381" s="320">
        <v>1</v>
      </c>
      <c r="D4381" s="323">
        <f t="shared" si="471"/>
        <v>45323</v>
      </c>
      <c r="E4381" s="321">
        <f t="shared" si="474"/>
        <v>45323</v>
      </c>
      <c r="F4381" s="483"/>
      <c r="G4381" s="322" t="s">
        <v>86</v>
      </c>
      <c r="H4381" s="325" t="str" cm="1">
        <f t="array" ref="H4381">IFERROR(INDEX(INVESTOR_LIST[INVESTOR NAME],MATCH(I4381,INVESTOR_LIST[INVESTOR CODE],0),)," ")</f>
        <v xml:space="preserve"> </v>
      </c>
      <c r="I4381" s="325"/>
      <c r="J4381" s="366" t="s">
        <v>1613</v>
      </c>
      <c r="K4381" s="367"/>
      <c r="L4381" s="367">
        <v>127518.19999998808</v>
      </c>
    </row>
    <row r="4382" spans="1:13" ht="11.25" customHeight="1" x14ac:dyDescent="0.2">
      <c r="A4382" s="236">
        <v>2024</v>
      </c>
      <c r="B4382" s="236">
        <v>2</v>
      </c>
      <c r="C4382" s="236">
        <v>1</v>
      </c>
      <c r="D4382" s="237">
        <f t="shared" si="471"/>
        <v>45323</v>
      </c>
      <c r="E4382" s="238">
        <f t="shared" si="474"/>
        <v>45323</v>
      </c>
      <c r="F4382" s="476" t="s">
        <v>1118</v>
      </c>
      <c r="G4382" s="239" t="s">
        <v>86</v>
      </c>
      <c r="H4382" s="239" t="str" cm="1">
        <f t="array" ref="H4382">IFERROR(INDEX(INVESTOR_LIST[INVESTOR NAME],MATCH(I4382,INVESTOR_LIST[INVESTOR CODE],0),)," ")</f>
        <v xml:space="preserve"> </v>
      </c>
      <c r="I4382" s="240"/>
      <c r="J4382" s="241" t="s">
        <v>98</v>
      </c>
      <c r="K4382" s="242">
        <v>1106599.6299999952</v>
      </c>
      <c r="L4382" s="242"/>
    </row>
    <row r="4383" spans="1:13" ht="11.25" customHeight="1" x14ac:dyDescent="0.2">
      <c r="A4383" s="243">
        <v>2024</v>
      </c>
      <c r="B4383" s="243">
        <v>2</v>
      </c>
      <c r="C4383" s="243">
        <v>1</v>
      </c>
      <c r="D4383" s="248">
        <f t="shared" si="471"/>
        <v>45323</v>
      </c>
      <c r="E4383" s="249">
        <f t="shared" si="474"/>
        <v>45323</v>
      </c>
      <c r="F4383" s="477"/>
      <c r="G4383" s="244" t="s">
        <v>86</v>
      </c>
      <c r="H4383" s="244" t="str" cm="1">
        <f t="array" ref="H4383">IFERROR(INDEX(INVESTOR_LIST[INVESTOR NAME],MATCH(I4383,INVESTOR_LIST[INVESTOR CODE],0),)," ")</f>
        <v xml:space="preserve"> </v>
      </c>
      <c r="I4383" s="245"/>
      <c r="J4383" s="246" t="s">
        <v>82</v>
      </c>
      <c r="K4383" s="247"/>
      <c r="L4383" s="247">
        <v>1106599.6299999952</v>
      </c>
    </row>
    <row r="4384" spans="1:13" ht="11.25" customHeight="1" x14ac:dyDescent="0.2">
      <c r="A4384" s="236">
        <v>2024</v>
      </c>
      <c r="B4384" s="236">
        <v>2</v>
      </c>
      <c r="C4384" s="236">
        <v>1</v>
      </c>
      <c r="D4384" s="237">
        <f t="shared" si="471"/>
        <v>45323</v>
      </c>
      <c r="E4384" s="238">
        <f t="shared" si="474"/>
        <v>45323</v>
      </c>
      <c r="F4384" s="476" t="s">
        <v>1120</v>
      </c>
      <c r="G4384" s="239" t="s">
        <v>86</v>
      </c>
      <c r="H4384" s="239" t="str" cm="1">
        <f t="array" ref="H4384">IFERROR(INDEX(INVESTOR_LIST[INVESTOR NAME],MATCH(I4384,INVESTOR_LIST[INVESTOR CODE],0),)," ")</f>
        <v xml:space="preserve"> </v>
      </c>
      <c r="I4384" s="240"/>
      <c r="J4384" s="241" t="s">
        <v>87</v>
      </c>
      <c r="K4384" s="242">
        <f>M4384</f>
        <v>2747.2527472527472</v>
      </c>
      <c r="L4384" s="242"/>
      <c r="M4384" s="156">
        <v>2747.2527472527472</v>
      </c>
    </row>
    <row r="4385" spans="1:13" ht="11.25" customHeight="1" x14ac:dyDescent="0.2">
      <c r="A4385" s="243">
        <v>2024</v>
      </c>
      <c r="B4385" s="243">
        <v>2</v>
      </c>
      <c r="C4385" s="243">
        <v>1</v>
      </c>
      <c r="D4385" s="248">
        <f t="shared" si="471"/>
        <v>45323</v>
      </c>
      <c r="E4385" s="249">
        <f t="shared" si="474"/>
        <v>45323</v>
      </c>
      <c r="F4385" s="477"/>
      <c r="G4385" s="244" t="s">
        <v>86</v>
      </c>
      <c r="H4385" s="244" t="str" cm="1">
        <f t="array" ref="H4385">IFERROR(INDEX(INVESTOR_LIST[INVESTOR NAME],MATCH(I4385,INVESTOR_LIST[INVESTOR CODE],0),)," ")</f>
        <v xml:space="preserve"> </v>
      </c>
      <c r="I4385" s="245"/>
      <c r="J4385" s="246" t="s">
        <v>64</v>
      </c>
      <c r="K4385" s="247"/>
      <c r="L4385" s="247">
        <f>K4384</f>
        <v>2747.2527472527472</v>
      </c>
      <c r="M4385" s="156">
        <v>69262.010854818378</v>
      </c>
    </row>
    <row r="4386" spans="1:13" ht="11.25" customHeight="1" x14ac:dyDescent="0.2">
      <c r="A4386" s="236">
        <v>2024</v>
      </c>
      <c r="B4386" s="236">
        <v>2</v>
      </c>
      <c r="C4386" s="236">
        <v>1</v>
      </c>
      <c r="D4386" s="237">
        <f t="shared" si="471"/>
        <v>45323</v>
      </c>
      <c r="E4386" s="238">
        <f t="shared" si="474"/>
        <v>45323</v>
      </c>
      <c r="F4386" s="476" t="s">
        <v>1121</v>
      </c>
      <c r="G4386" s="239" t="s">
        <v>86</v>
      </c>
      <c r="H4386" s="239" t="str" cm="1">
        <f t="array" ref="H4386">IFERROR(INDEX(INVESTOR_LIST[INVESTOR NAME],MATCH(I4386,INVESTOR_LIST[INVESTOR CODE],0),)," ")</f>
        <v xml:space="preserve"> </v>
      </c>
      <c r="I4386" s="240"/>
      <c r="J4386" s="241" t="s">
        <v>89</v>
      </c>
      <c r="K4386" s="242">
        <f>M4385</f>
        <v>69262.010854818378</v>
      </c>
      <c r="L4386" s="242"/>
      <c r="M4386" s="156">
        <v>3222.7159273563034</v>
      </c>
    </row>
    <row r="4387" spans="1:13" ht="11.25" customHeight="1" x14ac:dyDescent="0.2">
      <c r="A4387" s="243">
        <v>2024</v>
      </c>
      <c r="B4387" s="243">
        <v>2</v>
      </c>
      <c r="C4387" s="243">
        <v>1</v>
      </c>
      <c r="D4387" s="248">
        <f t="shared" si="471"/>
        <v>45323</v>
      </c>
      <c r="E4387" s="249">
        <f t="shared" si="474"/>
        <v>45323</v>
      </c>
      <c r="F4387" s="477"/>
      <c r="G4387" s="244" t="s">
        <v>86</v>
      </c>
      <c r="H4387" s="244" t="str" cm="1">
        <f t="array" ref="H4387">IFERROR(INDEX(INVESTOR_LIST[INVESTOR NAME],MATCH(I4387,INVESTOR_LIST[INVESTOR CODE],0),)," ")</f>
        <v xml:space="preserve"> </v>
      </c>
      <c r="I4387" s="245"/>
      <c r="J4387" s="246" t="s">
        <v>50</v>
      </c>
      <c r="K4387" s="247"/>
      <c r="L4387" s="247">
        <f>K4386</f>
        <v>69262.010854818378</v>
      </c>
    </row>
    <row r="4388" spans="1:13" ht="11.25" customHeight="1" x14ac:dyDescent="0.2">
      <c r="A4388" s="236">
        <v>2024</v>
      </c>
      <c r="B4388" s="236">
        <v>2</v>
      </c>
      <c r="C4388" s="236">
        <v>1</v>
      </c>
      <c r="D4388" s="237">
        <f t="shared" si="471"/>
        <v>45323</v>
      </c>
      <c r="E4388" s="238">
        <f t="shared" si="474"/>
        <v>45323</v>
      </c>
      <c r="F4388" s="476" t="s">
        <v>1122</v>
      </c>
      <c r="G4388" s="239" t="s">
        <v>86</v>
      </c>
      <c r="H4388" s="239" t="str" cm="1">
        <f t="array" ref="H4388">IFERROR(INDEX(INVESTOR_LIST[INVESTOR NAME],MATCH(I4388,INVESTOR_LIST[INVESTOR CODE],0),)," ")</f>
        <v xml:space="preserve"> </v>
      </c>
      <c r="I4388" s="240"/>
      <c r="J4388" s="241" t="s">
        <v>91</v>
      </c>
      <c r="K4388" s="242">
        <f>M4386</f>
        <v>3222.7159273563034</v>
      </c>
      <c r="L4388" s="242"/>
    </row>
    <row r="4389" spans="1:13" ht="11.25" customHeight="1" x14ac:dyDescent="0.2">
      <c r="A4389" s="243">
        <v>2024</v>
      </c>
      <c r="B4389" s="243">
        <v>2</v>
      </c>
      <c r="C4389" s="243">
        <v>1</v>
      </c>
      <c r="D4389" s="248">
        <f t="shared" si="471"/>
        <v>45323</v>
      </c>
      <c r="E4389" s="249">
        <f t="shared" si="474"/>
        <v>45323</v>
      </c>
      <c r="F4389" s="477"/>
      <c r="G4389" s="244" t="s">
        <v>86</v>
      </c>
      <c r="H4389" s="244" t="str" cm="1">
        <f t="array" ref="H4389">IFERROR(INDEX(INVESTOR_LIST[INVESTOR NAME],MATCH(I4389,INVESTOR_LIST[INVESTOR CODE],0),)," ")</f>
        <v xml:space="preserve"> </v>
      </c>
      <c r="I4389" s="245"/>
      <c r="J4389" s="246" t="s">
        <v>51</v>
      </c>
      <c r="K4389" s="247"/>
      <c r="L4389" s="247">
        <f>K4388</f>
        <v>3222.7159273563034</v>
      </c>
    </row>
    <row r="4390" spans="1:13" ht="11.25" customHeight="1" x14ac:dyDescent="0.2">
      <c r="A4390" s="221">
        <v>2024</v>
      </c>
      <c r="B4390" s="221">
        <v>2</v>
      </c>
      <c r="C4390" s="221">
        <v>4</v>
      </c>
      <c r="D4390" s="221">
        <f t="shared" si="471"/>
        <v>45326</v>
      </c>
      <c r="E4390" s="233">
        <f t="shared" si="474"/>
        <v>45326</v>
      </c>
      <c r="F4390" s="478" t="s">
        <v>1589</v>
      </c>
      <c r="G4390" s="222" t="s">
        <v>86</v>
      </c>
      <c r="H4390" s="222" t="str" cm="1">
        <f t="array" ref="H4390">IFERROR(INDEX(INVESTOR_LIST[INVESTOR NAME],MATCH(I4390,INVESTOR_LIST[INVESTOR CODE],0),)," ")</f>
        <v xml:space="preserve"> </v>
      </c>
      <c r="I4390" s="223"/>
      <c r="J4390" s="165" t="s">
        <v>199</v>
      </c>
      <c r="K4390" s="225">
        <v>1149447.26</v>
      </c>
      <c r="L4390" s="225"/>
    </row>
    <row r="4391" spans="1:13" ht="11.25" customHeight="1" x14ac:dyDescent="0.2">
      <c r="A4391" s="164">
        <v>2024</v>
      </c>
      <c r="B4391" s="164">
        <v>2</v>
      </c>
      <c r="C4391" s="164">
        <v>4</v>
      </c>
      <c r="D4391" s="164">
        <f t="shared" si="471"/>
        <v>45326</v>
      </c>
      <c r="E4391" s="235">
        <f t="shared" si="474"/>
        <v>45326</v>
      </c>
      <c r="F4391" s="480"/>
      <c r="G4391" s="208" t="s">
        <v>86</v>
      </c>
      <c r="H4391" s="208"/>
      <c r="J4391" s="165" t="s">
        <v>960</v>
      </c>
      <c r="K4391" s="205">
        <v>2072.7399999999998</v>
      </c>
      <c r="L4391" s="205"/>
    </row>
    <row r="4392" spans="1:13" ht="11.25" customHeight="1" x14ac:dyDescent="0.2">
      <c r="A4392" s="164">
        <v>2024</v>
      </c>
      <c r="B4392" s="164">
        <v>2</v>
      </c>
      <c r="C4392" s="164">
        <v>4</v>
      </c>
      <c r="D4392" s="164">
        <f t="shared" si="471"/>
        <v>45326</v>
      </c>
      <c r="E4392" s="235">
        <f t="shared" si="474"/>
        <v>45326</v>
      </c>
      <c r="F4392" s="480"/>
      <c r="G4392" s="208" t="s">
        <v>86</v>
      </c>
      <c r="H4392" s="208"/>
      <c r="J4392" s="165" t="s">
        <v>200</v>
      </c>
      <c r="K4392" s="205">
        <v>147612.54999999999</v>
      </c>
      <c r="L4392" s="205"/>
    </row>
    <row r="4393" spans="1:13" ht="11.25" customHeight="1" x14ac:dyDescent="0.2">
      <c r="A4393" s="226">
        <v>2024</v>
      </c>
      <c r="B4393" s="226">
        <v>2</v>
      </c>
      <c r="C4393" s="226">
        <v>4</v>
      </c>
      <c r="D4393" s="226">
        <f t="shared" si="471"/>
        <v>45326</v>
      </c>
      <c r="E4393" s="234">
        <f t="shared" si="474"/>
        <v>45326</v>
      </c>
      <c r="F4393" s="479"/>
      <c r="G4393" s="227" t="s">
        <v>86</v>
      </c>
      <c r="H4393" s="228" t="str" cm="1">
        <f t="array" ref="H4393">IFERROR(INDEX(INVESTOR_LIST[INVESTOR NAME],MATCH(I4393,INVESTOR_LIST[INVESTOR CODE],0),)," ")</f>
        <v xml:space="preserve"> </v>
      </c>
      <c r="I4393" s="228"/>
      <c r="J4393" s="229" t="s">
        <v>80</v>
      </c>
      <c r="K4393" s="230"/>
      <c r="L4393" s="230">
        <v>1299132.55</v>
      </c>
    </row>
    <row r="4394" spans="1:13" ht="11.25" customHeight="1" x14ac:dyDescent="0.2">
      <c r="A4394" s="221">
        <v>2024</v>
      </c>
      <c r="B4394" s="221">
        <v>2</v>
      </c>
      <c r="C4394" s="221">
        <v>5</v>
      </c>
      <c r="D4394" s="231">
        <f t="shared" si="471"/>
        <v>45327</v>
      </c>
      <c r="E4394" s="233">
        <f t="shared" si="474"/>
        <v>45327</v>
      </c>
      <c r="F4394" s="478" t="s">
        <v>1691</v>
      </c>
      <c r="G4394" s="222" t="s">
        <v>1111</v>
      </c>
      <c r="H4394" s="222" t="str" cm="1">
        <f t="array" ref="H4394">IFERROR(INDEX(INVESTOR_LIST[INVESTOR NAME],MATCH(I4394,INVESTOR_LIST[INVESTOR CODE],0),)," ")</f>
        <v xml:space="preserve"> </v>
      </c>
      <c r="I4394" s="223"/>
      <c r="J4394" s="224" t="s">
        <v>1465</v>
      </c>
      <c r="K4394" s="357">
        <v>7293615</v>
      </c>
      <c r="L4394" s="225"/>
    </row>
    <row r="4395" spans="1:13" ht="11.25" customHeight="1" x14ac:dyDescent="0.2">
      <c r="A4395" s="226">
        <v>2024</v>
      </c>
      <c r="B4395" s="226">
        <v>2</v>
      </c>
      <c r="C4395" s="226">
        <v>5</v>
      </c>
      <c r="D4395" s="226">
        <f t="shared" si="471"/>
        <v>45327</v>
      </c>
      <c r="E4395" s="234">
        <f t="shared" si="474"/>
        <v>45327</v>
      </c>
      <c r="F4395" s="479"/>
      <c r="G4395" s="227" t="s">
        <v>1111</v>
      </c>
      <c r="H4395" s="227"/>
      <c r="I4395" s="228"/>
      <c r="J4395" s="229" t="s">
        <v>55</v>
      </c>
      <c r="K4395" s="294"/>
      <c r="L4395" s="230">
        <v>7293615</v>
      </c>
    </row>
    <row r="4396" spans="1:13" ht="11.25" customHeight="1" x14ac:dyDescent="0.2">
      <c r="A4396" s="221">
        <v>2024</v>
      </c>
      <c r="B4396" s="221">
        <v>2</v>
      </c>
      <c r="C4396" s="221">
        <v>5</v>
      </c>
      <c r="D4396" s="231">
        <f t="shared" si="471"/>
        <v>45327</v>
      </c>
      <c r="E4396" s="233">
        <f t="shared" si="474"/>
        <v>45327</v>
      </c>
      <c r="F4396" s="478" t="s">
        <v>1593</v>
      </c>
      <c r="G4396" s="222" t="s">
        <v>86</v>
      </c>
      <c r="H4396" s="222" t="str" cm="1">
        <f t="array" ref="H4396">IFERROR(INDEX(INVESTOR_LIST[INVESTOR NAME],MATCH(I4396,INVESTOR_LIST[INVESTOR CODE],0),)," ")</f>
        <v xml:space="preserve"> </v>
      </c>
      <c r="I4396" s="223"/>
      <c r="J4396" s="224" t="s">
        <v>80</v>
      </c>
      <c r="K4396" s="225">
        <v>780000</v>
      </c>
      <c r="L4396" s="225"/>
    </row>
    <row r="4397" spans="1:13" ht="11.25" customHeight="1" x14ac:dyDescent="0.2">
      <c r="A4397" s="164">
        <v>2024</v>
      </c>
      <c r="B4397" s="164">
        <v>2</v>
      </c>
      <c r="C4397" s="164">
        <v>5</v>
      </c>
      <c r="D4397" s="164">
        <f t="shared" si="471"/>
        <v>45327</v>
      </c>
      <c r="E4397" s="235">
        <f t="shared" si="474"/>
        <v>45327</v>
      </c>
      <c r="F4397" s="480"/>
      <c r="G4397" s="208" t="s">
        <v>86</v>
      </c>
      <c r="H4397" s="208"/>
      <c r="J4397" s="165" t="s">
        <v>960</v>
      </c>
      <c r="K4397" s="205">
        <v>1404</v>
      </c>
      <c r="L4397" s="205"/>
    </row>
    <row r="4398" spans="1:13" ht="11.25" customHeight="1" x14ac:dyDescent="0.2">
      <c r="A4398" s="226">
        <v>2024</v>
      </c>
      <c r="B4398" s="226">
        <v>2</v>
      </c>
      <c r="C4398" s="226">
        <v>5</v>
      </c>
      <c r="D4398" s="226">
        <f t="shared" si="471"/>
        <v>45327</v>
      </c>
      <c r="E4398" s="234">
        <f t="shared" si="474"/>
        <v>45327</v>
      </c>
      <c r="F4398" s="479"/>
      <c r="G4398" s="227" t="s">
        <v>86</v>
      </c>
      <c r="H4398" s="227"/>
      <c r="I4398" s="228"/>
      <c r="J4398" s="229" t="s">
        <v>961</v>
      </c>
      <c r="K4398" s="294"/>
      <c r="L4398" s="230">
        <v>781404</v>
      </c>
    </row>
    <row r="4399" spans="1:13" ht="11.25" customHeight="1" x14ac:dyDescent="0.2">
      <c r="A4399" s="221">
        <v>2024</v>
      </c>
      <c r="B4399" s="221">
        <v>2</v>
      </c>
      <c r="C4399" s="221">
        <v>6</v>
      </c>
      <c r="D4399" s="231">
        <f t="shared" si="471"/>
        <v>45328</v>
      </c>
      <c r="E4399" s="233">
        <f t="shared" ref="E4399:E4401" si="475">DATE(A4399,B4399,C4399)</f>
        <v>45328</v>
      </c>
      <c r="F4399" s="478" t="s">
        <v>1593</v>
      </c>
      <c r="G4399" s="222" t="s">
        <v>86</v>
      </c>
      <c r="H4399" s="222" t="str" cm="1">
        <f t="array" ref="H4399">IFERROR(INDEX(INVESTOR_LIST[INVESTOR NAME],MATCH(I4399,INVESTOR_LIST[INVESTOR CODE],0),)," ")</f>
        <v xml:space="preserve"> </v>
      </c>
      <c r="I4399" s="223"/>
      <c r="J4399" s="224" t="s">
        <v>80</v>
      </c>
      <c r="K4399" s="225">
        <v>982500</v>
      </c>
      <c r="L4399" s="225"/>
    </row>
    <row r="4400" spans="1:13" ht="11.25" customHeight="1" x14ac:dyDescent="0.2">
      <c r="A4400" s="164">
        <v>2024</v>
      </c>
      <c r="B4400" s="164">
        <v>2</v>
      </c>
      <c r="C4400" s="164">
        <v>6</v>
      </c>
      <c r="D4400" s="164">
        <f t="shared" si="471"/>
        <v>45328</v>
      </c>
      <c r="E4400" s="235">
        <f t="shared" si="475"/>
        <v>45328</v>
      </c>
      <c r="F4400" s="480"/>
      <c r="G4400" s="208" t="s">
        <v>86</v>
      </c>
      <c r="H4400" s="208"/>
      <c r="J4400" s="165" t="s">
        <v>960</v>
      </c>
      <c r="K4400" s="205">
        <v>1768.5</v>
      </c>
      <c r="L4400" s="205"/>
    </row>
    <row r="4401" spans="1:12" ht="11.25" customHeight="1" x14ac:dyDescent="0.2">
      <c r="A4401" s="226">
        <v>2024</v>
      </c>
      <c r="B4401" s="226">
        <v>2</v>
      </c>
      <c r="C4401" s="226">
        <v>6</v>
      </c>
      <c r="D4401" s="226">
        <f t="shared" si="471"/>
        <v>45328</v>
      </c>
      <c r="E4401" s="234">
        <f t="shared" si="475"/>
        <v>45328</v>
      </c>
      <c r="F4401" s="479"/>
      <c r="G4401" s="227" t="s">
        <v>86</v>
      </c>
      <c r="H4401" s="227"/>
      <c r="I4401" s="228"/>
      <c r="J4401" s="229" t="s">
        <v>961</v>
      </c>
      <c r="K4401" s="294"/>
      <c r="L4401" s="230">
        <v>984268.5</v>
      </c>
    </row>
    <row r="4402" spans="1:12" ht="11.25" customHeight="1" x14ac:dyDescent="0.2">
      <c r="A4402" s="221">
        <v>2024</v>
      </c>
      <c r="B4402" s="221">
        <v>2</v>
      </c>
      <c r="C4402" s="221">
        <v>6</v>
      </c>
      <c r="D4402" s="231">
        <f t="shared" si="471"/>
        <v>45328</v>
      </c>
      <c r="E4402" s="233">
        <f>DATE(A4402,B4402,C4402)</f>
        <v>45328</v>
      </c>
      <c r="F4402" s="478" t="s">
        <v>1594</v>
      </c>
      <c r="G4402" s="222" t="s">
        <v>1111</v>
      </c>
      <c r="H4402" s="223" t="str" cm="1">
        <f t="array" ref="H4402">IFERROR(INDEX(INVESTOR_LIST[INVESTOR NAME],MATCH(I4402,INVESTOR_LIST[INVESTOR CODE],0),)," ")</f>
        <v xml:space="preserve"> </v>
      </c>
      <c r="I4402" s="223"/>
      <c r="J4402" s="224" t="s">
        <v>961</v>
      </c>
      <c r="K4402" s="225">
        <v>781404</v>
      </c>
      <c r="L4402" s="225"/>
    </row>
    <row r="4403" spans="1:12" ht="11.25" customHeight="1" x14ac:dyDescent="0.2">
      <c r="A4403" s="226">
        <v>2024</v>
      </c>
      <c r="B4403" s="226">
        <v>2</v>
      </c>
      <c r="C4403" s="226">
        <v>6</v>
      </c>
      <c r="D4403" s="232">
        <f t="shared" si="471"/>
        <v>45328</v>
      </c>
      <c r="E4403" s="234">
        <f>DATE(A4403,B4403,C4403)</f>
        <v>45328</v>
      </c>
      <c r="F4403" s="479"/>
      <c r="G4403" s="227" t="s">
        <v>1111</v>
      </c>
      <c r="H4403" s="228" t="str" cm="1">
        <f t="array" ref="H4403">IFERROR(INDEX(INVESTOR_LIST[INVESTOR NAME],MATCH(I4403,INVESTOR_LIST[INVESTOR CODE],0),)," ")</f>
        <v xml:space="preserve"> </v>
      </c>
      <c r="I4403" s="228"/>
      <c r="J4403" s="229" t="s">
        <v>55</v>
      </c>
      <c r="K4403" s="230"/>
      <c r="L4403" s="230">
        <v>781404</v>
      </c>
    </row>
    <row r="4404" spans="1:12" ht="11.25" customHeight="1" x14ac:dyDescent="0.2">
      <c r="A4404" s="221">
        <v>2024</v>
      </c>
      <c r="B4404" s="221">
        <v>2</v>
      </c>
      <c r="C4404" s="221">
        <v>6</v>
      </c>
      <c r="D4404" s="231">
        <f t="shared" si="471"/>
        <v>45328</v>
      </c>
      <c r="E4404" s="233">
        <f>DATE(A4404,B4404,C4404)</f>
        <v>45328</v>
      </c>
      <c r="F4404" s="478" t="s">
        <v>1594</v>
      </c>
      <c r="G4404" s="222" t="s">
        <v>1111</v>
      </c>
      <c r="H4404" s="223" t="str" cm="1">
        <f t="array" ref="H4404">IFERROR(INDEX(INVESTOR_LIST[INVESTOR NAME],MATCH(I4404,INVESTOR_LIST[INVESTOR CODE],0),)," ")</f>
        <v xml:space="preserve"> </v>
      </c>
      <c r="I4404" s="223"/>
      <c r="J4404" s="224" t="s">
        <v>961</v>
      </c>
      <c r="K4404" s="225">
        <v>984268.5</v>
      </c>
      <c r="L4404" s="225"/>
    </row>
    <row r="4405" spans="1:12" ht="11.25" customHeight="1" x14ac:dyDescent="0.2">
      <c r="A4405" s="226">
        <v>2024</v>
      </c>
      <c r="B4405" s="226">
        <v>2</v>
      </c>
      <c r="C4405" s="226">
        <v>6</v>
      </c>
      <c r="D4405" s="232">
        <f t="shared" si="471"/>
        <v>45328</v>
      </c>
      <c r="E4405" s="234">
        <f>DATE(A4405,B4405,C4405)</f>
        <v>45328</v>
      </c>
      <c r="F4405" s="479"/>
      <c r="G4405" s="227" t="s">
        <v>1111</v>
      </c>
      <c r="H4405" s="228" t="str" cm="1">
        <f t="array" ref="H4405">IFERROR(INDEX(INVESTOR_LIST[INVESTOR NAME],MATCH(I4405,INVESTOR_LIST[INVESTOR CODE],0),)," ")</f>
        <v xml:space="preserve"> </v>
      </c>
      <c r="I4405" s="228"/>
      <c r="J4405" s="229" t="s">
        <v>55</v>
      </c>
      <c r="K4405" s="230"/>
      <c r="L4405" s="230">
        <v>984268.5</v>
      </c>
    </row>
    <row r="4406" spans="1:12" ht="11.25" customHeight="1" x14ac:dyDescent="0.2">
      <c r="A4406" s="231">
        <v>2024</v>
      </c>
      <c r="B4406" s="221">
        <v>2</v>
      </c>
      <c r="C4406" s="221">
        <v>6</v>
      </c>
      <c r="D4406" s="221">
        <f t="shared" si="471"/>
        <v>45328</v>
      </c>
      <c r="E4406" s="271">
        <f t="shared" ref="E4406:E4408" si="476">DATE(A4406,B4406,C4406)</f>
        <v>45328</v>
      </c>
      <c r="F4406" s="478" t="s">
        <v>1703</v>
      </c>
      <c r="G4406" s="222" t="s">
        <v>86</v>
      </c>
      <c r="H4406" s="223" t="str" cm="1">
        <f t="array" ref="H4406">IFERROR(INDEX(INVESTOR_LIST[INVESTOR NAME],MATCH(I4406,INVESTOR_LIST[INVESTOR CODE],0),)," ")</f>
        <v>MAISHA MUSSARRAT</v>
      </c>
      <c r="I4406" s="223" t="s">
        <v>1228</v>
      </c>
      <c r="J4406" s="377" t="s">
        <v>316</v>
      </c>
      <c r="K4406" s="225">
        <v>1028.25</v>
      </c>
      <c r="L4406" s="225"/>
    </row>
    <row r="4407" spans="1:12" ht="11.25" customHeight="1" x14ac:dyDescent="0.2">
      <c r="A4407" s="156">
        <v>2024</v>
      </c>
      <c r="B4407" s="164">
        <v>2</v>
      </c>
      <c r="C4407" s="164">
        <v>6</v>
      </c>
      <c r="D4407" s="164">
        <f t="shared" si="471"/>
        <v>45328</v>
      </c>
      <c r="E4407" s="276">
        <f t="shared" si="476"/>
        <v>45328</v>
      </c>
      <c r="F4407" s="480"/>
      <c r="G4407" s="208" t="s">
        <v>86</v>
      </c>
      <c r="H4407" s="206" t="str" cm="1">
        <f t="array" ref="H4407">IFERROR(INDEX(INVESTOR_LIST[INVESTOR NAME],MATCH(I4407,INVESTOR_LIST[INVESTOR CODE],0),)," ")</f>
        <v>MAISHA MUSSARRAT</v>
      </c>
      <c r="I4407" s="206" t="s">
        <v>1228</v>
      </c>
      <c r="J4407" s="378" t="s">
        <v>14</v>
      </c>
      <c r="K4407" s="205"/>
      <c r="L4407" s="205">
        <v>1000</v>
      </c>
    </row>
    <row r="4408" spans="1:12" ht="11.25" customHeight="1" x14ac:dyDescent="0.2">
      <c r="A4408" s="156">
        <v>2024</v>
      </c>
      <c r="B4408" s="226">
        <v>2</v>
      </c>
      <c r="C4408" s="226">
        <v>6</v>
      </c>
      <c r="D4408" s="164">
        <f t="shared" si="471"/>
        <v>45328</v>
      </c>
      <c r="E4408" s="276">
        <f t="shared" si="476"/>
        <v>45328</v>
      </c>
      <c r="F4408" s="480"/>
      <c r="G4408" s="208" t="s">
        <v>86</v>
      </c>
      <c r="H4408" s="228" t="str" cm="1">
        <f t="array" ref="H4408">IFERROR(INDEX(INVESTOR_LIST[INVESTOR NAME],MATCH(I4408,INVESTOR_LIST[INVESTOR CODE],0),)," ")</f>
        <v>MAISHA MUSSARRAT</v>
      </c>
      <c r="I4408" s="228" t="s">
        <v>1228</v>
      </c>
      <c r="J4408" s="378" t="s">
        <v>56</v>
      </c>
      <c r="K4408" s="230"/>
      <c r="L4408" s="205">
        <v>28.25</v>
      </c>
    </row>
    <row r="4409" spans="1:12" ht="11.25" customHeight="1" x14ac:dyDescent="0.2">
      <c r="A4409" s="221">
        <v>2024</v>
      </c>
      <c r="B4409" s="221">
        <v>2</v>
      </c>
      <c r="C4409" s="221">
        <v>6</v>
      </c>
      <c r="D4409" s="231">
        <f t="shared" si="471"/>
        <v>45328</v>
      </c>
      <c r="E4409" s="233">
        <f t="shared" si="474"/>
        <v>45328</v>
      </c>
      <c r="F4409" s="478" t="s">
        <v>1115</v>
      </c>
      <c r="G4409" s="222" t="s">
        <v>1111</v>
      </c>
      <c r="H4409" s="223" t="str" cm="1">
        <f t="array" ref="H4409">IFERROR(INDEX(INVESTOR_LIST[INVESTOR NAME],MATCH(I4409,INVESTOR_LIST[INVESTOR CODE],0),)," ")</f>
        <v>MAISHA MUSSARRAT</v>
      </c>
      <c r="I4409" s="223" t="s">
        <v>1228</v>
      </c>
      <c r="J4409" s="224" t="s">
        <v>14</v>
      </c>
      <c r="K4409" s="225">
        <v>42130</v>
      </c>
      <c r="L4409" s="225"/>
    </row>
    <row r="4410" spans="1:12" ht="11.25" customHeight="1" x14ac:dyDescent="0.2">
      <c r="A4410" s="164">
        <v>2024</v>
      </c>
      <c r="B4410" s="164">
        <v>2</v>
      </c>
      <c r="C4410" s="164">
        <v>6</v>
      </c>
      <c r="D4410" s="156">
        <f t="shared" si="471"/>
        <v>45328</v>
      </c>
      <c r="E4410" s="235">
        <f t="shared" si="474"/>
        <v>45328</v>
      </c>
      <c r="F4410" s="480"/>
      <c r="G4410" s="208" t="s">
        <v>1111</v>
      </c>
      <c r="H4410" s="206" t="str" cm="1">
        <f t="array" ref="H4410">IFERROR(INDEX(INVESTOR_LIST[INVESTOR NAME],MATCH(I4410,INVESTOR_LIST[INVESTOR CODE],0),)," ")</f>
        <v>MAISHA MUSSARRAT</v>
      </c>
      <c r="I4410" s="206" t="s">
        <v>1228</v>
      </c>
      <c r="J4410" s="165" t="s">
        <v>1112</v>
      </c>
      <c r="K4410" s="205">
        <v>525.91999999999803</v>
      </c>
    </row>
    <row r="4411" spans="1:12" ht="11.25" customHeight="1" x14ac:dyDescent="0.2">
      <c r="A4411" s="226">
        <v>2024</v>
      </c>
      <c r="B4411" s="226">
        <v>2</v>
      </c>
      <c r="C4411" s="226">
        <v>6</v>
      </c>
      <c r="D4411" s="232">
        <f t="shared" si="471"/>
        <v>45328</v>
      </c>
      <c r="E4411" s="234">
        <f t="shared" si="474"/>
        <v>45328</v>
      </c>
      <c r="F4411" s="479"/>
      <c r="G4411" s="227" t="s">
        <v>1111</v>
      </c>
      <c r="H4411" s="228" t="str" cm="1">
        <f t="array" ref="H4411">IFERROR(INDEX(INVESTOR_LIST[INVESTOR NAME],MATCH(I4411,INVESTOR_LIST[INVESTOR CODE],0),)," ")</f>
        <v>MAISHA MUSSARRAT</v>
      </c>
      <c r="I4411" s="228" t="s">
        <v>1228</v>
      </c>
      <c r="J4411" s="229" t="s">
        <v>55</v>
      </c>
      <c r="K4411" s="230"/>
      <c r="L4411" s="230">
        <v>42655.92</v>
      </c>
    </row>
    <row r="4412" spans="1:12" ht="11.25" customHeight="1" x14ac:dyDescent="0.2">
      <c r="A4412" s="221">
        <v>2024</v>
      </c>
      <c r="B4412" s="221">
        <v>2</v>
      </c>
      <c r="C4412" s="221">
        <v>8</v>
      </c>
      <c r="D4412" s="231">
        <f t="shared" si="471"/>
        <v>45330</v>
      </c>
      <c r="E4412" s="233">
        <f>DATE(A4412,B4412,C4412)</f>
        <v>45330</v>
      </c>
      <c r="F4412" s="478" t="s">
        <v>1590</v>
      </c>
      <c r="G4412" s="222" t="s">
        <v>1111</v>
      </c>
      <c r="H4412" s="223" t="str" cm="1">
        <f t="array" ref="H4412">IFERROR(INDEX(INVESTOR_LIST[INVESTOR NAME],MATCH(I4412,INVESTOR_LIST[INVESTOR CODE],0),)," ")</f>
        <v xml:space="preserve"> </v>
      </c>
      <c r="I4412" s="223"/>
      <c r="J4412" s="224" t="s">
        <v>55</v>
      </c>
      <c r="K4412" s="225">
        <v>1149447.26</v>
      </c>
      <c r="L4412" s="225"/>
    </row>
    <row r="4413" spans="1:12" ht="11.25" customHeight="1" x14ac:dyDescent="0.2">
      <c r="A4413" s="226">
        <v>2024</v>
      </c>
      <c r="B4413" s="226">
        <v>2</v>
      </c>
      <c r="C4413" s="226">
        <v>8</v>
      </c>
      <c r="D4413" s="232">
        <f t="shared" si="471"/>
        <v>45330</v>
      </c>
      <c r="E4413" s="234">
        <f>DATE(A4413,B4413,C4413)</f>
        <v>45330</v>
      </c>
      <c r="F4413" s="479"/>
      <c r="G4413" s="227" t="s">
        <v>1111</v>
      </c>
      <c r="H4413" s="228" t="str" cm="1">
        <f t="array" ref="H4413">IFERROR(INDEX(INVESTOR_LIST[INVESTOR NAME],MATCH(I4413,INVESTOR_LIST[INVESTOR CODE],0),)," ")</f>
        <v xml:space="preserve"> </v>
      </c>
      <c r="I4413" s="228"/>
      <c r="J4413" s="229" t="s">
        <v>199</v>
      </c>
      <c r="K4413" s="230"/>
      <c r="L4413" s="230">
        <v>1149447.26</v>
      </c>
    </row>
    <row r="4414" spans="1:12" ht="11.25" customHeight="1" x14ac:dyDescent="0.2">
      <c r="A4414" s="221">
        <v>2024</v>
      </c>
      <c r="B4414" s="221">
        <v>2</v>
      </c>
      <c r="C4414" s="221">
        <v>8</v>
      </c>
      <c r="D4414" s="231">
        <f t="shared" si="471"/>
        <v>45330</v>
      </c>
      <c r="E4414" s="233">
        <f t="shared" ref="E4414:E4437" si="477">DATE(A4414,B4414,C4414)</f>
        <v>45330</v>
      </c>
      <c r="F4414" s="478" t="s">
        <v>1115</v>
      </c>
      <c r="G4414" s="222" t="s">
        <v>1111</v>
      </c>
      <c r="H4414" s="223" t="str" cm="1">
        <f t="array" ref="H4414">IFERROR(INDEX(INVESTOR_LIST[INVESTOR NAME],MATCH(I4414,INVESTOR_LIST[INVESTOR CODE],0),)," ")</f>
        <v>MASTURA MUNIAT</v>
      </c>
      <c r="I4414" s="223" t="s">
        <v>679</v>
      </c>
      <c r="J4414" s="224" t="s">
        <v>14</v>
      </c>
      <c r="K4414" s="225">
        <v>190340</v>
      </c>
      <c r="L4414" s="225"/>
    </row>
    <row r="4415" spans="1:12" ht="11.25" customHeight="1" x14ac:dyDescent="0.2">
      <c r="A4415" s="164">
        <v>2024</v>
      </c>
      <c r="B4415" s="164">
        <v>2</v>
      </c>
      <c r="C4415" s="164">
        <v>8</v>
      </c>
      <c r="D4415" s="156">
        <f t="shared" si="471"/>
        <v>45330</v>
      </c>
      <c r="E4415" s="235">
        <f t="shared" si="477"/>
        <v>45330</v>
      </c>
      <c r="F4415" s="480"/>
      <c r="G4415" s="208" t="s">
        <v>1111</v>
      </c>
      <c r="H4415" s="206" t="str" cm="1">
        <f t="array" ref="H4415">IFERROR(INDEX(INVESTOR_LIST[INVESTOR NAME],MATCH(I4415,INVESTOR_LIST[INVESTOR CODE],0),)," ")</f>
        <v>MASTURA MUNIAT</v>
      </c>
      <c r="I4415" s="206" t="s">
        <v>679</v>
      </c>
      <c r="J4415" s="165" t="s">
        <v>1112</v>
      </c>
      <c r="K4415" s="205">
        <v>7061.1000000000058</v>
      </c>
    </row>
    <row r="4416" spans="1:12" ht="11.25" customHeight="1" x14ac:dyDescent="0.2">
      <c r="A4416" s="226">
        <v>2024</v>
      </c>
      <c r="B4416" s="226">
        <v>2</v>
      </c>
      <c r="C4416" s="226">
        <v>8</v>
      </c>
      <c r="D4416" s="232">
        <f t="shared" si="471"/>
        <v>45330</v>
      </c>
      <c r="E4416" s="234">
        <f t="shared" si="477"/>
        <v>45330</v>
      </c>
      <c r="F4416" s="479"/>
      <c r="G4416" s="227" t="s">
        <v>1111</v>
      </c>
      <c r="H4416" s="228" t="str" cm="1">
        <f t="array" ref="H4416">IFERROR(INDEX(INVESTOR_LIST[INVESTOR NAME],MATCH(I4416,INVESTOR_LIST[INVESTOR CODE],0),)," ")</f>
        <v>MASTURA MUNIAT</v>
      </c>
      <c r="I4416" s="228" t="s">
        <v>679</v>
      </c>
      <c r="J4416" s="229" t="s">
        <v>55</v>
      </c>
      <c r="K4416" s="230"/>
      <c r="L4416" s="230">
        <v>197401.1</v>
      </c>
    </row>
    <row r="4417" spans="1:13" ht="11.25" customHeight="1" x14ac:dyDescent="0.2">
      <c r="A4417" s="221">
        <v>2024</v>
      </c>
      <c r="B4417" s="221">
        <v>2</v>
      </c>
      <c r="C4417" s="221">
        <v>8</v>
      </c>
      <c r="D4417" s="221">
        <f t="shared" si="471"/>
        <v>45330</v>
      </c>
      <c r="E4417" s="233">
        <f t="shared" si="477"/>
        <v>45330</v>
      </c>
      <c r="F4417" s="478" t="s">
        <v>1589</v>
      </c>
      <c r="G4417" s="222" t="s">
        <v>86</v>
      </c>
      <c r="H4417" s="222" t="str" cm="1">
        <f t="array" ref="H4417">IFERROR(INDEX(INVESTOR_LIST[INVESTOR NAME],MATCH(I4417,INVESTOR_LIST[INVESTOR CODE],0),)," ")</f>
        <v xml:space="preserve"> </v>
      </c>
      <c r="I4417" s="223"/>
      <c r="J4417" s="165" t="s">
        <v>199</v>
      </c>
      <c r="K4417" s="225">
        <v>10685731.01</v>
      </c>
      <c r="L4417" s="225"/>
    </row>
    <row r="4418" spans="1:13" ht="11.25" customHeight="1" x14ac:dyDescent="0.2">
      <c r="A4418" s="164">
        <v>2024</v>
      </c>
      <c r="B4418" s="164">
        <v>2</v>
      </c>
      <c r="C4418" s="164">
        <v>8</v>
      </c>
      <c r="D4418" s="164">
        <f t="shared" si="471"/>
        <v>45330</v>
      </c>
      <c r="E4418" s="235">
        <f t="shared" si="477"/>
        <v>45330</v>
      </c>
      <c r="F4418" s="480"/>
      <c r="G4418" s="208" t="s">
        <v>86</v>
      </c>
      <c r="H4418" s="208"/>
      <c r="J4418" s="165" t="s">
        <v>960</v>
      </c>
      <c r="K4418" s="205">
        <v>19268.990000000002</v>
      </c>
      <c r="L4418" s="205"/>
    </row>
    <row r="4419" spans="1:13" ht="11.25" customHeight="1" x14ac:dyDescent="0.2">
      <c r="A4419" s="164">
        <v>2024</v>
      </c>
      <c r="B4419" s="164">
        <v>2</v>
      </c>
      <c r="C4419" s="164">
        <v>8</v>
      </c>
      <c r="D4419" s="164">
        <f t="shared" si="471"/>
        <v>45330</v>
      </c>
      <c r="E4419" s="235">
        <f t="shared" si="477"/>
        <v>45330</v>
      </c>
      <c r="F4419" s="480"/>
      <c r="G4419" s="208" t="s">
        <v>86</v>
      </c>
      <c r="H4419" s="208"/>
      <c r="J4419" s="165" t="s">
        <v>200</v>
      </c>
      <c r="K4419" s="205">
        <v>1817801.99</v>
      </c>
      <c r="L4419" s="205"/>
    </row>
    <row r="4420" spans="1:13" ht="11.25" customHeight="1" x14ac:dyDescent="0.2">
      <c r="A4420" s="226">
        <v>2024</v>
      </c>
      <c r="B4420" s="226">
        <v>2</v>
      </c>
      <c r="C4420" s="226">
        <v>8</v>
      </c>
      <c r="D4420" s="226">
        <f t="shared" si="471"/>
        <v>45330</v>
      </c>
      <c r="E4420" s="234">
        <f t="shared" si="477"/>
        <v>45330</v>
      </c>
      <c r="F4420" s="479"/>
      <c r="G4420" s="227" t="s">
        <v>86</v>
      </c>
      <c r="H4420" s="228" t="str" cm="1">
        <f t="array" ref="H4420">IFERROR(INDEX(INVESTOR_LIST[INVESTOR NAME],MATCH(I4420,INVESTOR_LIST[INVESTOR CODE],0),)," ")</f>
        <v xml:space="preserve"> </v>
      </c>
      <c r="I4420" s="228"/>
      <c r="J4420" s="229" t="s">
        <v>80</v>
      </c>
      <c r="K4420" s="230"/>
      <c r="L4420" s="230">
        <v>12522801.99</v>
      </c>
    </row>
    <row r="4421" spans="1:13" ht="11.25" customHeight="1" x14ac:dyDescent="0.2">
      <c r="A4421" s="280">
        <v>2024</v>
      </c>
      <c r="B4421" s="280">
        <v>2</v>
      </c>
      <c r="C4421" s="280">
        <v>8</v>
      </c>
      <c r="D4421" s="281">
        <f t="shared" si="471"/>
        <v>45330</v>
      </c>
      <c r="E4421" s="282">
        <f t="shared" si="477"/>
        <v>45330</v>
      </c>
      <c r="F4421" s="472" t="s">
        <v>1584</v>
      </c>
      <c r="G4421" s="283" t="s">
        <v>86</v>
      </c>
      <c r="H4421" s="284" t="str" cm="1">
        <f t="array" ref="H4421">IFERROR(INDEX(INVESTOR_LIST[INVESTOR NAME],MATCH(I4421,INVESTOR_LIST[INVESTOR CODE],0),)," ")</f>
        <v xml:space="preserve"> </v>
      </c>
      <c r="I4421" s="284"/>
      <c r="J4421" s="285" t="s">
        <v>131</v>
      </c>
      <c r="K4421" s="286">
        <v>7307.6923076923076</v>
      </c>
      <c r="L4421" s="286"/>
    </row>
    <row r="4422" spans="1:13" ht="11.25" customHeight="1" x14ac:dyDescent="0.2">
      <c r="A4422" s="287">
        <v>2024</v>
      </c>
      <c r="B4422" s="287">
        <v>2</v>
      </c>
      <c r="C4422" s="287">
        <v>8</v>
      </c>
      <c r="D4422" s="288">
        <f t="shared" si="471"/>
        <v>45330</v>
      </c>
      <c r="E4422" s="289">
        <f t="shared" si="477"/>
        <v>45330</v>
      </c>
      <c r="F4422" s="473"/>
      <c r="G4422" s="290" t="s">
        <v>86</v>
      </c>
      <c r="H4422" s="291" t="str" cm="1">
        <f t="array" ref="H4422">IFERROR(INDEX(INVESTOR_LIST[INVESTOR NAME],MATCH(I4422,INVESTOR_LIST[INVESTOR CODE],0),)," ")</f>
        <v xml:space="preserve"> </v>
      </c>
      <c r="I4422" s="291"/>
      <c r="J4422" s="292" t="s">
        <v>174</v>
      </c>
      <c r="K4422" s="293"/>
      <c r="L4422" s="293">
        <v>7307.6923076923076</v>
      </c>
    </row>
    <row r="4423" spans="1:13" ht="11.25" customHeight="1" x14ac:dyDescent="0.2">
      <c r="A4423" s="358">
        <v>2024</v>
      </c>
      <c r="B4423" s="358">
        <v>2</v>
      </c>
      <c r="C4423" s="358">
        <v>8</v>
      </c>
      <c r="D4423" s="312">
        <f t="shared" si="471"/>
        <v>45330</v>
      </c>
      <c r="E4423" s="313">
        <f t="shared" si="477"/>
        <v>45330</v>
      </c>
      <c r="F4423" s="482" t="s">
        <v>1627</v>
      </c>
      <c r="G4423" s="314" t="s">
        <v>86</v>
      </c>
      <c r="H4423" s="324" t="str" cm="1">
        <f t="array" ref="H4423">IFERROR(INDEX(INVESTOR_LIST[INVESTOR NAME],MATCH(I4423,INVESTOR_LIST[INVESTOR CODE],0),)," ")</f>
        <v xml:space="preserve"> </v>
      </c>
      <c r="I4423" s="324"/>
      <c r="J4423" s="364" t="s">
        <v>1621</v>
      </c>
      <c r="K4423" s="365">
        <v>160278.10000000894</v>
      </c>
      <c r="L4423" s="365"/>
    </row>
    <row r="4424" spans="1:13" ht="11.25" customHeight="1" x14ac:dyDescent="0.2">
      <c r="A4424" s="320">
        <v>2024</v>
      </c>
      <c r="B4424" s="320">
        <v>2</v>
      </c>
      <c r="C4424" s="320">
        <v>8</v>
      </c>
      <c r="D4424" s="323">
        <f t="shared" si="471"/>
        <v>45330</v>
      </c>
      <c r="E4424" s="321">
        <f t="shared" si="477"/>
        <v>45330</v>
      </c>
      <c r="F4424" s="483"/>
      <c r="G4424" s="322" t="s">
        <v>86</v>
      </c>
      <c r="H4424" s="325" t="str" cm="1">
        <f t="array" ref="H4424">IFERROR(INDEX(INVESTOR_LIST[INVESTOR NAME],MATCH(I4424,INVESTOR_LIST[INVESTOR CODE],0),)," ")</f>
        <v xml:space="preserve"> </v>
      </c>
      <c r="I4424" s="325"/>
      <c r="J4424" s="366" t="s">
        <v>1613</v>
      </c>
      <c r="K4424" s="367"/>
      <c r="L4424" s="367">
        <v>160278.10000000894</v>
      </c>
    </row>
    <row r="4425" spans="1:13" ht="11.25" customHeight="1" x14ac:dyDescent="0.2">
      <c r="A4425" s="236">
        <v>2024</v>
      </c>
      <c r="B4425" s="236">
        <v>2</v>
      </c>
      <c r="C4425" s="236">
        <v>8</v>
      </c>
      <c r="D4425" s="237">
        <f t="shared" ref="D4425:D4488" si="478">DATE(A4425,B4425,C4425)</f>
        <v>45330</v>
      </c>
      <c r="E4425" s="238">
        <f t="shared" si="477"/>
        <v>45330</v>
      </c>
      <c r="F4425" s="476" t="s">
        <v>1118</v>
      </c>
      <c r="G4425" s="239" t="s">
        <v>86</v>
      </c>
      <c r="H4425" s="239" t="str" cm="1">
        <f t="array" ref="H4425">IFERROR(INDEX(INVESTOR_LIST[INVESTOR NAME],MATCH(I4425,INVESTOR_LIST[INVESTOR CODE],0),)," ")</f>
        <v xml:space="preserve"> </v>
      </c>
      <c r="I4425" s="240"/>
      <c r="J4425" s="241" t="s">
        <v>98</v>
      </c>
      <c r="K4425" s="242">
        <v>975944.73999999464</v>
      </c>
      <c r="L4425" s="242"/>
    </row>
    <row r="4426" spans="1:13" ht="11.25" customHeight="1" x14ac:dyDescent="0.2">
      <c r="A4426" s="243">
        <v>2024</v>
      </c>
      <c r="B4426" s="243">
        <v>2</v>
      </c>
      <c r="C4426" s="243">
        <v>8</v>
      </c>
      <c r="D4426" s="248">
        <f t="shared" si="478"/>
        <v>45330</v>
      </c>
      <c r="E4426" s="249">
        <f t="shared" si="477"/>
        <v>45330</v>
      </c>
      <c r="F4426" s="477"/>
      <c r="G4426" s="244" t="s">
        <v>86</v>
      </c>
      <c r="H4426" s="244" t="str" cm="1">
        <f t="array" ref="H4426">IFERROR(INDEX(INVESTOR_LIST[INVESTOR NAME],MATCH(I4426,INVESTOR_LIST[INVESTOR CODE],0),)," ")</f>
        <v xml:space="preserve"> </v>
      </c>
      <c r="I4426" s="245"/>
      <c r="J4426" s="246" t="s">
        <v>82</v>
      </c>
      <c r="K4426" s="247"/>
      <c r="L4426" s="247">
        <v>975944.73999999464</v>
      </c>
    </row>
    <row r="4427" spans="1:13" ht="11.25" customHeight="1" x14ac:dyDescent="0.2">
      <c r="A4427" s="236">
        <v>2024</v>
      </c>
      <c r="B4427" s="236">
        <v>2</v>
      </c>
      <c r="C4427" s="236">
        <v>8</v>
      </c>
      <c r="D4427" s="237">
        <f t="shared" si="478"/>
        <v>45330</v>
      </c>
      <c r="E4427" s="238">
        <f t="shared" si="477"/>
        <v>45330</v>
      </c>
      <c r="F4427" s="476" t="s">
        <v>1120</v>
      </c>
      <c r="G4427" s="239" t="s">
        <v>86</v>
      </c>
      <c r="H4427" s="239" t="str" cm="1">
        <f t="array" ref="H4427">IFERROR(INDEX(INVESTOR_LIST[INVESTOR NAME],MATCH(I4427,INVESTOR_LIST[INVESTOR CODE],0),)," ")</f>
        <v xml:space="preserve"> </v>
      </c>
      <c r="I4427" s="240"/>
      <c r="J4427" s="241" t="s">
        <v>87</v>
      </c>
      <c r="K4427" s="242">
        <f>M4427</f>
        <v>2747.2527472527472</v>
      </c>
      <c r="L4427" s="242"/>
      <c r="M4427" s="156">
        <v>2747.2527472527472</v>
      </c>
    </row>
    <row r="4428" spans="1:13" ht="11.25" customHeight="1" x14ac:dyDescent="0.2">
      <c r="A4428" s="243">
        <v>2024</v>
      </c>
      <c r="B4428" s="243">
        <v>2</v>
      </c>
      <c r="C4428" s="243">
        <v>8</v>
      </c>
      <c r="D4428" s="248">
        <f t="shared" si="478"/>
        <v>45330</v>
      </c>
      <c r="E4428" s="249">
        <f t="shared" si="477"/>
        <v>45330</v>
      </c>
      <c r="F4428" s="477"/>
      <c r="G4428" s="244" t="s">
        <v>86</v>
      </c>
      <c r="H4428" s="244" t="str" cm="1">
        <f t="array" ref="H4428">IFERROR(INDEX(INVESTOR_LIST[INVESTOR NAME],MATCH(I4428,INVESTOR_LIST[INVESTOR CODE],0),)," ")</f>
        <v xml:space="preserve"> </v>
      </c>
      <c r="I4428" s="245"/>
      <c r="J4428" s="246" t="s">
        <v>64</v>
      </c>
      <c r="K4428" s="247"/>
      <c r="L4428" s="247">
        <f>K4427</f>
        <v>2747.2527472527472</v>
      </c>
      <c r="M4428" s="156">
        <v>68842.261653809546</v>
      </c>
    </row>
    <row r="4429" spans="1:13" ht="11.25" customHeight="1" x14ac:dyDescent="0.2">
      <c r="A4429" s="236">
        <v>2024</v>
      </c>
      <c r="B4429" s="236">
        <v>2</v>
      </c>
      <c r="C4429" s="236">
        <v>8</v>
      </c>
      <c r="D4429" s="237">
        <f t="shared" si="478"/>
        <v>45330</v>
      </c>
      <c r="E4429" s="238">
        <f t="shared" si="477"/>
        <v>45330</v>
      </c>
      <c r="F4429" s="476" t="s">
        <v>1121</v>
      </c>
      <c r="G4429" s="239" t="s">
        <v>86</v>
      </c>
      <c r="H4429" s="239" t="str" cm="1">
        <f t="array" ref="H4429">IFERROR(INDEX(INVESTOR_LIST[INVESTOR NAME],MATCH(I4429,INVESTOR_LIST[INVESTOR CODE],0),)," ")</f>
        <v xml:space="preserve"> </v>
      </c>
      <c r="I4429" s="240"/>
      <c r="J4429" s="241" t="s">
        <v>89</v>
      </c>
      <c r="K4429" s="242">
        <f>M4428</f>
        <v>68842.261653809546</v>
      </c>
      <c r="L4429" s="242"/>
      <c r="M4429" s="156">
        <v>3201.7284673058621</v>
      </c>
    </row>
    <row r="4430" spans="1:13" ht="11.25" customHeight="1" x14ac:dyDescent="0.2">
      <c r="A4430" s="243">
        <v>2024</v>
      </c>
      <c r="B4430" s="243">
        <v>2</v>
      </c>
      <c r="C4430" s="243">
        <v>8</v>
      </c>
      <c r="D4430" s="248">
        <f t="shared" si="478"/>
        <v>45330</v>
      </c>
      <c r="E4430" s="249">
        <f t="shared" si="477"/>
        <v>45330</v>
      </c>
      <c r="F4430" s="477"/>
      <c r="G4430" s="244" t="s">
        <v>86</v>
      </c>
      <c r="H4430" s="244" t="str" cm="1">
        <f t="array" ref="H4430">IFERROR(INDEX(INVESTOR_LIST[INVESTOR NAME],MATCH(I4430,INVESTOR_LIST[INVESTOR CODE],0),)," ")</f>
        <v xml:space="preserve"> </v>
      </c>
      <c r="I4430" s="245"/>
      <c r="J4430" s="246" t="s">
        <v>50</v>
      </c>
      <c r="K4430" s="247"/>
      <c r="L4430" s="247">
        <f>K4429</f>
        <v>68842.261653809546</v>
      </c>
    </row>
    <row r="4431" spans="1:13" ht="11.25" customHeight="1" x14ac:dyDescent="0.2">
      <c r="A4431" s="236">
        <v>2024</v>
      </c>
      <c r="B4431" s="236">
        <v>2</v>
      </c>
      <c r="C4431" s="236">
        <v>8</v>
      </c>
      <c r="D4431" s="237">
        <f t="shared" si="478"/>
        <v>45330</v>
      </c>
      <c r="E4431" s="238">
        <f t="shared" si="477"/>
        <v>45330</v>
      </c>
      <c r="F4431" s="476" t="s">
        <v>1122</v>
      </c>
      <c r="G4431" s="239" t="s">
        <v>86</v>
      </c>
      <c r="H4431" s="239" t="str" cm="1">
        <f t="array" ref="H4431">IFERROR(INDEX(INVESTOR_LIST[INVESTOR NAME],MATCH(I4431,INVESTOR_LIST[INVESTOR CODE],0),)," ")</f>
        <v xml:space="preserve"> </v>
      </c>
      <c r="I4431" s="240"/>
      <c r="J4431" s="241" t="s">
        <v>91</v>
      </c>
      <c r="K4431" s="242">
        <f>M4429</f>
        <v>3201.7284673058621</v>
      </c>
      <c r="L4431" s="242"/>
    </row>
    <row r="4432" spans="1:13" ht="11.25" customHeight="1" x14ac:dyDescent="0.2">
      <c r="A4432" s="243">
        <v>2024</v>
      </c>
      <c r="B4432" s="243">
        <v>2</v>
      </c>
      <c r="C4432" s="243">
        <v>8</v>
      </c>
      <c r="D4432" s="248">
        <f t="shared" si="478"/>
        <v>45330</v>
      </c>
      <c r="E4432" s="249">
        <f t="shared" si="477"/>
        <v>45330</v>
      </c>
      <c r="F4432" s="477"/>
      <c r="G4432" s="244" t="s">
        <v>86</v>
      </c>
      <c r="H4432" s="244" t="str" cm="1">
        <f t="array" ref="H4432">IFERROR(INDEX(INVESTOR_LIST[INVESTOR NAME],MATCH(I4432,INVESTOR_LIST[INVESTOR CODE],0),)," ")</f>
        <v xml:space="preserve"> </v>
      </c>
      <c r="I4432" s="245"/>
      <c r="J4432" s="246" t="s">
        <v>51</v>
      </c>
      <c r="K4432" s="247"/>
      <c r="L4432" s="247">
        <f>K4431</f>
        <v>3201.7284673058621</v>
      </c>
    </row>
    <row r="4433" spans="1:21" ht="11.25" customHeight="1" x14ac:dyDescent="0.2">
      <c r="A4433" s="221">
        <v>2024</v>
      </c>
      <c r="B4433" s="221">
        <v>2</v>
      </c>
      <c r="C4433" s="221">
        <v>11</v>
      </c>
      <c r="D4433" s="231">
        <f t="shared" si="478"/>
        <v>45333</v>
      </c>
      <c r="E4433" s="233">
        <f t="shared" si="477"/>
        <v>45333</v>
      </c>
      <c r="F4433" s="478" t="s">
        <v>1692</v>
      </c>
      <c r="G4433" s="222" t="s">
        <v>1111</v>
      </c>
      <c r="H4433" s="223" t="str" cm="1">
        <f t="array" ref="H4433">IFERROR(INDEX(INVESTOR_LIST[INVESTOR NAME],MATCH(I4433,INVESTOR_LIST[INVESTOR CODE],0),)," ")</f>
        <v xml:space="preserve"> </v>
      </c>
      <c r="I4433" s="223"/>
      <c r="J4433" s="165" t="s">
        <v>55</v>
      </c>
      <c r="K4433" s="225">
        <v>12375</v>
      </c>
      <c r="L4433" s="225"/>
    </row>
    <row r="4434" spans="1:21" ht="11.25" customHeight="1" x14ac:dyDescent="0.2">
      <c r="A4434" s="164">
        <v>2024</v>
      </c>
      <c r="B4434" s="164">
        <v>2</v>
      </c>
      <c r="C4434" s="164">
        <v>11</v>
      </c>
      <c r="D4434" s="156">
        <f t="shared" si="478"/>
        <v>45333</v>
      </c>
      <c r="E4434" s="235">
        <f t="shared" ref="E4434" si="479">DATE(A4434,B4434,C4434)</f>
        <v>45333</v>
      </c>
      <c r="F4434" s="480"/>
      <c r="G4434" s="208" t="s">
        <v>1111</v>
      </c>
      <c r="H4434" s="206" t="str" cm="1">
        <f t="array" ref="H4434">IFERROR(INDEX(INVESTOR_LIST[INVESTOR NAME],MATCH(I4434,INVESTOR_LIST[INVESTOR CODE],0),)," ")</f>
        <v xml:space="preserve"> </v>
      </c>
      <c r="J4434" s="165" t="s">
        <v>63</v>
      </c>
      <c r="K4434" s="205">
        <v>125</v>
      </c>
      <c r="L4434" s="205"/>
    </row>
    <row r="4435" spans="1:21" ht="11.25" customHeight="1" x14ac:dyDescent="0.2">
      <c r="A4435" s="226">
        <v>2024</v>
      </c>
      <c r="B4435" s="226">
        <v>2</v>
      </c>
      <c r="C4435" s="226">
        <v>11</v>
      </c>
      <c r="D4435" s="232">
        <f t="shared" si="478"/>
        <v>45333</v>
      </c>
      <c r="E4435" s="234">
        <f t="shared" si="477"/>
        <v>45333</v>
      </c>
      <c r="F4435" s="479"/>
      <c r="G4435" s="227" t="s">
        <v>1111</v>
      </c>
      <c r="H4435" s="228" t="str" cm="1">
        <f t="array" ref="H4435">IFERROR(INDEX(INVESTOR_LIST[INVESTOR NAME],MATCH(I4435,INVESTOR_LIST[INVESTOR CODE],0),)," ")</f>
        <v xml:space="preserve"> </v>
      </c>
      <c r="I4435" s="228"/>
      <c r="J4435" s="229" t="s">
        <v>63</v>
      </c>
      <c r="K4435" s="230"/>
      <c r="L4435" s="230">
        <v>12500</v>
      </c>
    </row>
    <row r="4436" spans="1:21" ht="11.25" customHeight="1" x14ac:dyDescent="0.2">
      <c r="A4436" s="221">
        <v>2024</v>
      </c>
      <c r="B4436" s="221">
        <v>2</v>
      </c>
      <c r="C4436" s="221">
        <v>12</v>
      </c>
      <c r="D4436" s="231">
        <f t="shared" si="478"/>
        <v>45334</v>
      </c>
      <c r="E4436" s="233">
        <f t="shared" si="477"/>
        <v>45334</v>
      </c>
      <c r="F4436" s="478" t="s">
        <v>1693</v>
      </c>
      <c r="G4436" s="222" t="s">
        <v>1111</v>
      </c>
      <c r="H4436" s="222" t="str" cm="1">
        <f t="array" ref="H4436">IFERROR(INDEX(INVESTOR_LIST[INVESTOR NAME],MATCH(I4436,INVESTOR_LIST[INVESTOR CODE],0),)," ")</f>
        <v xml:space="preserve"> </v>
      </c>
      <c r="I4436" s="223"/>
      <c r="J4436" s="224" t="s">
        <v>1465</v>
      </c>
      <c r="K4436" s="357">
        <v>5835018</v>
      </c>
      <c r="L4436" s="225"/>
    </row>
    <row r="4437" spans="1:21" ht="11.25" customHeight="1" x14ac:dyDescent="0.2">
      <c r="A4437" s="226">
        <v>2024</v>
      </c>
      <c r="B4437" s="226">
        <v>2</v>
      </c>
      <c r="C4437" s="226">
        <v>12</v>
      </c>
      <c r="D4437" s="226">
        <f t="shared" si="478"/>
        <v>45334</v>
      </c>
      <c r="E4437" s="234">
        <f t="shared" si="477"/>
        <v>45334</v>
      </c>
      <c r="F4437" s="479"/>
      <c r="G4437" s="227" t="s">
        <v>1111</v>
      </c>
      <c r="H4437" s="227"/>
      <c r="I4437" s="228"/>
      <c r="J4437" s="229" t="s">
        <v>55</v>
      </c>
      <c r="K4437" s="294"/>
      <c r="L4437" s="230">
        <v>5835018</v>
      </c>
    </row>
    <row r="4438" spans="1:21" ht="11.25" customHeight="1" x14ac:dyDescent="0.2">
      <c r="A4438" s="221">
        <v>2024</v>
      </c>
      <c r="B4438" s="221">
        <v>2</v>
      </c>
      <c r="C4438" s="221">
        <v>12</v>
      </c>
      <c r="D4438" s="221">
        <f t="shared" si="478"/>
        <v>45334</v>
      </c>
      <c r="E4438" s="233">
        <f t="shared" ref="E4438:E4444" si="480">DATE(A4438,B4438,C4438)</f>
        <v>45334</v>
      </c>
      <c r="F4438" s="478" t="s">
        <v>1589</v>
      </c>
      <c r="G4438" s="222" t="s">
        <v>86</v>
      </c>
      <c r="H4438" s="222" t="str" cm="1">
        <f t="array" ref="H4438">IFERROR(INDEX(INVESTOR_LIST[INVESTOR NAME],MATCH(I4438,INVESTOR_LIST[INVESTOR CODE],0),)," ")</f>
        <v xml:space="preserve"> </v>
      </c>
      <c r="I4438" s="223"/>
      <c r="J4438" s="165" t="s">
        <v>199</v>
      </c>
      <c r="K4438" s="225">
        <v>1896623.82</v>
      </c>
      <c r="L4438" s="225"/>
    </row>
    <row r="4439" spans="1:21" ht="11.25" customHeight="1" x14ac:dyDescent="0.2">
      <c r="A4439" s="164">
        <v>2024</v>
      </c>
      <c r="B4439" s="164">
        <v>2</v>
      </c>
      <c r="C4439" s="164">
        <v>12</v>
      </c>
      <c r="D4439" s="164">
        <f t="shared" si="478"/>
        <v>45334</v>
      </c>
      <c r="E4439" s="235">
        <f t="shared" si="480"/>
        <v>45334</v>
      </c>
      <c r="F4439" s="480"/>
      <c r="G4439" s="208" t="s">
        <v>86</v>
      </c>
      <c r="H4439" s="208"/>
      <c r="J4439" s="165" t="s">
        <v>960</v>
      </c>
      <c r="K4439" s="205">
        <v>3420.08</v>
      </c>
      <c r="L4439" s="205"/>
    </row>
    <row r="4440" spans="1:21" ht="11.25" customHeight="1" x14ac:dyDescent="0.2">
      <c r="A4440" s="164">
        <v>2024</v>
      </c>
      <c r="B4440" s="164">
        <v>2</v>
      </c>
      <c r="C4440" s="164">
        <v>12</v>
      </c>
      <c r="D4440" s="164">
        <f t="shared" si="478"/>
        <v>45334</v>
      </c>
      <c r="E4440" s="235">
        <f t="shared" si="480"/>
        <v>45334</v>
      </c>
      <c r="F4440" s="480"/>
      <c r="G4440" s="208" t="s">
        <v>86</v>
      </c>
      <c r="H4440" s="208"/>
      <c r="J4440" s="165" t="s">
        <v>200</v>
      </c>
      <c r="K4440" s="205">
        <v>479288.48</v>
      </c>
      <c r="L4440" s="205"/>
    </row>
    <row r="4441" spans="1:21" ht="11.25" customHeight="1" x14ac:dyDescent="0.2">
      <c r="A4441" s="226">
        <v>2024</v>
      </c>
      <c r="B4441" s="226">
        <v>2</v>
      </c>
      <c r="C4441" s="226">
        <v>12</v>
      </c>
      <c r="D4441" s="226">
        <f t="shared" si="478"/>
        <v>45334</v>
      </c>
      <c r="E4441" s="234">
        <f t="shared" si="480"/>
        <v>45334</v>
      </c>
      <c r="F4441" s="479"/>
      <c r="G4441" s="227" t="s">
        <v>86</v>
      </c>
      <c r="H4441" s="228" t="str" cm="1">
        <f t="array" ref="H4441">IFERROR(INDEX(INVESTOR_LIST[INVESTOR NAME],MATCH(I4441,INVESTOR_LIST[INVESTOR CODE],0),)," ")</f>
        <v xml:space="preserve"> </v>
      </c>
      <c r="I4441" s="228"/>
      <c r="J4441" s="229" t="s">
        <v>80</v>
      </c>
      <c r="K4441" s="230"/>
      <c r="L4441" s="230">
        <v>2379332.38</v>
      </c>
    </row>
    <row r="4442" spans="1:21" ht="11.25" customHeight="1" x14ac:dyDescent="0.2">
      <c r="A4442" s="221">
        <v>2024</v>
      </c>
      <c r="B4442" s="221">
        <v>2</v>
      </c>
      <c r="C4442" s="221">
        <v>13</v>
      </c>
      <c r="D4442" s="231">
        <f t="shared" si="478"/>
        <v>45335</v>
      </c>
      <c r="E4442" s="233">
        <f t="shared" si="480"/>
        <v>45335</v>
      </c>
      <c r="F4442" s="478" t="s">
        <v>1593</v>
      </c>
      <c r="G4442" s="222" t="s">
        <v>86</v>
      </c>
      <c r="H4442" s="222" t="str" cm="1">
        <f t="array" ref="H4442">IFERROR(INDEX(INVESTOR_LIST[INVESTOR NAME],MATCH(I4442,INVESTOR_LIST[INVESTOR CODE],0),)," ")</f>
        <v xml:space="preserve"> </v>
      </c>
      <c r="I4442" s="223"/>
      <c r="J4442" s="224" t="s">
        <v>80</v>
      </c>
      <c r="K4442" s="225">
        <v>1237365.2</v>
      </c>
      <c r="L4442" s="225"/>
    </row>
    <row r="4443" spans="1:21" ht="11.25" customHeight="1" x14ac:dyDescent="0.2">
      <c r="A4443" s="164">
        <v>2024</v>
      </c>
      <c r="B4443" s="164">
        <v>2</v>
      </c>
      <c r="C4443" s="164">
        <v>13</v>
      </c>
      <c r="D4443" s="164">
        <f t="shared" si="478"/>
        <v>45335</v>
      </c>
      <c r="E4443" s="235">
        <f t="shared" si="480"/>
        <v>45335</v>
      </c>
      <c r="F4443" s="480"/>
      <c r="G4443" s="208" t="s">
        <v>86</v>
      </c>
      <c r="H4443" s="208"/>
      <c r="J4443" s="165" t="s">
        <v>960</v>
      </c>
      <c r="K4443" s="205">
        <v>2227.25</v>
      </c>
      <c r="L4443" s="205"/>
    </row>
    <row r="4444" spans="1:21" ht="11.25" customHeight="1" x14ac:dyDescent="0.2">
      <c r="A4444" s="226">
        <v>2024</v>
      </c>
      <c r="B4444" s="226">
        <v>2</v>
      </c>
      <c r="C4444" s="226">
        <v>13</v>
      </c>
      <c r="D4444" s="226">
        <f t="shared" si="478"/>
        <v>45335</v>
      </c>
      <c r="E4444" s="234">
        <f t="shared" si="480"/>
        <v>45335</v>
      </c>
      <c r="F4444" s="479"/>
      <c r="G4444" s="227" t="s">
        <v>86</v>
      </c>
      <c r="H4444" s="227"/>
      <c r="I4444" s="228"/>
      <c r="J4444" s="229" t="s">
        <v>961</v>
      </c>
      <c r="K4444" s="294"/>
      <c r="L4444" s="230">
        <v>1239592.45</v>
      </c>
    </row>
    <row r="4445" spans="1:21" ht="11.25" customHeight="1" x14ac:dyDescent="0.2">
      <c r="A4445" s="221">
        <v>2024</v>
      </c>
      <c r="B4445" s="221">
        <v>2</v>
      </c>
      <c r="C4445" s="221">
        <v>13</v>
      </c>
      <c r="D4445" s="231">
        <f t="shared" si="478"/>
        <v>45335</v>
      </c>
      <c r="E4445" s="233">
        <f>DATE(A4445,B4445,C4445)</f>
        <v>45335</v>
      </c>
      <c r="F4445" s="478" t="s">
        <v>1590</v>
      </c>
      <c r="G4445" s="222" t="s">
        <v>1111</v>
      </c>
      <c r="H4445" s="223" t="str" cm="1">
        <f t="array" ref="H4445">IFERROR(INDEX(INVESTOR_LIST[INVESTOR NAME],MATCH(I4445,INVESTOR_LIST[INVESTOR CODE],0),)," ")</f>
        <v xml:space="preserve"> </v>
      </c>
      <c r="I4445" s="223"/>
      <c r="J4445" s="224" t="s">
        <v>55</v>
      </c>
      <c r="K4445" s="225">
        <v>10685731.01</v>
      </c>
      <c r="L4445" s="225"/>
    </row>
    <row r="4446" spans="1:21" ht="11.25" customHeight="1" x14ac:dyDescent="0.2">
      <c r="A4446" s="226">
        <v>2024</v>
      </c>
      <c r="B4446" s="226">
        <v>2</v>
      </c>
      <c r="C4446" s="226">
        <v>13</v>
      </c>
      <c r="D4446" s="232">
        <f t="shared" si="478"/>
        <v>45335</v>
      </c>
      <c r="E4446" s="234">
        <f>DATE(A4446,B4446,C4446)</f>
        <v>45335</v>
      </c>
      <c r="F4446" s="479"/>
      <c r="G4446" s="227" t="s">
        <v>1111</v>
      </c>
      <c r="H4446" s="228" t="str" cm="1">
        <f t="array" ref="H4446">IFERROR(INDEX(INVESTOR_LIST[INVESTOR NAME],MATCH(I4446,INVESTOR_LIST[INVESTOR CODE],0),)," ")</f>
        <v xml:space="preserve"> </v>
      </c>
      <c r="I4446" s="228"/>
      <c r="J4446" s="229" t="s">
        <v>199</v>
      </c>
      <c r="K4446" s="230"/>
      <c r="L4446" s="230">
        <v>10685731.01</v>
      </c>
    </row>
    <row r="4447" spans="1:21" ht="11.25" customHeight="1" x14ac:dyDescent="0.2">
      <c r="A4447" s="221">
        <v>2024</v>
      </c>
      <c r="B4447" s="221">
        <v>2</v>
      </c>
      <c r="C4447" s="221">
        <v>13</v>
      </c>
      <c r="D4447" s="231">
        <f t="shared" si="478"/>
        <v>45335</v>
      </c>
      <c r="E4447" s="233">
        <f t="shared" ref="E4447:E4448" si="481">DATE(A4447,B4447,C4447)</f>
        <v>45335</v>
      </c>
      <c r="F4447" s="478" t="s">
        <v>1694</v>
      </c>
      <c r="G4447" s="222" t="s">
        <v>1111</v>
      </c>
      <c r="H4447" s="223" t="str" cm="1">
        <f t="array" ref="H4447">IFERROR(INDEX(INVESTOR_LIST[INVESTOR NAME],MATCH(I4447,INVESTOR_LIST[INVESTOR CODE],0),)," ")</f>
        <v xml:space="preserve"> </v>
      </c>
      <c r="I4447" s="223"/>
      <c r="J4447" s="224" t="s">
        <v>317</v>
      </c>
      <c r="K4447" s="225">
        <v>4261889</v>
      </c>
      <c r="L4447" s="225"/>
      <c r="U4447" s="166"/>
    </row>
    <row r="4448" spans="1:21" ht="11.25" customHeight="1" x14ac:dyDescent="0.2">
      <c r="A4448" s="226">
        <v>2024</v>
      </c>
      <c r="B4448" s="226">
        <v>2</v>
      </c>
      <c r="C4448" s="226">
        <v>13</v>
      </c>
      <c r="D4448" s="232">
        <f t="shared" si="478"/>
        <v>45335</v>
      </c>
      <c r="E4448" s="234">
        <f t="shared" si="481"/>
        <v>45335</v>
      </c>
      <c r="F4448" s="479"/>
      <c r="G4448" s="227" t="s">
        <v>1111</v>
      </c>
      <c r="H4448" s="228" t="str" cm="1">
        <f t="array" ref="H4448">IFERROR(INDEX(INVESTOR_LIST[INVESTOR NAME],MATCH(I4448,INVESTOR_LIST[INVESTOR CODE],0),)," ")</f>
        <v xml:space="preserve"> </v>
      </c>
      <c r="I4448" s="228"/>
      <c r="J4448" s="229" t="s">
        <v>316</v>
      </c>
      <c r="K4448" s="230"/>
      <c r="L4448" s="230">
        <v>4261889</v>
      </c>
      <c r="U4448" s="166"/>
    </row>
    <row r="4449" spans="1:12" ht="11.25" customHeight="1" x14ac:dyDescent="0.2">
      <c r="A4449" s="221">
        <v>2024</v>
      </c>
      <c r="B4449" s="221">
        <v>2</v>
      </c>
      <c r="C4449" s="221">
        <v>14</v>
      </c>
      <c r="D4449" s="231">
        <f t="shared" si="478"/>
        <v>45336</v>
      </c>
      <c r="E4449" s="233">
        <f t="shared" ref="E4449:E4455" si="482">DATE(A4449,B4449,C4449)</f>
        <v>45336</v>
      </c>
      <c r="F4449" s="478" t="s">
        <v>1593</v>
      </c>
      <c r="G4449" s="222" t="s">
        <v>86</v>
      </c>
      <c r="H4449" s="222" t="str" cm="1">
        <f t="array" ref="H4449">IFERROR(INDEX(INVESTOR_LIST[INVESTOR NAME],MATCH(I4449,INVESTOR_LIST[INVESTOR CODE],0),)," ")</f>
        <v xml:space="preserve"> </v>
      </c>
      <c r="I4449" s="223"/>
      <c r="J4449" s="224" t="s">
        <v>80</v>
      </c>
      <c r="K4449" s="225">
        <v>886000</v>
      </c>
      <c r="L4449" s="225"/>
    </row>
    <row r="4450" spans="1:12" ht="11.25" customHeight="1" x14ac:dyDescent="0.2">
      <c r="A4450" s="164">
        <v>2024</v>
      </c>
      <c r="B4450" s="164">
        <v>2</v>
      </c>
      <c r="C4450" s="164">
        <v>14</v>
      </c>
      <c r="D4450" s="164">
        <f t="shared" si="478"/>
        <v>45336</v>
      </c>
      <c r="E4450" s="235">
        <f t="shared" si="482"/>
        <v>45336</v>
      </c>
      <c r="F4450" s="480"/>
      <c r="G4450" s="208" t="s">
        <v>86</v>
      </c>
      <c r="H4450" s="208"/>
      <c r="J4450" s="165" t="s">
        <v>960</v>
      </c>
      <c r="K4450" s="205">
        <v>1594.82</v>
      </c>
      <c r="L4450" s="205"/>
    </row>
    <row r="4451" spans="1:12" ht="11.25" customHeight="1" x14ac:dyDescent="0.2">
      <c r="A4451" s="226">
        <v>2024</v>
      </c>
      <c r="B4451" s="226">
        <v>2</v>
      </c>
      <c r="C4451" s="226">
        <v>14</v>
      </c>
      <c r="D4451" s="226">
        <f t="shared" si="478"/>
        <v>45336</v>
      </c>
      <c r="E4451" s="234">
        <f t="shared" si="482"/>
        <v>45336</v>
      </c>
      <c r="F4451" s="479"/>
      <c r="G4451" s="227" t="s">
        <v>86</v>
      </c>
      <c r="H4451" s="227"/>
      <c r="I4451" s="228"/>
      <c r="J4451" s="229" t="s">
        <v>961</v>
      </c>
      <c r="K4451" s="294"/>
      <c r="L4451" s="230">
        <v>887594.82</v>
      </c>
    </row>
    <row r="4452" spans="1:12" ht="11.25" customHeight="1" x14ac:dyDescent="0.2">
      <c r="A4452" s="221">
        <v>2024</v>
      </c>
      <c r="B4452" s="221">
        <v>2</v>
      </c>
      <c r="C4452" s="221">
        <v>15</v>
      </c>
      <c r="D4452" s="221">
        <f t="shared" si="478"/>
        <v>45337</v>
      </c>
      <c r="E4452" s="233">
        <f t="shared" si="482"/>
        <v>45337</v>
      </c>
      <c r="F4452" s="478" t="s">
        <v>1589</v>
      </c>
      <c r="G4452" s="222" t="s">
        <v>86</v>
      </c>
      <c r="H4452" s="222" t="str" cm="1">
        <f t="array" ref="H4452">IFERROR(INDEX(INVESTOR_LIST[INVESTOR NAME],MATCH(I4452,INVESTOR_LIST[INVESTOR CODE],0),)," ")</f>
        <v xml:space="preserve"> </v>
      </c>
      <c r="I4452" s="223"/>
      <c r="J4452" s="374" t="s">
        <v>199</v>
      </c>
      <c r="K4452" s="375">
        <v>367706.56</v>
      </c>
      <c r="L4452" s="225"/>
    </row>
    <row r="4453" spans="1:12" ht="11.25" customHeight="1" x14ac:dyDescent="0.2">
      <c r="A4453" s="164">
        <v>2024</v>
      </c>
      <c r="B4453" s="164">
        <v>2</v>
      </c>
      <c r="C4453" s="164">
        <v>15</v>
      </c>
      <c r="D4453" s="164">
        <f t="shared" si="478"/>
        <v>45337</v>
      </c>
      <c r="E4453" s="235">
        <f t="shared" si="482"/>
        <v>45337</v>
      </c>
      <c r="F4453" s="480"/>
      <c r="G4453" s="208" t="s">
        <v>86</v>
      </c>
      <c r="H4453" s="208"/>
      <c r="J4453" s="165" t="s">
        <v>960</v>
      </c>
      <c r="K4453" s="205">
        <v>663.04</v>
      </c>
      <c r="L4453" s="205"/>
    </row>
    <row r="4454" spans="1:12" ht="11.25" customHeight="1" x14ac:dyDescent="0.2">
      <c r="A4454" s="164">
        <v>2024</v>
      </c>
      <c r="B4454" s="164">
        <v>2</v>
      </c>
      <c r="C4454" s="164">
        <v>15</v>
      </c>
      <c r="D4454" s="164">
        <f t="shared" si="478"/>
        <v>45337</v>
      </c>
      <c r="E4454" s="235">
        <f t="shared" si="482"/>
        <v>45337</v>
      </c>
      <c r="F4454" s="480"/>
      <c r="G4454" s="208" t="s">
        <v>86</v>
      </c>
      <c r="H4454" s="208"/>
      <c r="J4454" s="165" t="s">
        <v>200</v>
      </c>
      <c r="K4454" s="205"/>
      <c r="L4454" s="205">
        <v>293649.59999999998</v>
      </c>
    </row>
    <row r="4455" spans="1:12" ht="11.25" customHeight="1" x14ac:dyDescent="0.2">
      <c r="A4455" s="226">
        <v>2024</v>
      </c>
      <c r="B4455" s="226">
        <v>2</v>
      </c>
      <c r="C4455" s="226">
        <v>15</v>
      </c>
      <c r="D4455" s="226">
        <f t="shared" si="478"/>
        <v>45337</v>
      </c>
      <c r="E4455" s="234">
        <f t="shared" si="482"/>
        <v>45337</v>
      </c>
      <c r="F4455" s="479"/>
      <c r="G4455" s="227" t="s">
        <v>86</v>
      </c>
      <c r="H4455" s="228" t="str" cm="1">
        <f t="array" ref="H4455">IFERROR(INDEX(INVESTOR_LIST[INVESTOR NAME],MATCH(I4455,INVESTOR_LIST[INVESTOR CODE],0),)," ")</f>
        <v xml:space="preserve"> </v>
      </c>
      <c r="I4455" s="228"/>
      <c r="J4455" s="229" t="s">
        <v>80</v>
      </c>
      <c r="K4455" s="230"/>
      <c r="L4455" s="230">
        <v>74720</v>
      </c>
    </row>
    <row r="4456" spans="1:12" ht="11.25" customHeight="1" x14ac:dyDescent="0.2">
      <c r="A4456" s="221">
        <v>2024</v>
      </c>
      <c r="B4456" s="221">
        <v>2</v>
      </c>
      <c r="C4456" s="221">
        <v>15</v>
      </c>
      <c r="D4456" s="231">
        <f t="shared" si="478"/>
        <v>45337</v>
      </c>
      <c r="E4456" s="233">
        <f t="shared" ref="E4456:E4461" si="483">DATE(A4456,B4456,C4456)</f>
        <v>45337</v>
      </c>
      <c r="F4456" s="478" t="s">
        <v>1590</v>
      </c>
      <c r="G4456" s="222" t="s">
        <v>1111</v>
      </c>
      <c r="H4456" s="223" t="str" cm="1">
        <f t="array" ref="H4456">IFERROR(INDEX(INVESTOR_LIST[INVESTOR NAME],MATCH(I4456,INVESTOR_LIST[INVESTOR CODE],0),)," ")</f>
        <v xml:space="preserve"> </v>
      </c>
      <c r="I4456" s="223"/>
      <c r="J4456" s="224" t="s">
        <v>55</v>
      </c>
      <c r="K4456" s="225">
        <v>1896623.82</v>
      </c>
      <c r="L4456" s="225"/>
    </row>
    <row r="4457" spans="1:12" ht="11.25" customHeight="1" x14ac:dyDescent="0.2">
      <c r="A4457" s="226">
        <v>2024</v>
      </c>
      <c r="B4457" s="226">
        <v>2</v>
      </c>
      <c r="C4457" s="226">
        <v>15</v>
      </c>
      <c r="D4457" s="232">
        <f t="shared" si="478"/>
        <v>45337</v>
      </c>
      <c r="E4457" s="234">
        <f t="shared" si="483"/>
        <v>45337</v>
      </c>
      <c r="F4457" s="479"/>
      <c r="G4457" s="227" t="s">
        <v>1111</v>
      </c>
      <c r="H4457" s="228" t="str" cm="1">
        <f t="array" ref="H4457">IFERROR(INDEX(INVESTOR_LIST[INVESTOR NAME],MATCH(I4457,INVESTOR_LIST[INVESTOR CODE],0),)," ")</f>
        <v xml:space="preserve"> </v>
      </c>
      <c r="I4457" s="228"/>
      <c r="J4457" s="229" t="s">
        <v>199</v>
      </c>
      <c r="K4457" s="230"/>
      <c r="L4457" s="230">
        <v>1896623.82</v>
      </c>
    </row>
    <row r="4458" spans="1:12" ht="11.25" customHeight="1" x14ac:dyDescent="0.2">
      <c r="A4458" s="221">
        <v>2024</v>
      </c>
      <c r="B4458" s="221">
        <v>2</v>
      </c>
      <c r="C4458" s="221">
        <v>15</v>
      </c>
      <c r="D4458" s="231">
        <f t="shared" si="478"/>
        <v>45337</v>
      </c>
      <c r="E4458" s="233">
        <f t="shared" si="483"/>
        <v>45337</v>
      </c>
      <c r="F4458" s="478" t="s">
        <v>1594</v>
      </c>
      <c r="G4458" s="222" t="s">
        <v>1111</v>
      </c>
      <c r="H4458" s="223" t="str" cm="1">
        <f t="array" ref="H4458">IFERROR(INDEX(INVESTOR_LIST[INVESTOR NAME],MATCH(I4458,INVESTOR_LIST[INVESTOR CODE],0),)," ")</f>
        <v xml:space="preserve"> </v>
      </c>
      <c r="I4458" s="223"/>
      <c r="J4458" s="224" t="s">
        <v>961</v>
      </c>
      <c r="K4458" s="225">
        <v>1239592.45</v>
      </c>
      <c r="L4458" s="225"/>
    </row>
    <row r="4459" spans="1:12" ht="11.25" customHeight="1" x14ac:dyDescent="0.2">
      <c r="A4459" s="226">
        <v>2024</v>
      </c>
      <c r="B4459" s="226">
        <v>2</v>
      </c>
      <c r="C4459" s="226">
        <v>15</v>
      </c>
      <c r="D4459" s="232">
        <f t="shared" si="478"/>
        <v>45337</v>
      </c>
      <c r="E4459" s="234">
        <f t="shared" si="483"/>
        <v>45337</v>
      </c>
      <c r="F4459" s="479"/>
      <c r="G4459" s="227" t="s">
        <v>1111</v>
      </c>
      <c r="H4459" s="228" t="str" cm="1">
        <f t="array" ref="H4459">IFERROR(INDEX(INVESTOR_LIST[INVESTOR NAME],MATCH(I4459,INVESTOR_LIST[INVESTOR CODE],0),)," ")</f>
        <v xml:space="preserve"> </v>
      </c>
      <c r="I4459" s="228"/>
      <c r="J4459" s="229" t="s">
        <v>55</v>
      </c>
      <c r="K4459" s="230"/>
      <c r="L4459" s="230">
        <v>1239592.45</v>
      </c>
    </row>
    <row r="4460" spans="1:12" ht="11.25" customHeight="1" x14ac:dyDescent="0.2">
      <c r="A4460" s="221">
        <v>2024</v>
      </c>
      <c r="B4460" s="221">
        <v>2</v>
      </c>
      <c r="C4460" s="221">
        <v>15</v>
      </c>
      <c r="D4460" s="231">
        <f t="shared" si="478"/>
        <v>45337</v>
      </c>
      <c r="E4460" s="233">
        <f t="shared" si="483"/>
        <v>45337</v>
      </c>
      <c r="F4460" s="478" t="s">
        <v>1594</v>
      </c>
      <c r="G4460" s="222" t="s">
        <v>1111</v>
      </c>
      <c r="H4460" s="223" t="str" cm="1">
        <f t="array" ref="H4460">IFERROR(INDEX(INVESTOR_LIST[INVESTOR NAME],MATCH(I4460,INVESTOR_LIST[INVESTOR CODE],0),)," ")</f>
        <v xml:space="preserve"> </v>
      </c>
      <c r="I4460" s="223"/>
      <c r="J4460" s="224" t="s">
        <v>961</v>
      </c>
      <c r="K4460" s="225">
        <v>887594.32</v>
      </c>
      <c r="L4460" s="225"/>
    </row>
    <row r="4461" spans="1:12" ht="11.25" customHeight="1" x14ac:dyDescent="0.2">
      <c r="A4461" s="226">
        <v>2024</v>
      </c>
      <c r="B4461" s="226">
        <v>2</v>
      </c>
      <c r="C4461" s="226">
        <v>15</v>
      </c>
      <c r="D4461" s="232">
        <f t="shared" si="478"/>
        <v>45337</v>
      </c>
      <c r="E4461" s="234">
        <f t="shared" si="483"/>
        <v>45337</v>
      </c>
      <c r="F4461" s="479"/>
      <c r="G4461" s="227" t="s">
        <v>1111</v>
      </c>
      <c r="H4461" s="228" t="str" cm="1">
        <f t="array" ref="H4461">IFERROR(INDEX(INVESTOR_LIST[INVESTOR NAME],MATCH(I4461,INVESTOR_LIST[INVESTOR CODE],0),)," ")</f>
        <v xml:space="preserve"> </v>
      </c>
      <c r="I4461" s="228"/>
      <c r="J4461" s="229" t="s">
        <v>55</v>
      </c>
      <c r="K4461" s="230"/>
      <c r="L4461" s="230">
        <v>887594.32</v>
      </c>
    </row>
    <row r="4462" spans="1:12" ht="11.25" customHeight="1" x14ac:dyDescent="0.2">
      <c r="A4462" s="280">
        <v>2024</v>
      </c>
      <c r="B4462" s="280">
        <v>2</v>
      </c>
      <c r="C4462" s="280">
        <v>15</v>
      </c>
      <c r="D4462" s="281">
        <f t="shared" si="478"/>
        <v>45337</v>
      </c>
      <c r="E4462" s="282">
        <f t="shared" ref="E4462:E4491" si="484">DATE(A4462,B4462,C4462)</f>
        <v>45337</v>
      </c>
      <c r="F4462" s="472" t="s">
        <v>1584</v>
      </c>
      <c r="G4462" s="283" t="s">
        <v>86</v>
      </c>
      <c r="H4462" s="284" t="str" cm="1">
        <f t="array" ref="H4462">IFERROR(INDEX(INVESTOR_LIST[INVESTOR NAME],MATCH(I4462,INVESTOR_LIST[INVESTOR CODE],0),)," ")</f>
        <v xml:space="preserve"> </v>
      </c>
      <c r="I4462" s="284"/>
      <c r="J4462" s="285" t="s">
        <v>131</v>
      </c>
      <c r="K4462" s="286">
        <v>5216.9265049608703</v>
      </c>
      <c r="L4462" s="286"/>
    </row>
    <row r="4463" spans="1:12" ht="11.25" customHeight="1" x14ac:dyDescent="0.2">
      <c r="A4463" s="287">
        <v>2024</v>
      </c>
      <c r="B4463" s="287">
        <v>2</v>
      </c>
      <c r="C4463" s="287">
        <v>15</v>
      </c>
      <c r="D4463" s="288">
        <f t="shared" si="478"/>
        <v>45337</v>
      </c>
      <c r="E4463" s="289">
        <f t="shared" si="484"/>
        <v>45337</v>
      </c>
      <c r="F4463" s="473"/>
      <c r="G4463" s="290" t="s">
        <v>86</v>
      </c>
      <c r="H4463" s="291" t="str" cm="1">
        <f t="array" ref="H4463">IFERROR(INDEX(INVESTOR_LIST[INVESTOR NAME],MATCH(I4463,INVESTOR_LIST[INVESTOR CODE],0),)," ")</f>
        <v xml:space="preserve"> </v>
      </c>
      <c r="I4463" s="291"/>
      <c r="J4463" s="292" t="s">
        <v>174</v>
      </c>
      <c r="K4463" s="293"/>
      <c r="L4463" s="293">
        <v>5216.9265049608703</v>
      </c>
    </row>
    <row r="4464" spans="1:12" ht="11.25" customHeight="1" x14ac:dyDescent="0.2">
      <c r="A4464" s="358">
        <v>2024</v>
      </c>
      <c r="B4464" s="358">
        <v>2</v>
      </c>
      <c r="C4464" s="358">
        <v>15</v>
      </c>
      <c r="D4464" s="312">
        <f t="shared" si="478"/>
        <v>45337</v>
      </c>
      <c r="E4464" s="313">
        <f t="shared" si="484"/>
        <v>45337</v>
      </c>
      <c r="F4464" s="482" t="s">
        <v>1627</v>
      </c>
      <c r="G4464" s="314" t="s">
        <v>86</v>
      </c>
      <c r="H4464" s="324" t="str" cm="1">
        <f t="array" ref="H4464">IFERROR(INDEX(INVESTOR_LIST[INVESTOR NAME],MATCH(I4464,INVESTOR_LIST[INVESTOR CODE],0),)," ")</f>
        <v xml:space="preserve"> </v>
      </c>
      <c r="I4464" s="324"/>
      <c r="J4464" s="364" t="s">
        <v>1621</v>
      </c>
      <c r="K4464" s="365">
        <v>173644.20000000298</v>
      </c>
      <c r="L4464" s="365"/>
    </row>
    <row r="4465" spans="1:13" ht="11.25" customHeight="1" x14ac:dyDescent="0.2">
      <c r="A4465" s="320">
        <v>2024</v>
      </c>
      <c r="B4465" s="320">
        <v>2</v>
      </c>
      <c r="C4465" s="320">
        <v>15</v>
      </c>
      <c r="D4465" s="323">
        <f t="shared" si="478"/>
        <v>45337</v>
      </c>
      <c r="E4465" s="321">
        <f t="shared" si="484"/>
        <v>45337</v>
      </c>
      <c r="F4465" s="483"/>
      <c r="G4465" s="322" t="s">
        <v>86</v>
      </c>
      <c r="H4465" s="325" t="str" cm="1">
        <f t="array" ref="H4465">IFERROR(INDEX(INVESTOR_LIST[INVESTOR NAME],MATCH(I4465,INVESTOR_LIST[INVESTOR CODE],0),)," ")</f>
        <v xml:space="preserve"> </v>
      </c>
      <c r="I4465" s="325"/>
      <c r="J4465" s="366" t="s">
        <v>1613</v>
      </c>
      <c r="K4465" s="367"/>
      <c r="L4465" s="367">
        <f>K4464</f>
        <v>173644.20000000298</v>
      </c>
    </row>
    <row r="4466" spans="1:13" ht="11.25" customHeight="1" x14ac:dyDescent="0.2">
      <c r="A4466" s="236">
        <v>2024</v>
      </c>
      <c r="B4466" s="236">
        <v>2</v>
      </c>
      <c r="C4466" s="236">
        <v>15</v>
      </c>
      <c r="D4466" s="237">
        <f t="shared" si="478"/>
        <v>45337</v>
      </c>
      <c r="E4466" s="238">
        <f t="shared" si="484"/>
        <v>45337</v>
      </c>
      <c r="F4466" s="476" t="s">
        <v>1118</v>
      </c>
      <c r="G4466" s="239" t="s">
        <v>86</v>
      </c>
      <c r="H4466" s="239" t="str" cm="1">
        <f t="array" ref="H4466">IFERROR(INDEX(INVESTOR_LIST[INVESTOR NAME],MATCH(I4466,INVESTOR_LIST[INVESTOR CODE],0),)," ")</f>
        <v xml:space="preserve"> </v>
      </c>
      <c r="I4466" s="240"/>
      <c r="J4466" s="241" t="s">
        <v>98</v>
      </c>
      <c r="K4466" s="242">
        <v>2674677.3800000101</v>
      </c>
      <c r="L4466" s="242"/>
    </row>
    <row r="4467" spans="1:13" ht="11.25" customHeight="1" x14ac:dyDescent="0.2">
      <c r="A4467" s="243">
        <v>2024</v>
      </c>
      <c r="B4467" s="243">
        <v>2</v>
      </c>
      <c r="C4467" s="243">
        <v>15</v>
      </c>
      <c r="D4467" s="248">
        <f t="shared" si="478"/>
        <v>45337</v>
      </c>
      <c r="E4467" s="249">
        <f t="shared" si="484"/>
        <v>45337</v>
      </c>
      <c r="F4467" s="477"/>
      <c r="G4467" s="244" t="s">
        <v>86</v>
      </c>
      <c r="H4467" s="244" t="str" cm="1">
        <f t="array" ref="H4467">IFERROR(INDEX(INVESTOR_LIST[INVESTOR NAME],MATCH(I4467,INVESTOR_LIST[INVESTOR CODE],0),)," ")</f>
        <v xml:space="preserve"> </v>
      </c>
      <c r="I4467" s="245"/>
      <c r="J4467" s="246" t="s">
        <v>82</v>
      </c>
      <c r="K4467" s="247"/>
      <c r="L4467" s="247">
        <v>2674677.3800000101</v>
      </c>
    </row>
    <row r="4468" spans="1:13" ht="11.25" customHeight="1" x14ac:dyDescent="0.2">
      <c r="A4468" s="236">
        <v>2024</v>
      </c>
      <c r="B4468" s="236">
        <v>2</v>
      </c>
      <c r="C4468" s="236">
        <v>15</v>
      </c>
      <c r="D4468" s="237">
        <f t="shared" si="478"/>
        <v>45337</v>
      </c>
      <c r="E4468" s="238">
        <f t="shared" si="484"/>
        <v>45337</v>
      </c>
      <c r="F4468" s="476" t="s">
        <v>1120</v>
      </c>
      <c r="G4468" s="239" t="s">
        <v>86</v>
      </c>
      <c r="H4468" s="239" t="str" cm="1">
        <f t="array" ref="H4468">IFERROR(INDEX(INVESTOR_LIST[INVESTOR NAME],MATCH(I4468,INVESTOR_LIST[INVESTOR CODE],0),)," ")</f>
        <v xml:space="preserve"> </v>
      </c>
      <c r="I4468" s="240"/>
      <c r="J4468" s="241" t="s">
        <v>87</v>
      </c>
      <c r="K4468" s="242">
        <f>M4468</f>
        <v>2747.2527472527472</v>
      </c>
      <c r="L4468" s="242"/>
      <c r="M4468" s="156">
        <v>2747.2527472527472</v>
      </c>
    </row>
    <row r="4469" spans="1:13" ht="11.25" customHeight="1" x14ac:dyDescent="0.2">
      <c r="A4469" s="243">
        <v>2024</v>
      </c>
      <c r="B4469" s="243">
        <v>2</v>
      </c>
      <c r="C4469" s="243">
        <v>15</v>
      </c>
      <c r="D4469" s="248">
        <f t="shared" si="478"/>
        <v>45337</v>
      </c>
      <c r="E4469" s="249">
        <f t="shared" si="484"/>
        <v>45337</v>
      </c>
      <c r="F4469" s="477"/>
      <c r="G4469" s="244" t="s">
        <v>86</v>
      </c>
      <c r="H4469" s="244" t="str" cm="1">
        <f t="array" ref="H4469">IFERROR(INDEX(INVESTOR_LIST[INVESTOR NAME],MATCH(I4469,INVESTOR_LIST[INVESTOR CODE],0),)," ")</f>
        <v xml:space="preserve"> </v>
      </c>
      <c r="I4469" s="245"/>
      <c r="J4469" s="246" t="s">
        <v>64</v>
      </c>
      <c r="K4469" s="247"/>
      <c r="L4469" s="247">
        <f>K4468</f>
        <v>2747.2527472527472</v>
      </c>
      <c r="M4469" s="156">
        <v>69812.564288720401</v>
      </c>
    </row>
    <row r="4470" spans="1:13" ht="11.25" customHeight="1" x14ac:dyDescent="0.2">
      <c r="A4470" s="236">
        <v>2024</v>
      </c>
      <c r="B4470" s="236">
        <v>2</v>
      </c>
      <c r="C4470" s="236">
        <v>15</v>
      </c>
      <c r="D4470" s="237">
        <f t="shared" si="478"/>
        <v>45337</v>
      </c>
      <c r="E4470" s="238">
        <f t="shared" si="484"/>
        <v>45337</v>
      </c>
      <c r="F4470" s="476" t="s">
        <v>1121</v>
      </c>
      <c r="G4470" s="239" t="s">
        <v>86</v>
      </c>
      <c r="H4470" s="239" t="str" cm="1">
        <f t="array" ref="H4470">IFERROR(INDEX(INVESTOR_LIST[INVESTOR NAME],MATCH(I4470,INVESTOR_LIST[INVESTOR CODE],0),)," ")</f>
        <v xml:space="preserve"> </v>
      </c>
      <c r="I4470" s="240"/>
      <c r="J4470" s="241" t="s">
        <v>89</v>
      </c>
      <c r="K4470" s="242">
        <f>M4469</f>
        <v>69812.564288720401</v>
      </c>
      <c r="L4470" s="242"/>
      <c r="M4470" s="156">
        <v>3250.2435990514055</v>
      </c>
    </row>
    <row r="4471" spans="1:13" ht="11.25" customHeight="1" x14ac:dyDescent="0.2">
      <c r="A4471" s="243">
        <v>2024</v>
      </c>
      <c r="B4471" s="243">
        <v>2</v>
      </c>
      <c r="C4471" s="243">
        <v>15</v>
      </c>
      <c r="D4471" s="248">
        <f t="shared" si="478"/>
        <v>45337</v>
      </c>
      <c r="E4471" s="249">
        <f t="shared" si="484"/>
        <v>45337</v>
      </c>
      <c r="F4471" s="477"/>
      <c r="G4471" s="244" t="s">
        <v>86</v>
      </c>
      <c r="H4471" s="244" t="str" cm="1">
        <f t="array" ref="H4471">IFERROR(INDEX(INVESTOR_LIST[INVESTOR NAME],MATCH(I4471,INVESTOR_LIST[INVESTOR CODE],0),)," ")</f>
        <v xml:space="preserve"> </v>
      </c>
      <c r="I4471" s="245"/>
      <c r="J4471" s="246" t="s">
        <v>50</v>
      </c>
      <c r="K4471" s="247"/>
      <c r="L4471" s="247">
        <f>K4470</f>
        <v>69812.564288720401</v>
      </c>
    </row>
    <row r="4472" spans="1:13" ht="11.25" customHeight="1" x14ac:dyDescent="0.2">
      <c r="A4472" s="236">
        <v>2024</v>
      </c>
      <c r="B4472" s="236">
        <v>2</v>
      </c>
      <c r="C4472" s="236">
        <v>15</v>
      </c>
      <c r="D4472" s="237">
        <f t="shared" si="478"/>
        <v>45337</v>
      </c>
      <c r="E4472" s="238">
        <f t="shared" si="484"/>
        <v>45337</v>
      </c>
      <c r="F4472" s="476" t="s">
        <v>1122</v>
      </c>
      <c r="G4472" s="239" t="s">
        <v>86</v>
      </c>
      <c r="H4472" s="239" t="str" cm="1">
        <f t="array" ref="H4472">IFERROR(INDEX(INVESTOR_LIST[INVESTOR NAME],MATCH(I4472,INVESTOR_LIST[INVESTOR CODE],0),)," ")</f>
        <v xml:space="preserve"> </v>
      </c>
      <c r="I4472" s="240"/>
      <c r="J4472" s="241" t="s">
        <v>91</v>
      </c>
      <c r="K4472" s="242">
        <f>M4470</f>
        <v>3250.2435990514055</v>
      </c>
      <c r="L4472" s="242"/>
    </row>
    <row r="4473" spans="1:13" ht="11.25" customHeight="1" x14ac:dyDescent="0.2">
      <c r="A4473" s="243">
        <v>2024</v>
      </c>
      <c r="B4473" s="243">
        <v>2</v>
      </c>
      <c r="C4473" s="243">
        <v>15</v>
      </c>
      <c r="D4473" s="248">
        <f t="shared" si="478"/>
        <v>45337</v>
      </c>
      <c r="E4473" s="249">
        <f t="shared" si="484"/>
        <v>45337</v>
      </c>
      <c r="F4473" s="477"/>
      <c r="G4473" s="244" t="s">
        <v>86</v>
      </c>
      <c r="H4473" s="244" t="str" cm="1">
        <f t="array" ref="H4473">IFERROR(INDEX(INVESTOR_LIST[INVESTOR NAME],MATCH(I4473,INVESTOR_LIST[INVESTOR CODE],0),)," ")</f>
        <v xml:space="preserve"> </v>
      </c>
      <c r="I4473" s="245"/>
      <c r="J4473" s="246" t="s">
        <v>51</v>
      </c>
      <c r="K4473" s="247"/>
      <c r="L4473" s="247">
        <f>K4472</f>
        <v>3250.2435990514055</v>
      </c>
    </row>
    <row r="4474" spans="1:13" ht="11.25" customHeight="1" x14ac:dyDescent="0.2">
      <c r="A4474" s="221">
        <v>2024</v>
      </c>
      <c r="B4474" s="221">
        <v>2</v>
      </c>
      <c r="C4474" s="221">
        <v>18</v>
      </c>
      <c r="D4474" s="231">
        <f t="shared" si="478"/>
        <v>45340</v>
      </c>
      <c r="E4474" s="233">
        <f t="shared" si="484"/>
        <v>45340</v>
      </c>
      <c r="F4474" s="478" t="s">
        <v>1696</v>
      </c>
      <c r="G4474" s="222" t="s">
        <v>1111</v>
      </c>
      <c r="H4474" s="222" t="str" cm="1">
        <f t="array" ref="H4474">IFERROR(INDEX(INVESTOR_LIST[INVESTOR NAME],MATCH(I4474,INVESTOR_LIST[INVESTOR CODE],0),)," ")</f>
        <v xml:space="preserve"> </v>
      </c>
      <c r="I4474" s="223"/>
      <c r="J4474" s="224" t="s">
        <v>196</v>
      </c>
      <c r="K4474" s="225">
        <v>2400000</v>
      </c>
      <c r="L4474" s="225"/>
      <c r="M4474" s="166"/>
    </row>
    <row r="4475" spans="1:13" ht="11.25" customHeight="1" x14ac:dyDescent="0.2">
      <c r="A4475" s="164">
        <v>2024</v>
      </c>
      <c r="B4475" s="164">
        <v>2</v>
      </c>
      <c r="C4475" s="164">
        <v>18</v>
      </c>
      <c r="D4475" s="164">
        <f t="shared" si="478"/>
        <v>45340</v>
      </c>
      <c r="E4475" s="235">
        <f t="shared" si="484"/>
        <v>45340</v>
      </c>
      <c r="F4475" s="480"/>
      <c r="G4475" s="208" t="s">
        <v>1111</v>
      </c>
      <c r="H4475" s="208" t="str" cm="1">
        <f t="array" ref="H4475">IFERROR(INDEX(INVESTOR_LIST[INVESTOR NAME],MATCH(I4475,INVESTOR_LIST[INVESTOR CODE],0),)," ")</f>
        <v xml:space="preserve"> </v>
      </c>
      <c r="J4475" s="165" t="s">
        <v>63</v>
      </c>
      <c r="K4475" s="205">
        <v>115</v>
      </c>
      <c r="L4475" s="205"/>
    </row>
    <row r="4476" spans="1:13" ht="11.25" customHeight="1" x14ac:dyDescent="0.2">
      <c r="A4476" s="226">
        <v>2024</v>
      </c>
      <c r="B4476" s="226">
        <v>2</v>
      </c>
      <c r="C4476" s="226">
        <v>18</v>
      </c>
      <c r="D4476" s="226">
        <f t="shared" si="478"/>
        <v>45340</v>
      </c>
      <c r="E4476" s="234">
        <f t="shared" si="484"/>
        <v>45340</v>
      </c>
      <c r="F4476" s="479"/>
      <c r="G4476" s="227" t="s">
        <v>1111</v>
      </c>
      <c r="H4476" s="228" t="str" cm="1">
        <f t="array" ref="H4476">IFERROR(INDEX(INVESTOR_LIST[INVESTOR NAME],MATCH(I4476,INVESTOR_LIST[INVESTOR CODE],0),)," ")</f>
        <v xml:space="preserve"> </v>
      </c>
      <c r="I4476" s="228"/>
      <c r="J4476" s="229" t="s">
        <v>55</v>
      </c>
      <c r="K4476" s="230"/>
      <c r="L4476" s="230">
        <v>2400115</v>
      </c>
    </row>
    <row r="4477" spans="1:13" ht="11.25" customHeight="1" x14ac:dyDescent="0.2">
      <c r="A4477" s="221">
        <v>2024</v>
      </c>
      <c r="B4477" s="221">
        <v>2</v>
      </c>
      <c r="C4477" s="221">
        <v>18</v>
      </c>
      <c r="D4477" s="231">
        <f t="shared" si="478"/>
        <v>45340</v>
      </c>
      <c r="E4477" s="233">
        <f t="shared" si="484"/>
        <v>45340</v>
      </c>
      <c r="F4477" s="478" t="s">
        <v>1593</v>
      </c>
      <c r="G4477" s="222" t="s">
        <v>86</v>
      </c>
      <c r="H4477" s="222" t="str" cm="1">
        <f t="array" ref="H4477">IFERROR(INDEX(INVESTOR_LIST[INVESTOR NAME],MATCH(I4477,INVESTOR_LIST[INVESTOR CODE],0),)," ")</f>
        <v xml:space="preserve"> </v>
      </c>
      <c r="I4477" s="223"/>
      <c r="J4477" s="224" t="s">
        <v>80</v>
      </c>
      <c r="K4477" s="225">
        <v>525600</v>
      </c>
      <c r="L4477" s="225"/>
    </row>
    <row r="4478" spans="1:13" ht="11.25" customHeight="1" x14ac:dyDescent="0.2">
      <c r="A4478" s="164">
        <v>2024</v>
      </c>
      <c r="B4478" s="164">
        <v>2</v>
      </c>
      <c r="C4478" s="164">
        <v>18</v>
      </c>
      <c r="D4478" s="164">
        <f t="shared" si="478"/>
        <v>45340</v>
      </c>
      <c r="E4478" s="235">
        <f t="shared" si="484"/>
        <v>45340</v>
      </c>
      <c r="F4478" s="480"/>
      <c r="G4478" s="208" t="s">
        <v>86</v>
      </c>
      <c r="H4478" s="208"/>
      <c r="J4478" s="165" t="s">
        <v>960</v>
      </c>
      <c r="K4478" s="205">
        <v>946.08</v>
      </c>
      <c r="L4478" s="205"/>
    </row>
    <row r="4479" spans="1:13" ht="11.25" customHeight="1" x14ac:dyDescent="0.2">
      <c r="A4479" s="226">
        <v>2024</v>
      </c>
      <c r="B4479" s="226">
        <v>2</v>
      </c>
      <c r="C4479" s="226">
        <v>18</v>
      </c>
      <c r="D4479" s="226">
        <f t="shared" si="478"/>
        <v>45340</v>
      </c>
      <c r="E4479" s="234">
        <f t="shared" si="484"/>
        <v>45340</v>
      </c>
      <c r="F4479" s="479"/>
      <c r="G4479" s="227" t="s">
        <v>86</v>
      </c>
      <c r="H4479" s="227"/>
      <c r="I4479" s="228"/>
      <c r="J4479" s="229" t="s">
        <v>961</v>
      </c>
      <c r="K4479" s="294"/>
      <c r="L4479" s="230">
        <v>526546.07999999996</v>
      </c>
    </row>
    <row r="4480" spans="1:13" ht="11.25" customHeight="1" x14ac:dyDescent="0.2">
      <c r="A4480" s="221">
        <v>2024</v>
      </c>
      <c r="B4480" s="221">
        <v>2</v>
      </c>
      <c r="C4480" s="221">
        <v>18</v>
      </c>
      <c r="D4480" s="231">
        <f t="shared" si="478"/>
        <v>45340</v>
      </c>
      <c r="E4480" s="233">
        <f t="shared" si="484"/>
        <v>45340</v>
      </c>
      <c r="F4480" s="478" t="s">
        <v>1196</v>
      </c>
      <c r="G4480" s="222" t="s">
        <v>1111</v>
      </c>
      <c r="H4480" s="223" t="str" cm="1">
        <f t="array" ref="H4480">IFERROR(INDEX(INVESTOR_LIST[INVESTOR NAME],MATCH(I4480,INVESTOR_LIST[INVESTOR CODE],0),)," ")</f>
        <v xml:space="preserve"> </v>
      </c>
      <c r="I4480" s="223"/>
      <c r="J4480" s="224" t="s">
        <v>95</v>
      </c>
      <c r="K4480" s="225">
        <v>1062.46</v>
      </c>
      <c r="L4480" s="225" t="s">
        <v>1119</v>
      </c>
    </row>
    <row r="4481" spans="1:12" ht="11.25" customHeight="1" x14ac:dyDescent="0.2">
      <c r="A4481" s="226">
        <v>2024</v>
      </c>
      <c r="B4481" s="226">
        <v>2</v>
      </c>
      <c r="C4481" s="226">
        <v>18</v>
      </c>
      <c r="D4481" s="232">
        <f t="shared" si="478"/>
        <v>45340</v>
      </c>
      <c r="E4481" s="234">
        <f t="shared" si="484"/>
        <v>45340</v>
      </c>
      <c r="F4481" s="479"/>
      <c r="G4481" s="227" t="s">
        <v>1111</v>
      </c>
      <c r="H4481" s="228" t="str" cm="1">
        <f t="array" ref="H4481">IFERROR(INDEX(INVESTOR_LIST[INVESTOR NAME],MATCH(I4481,INVESTOR_LIST[INVESTOR CODE],0),)," ")</f>
        <v xml:space="preserve"> </v>
      </c>
      <c r="I4481" s="228"/>
      <c r="J4481" s="229" t="s">
        <v>55</v>
      </c>
      <c r="K4481" s="230" t="s">
        <v>1119</v>
      </c>
      <c r="L4481" s="230">
        <v>1062.46</v>
      </c>
    </row>
    <row r="4482" spans="1:12" ht="11.25" customHeight="1" x14ac:dyDescent="0.2">
      <c r="A4482" s="221">
        <v>2024</v>
      </c>
      <c r="B4482" s="221">
        <v>2</v>
      </c>
      <c r="C4482" s="221">
        <v>19</v>
      </c>
      <c r="D4482" s="231">
        <f t="shared" si="478"/>
        <v>45341</v>
      </c>
      <c r="E4482" s="233">
        <f t="shared" si="484"/>
        <v>45341</v>
      </c>
      <c r="F4482" s="478" t="s">
        <v>1593</v>
      </c>
      <c r="G4482" s="222" t="s">
        <v>86</v>
      </c>
      <c r="H4482" s="222" t="str" cm="1">
        <f t="array" ref="H4482">IFERROR(INDEX(INVESTOR_LIST[INVESTOR NAME],MATCH(I4482,INVESTOR_LIST[INVESTOR CODE],0),)," ")</f>
        <v xml:space="preserve"> </v>
      </c>
      <c r="I4482" s="223"/>
      <c r="J4482" s="224" t="s">
        <v>80</v>
      </c>
      <c r="K4482" s="225">
        <v>165496.5</v>
      </c>
      <c r="L4482" s="225"/>
    </row>
    <row r="4483" spans="1:12" ht="11.25" customHeight="1" x14ac:dyDescent="0.2">
      <c r="A4483" s="164">
        <v>2024</v>
      </c>
      <c r="B4483" s="164">
        <v>2</v>
      </c>
      <c r="C4483" s="164">
        <v>19</v>
      </c>
      <c r="D4483" s="164">
        <f t="shared" si="478"/>
        <v>45341</v>
      </c>
      <c r="E4483" s="235">
        <f t="shared" si="484"/>
        <v>45341</v>
      </c>
      <c r="F4483" s="480"/>
      <c r="G4483" s="208" t="s">
        <v>86</v>
      </c>
      <c r="H4483" s="208"/>
      <c r="J4483" s="165" t="s">
        <v>960</v>
      </c>
      <c r="K4483" s="205">
        <v>297.89</v>
      </c>
      <c r="L4483" s="205"/>
    </row>
    <row r="4484" spans="1:12" ht="11.25" customHeight="1" x14ac:dyDescent="0.2">
      <c r="A4484" s="226">
        <v>2024</v>
      </c>
      <c r="B4484" s="226">
        <v>2</v>
      </c>
      <c r="C4484" s="226">
        <v>19</v>
      </c>
      <c r="D4484" s="226">
        <f t="shared" si="478"/>
        <v>45341</v>
      </c>
      <c r="E4484" s="234">
        <f t="shared" si="484"/>
        <v>45341</v>
      </c>
      <c r="F4484" s="479"/>
      <c r="G4484" s="227" t="s">
        <v>86</v>
      </c>
      <c r="H4484" s="227"/>
      <c r="I4484" s="228"/>
      <c r="J4484" s="229" t="s">
        <v>961</v>
      </c>
      <c r="K4484" s="294"/>
      <c r="L4484" s="230">
        <v>165794.39000000001</v>
      </c>
    </row>
    <row r="4485" spans="1:12" ht="11.25" customHeight="1" x14ac:dyDescent="0.2">
      <c r="A4485" s="221">
        <v>2024</v>
      </c>
      <c r="B4485" s="221">
        <v>2</v>
      </c>
      <c r="C4485" s="221">
        <v>19</v>
      </c>
      <c r="D4485" s="231">
        <f t="shared" si="478"/>
        <v>45341</v>
      </c>
      <c r="E4485" s="233">
        <f t="shared" si="484"/>
        <v>45341</v>
      </c>
      <c r="F4485" s="478" t="s">
        <v>1594</v>
      </c>
      <c r="G4485" s="222" t="s">
        <v>1111</v>
      </c>
      <c r="H4485" s="223" t="str" cm="1">
        <f t="array" ref="H4485">IFERROR(INDEX(INVESTOR_LIST[INVESTOR NAME],MATCH(I4485,INVESTOR_LIST[INVESTOR CODE],0),)," ")</f>
        <v xml:space="preserve"> </v>
      </c>
      <c r="I4485" s="223"/>
      <c r="J4485" s="224" t="s">
        <v>961</v>
      </c>
      <c r="K4485" s="225">
        <v>526546.07999999996</v>
      </c>
      <c r="L4485" s="225"/>
    </row>
    <row r="4486" spans="1:12" ht="11.25" customHeight="1" x14ac:dyDescent="0.2">
      <c r="A4486" s="226">
        <v>2024</v>
      </c>
      <c r="B4486" s="226">
        <v>2</v>
      </c>
      <c r="C4486" s="226">
        <v>19</v>
      </c>
      <c r="D4486" s="232">
        <f t="shared" si="478"/>
        <v>45341</v>
      </c>
      <c r="E4486" s="234">
        <f t="shared" si="484"/>
        <v>45341</v>
      </c>
      <c r="F4486" s="479"/>
      <c r="G4486" s="227" t="s">
        <v>1111</v>
      </c>
      <c r="H4486" s="228" t="str" cm="1">
        <f t="array" ref="H4486">IFERROR(INDEX(INVESTOR_LIST[INVESTOR NAME],MATCH(I4486,INVESTOR_LIST[INVESTOR CODE],0),)," ")</f>
        <v xml:space="preserve"> </v>
      </c>
      <c r="I4486" s="228"/>
      <c r="J4486" s="229" t="s">
        <v>55</v>
      </c>
      <c r="K4486" s="230"/>
      <c r="L4486" s="230">
        <v>526546.07999999996</v>
      </c>
    </row>
    <row r="4487" spans="1:12" ht="11.25" customHeight="1" x14ac:dyDescent="0.2">
      <c r="A4487" s="221">
        <v>2024</v>
      </c>
      <c r="B4487" s="221">
        <v>2</v>
      </c>
      <c r="C4487" s="221">
        <v>19</v>
      </c>
      <c r="D4487" s="231">
        <f t="shared" si="478"/>
        <v>45341</v>
      </c>
      <c r="E4487" s="233">
        <f t="shared" si="484"/>
        <v>45341</v>
      </c>
      <c r="F4487" s="478" t="s">
        <v>1590</v>
      </c>
      <c r="G4487" s="222" t="s">
        <v>1111</v>
      </c>
      <c r="H4487" s="223" t="str" cm="1">
        <f t="array" ref="H4487">IFERROR(INDEX(INVESTOR_LIST[INVESTOR NAME],MATCH(I4487,INVESTOR_LIST[INVESTOR CODE],0),)," ")</f>
        <v xml:space="preserve"> </v>
      </c>
      <c r="I4487" s="223"/>
      <c r="J4487" s="224" t="s">
        <v>55</v>
      </c>
      <c r="K4487" s="225">
        <v>367706.56</v>
      </c>
      <c r="L4487" s="225"/>
    </row>
    <row r="4488" spans="1:12" ht="11.25" customHeight="1" x14ac:dyDescent="0.2">
      <c r="A4488" s="226">
        <v>2024</v>
      </c>
      <c r="B4488" s="226">
        <v>2</v>
      </c>
      <c r="C4488" s="226">
        <v>19</v>
      </c>
      <c r="D4488" s="232">
        <f t="shared" si="478"/>
        <v>45341</v>
      </c>
      <c r="E4488" s="234">
        <f t="shared" si="484"/>
        <v>45341</v>
      </c>
      <c r="F4488" s="479"/>
      <c r="G4488" s="227" t="s">
        <v>1111</v>
      </c>
      <c r="H4488" s="228" t="str" cm="1">
        <f t="array" ref="H4488">IFERROR(INDEX(INVESTOR_LIST[INVESTOR NAME],MATCH(I4488,INVESTOR_LIST[INVESTOR CODE],0),)," ")</f>
        <v xml:space="preserve"> </v>
      </c>
      <c r="I4488" s="228"/>
      <c r="J4488" s="229" t="s">
        <v>199</v>
      </c>
      <c r="K4488" s="230"/>
      <c r="L4488" s="230">
        <v>367706.56</v>
      </c>
    </row>
    <row r="4489" spans="1:12" ht="11.25" customHeight="1" x14ac:dyDescent="0.2">
      <c r="A4489" s="221">
        <v>2024</v>
      </c>
      <c r="B4489" s="221">
        <v>2</v>
      </c>
      <c r="C4489" s="221">
        <v>20</v>
      </c>
      <c r="D4489" s="231">
        <f t="shared" ref="D4489:D4552" si="485">DATE(A4489,B4489,C4489)</f>
        <v>45342</v>
      </c>
      <c r="E4489" s="233">
        <f t="shared" si="484"/>
        <v>45342</v>
      </c>
      <c r="F4489" s="478" t="s">
        <v>1142</v>
      </c>
      <c r="G4489" s="222" t="s">
        <v>1111</v>
      </c>
      <c r="H4489" s="223" t="str" cm="1">
        <f t="array" ref="H4489">IFERROR(INDEX(INVESTOR_LIST[INVESTOR NAME],MATCH(I4489,INVESTOR_LIST[INVESTOR CODE],0),)," ")</f>
        <v xml:space="preserve"> </v>
      </c>
      <c r="I4489" s="223"/>
      <c r="J4489" s="224" t="s">
        <v>189</v>
      </c>
      <c r="K4489" s="225">
        <v>1575</v>
      </c>
      <c r="L4489" s="225"/>
    </row>
    <row r="4490" spans="1:12" ht="11.25" customHeight="1" x14ac:dyDescent="0.2">
      <c r="A4490" s="164">
        <v>2024</v>
      </c>
      <c r="B4490" s="164">
        <v>2</v>
      </c>
      <c r="C4490" s="164">
        <v>20</v>
      </c>
      <c r="D4490" s="156">
        <f t="shared" si="485"/>
        <v>45342</v>
      </c>
      <c r="E4490" s="235">
        <f t="shared" ref="E4490" si="486">DATE(A4490,B4490,C4490)</f>
        <v>45342</v>
      </c>
      <c r="F4490" s="480"/>
      <c r="G4490" s="208" t="s">
        <v>1111</v>
      </c>
      <c r="J4490" s="165" t="s">
        <v>1707</v>
      </c>
      <c r="K4490" s="205"/>
      <c r="L4490" s="205">
        <v>150</v>
      </c>
    </row>
    <row r="4491" spans="1:12" ht="11.25" customHeight="1" x14ac:dyDescent="0.2">
      <c r="A4491" s="226">
        <v>2024</v>
      </c>
      <c r="B4491" s="226">
        <v>2</v>
      </c>
      <c r="C4491" s="226">
        <v>20</v>
      </c>
      <c r="D4491" s="232">
        <f t="shared" si="485"/>
        <v>45342</v>
      </c>
      <c r="E4491" s="234">
        <f t="shared" si="484"/>
        <v>45342</v>
      </c>
      <c r="F4491" s="479"/>
      <c r="G4491" s="227" t="s">
        <v>1111</v>
      </c>
      <c r="H4491" s="228" t="str" cm="1">
        <f t="array" ref="H4491">IFERROR(INDEX(INVESTOR_LIST[INVESTOR NAME],MATCH(I4491,INVESTOR_LIST[INVESTOR CODE],0),)," ")</f>
        <v xml:space="preserve"> </v>
      </c>
      <c r="I4491" s="228"/>
      <c r="J4491" s="229" t="s">
        <v>55</v>
      </c>
      <c r="K4491" s="230"/>
      <c r="L4491" s="230">
        <v>1350</v>
      </c>
    </row>
    <row r="4492" spans="1:12" ht="11.25" customHeight="1" x14ac:dyDescent="0.2">
      <c r="A4492" s="358">
        <v>2024</v>
      </c>
      <c r="B4492" s="358">
        <v>2</v>
      </c>
      <c r="C4492" s="358">
        <v>22</v>
      </c>
      <c r="D4492" s="312">
        <f t="shared" si="485"/>
        <v>45344</v>
      </c>
      <c r="E4492" s="313">
        <f t="shared" ref="E4492:E4509" si="487">DATE(A4492,B4492,C4492)</f>
        <v>45344</v>
      </c>
      <c r="F4492" s="482" t="s">
        <v>1627</v>
      </c>
      <c r="G4492" s="314" t="s">
        <v>86</v>
      </c>
      <c r="H4492" s="324" t="str" cm="1">
        <f t="array" ref="H4492">IFERROR(INDEX(INVESTOR_LIST[INVESTOR NAME],MATCH(I4492,INVESTOR_LIST[INVESTOR CODE],0),)," ")</f>
        <v xml:space="preserve"> </v>
      </c>
      <c r="I4492" s="324"/>
      <c r="J4492" s="364" t="s">
        <v>1621</v>
      </c>
      <c r="K4492" s="365">
        <v>179123.29999999702</v>
      </c>
      <c r="L4492" s="365"/>
    </row>
    <row r="4493" spans="1:12" ht="11.25" customHeight="1" x14ac:dyDescent="0.2">
      <c r="A4493" s="320">
        <v>2024</v>
      </c>
      <c r="B4493" s="320">
        <v>2</v>
      </c>
      <c r="C4493" s="320">
        <v>22</v>
      </c>
      <c r="D4493" s="323">
        <f t="shared" si="485"/>
        <v>45344</v>
      </c>
      <c r="E4493" s="321">
        <f t="shared" si="487"/>
        <v>45344</v>
      </c>
      <c r="F4493" s="483"/>
      <c r="G4493" s="322" t="s">
        <v>86</v>
      </c>
      <c r="H4493" s="325" t="str" cm="1">
        <f t="array" ref="H4493">IFERROR(INDEX(INVESTOR_LIST[INVESTOR NAME],MATCH(I4493,INVESTOR_LIST[INVESTOR CODE],0),)," ")</f>
        <v xml:space="preserve"> </v>
      </c>
      <c r="I4493" s="325"/>
      <c r="J4493" s="366" t="s">
        <v>1613</v>
      </c>
      <c r="K4493" s="367"/>
      <c r="L4493" s="367">
        <v>179123.29999999702</v>
      </c>
    </row>
    <row r="4494" spans="1:12" ht="11.25" customHeight="1" x14ac:dyDescent="0.2">
      <c r="A4494" s="236">
        <v>2024</v>
      </c>
      <c r="B4494" s="236">
        <v>2</v>
      </c>
      <c r="C4494" s="236">
        <v>22</v>
      </c>
      <c r="D4494" s="237">
        <f t="shared" si="485"/>
        <v>45344</v>
      </c>
      <c r="E4494" s="238">
        <f t="shared" si="487"/>
        <v>45344</v>
      </c>
      <c r="F4494" s="476" t="s">
        <v>1118</v>
      </c>
      <c r="G4494" s="239" t="s">
        <v>86</v>
      </c>
      <c r="H4494" s="239" t="str" cm="1">
        <f t="array" ref="H4494">IFERROR(INDEX(INVESTOR_LIST[INVESTOR NAME],MATCH(I4494,INVESTOR_LIST[INVESTOR CODE],0),)," ")</f>
        <v xml:space="preserve"> </v>
      </c>
      <c r="I4494" s="240"/>
      <c r="J4494" s="241" t="s">
        <v>98</v>
      </c>
      <c r="K4494" s="242">
        <v>11900</v>
      </c>
      <c r="L4494" s="242"/>
    </row>
    <row r="4495" spans="1:12" ht="11.25" customHeight="1" x14ac:dyDescent="0.2">
      <c r="A4495" s="243">
        <v>2024</v>
      </c>
      <c r="B4495" s="243">
        <v>2</v>
      </c>
      <c r="C4495" s="243">
        <v>22</v>
      </c>
      <c r="D4495" s="248">
        <f t="shared" si="485"/>
        <v>45344</v>
      </c>
      <c r="E4495" s="249">
        <f t="shared" si="487"/>
        <v>45344</v>
      </c>
      <c r="F4495" s="477"/>
      <c r="G4495" s="244" t="s">
        <v>86</v>
      </c>
      <c r="H4495" s="244" t="str" cm="1">
        <f t="array" ref="H4495">IFERROR(INDEX(INVESTOR_LIST[INVESTOR NAME],MATCH(I4495,INVESTOR_LIST[INVESTOR CODE],0),)," ")</f>
        <v xml:space="preserve"> </v>
      </c>
      <c r="I4495" s="245"/>
      <c r="J4495" s="246" t="s">
        <v>82</v>
      </c>
      <c r="K4495" s="247"/>
      <c r="L4495" s="247">
        <v>11900</v>
      </c>
    </row>
    <row r="4496" spans="1:12" ht="11.25" customHeight="1" x14ac:dyDescent="0.2">
      <c r="A4496" s="236">
        <v>2024</v>
      </c>
      <c r="B4496" s="236">
        <v>2</v>
      </c>
      <c r="C4496" s="236">
        <v>22</v>
      </c>
      <c r="D4496" s="237">
        <f t="shared" si="485"/>
        <v>45344</v>
      </c>
      <c r="E4496" s="238">
        <f t="shared" si="487"/>
        <v>45344</v>
      </c>
      <c r="F4496" s="476" t="s">
        <v>1120</v>
      </c>
      <c r="G4496" s="239" t="s">
        <v>86</v>
      </c>
      <c r="H4496" s="239" t="str" cm="1">
        <f t="array" ref="H4496">IFERROR(INDEX(INVESTOR_LIST[INVESTOR NAME],MATCH(I4496,INVESTOR_LIST[INVESTOR CODE],0),)," ")</f>
        <v xml:space="preserve"> </v>
      </c>
      <c r="I4496" s="240"/>
      <c r="J4496" s="241" t="s">
        <v>87</v>
      </c>
      <c r="K4496" s="242">
        <v>2747.2527472527472</v>
      </c>
      <c r="L4496" s="242"/>
    </row>
    <row r="4497" spans="1:12" ht="11.25" customHeight="1" x14ac:dyDescent="0.2">
      <c r="A4497" s="243">
        <v>2024</v>
      </c>
      <c r="B4497" s="243">
        <v>2</v>
      </c>
      <c r="C4497" s="243">
        <v>22</v>
      </c>
      <c r="D4497" s="248">
        <f t="shared" si="485"/>
        <v>45344</v>
      </c>
      <c r="E4497" s="249">
        <f t="shared" si="487"/>
        <v>45344</v>
      </c>
      <c r="F4497" s="477"/>
      <c r="G4497" s="244" t="s">
        <v>86</v>
      </c>
      <c r="H4497" s="244" t="str" cm="1">
        <f t="array" ref="H4497">IFERROR(INDEX(INVESTOR_LIST[INVESTOR NAME],MATCH(I4497,INVESTOR_LIST[INVESTOR CODE],0),)," ")</f>
        <v xml:space="preserve"> </v>
      </c>
      <c r="I4497" s="245"/>
      <c r="J4497" s="246" t="s">
        <v>64</v>
      </c>
      <c r="K4497" s="247"/>
      <c r="L4497" s="247">
        <v>2747.2527472527472</v>
      </c>
    </row>
    <row r="4498" spans="1:12" ht="11.25" customHeight="1" x14ac:dyDescent="0.2">
      <c r="A4498" s="236">
        <v>2024</v>
      </c>
      <c r="B4498" s="236">
        <v>2</v>
      </c>
      <c r="C4498" s="236">
        <v>22</v>
      </c>
      <c r="D4498" s="237">
        <f t="shared" si="485"/>
        <v>45344</v>
      </c>
      <c r="E4498" s="238">
        <f t="shared" si="487"/>
        <v>45344</v>
      </c>
      <c r="F4498" s="476" t="s">
        <v>1121</v>
      </c>
      <c r="G4498" s="239" t="s">
        <v>86</v>
      </c>
      <c r="H4498" s="239" t="str" cm="1">
        <f t="array" ref="H4498">IFERROR(INDEX(INVESTOR_LIST[INVESTOR NAME],MATCH(I4498,INVESTOR_LIST[INVESTOR CODE],0),)," ")</f>
        <v xml:space="preserve"> </v>
      </c>
      <c r="I4498" s="240"/>
      <c r="J4498" s="241" t="s">
        <v>89</v>
      </c>
      <c r="K4498" s="242">
        <v>68333.029181887076</v>
      </c>
      <c r="L4498" s="242"/>
    </row>
    <row r="4499" spans="1:12" ht="11.25" customHeight="1" x14ac:dyDescent="0.2">
      <c r="A4499" s="243">
        <v>2024</v>
      </c>
      <c r="B4499" s="243">
        <v>2</v>
      </c>
      <c r="C4499" s="243">
        <v>22</v>
      </c>
      <c r="D4499" s="248">
        <f t="shared" si="485"/>
        <v>45344</v>
      </c>
      <c r="E4499" s="249">
        <f t="shared" si="487"/>
        <v>45344</v>
      </c>
      <c r="F4499" s="477"/>
      <c r="G4499" s="244" t="s">
        <v>86</v>
      </c>
      <c r="H4499" s="244" t="str" cm="1">
        <f t="array" ref="H4499">IFERROR(INDEX(INVESTOR_LIST[INVESTOR NAME],MATCH(I4499,INVESTOR_LIST[INVESTOR CODE],0),)," ")</f>
        <v xml:space="preserve"> </v>
      </c>
      <c r="I4499" s="245"/>
      <c r="J4499" s="246" t="s">
        <v>50</v>
      </c>
      <c r="K4499" s="247"/>
      <c r="L4499" s="247">
        <v>68333.029181887076</v>
      </c>
    </row>
    <row r="4500" spans="1:12" ht="11.25" customHeight="1" x14ac:dyDescent="0.2">
      <c r="A4500" s="236">
        <v>2024</v>
      </c>
      <c r="B4500" s="236">
        <v>2</v>
      </c>
      <c r="C4500" s="236">
        <v>22</v>
      </c>
      <c r="D4500" s="237">
        <f t="shared" si="485"/>
        <v>45344</v>
      </c>
      <c r="E4500" s="238">
        <f t="shared" si="487"/>
        <v>45344</v>
      </c>
      <c r="F4500" s="476" t="s">
        <v>1122</v>
      </c>
      <c r="G4500" s="239" t="s">
        <v>86</v>
      </c>
      <c r="H4500" s="239" t="str" cm="1">
        <f t="array" ref="H4500">IFERROR(INDEX(INVESTOR_LIST[INVESTOR NAME],MATCH(I4500,INVESTOR_LIST[INVESTOR CODE],0),)," ")</f>
        <v xml:space="preserve"> </v>
      </c>
      <c r="I4500" s="240"/>
      <c r="J4500" s="241" t="s">
        <v>91</v>
      </c>
      <c r="K4500" s="242">
        <v>3176.2668437097382</v>
      </c>
      <c r="L4500" s="242"/>
    </row>
    <row r="4501" spans="1:12" ht="11.25" customHeight="1" x14ac:dyDescent="0.2">
      <c r="A4501" s="243">
        <v>2024</v>
      </c>
      <c r="B4501" s="243">
        <v>2</v>
      </c>
      <c r="C4501" s="243">
        <v>22</v>
      </c>
      <c r="D4501" s="248">
        <f t="shared" si="485"/>
        <v>45344</v>
      </c>
      <c r="E4501" s="249">
        <f t="shared" si="487"/>
        <v>45344</v>
      </c>
      <c r="F4501" s="477"/>
      <c r="G4501" s="244" t="s">
        <v>86</v>
      </c>
      <c r="H4501" s="244" t="str" cm="1">
        <f t="array" ref="H4501">IFERROR(INDEX(INVESTOR_LIST[INVESTOR NAME],MATCH(I4501,INVESTOR_LIST[INVESTOR CODE],0),)," ")</f>
        <v xml:space="preserve"> </v>
      </c>
      <c r="I4501" s="245"/>
      <c r="J4501" s="246" t="s">
        <v>51</v>
      </c>
      <c r="K4501" s="247"/>
      <c r="L4501" s="247">
        <v>3176.2668437097382</v>
      </c>
    </row>
    <row r="4502" spans="1:12" ht="11.25" customHeight="1" x14ac:dyDescent="0.2">
      <c r="A4502" s="221">
        <v>2024</v>
      </c>
      <c r="B4502" s="221">
        <v>2</v>
      </c>
      <c r="C4502" s="221">
        <v>25</v>
      </c>
      <c r="D4502" s="221">
        <f t="shared" si="485"/>
        <v>45347</v>
      </c>
      <c r="E4502" s="233">
        <f t="shared" si="487"/>
        <v>45347</v>
      </c>
      <c r="F4502" s="478" t="s">
        <v>1685</v>
      </c>
      <c r="G4502" s="222" t="s">
        <v>86</v>
      </c>
      <c r="H4502" s="222" t="str" cm="1">
        <f t="array" ref="H4502">IFERROR(INDEX(INVESTOR_LIST[INVESTOR NAME],MATCH(I4502,INVESTOR_LIST[INVESTOR CODE],0),)," ")</f>
        <v xml:space="preserve"> </v>
      </c>
      <c r="I4502" s="223"/>
      <c r="J4502" s="224" t="s">
        <v>80</v>
      </c>
      <c r="K4502" s="225">
        <v>642750</v>
      </c>
      <c r="L4502" s="225"/>
    </row>
    <row r="4503" spans="1:12" ht="11.25" customHeight="1" x14ac:dyDescent="0.2">
      <c r="A4503" s="164">
        <v>2024</v>
      </c>
      <c r="B4503" s="164">
        <v>2</v>
      </c>
      <c r="C4503" s="164">
        <v>25</v>
      </c>
      <c r="D4503" s="164">
        <f t="shared" si="485"/>
        <v>45347</v>
      </c>
      <c r="E4503" s="235">
        <f t="shared" si="487"/>
        <v>45347</v>
      </c>
      <c r="F4503" s="480"/>
      <c r="G4503" s="208" t="s">
        <v>86</v>
      </c>
      <c r="H4503" s="208"/>
      <c r="J4503" s="165" t="s">
        <v>960</v>
      </c>
      <c r="K4503" s="205">
        <v>3648.72</v>
      </c>
      <c r="L4503" s="205"/>
    </row>
    <row r="4504" spans="1:12" ht="11.25" customHeight="1" x14ac:dyDescent="0.2">
      <c r="A4504" s="164">
        <v>2024</v>
      </c>
      <c r="B4504" s="164">
        <v>2</v>
      </c>
      <c r="C4504" s="164">
        <v>25</v>
      </c>
      <c r="D4504" s="164">
        <f t="shared" si="485"/>
        <v>45347</v>
      </c>
      <c r="E4504" s="235">
        <f t="shared" si="487"/>
        <v>45347</v>
      </c>
      <c r="F4504" s="480"/>
      <c r="G4504" s="208" t="s">
        <v>86</v>
      </c>
      <c r="H4504" s="208"/>
      <c r="J4504" s="165" t="s">
        <v>199</v>
      </c>
      <c r="K4504" s="263">
        <v>737918.88</v>
      </c>
      <c r="L4504" s="205"/>
    </row>
    <row r="4505" spans="1:12" ht="11.25" customHeight="1" x14ac:dyDescent="0.2">
      <c r="A4505" s="164">
        <v>2024</v>
      </c>
      <c r="B4505" s="164">
        <v>2</v>
      </c>
      <c r="C4505" s="164">
        <v>25</v>
      </c>
      <c r="D4505" s="164">
        <f t="shared" si="485"/>
        <v>45347</v>
      </c>
      <c r="E4505" s="235">
        <f t="shared" si="487"/>
        <v>45347</v>
      </c>
      <c r="F4505" s="480"/>
      <c r="G4505" s="208" t="s">
        <v>86</v>
      </c>
      <c r="H4505" s="208"/>
      <c r="J4505" s="165" t="s">
        <v>200</v>
      </c>
      <c r="K4505" s="263">
        <v>9278.89</v>
      </c>
      <c r="L4505" s="156"/>
    </row>
    <row r="4506" spans="1:12" ht="11.25" customHeight="1" x14ac:dyDescent="0.2">
      <c r="A4506" s="226">
        <v>2024</v>
      </c>
      <c r="B4506" s="226">
        <v>2</v>
      </c>
      <c r="C4506" s="226">
        <v>25</v>
      </c>
      <c r="D4506" s="226">
        <f t="shared" si="485"/>
        <v>45347</v>
      </c>
      <c r="E4506" s="234">
        <f t="shared" si="487"/>
        <v>45347</v>
      </c>
      <c r="F4506" s="479"/>
      <c r="G4506" s="227" t="s">
        <v>86</v>
      </c>
      <c r="H4506" s="228" t="str" cm="1">
        <f t="array" ref="H4506">IFERROR(INDEX(INVESTOR_LIST[INVESTOR NAME],MATCH(I4506,INVESTOR_LIST[INVESTOR CODE],0),)," ")</f>
        <v xml:space="preserve"> </v>
      </c>
      <c r="I4506" s="228"/>
      <c r="J4506" s="229" t="s">
        <v>80</v>
      </c>
      <c r="K4506" s="230"/>
      <c r="L4506" s="230">
        <v>1393596.49</v>
      </c>
    </row>
    <row r="4507" spans="1:12" ht="11.25" customHeight="1" x14ac:dyDescent="0.2">
      <c r="A4507" s="221">
        <v>2024</v>
      </c>
      <c r="B4507" s="221">
        <v>2</v>
      </c>
      <c r="C4507" s="221">
        <v>25</v>
      </c>
      <c r="D4507" s="231">
        <f t="shared" si="485"/>
        <v>45347</v>
      </c>
      <c r="E4507" s="233">
        <f t="shared" si="487"/>
        <v>45347</v>
      </c>
      <c r="F4507" s="478" t="s">
        <v>1605</v>
      </c>
      <c r="G4507" s="222" t="s">
        <v>1111</v>
      </c>
      <c r="H4507" s="223" t="str" cm="1">
        <f t="array" ref="H4507">IFERROR(INDEX(INVESTOR_LIST[INVESTOR NAME],MATCH(I4507,INVESTOR_LIST[INVESTOR CODE],0),)," ")</f>
        <v>KAZI AHSAN MARUF</v>
      </c>
      <c r="I4507" s="223" t="s">
        <v>372</v>
      </c>
      <c r="J4507" s="224" t="s">
        <v>55</v>
      </c>
      <c r="K4507" s="167">
        <v>200000</v>
      </c>
      <c r="L4507" s="225"/>
    </row>
    <row r="4508" spans="1:12" ht="11.25" customHeight="1" x14ac:dyDescent="0.2">
      <c r="A4508" s="164">
        <v>2024</v>
      </c>
      <c r="B4508" s="164">
        <v>2</v>
      </c>
      <c r="C4508" s="164">
        <v>25</v>
      </c>
      <c r="D4508" s="156">
        <f t="shared" si="485"/>
        <v>45347</v>
      </c>
      <c r="E4508" s="235">
        <f t="shared" si="487"/>
        <v>45347</v>
      </c>
      <c r="F4508" s="480"/>
      <c r="G4508" s="208" t="s">
        <v>1111</v>
      </c>
      <c r="H4508" s="206" t="str" cm="1">
        <f t="array" ref="H4508">IFERROR(INDEX(INVESTOR_LIST[INVESTOR NAME],MATCH(I4508,INVESTOR_LIST[INVESTOR CODE],0),)," ")</f>
        <v>KAZI AHSAN MARUF</v>
      </c>
      <c r="I4508" s="206" t="s">
        <v>372</v>
      </c>
      <c r="J4508" s="165" t="s">
        <v>14</v>
      </c>
      <c r="L4508" s="418">
        <v>195470</v>
      </c>
    </row>
    <row r="4509" spans="1:12" ht="11.25" customHeight="1" x14ac:dyDescent="0.2">
      <c r="A4509" s="226">
        <v>2024</v>
      </c>
      <c r="B4509" s="226">
        <v>2</v>
      </c>
      <c r="C4509" s="226">
        <v>25</v>
      </c>
      <c r="D4509" s="232">
        <f t="shared" si="485"/>
        <v>45347</v>
      </c>
      <c r="E4509" s="234">
        <f t="shared" si="487"/>
        <v>45347</v>
      </c>
      <c r="F4509" s="479"/>
      <c r="G4509" s="227" t="s">
        <v>1111</v>
      </c>
      <c r="H4509" s="228" t="str" cm="1">
        <f t="array" ref="H4509">IFERROR(INDEX(INVESTOR_LIST[INVESTOR NAME],MATCH(I4509,INVESTOR_LIST[INVESTOR CODE],0),)," ")</f>
        <v>KAZI AHSAN MARUF</v>
      </c>
      <c r="I4509" s="228" t="s">
        <v>372</v>
      </c>
      <c r="J4509" s="229" t="s">
        <v>1112</v>
      </c>
      <c r="K4509" s="230"/>
      <c r="L4509" s="230">
        <v>4530</v>
      </c>
    </row>
    <row r="4510" spans="1:12" ht="11.25" customHeight="1" x14ac:dyDescent="0.2">
      <c r="A4510" s="221">
        <v>2024</v>
      </c>
      <c r="B4510" s="221">
        <v>2</v>
      </c>
      <c r="C4510" s="221">
        <v>27</v>
      </c>
      <c r="D4510" s="231">
        <f t="shared" si="485"/>
        <v>45349</v>
      </c>
      <c r="E4510" s="233">
        <f t="shared" ref="E4510:E4512" si="488">DATE(A4510,B4510,C4510)</f>
        <v>45349</v>
      </c>
      <c r="F4510" s="478" t="s">
        <v>1605</v>
      </c>
      <c r="G4510" s="222" t="s">
        <v>1111</v>
      </c>
      <c r="H4510" s="223" t="str" cm="1">
        <f t="array" ref="H4510">IFERROR(INDEX(INVESTOR_LIST[INVESTOR NAME],MATCH(I4510,INVESTOR_LIST[INVESTOR CODE],0),)," ")</f>
        <v xml:space="preserve"> </v>
      </c>
      <c r="I4510" s="223"/>
      <c r="J4510" s="224" t="s">
        <v>55</v>
      </c>
      <c r="K4510" s="167">
        <v>10232</v>
      </c>
      <c r="L4510" s="225"/>
    </row>
    <row r="4511" spans="1:12" ht="11.25" customHeight="1" x14ac:dyDescent="0.2">
      <c r="A4511" s="164">
        <v>2024</v>
      </c>
      <c r="B4511" s="164">
        <v>2</v>
      </c>
      <c r="C4511" s="164">
        <v>27</v>
      </c>
      <c r="D4511" s="156">
        <f t="shared" si="485"/>
        <v>45349</v>
      </c>
      <c r="E4511" s="235">
        <f t="shared" si="488"/>
        <v>45349</v>
      </c>
      <c r="F4511" s="480"/>
      <c r="G4511" s="208" t="s">
        <v>1111</v>
      </c>
      <c r="H4511" s="206" t="str" cm="1">
        <f t="array" ref="H4511">IFERROR(INDEX(INVESTOR_LIST[INVESTOR NAME],MATCH(I4511,INVESTOR_LIST[INVESTOR CODE],0),)," ")</f>
        <v xml:space="preserve"> </v>
      </c>
      <c r="J4511" s="165" t="s">
        <v>14</v>
      </c>
      <c r="L4511" s="418">
        <v>10000</v>
      </c>
    </row>
    <row r="4512" spans="1:12" ht="11.25" customHeight="1" x14ac:dyDescent="0.2">
      <c r="A4512" s="226">
        <v>2024</v>
      </c>
      <c r="B4512" s="226">
        <v>2</v>
      </c>
      <c r="C4512" s="226">
        <v>27</v>
      </c>
      <c r="D4512" s="232">
        <f t="shared" si="485"/>
        <v>45349</v>
      </c>
      <c r="E4512" s="234">
        <f t="shared" si="488"/>
        <v>45349</v>
      </c>
      <c r="F4512" s="479"/>
      <c r="G4512" s="227" t="s">
        <v>1111</v>
      </c>
      <c r="H4512" s="228" t="str" cm="1">
        <f t="array" ref="H4512">IFERROR(INDEX(INVESTOR_LIST[INVESTOR NAME],MATCH(I4512,INVESTOR_LIST[INVESTOR CODE],0),)," ")</f>
        <v xml:space="preserve"> </v>
      </c>
      <c r="I4512" s="228"/>
      <c r="J4512" s="229" t="s">
        <v>1112</v>
      </c>
      <c r="K4512" s="230"/>
      <c r="L4512" s="230">
        <v>232</v>
      </c>
    </row>
    <row r="4513" spans="1:13" ht="11.25" customHeight="1" x14ac:dyDescent="0.2">
      <c r="A4513" s="221">
        <v>2024</v>
      </c>
      <c r="B4513" s="221">
        <v>2</v>
      </c>
      <c r="C4513" s="221">
        <v>27</v>
      </c>
      <c r="D4513" s="231">
        <f t="shared" si="485"/>
        <v>45349</v>
      </c>
      <c r="E4513" s="233">
        <f t="shared" ref="E4513:E4524" si="489">DATE(A4513,B4513,C4513)</f>
        <v>45349</v>
      </c>
      <c r="F4513" s="478" t="s">
        <v>1132</v>
      </c>
      <c r="G4513" s="222" t="s">
        <v>1111</v>
      </c>
      <c r="H4513" s="223" t="str" cm="1">
        <f t="array" ref="H4513">IFERROR(INDEX(INVESTOR_LIST[INVESTOR NAME],MATCH(I4513,INVESTOR_LIST[INVESTOR CODE],0),)," ")</f>
        <v xml:space="preserve"> </v>
      </c>
      <c r="I4513" s="223"/>
      <c r="J4513" s="224" t="s">
        <v>55</v>
      </c>
      <c r="K4513" s="167">
        <v>15000</v>
      </c>
      <c r="L4513" s="225"/>
    </row>
    <row r="4514" spans="1:13" ht="11.25" customHeight="1" x14ac:dyDescent="0.2">
      <c r="A4514" s="164">
        <v>2024</v>
      </c>
      <c r="B4514" s="164">
        <v>2</v>
      </c>
      <c r="C4514" s="164">
        <v>27</v>
      </c>
      <c r="D4514" s="156">
        <f t="shared" si="485"/>
        <v>45349</v>
      </c>
      <c r="E4514" s="235">
        <f t="shared" si="489"/>
        <v>45349</v>
      </c>
      <c r="F4514" s="480"/>
      <c r="G4514" s="208" t="s">
        <v>1111</v>
      </c>
      <c r="H4514" s="206" t="str" cm="1">
        <f t="array" ref="H4514">IFERROR(INDEX(INVESTOR_LIST[INVESTOR NAME],MATCH(I4514,INVESTOR_LIST[INVESTOR CODE],0),)," ")</f>
        <v xml:space="preserve"> </v>
      </c>
      <c r="J4514" s="165" t="s">
        <v>14</v>
      </c>
      <c r="L4514" s="205">
        <v>14660</v>
      </c>
    </row>
    <row r="4515" spans="1:13" ht="11.25" customHeight="1" x14ac:dyDescent="0.2">
      <c r="A4515" s="226">
        <v>2024</v>
      </c>
      <c r="B4515" s="226">
        <v>2</v>
      </c>
      <c r="C4515" s="226">
        <v>27</v>
      </c>
      <c r="D4515" s="232">
        <f t="shared" si="485"/>
        <v>45349</v>
      </c>
      <c r="E4515" s="234">
        <f t="shared" si="489"/>
        <v>45349</v>
      </c>
      <c r="F4515" s="479"/>
      <c r="G4515" s="227" t="s">
        <v>1111</v>
      </c>
      <c r="H4515" s="228" t="str" cm="1">
        <f t="array" ref="H4515">IFERROR(INDEX(INVESTOR_LIST[INVESTOR NAME],MATCH(I4515,INVESTOR_LIST[INVESTOR CODE],0),)," ")</f>
        <v xml:space="preserve"> </v>
      </c>
      <c r="I4515" s="228"/>
      <c r="J4515" s="229" t="s">
        <v>1112</v>
      </c>
      <c r="K4515" s="230"/>
      <c r="L4515" s="230">
        <v>340</v>
      </c>
    </row>
    <row r="4516" spans="1:13" ht="11.25" customHeight="1" x14ac:dyDescent="0.2">
      <c r="A4516" s="221">
        <v>2024</v>
      </c>
      <c r="B4516" s="221">
        <v>2</v>
      </c>
      <c r="C4516" s="221">
        <v>27</v>
      </c>
      <c r="D4516" s="221">
        <f t="shared" si="485"/>
        <v>45349</v>
      </c>
      <c r="E4516" s="233">
        <f t="shared" si="489"/>
        <v>45349</v>
      </c>
      <c r="F4516" s="478" t="s">
        <v>1589</v>
      </c>
      <c r="G4516" s="222" t="s">
        <v>86</v>
      </c>
      <c r="H4516" s="222" t="str" cm="1">
        <f t="array" ref="H4516">IFERROR(INDEX(INVESTOR_LIST[INVESTOR NAME],MATCH(I4516,INVESTOR_LIST[INVESTOR CODE],0),)," ")</f>
        <v xml:space="preserve"> </v>
      </c>
      <c r="I4516" s="223"/>
      <c r="J4516" s="165" t="s">
        <v>199</v>
      </c>
      <c r="K4516" s="225">
        <v>529245.64</v>
      </c>
      <c r="L4516" s="225"/>
    </row>
    <row r="4517" spans="1:13" ht="11.25" customHeight="1" x14ac:dyDescent="0.2">
      <c r="A4517" s="164">
        <v>2024</v>
      </c>
      <c r="B4517" s="164">
        <v>2</v>
      </c>
      <c r="C4517" s="164">
        <v>27</v>
      </c>
      <c r="D4517" s="164">
        <f t="shared" si="485"/>
        <v>45349</v>
      </c>
      <c r="E4517" s="235">
        <f t="shared" si="489"/>
        <v>45349</v>
      </c>
      <c r="F4517" s="480"/>
      <c r="G4517" s="208" t="s">
        <v>86</v>
      </c>
      <c r="H4517" s="208"/>
      <c r="J4517" s="165" t="s">
        <v>960</v>
      </c>
      <c r="K4517" s="205">
        <v>954.36</v>
      </c>
      <c r="L4517" s="205"/>
    </row>
    <row r="4518" spans="1:13" ht="11.25" customHeight="1" x14ac:dyDescent="0.2">
      <c r="A4518" s="164">
        <v>2024</v>
      </c>
      <c r="B4518" s="164">
        <v>2</v>
      </c>
      <c r="C4518" s="164">
        <v>27</v>
      </c>
      <c r="D4518" s="164">
        <f t="shared" si="485"/>
        <v>45349</v>
      </c>
      <c r="E4518" s="235">
        <f t="shared" si="489"/>
        <v>45349</v>
      </c>
      <c r="F4518" s="480"/>
      <c r="G4518" s="208" t="s">
        <v>86</v>
      </c>
      <c r="H4518" s="208"/>
      <c r="J4518" s="165" t="s">
        <v>200</v>
      </c>
      <c r="K4518" s="205"/>
      <c r="L4518" s="205">
        <v>3420</v>
      </c>
    </row>
    <row r="4519" spans="1:13" ht="11.25" customHeight="1" x14ac:dyDescent="0.2">
      <c r="A4519" s="226">
        <v>2024</v>
      </c>
      <c r="B4519" s="226">
        <v>2</v>
      </c>
      <c r="C4519" s="226">
        <v>27</v>
      </c>
      <c r="D4519" s="226">
        <f t="shared" si="485"/>
        <v>45349</v>
      </c>
      <c r="E4519" s="234">
        <f t="shared" si="489"/>
        <v>45349</v>
      </c>
      <c r="F4519" s="479"/>
      <c r="G4519" s="227" t="s">
        <v>86</v>
      </c>
      <c r="H4519" s="228" t="str" cm="1">
        <f t="array" ref="H4519">IFERROR(INDEX(INVESTOR_LIST[INVESTOR NAME],MATCH(I4519,INVESTOR_LIST[INVESTOR CODE],0),)," ")</f>
        <v xml:space="preserve"> </v>
      </c>
      <c r="I4519" s="228"/>
      <c r="J4519" s="229" t="s">
        <v>80</v>
      </c>
      <c r="K4519" s="230"/>
      <c r="L4519" s="230">
        <v>526780</v>
      </c>
    </row>
    <row r="4520" spans="1:13" ht="11.25" customHeight="1" x14ac:dyDescent="0.2">
      <c r="A4520" s="221">
        <v>2024</v>
      </c>
      <c r="B4520" s="221">
        <v>2</v>
      </c>
      <c r="C4520" s="221">
        <v>27</v>
      </c>
      <c r="D4520" s="231">
        <f t="shared" si="485"/>
        <v>45349</v>
      </c>
      <c r="E4520" s="233">
        <f t="shared" si="489"/>
        <v>45349</v>
      </c>
      <c r="F4520" s="478" t="s">
        <v>1695</v>
      </c>
      <c r="G4520" s="222" t="s">
        <v>1111</v>
      </c>
      <c r="H4520" s="222" t="str" cm="1">
        <f t="array" ref="H4520">IFERROR(INDEX(INVESTOR_LIST[INVESTOR NAME],MATCH(I4520,INVESTOR_LIST[INVESTOR CODE],0),)," ")</f>
        <v xml:space="preserve"> </v>
      </c>
      <c r="I4520" s="223"/>
      <c r="J4520" s="224" t="s">
        <v>1465</v>
      </c>
      <c r="K4520" s="357">
        <v>3889984</v>
      </c>
      <c r="L4520" s="225"/>
    </row>
    <row r="4521" spans="1:13" ht="11.25" customHeight="1" x14ac:dyDescent="0.2">
      <c r="A4521" s="226">
        <v>2024</v>
      </c>
      <c r="B4521" s="226">
        <v>2</v>
      </c>
      <c r="C4521" s="226">
        <v>27</v>
      </c>
      <c r="D4521" s="226">
        <f t="shared" si="485"/>
        <v>45349</v>
      </c>
      <c r="E4521" s="234">
        <f t="shared" si="489"/>
        <v>45349</v>
      </c>
      <c r="F4521" s="479"/>
      <c r="G4521" s="227" t="s">
        <v>1111</v>
      </c>
      <c r="H4521" s="227"/>
      <c r="I4521" s="228"/>
      <c r="J4521" s="229" t="s">
        <v>55</v>
      </c>
      <c r="K4521" s="294"/>
      <c r="L4521" s="230">
        <v>3889984</v>
      </c>
    </row>
    <row r="4522" spans="1:13" ht="11.25" customHeight="1" x14ac:dyDescent="0.2">
      <c r="A4522" s="221">
        <v>2024</v>
      </c>
      <c r="B4522" s="221">
        <v>2</v>
      </c>
      <c r="C4522" s="221">
        <v>28</v>
      </c>
      <c r="D4522" s="221">
        <f t="shared" si="485"/>
        <v>45350</v>
      </c>
      <c r="E4522" s="233">
        <f t="shared" si="489"/>
        <v>45350</v>
      </c>
      <c r="F4522" s="478" t="s">
        <v>1697</v>
      </c>
      <c r="G4522" s="222" t="s">
        <v>1111</v>
      </c>
      <c r="H4522" s="222" t="str" cm="1">
        <f t="array" ref="H4522">IFERROR(INDEX(INVESTOR_LIST[INVESTOR NAME],MATCH(I4522,INVESTOR_LIST[INVESTOR CODE],0),)," ")</f>
        <v xml:space="preserve"> </v>
      </c>
      <c r="I4522" s="223"/>
      <c r="J4522" s="224" t="s">
        <v>80</v>
      </c>
      <c r="K4522" s="225">
        <v>35040</v>
      </c>
      <c r="L4522" s="225"/>
    </row>
    <row r="4523" spans="1:13" ht="11.25" customHeight="1" x14ac:dyDescent="0.2">
      <c r="A4523" s="164">
        <v>2024</v>
      </c>
      <c r="B4523" s="164">
        <v>2</v>
      </c>
      <c r="C4523" s="164">
        <v>28</v>
      </c>
      <c r="D4523" s="164">
        <f t="shared" si="485"/>
        <v>45350</v>
      </c>
      <c r="E4523" s="235">
        <f t="shared" si="489"/>
        <v>45350</v>
      </c>
      <c r="F4523" s="480"/>
      <c r="G4523" s="208" t="s">
        <v>1111</v>
      </c>
      <c r="H4523" s="208" t="str" cm="1">
        <f t="array" ref="H4523">IFERROR(INDEX(INVESTOR_LIST[INVESTOR NAME],MATCH(I4523,INVESTOR_LIST[INVESTOR CODE],0),)," ")</f>
        <v xml:space="preserve"> </v>
      </c>
      <c r="J4523" s="165" t="s">
        <v>55</v>
      </c>
      <c r="K4523" s="205">
        <v>2364960</v>
      </c>
      <c r="L4523" s="205"/>
      <c r="M4523" s="166"/>
    </row>
    <row r="4524" spans="1:13" ht="11.25" customHeight="1" x14ac:dyDescent="0.2">
      <c r="A4524" s="226">
        <v>2024</v>
      </c>
      <c r="B4524" s="226">
        <v>2</v>
      </c>
      <c r="C4524" s="226">
        <v>28</v>
      </c>
      <c r="D4524" s="226">
        <f t="shared" si="485"/>
        <v>45350</v>
      </c>
      <c r="E4524" s="234">
        <f t="shared" si="489"/>
        <v>45350</v>
      </c>
      <c r="F4524" s="479"/>
      <c r="G4524" s="227" t="s">
        <v>1111</v>
      </c>
      <c r="H4524" s="228" t="str" cm="1">
        <f t="array" ref="H4524">IFERROR(INDEX(INVESTOR_LIST[INVESTOR NAME],MATCH(I4524,INVESTOR_LIST[INVESTOR CODE],0),)," ")</f>
        <v xml:space="preserve"> </v>
      </c>
      <c r="I4524" s="228"/>
      <c r="J4524" s="229" t="s">
        <v>196</v>
      </c>
      <c r="K4524" s="230"/>
      <c r="L4524" s="230">
        <v>2400000</v>
      </c>
    </row>
    <row r="4525" spans="1:13" ht="11.25" customHeight="1" x14ac:dyDescent="0.2">
      <c r="A4525" s="231">
        <v>2024</v>
      </c>
      <c r="B4525" s="231">
        <v>2</v>
      </c>
      <c r="C4525" s="156">
        <v>29</v>
      </c>
      <c r="D4525" s="221">
        <f t="shared" si="485"/>
        <v>45351</v>
      </c>
      <c r="E4525" s="271">
        <f>DATE(A4525,B4525,C4525)</f>
        <v>45351</v>
      </c>
      <c r="F4525" s="478" t="s">
        <v>1698</v>
      </c>
      <c r="G4525" s="222" t="s">
        <v>1111</v>
      </c>
      <c r="H4525" s="206" t="str" cm="1">
        <f t="array" ref="H4525">IFERROR(INDEX(INVESTOR_LIST[INVESTOR NAME],MATCH(I4525,INVESTOR_LIST[INVESTOR CODE],0),)," ")</f>
        <v>JOY SHREE SAHA</v>
      </c>
      <c r="I4525" s="223" t="s">
        <v>681</v>
      </c>
      <c r="J4525" s="231" t="s">
        <v>316</v>
      </c>
      <c r="K4525" s="225">
        <v>55550</v>
      </c>
      <c r="L4525" s="225"/>
    </row>
    <row r="4526" spans="1:13" ht="11.25" customHeight="1" x14ac:dyDescent="0.2">
      <c r="A4526" s="156">
        <v>2024</v>
      </c>
      <c r="B4526" s="156">
        <v>2</v>
      </c>
      <c r="C4526" s="156">
        <v>29</v>
      </c>
      <c r="D4526" s="221">
        <f t="shared" si="485"/>
        <v>45351</v>
      </c>
      <c r="E4526" s="271">
        <f t="shared" ref="E4526:E4528" si="490">DATE(A4526,B4526,C4526)</f>
        <v>45351</v>
      </c>
      <c r="F4526" s="480"/>
      <c r="G4526" s="208" t="s">
        <v>1111</v>
      </c>
      <c r="H4526" s="206" t="str" cm="1">
        <f t="array" ref="H4526">IFERROR(INDEX(INVESTOR_LIST[INVESTOR NAME],MATCH(I4526,INVESTOR_LIST[INVESTOR CODE],0),)," ")</f>
        <v>JOY SHREE SAHA</v>
      </c>
      <c r="I4526" s="206" t="s">
        <v>681</v>
      </c>
      <c r="J4526" s="156" t="s">
        <v>478</v>
      </c>
      <c r="K4526" s="205"/>
      <c r="L4526" s="205">
        <v>5555</v>
      </c>
    </row>
    <row r="4527" spans="1:13" ht="11.25" customHeight="1" x14ac:dyDescent="0.2">
      <c r="A4527" s="156">
        <v>2024</v>
      </c>
      <c r="B4527" s="156">
        <v>2</v>
      </c>
      <c r="C4527" s="156">
        <v>29</v>
      </c>
      <c r="D4527" s="221">
        <f t="shared" si="485"/>
        <v>45351</v>
      </c>
      <c r="E4527" s="271">
        <f t="shared" si="490"/>
        <v>45351</v>
      </c>
      <c r="F4527" s="480"/>
      <c r="G4527" s="208" t="s">
        <v>1111</v>
      </c>
      <c r="H4527" s="206" t="str" cm="1">
        <f t="array" ref="H4527">IFERROR(INDEX(INVESTOR_LIST[INVESTOR NAME],MATCH(I4527,INVESTOR_LIST[INVESTOR CODE],0),)," ")</f>
        <v>JOY SHREE SAHA</v>
      </c>
      <c r="I4527" s="206" t="s">
        <v>681</v>
      </c>
      <c r="J4527" s="156" t="s">
        <v>55</v>
      </c>
      <c r="K4527" s="205"/>
      <c r="L4527" s="205">
        <v>49995</v>
      </c>
    </row>
    <row r="4528" spans="1:13" ht="11.25" customHeight="1" x14ac:dyDescent="0.2">
      <c r="A4528" s="156">
        <v>2024</v>
      </c>
      <c r="B4528" s="156">
        <v>2</v>
      </c>
      <c r="C4528" s="156">
        <v>29</v>
      </c>
      <c r="D4528" s="221">
        <f t="shared" si="485"/>
        <v>45351</v>
      </c>
      <c r="E4528" s="271">
        <f t="shared" si="490"/>
        <v>45351</v>
      </c>
      <c r="F4528" s="480"/>
      <c r="G4528" s="208" t="s">
        <v>1111</v>
      </c>
      <c r="H4528" s="206" t="str" cm="1">
        <f t="array" ref="H4528">IFERROR(INDEX(INVESTOR_LIST[INVESTOR NAME],MATCH(I4528,INVESTOR_LIST[INVESTOR CODE],0),)," ")</f>
        <v>JOY SHREE SAHA</v>
      </c>
      <c r="I4528" s="206" t="s">
        <v>681</v>
      </c>
      <c r="J4528" s="156" t="s">
        <v>55</v>
      </c>
      <c r="K4528" s="205"/>
      <c r="L4528" s="205">
        <v>2273550.4</v>
      </c>
    </row>
    <row r="4529" spans="1:12" ht="11.25" customHeight="1" x14ac:dyDescent="0.2">
      <c r="A4529" s="156">
        <v>2024</v>
      </c>
      <c r="B4529" s="156">
        <v>2</v>
      </c>
      <c r="C4529" s="156">
        <v>29</v>
      </c>
      <c r="D4529" s="221">
        <f t="shared" si="485"/>
        <v>45351</v>
      </c>
      <c r="E4529" s="271">
        <f>DATE(A4529,B4529,C4529)</f>
        <v>45351</v>
      </c>
      <c r="F4529" s="480"/>
      <c r="G4529" s="208" t="s">
        <v>1111</v>
      </c>
      <c r="H4529" s="206" t="str" cm="1">
        <f t="array" ref="H4529">IFERROR(INDEX(INVESTOR_LIST[INVESTOR NAME],MATCH(I4529,INVESTOR_LIST[INVESTOR CODE],0),)," ")</f>
        <v>JOY SHREE SAHA</v>
      </c>
      <c r="I4529" s="206" t="s">
        <v>681</v>
      </c>
      <c r="J4529" s="156" t="s">
        <v>14</v>
      </c>
      <c r="K4529" s="205">
        <v>2222000</v>
      </c>
      <c r="L4529" s="205"/>
    </row>
    <row r="4530" spans="1:12" ht="11.25" customHeight="1" x14ac:dyDescent="0.2">
      <c r="A4530" s="232">
        <v>2024</v>
      </c>
      <c r="B4530" s="232">
        <v>2</v>
      </c>
      <c r="C4530" s="232">
        <v>29</v>
      </c>
      <c r="D4530" s="350">
        <f t="shared" si="485"/>
        <v>45351</v>
      </c>
      <c r="E4530" s="351">
        <f>DATE(A4530,B4530,C4530)</f>
        <v>45351</v>
      </c>
      <c r="F4530" s="479"/>
      <c r="G4530" s="227" t="s">
        <v>1111</v>
      </c>
      <c r="H4530" s="228" t="str" cm="1">
        <f t="array" ref="H4530">IFERROR(INDEX(INVESTOR_LIST[INVESTOR NAME],MATCH(I4530,INVESTOR_LIST[INVESTOR CODE],0),)," ")</f>
        <v>JOY SHREE SAHA</v>
      </c>
      <c r="I4530" s="228" t="s">
        <v>681</v>
      </c>
      <c r="J4530" s="232" t="s">
        <v>56</v>
      </c>
      <c r="K4530" s="230">
        <v>51550.399999999907</v>
      </c>
      <c r="L4530" s="230"/>
    </row>
    <row r="4531" spans="1:12" ht="11.25" customHeight="1" x14ac:dyDescent="0.2">
      <c r="A4531" s="221">
        <v>2024</v>
      </c>
      <c r="B4531" s="221">
        <v>2</v>
      </c>
      <c r="C4531" s="221">
        <v>29</v>
      </c>
      <c r="D4531" s="231">
        <f t="shared" si="485"/>
        <v>45351</v>
      </c>
      <c r="E4531" s="233">
        <f t="shared" ref="E4531:E4573" si="491">DATE(A4531,B4531,C4531)</f>
        <v>45351</v>
      </c>
      <c r="F4531" s="478" t="s">
        <v>1633</v>
      </c>
      <c r="G4531" s="222" t="s">
        <v>1111</v>
      </c>
      <c r="H4531" s="223" t="str" cm="1">
        <f t="array" ref="H4531">IFERROR(INDEX(INVESTOR_LIST[INVESTOR NAME],MATCH(I4531,INVESTOR_LIST[INVESTOR CODE],0),)," ")</f>
        <v xml:space="preserve"> </v>
      </c>
      <c r="I4531" s="223"/>
      <c r="J4531" s="224" t="s">
        <v>55</v>
      </c>
      <c r="K4531" s="225">
        <v>13376.03</v>
      </c>
      <c r="L4531" s="225"/>
    </row>
    <row r="4532" spans="1:12" ht="11.25" customHeight="1" x14ac:dyDescent="0.2">
      <c r="A4532" s="226">
        <v>2024</v>
      </c>
      <c r="B4532" s="226">
        <v>2</v>
      </c>
      <c r="C4532" s="226">
        <v>29</v>
      </c>
      <c r="D4532" s="232">
        <f t="shared" si="485"/>
        <v>45351</v>
      </c>
      <c r="E4532" s="234">
        <f t="shared" si="491"/>
        <v>45351</v>
      </c>
      <c r="F4532" s="479"/>
      <c r="G4532" s="227" t="s">
        <v>1111</v>
      </c>
      <c r="H4532" s="228" t="str" cm="1">
        <f t="array" ref="H4532">IFERROR(INDEX(INVESTOR_LIST[INVESTOR NAME],MATCH(I4532,INVESTOR_LIST[INVESTOR CODE],0),)," ")</f>
        <v xml:space="preserve"> </v>
      </c>
      <c r="I4532" s="228"/>
      <c r="J4532" s="229" t="s">
        <v>192</v>
      </c>
      <c r="K4532" s="230"/>
      <c r="L4532" s="230">
        <v>13376.03</v>
      </c>
    </row>
    <row r="4533" spans="1:12" ht="11.25" customHeight="1" x14ac:dyDescent="0.2">
      <c r="A4533" s="221">
        <v>2024</v>
      </c>
      <c r="B4533" s="221">
        <v>2</v>
      </c>
      <c r="C4533" s="221">
        <v>29</v>
      </c>
      <c r="D4533" s="231">
        <f t="shared" si="485"/>
        <v>45351</v>
      </c>
      <c r="E4533" s="233">
        <f t="shared" si="491"/>
        <v>45351</v>
      </c>
      <c r="F4533" s="478" t="s">
        <v>1594</v>
      </c>
      <c r="G4533" s="222" t="s">
        <v>1111</v>
      </c>
      <c r="H4533" s="223" t="str" cm="1">
        <f t="array" ref="H4533">IFERROR(INDEX(INVESTOR_LIST[INVESTOR NAME],MATCH(I4533,INVESTOR_LIST[INVESTOR CODE],0),)," ")</f>
        <v xml:space="preserve"> </v>
      </c>
      <c r="I4533" s="223"/>
      <c r="J4533" s="224" t="s">
        <v>961</v>
      </c>
      <c r="K4533" s="225">
        <v>165794.89000000001</v>
      </c>
      <c r="L4533" s="225"/>
    </row>
    <row r="4534" spans="1:12" ht="11.25" customHeight="1" x14ac:dyDescent="0.2">
      <c r="A4534" s="226">
        <v>2024</v>
      </c>
      <c r="B4534" s="226">
        <v>2</v>
      </c>
      <c r="C4534" s="226">
        <v>29</v>
      </c>
      <c r="D4534" s="232">
        <f t="shared" si="485"/>
        <v>45351</v>
      </c>
      <c r="E4534" s="234">
        <f t="shared" si="491"/>
        <v>45351</v>
      </c>
      <c r="F4534" s="479"/>
      <c r="G4534" s="227" t="s">
        <v>1111</v>
      </c>
      <c r="H4534" s="228" t="str" cm="1">
        <f t="array" ref="H4534">IFERROR(INDEX(INVESTOR_LIST[INVESTOR NAME],MATCH(I4534,INVESTOR_LIST[INVESTOR CODE],0),)," ")</f>
        <v xml:space="preserve"> </v>
      </c>
      <c r="I4534" s="228"/>
      <c r="J4534" s="229" t="s">
        <v>55</v>
      </c>
      <c r="K4534" s="230"/>
      <c r="L4534" s="230">
        <v>165794.89000000001</v>
      </c>
    </row>
    <row r="4535" spans="1:12" ht="11.25" customHeight="1" x14ac:dyDescent="0.2">
      <c r="A4535" s="221">
        <v>2024</v>
      </c>
      <c r="B4535" s="221">
        <v>2</v>
      </c>
      <c r="C4535" s="221">
        <v>29</v>
      </c>
      <c r="D4535" s="231">
        <f t="shared" si="485"/>
        <v>45351</v>
      </c>
      <c r="E4535" s="233">
        <f t="shared" si="491"/>
        <v>45351</v>
      </c>
      <c r="F4535" s="478" t="s">
        <v>1701</v>
      </c>
      <c r="G4535" s="222" t="s">
        <v>1111</v>
      </c>
      <c r="H4535" s="223" t="str" cm="1">
        <f t="array" ref="H4535">IFERROR(INDEX(INVESTOR_LIST[INVESTOR NAME],MATCH(I4535,INVESTOR_LIST[INVESTOR CODE],0),)," ")</f>
        <v xml:space="preserve"> </v>
      </c>
      <c r="I4535" s="223"/>
      <c r="J4535" s="224" t="s">
        <v>192</v>
      </c>
      <c r="K4535" s="225">
        <v>158862.5</v>
      </c>
      <c r="L4535" s="225"/>
    </row>
    <row r="4536" spans="1:12" ht="11.25" customHeight="1" x14ac:dyDescent="0.2">
      <c r="A4536" s="226">
        <v>2024</v>
      </c>
      <c r="B4536" s="226">
        <v>2</v>
      </c>
      <c r="C4536" s="226">
        <v>29</v>
      </c>
      <c r="D4536" s="232">
        <f t="shared" si="485"/>
        <v>45351</v>
      </c>
      <c r="E4536" s="234">
        <f t="shared" si="491"/>
        <v>45351</v>
      </c>
      <c r="F4536" s="479"/>
      <c r="G4536" s="227" t="s">
        <v>1111</v>
      </c>
      <c r="H4536" s="228" t="str" cm="1">
        <f t="array" ref="H4536">IFERROR(INDEX(INVESTOR_LIST[INVESTOR NAME],MATCH(I4536,INVESTOR_LIST[INVESTOR CODE],0),)," ")</f>
        <v xml:space="preserve"> </v>
      </c>
      <c r="I4536" s="228"/>
      <c r="J4536" s="229" t="s">
        <v>191</v>
      </c>
      <c r="K4536" s="230"/>
      <c r="L4536" s="230">
        <v>158862.5</v>
      </c>
    </row>
    <row r="4537" spans="1:12" ht="11.25" customHeight="1" x14ac:dyDescent="0.2">
      <c r="A4537" s="358">
        <v>2024</v>
      </c>
      <c r="B4537" s="358">
        <v>2</v>
      </c>
      <c r="C4537" s="358">
        <v>29</v>
      </c>
      <c r="D4537" s="312">
        <f t="shared" si="485"/>
        <v>45351</v>
      </c>
      <c r="E4537" s="313">
        <f t="shared" si="491"/>
        <v>45351</v>
      </c>
      <c r="F4537" s="482" t="s">
        <v>1627</v>
      </c>
      <c r="G4537" s="314" t="s">
        <v>86</v>
      </c>
      <c r="H4537" s="324" t="str" cm="1">
        <f t="array" ref="H4537">IFERROR(INDEX(INVESTOR_LIST[INVESTOR NAME],MATCH(I4537,INVESTOR_LIST[INVESTOR CODE],0),)," ")</f>
        <v xml:space="preserve"> </v>
      </c>
      <c r="I4537" s="324"/>
      <c r="J4537" s="364" t="s">
        <v>1621</v>
      </c>
      <c r="K4537" s="365">
        <v>176763.5</v>
      </c>
      <c r="L4537" s="365"/>
    </row>
    <row r="4538" spans="1:12" ht="11.25" customHeight="1" x14ac:dyDescent="0.2">
      <c r="A4538" s="320">
        <v>2024</v>
      </c>
      <c r="B4538" s="320">
        <v>2</v>
      </c>
      <c r="C4538" s="320">
        <v>29</v>
      </c>
      <c r="D4538" s="323">
        <f t="shared" si="485"/>
        <v>45351</v>
      </c>
      <c r="E4538" s="321">
        <f t="shared" si="491"/>
        <v>45351</v>
      </c>
      <c r="F4538" s="483"/>
      <c r="G4538" s="322" t="s">
        <v>86</v>
      </c>
      <c r="H4538" s="325" t="str" cm="1">
        <f t="array" ref="H4538">IFERROR(INDEX(INVESTOR_LIST[INVESTOR NAME],MATCH(I4538,INVESTOR_LIST[INVESTOR CODE],0),)," ")</f>
        <v xml:space="preserve"> </v>
      </c>
      <c r="I4538" s="325"/>
      <c r="J4538" s="366" t="s">
        <v>1613</v>
      </c>
      <c r="K4538" s="367"/>
      <c r="L4538" s="367">
        <v>176763.5</v>
      </c>
    </row>
    <row r="4539" spans="1:12" ht="11.25" customHeight="1" x14ac:dyDescent="0.2">
      <c r="A4539" s="236">
        <v>2024</v>
      </c>
      <c r="B4539" s="236">
        <v>2</v>
      </c>
      <c r="C4539" s="236">
        <v>29</v>
      </c>
      <c r="D4539" s="237">
        <f t="shared" si="485"/>
        <v>45351</v>
      </c>
      <c r="E4539" s="238">
        <f t="shared" si="491"/>
        <v>45351</v>
      </c>
      <c r="F4539" s="476" t="s">
        <v>1118</v>
      </c>
      <c r="G4539" s="239" t="s">
        <v>86</v>
      </c>
      <c r="H4539" s="239" t="str" cm="1">
        <f t="array" ref="H4539">IFERROR(INDEX(INVESTOR_LIST[INVESTOR NAME],MATCH(I4539,INVESTOR_LIST[INVESTOR CODE],0),)," ")</f>
        <v xml:space="preserve"> </v>
      </c>
      <c r="I4539" s="240"/>
      <c r="J4539" s="241" t="s">
        <v>82</v>
      </c>
      <c r="K4539" s="242">
        <v>403942.11000000685</v>
      </c>
      <c r="L4539" s="242"/>
    </row>
    <row r="4540" spans="1:12" ht="11.25" customHeight="1" x14ac:dyDescent="0.2">
      <c r="A4540" s="243">
        <v>2024</v>
      </c>
      <c r="B4540" s="243">
        <v>2</v>
      </c>
      <c r="C4540" s="243">
        <v>29</v>
      </c>
      <c r="D4540" s="248">
        <f t="shared" si="485"/>
        <v>45351</v>
      </c>
      <c r="E4540" s="249">
        <f t="shared" si="491"/>
        <v>45351</v>
      </c>
      <c r="F4540" s="477"/>
      <c r="G4540" s="244" t="s">
        <v>86</v>
      </c>
      <c r="H4540" s="244" t="str" cm="1">
        <f t="array" ref="H4540">IFERROR(INDEX(INVESTOR_LIST[INVESTOR NAME],MATCH(I4540,INVESTOR_LIST[INVESTOR CODE],0),)," ")</f>
        <v xml:space="preserve"> </v>
      </c>
      <c r="I4540" s="245"/>
      <c r="J4540" s="246" t="s">
        <v>98</v>
      </c>
      <c r="K4540" s="247"/>
      <c r="L4540" s="247">
        <v>403942.11000000685</v>
      </c>
    </row>
    <row r="4541" spans="1:12" ht="11.25" customHeight="1" x14ac:dyDescent="0.2">
      <c r="A4541" s="236">
        <v>2024</v>
      </c>
      <c r="B4541" s="236">
        <v>2</v>
      </c>
      <c r="C4541" s="236">
        <v>29</v>
      </c>
      <c r="D4541" s="237">
        <f t="shared" si="485"/>
        <v>45351</v>
      </c>
      <c r="E4541" s="238">
        <f t="shared" si="491"/>
        <v>45351</v>
      </c>
      <c r="F4541" s="476" t="s">
        <v>1120</v>
      </c>
      <c r="G4541" s="239" t="s">
        <v>86</v>
      </c>
      <c r="H4541" s="239" t="str" cm="1">
        <f t="array" ref="H4541">IFERROR(INDEX(INVESTOR_LIST[INVESTOR NAME],MATCH(I4541,INVESTOR_LIST[INVESTOR CODE],0),)," ")</f>
        <v xml:space="preserve"> </v>
      </c>
      <c r="I4541" s="240"/>
      <c r="J4541" s="241" t="s">
        <v>87</v>
      </c>
      <c r="K4541" s="242">
        <v>2747.2527472527472</v>
      </c>
      <c r="L4541" s="242"/>
    </row>
    <row r="4542" spans="1:12" ht="11.25" customHeight="1" x14ac:dyDescent="0.2">
      <c r="A4542" s="243">
        <v>2024</v>
      </c>
      <c r="B4542" s="243">
        <v>2</v>
      </c>
      <c r="C4542" s="243">
        <v>29</v>
      </c>
      <c r="D4542" s="248">
        <f t="shared" si="485"/>
        <v>45351</v>
      </c>
      <c r="E4542" s="249">
        <f t="shared" si="491"/>
        <v>45351</v>
      </c>
      <c r="F4542" s="477"/>
      <c r="G4542" s="244" t="s">
        <v>86</v>
      </c>
      <c r="H4542" s="244" t="str" cm="1">
        <f t="array" ref="H4542">IFERROR(INDEX(INVESTOR_LIST[INVESTOR NAME],MATCH(I4542,INVESTOR_LIST[INVESTOR CODE],0),)," ")</f>
        <v xml:space="preserve"> </v>
      </c>
      <c r="I4542" s="245"/>
      <c r="J4542" s="246" t="s">
        <v>64</v>
      </c>
      <c r="K4542" s="247"/>
      <c r="L4542" s="247">
        <v>2747.2527472527472</v>
      </c>
    </row>
    <row r="4543" spans="1:12" ht="11.25" customHeight="1" x14ac:dyDescent="0.2">
      <c r="A4543" s="236">
        <v>2024</v>
      </c>
      <c r="B4543" s="236">
        <v>2</v>
      </c>
      <c r="C4543" s="236">
        <v>29</v>
      </c>
      <c r="D4543" s="237">
        <f t="shared" si="485"/>
        <v>45351</v>
      </c>
      <c r="E4543" s="238">
        <f t="shared" si="491"/>
        <v>45351</v>
      </c>
      <c r="F4543" s="476" t="s">
        <v>1121</v>
      </c>
      <c r="G4543" s="239" t="s">
        <v>86</v>
      </c>
      <c r="H4543" s="239" t="str" cm="1">
        <f t="array" ref="H4543">IFERROR(INDEX(INVESTOR_LIST[INVESTOR NAME],MATCH(I4543,INVESTOR_LIST[INVESTOR CODE],0),)," ")</f>
        <v xml:space="preserve"> </v>
      </c>
      <c r="I4543" s="240"/>
      <c r="J4543" s="241" t="s">
        <v>89</v>
      </c>
      <c r="K4543" s="242">
        <v>67425.616670820586</v>
      </c>
      <c r="L4543" s="242"/>
    </row>
    <row r="4544" spans="1:12" ht="11.25" customHeight="1" x14ac:dyDescent="0.2">
      <c r="A4544" s="243">
        <v>2024</v>
      </c>
      <c r="B4544" s="243">
        <v>2</v>
      </c>
      <c r="C4544" s="243">
        <v>29</v>
      </c>
      <c r="D4544" s="248">
        <f t="shared" si="485"/>
        <v>45351</v>
      </c>
      <c r="E4544" s="249">
        <f t="shared" si="491"/>
        <v>45351</v>
      </c>
      <c r="F4544" s="477"/>
      <c r="G4544" s="244" t="s">
        <v>86</v>
      </c>
      <c r="H4544" s="244" t="str" cm="1">
        <f t="array" ref="H4544">IFERROR(INDEX(INVESTOR_LIST[INVESTOR NAME],MATCH(I4544,INVESTOR_LIST[INVESTOR CODE],0),)," ")</f>
        <v xml:space="preserve"> </v>
      </c>
      <c r="I4544" s="245"/>
      <c r="J4544" s="246" t="s">
        <v>50</v>
      </c>
      <c r="K4544" s="247"/>
      <c r="L4544" s="247">
        <v>67425.616670820586</v>
      </c>
    </row>
    <row r="4545" spans="1:12" ht="11.25" customHeight="1" x14ac:dyDescent="0.2">
      <c r="A4545" s="236">
        <v>2024</v>
      </c>
      <c r="B4545" s="236">
        <v>2</v>
      </c>
      <c r="C4545" s="236">
        <v>29</v>
      </c>
      <c r="D4545" s="237">
        <f t="shared" si="485"/>
        <v>45351</v>
      </c>
      <c r="E4545" s="238">
        <f t="shared" si="491"/>
        <v>45351</v>
      </c>
      <c r="F4545" s="476" t="s">
        <v>1122</v>
      </c>
      <c r="G4545" s="239" t="s">
        <v>86</v>
      </c>
      <c r="H4545" s="239" t="str" cm="1">
        <f t="array" ref="H4545">IFERROR(INDEX(INVESTOR_LIST[INVESTOR NAME],MATCH(I4545,INVESTOR_LIST[INVESTOR CODE],0),)," ")</f>
        <v xml:space="preserve"> </v>
      </c>
      <c r="I4545" s="240"/>
      <c r="J4545" s="241" t="s">
        <v>91</v>
      </c>
      <c r="K4545" s="242">
        <v>3130.8962181564139</v>
      </c>
      <c r="L4545" s="242"/>
    </row>
    <row r="4546" spans="1:12" ht="11.25" customHeight="1" x14ac:dyDescent="0.2">
      <c r="A4546" s="243">
        <v>2024</v>
      </c>
      <c r="B4546" s="243">
        <v>2</v>
      </c>
      <c r="C4546" s="243">
        <v>29</v>
      </c>
      <c r="D4546" s="248">
        <f t="shared" si="485"/>
        <v>45351</v>
      </c>
      <c r="E4546" s="249">
        <f t="shared" si="491"/>
        <v>45351</v>
      </c>
      <c r="F4546" s="477"/>
      <c r="G4546" s="244" t="s">
        <v>86</v>
      </c>
      <c r="H4546" s="244" t="str" cm="1">
        <f t="array" ref="H4546">IFERROR(INDEX(INVESTOR_LIST[INVESTOR NAME],MATCH(I4546,INVESTOR_LIST[INVESTOR CODE],0),)," ")</f>
        <v xml:space="preserve"> </v>
      </c>
      <c r="I4546" s="245"/>
      <c r="J4546" s="246" t="s">
        <v>51</v>
      </c>
      <c r="K4546" s="247"/>
      <c r="L4546" s="247">
        <v>3130.8962181564139</v>
      </c>
    </row>
    <row r="4547" spans="1:12" ht="11.25" customHeight="1" x14ac:dyDescent="0.2">
      <c r="A4547" s="221">
        <v>2024</v>
      </c>
      <c r="B4547" s="221">
        <v>3</v>
      </c>
      <c r="C4547" s="221">
        <v>3</v>
      </c>
      <c r="D4547" s="231">
        <f t="shared" si="485"/>
        <v>45354</v>
      </c>
      <c r="E4547" s="233">
        <f t="shared" ref="E4547:E4548" si="492">DATE(A4547,B4547,C4547)</f>
        <v>45354</v>
      </c>
      <c r="F4547" s="478" t="s">
        <v>1702</v>
      </c>
      <c r="G4547" s="222" t="s">
        <v>1111</v>
      </c>
      <c r="H4547" s="223" t="str" cm="1">
        <f t="array" ref="H4547">IFERROR(INDEX(INVESTOR_LIST[INVESTOR NAME],MATCH(I4547,INVESTOR_LIST[INVESTOR CODE],0),)," ")</f>
        <v xml:space="preserve"> </v>
      </c>
      <c r="I4547" s="223"/>
      <c r="J4547" s="224" t="s">
        <v>192</v>
      </c>
      <c r="K4547" s="225">
        <v>410550</v>
      </c>
      <c r="L4547" s="225"/>
    </row>
    <row r="4548" spans="1:12" ht="11.25" customHeight="1" x14ac:dyDescent="0.2">
      <c r="A4548" s="226">
        <v>2024</v>
      </c>
      <c r="B4548" s="226">
        <v>3</v>
      </c>
      <c r="C4548" s="226">
        <v>3</v>
      </c>
      <c r="D4548" s="232">
        <f t="shared" si="485"/>
        <v>45354</v>
      </c>
      <c r="E4548" s="234">
        <f t="shared" si="492"/>
        <v>45354</v>
      </c>
      <c r="F4548" s="479"/>
      <c r="G4548" s="227" t="s">
        <v>1111</v>
      </c>
      <c r="H4548" s="228" t="str" cm="1">
        <f t="array" ref="H4548">IFERROR(INDEX(INVESTOR_LIST[INVESTOR NAME],MATCH(I4548,INVESTOR_LIST[INVESTOR CODE],0),)," ")</f>
        <v xml:space="preserve"> </v>
      </c>
      <c r="I4548" s="228"/>
      <c r="J4548" s="229" t="s">
        <v>191</v>
      </c>
      <c r="K4548" s="230"/>
      <c r="L4548" s="230">
        <v>410550</v>
      </c>
    </row>
    <row r="4549" spans="1:12" ht="11.25" customHeight="1" x14ac:dyDescent="0.2">
      <c r="A4549" s="221">
        <v>2024</v>
      </c>
      <c r="B4549" s="221">
        <v>3</v>
      </c>
      <c r="C4549" s="221">
        <v>3</v>
      </c>
      <c r="D4549" s="221">
        <f t="shared" si="485"/>
        <v>45354</v>
      </c>
      <c r="E4549" s="233">
        <f t="shared" si="491"/>
        <v>45354</v>
      </c>
      <c r="F4549" s="478" t="s">
        <v>1589</v>
      </c>
      <c r="G4549" s="222" t="s">
        <v>86</v>
      </c>
      <c r="H4549" s="222" t="str" cm="1">
        <f t="array" ref="H4549">IFERROR(INDEX(INVESTOR_LIST[INVESTOR NAME],MATCH(I4549,INVESTOR_LIST[INVESTOR CODE],0),)," ")</f>
        <v xml:space="preserve"> </v>
      </c>
      <c r="I4549" s="223"/>
      <c r="J4549" s="165" t="s">
        <v>199</v>
      </c>
      <c r="K4549" s="225">
        <v>3318689.99</v>
      </c>
      <c r="L4549" s="225"/>
    </row>
    <row r="4550" spans="1:12" ht="11.25" customHeight="1" x14ac:dyDescent="0.2">
      <c r="A4550" s="164">
        <v>2024</v>
      </c>
      <c r="B4550" s="164">
        <v>3</v>
      </c>
      <c r="C4550" s="164">
        <v>3</v>
      </c>
      <c r="D4550" s="164">
        <f t="shared" si="485"/>
        <v>45354</v>
      </c>
      <c r="E4550" s="235">
        <f t="shared" si="491"/>
        <v>45354</v>
      </c>
      <c r="F4550" s="480"/>
      <c r="G4550" s="208" t="s">
        <v>86</v>
      </c>
      <c r="H4550" s="208"/>
      <c r="J4550" s="165" t="s">
        <v>960</v>
      </c>
      <c r="K4550" s="205">
        <v>5984.41</v>
      </c>
      <c r="L4550" s="205"/>
    </row>
    <row r="4551" spans="1:12" ht="11.25" customHeight="1" x14ac:dyDescent="0.2">
      <c r="A4551" s="164">
        <v>2024</v>
      </c>
      <c r="B4551" s="164">
        <v>3</v>
      </c>
      <c r="C4551" s="164">
        <v>3</v>
      </c>
      <c r="D4551" s="164">
        <f t="shared" si="485"/>
        <v>45354</v>
      </c>
      <c r="E4551" s="235">
        <f t="shared" si="491"/>
        <v>45354</v>
      </c>
      <c r="F4551" s="480"/>
      <c r="G4551" s="208" t="s">
        <v>86</v>
      </c>
      <c r="H4551" s="208"/>
      <c r="J4551" s="165" t="s">
        <v>200</v>
      </c>
      <c r="K4551" s="205">
        <v>22749.11</v>
      </c>
      <c r="L4551" s="205"/>
    </row>
    <row r="4552" spans="1:12" ht="11.25" customHeight="1" x14ac:dyDescent="0.2">
      <c r="A4552" s="226">
        <v>2024</v>
      </c>
      <c r="B4552" s="226">
        <v>3</v>
      </c>
      <c r="C4552" s="226">
        <v>3</v>
      </c>
      <c r="D4552" s="226">
        <f t="shared" si="485"/>
        <v>45354</v>
      </c>
      <c r="E4552" s="234">
        <f t="shared" si="491"/>
        <v>45354</v>
      </c>
      <c r="F4552" s="479"/>
      <c r="G4552" s="227" t="s">
        <v>86</v>
      </c>
      <c r="H4552" s="228" t="str" cm="1">
        <f t="array" ref="H4552">IFERROR(INDEX(INVESTOR_LIST[INVESTOR NAME],MATCH(I4552,INVESTOR_LIST[INVESTOR CODE],0),)," ")</f>
        <v xml:space="preserve"> </v>
      </c>
      <c r="I4552" s="228"/>
      <c r="J4552" s="229" t="s">
        <v>80</v>
      </c>
      <c r="K4552" s="230"/>
      <c r="L4552" s="230">
        <v>3347423.51</v>
      </c>
    </row>
    <row r="4553" spans="1:12" ht="11.25" customHeight="1" x14ac:dyDescent="0.2">
      <c r="A4553" s="221">
        <v>2024</v>
      </c>
      <c r="B4553" s="221">
        <v>3</v>
      </c>
      <c r="C4553" s="221">
        <v>3</v>
      </c>
      <c r="D4553" s="231">
        <f t="shared" ref="D4553:D4616" si="493">DATE(A4553,B4553,C4553)</f>
        <v>45354</v>
      </c>
      <c r="E4553" s="233">
        <f t="shared" si="491"/>
        <v>45354</v>
      </c>
      <c r="F4553" s="478" t="s">
        <v>1590</v>
      </c>
      <c r="G4553" s="222" t="s">
        <v>1111</v>
      </c>
      <c r="H4553" s="223" t="str" cm="1">
        <f t="array" ref="H4553">IFERROR(INDEX(INVESTOR_LIST[INVESTOR NAME],MATCH(I4553,INVESTOR_LIST[INVESTOR CODE],0),)," ")</f>
        <v xml:space="preserve"> </v>
      </c>
      <c r="I4553" s="223"/>
      <c r="J4553" s="224" t="s">
        <v>55</v>
      </c>
      <c r="K4553" s="225">
        <v>737918.88</v>
      </c>
      <c r="L4553" s="225"/>
    </row>
    <row r="4554" spans="1:12" ht="11.25" customHeight="1" x14ac:dyDescent="0.2">
      <c r="A4554" s="226">
        <v>2024</v>
      </c>
      <c r="B4554" s="226">
        <v>3</v>
      </c>
      <c r="C4554" s="226">
        <v>3</v>
      </c>
      <c r="D4554" s="232">
        <f t="shared" si="493"/>
        <v>45354</v>
      </c>
      <c r="E4554" s="234">
        <f t="shared" si="491"/>
        <v>45354</v>
      </c>
      <c r="F4554" s="479"/>
      <c r="G4554" s="227" t="s">
        <v>1111</v>
      </c>
      <c r="H4554" s="228" t="str" cm="1">
        <f t="array" ref="H4554">IFERROR(INDEX(INVESTOR_LIST[INVESTOR NAME],MATCH(I4554,INVESTOR_LIST[INVESTOR CODE],0),)," ")</f>
        <v xml:space="preserve"> </v>
      </c>
      <c r="I4554" s="228"/>
      <c r="J4554" s="229" t="s">
        <v>199</v>
      </c>
      <c r="K4554" s="230"/>
      <c r="L4554" s="230">
        <v>737918.88</v>
      </c>
    </row>
    <row r="4555" spans="1:12" ht="11.25" customHeight="1" x14ac:dyDescent="0.2">
      <c r="A4555" s="221">
        <v>2024</v>
      </c>
      <c r="B4555" s="221">
        <v>3</v>
      </c>
      <c r="C4555" s="221">
        <v>3</v>
      </c>
      <c r="D4555" s="231">
        <f t="shared" si="493"/>
        <v>45354</v>
      </c>
      <c r="E4555" s="233">
        <f t="shared" ref="E4555:E4556" si="494">DATE(A4555,B4555,C4555)</f>
        <v>45354</v>
      </c>
      <c r="F4555" s="478" t="s">
        <v>1590</v>
      </c>
      <c r="G4555" s="222" t="s">
        <v>1111</v>
      </c>
      <c r="H4555" s="223" t="str" cm="1">
        <f t="array" ref="H4555">IFERROR(INDEX(INVESTOR_LIST[INVESTOR NAME],MATCH(I4555,INVESTOR_LIST[INVESTOR CODE],0),)," ")</f>
        <v xml:space="preserve"> </v>
      </c>
      <c r="I4555" s="223"/>
      <c r="J4555" s="224" t="s">
        <v>55</v>
      </c>
      <c r="K4555" s="225">
        <v>529245.64</v>
      </c>
      <c r="L4555" s="225"/>
    </row>
    <row r="4556" spans="1:12" ht="11.25" customHeight="1" x14ac:dyDescent="0.2">
      <c r="A4556" s="226">
        <v>2024</v>
      </c>
      <c r="B4556" s="226">
        <v>3</v>
      </c>
      <c r="C4556" s="226">
        <v>3</v>
      </c>
      <c r="D4556" s="232">
        <f t="shared" si="493"/>
        <v>45354</v>
      </c>
      <c r="E4556" s="234">
        <f t="shared" si="494"/>
        <v>45354</v>
      </c>
      <c r="F4556" s="479"/>
      <c r="G4556" s="227" t="s">
        <v>1111</v>
      </c>
      <c r="H4556" s="228" t="str" cm="1">
        <f t="array" ref="H4556">IFERROR(INDEX(INVESTOR_LIST[INVESTOR NAME],MATCH(I4556,INVESTOR_LIST[INVESTOR CODE],0),)," ")</f>
        <v xml:space="preserve"> </v>
      </c>
      <c r="I4556" s="228"/>
      <c r="J4556" s="229" t="s">
        <v>199</v>
      </c>
      <c r="K4556" s="230"/>
      <c r="L4556" s="230">
        <v>529245.64</v>
      </c>
    </row>
    <row r="4557" spans="1:12" ht="11.25" customHeight="1" x14ac:dyDescent="0.2">
      <c r="A4557" s="221">
        <v>2024</v>
      </c>
      <c r="B4557" s="221">
        <v>3</v>
      </c>
      <c r="C4557" s="221">
        <v>4</v>
      </c>
      <c r="D4557" s="221">
        <f t="shared" si="493"/>
        <v>45355</v>
      </c>
      <c r="E4557" s="233">
        <f t="shared" si="491"/>
        <v>45355</v>
      </c>
      <c r="F4557" s="478" t="s">
        <v>1699</v>
      </c>
      <c r="G4557" s="222" t="s">
        <v>1111</v>
      </c>
      <c r="H4557" s="222" t="str" cm="1">
        <f t="array" ref="H4557">IFERROR(INDEX(INVESTOR_LIST[INVESTOR NAME],MATCH(I4557,INVESTOR_LIST[INVESTOR CODE],0),)," ")</f>
        <v xml:space="preserve"> </v>
      </c>
      <c r="I4557" s="223"/>
      <c r="J4557" s="224" t="s">
        <v>80</v>
      </c>
      <c r="K4557" s="225">
        <v>4750000</v>
      </c>
      <c r="L4557" s="225"/>
    </row>
    <row r="4558" spans="1:12" ht="11.25" customHeight="1" x14ac:dyDescent="0.2">
      <c r="A4558" s="226">
        <v>2024</v>
      </c>
      <c r="B4558" s="226">
        <v>3</v>
      </c>
      <c r="C4558" s="226">
        <v>4</v>
      </c>
      <c r="D4558" s="226">
        <f t="shared" si="493"/>
        <v>45355</v>
      </c>
      <c r="E4558" s="234">
        <f t="shared" si="491"/>
        <v>45355</v>
      </c>
      <c r="F4558" s="479"/>
      <c r="G4558" s="227" t="s">
        <v>1111</v>
      </c>
      <c r="H4558" s="228" t="str" cm="1">
        <f t="array" ref="H4558">IFERROR(INDEX(INVESTOR_LIST[INVESTOR NAME],MATCH(I4558,INVESTOR_LIST[INVESTOR CODE],0),)," ")</f>
        <v xml:space="preserve"> </v>
      </c>
      <c r="I4558" s="228"/>
      <c r="J4558" s="229" t="s">
        <v>196</v>
      </c>
      <c r="K4558" s="230"/>
      <c r="L4558" s="230">
        <v>4750000</v>
      </c>
    </row>
    <row r="4559" spans="1:12" ht="11.25" customHeight="1" x14ac:dyDescent="0.2">
      <c r="A4559" s="221">
        <v>2024</v>
      </c>
      <c r="B4559" s="221">
        <v>3</v>
      </c>
      <c r="C4559" s="221">
        <v>4</v>
      </c>
      <c r="D4559" s="231">
        <f t="shared" si="493"/>
        <v>45355</v>
      </c>
      <c r="E4559" s="233">
        <f t="shared" si="491"/>
        <v>45355</v>
      </c>
      <c r="F4559" s="478" t="s">
        <v>1700</v>
      </c>
      <c r="G4559" s="222" t="s">
        <v>1111</v>
      </c>
      <c r="H4559" s="222" t="str" cm="1">
        <f t="array" ref="H4559">IFERROR(INDEX(INVESTOR_LIST[INVESTOR NAME],MATCH(I4559,INVESTOR_LIST[INVESTOR CODE],0),)," ")</f>
        <v xml:space="preserve"> </v>
      </c>
      <c r="I4559" s="223"/>
      <c r="J4559" s="224" t="s">
        <v>55</v>
      </c>
      <c r="K4559" s="357">
        <v>1300000</v>
      </c>
      <c r="L4559" s="225"/>
    </row>
    <row r="4560" spans="1:12" ht="11.25" customHeight="1" x14ac:dyDescent="0.2">
      <c r="A4560" s="164">
        <v>2024</v>
      </c>
      <c r="B4560" s="164">
        <v>3</v>
      </c>
      <c r="C4560" s="164">
        <v>4</v>
      </c>
      <c r="D4560" s="164">
        <f t="shared" si="493"/>
        <v>45355</v>
      </c>
      <c r="E4560" s="235">
        <f t="shared" si="491"/>
        <v>45355</v>
      </c>
      <c r="F4560" s="480"/>
      <c r="G4560" s="208" t="s">
        <v>1111</v>
      </c>
      <c r="H4560" s="208"/>
      <c r="J4560" s="165" t="s">
        <v>1617</v>
      </c>
      <c r="K4560" s="263"/>
      <c r="L4560" s="205">
        <v>32994</v>
      </c>
    </row>
    <row r="4561" spans="1:12" ht="11.25" customHeight="1" x14ac:dyDescent="0.2">
      <c r="A4561" s="226">
        <v>2024</v>
      </c>
      <c r="B4561" s="226">
        <v>3</v>
      </c>
      <c r="C4561" s="226">
        <v>4</v>
      </c>
      <c r="D4561" s="226">
        <f t="shared" si="493"/>
        <v>45355</v>
      </c>
      <c r="E4561" s="234">
        <f t="shared" si="491"/>
        <v>45355</v>
      </c>
      <c r="F4561" s="479"/>
      <c r="G4561" s="227" t="s">
        <v>1111</v>
      </c>
      <c r="H4561" s="227"/>
      <c r="I4561" s="228"/>
      <c r="J4561" s="229" t="s">
        <v>1465</v>
      </c>
      <c r="K4561" s="294"/>
      <c r="L4561" s="230">
        <v>1267006</v>
      </c>
    </row>
    <row r="4562" spans="1:12" ht="11.25" customHeight="1" x14ac:dyDescent="0.2">
      <c r="A4562" s="221">
        <v>2024</v>
      </c>
      <c r="B4562" s="221">
        <v>3</v>
      </c>
      <c r="C4562" s="221">
        <v>5</v>
      </c>
      <c r="D4562" s="221">
        <f t="shared" si="493"/>
        <v>45356</v>
      </c>
      <c r="E4562" s="233">
        <f t="shared" ref="E4562:E4570" si="495">DATE(A4562,B4562,C4562)</f>
        <v>45356</v>
      </c>
      <c r="F4562" s="478" t="s">
        <v>1589</v>
      </c>
      <c r="G4562" s="222" t="s">
        <v>86</v>
      </c>
      <c r="H4562" s="222" t="str" cm="1">
        <f t="array" ref="H4562">IFERROR(INDEX(INVESTOR_LIST[INVESTOR NAME],MATCH(I4562,INVESTOR_LIST[INVESTOR CODE],0),)," ")</f>
        <v xml:space="preserve"> </v>
      </c>
      <c r="I4562" s="223"/>
      <c r="J4562" s="165" t="s">
        <v>199</v>
      </c>
      <c r="K4562" s="225">
        <v>13113353.390000001</v>
      </c>
      <c r="L4562" s="225"/>
    </row>
    <row r="4563" spans="1:12" ht="11.25" customHeight="1" x14ac:dyDescent="0.2">
      <c r="A4563" s="164">
        <v>2024</v>
      </c>
      <c r="B4563" s="164">
        <v>3</v>
      </c>
      <c r="C4563" s="164">
        <v>5</v>
      </c>
      <c r="D4563" s="164">
        <f t="shared" si="493"/>
        <v>45356</v>
      </c>
      <c r="E4563" s="235">
        <f t="shared" si="495"/>
        <v>45356</v>
      </c>
      <c r="F4563" s="480"/>
      <c r="G4563" s="208" t="s">
        <v>86</v>
      </c>
      <c r="H4563" s="208"/>
      <c r="J4563" s="165" t="s">
        <v>960</v>
      </c>
      <c r="K4563" s="205">
        <v>23646.61</v>
      </c>
      <c r="L4563" s="205"/>
    </row>
    <row r="4564" spans="1:12" ht="11.25" customHeight="1" x14ac:dyDescent="0.2">
      <c r="A4564" s="164">
        <v>2024</v>
      </c>
      <c r="B4564" s="164">
        <v>3</v>
      </c>
      <c r="C4564" s="164">
        <v>5</v>
      </c>
      <c r="D4564" s="164">
        <f t="shared" si="493"/>
        <v>45356</v>
      </c>
      <c r="E4564" s="235">
        <f t="shared" si="495"/>
        <v>45356</v>
      </c>
      <c r="F4564" s="480"/>
      <c r="G4564" s="208" t="s">
        <v>86</v>
      </c>
      <c r="H4564" s="208"/>
      <c r="J4564" s="165" t="s">
        <v>200</v>
      </c>
      <c r="K4564" s="205">
        <v>3102156.91</v>
      </c>
      <c r="L4564" s="205"/>
    </row>
    <row r="4565" spans="1:12" ht="11.25" customHeight="1" x14ac:dyDescent="0.2">
      <c r="A4565" s="226">
        <v>2024</v>
      </c>
      <c r="B4565" s="226">
        <v>3</v>
      </c>
      <c r="C4565" s="226">
        <v>5</v>
      </c>
      <c r="D4565" s="226">
        <f t="shared" si="493"/>
        <v>45356</v>
      </c>
      <c r="E4565" s="234">
        <f t="shared" si="495"/>
        <v>45356</v>
      </c>
      <c r="F4565" s="479"/>
      <c r="G4565" s="227" t="s">
        <v>86</v>
      </c>
      <c r="H4565" s="228" t="str" cm="1">
        <f t="array" ref="H4565">IFERROR(INDEX(INVESTOR_LIST[INVESTOR NAME],MATCH(I4565,INVESTOR_LIST[INVESTOR CODE],0),)," ")</f>
        <v xml:space="preserve"> </v>
      </c>
      <c r="I4565" s="228"/>
      <c r="J4565" s="229" t="s">
        <v>80</v>
      </c>
      <c r="K4565" s="230"/>
      <c r="L4565" s="230">
        <v>16239156.91</v>
      </c>
    </row>
    <row r="4566" spans="1:12" ht="11.25" customHeight="1" x14ac:dyDescent="0.2">
      <c r="A4566" s="221">
        <v>2024</v>
      </c>
      <c r="B4566" s="221">
        <v>3</v>
      </c>
      <c r="C4566" s="221">
        <v>5</v>
      </c>
      <c r="D4566" s="231">
        <f t="shared" si="493"/>
        <v>45356</v>
      </c>
      <c r="E4566" s="233">
        <f t="shared" si="495"/>
        <v>45356</v>
      </c>
      <c r="F4566" s="478" t="s">
        <v>1590</v>
      </c>
      <c r="G4566" s="222" t="s">
        <v>1111</v>
      </c>
      <c r="H4566" s="223" t="str" cm="1">
        <f t="array" ref="H4566">IFERROR(INDEX(INVESTOR_LIST[INVESTOR NAME],MATCH(I4566,INVESTOR_LIST[INVESTOR CODE],0),)," ")</f>
        <v xml:space="preserve"> </v>
      </c>
      <c r="I4566" s="223"/>
      <c r="J4566" s="224" t="s">
        <v>55</v>
      </c>
      <c r="K4566" s="225">
        <v>3318689.99</v>
      </c>
      <c r="L4566" s="225"/>
    </row>
    <row r="4567" spans="1:12" ht="11.25" customHeight="1" x14ac:dyDescent="0.2">
      <c r="A4567" s="226">
        <v>2024</v>
      </c>
      <c r="B4567" s="226">
        <v>3</v>
      </c>
      <c r="C4567" s="226">
        <v>5</v>
      </c>
      <c r="D4567" s="232">
        <f t="shared" si="493"/>
        <v>45356</v>
      </c>
      <c r="E4567" s="234">
        <f t="shared" si="495"/>
        <v>45356</v>
      </c>
      <c r="F4567" s="479"/>
      <c r="G4567" s="227" t="s">
        <v>1111</v>
      </c>
      <c r="H4567" s="228" t="str" cm="1">
        <f t="array" ref="H4567">IFERROR(INDEX(INVESTOR_LIST[INVESTOR NAME],MATCH(I4567,INVESTOR_LIST[INVESTOR CODE],0),)," ")</f>
        <v xml:space="preserve"> </v>
      </c>
      <c r="I4567" s="228"/>
      <c r="J4567" s="229" t="s">
        <v>199</v>
      </c>
      <c r="K4567" s="230"/>
      <c r="L4567" s="230">
        <v>3318689.99</v>
      </c>
    </row>
    <row r="4568" spans="1:12" ht="11.25" customHeight="1" x14ac:dyDescent="0.2">
      <c r="A4568" s="221">
        <v>2024</v>
      </c>
      <c r="B4568" s="221">
        <v>3</v>
      </c>
      <c r="C4568" s="221">
        <v>5</v>
      </c>
      <c r="D4568" s="231">
        <f t="shared" si="493"/>
        <v>45356</v>
      </c>
      <c r="E4568" s="233">
        <f t="shared" si="495"/>
        <v>45356</v>
      </c>
      <c r="F4568" s="478" t="s">
        <v>1178</v>
      </c>
      <c r="G4568" s="222" t="s">
        <v>1111</v>
      </c>
      <c r="H4568" s="223" t="str" cm="1">
        <f t="array" ref="H4568">IFERROR(INDEX(INVESTOR_LIST[INVESTOR NAME],MATCH(I4568,INVESTOR_LIST[INVESTOR CODE],0),)," ")</f>
        <v xml:space="preserve"> </v>
      </c>
      <c r="I4568" s="223"/>
      <c r="J4568" s="224" t="s">
        <v>189</v>
      </c>
      <c r="K4568" s="225">
        <v>5000</v>
      </c>
      <c r="L4568" s="225"/>
    </row>
    <row r="4569" spans="1:12" ht="11.25" customHeight="1" x14ac:dyDescent="0.2">
      <c r="A4569" s="164">
        <v>2024</v>
      </c>
      <c r="B4569" s="164">
        <v>3</v>
      </c>
      <c r="C4569" s="164">
        <v>5</v>
      </c>
      <c r="D4569" s="156">
        <f t="shared" si="493"/>
        <v>45356</v>
      </c>
      <c r="E4569" s="235">
        <f t="shared" ref="E4569" si="496">DATE(A4569,B4569,C4569)</f>
        <v>45356</v>
      </c>
      <c r="F4569" s="480"/>
      <c r="G4569" s="208" t="s">
        <v>1111</v>
      </c>
      <c r="J4569" s="165" t="s">
        <v>1708</v>
      </c>
      <c r="K4569" s="205"/>
      <c r="L4569" s="205">
        <v>250</v>
      </c>
    </row>
    <row r="4570" spans="1:12" ht="11.25" customHeight="1" x14ac:dyDescent="0.2">
      <c r="A4570" s="226">
        <v>2024</v>
      </c>
      <c r="B4570" s="226">
        <v>3</v>
      </c>
      <c r="C4570" s="226">
        <v>5</v>
      </c>
      <c r="D4570" s="232">
        <f t="shared" si="493"/>
        <v>45356</v>
      </c>
      <c r="E4570" s="234">
        <f t="shared" si="495"/>
        <v>45356</v>
      </c>
      <c r="F4570" s="479"/>
      <c r="G4570" s="227" t="s">
        <v>1111</v>
      </c>
      <c r="H4570" s="228" t="str" cm="1">
        <f t="array" ref="H4570">IFERROR(INDEX(INVESTOR_LIST[INVESTOR NAME],MATCH(I4570,INVESTOR_LIST[INVESTOR CODE],0),)," ")</f>
        <v xml:space="preserve"> </v>
      </c>
      <c r="I4570" s="228"/>
      <c r="J4570" s="229" t="s">
        <v>55</v>
      </c>
      <c r="K4570" s="230"/>
      <c r="L4570" s="230">
        <v>4750</v>
      </c>
    </row>
    <row r="4571" spans="1:12" ht="11.25" customHeight="1" x14ac:dyDescent="0.2">
      <c r="A4571" s="221">
        <v>2024</v>
      </c>
      <c r="B4571" s="221">
        <v>3</v>
      </c>
      <c r="C4571" s="221">
        <v>6</v>
      </c>
      <c r="D4571" s="231">
        <f t="shared" si="493"/>
        <v>45357</v>
      </c>
      <c r="E4571" s="233">
        <f t="shared" si="491"/>
        <v>45357</v>
      </c>
      <c r="F4571" s="478" t="s">
        <v>1115</v>
      </c>
      <c r="G4571" s="222" t="s">
        <v>1111</v>
      </c>
      <c r="H4571" s="223" t="str" cm="1">
        <f t="array" ref="H4571">IFERROR(INDEX(INVESTOR_LIST[INVESTOR NAME],MATCH(I4571,INVESTOR_LIST[INVESTOR CODE],0),)," ")</f>
        <v>SHAHED UDDIN MOHAMMED PARVEZ</v>
      </c>
      <c r="I4571" s="223" t="s">
        <v>840</v>
      </c>
      <c r="J4571" s="224" t="s">
        <v>14</v>
      </c>
      <c r="K4571" s="167">
        <v>1000000</v>
      </c>
      <c r="L4571" s="225"/>
    </row>
    <row r="4572" spans="1:12" ht="11.25" customHeight="1" x14ac:dyDescent="0.2">
      <c r="A4572" s="164">
        <v>2024</v>
      </c>
      <c r="B4572" s="164">
        <v>3</v>
      </c>
      <c r="C4572" s="164">
        <v>6</v>
      </c>
      <c r="D4572" s="156">
        <f t="shared" si="493"/>
        <v>45357</v>
      </c>
      <c r="E4572" s="235">
        <f t="shared" si="491"/>
        <v>45357</v>
      </c>
      <c r="F4572" s="480"/>
      <c r="G4572" s="208" t="s">
        <v>1111</v>
      </c>
      <c r="H4572" s="206" t="str" cm="1">
        <f t="array" ref="H4572">IFERROR(INDEX(INVESTOR_LIST[INVESTOR NAME],MATCH(I4572,INVESTOR_LIST[INVESTOR CODE],0),)," ")</f>
        <v>SHAHED UDDIN MOHAMMED PARVEZ</v>
      </c>
      <c r="I4572" s="206" t="s">
        <v>840</v>
      </c>
      <c r="J4572" s="165" t="s">
        <v>1112</v>
      </c>
      <c r="K4572" s="167">
        <v>21300</v>
      </c>
      <c r="L4572" s="205"/>
    </row>
    <row r="4573" spans="1:12" ht="11.25" customHeight="1" x14ac:dyDescent="0.2">
      <c r="A4573" s="226">
        <v>2024</v>
      </c>
      <c r="B4573" s="226">
        <v>3</v>
      </c>
      <c r="C4573" s="226">
        <v>6</v>
      </c>
      <c r="D4573" s="232">
        <f t="shared" si="493"/>
        <v>45357</v>
      </c>
      <c r="E4573" s="234">
        <f t="shared" si="491"/>
        <v>45357</v>
      </c>
      <c r="F4573" s="479"/>
      <c r="G4573" s="227" t="s">
        <v>1111</v>
      </c>
      <c r="H4573" s="228" t="str" cm="1">
        <f t="array" ref="H4573">IFERROR(INDEX(INVESTOR_LIST[INVESTOR NAME],MATCH(I4573,INVESTOR_LIST[INVESTOR CODE],0),)," ")</f>
        <v>SHAHED UDDIN MOHAMMED PARVEZ</v>
      </c>
      <c r="I4573" s="228" t="s">
        <v>840</v>
      </c>
      <c r="J4573" s="229" t="s">
        <v>55</v>
      </c>
      <c r="K4573" s="230"/>
      <c r="L4573" s="230">
        <v>1021300</v>
      </c>
    </row>
    <row r="4574" spans="1:12" ht="11.25" customHeight="1" x14ac:dyDescent="0.2">
      <c r="A4574" s="358">
        <v>2024</v>
      </c>
      <c r="B4574" s="358">
        <v>3</v>
      </c>
      <c r="C4574" s="358">
        <v>7</v>
      </c>
      <c r="D4574" s="312">
        <f t="shared" si="493"/>
        <v>45358</v>
      </c>
      <c r="E4574" s="313">
        <f t="shared" ref="E4574:E4595" si="497">DATE(A4574,B4574,C4574)</f>
        <v>45358</v>
      </c>
      <c r="F4574" s="482" t="s">
        <v>1627</v>
      </c>
      <c r="G4574" s="314" t="s">
        <v>86</v>
      </c>
      <c r="H4574" s="324" t="str" cm="1">
        <f t="array" ref="H4574">IFERROR(INDEX(INVESTOR_LIST[INVESTOR NAME],MATCH(I4574,INVESTOR_LIST[INVESTOR CODE],0),)," ")</f>
        <v xml:space="preserve"> </v>
      </c>
      <c r="I4574" s="324"/>
      <c r="J4574" s="364" t="s">
        <v>1621</v>
      </c>
      <c r="K4574" s="365">
        <v>149518.40000000596</v>
      </c>
      <c r="L4574" s="365"/>
    </row>
    <row r="4575" spans="1:12" ht="11.25" customHeight="1" x14ac:dyDescent="0.2">
      <c r="A4575" s="320">
        <v>2024</v>
      </c>
      <c r="B4575" s="320">
        <v>3</v>
      </c>
      <c r="C4575" s="320">
        <v>7</v>
      </c>
      <c r="D4575" s="323">
        <f t="shared" si="493"/>
        <v>45358</v>
      </c>
      <c r="E4575" s="321">
        <f t="shared" si="497"/>
        <v>45358</v>
      </c>
      <c r="F4575" s="483"/>
      <c r="G4575" s="322" t="s">
        <v>86</v>
      </c>
      <c r="H4575" s="325" t="str" cm="1">
        <f t="array" ref="H4575">IFERROR(INDEX(INVESTOR_LIST[INVESTOR NAME],MATCH(I4575,INVESTOR_LIST[INVESTOR CODE],0),)," ")</f>
        <v xml:space="preserve"> </v>
      </c>
      <c r="I4575" s="325"/>
      <c r="J4575" s="366" t="s">
        <v>1613</v>
      </c>
      <c r="K4575" s="367"/>
      <c r="L4575" s="367">
        <v>149518.40000000596</v>
      </c>
    </row>
    <row r="4576" spans="1:12" ht="11.25" customHeight="1" x14ac:dyDescent="0.2">
      <c r="A4576" s="236">
        <v>2024</v>
      </c>
      <c r="B4576" s="236">
        <v>3</v>
      </c>
      <c r="C4576" s="236">
        <v>7</v>
      </c>
      <c r="D4576" s="237">
        <f t="shared" si="493"/>
        <v>45358</v>
      </c>
      <c r="E4576" s="238">
        <f t="shared" si="497"/>
        <v>45358</v>
      </c>
      <c r="F4576" s="476" t="s">
        <v>1118</v>
      </c>
      <c r="G4576" s="239" t="s">
        <v>86</v>
      </c>
      <c r="H4576" s="239" t="str" cm="1">
        <f t="array" ref="H4576">IFERROR(INDEX(INVESTOR_LIST[INVESTOR NAME],MATCH(I4576,INVESTOR_LIST[INVESTOR CODE],0),)," ")</f>
        <v xml:space="preserve"> </v>
      </c>
      <c r="I4576" s="240"/>
      <c r="J4576" s="241" t="s">
        <v>82</v>
      </c>
      <c r="K4576" s="242">
        <v>3407793.2799999937</v>
      </c>
      <c r="L4576" s="242"/>
    </row>
    <row r="4577" spans="1:12" ht="11.25" customHeight="1" x14ac:dyDescent="0.2">
      <c r="A4577" s="243">
        <v>2024</v>
      </c>
      <c r="B4577" s="243">
        <v>3</v>
      </c>
      <c r="C4577" s="243">
        <v>7</v>
      </c>
      <c r="D4577" s="248">
        <f t="shared" si="493"/>
        <v>45358</v>
      </c>
      <c r="E4577" s="249">
        <f t="shared" si="497"/>
        <v>45358</v>
      </c>
      <c r="F4577" s="477"/>
      <c r="G4577" s="244" t="s">
        <v>86</v>
      </c>
      <c r="H4577" s="244" t="str" cm="1">
        <f t="array" ref="H4577">IFERROR(INDEX(INVESTOR_LIST[INVESTOR NAME],MATCH(I4577,INVESTOR_LIST[INVESTOR CODE],0),)," ")</f>
        <v xml:space="preserve"> </v>
      </c>
      <c r="I4577" s="245"/>
      <c r="J4577" s="246" t="s">
        <v>98</v>
      </c>
      <c r="K4577" s="247"/>
      <c r="L4577" s="247">
        <v>3407793.2799999937</v>
      </c>
    </row>
    <row r="4578" spans="1:12" ht="11.25" customHeight="1" x14ac:dyDescent="0.2">
      <c r="A4578" s="236">
        <v>2024</v>
      </c>
      <c r="B4578" s="236">
        <v>3</v>
      </c>
      <c r="C4578" s="236">
        <v>7</v>
      </c>
      <c r="D4578" s="237">
        <f t="shared" si="493"/>
        <v>45358</v>
      </c>
      <c r="E4578" s="238">
        <f t="shared" si="497"/>
        <v>45358</v>
      </c>
      <c r="F4578" s="476" t="s">
        <v>1120</v>
      </c>
      <c r="G4578" s="239" t="s">
        <v>86</v>
      </c>
      <c r="H4578" s="239" t="str" cm="1">
        <f t="array" ref="H4578">IFERROR(INDEX(INVESTOR_LIST[INVESTOR NAME],MATCH(I4578,INVESTOR_LIST[INVESTOR CODE],0),)," ")</f>
        <v xml:space="preserve"> </v>
      </c>
      <c r="I4578" s="240"/>
      <c r="J4578" s="241" t="s">
        <v>87</v>
      </c>
      <c r="K4578" s="242">
        <v>2747.2527472527472</v>
      </c>
      <c r="L4578" s="242"/>
    </row>
    <row r="4579" spans="1:12" ht="11.25" customHeight="1" x14ac:dyDescent="0.2">
      <c r="A4579" s="243">
        <v>2024</v>
      </c>
      <c r="B4579" s="243">
        <v>3</v>
      </c>
      <c r="C4579" s="243">
        <v>7</v>
      </c>
      <c r="D4579" s="248">
        <f t="shared" si="493"/>
        <v>45358</v>
      </c>
      <c r="E4579" s="249">
        <f t="shared" si="497"/>
        <v>45358</v>
      </c>
      <c r="F4579" s="477"/>
      <c r="G4579" s="244" t="s">
        <v>86</v>
      </c>
      <c r="H4579" s="244" t="str" cm="1">
        <f t="array" ref="H4579">IFERROR(INDEX(INVESTOR_LIST[INVESTOR NAME],MATCH(I4579,INVESTOR_LIST[INVESTOR CODE],0),)," ")</f>
        <v xml:space="preserve"> </v>
      </c>
      <c r="I4579" s="245"/>
      <c r="J4579" s="246" t="s">
        <v>64</v>
      </c>
      <c r="K4579" s="247"/>
      <c r="L4579" s="247">
        <v>2747.2527472527472</v>
      </c>
    </row>
    <row r="4580" spans="1:12" ht="11.25" customHeight="1" x14ac:dyDescent="0.2">
      <c r="A4580" s="236">
        <v>2024</v>
      </c>
      <c r="B4580" s="236">
        <v>3</v>
      </c>
      <c r="C4580" s="236">
        <v>7</v>
      </c>
      <c r="D4580" s="237">
        <f t="shared" si="493"/>
        <v>45358</v>
      </c>
      <c r="E4580" s="238">
        <f t="shared" si="497"/>
        <v>45358</v>
      </c>
      <c r="F4580" s="476" t="s">
        <v>1121</v>
      </c>
      <c r="G4580" s="239" t="s">
        <v>86</v>
      </c>
      <c r="H4580" s="239" t="str" cm="1">
        <f t="array" ref="H4580">IFERROR(INDEX(INVESTOR_LIST[INVESTOR NAME],MATCH(I4580,INVESTOR_LIST[INVESTOR CODE],0),)," ")</f>
        <v xml:space="preserve"> </v>
      </c>
      <c r="I4580" s="240"/>
      <c r="J4580" s="241" t="s">
        <v>89</v>
      </c>
      <c r="K4580" s="242">
        <v>64722.001952211562</v>
      </c>
      <c r="L4580" s="242"/>
    </row>
    <row r="4581" spans="1:12" ht="11.25" customHeight="1" x14ac:dyDescent="0.2">
      <c r="A4581" s="243">
        <v>2024</v>
      </c>
      <c r="B4581" s="243">
        <v>3</v>
      </c>
      <c r="C4581" s="243">
        <v>7</v>
      </c>
      <c r="D4581" s="248">
        <f t="shared" si="493"/>
        <v>45358</v>
      </c>
      <c r="E4581" s="249">
        <f t="shared" si="497"/>
        <v>45358</v>
      </c>
      <c r="F4581" s="477"/>
      <c r="G4581" s="244" t="s">
        <v>86</v>
      </c>
      <c r="H4581" s="244" t="str" cm="1">
        <f t="array" ref="H4581">IFERROR(INDEX(INVESTOR_LIST[INVESTOR NAME],MATCH(I4581,INVESTOR_LIST[INVESTOR CODE],0),)," ")</f>
        <v xml:space="preserve"> </v>
      </c>
      <c r="I4581" s="245"/>
      <c r="J4581" s="246" t="s">
        <v>50</v>
      </c>
      <c r="K4581" s="247"/>
      <c r="L4581" s="247">
        <v>64722.001952211562</v>
      </c>
    </row>
    <row r="4582" spans="1:12" ht="11.25" customHeight="1" x14ac:dyDescent="0.2">
      <c r="A4582" s="236">
        <v>2024</v>
      </c>
      <c r="B4582" s="236">
        <v>3</v>
      </c>
      <c r="C4582" s="236">
        <v>7</v>
      </c>
      <c r="D4582" s="237">
        <f t="shared" si="493"/>
        <v>45358</v>
      </c>
      <c r="E4582" s="238">
        <f t="shared" si="497"/>
        <v>45358</v>
      </c>
      <c r="F4582" s="476" t="s">
        <v>1122</v>
      </c>
      <c r="G4582" s="239" t="s">
        <v>86</v>
      </c>
      <c r="H4582" s="239" t="str" cm="1">
        <f t="array" ref="H4582">IFERROR(INDEX(INVESTOR_LIST[INVESTOR NAME],MATCH(I4582,INVESTOR_LIST[INVESTOR CODE],0),)," ")</f>
        <v xml:space="preserve"> </v>
      </c>
      <c r="I4582" s="240"/>
      <c r="J4582" s="241" t="s">
        <v>91</v>
      </c>
      <c r="K4582" s="242">
        <v>2995.7154822259627</v>
      </c>
      <c r="L4582" s="242"/>
    </row>
    <row r="4583" spans="1:12" ht="11.25" customHeight="1" x14ac:dyDescent="0.2">
      <c r="A4583" s="243">
        <v>2024</v>
      </c>
      <c r="B4583" s="243">
        <v>3</v>
      </c>
      <c r="C4583" s="243">
        <v>7</v>
      </c>
      <c r="D4583" s="248">
        <f t="shared" si="493"/>
        <v>45358</v>
      </c>
      <c r="E4583" s="249">
        <f t="shared" si="497"/>
        <v>45358</v>
      </c>
      <c r="F4583" s="477"/>
      <c r="G4583" s="244" t="s">
        <v>86</v>
      </c>
      <c r="H4583" s="244" t="str" cm="1">
        <f t="array" ref="H4583">IFERROR(INDEX(INVESTOR_LIST[INVESTOR NAME],MATCH(I4583,INVESTOR_LIST[INVESTOR CODE],0),)," ")</f>
        <v xml:space="preserve"> </v>
      </c>
      <c r="I4583" s="245"/>
      <c r="J4583" s="246" t="s">
        <v>51</v>
      </c>
      <c r="K4583" s="247"/>
      <c r="L4583" s="247">
        <v>2995.7154822259627</v>
      </c>
    </row>
    <row r="4584" spans="1:12" ht="11.25" customHeight="1" x14ac:dyDescent="0.2">
      <c r="A4584" s="221">
        <v>2024</v>
      </c>
      <c r="B4584" s="221">
        <v>3</v>
      </c>
      <c r="C4584" s="221">
        <v>10</v>
      </c>
      <c r="D4584" s="231">
        <f t="shared" si="493"/>
        <v>45361</v>
      </c>
      <c r="E4584" s="233">
        <f t="shared" si="497"/>
        <v>45361</v>
      </c>
      <c r="F4584" s="478" t="s">
        <v>1590</v>
      </c>
      <c r="G4584" s="222" t="s">
        <v>1111</v>
      </c>
      <c r="H4584" s="223" t="str" cm="1">
        <f t="array" ref="H4584">IFERROR(INDEX(INVESTOR_LIST[INVESTOR NAME],MATCH(I4584,INVESTOR_LIST[INVESTOR CODE],0),)," ")</f>
        <v xml:space="preserve"> </v>
      </c>
      <c r="I4584" s="223"/>
      <c r="J4584" s="224" t="s">
        <v>55</v>
      </c>
      <c r="K4584" s="225">
        <v>13113353.390000001</v>
      </c>
      <c r="L4584" s="225"/>
    </row>
    <row r="4585" spans="1:12" ht="11.25" customHeight="1" x14ac:dyDescent="0.2">
      <c r="A4585" s="226">
        <v>2024</v>
      </c>
      <c r="B4585" s="226">
        <v>3</v>
      </c>
      <c r="C4585" s="226">
        <v>10</v>
      </c>
      <c r="D4585" s="232">
        <f t="shared" si="493"/>
        <v>45361</v>
      </c>
      <c r="E4585" s="234">
        <f t="shared" si="497"/>
        <v>45361</v>
      </c>
      <c r="F4585" s="479"/>
      <c r="G4585" s="227" t="s">
        <v>1111</v>
      </c>
      <c r="H4585" s="228" t="str" cm="1">
        <f t="array" ref="H4585">IFERROR(INDEX(INVESTOR_LIST[INVESTOR NAME],MATCH(I4585,INVESTOR_LIST[INVESTOR CODE],0),)," ")</f>
        <v xml:space="preserve"> </v>
      </c>
      <c r="I4585" s="228"/>
      <c r="J4585" s="229" t="s">
        <v>199</v>
      </c>
      <c r="K4585" s="230"/>
      <c r="L4585" s="230">
        <v>13113353.390000001</v>
      </c>
    </row>
    <row r="4586" spans="1:12" ht="11.25" customHeight="1" x14ac:dyDescent="0.2">
      <c r="A4586" s="221">
        <v>2024</v>
      </c>
      <c r="B4586" s="221">
        <v>3</v>
      </c>
      <c r="C4586" s="221">
        <v>11</v>
      </c>
      <c r="D4586" s="231">
        <f t="shared" si="493"/>
        <v>45362</v>
      </c>
      <c r="E4586" s="233">
        <f t="shared" si="497"/>
        <v>45362</v>
      </c>
      <c r="F4586" s="478" t="s">
        <v>1704</v>
      </c>
      <c r="G4586" s="222" t="s">
        <v>1111</v>
      </c>
      <c r="H4586" s="222" t="str" cm="1">
        <f t="array" ref="H4586">IFERROR(INDEX(INVESTOR_LIST[INVESTOR NAME],MATCH(I4586,INVESTOR_LIST[INVESTOR CODE],0),)," ")</f>
        <v xml:space="preserve"> </v>
      </c>
      <c r="I4586" s="223"/>
      <c r="J4586" s="224" t="s">
        <v>55</v>
      </c>
      <c r="K4586" s="357">
        <v>10000000</v>
      </c>
      <c r="L4586" s="225"/>
    </row>
    <row r="4587" spans="1:12" ht="11.25" customHeight="1" x14ac:dyDescent="0.2">
      <c r="A4587" s="164">
        <v>2024</v>
      </c>
      <c r="B4587" s="164">
        <v>3</v>
      </c>
      <c r="C4587" s="164">
        <v>11</v>
      </c>
      <c r="D4587" s="164">
        <f t="shared" si="493"/>
        <v>45362</v>
      </c>
      <c r="E4587" s="235">
        <f t="shared" si="497"/>
        <v>45362</v>
      </c>
      <c r="F4587" s="480"/>
      <c r="G4587" s="208" t="s">
        <v>1111</v>
      </c>
      <c r="H4587" s="208"/>
      <c r="J4587" s="165" t="s">
        <v>1617</v>
      </c>
      <c r="K4587" s="263"/>
      <c r="L4587" s="205">
        <v>263650</v>
      </c>
    </row>
    <row r="4588" spans="1:12" ht="11.25" customHeight="1" x14ac:dyDescent="0.2">
      <c r="A4588" s="226">
        <v>2024</v>
      </c>
      <c r="B4588" s="226">
        <v>3</v>
      </c>
      <c r="C4588" s="226">
        <v>11</v>
      </c>
      <c r="D4588" s="226">
        <f t="shared" si="493"/>
        <v>45362</v>
      </c>
      <c r="E4588" s="234">
        <f t="shared" si="497"/>
        <v>45362</v>
      </c>
      <c r="F4588" s="479"/>
      <c r="G4588" s="227" t="s">
        <v>1111</v>
      </c>
      <c r="H4588" s="227"/>
      <c r="I4588" s="228"/>
      <c r="J4588" s="229" t="s">
        <v>1465</v>
      </c>
      <c r="K4588" s="294"/>
      <c r="L4588" s="230">
        <v>9736350</v>
      </c>
    </row>
    <row r="4589" spans="1:12" ht="11.25" customHeight="1" x14ac:dyDescent="0.2">
      <c r="A4589" s="221">
        <v>2024</v>
      </c>
      <c r="B4589" s="221">
        <v>3</v>
      </c>
      <c r="C4589" s="221">
        <v>11</v>
      </c>
      <c r="D4589" s="231">
        <f t="shared" si="493"/>
        <v>45362</v>
      </c>
      <c r="E4589" s="233">
        <f t="shared" ref="E4589:E4591" si="498">DATE(A4589,B4589,C4589)</f>
        <v>45362</v>
      </c>
      <c r="F4589" s="478" t="s">
        <v>1704</v>
      </c>
      <c r="G4589" s="222" t="s">
        <v>1111</v>
      </c>
      <c r="H4589" s="222" t="str" cm="1">
        <f t="array" ref="H4589">IFERROR(INDEX(INVESTOR_LIST[INVESTOR NAME],MATCH(I4589,INVESTOR_LIST[INVESTOR CODE],0),)," ")</f>
        <v xml:space="preserve"> </v>
      </c>
      <c r="I4589" s="223"/>
      <c r="J4589" s="224" t="s">
        <v>55</v>
      </c>
      <c r="K4589" s="357">
        <v>10000000</v>
      </c>
      <c r="L4589" s="225"/>
    </row>
    <row r="4590" spans="1:12" ht="11.25" customHeight="1" x14ac:dyDescent="0.2">
      <c r="A4590" s="164">
        <v>2024</v>
      </c>
      <c r="B4590" s="164">
        <v>3</v>
      </c>
      <c r="C4590" s="164">
        <v>11</v>
      </c>
      <c r="D4590" s="164">
        <f t="shared" si="493"/>
        <v>45362</v>
      </c>
      <c r="E4590" s="235">
        <f t="shared" si="498"/>
        <v>45362</v>
      </c>
      <c r="F4590" s="480"/>
      <c r="G4590" s="208" t="s">
        <v>1111</v>
      </c>
      <c r="H4590" s="208"/>
      <c r="J4590" s="165" t="s">
        <v>1617</v>
      </c>
      <c r="K4590" s="263"/>
      <c r="L4590" s="205">
        <v>264560</v>
      </c>
    </row>
    <row r="4591" spans="1:12" ht="11.25" customHeight="1" x14ac:dyDescent="0.2">
      <c r="A4591" s="226">
        <v>2024</v>
      </c>
      <c r="B4591" s="226">
        <v>3</v>
      </c>
      <c r="C4591" s="226">
        <v>11</v>
      </c>
      <c r="D4591" s="226">
        <f t="shared" si="493"/>
        <v>45362</v>
      </c>
      <c r="E4591" s="234">
        <f t="shared" si="498"/>
        <v>45362</v>
      </c>
      <c r="F4591" s="479"/>
      <c r="G4591" s="227" t="s">
        <v>1111</v>
      </c>
      <c r="H4591" s="227"/>
      <c r="I4591" s="228"/>
      <c r="J4591" s="229" t="s">
        <v>1465</v>
      </c>
      <c r="K4591" s="294"/>
      <c r="L4591" s="230">
        <v>9735440</v>
      </c>
    </row>
    <row r="4592" spans="1:12" ht="11.25" customHeight="1" x14ac:dyDescent="0.2">
      <c r="A4592" s="221">
        <v>2024</v>
      </c>
      <c r="B4592" s="221">
        <v>3</v>
      </c>
      <c r="C4592" s="221">
        <v>11</v>
      </c>
      <c r="D4592" s="221">
        <f t="shared" si="493"/>
        <v>45362</v>
      </c>
      <c r="E4592" s="233">
        <f t="shared" si="497"/>
        <v>45362</v>
      </c>
      <c r="F4592" s="478" t="s">
        <v>1589</v>
      </c>
      <c r="G4592" s="222" t="s">
        <v>86</v>
      </c>
      <c r="H4592" s="222" t="str" cm="1">
        <f t="array" ref="H4592">IFERROR(INDEX(INVESTOR_LIST[INVESTOR NAME],MATCH(I4592,INVESTOR_LIST[INVESTOR CODE],0),)," ")</f>
        <v xml:space="preserve"> </v>
      </c>
      <c r="I4592" s="223"/>
      <c r="J4592" s="165" t="s">
        <v>199</v>
      </c>
      <c r="K4592" s="225">
        <v>497306.83</v>
      </c>
      <c r="L4592" s="225"/>
    </row>
    <row r="4593" spans="1:12" ht="11.25" customHeight="1" x14ac:dyDescent="0.2">
      <c r="A4593" s="164">
        <v>2024</v>
      </c>
      <c r="B4593" s="164">
        <v>3</v>
      </c>
      <c r="C4593" s="164">
        <v>11</v>
      </c>
      <c r="D4593" s="164">
        <f t="shared" si="493"/>
        <v>45362</v>
      </c>
      <c r="E4593" s="235">
        <f t="shared" si="497"/>
        <v>45362</v>
      </c>
      <c r="F4593" s="480"/>
      <c r="G4593" s="208" t="s">
        <v>86</v>
      </c>
      <c r="H4593" s="208"/>
      <c r="J4593" s="165" t="s">
        <v>960</v>
      </c>
      <c r="K4593" s="205">
        <v>896.77</v>
      </c>
      <c r="L4593" s="205"/>
    </row>
    <row r="4594" spans="1:12" ht="11.25" customHeight="1" x14ac:dyDescent="0.2">
      <c r="A4594" s="164">
        <v>2024</v>
      </c>
      <c r="B4594" s="164">
        <v>3</v>
      </c>
      <c r="C4594" s="164">
        <v>11</v>
      </c>
      <c r="D4594" s="164">
        <f t="shared" si="493"/>
        <v>45362</v>
      </c>
      <c r="E4594" s="235">
        <f t="shared" si="497"/>
        <v>45362</v>
      </c>
      <c r="F4594" s="480"/>
      <c r="G4594" s="208" t="s">
        <v>86</v>
      </c>
      <c r="H4594" s="208"/>
      <c r="J4594" s="165" t="s">
        <v>200</v>
      </c>
      <c r="K4594" s="205">
        <v>114553.92</v>
      </c>
      <c r="L4594" s="205"/>
    </row>
    <row r="4595" spans="1:12" ht="11.25" customHeight="1" x14ac:dyDescent="0.2">
      <c r="A4595" s="226">
        <v>2024</v>
      </c>
      <c r="B4595" s="226">
        <v>3</v>
      </c>
      <c r="C4595" s="226">
        <v>11</v>
      </c>
      <c r="D4595" s="226">
        <f t="shared" si="493"/>
        <v>45362</v>
      </c>
      <c r="E4595" s="234">
        <f t="shared" si="497"/>
        <v>45362</v>
      </c>
      <c r="F4595" s="479"/>
      <c r="G4595" s="227" t="s">
        <v>86</v>
      </c>
      <c r="H4595" s="228" t="str" cm="1">
        <f t="array" ref="H4595">IFERROR(INDEX(INVESTOR_LIST[INVESTOR NAME],MATCH(I4595,INVESTOR_LIST[INVESTOR CODE],0),)," ")</f>
        <v xml:space="preserve"> </v>
      </c>
      <c r="I4595" s="228"/>
      <c r="J4595" s="229" t="s">
        <v>80</v>
      </c>
      <c r="K4595" s="230"/>
      <c r="L4595" s="230">
        <v>612757.52</v>
      </c>
    </row>
    <row r="4596" spans="1:12" ht="11.25" customHeight="1" x14ac:dyDescent="0.2">
      <c r="A4596" s="221">
        <v>2024</v>
      </c>
      <c r="B4596" s="221">
        <v>3</v>
      </c>
      <c r="C4596" s="221">
        <v>12</v>
      </c>
      <c r="D4596" s="221">
        <f t="shared" si="493"/>
        <v>45363</v>
      </c>
      <c r="E4596" s="233">
        <f t="shared" ref="E4596:E4602" si="499">DATE(A4596,B4596,C4596)</f>
        <v>45363</v>
      </c>
      <c r="F4596" s="478" t="s">
        <v>1589</v>
      </c>
      <c r="G4596" s="222" t="s">
        <v>86</v>
      </c>
      <c r="H4596" s="222" t="str" cm="1">
        <f t="array" ref="H4596">IFERROR(INDEX(INVESTOR_LIST[INVESTOR NAME],MATCH(I4596,INVESTOR_LIST[INVESTOR CODE],0),)," ")</f>
        <v xml:space="preserve"> </v>
      </c>
      <c r="I4596" s="223"/>
      <c r="J4596" s="165" t="s">
        <v>199</v>
      </c>
      <c r="K4596" s="225">
        <v>439208</v>
      </c>
      <c r="L4596" s="225"/>
    </row>
    <row r="4597" spans="1:12" ht="11.25" customHeight="1" x14ac:dyDescent="0.2">
      <c r="A4597" s="164">
        <v>2024</v>
      </c>
      <c r="B4597" s="164">
        <v>3</v>
      </c>
      <c r="C4597" s="164">
        <v>12</v>
      </c>
      <c r="D4597" s="164">
        <f t="shared" si="493"/>
        <v>45363</v>
      </c>
      <c r="E4597" s="235">
        <f t="shared" si="499"/>
        <v>45363</v>
      </c>
      <c r="F4597" s="480"/>
      <c r="G4597" s="208" t="s">
        <v>86</v>
      </c>
      <c r="H4597" s="208"/>
      <c r="J4597" s="165" t="s">
        <v>960</v>
      </c>
      <c r="K4597" s="205">
        <v>792</v>
      </c>
      <c r="L4597" s="205"/>
    </row>
    <row r="4598" spans="1:12" ht="11.25" customHeight="1" x14ac:dyDescent="0.2">
      <c r="A4598" s="164">
        <v>2024</v>
      </c>
      <c r="B4598" s="164">
        <v>3</v>
      </c>
      <c r="C4598" s="164">
        <v>12</v>
      </c>
      <c r="D4598" s="164">
        <f t="shared" si="493"/>
        <v>45363</v>
      </c>
      <c r="E4598" s="235">
        <f t="shared" si="499"/>
        <v>45363</v>
      </c>
      <c r="F4598" s="480"/>
      <c r="G4598" s="208" t="s">
        <v>86</v>
      </c>
      <c r="H4598" s="208"/>
      <c r="J4598" s="165" t="s">
        <v>200</v>
      </c>
      <c r="K4598" s="205">
        <v>101305.23</v>
      </c>
      <c r="L4598" s="205"/>
    </row>
    <row r="4599" spans="1:12" ht="11.25" customHeight="1" x14ac:dyDescent="0.2">
      <c r="A4599" s="226">
        <v>2024</v>
      </c>
      <c r="B4599" s="226">
        <v>3</v>
      </c>
      <c r="C4599" s="226">
        <v>12</v>
      </c>
      <c r="D4599" s="226">
        <f t="shared" si="493"/>
        <v>45363</v>
      </c>
      <c r="E4599" s="234">
        <f t="shared" si="499"/>
        <v>45363</v>
      </c>
      <c r="F4599" s="479"/>
      <c r="G4599" s="227" t="s">
        <v>86</v>
      </c>
      <c r="H4599" s="228" t="str" cm="1">
        <f t="array" ref="H4599">IFERROR(INDEX(INVESTOR_LIST[INVESTOR NAME],MATCH(I4599,INVESTOR_LIST[INVESTOR CODE],0),)," ")</f>
        <v xml:space="preserve"> </v>
      </c>
      <c r="I4599" s="228"/>
      <c r="J4599" s="229" t="s">
        <v>80</v>
      </c>
      <c r="K4599" s="230"/>
      <c r="L4599" s="230">
        <v>541305.23</v>
      </c>
    </row>
    <row r="4600" spans="1:12" ht="11.25" customHeight="1" x14ac:dyDescent="0.2">
      <c r="A4600" s="221">
        <v>2024</v>
      </c>
      <c r="B4600" s="221">
        <v>3</v>
      </c>
      <c r="C4600" s="221">
        <v>12</v>
      </c>
      <c r="D4600" s="231">
        <f t="shared" si="493"/>
        <v>45363</v>
      </c>
      <c r="E4600" s="233">
        <f t="shared" si="499"/>
        <v>45363</v>
      </c>
      <c r="F4600" s="478" t="s">
        <v>1115</v>
      </c>
      <c r="G4600" s="222" t="s">
        <v>1111</v>
      </c>
      <c r="H4600" s="223" t="str" cm="1">
        <f t="array" ref="H4600">IFERROR(INDEX(INVESTOR_LIST[INVESTOR NAME],MATCH(I4600,INVESTOR_LIST[INVESTOR CODE],0),)," ")</f>
        <v>PHOENIX FINANCE &amp; INVESTMENTS LTD</v>
      </c>
      <c r="I4600" s="223" t="s">
        <v>451</v>
      </c>
      <c r="J4600" s="224" t="s">
        <v>14</v>
      </c>
      <c r="K4600" s="167">
        <v>2447860</v>
      </c>
      <c r="L4600" s="225"/>
    </row>
    <row r="4601" spans="1:12" ht="11.25" customHeight="1" x14ac:dyDescent="0.2">
      <c r="A4601" s="164">
        <v>2024</v>
      </c>
      <c r="B4601" s="164">
        <v>3</v>
      </c>
      <c r="C4601" s="164">
        <v>12</v>
      </c>
      <c r="D4601" s="156">
        <f t="shared" si="493"/>
        <v>45363</v>
      </c>
      <c r="E4601" s="235">
        <f t="shared" si="499"/>
        <v>45363</v>
      </c>
      <c r="F4601" s="480"/>
      <c r="G4601" s="208" t="s">
        <v>1111</v>
      </c>
      <c r="H4601" s="206" t="str" cm="1">
        <f t="array" ref="H4601">IFERROR(INDEX(INVESTOR_LIST[INVESTOR NAME],MATCH(I4601,INVESTOR_LIST[INVESTOR CODE],0),)," ")</f>
        <v>PHOENIX FINANCE &amp; INVESTMENTS LTD</v>
      </c>
      <c r="I4601" s="206" t="s">
        <v>451</v>
      </c>
      <c r="J4601" s="165" t="s">
        <v>1112</v>
      </c>
      <c r="K4601" s="167">
        <v>52140</v>
      </c>
      <c r="L4601" s="205"/>
    </row>
    <row r="4602" spans="1:12" ht="11.25" customHeight="1" x14ac:dyDescent="0.2">
      <c r="A4602" s="226">
        <v>2024</v>
      </c>
      <c r="B4602" s="226">
        <v>3</v>
      </c>
      <c r="C4602" s="226">
        <v>12</v>
      </c>
      <c r="D4602" s="232">
        <f t="shared" si="493"/>
        <v>45363</v>
      </c>
      <c r="E4602" s="234">
        <f t="shared" si="499"/>
        <v>45363</v>
      </c>
      <c r="F4602" s="479"/>
      <c r="G4602" s="227" t="s">
        <v>1111</v>
      </c>
      <c r="H4602" s="228" t="str" cm="1">
        <f t="array" ref="H4602">IFERROR(INDEX(INVESTOR_LIST[INVESTOR NAME],MATCH(I4602,INVESTOR_LIST[INVESTOR CODE],0),)," ")</f>
        <v>PHOENIX FINANCE &amp; INVESTMENTS LTD</v>
      </c>
      <c r="I4602" s="228" t="s">
        <v>451</v>
      </c>
      <c r="J4602" s="229" t="s">
        <v>55</v>
      </c>
      <c r="K4602" s="230"/>
      <c r="L4602" s="230">
        <v>2500000</v>
      </c>
    </row>
    <row r="4603" spans="1:12" ht="11.25" customHeight="1" x14ac:dyDescent="0.2">
      <c r="A4603" s="221">
        <v>2024</v>
      </c>
      <c r="B4603" s="221">
        <v>3</v>
      </c>
      <c r="C4603" s="221">
        <v>12</v>
      </c>
      <c r="D4603" s="231">
        <f t="shared" si="493"/>
        <v>45363</v>
      </c>
      <c r="E4603" s="233">
        <f t="shared" ref="E4603:E4605" si="500">DATE(A4603,B4603,C4603)</f>
        <v>45363</v>
      </c>
      <c r="F4603" s="478" t="s">
        <v>1115</v>
      </c>
      <c r="G4603" s="222" t="s">
        <v>1111</v>
      </c>
      <c r="H4603" s="223" t="str" cm="1">
        <f t="array" ref="H4603">IFERROR(INDEX(INVESTOR_LIST[INVESTOR NAME],MATCH(I4603,INVESTOR_LIST[INVESTOR CODE],0),)," ")</f>
        <v>HOSNEARA ISLAM</v>
      </c>
      <c r="I4603" s="223" t="s">
        <v>902</v>
      </c>
      <c r="J4603" s="224" t="s">
        <v>14</v>
      </c>
      <c r="K4603" s="167">
        <v>4500000</v>
      </c>
      <c r="L4603" s="225"/>
    </row>
    <row r="4604" spans="1:12" ht="11.25" customHeight="1" x14ac:dyDescent="0.2">
      <c r="A4604" s="164">
        <v>2024</v>
      </c>
      <c r="B4604" s="164">
        <v>3</v>
      </c>
      <c r="C4604" s="164">
        <v>12</v>
      </c>
      <c r="D4604" s="156">
        <f t="shared" si="493"/>
        <v>45363</v>
      </c>
      <c r="E4604" s="235">
        <f t="shared" si="500"/>
        <v>45363</v>
      </c>
      <c r="F4604" s="480"/>
      <c r="G4604" s="208" t="s">
        <v>1111</v>
      </c>
      <c r="H4604" s="206" t="str" cm="1">
        <f t="array" ref="H4604">IFERROR(INDEX(INVESTOR_LIST[INVESTOR NAME],MATCH(I4604,INVESTOR_LIST[INVESTOR CODE],0),)," ")</f>
        <v>HOSNEARA ISLAM</v>
      </c>
      <c r="I4604" s="206" t="s">
        <v>902</v>
      </c>
      <c r="J4604" s="165" t="s">
        <v>1112</v>
      </c>
      <c r="K4604" s="167">
        <v>95850</v>
      </c>
      <c r="L4604" s="205"/>
    </row>
    <row r="4605" spans="1:12" ht="11.25" customHeight="1" x14ac:dyDescent="0.2">
      <c r="A4605" s="226">
        <v>2024</v>
      </c>
      <c r="B4605" s="226">
        <v>3</v>
      </c>
      <c r="C4605" s="226">
        <v>12</v>
      </c>
      <c r="D4605" s="232">
        <f t="shared" si="493"/>
        <v>45363</v>
      </c>
      <c r="E4605" s="234">
        <f t="shared" si="500"/>
        <v>45363</v>
      </c>
      <c r="F4605" s="479"/>
      <c r="G4605" s="227" t="s">
        <v>1111</v>
      </c>
      <c r="H4605" s="228" t="str" cm="1">
        <f t="array" ref="H4605">IFERROR(INDEX(INVESTOR_LIST[INVESTOR NAME],MATCH(I4605,INVESTOR_LIST[INVESTOR CODE],0),)," ")</f>
        <v>HOSNEARA ISLAM</v>
      </c>
      <c r="I4605" s="228" t="s">
        <v>902</v>
      </c>
      <c r="J4605" s="229" t="s">
        <v>55</v>
      </c>
      <c r="K4605" s="230"/>
      <c r="L4605" s="230">
        <v>4595850</v>
      </c>
    </row>
    <row r="4606" spans="1:12" ht="11.25" customHeight="1" x14ac:dyDescent="0.2">
      <c r="A4606" s="221">
        <v>2024</v>
      </c>
      <c r="B4606" s="221">
        <v>3</v>
      </c>
      <c r="C4606" s="221">
        <v>12</v>
      </c>
      <c r="D4606" s="231">
        <f t="shared" si="493"/>
        <v>45363</v>
      </c>
      <c r="E4606" s="233">
        <f t="shared" ref="E4606:E4623" si="501">DATE(A4606,B4606,C4606)</f>
        <v>45363</v>
      </c>
      <c r="F4606" s="478" t="s">
        <v>1115</v>
      </c>
      <c r="G4606" s="222" t="s">
        <v>1111</v>
      </c>
      <c r="H4606" s="223" t="str" cm="1">
        <f t="array" ref="H4606">IFERROR(INDEX(INVESTOR_LIST[INVESTOR NAME],MATCH(I4606,INVESTOR_LIST[INVESTOR CODE],0),)," ")</f>
        <v>MOHAMMAD MOINUL ISLAM</v>
      </c>
      <c r="I4606" s="223" t="s">
        <v>904</v>
      </c>
      <c r="J4606" s="224" t="s">
        <v>14</v>
      </c>
      <c r="K4606" s="167">
        <v>500000</v>
      </c>
      <c r="L4606" s="225"/>
    </row>
    <row r="4607" spans="1:12" ht="11.25" customHeight="1" x14ac:dyDescent="0.2">
      <c r="A4607" s="164">
        <v>2024</v>
      </c>
      <c r="B4607" s="164">
        <v>3</v>
      </c>
      <c r="C4607" s="164">
        <v>12</v>
      </c>
      <c r="D4607" s="156">
        <f t="shared" si="493"/>
        <v>45363</v>
      </c>
      <c r="E4607" s="235">
        <f t="shared" si="501"/>
        <v>45363</v>
      </c>
      <c r="F4607" s="480"/>
      <c r="G4607" s="208" t="s">
        <v>1111</v>
      </c>
      <c r="H4607" s="206" t="str" cm="1">
        <f t="array" ref="H4607">IFERROR(INDEX(INVESTOR_LIST[INVESTOR NAME],MATCH(I4607,INVESTOR_LIST[INVESTOR CODE],0),)," ")</f>
        <v>MOHAMMAD MOINUL ISLAM</v>
      </c>
      <c r="I4607" s="206" t="s">
        <v>904</v>
      </c>
      <c r="J4607" s="165" t="s">
        <v>1112</v>
      </c>
      <c r="K4607" s="167">
        <v>10650</v>
      </c>
      <c r="L4607" s="205"/>
    </row>
    <row r="4608" spans="1:12" ht="11.25" customHeight="1" x14ac:dyDescent="0.2">
      <c r="A4608" s="226">
        <v>2024</v>
      </c>
      <c r="B4608" s="226">
        <v>3</v>
      </c>
      <c r="C4608" s="226">
        <v>12</v>
      </c>
      <c r="D4608" s="232">
        <f t="shared" si="493"/>
        <v>45363</v>
      </c>
      <c r="E4608" s="234">
        <f t="shared" si="501"/>
        <v>45363</v>
      </c>
      <c r="F4608" s="479"/>
      <c r="G4608" s="227" t="s">
        <v>1111</v>
      </c>
      <c r="H4608" s="228" t="str" cm="1">
        <f t="array" ref="H4608">IFERROR(INDEX(INVESTOR_LIST[INVESTOR NAME],MATCH(I4608,INVESTOR_LIST[INVESTOR CODE],0),)," ")</f>
        <v>MOHAMMAD MOINUL ISLAM</v>
      </c>
      <c r="I4608" s="228" t="s">
        <v>904</v>
      </c>
      <c r="J4608" s="229" t="s">
        <v>55</v>
      </c>
      <c r="K4608" s="230"/>
      <c r="L4608" s="230">
        <v>510650</v>
      </c>
    </row>
    <row r="4609" spans="1:12" ht="11.25" customHeight="1" x14ac:dyDescent="0.2">
      <c r="A4609" s="221">
        <v>2024</v>
      </c>
      <c r="B4609" s="221">
        <v>3</v>
      </c>
      <c r="C4609" s="221">
        <v>12</v>
      </c>
      <c r="D4609" s="231">
        <f t="shared" si="493"/>
        <v>45363</v>
      </c>
      <c r="E4609" s="233">
        <f t="shared" si="501"/>
        <v>45363</v>
      </c>
      <c r="F4609" s="478" t="s">
        <v>1605</v>
      </c>
      <c r="G4609" s="222" t="s">
        <v>1111</v>
      </c>
      <c r="H4609" s="223" t="str" cm="1">
        <f t="array" ref="H4609">IFERROR(INDEX(INVESTOR_LIST[INVESTOR NAME],MATCH(I4609,INVESTOR_LIST[INVESTOR CODE],0),)," ")</f>
        <v>EKUSH WEALTH MANAGEMENT LIMITED</v>
      </c>
      <c r="I4609" s="223" t="s">
        <v>320</v>
      </c>
      <c r="J4609" s="224" t="s">
        <v>55</v>
      </c>
      <c r="K4609" s="167">
        <v>8650000</v>
      </c>
      <c r="L4609" s="225"/>
    </row>
    <row r="4610" spans="1:12" ht="11.25" customHeight="1" x14ac:dyDescent="0.2">
      <c r="A4610" s="164">
        <v>2024</v>
      </c>
      <c r="B4610" s="164">
        <v>3</v>
      </c>
      <c r="C4610" s="164">
        <v>12</v>
      </c>
      <c r="D4610" s="156">
        <f t="shared" si="493"/>
        <v>45363</v>
      </c>
      <c r="E4610" s="235">
        <f t="shared" si="501"/>
        <v>45363</v>
      </c>
      <c r="F4610" s="480"/>
      <c r="G4610" s="208" t="s">
        <v>1111</v>
      </c>
      <c r="H4610" s="206" t="str" cm="1">
        <f t="array" ref="H4610">IFERROR(INDEX(INVESTOR_LIST[INVESTOR NAME],MATCH(I4610,INVESTOR_LIST[INVESTOR CODE],0),)," ")</f>
        <v>EKUSH WEALTH MANAGEMENT LIMITED</v>
      </c>
      <c r="I4610" s="206" t="s">
        <v>320</v>
      </c>
      <c r="J4610" s="165" t="s">
        <v>14</v>
      </c>
      <c r="L4610" s="418">
        <v>8779940</v>
      </c>
    </row>
    <row r="4611" spans="1:12" ht="11.25" customHeight="1" x14ac:dyDescent="0.2">
      <c r="A4611" s="226">
        <v>2024</v>
      </c>
      <c r="B4611" s="226">
        <v>3</v>
      </c>
      <c r="C4611" s="226">
        <v>12</v>
      </c>
      <c r="D4611" s="232">
        <f t="shared" si="493"/>
        <v>45363</v>
      </c>
      <c r="E4611" s="234">
        <f t="shared" si="501"/>
        <v>45363</v>
      </c>
      <c r="F4611" s="479"/>
      <c r="G4611" s="227" t="s">
        <v>1111</v>
      </c>
      <c r="H4611" s="228" t="str" cm="1">
        <f t="array" ref="H4611">IFERROR(INDEX(INVESTOR_LIST[INVESTOR NAME],MATCH(I4611,INVESTOR_LIST[INVESTOR CODE],0),)," ")</f>
        <v>EKUSH WEALTH MANAGEMENT LIMITED</v>
      </c>
      <c r="I4611" s="228" t="s">
        <v>320</v>
      </c>
      <c r="J4611" s="229" t="s">
        <v>1112</v>
      </c>
      <c r="K4611" s="230">
        <v>129940</v>
      </c>
      <c r="L4611" s="230"/>
    </row>
    <row r="4612" spans="1:12" ht="11.25" customHeight="1" x14ac:dyDescent="0.2">
      <c r="A4612" s="221">
        <v>2024</v>
      </c>
      <c r="B4612" s="221">
        <v>3</v>
      </c>
      <c r="C4612" s="221">
        <v>13</v>
      </c>
      <c r="D4612" s="221">
        <f t="shared" si="493"/>
        <v>45364</v>
      </c>
      <c r="E4612" s="233">
        <f t="shared" si="501"/>
        <v>45364</v>
      </c>
      <c r="F4612" s="478" t="s">
        <v>1589</v>
      </c>
      <c r="G4612" s="222" t="s">
        <v>86</v>
      </c>
      <c r="H4612" s="222" t="str" cm="1">
        <f t="array" ref="H4612">IFERROR(INDEX(INVESTOR_LIST[INVESTOR NAME],MATCH(I4612,INVESTOR_LIST[INVESTOR CODE],0),)," ")</f>
        <v xml:space="preserve"> </v>
      </c>
      <c r="I4612" s="223"/>
      <c r="J4612" s="165" t="s">
        <v>199</v>
      </c>
      <c r="K4612" s="225">
        <v>2161057.2799999998</v>
      </c>
      <c r="L4612" s="225"/>
    </row>
    <row r="4613" spans="1:12" ht="11.25" customHeight="1" x14ac:dyDescent="0.2">
      <c r="A4613" s="164">
        <v>2024</v>
      </c>
      <c r="B4613" s="164">
        <v>3</v>
      </c>
      <c r="C4613" s="164">
        <v>13</v>
      </c>
      <c r="D4613" s="164">
        <f t="shared" si="493"/>
        <v>45364</v>
      </c>
      <c r="E4613" s="235">
        <f t="shared" si="501"/>
        <v>45364</v>
      </c>
      <c r="F4613" s="480"/>
      <c r="G4613" s="208" t="s">
        <v>86</v>
      </c>
      <c r="H4613" s="208"/>
      <c r="J4613" s="165" t="s">
        <v>960</v>
      </c>
      <c r="K4613" s="205">
        <v>3896.92</v>
      </c>
      <c r="L4613" s="205"/>
    </row>
    <row r="4614" spans="1:12" ht="11.25" customHeight="1" x14ac:dyDescent="0.2">
      <c r="A4614" s="164">
        <v>2024</v>
      </c>
      <c r="B4614" s="164">
        <v>3</v>
      </c>
      <c r="C4614" s="164">
        <v>13</v>
      </c>
      <c r="D4614" s="164">
        <f t="shared" si="493"/>
        <v>45364</v>
      </c>
      <c r="E4614" s="235">
        <f t="shared" si="501"/>
        <v>45364</v>
      </c>
      <c r="F4614" s="480"/>
      <c r="G4614" s="208" t="s">
        <v>86</v>
      </c>
      <c r="H4614" s="208"/>
      <c r="J4614" s="165" t="s">
        <v>200</v>
      </c>
      <c r="K4614" s="205">
        <v>541571.94999999995</v>
      </c>
      <c r="L4614" s="205"/>
    </row>
    <row r="4615" spans="1:12" ht="11.25" customHeight="1" x14ac:dyDescent="0.2">
      <c r="A4615" s="226">
        <v>2024</v>
      </c>
      <c r="B4615" s="226">
        <v>3</v>
      </c>
      <c r="C4615" s="226">
        <v>13</v>
      </c>
      <c r="D4615" s="226">
        <f t="shared" si="493"/>
        <v>45364</v>
      </c>
      <c r="E4615" s="234">
        <f t="shared" si="501"/>
        <v>45364</v>
      </c>
      <c r="F4615" s="479"/>
      <c r="G4615" s="227" t="s">
        <v>86</v>
      </c>
      <c r="H4615" s="228" t="str" cm="1">
        <f t="array" ref="H4615">IFERROR(INDEX(INVESTOR_LIST[INVESTOR NAME],MATCH(I4615,INVESTOR_LIST[INVESTOR CODE],0),)," ")</f>
        <v xml:space="preserve"> </v>
      </c>
      <c r="I4615" s="228"/>
      <c r="J4615" s="229" t="s">
        <v>80</v>
      </c>
      <c r="K4615" s="230"/>
      <c r="L4615" s="230">
        <v>2706526.15</v>
      </c>
    </row>
    <row r="4616" spans="1:12" ht="11.25" customHeight="1" x14ac:dyDescent="0.2">
      <c r="A4616" s="221">
        <v>2024</v>
      </c>
      <c r="B4616" s="221">
        <v>3</v>
      </c>
      <c r="C4616" s="221">
        <v>13</v>
      </c>
      <c r="D4616" s="231">
        <f t="shared" si="493"/>
        <v>45364</v>
      </c>
      <c r="E4616" s="233">
        <f t="shared" ref="E4616:E4618" si="502">DATE(A4616,B4616,C4616)</f>
        <v>45364</v>
      </c>
      <c r="F4616" s="478" t="s">
        <v>1605</v>
      </c>
      <c r="G4616" s="222" t="s">
        <v>1111</v>
      </c>
      <c r="H4616" s="223" t="str" cm="1">
        <f t="array" ref="H4616">IFERROR(INDEX(INVESTOR_LIST[INVESTOR NAME],MATCH(I4616,INVESTOR_LIST[INVESTOR CODE],0),)," ")</f>
        <v>EKUSH WEALTH MANAGEMENT LIMITED</v>
      </c>
      <c r="I4616" s="223" t="s">
        <v>320</v>
      </c>
      <c r="J4616" s="224" t="s">
        <v>55</v>
      </c>
      <c r="K4616" s="167">
        <v>1500000</v>
      </c>
      <c r="L4616" s="225"/>
    </row>
    <row r="4617" spans="1:12" ht="11.25" customHeight="1" x14ac:dyDescent="0.2">
      <c r="A4617" s="164">
        <v>2024</v>
      </c>
      <c r="B4617" s="164">
        <v>3</v>
      </c>
      <c r="C4617" s="164">
        <v>13</v>
      </c>
      <c r="D4617" s="156">
        <f t="shared" ref="D4617:D4680" si="503">DATE(A4617,B4617,C4617)</f>
        <v>45364</v>
      </c>
      <c r="E4617" s="235">
        <f t="shared" si="502"/>
        <v>45364</v>
      </c>
      <c r="F4617" s="480"/>
      <c r="G4617" s="208" t="s">
        <v>1111</v>
      </c>
      <c r="H4617" s="206" t="str" cm="1">
        <f t="array" ref="H4617">IFERROR(INDEX(INVESTOR_LIST[INVESTOR NAME],MATCH(I4617,INVESTOR_LIST[INVESTOR CODE],0),)," ")</f>
        <v>EKUSH WEALTH MANAGEMENT LIMITED</v>
      </c>
      <c r="I4617" s="206" t="s">
        <v>320</v>
      </c>
      <c r="J4617" s="165" t="s">
        <v>14</v>
      </c>
      <c r="L4617" s="418">
        <v>1522530</v>
      </c>
    </row>
    <row r="4618" spans="1:12" ht="11.25" customHeight="1" x14ac:dyDescent="0.2">
      <c r="A4618" s="226">
        <v>2024</v>
      </c>
      <c r="B4618" s="226">
        <v>3</v>
      </c>
      <c r="C4618" s="226">
        <v>13</v>
      </c>
      <c r="D4618" s="232">
        <f t="shared" si="503"/>
        <v>45364</v>
      </c>
      <c r="E4618" s="234">
        <f t="shared" si="502"/>
        <v>45364</v>
      </c>
      <c r="F4618" s="479"/>
      <c r="G4618" s="227" t="s">
        <v>1111</v>
      </c>
      <c r="H4618" s="228" t="str" cm="1">
        <f t="array" ref="H4618">IFERROR(INDEX(INVESTOR_LIST[INVESTOR NAME],MATCH(I4618,INVESTOR_LIST[INVESTOR CODE],0),)," ")</f>
        <v>EKUSH WEALTH MANAGEMENT LIMITED</v>
      </c>
      <c r="I4618" s="228" t="s">
        <v>320</v>
      </c>
      <c r="J4618" s="229" t="s">
        <v>1112</v>
      </c>
      <c r="K4618" s="230">
        <v>22530</v>
      </c>
      <c r="L4618" s="230"/>
    </row>
    <row r="4619" spans="1:12" ht="11.25" customHeight="1" x14ac:dyDescent="0.2">
      <c r="A4619" s="221">
        <v>2024</v>
      </c>
      <c r="B4619" s="221">
        <v>3</v>
      </c>
      <c r="C4619" s="221">
        <v>13</v>
      </c>
      <c r="D4619" s="231">
        <f t="shared" si="503"/>
        <v>45364</v>
      </c>
      <c r="E4619" s="233">
        <f t="shared" ref="E4619:E4621" si="504">DATE(A4619,B4619,C4619)</f>
        <v>45364</v>
      </c>
      <c r="F4619" s="478" t="s">
        <v>1705</v>
      </c>
      <c r="G4619" s="222" t="s">
        <v>1111</v>
      </c>
      <c r="H4619" s="223" t="str" cm="1">
        <f t="array" ref="H4619">IFERROR(INDEX(INVESTOR_LIST[INVESTOR NAME],MATCH(I4619,INVESTOR_LIST[INVESTOR CODE],0),)," ")</f>
        <v>SUJAN BARUA</v>
      </c>
      <c r="I4619" s="223" t="s">
        <v>383</v>
      </c>
      <c r="J4619" s="224" t="s">
        <v>14</v>
      </c>
      <c r="K4619" s="167">
        <v>100000</v>
      </c>
      <c r="L4619" s="225"/>
    </row>
    <row r="4620" spans="1:12" ht="11.25" customHeight="1" x14ac:dyDescent="0.2">
      <c r="A4620" s="164">
        <v>2024</v>
      </c>
      <c r="B4620" s="164">
        <v>3</v>
      </c>
      <c r="C4620" s="164">
        <v>13</v>
      </c>
      <c r="D4620" s="156">
        <f t="shared" si="503"/>
        <v>45364</v>
      </c>
      <c r="E4620" s="235">
        <f t="shared" si="504"/>
        <v>45364</v>
      </c>
      <c r="F4620" s="480"/>
      <c r="G4620" s="208" t="s">
        <v>1111</v>
      </c>
      <c r="H4620" s="206" t="str" cm="1">
        <f t="array" ref="H4620">IFERROR(INDEX(INVESTOR_LIST[INVESTOR NAME],MATCH(I4620,INVESTOR_LIST[INVESTOR CODE],0),)," ")</f>
        <v>SUJAN BARUA</v>
      </c>
      <c r="I4620" s="206" t="s">
        <v>383</v>
      </c>
      <c r="J4620" s="165" t="s">
        <v>1112</v>
      </c>
      <c r="K4620" s="167">
        <v>2130</v>
      </c>
      <c r="L4620" s="205"/>
    </row>
    <row r="4621" spans="1:12" ht="11.25" customHeight="1" x14ac:dyDescent="0.2">
      <c r="A4621" s="226">
        <v>2024</v>
      </c>
      <c r="B4621" s="226">
        <v>3</v>
      </c>
      <c r="C4621" s="226">
        <v>13</v>
      </c>
      <c r="D4621" s="232">
        <f t="shared" si="503"/>
        <v>45364</v>
      </c>
      <c r="E4621" s="234">
        <f t="shared" si="504"/>
        <v>45364</v>
      </c>
      <c r="F4621" s="479"/>
      <c r="G4621" s="227" t="s">
        <v>1111</v>
      </c>
      <c r="H4621" s="228" t="str" cm="1">
        <f t="array" ref="H4621">IFERROR(INDEX(INVESTOR_LIST[INVESTOR NAME],MATCH(I4621,INVESTOR_LIST[INVESTOR CODE],0),)," ")</f>
        <v>SUJAN BARUA</v>
      </c>
      <c r="I4621" s="228" t="s">
        <v>383</v>
      </c>
      <c r="J4621" s="229" t="s">
        <v>55</v>
      </c>
      <c r="K4621" s="230"/>
      <c r="L4621" s="230">
        <v>102130</v>
      </c>
    </row>
    <row r="4622" spans="1:12" ht="11.25" customHeight="1" x14ac:dyDescent="0.2">
      <c r="A4622" s="221">
        <v>2024</v>
      </c>
      <c r="B4622" s="221">
        <v>3</v>
      </c>
      <c r="C4622" s="221">
        <v>14</v>
      </c>
      <c r="D4622" s="231">
        <f t="shared" si="503"/>
        <v>45365</v>
      </c>
      <c r="E4622" s="233">
        <f t="shared" si="501"/>
        <v>45365</v>
      </c>
      <c r="F4622" s="478" t="s">
        <v>1590</v>
      </c>
      <c r="G4622" s="222" t="s">
        <v>1111</v>
      </c>
      <c r="H4622" s="223" t="str" cm="1">
        <f t="array" ref="H4622">IFERROR(INDEX(INVESTOR_LIST[INVESTOR NAME],MATCH(I4622,INVESTOR_LIST[INVESTOR CODE],0),)," ")</f>
        <v xml:space="preserve"> </v>
      </c>
      <c r="I4622" s="223"/>
      <c r="J4622" s="224" t="s">
        <v>55</v>
      </c>
      <c r="K4622" s="225">
        <v>497306.83</v>
      </c>
      <c r="L4622" s="225"/>
    </row>
    <row r="4623" spans="1:12" ht="11.25" customHeight="1" x14ac:dyDescent="0.2">
      <c r="A4623" s="226">
        <v>2024</v>
      </c>
      <c r="B4623" s="226">
        <v>3</v>
      </c>
      <c r="C4623" s="226">
        <v>14</v>
      </c>
      <c r="D4623" s="232">
        <f t="shared" si="503"/>
        <v>45365</v>
      </c>
      <c r="E4623" s="234">
        <f t="shared" si="501"/>
        <v>45365</v>
      </c>
      <c r="F4623" s="479"/>
      <c r="G4623" s="227" t="s">
        <v>1111</v>
      </c>
      <c r="H4623" s="228" t="str" cm="1">
        <f t="array" ref="H4623">IFERROR(INDEX(INVESTOR_LIST[INVESTOR NAME],MATCH(I4623,INVESTOR_LIST[INVESTOR CODE],0),)," ")</f>
        <v xml:space="preserve"> </v>
      </c>
      <c r="I4623" s="228"/>
      <c r="J4623" s="229" t="s">
        <v>199</v>
      </c>
      <c r="K4623" s="230"/>
      <c r="L4623" s="230">
        <v>497306.83</v>
      </c>
    </row>
    <row r="4624" spans="1:12" ht="11.25" customHeight="1" x14ac:dyDescent="0.2">
      <c r="A4624" s="231">
        <v>2024</v>
      </c>
      <c r="B4624" s="231">
        <v>3</v>
      </c>
      <c r="C4624" s="231">
        <v>14</v>
      </c>
      <c r="D4624" s="221">
        <f t="shared" si="503"/>
        <v>45365</v>
      </c>
      <c r="E4624" s="271">
        <f>DATE(A4624,B4624,C4624)</f>
        <v>45365</v>
      </c>
      <c r="F4624" s="478" t="s">
        <v>1698</v>
      </c>
      <c r="G4624" s="222" t="s">
        <v>1111</v>
      </c>
      <c r="H4624" s="223" t="str" cm="1">
        <f t="array" ref="H4624">IFERROR(INDEX(INVESTOR_LIST[INVESTOR NAME],MATCH(I4624,INVESTOR_LIST[INVESTOR CODE],0),)," ")</f>
        <v xml:space="preserve"> </v>
      </c>
      <c r="I4624" s="223"/>
      <c r="J4624" s="231" t="s">
        <v>316</v>
      </c>
      <c r="K4624" s="225">
        <v>1992180</v>
      </c>
      <c r="L4624" s="225"/>
    </row>
    <row r="4625" spans="1:12" ht="11.25" customHeight="1" x14ac:dyDescent="0.2">
      <c r="A4625" s="156">
        <v>2024</v>
      </c>
      <c r="B4625" s="156">
        <v>3</v>
      </c>
      <c r="C4625" s="156">
        <v>14</v>
      </c>
      <c r="D4625" s="221">
        <f t="shared" si="503"/>
        <v>45365</v>
      </c>
      <c r="E4625" s="271">
        <f t="shared" ref="E4625:E4637" si="505">DATE(A4625,B4625,C4625)</f>
        <v>45365</v>
      </c>
      <c r="F4625" s="480"/>
      <c r="G4625" s="208" t="s">
        <v>1111</v>
      </c>
      <c r="H4625" s="206" t="str" cm="1">
        <f t="array" ref="H4625">IFERROR(INDEX(INVESTOR_LIST[INVESTOR NAME],MATCH(I4625,INVESTOR_LIST[INVESTOR CODE],0),)," ")</f>
        <v xml:space="preserve"> </v>
      </c>
      <c r="J4625" s="156" t="s">
        <v>478</v>
      </c>
      <c r="K4625" s="205"/>
      <c r="L4625" s="205">
        <v>331878.69</v>
      </c>
    </row>
    <row r="4626" spans="1:12" ht="11.25" customHeight="1" x14ac:dyDescent="0.2">
      <c r="A4626" s="232">
        <v>2024</v>
      </c>
      <c r="B4626" s="232">
        <v>3</v>
      </c>
      <c r="C4626" s="232">
        <v>14</v>
      </c>
      <c r="D4626" s="350">
        <f t="shared" si="503"/>
        <v>45365</v>
      </c>
      <c r="E4626" s="351">
        <f t="shared" si="505"/>
        <v>45365</v>
      </c>
      <c r="F4626" s="479"/>
      <c r="G4626" s="227" t="s">
        <v>1111</v>
      </c>
      <c r="H4626" s="228" t="str" cm="1">
        <f t="array" ref="H4626">IFERROR(INDEX(INVESTOR_LIST[INVESTOR NAME],MATCH(I4626,INVESTOR_LIST[INVESTOR CODE],0),)," ")</f>
        <v xml:space="preserve"> </v>
      </c>
      <c r="I4626" s="228"/>
      <c r="J4626" s="232" t="s">
        <v>55</v>
      </c>
      <c r="K4626" s="230"/>
      <c r="L4626" s="230">
        <v>1660301.31</v>
      </c>
    </row>
    <row r="4627" spans="1:12" ht="11.25" customHeight="1" x14ac:dyDescent="0.2">
      <c r="A4627" s="231">
        <v>2024</v>
      </c>
      <c r="B4627" s="231">
        <v>3</v>
      </c>
      <c r="C4627" s="231">
        <v>14</v>
      </c>
      <c r="D4627" s="221">
        <f t="shared" si="503"/>
        <v>45365</v>
      </c>
      <c r="E4627" s="271">
        <f t="shared" si="505"/>
        <v>45365</v>
      </c>
      <c r="F4627" s="478" t="s">
        <v>1703</v>
      </c>
      <c r="G4627" s="222" t="s">
        <v>86</v>
      </c>
      <c r="H4627" s="223" t="str" cm="1">
        <f t="array" ref="H4627">IFERROR(INDEX(INVESTOR_LIST[INVESTOR NAME],MATCH(I4627,INVESTOR_LIST[INVESTOR CODE],0),)," ")</f>
        <v xml:space="preserve"> </v>
      </c>
      <c r="I4627" s="223"/>
      <c r="J4627" s="377" t="s">
        <v>316</v>
      </c>
      <c r="K4627" s="225">
        <v>1701248.25</v>
      </c>
      <c r="L4627" s="225"/>
    </row>
    <row r="4628" spans="1:12" ht="11.25" customHeight="1" x14ac:dyDescent="0.2">
      <c r="A4628" s="156">
        <v>2024</v>
      </c>
      <c r="B4628" s="156">
        <v>3</v>
      </c>
      <c r="C4628" s="156">
        <v>14</v>
      </c>
      <c r="D4628" s="221">
        <f t="shared" si="503"/>
        <v>45365</v>
      </c>
      <c r="E4628" s="271">
        <f t="shared" ref="E4628" si="506">DATE(A4628,B4628,C4628)</f>
        <v>45365</v>
      </c>
      <c r="F4628" s="480"/>
      <c r="G4628" s="208" t="s">
        <v>86</v>
      </c>
      <c r="H4628" s="206" t="str" cm="1">
        <f t="array" ref="H4628">IFERROR(INDEX(INVESTOR_LIST[INVESTOR NAME],MATCH(I4628,INVESTOR_LIST[INVESTOR CODE],0),)," ")</f>
        <v xml:space="preserve"> </v>
      </c>
      <c r="J4628" s="156" t="s">
        <v>478</v>
      </c>
      <c r="K4628" s="205"/>
      <c r="L4628" s="205">
        <v>224375.57</v>
      </c>
    </row>
    <row r="4629" spans="1:12" ht="11.25" customHeight="1" x14ac:dyDescent="0.2">
      <c r="A4629" s="156">
        <v>2024</v>
      </c>
      <c r="B4629" s="156">
        <v>3</v>
      </c>
      <c r="C4629" s="156">
        <v>14</v>
      </c>
      <c r="D4629" s="221">
        <f t="shared" si="503"/>
        <v>45365</v>
      </c>
      <c r="E4629" s="271">
        <f t="shared" si="505"/>
        <v>45365</v>
      </c>
      <c r="F4629" s="480"/>
      <c r="G4629" s="208" t="s">
        <v>86</v>
      </c>
      <c r="H4629" s="206" t="str" cm="1">
        <f t="array" ref="H4629">IFERROR(INDEX(INVESTOR_LIST[INVESTOR NAME],MATCH(I4629,INVESTOR_LIST[INVESTOR CODE],0),)," ")</f>
        <v xml:space="preserve"> </v>
      </c>
      <c r="J4629" s="378" t="s">
        <v>14</v>
      </c>
      <c r="K4629" s="205"/>
      <c r="L4629" s="205">
        <v>1500850</v>
      </c>
    </row>
    <row r="4630" spans="1:12" ht="11.25" customHeight="1" x14ac:dyDescent="0.2">
      <c r="A4630" s="232">
        <v>2024</v>
      </c>
      <c r="B4630" s="232">
        <v>3</v>
      </c>
      <c r="C4630" s="232">
        <v>14</v>
      </c>
      <c r="D4630" s="221">
        <f t="shared" si="503"/>
        <v>45365</v>
      </c>
      <c r="E4630" s="271">
        <f t="shared" si="505"/>
        <v>45365</v>
      </c>
      <c r="F4630" s="479"/>
      <c r="G4630" s="227" t="s">
        <v>86</v>
      </c>
      <c r="H4630" s="228" t="str" cm="1">
        <f t="array" ref="H4630">IFERROR(INDEX(INVESTOR_LIST[INVESTOR NAME],MATCH(I4630,INVESTOR_LIST[INVESTOR CODE],0),)," ")</f>
        <v xml:space="preserve"> </v>
      </c>
      <c r="I4630" s="228"/>
      <c r="J4630" s="379" t="s">
        <v>56</v>
      </c>
      <c r="K4630" s="230">
        <v>23977.32</v>
      </c>
      <c r="L4630" s="230"/>
    </row>
    <row r="4631" spans="1:12" ht="11.25" customHeight="1" x14ac:dyDescent="0.2">
      <c r="A4631" s="231">
        <v>2024</v>
      </c>
      <c r="B4631" s="231">
        <v>3</v>
      </c>
      <c r="C4631" s="231">
        <v>14</v>
      </c>
      <c r="D4631" s="221">
        <f t="shared" si="503"/>
        <v>45365</v>
      </c>
      <c r="E4631" s="271">
        <f t="shared" ref="E4631:E4634" si="507">DATE(A4631,B4631,C4631)</f>
        <v>45365</v>
      </c>
      <c r="F4631" s="478" t="s">
        <v>1703</v>
      </c>
      <c r="G4631" s="222" t="s">
        <v>86</v>
      </c>
      <c r="H4631" s="223" t="str" cm="1">
        <f t="array" ref="H4631">IFERROR(INDEX(INVESTOR_LIST[INVESTOR NAME],MATCH(I4631,INVESTOR_LIST[INVESTOR CODE],0),)," ")</f>
        <v xml:space="preserve"> </v>
      </c>
      <c r="I4631" s="223"/>
      <c r="J4631" s="377" t="s">
        <v>316</v>
      </c>
      <c r="K4631" s="225">
        <v>2632.5</v>
      </c>
      <c r="L4631" s="225"/>
    </row>
    <row r="4632" spans="1:12" ht="11.25" customHeight="1" x14ac:dyDescent="0.2">
      <c r="A4632" s="156">
        <v>2024</v>
      </c>
      <c r="B4632" s="156">
        <v>3</v>
      </c>
      <c r="C4632" s="156">
        <v>14</v>
      </c>
      <c r="D4632" s="221">
        <f t="shared" si="503"/>
        <v>45365</v>
      </c>
      <c r="E4632" s="271">
        <f t="shared" si="507"/>
        <v>45365</v>
      </c>
      <c r="F4632" s="480"/>
      <c r="G4632" s="208" t="s">
        <v>86</v>
      </c>
      <c r="H4632" s="206" t="str" cm="1">
        <f t="array" ref="H4632">IFERROR(INDEX(INVESTOR_LIST[INVESTOR NAME],MATCH(I4632,INVESTOR_LIST[INVESTOR CODE],0),)," ")</f>
        <v xml:space="preserve"> </v>
      </c>
      <c r="J4632" s="156" t="s">
        <v>478</v>
      </c>
      <c r="K4632" s="205"/>
      <c r="L4632" s="205">
        <v>263.25</v>
      </c>
    </row>
    <row r="4633" spans="1:12" ht="11.25" customHeight="1" x14ac:dyDescent="0.2">
      <c r="A4633" s="156">
        <v>2024</v>
      </c>
      <c r="B4633" s="156">
        <v>3</v>
      </c>
      <c r="C4633" s="156">
        <v>14</v>
      </c>
      <c r="D4633" s="221">
        <f t="shared" si="503"/>
        <v>45365</v>
      </c>
      <c r="E4633" s="271">
        <f t="shared" si="507"/>
        <v>45365</v>
      </c>
      <c r="F4633" s="480"/>
      <c r="G4633" s="208" t="s">
        <v>86</v>
      </c>
      <c r="H4633" s="206" t="str" cm="1">
        <f t="array" ref="H4633">IFERROR(INDEX(INVESTOR_LIST[INVESTOR NAME],MATCH(I4633,INVESTOR_LIST[INVESTOR CODE],0),)," ")</f>
        <v xml:space="preserve"> </v>
      </c>
      <c r="J4633" s="378" t="s">
        <v>14</v>
      </c>
      <c r="K4633" s="205"/>
      <c r="L4633" s="418">
        <v>2410</v>
      </c>
    </row>
    <row r="4634" spans="1:12" ht="11.25" customHeight="1" x14ac:dyDescent="0.2">
      <c r="A4634" s="232">
        <v>2024</v>
      </c>
      <c r="B4634" s="232">
        <v>3</v>
      </c>
      <c r="C4634" s="232">
        <v>14</v>
      </c>
      <c r="D4634" s="221">
        <f t="shared" si="503"/>
        <v>45365</v>
      </c>
      <c r="E4634" s="271">
        <f t="shared" si="507"/>
        <v>45365</v>
      </c>
      <c r="F4634" s="479"/>
      <c r="G4634" s="227" t="s">
        <v>86</v>
      </c>
      <c r="H4634" s="228" t="str" cm="1">
        <f t="array" ref="H4634">IFERROR(INDEX(INVESTOR_LIST[INVESTOR NAME],MATCH(I4634,INVESTOR_LIST[INVESTOR CODE],0),)," ")</f>
        <v xml:space="preserve"> </v>
      </c>
      <c r="I4634" s="228"/>
      <c r="J4634" s="379" t="s">
        <v>56</v>
      </c>
      <c r="K4634" s="230">
        <v>40.75</v>
      </c>
      <c r="L4634" s="230"/>
    </row>
    <row r="4635" spans="1:12" ht="11.25" customHeight="1" x14ac:dyDescent="0.2">
      <c r="A4635" s="221">
        <v>2024</v>
      </c>
      <c r="B4635" s="221">
        <v>3</v>
      </c>
      <c r="C4635" s="231">
        <v>14</v>
      </c>
      <c r="D4635" s="231">
        <f t="shared" si="503"/>
        <v>45365</v>
      </c>
      <c r="E4635" s="233">
        <f t="shared" si="505"/>
        <v>45365</v>
      </c>
      <c r="F4635" s="478" t="s">
        <v>1309</v>
      </c>
      <c r="G4635" s="222" t="s">
        <v>1111</v>
      </c>
      <c r="H4635" s="223" t="str" cm="1">
        <f t="array" ref="H4635">IFERROR(INDEX(INVESTOR_LIST[INVESTOR NAME],MATCH(I4635,INVESTOR_LIST[INVESTOR CODE],0),)," ")</f>
        <v>MOHAMMAD NASIR HOSSAIN</v>
      </c>
      <c r="I4635" s="223" t="s">
        <v>549</v>
      </c>
      <c r="J4635" s="224" t="s">
        <v>14</v>
      </c>
      <c r="K4635" s="167">
        <v>10</v>
      </c>
      <c r="L4635" s="225"/>
    </row>
    <row r="4636" spans="1:12" ht="11.25" customHeight="1" x14ac:dyDescent="0.2">
      <c r="A4636" s="164">
        <v>2024</v>
      </c>
      <c r="B4636" s="164">
        <v>3</v>
      </c>
      <c r="C4636" s="156">
        <v>14</v>
      </c>
      <c r="D4636" s="156">
        <f t="shared" si="503"/>
        <v>45365</v>
      </c>
      <c r="E4636" s="235">
        <f t="shared" si="505"/>
        <v>45365</v>
      </c>
      <c r="F4636" s="480"/>
      <c r="G4636" s="208" t="s">
        <v>1111</v>
      </c>
      <c r="H4636" s="206" t="str" cm="1">
        <f t="array" ref="H4636">IFERROR(INDEX(INVESTOR_LIST[INVESTOR NAME],MATCH(I4636,INVESTOR_LIST[INVESTOR CODE],0),)," ")</f>
        <v>MOHAMMAD NASIR HOSSAIN</v>
      </c>
      <c r="I4636" s="206" t="s">
        <v>549</v>
      </c>
      <c r="J4636" s="165" t="s">
        <v>1112</v>
      </c>
      <c r="L4636" s="205">
        <v>3.72</v>
      </c>
    </row>
    <row r="4637" spans="1:12" ht="11.25" customHeight="1" x14ac:dyDescent="0.2">
      <c r="A4637" s="226">
        <v>2024</v>
      </c>
      <c r="B4637" s="226">
        <v>3</v>
      </c>
      <c r="C4637" s="232">
        <v>14</v>
      </c>
      <c r="D4637" s="232">
        <f t="shared" si="503"/>
        <v>45365</v>
      </c>
      <c r="E4637" s="234">
        <f t="shared" si="505"/>
        <v>45365</v>
      </c>
      <c r="F4637" s="479"/>
      <c r="G4637" s="227" t="s">
        <v>1111</v>
      </c>
      <c r="H4637" s="228" t="str" cm="1">
        <f t="array" ref="H4637">IFERROR(INDEX(INVESTOR_LIST[INVESTOR NAME],MATCH(I4637,INVESTOR_LIST[INVESTOR CODE],0),)," ")</f>
        <v>MOHAMMAD NASIR HOSSAIN</v>
      </c>
      <c r="I4637" s="228" t="s">
        <v>549</v>
      </c>
      <c r="J4637" s="229" t="s">
        <v>55</v>
      </c>
      <c r="K4637" s="230"/>
      <c r="L4637" s="230">
        <v>6.2800000000000011</v>
      </c>
    </row>
    <row r="4638" spans="1:12" ht="11.25" customHeight="1" x14ac:dyDescent="0.2">
      <c r="A4638" s="221">
        <v>2024</v>
      </c>
      <c r="B4638" s="221">
        <v>3</v>
      </c>
      <c r="C4638" s="231">
        <v>14</v>
      </c>
      <c r="D4638" s="231">
        <f t="shared" si="503"/>
        <v>45365</v>
      </c>
      <c r="E4638" s="233">
        <f t="shared" ref="E4638:E4640" si="508">DATE(A4638,B4638,C4638)</f>
        <v>45365</v>
      </c>
      <c r="F4638" s="478" t="s">
        <v>1115</v>
      </c>
      <c r="G4638" s="222" t="s">
        <v>1111</v>
      </c>
      <c r="H4638" s="223" t="str" cm="1">
        <f t="array" ref="H4638">IFERROR(INDEX(INVESTOR_LIST[INVESTOR NAME],MATCH(I4638,INVESTOR_LIST[INVESTOR CODE],0),)," ")</f>
        <v>MR. NAYAN KUMAR CHOWDHURY</v>
      </c>
      <c r="I4638" s="223" t="s">
        <v>651</v>
      </c>
      <c r="J4638" s="224" t="s">
        <v>14</v>
      </c>
      <c r="K4638" s="167">
        <v>130</v>
      </c>
      <c r="L4638" s="225"/>
    </row>
    <row r="4639" spans="1:12" ht="11.25" customHeight="1" x14ac:dyDescent="0.2">
      <c r="A4639" s="164">
        <v>2024</v>
      </c>
      <c r="B4639" s="164">
        <v>3</v>
      </c>
      <c r="C4639" s="156">
        <v>14</v>
      </c>
      <c r="D4639" s="156">
        <f t="shared" si="503"/>
        <v>45365</v>
      </c>
      <c r="E4639" s="235">
        <f t="shared" si="508"/>
        <v>45365</v>
      </c>
      <c r="F4639" s="480"/>
      <c r="G4639" s="208" t="s">
        <v>1111</v>
      </c>
      <c r="H4639" s="206" t="str" cm="1">
        <f t="array" ref="H4639">IFERROR(INDEX(INVESTOR_LIST[INVESTOR NAME],MATCH(I4639,INVESTOR_LIST[INVESTOR CODE],0),)," ")</f>
        <v>MR. NAYAN KUMAR CHOWDHURY</v>
      </c>
      <c r="I4639" s="206" t="s">
        <v>651</v>
      </c>
      <c r="J4639" s="165" t="s">
        <v>1112</v>
      </c>
      <c r="L4639" s="205">
        <v>5</v>
      </c>
    </row>
    <row r="4640" spans="1:12" ht="11.25" customHeight="1" x14ac:dyDescent="0.2">
      <c r="A4640" s="226">
        <v>2024</v>
      </c>
      <c r="B4640" s="226">
        <v>3</v>
      </c>
      <c r="C4640" s="232">
        <v>14</v>
      </c>
      <c r="D4640" s="232">
        <f t="shared" si="503"/>
        <v>45365</v>
      </c>
      <c r="E4640" s="234">
        <f t="shared" si="508"/>
        <v>45365</v>
      </c>
      <c r="F4640" s="479"/>
      <c r="G4640" s="227" t="s">
        <v>1111</v>
      </c>
      <c r="H4640" s="228" t="str" cm="1">
        <f t="array" ref="H4640">IFERROR(INDEX(INVESTOR_LIST[INVESTOR NAME],MATCH(I4640,INVESTOR_LIST[INVESTOR CODE],0),)," ")</f>
        <v>MR. NAYAN KUMAR CHOWDHURY</v>
      </c>
      <c r="I4640" s="228" t="s">
        <v>651</v>
      </c>
      <c r="J4640" s="229" t="s">
        <v>55</v>
      </c>
      <c r="K4640" s="230"/>
      <c r="L4640" s="230">
        <v>125</v>
      </c>
    </row>
    <row r="4641" spans="1:12" ht="11.25" customHeight="1" x14ac:dyDescent="0.2">
      <c r="A4641" s="221">
        <v>2024</v>
      </c>
      <c r="B4641" s="221">
        <v>3</v>
      </c>
      <c r="C4641" s="231">
        <v>14</v>
      </c>
      <c r="D4641" s="231">
        <f t="shared" si="503"/>
        <v>45365</v>
      </c>
      <c r="E4641" s="233">
        <f t="shared" ref="E4641:E4643" si="509">DATE(A4641,B4641,C4641)</f>
        <v>45365</v>
      </c>
      <c r="F4641" s="478" t="s">
        <v>1115</v>
      </c>
      <c r="G4641" s="222" t="s">
        <v>1111</v>
      </c>
      <c r="H4641" s="223" t="str" cm="1">
        <f t="array" ref="H4641">IFERROR(INDEX(INVESTOR_LIST[INVESTOR NAME],MATCH(I4641,INVESTOR_LIST[INVESTOR CODE],0),)," ")</f>
        <v>NAYEEMA TASNEEM</v>
      </c>
      <c r="I4641" s="223" t="s">
        <v>922</v>
      </c>
      <c r="J4641" s="224" t="s">
        <v>14</v>
      </c>
      <c r="K4641" s="167">
        <v>30</v>
      </c>
      <c r="L4641" s="225"/>
    </row>
    <row r="4642" spans="1:12" ht="11.25" customHeight="1" x14ac:dyDescent="0.2">
      <c r="A4642" s="164">
        <v>2024</v>
      </c>
      <c r="B4642" s="164">
        <v>3</v>
      </c>
      <c r="C4642" s="156">
        <v>14</v>
      </c>
      <c r="D4642" s="156">
        <f t="shared" si="503"/>
        <v>45365</v>
      </c>
      <c r="E4642" s="235">
        <f t="shared" si="509"/>
        <v>45365</v>
      </c>
      <c r="F4642" s="480"/>
      <c r="G4642" s="208" t="s">
        <v>1111</v>
      </c>
      <c r="H4642" s="206" t="str" cm="1">
        <f t="array" ref="H4642">IFERROR(INDEX(INVESTOR_LIST[INVESTOR NAME],MATCH(I4642,INVESTOR_LIST[INVESTOR CODE],0),)," ")</f>
        <v>NAYEEMA TASNEEM</v>
      </c>
      <c r="I4642" s="206" t="s">
        <v>922</v>
      </c>
      <c r="J4642" s="165" t="s">
        <v>1112</v>
      </c>
      <c r="L4642" s="205">
        <v>0.62</v>
      </c>
    </row>
    <row r="4643" spans="1:12" ht="11.25" customHeight="1" x14ac:dyDescent="0.2">
      <c r="A4643" s="226">
        <v>2024</v>
      </c>
      <c r="B4643" s="226">
        <v>3</v>
      </c>
      <c r="C4643" s="232">
        <v>14</v>
      </c>
      <c r="D4643" s="232">
        <f t="shared" si="503"/>
        <v>45365</v>
      </c>
      <c r="E4643" s="234">
        <f t="shared" si="509"/>
        <v>45365</v>
      </c>
      <c r="F4643" s="479"/>
      <c r="G4643" s="227" t="s">
        <v>1111</v>
      </c>
      <c r="H4643" s="228" t="str" cm="1">
        <f t="array" ref="H4643">IFERROR(INDEX(INVESTOR_LIST[INVESTOR NAME],MATCH(I4643,INVESTOR_LIST[INVESTOR CODE],0),)," ")</f>
        <v>NAYEEMA TASNEEM</v>
      </c>
      <c r="I4643" s="228" t="s">
        <v>922</v>
      </c>
      <c r="J4643" s="229" t="s">
        <v>55</v>
      </c>
      <c r="K4643" s="230"/>
      <c r="L4643" s="230">
        <v>29.38</v>
      </c>
    </row>
    <row r="4644" spans="1:12" ht="11.25" customHeight="1" x14ac:dyDescent="0.2">
      <c r="A4644" s="221">
        <v>2024</v>
      </c>
      <c r="B4644" s="221">
        <v>3</v>
      </c>
      <c r="C4644" s="231">
        <v>14</v>
      </c>
      <c r="D4644" s="231">
        <f t="shared" si="503"/>
        <v>45365</v>
      </c>
      <c r="E4644" s="233">
        <f>DATE(A4644,B4644,C4644)</f>
        <v>45365</v>
      </c>
      <c r="F4644" s="478" t="s">
        <v>1115</v>
      </c>
      <c r="G4644" s="222" t="s">
        <v>1111</v>
      </c>
      <c r="H4644" s="223" t="str" cm="1">
        <f t="array" ref="H4644">IFERROR(INDEX(INVESTOR_LIST[INVESTOR NAME],MATCH(I4644,INVESTOR_LIST[INVESTOR CODE],0),)," ")</f>
        <v>THE GSP FINANCE COMPANY (BANGLADESH) LIMITED EMPLOYEES PROVIDENT FUND</v>
      </c>
      <c r="I4644" s="223" t="s">
        <v>822</v>
      </c>
      <c r="J4644" s="224" t="s">
        <v>14</v>
      </c>
      <c r="K4644" s="167">
        <v>3810</v>
      </c>
      <c r="L4644" s="225"/>
    </row>
    <row r="4645" spans="1:12" ht="11.25" customHeight="1" x14ac:dyDescent="0.2">
      <c r="A4645" s="164">
        <v>2024</v>
      </c>
      <c r="B4645" s="164">
        <v>3</v>
      </c>
      <c r="C4645" s="156">
        <v>14</v>
      </c>
      <c r="D4645" s="156">
        <f t="shared" si="503"/>
        <v>45365</v>
      </c>
      <c r="E4645" s="235">
        <f>DATE(A4645,B4645,C4645)</f>
        <v>45365</v>
      </c>
      <c r="F4645" s="480"/>
      <c r="G4645" s="208" t="s">
        <v>1111</v>
      </c>
      <c r="H4645" s="206" t="str" cm="1">
        <f t="array" ref="H4645">IFERROR(INDEX(INVESTOR_LIST[INVESTOR NAME],MATCH(I4645,INVESTOR_LIST[INVESTOR CODE],0),)," ")</f>
        <v>THE GSP FINANCE COMPANY (BANGLADESH) LIMITED EMPLOYEES PROVIDENT FUND</v>
      </c>
      <c r="I4645" s="206" t="s">
        <v>822</v>
      </c>
      <c r="J4645" s="165" t="s">
        <v>1112</v>
      </c>
      <c r="L4645" s="205">
        <v>60</v>
      </c>
    </row>
    <row r="4646" spans="1:12" ht="11.25" customHeight="1" x14ac:dyDescent="0.2">
      <c r="A4646" s="226">
        <v>2024</v>
      </c>
      <c r="B4646" s="226">
        <v>3</v>
      </c>
      <c r="C4646" s="232">
        <v>14</v>
      </c>
      <c r="D4646" s="232">
        <f t="shared" si="503"/>
        <v>45365</v>
      </c>
      <c r="E4646" s="234">
        <f t="shared" ref="E4646:E4658" si="510">DATE(A4646,B4646,C4646)</f>
        <v>45365</v>
      </c>
      <c r="F4646" s="479"/>
      <c r="G4646" s="227" t="s">
        <v>1111</v>
      </c>
      <c r="H4646" s="228" t="str" cm="1">
        <f t="array" ref="H4646">IFERROR(INDEX(INVESTOR_LIST[INVESTOR NAME],MATCH(I4646,INVESTOR_LIST[INVESTOR CODE],0),)," ")</f>
        <v>THE GSP FINANCE COMPANY (BANGLADESH) LIMITED EMPLOYEES PROVIDENT FUND</v>
      </c>
      <c r="I4646" s="228" t="s">
        <v>822</v>
      </c>
      <c r="J4646" s="229" t="s">
        <v>55</v>
      </c>
      <c r="K4646" s="230"/>
      <c r="L4646" s="230">
        <v>3750</v>
      </c>
    </row>
    <row r="4647" spans="1:12" ht="11.25" customHeight="1" x14ac:dyDescent="0.2">
      <c r="A4647" s="358">
        <v>2024</v>
      </c>
      <c r="B4647" s="358">
        <v>3</v>
      </c>
      <c r="C4647" s="358">
        <v>14</v>
      </c>
      <c r="D4647" s="312">
        <f t="shared" si="503"/>
        <v>45365</v>
      </c>
      <c r="E4647" s="313">
        <f>DATE(A4647,B4647,C4647)</f>
        <v>45365</v>
      </c>
      <c r="F4647" s="482" t="s">
        <v>1627</v>
      </c>
      <c r="G4647" s="314" t="s">
        <v>86</v>
      </c>
      <c r="H4647" s="324" t="str" cm="1">
        <f t="array" ref="H4647">IFERROR(INDEX(INVESTOR_LIST[INVESTOR NAME],MATCH(I4647,INVESTOR_LIST[INVESTOR CODE],0),)," ")</f>
        <v xml:space="preserve"> </v>
      </c>
      <c r="I4647" s="324"/>
      <c r="J4647" s="364" t="s">
        <v>1613</v>
      </c>
      <c r="K4647" s="365">
        <v>364711.60000000149</v>
      </c>
      <c r="L4647" s="365"/>
    </row>
    <row r="4648" spans="1:12" ht="11.25" customHeight="1" x14ac:dyDescent="0.2">
      <c r="A4648" s="320">
        <v>2024</v>
      </c>
      <c r="B4648" s="320">
        <v>3</v>
      </c>
      <c r="C4648" s="320">
        <v>14</v>
      </c>
      <c r="D4648" s="323">
        <f t="shared" si="503"/>
        <v>45365</v>
      </c>
      <c r="E4648" s="321">
        <f t="shared" si="510"/>
        <v>45365</v>
      </c>
      <c r="F4648" s="483"/>
      <c r="G4648" s="322" t="s">
        <v>86</v>
      </c>
      <c r="H4648" s="325" t="str" cm="1">
        <f t="array" ref="H4648">IFERROR(INDEX(INVESTOR_LIST[INVESTOR NAME],MATCH(I4648,INVESTOR_LIST[INVESTOR CODE],0),)," ")</f>
        <v xml:space="preserve"> </v>
      </c>
      <c r="I4648" s="325"/>
      <c r="J4648" s="366" t="s">
        <v>1621</v>
      </c>
      <c r="K4648" s="367"/>
      <c r="L4648" s="367">
        <v>364711.60000000149</v>
      </c>
    </row>
    <row r="4649" spans="1:12" ht="11.25" customHeight="1" x14ac:dyDescent="0.2">
      <c r="A4649" s="236">
        <v>2024</v>
      </c>
      <c r="B4649" s="236">
        <v>3</v>
      </c>
      <c r="C4649" s="236">
        <v>14</v>
      </c>
      <c r="D4649" s="237">
        <f t="shared" si="503"/>
        <v>45365</v>
      </c>
      <c r="E4649" s="238">
        <f t="shared" si="510"/>
        <v>45365</v>
      </c>
      <c r="F4649" s="476" t="s">
        <v>1118</v>
      </c>
      <c r="G4649" s="239" t="s">
        <v>86</v>
      </c>
      <c r="H4649" s="239" t="str" cm="1">
        <f t="array" ref="H4649">IFERROR(INDEX(INVESTOR_LIST[INVESTOR NAME],MATCH(I4649,INVESTOR_LIST[INVESTOR CODE],0),)," ")</f>
        <v xml:space="preserve"> </v>
      </c>
      <c r="I4649" s="240"/>
      <c r="J4649" s="241" t="s">
        <v>98</v>
      </c>
      <c r="K4649" s="242">
        <v>1486222.8999999985</v>
      </c>
      <c r="L4649" s="242"/>
    </row>
    <row r="4650" spans="1:12" ht="11.25" customHeight="1" x14ac:dyDescent="0.2">
      <c r="A4650" s="243">
        <v>2024</v>
      </c>
      <c r="B4650" s="243">
        <v>3</v>
      </c>
      <c r="C4650" s="243">
        <v>14</v>
      </c>
      <c r="D4650" s="248">
        <f t="shared" si="503"/>
        <v>45365</v>
      </c>
      <c r="E4650" s="249">
        <f t="shared" si="510"/>
        <v>45365</v>
      </c>
      <c r="F4650" s="477"/>
      <c r="G4650" s="244" t="s">
        <v>86</v>
      </c>
      <c r="H4650" s="244" t="str" cm="1">
        <f t="array" ref="H4650">IFERROR(INDEX(INVESTOR_LIST[INVESTOR NAME],MATCH(I4650,INVESTOR_LIST[INVESTOR CODE],0),)," ")</f>
        <v xml:space="preserve"> </v>
      </c>
      <c r="I4650" s="245"/>
      <c r="J4650" s="246" t="s">
        <v>82</v>
      </c>
      <c r="K4650" s="247"/>
      <c r="L4650" s="247">
        <v>1486222.8999999985</v>
      </c>
    </row>
    <row r="4651" spans="1:12" ht="11.25" customHeight="1" x14ac:dyDescent="0.2">
      <c r="A4651" s="236">
        <v>2024</v>
      </c>
      <c r="B4651" s="236">
        <v>3</v>
      </c>
      <c r="C4651" s="236">
        <v>14</v>
      </c>
      <c r="D4651" s="237">
        <f t="shared" si="503"/>
        <v>45365</v>
      </c>
      <c r="E4651" s="238">
        <f t="shared" si="510"/>
        <v>45365</v>
      </c>
      <c r="F4651" s="476" t="s">
        <v>1120</v>
      </c>
      <c r="G4651" s="239" t="s">
        <v>86</v>
      </c>
      <c r="H4651" s="239" t="str" cm="1">
        <f t="array" ref="H4651">IFERROR(INDEX(INVESTOR_LIST[INVESTOR NAME],MATCH(I4651,INVESTOR_LIST[INVESTOR CODE],0),)," ")</f>
        <v xml:space="preserve"> </v>
      </c>
      <c r="I4651" s="240"/>
      <c r="J4651" s="241" t="s">
        <v>87</v>
      </c>
      <c r="K4651" s="242">
        <v>2747.2527472527472</v>
      </c>
      <c r="L4651" s="242"/>
    </row>
    <row r="4652" spans="1:12" ht="11.25" customHeight="1" x14ac:dyDescent="0.2">
      <c r="A4652" s="243">
        <v>2024</v>
      </c>
      <c r="B4652" s="243">
        <v>3</v>
      </c>
      <c r="C4652" s="243">
        <v>14</v>
      </c>
      <c r="D4652" s="248">
        <f t="shared" si="503"/>
        <v>45365</v>
      </c>
      <c r="E4652" s="249">
        <f t="shared" si="510"/>
        <v>45365</v>
      </c>
      <c r="F4652" s="477"/>
      <c r="G4652" s="244" t="s">
        <v>86</v>
      </c>
      <c r="H4652" s="244" t="str" cm="1">
        <f t="array" ref="H4652">IFERROR(INDEX(INVESTOR_LIST[INVESTOR NAME],MATCH(I4652,INVESTOR_LIST[INVESTOR CODE],0),)," ")</f>
        <v xml:space="preserve"> </v>
      </c>
      <c r="I4652" s="245"/>
      <c r="J4652" s="246" t="s">
        <v>64</v>
      </c>
      <c r="K4652" s="247"/>
      <c r="L4652" s="247">
        <v>2747.2527472527472</v>
      </c>
    </row>
    <row r="4653" spans="1:12" ht="11.25" customHeight="1" x14ac:dyDescent="0.2">
      <c r="A4653" s="236">
        <v>2024</v>
      </c>
      <c r="B4653" s="236">
        <v>3</v>
      </c>
      <c r="C4653" s="236">
        <v>14</v>
      </c>
      <c r="D4653" s="237">
        <f t="shared" si="503"/>
        <v>45365</v>
      </c>
      <c r="E4653" s="238">
        <f t="shared" si="510"/>
        <v>45365</v>
      </c>
      <c r="F4653" s="476" t="s">
        <v>1121</v>
      </c>
      <c r="G4653" s="239" t="s">
        <v>86</v>
      </c>
      <c r="H4653" s="239" t="str" cm="1">
        <f t="array" ref="H4653">IFERROR(INDEX(INVESTOR_LIST[INVESTOR NAME],MATCH(I4653,INVESTOR_LIST[INVESTOR CODE],0),)," ")</f>
        <v xml:space="preserve"> </v>
      </c>
      <c r="I4653" s="240"/>
      <c r="J4653" s="241" t="s">
        <v>89</v>
      </c>
      <c r="K4653" s="242">
        <v>66541.775609833989</v>
      </c>
      <c r="L4653" s="242"/>
    </row>
    <row r="4654" spans="1:12" ht="11.25" customHeight="1" x14ac:dyDescent="0.2">
      <c r="A4654" s="243">
        <v>2024</v>
      </c>
      <c r="B4654" s="243">
        <v>3</v>
      </c>
      <c r="C4654" s="243">
        <v>14</v>
      </c>
      <c r="D4654" s="248">
        <f t="shared" si="503"/>
        <v>45365</v>
      </c>
      <c r="E4654" s="249">
        <f t="shared" si="510"/>
        <v>45365</v>
      </c>
      <c r="F4654" s="477"/>
      <c r="G4654" s="244" t="s">
        <v>86</v>
      </c>
      <c r="H4654" s="244" t="str" cm="1">
        <f t="array" ref="H4654">IFERROR(INDEX(INVESTOR_LIST[INVESTOR NAME],MATCH(I4654,INVESTOR_LIST[INVESTOR CODE],0),)," ")</f>
        <v xml:space="preserve"> </v>
      </c>
      <c r="I4654" s="245"/>
      <c r="J4654" s="246" t="s">
        <v>50</v>
      </c>
      <c r="K4654" s="247"/>
      <c r="L4654" s="247">
        <v>66541.775609833989</v>
      </c>
    </row>
    <row r="4655" spans="1:12" ht="11.25" customHeight="1" x14ac:dyDescent="0.2">
      <c r="A4655" s="236">
        <v>2024</v>
      </c>
      <c r="B4655" s="236">
        <v>3</v>
      </c>
      <c r="C4655" s="236">
        <v>14</v>
      </c>
      <c r="D4655" s="237">
        <f t="shared" si="503"/>
        <v>45365</v>
      </c>
      <c r="E4655" s="238">
        <f t="shared" si="510"/>
        <v>45365</v>
      </c>
      <c r="F4655" s="476" t="s">
        <v>1122</v>
      </c>
      <c r="G4655" s="239" t="s">
        <v>86</v>
      </c>
      <c r="H4655" s="239" t="str" cm="1">
        <f t="array" ref="H4655">IFERROR(INDEX(INVESTOR_LIST[INVESTOR NAME],MATCH(I4655,INVESTOR_LIST[INVESTOR CODE],0),)," ")</f>
        <v xml:space="preserve"> </v>
      </c>
      <c r="I4655" s="240"/>
      <c r="J4655" s="241" t="s">
        <v>91</v>
      </c>
      <c r="K4655" s="242">
        <v>3086.704165107084</v>
      </c>
      <c r="L4655" s="242"/>
    </row>
    <row r="4656" spans="1:12" ht="11.25" customHeight="1" x14ac:dyDescent="0.2">
      <c r="A4656" s="243">
        <v>2024</v>
      </c>
      <c r="B4656" s="243">
        <v>3</v>
      </c>
      <c r="C4656" s="243">
        <v>14</v>
      </c>
      <c r="D4656" s="248">
        <f t="shared" si="503"/>
        <v>45365</v>
      </c>
      <c r="E4656" s="249">
        <f t="shared" si="510"/>
        <v>45365</v>
      </c>
      <c r="F4656" s="477"/>
      <c r="G4656" s="244" t="s">
        <v>86</v>
      </c>
      <c r="H4656" s="244" t="str" cm="1">
        <f t="array" ref="H4656">IFERROR(INDEX(INVESTOR_LIST[INVESTOR NAME],MATCH(I4656,INVESTOR_LIST[INVESTOR CODE],0),)," ")</f>
        <v xml:space="preserve"> </v>
      </c>
      <c r="I4656" s="245"/>
      <c r="J4656" s="246" t="s">
        <v>51</v>
      </c>
      <c r="K4656" s="247"/>
      <c r="L4656" s="247">
        <v>3086.704165107084</v>
      </c>
    </row>
    <row r="4657" spans="1:13" ht="11.25" customHeight="1" x14ac:dyDescent="0.2">
      <c r="A4657" s="221">
        <v>2024</v>
      </c>
      <c r="B4657" s="221">
        <v>3</v>
      </c>
      <c r="C4657" s="221">
        <v>19</v>
      </c>
      <c r="D4657" s="231">
        <f t="shared" si="503"/>
        <v>45370</v>
      </c>
      <c r="E4657" s="233">
        <f t="shared" si="510"/>
        <v>45370</v>
      </c>
      <c r="F4657" s="478" t="s">
        <v>1590</v>
      </c>
      <c r="G4657" s="222" t="s">
        <v>1111</v>
      </c>
      <c r="H4657" s="223" t="str" cm="1">
        <f t="array" ref="H4657">IFERROR(INDEX(INVESTOR_LIST[INVESTOR NAME],MATCH(I4657,INVESTOR_LIST[INVESTOR CODE],0),)," ")</f>
        <v xml:space="preserve"> </v>
      </c>
      <c r="I4657" s="223"/>
      <c r="J4657" s="224" t="s">
        <v>55</v>
      </c>
      <c r="K4657" s="225">
        <v>439208</v>
      </c>
      <c r="L4657" s="225"/>
    </row>
    <row r="4658" spans="1:13" ht="11.25" customHeight="1" x14ac:dyDescent="0.2">
      <c r="A4658" s="226">
        <v>2024</v>
      </c>
      <c r="B4658" s="226">
        <v>3</v>
      </c>
      <c r="C4658" s="226">
        <v>19</v>
      </c>
      <c r="D4658" s="232">
        <f t="shared" si="503"/>
        <v>45370</v>
      </c>
      <c r="E4658" s="234">
        <f t="shared" si="510"/>
        <v>45370</v>
      </c>
      <c r="F4658" s="479"/>
      <c r="G4658" s="227" t="s">
        <v>1111</v>
      </c>
      <c r="H4658" s="228" t="str" cm="1">
        <f t="array" ref="H4658">IFERROR(INDEX(INVESTOR_LIST[INVESTOR NAME],MATCH(I4658,INVESTOR_LIST[INVESTOR CODE],0),)," ")</f>
        <v xml:space="preserve"> </v>
      </c>
      <c r="I4658" s="228"/>
      <c r="J4658" s="229" t="s">
        <v>199</v>
      </c>
      <c r="K4658" s="230"/>
      <c r="L4658" s="230">
        <v>439208</v>
      </c>
    </row>
    <row r="4659" spans="1:13" ht="11.25" customHeight="1" x14ac:dyDescent="0.2">
      <c r="A4659" s="221">
        <v>2024</v>
      </c>
      <c r="B4659" s="221">
        <v>3</v>
      </c>
      <c r="C4659" s="221">
        <v>19</v>
      </c>
      <c r="D4659" s="231">
        <f t="shared" si="503"/>
        <v>45370</v>
      </c>
      <c r="E4659" s="233">
        <f t="shared" ref="E4659:E4665" si="511">DATE(A4659,B4659,C4659)</f>
        <v>45370</v>
      </c>
      <c r="F4659" s="478" t="s">
        <v>1590</v>
      </c>
      <c r="G4659" s="222" t="s">
        <v>1111</v>
      </c>
      <c r="H4659" s="223" t="str" cm="1">
        <f t="array" ref="H4659">IFERROR(INDEX(INVESTOR_LIST[INVESTOR NAME],MATCH(I4659,INVESTOR_LIST[INVESTOR CODE],0),)," ")</f>
        <v xml:space="preserve"> </v>
      </c>
      <c r="I4659" s="223"/>
      <c r="J4659" s="224" t="s">
        <v>55</v>
      </c>
      <c r="K4659" s="225">
        <v>2161057.2799999998</v>
      </c>
      <c r="L4659" s="225"/>
    </row>
    <row r="4660" spans="1:13" ht="11.25" customHeight="1" x14ac:dyDescent="0.2">
      <c r="A4660" s="226">
        <v>2024</v>
      </c>
      <c r="B4660" s="226">
        <v>3</v>
      </c>
      <c r="C4660" s="226">
        <v>19</v>
      </c>
      <c r="D4660" s="232">
        <f t="shared" si="503"/>
        <v>45370</v>
      </c>
      <c r="E4660" s="234">
        <f t="shared" si="511"/>
        <v>45370</v>
      </c>
      <c r="F4660" s="479"/>
      <c r="G4660" s="227" t="s">
        <v>1111</v>
      </c>
      <c r="H4660" s="228" t="str" cm="1">
        <f t="array" ref="H4660">IFERROR(INDEX(INVESTOR_LIST[INVESTOR NAME],MATCH(I4660,INVESTOR_LIST[INVESTOR CODE],0),)," ")</f>
        <v xml:space="preserve"> </v>
      </c>
      <c r="I4660" s="228"/>
      <c r="J4660" s="229" t="s">
        <v>199</v>
      </c>
      <c r="K4660" s="230"/>
      <c r="L4660" s="230">
        <v>2161057.2799999998</v>
      </c>
    </row>
    <row r="4661" spans="1:13" ht="11.25" customHeight="1" x14ac:dyDescent="0.2">
      <c r="A4661" s="221">
        <v>2024</v>
      </c>
      <c r="B4661" s="221">
        <v>3</v>
      </c>
      <c r="C4661" s="221">
        <v>19</v>
      </c>
      <c r="D4661" s="231">
        <f t="shared" si="503"/>
        <v>45370</v>
      </c>
      <c r="E4661" s="233">
        <f t="shared" si="511"/>
        <v>45370</v>
      </c>
      <c r="F4661" s="478" t="s">
        <v>1196</v>
      </c>
      <c r="G4661" s="222" t="s">
        <v>1111</v>
      </c>
      <c r="H4661" s="223" t="str" cm="1">
        <f t="array" ref="H4661">IFERROR(INDEX(INVESTOR_LIST[INVESTOR NAME],MATCH(I4661,INVESTOR_LIST[INVESTOR CODE],0),)," ")</f>
        <v xml:space="preserve"> </v>
      </c>
      <c r="I4661" s="223"/>
      <c r="J4661" s="224" t="s">
        <v>95</v>
      </c>
      <c r="K4661" s="225">
        <v>2688.95</v>
      </c>
      <c r="L4661" s="225" t="s">
        <v>1119</v>
      </c>
    </row>
    <row r="4662" spans="1:13" ht="11.25" customHeight="1" x14ac:dyDescent="0.2">
      <c r="A4662" s="226">
        <v>2024</v>
      </c>
      <c r="B4662" s="226">
        <v>3</v>
      </c>
      <c r="C4662" s="226">
        <v>19</v>
      </c>
      <c r="D4662" s="232">
        <f t="shared" si="503"/>
        <v>45370</v>
      </c>
      <c r="E4662" s="234">
        <f t="shared" si="511"/>
        <v>45370</v>
      </c>
      <c r="F4662" s="479"/>
      <c r="G4662" s="227" t="s">
        <v>1111</v>
      </c>
      <c r="H4662" s="228" t="str" cm="1">
        <f t="array" ref="H4662">IFERROR(INDEX(INVESTOR_LIST[INVESTOR NAME],MATCH(I4662,INVESTOR_LIST[INVESTOR CODE],0),)," ")</f>
        <v xml:space="preserve"> </v>
      </c>
      <c r="I4662" s="228"/>
      <c r="J4662" s="229" t="s">
        <v>55</v>
      </c>
      <c r="K4662" s="230" t="s">
        <v>1119</v>
      </c>
      <c r="L4662" s="230">
        <v>2688.95</v>
      </c>
    </row>
    <row r="4663" spans="1:13" ht="11.25" customHeight="1" x14ac:dyDescent="0.2">
      <c r="A4663" s="221">
        <v>2024</v>
      </c>
      <c r="B4663" s="221">
        <v>3</v>
      </c>
      <c r="C4663" s="221">
        <v>21</v>
      </c>
      <c r="D4663" s="231">
        <f t="shared" si="503"/>
        <v>45372</v>
      </c>
      <c r="E4663" s="233">
        <f t="shared" si="511"/>
        <v>45372</v>
      </c>
      <c r="F4663" s="478" t="s">
        <v>1142</v>
      </c>
      <c r="G4663" s="222" t="s">
        <v>1111</v>
      </c>
      <c r="H4663" s="223" t="str" cm="1">
        <f t="array" ref="H4663">IFERROR(INDEX(INVESTOR_LIST[INVESTOR NAME],MATCH(I4663,INVESTOR_LIST[INVESTOR CODE],0),)," ")</f>
        <v xml:space="preserve"> </v>
      </c>
      <c r="I4663" s="223"/>
      <c r="J4663" s="224" t="s">
        <v>189</v>
      </c>
      <c r="K4663" s="225">
        <v>1575</v>
      </c>
      <c r="L4663" s="225"/>
    </row>
    <row r="4664" spans="1:13" ht="11.25" customHeight="1" x14ac:dyDescent="0.2">
      <c r="A4664" s="164">
        <v>2024</v>
      </c>
      <c r="B4664" s="164">
        <v>3</v>
      </c>
      <c r="C4664" s="164">
        <v>21</v>
      </c>
      <c r="D4664" s="156">
        <f t="shared" si="503"/>
        <v>45372</v>
      </c>
      <c r="E4664" s="235">
        <f t="shared" si="511"/>
        <v>45372</v>
      </c>
      <c r="F4664" s="480"/>
      <c r="G4664" s="208" t="s">
        <v>1111</v>
      </c>
      <c r="J4664" s="165" t="s">
        <v>1707</v>
      </c>
      <c r="K4664" s="205"/>
      <c r="L4664" s="205">
        <v>150</v>
      </c>
    </row>
    <row r="4665" spans="1:13" ht="11.25" customHeight="1" x14ac:dyDescent="0.2">
      <c r="A4665" s="226">
        <v>2024</v>
      </c>
      <c r="B4665" s="226">
        <v>3</v>
      </c>
      <c r="C4665" s="226">
        <v>21</v>
      </c>
      <c r="D4665" s="232">
        <f t="shared" si="503"/>
        <v>45372</v>
      </c>
      <c r="E4665" s="234">
        <f t="shared" si="511"/>
        <v>45372</v>
      </c>
      <c r="F4665" s="479"/>
      <c r="G4665" s="227" t="s">
        <v>1111</v>
      </c>
      <c r="H4665" s="228" t="str" cm="1">
        <f t="array" ref="H4665">IFERROR(INDEX(INVESTOR_LIST[INVESTOR NAME],MATCH(I4665,INVESTOR_LIST[INVESTOR CODE],0),)," ")</f>
        <v xml:space="preserve"> </v>
      </c>
      <c r="I4665" s="228"/>
      <c r="J4665" s="229" t="s">
        <v>55</v>
      </c>
      <c r="K4665" s="230"/>
      <c r="L4665" s="230">
        <v>1500</v>
      </c>
    </row>
    <row r="4666" spans="1:13" ht="11.25" customHeight="1" x14ac:dyDescent="0.2">
      <c r="A4666" s="358">
        <v>2024</v>
      </c>
      <c r="B4666" s="358">
        <v>3</v>
      </c>
      <c r="C4666" s="358">
        <v>21</v>
      </c>
      <c r="D4666" s="312">
        <f t="shared" si="503"/>
        <v>45372</v>
      </c>
      <c r="E4666" s="313">
        <f>DATE(A4666,B4666,C4666)</f>
        <v>45372</v>
      </c>
      <c r="F4666" s="482" t="s">
        <v>1627</v>
      </c>
      <c r="G4666" s="314" t="s">
        <v>86</v>
      </c>
      <c r="H4666" s="324" t="str" cm="1">
        <f t="array" ref="H4666">IFERROR(INDEX(INVESTOR_LIST[INVESTOR NAME],MATCH(I4666,INVESTOR_LIST[INVESTOR CODE],0),)," ")</f>
        <v xml:space="preserve"> </v>
      </c>
      <c r="I4666" s="324"/>
      <c r="J4666" s="364" t="s">
        <v>1621</v>
      </c>
      <c r="K4666" s="365">
        <v>137836.19999999553</v>
      </c>
      <c r="L4666" s="365"/>
    </row>
    <row r="4667" spans="1:13" ht="11.25" customHeight="1" x14ac:dyDescent="0.2">
      <c r="A4667" s="320">
        <v>2024</v>
      </c>
      <c r="B4667" s="320">
        <v>3</v>
      </c>
      <c r="C4667" s="320">
        <v>21</v>
      </c>
      <c r="D4667" s="323">
        <f t="shared" si="503"/>
        <v>45372</v>
      </c>
      <c r="E4667" s="321">
        <f t="shared" ref="E4667:E4682" si="512">DATE(A4667,B4667,C4667)</f>
        <v>45372</v>
      </c>
      <c r="F4667" s="483"/>
      <c r="G4667" s="322" t="s">
        <v>86</v>
      </c>
      <c r="H4667" s="325" t="str" cm="1">
        <f t="array" ref="H4667">IFERROR(INDEX(INVESTOR_LIST[INVESTOR NAME],MATCH(I4667,INVESTOR_LIST[INVESTOR CODE],0),)," ")</f>
        <v xml:space="preserve"> </v>
      </c>
      <c r="I4667" s="325"/>
      <c r="J4667" s="366" t="s">
        <v>1613</v>
      </c>
      <c r="K4667" s="367"/>
      <c r="L4667" s="367">
        <v>137836.19999999553</v>
      </c>
    </row>
    <row r="4668" spans="1:13" ht="11.25" customHeight="1" x14ac:dyDescent="0.2">
      <c r="A4668" s="236">
        <v>2024</v>
      </c>
      <c r="B4668" s="236">
        <v>3</v>
      </c>
      <c r="C4668" s="236">
        <v>21</v>
      </c>
      <c r="D4668" s="237">
        <f t="shared" si="503"/>
        <v>45372</v>
      </c>
      <c r="E4668" s="238">
        <f t="shared" si="512"/>
        <v>45372</v>
      </c>
      <c r="F4668" s="476" t="s">
        <v>1118</v>
      </c>
      <c r="G4668" s="239" t="s">
        <v>86</v>
      </c>
      <c r="H4668" s="239" t="str" cm="1">
        <f t="array" ref="H4668">IFERROR(INDEX(INVESTOR_LIST[INVESTOR NAME],MATCH(I4668,INVESTOR_LIST[INVESTOR CODE],0),)," ")</f>
        <v xml:space="preserve"> </v>
      </c>
      <c r="I4668" s="240"/>
      <c r="J4668" s="241" t="s">
        <v>98</v>
      </c>
      <c r="K4668" s="242">
        <v>987905</v>
      </c>
      <c r="L4668" s="242"/>
    </row>
    <row r="4669" spans="1:13" ht="11.25" customHeight="1" x14ac:dyDescent="0.2">
      <c r="A4669" s="243">
        <v>2024</v>
      </c>
      <c r="B4669" s="243">
        <v>3</v>
      </c>
      <c r="C4669" s="243">
        <v>21</v>
      </c>
      <c r="D4669" s="248">
        <f t="shared" si="503"/>
        <v>45372</v>
      </c>
      <c r="E4669" s="249">
        <f t="shared" si="512"/>
        <v>45372</v>
      </c>
      <c r="F4669" s="477"/>
      <c r="G4669" s="244" t="s">
        <v>86</v>
      </c>
      <c r="H4669" s="244" t="str" cm="1">
        <f t="array" ref="H4669">IFERROR(INDEX(INVESTOR_LIST[INVESTOR NAME],MATCH(I4669,INVESTOR_LIST[INVESTOR CODE],0),)," ")</f>
        <v xml:space="preserve"> </v>
      </c>
      <c r="I4669" s="245"/>
      <c r="J4669" s="246" t="s">
        <v>82</v>
      </c>
      <c r="K4669" s="247"/>
      <c r="L4669" s="247">
        <v>987905</v>
      </c>
    </row>
    <row r="4670" spans="1:13" ht="11.25" customHeight="1" x14ac:dyDescent="0.2">
      <c r="A4670" s="236">
        <v>2024</v>
      </c>
      <c r="B4670" s="236">
        <v>3</v>
      </c>
      <c r="C4670" s="236">
        <v>21</v>
      </c>
      <c r="D4670" s="237">
        <f t="shared" si="503"/>
        <v>45372</v>
      </c>
      <c r="E4670" s="238">
        <f t="shared" si="512"/>
        <v>45372</v>
      </c>
      <c r="F4670" s="476" t="s">
        <v>1120</v>
      </c>
      <c r="G4670" s="239" t="s">
        <v>86</v>
      </c>
      <c r="H4670" s="239" t="str" cm="1">
        <f t="array" ref="H4670">IFERROR(INDEX(INVESTOR_LIST[INVESTOR NAME],MATCH(I4670,INVESTOR_LIST[INVESTOR CODE],0),)," ")</f>
        <v xml:space="preserve"> </v>
      </c>
      <c r="I4670" s="240"/>
      <c r="J4670" s="241" t="s">
        <v>87</v>
      </c>
      <c r="K4670" s="242">
        <v>2747.2527472527472</v>
      </c>
      <c r="L4670" s="242"/>
    </row>
    <row r="4671" spans="1:13" ht="11.25" customHeight="1" x14ac:dyDescent="0.2">
      <c r="A4671" s="243">
        <v>2024</v>
      </c>
      <c r="B4671" s="243">
        <v>3</v>
      </c>
      <c r="C4671" s="243">
        <v>21</v>
      </c>
      <c r="D4671" s="248">
        <f t="shared" si="503"/>
        <v>45372</v>
      </c>
      <c r="E4671" s="249">
        <f t="shared" si="512"/>
        <v>45372</v>
      </c>
      <c r="F4671" s="477"/>
      <c r="G4671" s="244" t="s">
        <v>86</v>
      </c>
      <c r="H4671" s="244" t="str" cm="1">
        <f t="array" ref="H4671">IFERROR(INDEX(INVESTOR_LIST[INVESTOR NAME],MATCH(I4671,INVESTOR_LIST[INVESTOR CODE],0),)," ")</f>
        <v xml:space="preserve"> </v>
      </c>
      <c r="I4671" s="245"/>
      <c r="J4671" s="246" t="s">
        <v>64</v>
      </c>
      <c r="K4671" s="247"/>
      <c r="L4671" s="247">
        <v>2747.2527472527472</v>
      </c>
    </row>
    <row r="4672" spans="1:13" ht="11.25" customHeight="1" x14ac:dyDescent="0.2">
      <c r="A4672" s="236">
        <v>2024</v>
      </c>
      <c r="B4672" s="236">
        <v>3</v>
      </c>
      <c r="C4672" s="236">
        <v>21</v>
      </c>
      <c r="D4672" s="237">
        <f t="shared" si="503"/>
        <v>45372</v>
      </c>
      <c r="E4672" s="238">
        <f t="shared" si="512"/>
        <v>45372</v>
      </c>
      <c r="F4672" s="476" t="s">
        <v>1121</v>
      </c>
      <c r="G4672" s="239" t="s">
        <v>86</v>
      </c>
      <c r="H4672" s="239" t="str" cm="1">
        <f t="array" ref="H4672">IFERROR(INDEX(INVESTOR_LIST[INVESTOR NAME],MATCH(I4672,INVESTOR_LIST[INVESTOR CODE],0),)," ")</f>
        <v xml:space="preserve"> </v>
      </c>
      <c r="I4672" s="240"/>
      <c r="J4672" s="241" t="s">
        <v>89</v>
      </c>
      <c r="K4672" s="242">
        <f>M4672</f>
        <v>66946.216285786999</v>
      </c>
      <c r="L4672" s="242"/>
      <c r="M4672" s="156">
        <v>66946.216285786999</v>
      </c>
    </row>
    <row r="4673" spans="1:13" ht="11.25" customHeight="1" x14ac:dyDescent="0.2">
      <c r="A4673" s="243">
        <v>2024</v>
      </c>
      <c r="B4673" s="243">
        <v>3</v>
      </c>
      <c r="C4673" s="243">
        <v>21</v>
      </c>
      <c r="D4673" s="248">
        <f t="shared" si="503"/>
        <v>45372</v>
      </c>
      <c r="E4673" s="249">
        <f t="shared" si="512"/>
        <v>45372</v>
      </c>
      <c r="F4673" s="477"/>
      <c r="G4673" s="244" t="s">
        <v>86</v>
      </c>
      <c r="H4673" s="244" t="str" cm="1">
        <f t="array" ref="H4673">IFERROR(INDEX(INVESTOR_LIST[INVESTOR NAME],MATCH(I4673,INVESTOR_LIST[INVESTOR CODE],0),)," ")</f>
        <v xml:space="preserve"> </v>
      </c>
      <c r="I4673" s="245"/>
      <c r="J4673" s="246" t="s">
        <v>50</v>
      </c>
      <c r="K4673" s="247"/>
      <c r="L4673" s="247">
        <f>K4672</f>
        <v>66946.216285786999</v>
      </c>
      <c r="M4673" s="156">
        <v>3106.9261989047345</v>
      </c>
    </row>
    <row r="4674" spans="1:13" ht="11.25" customHeight="1" x14ac:dyDescent="0.2">
      <c r="A4674" s="236">
        <v>2024</v>
      </c>
      <c r="B4674" s="236">
        <v>3</v>
      </c>
      <c r="C4674" s="236">
        <v>21</v>
      </c>
      <c r="D4674" s="237">
        <f t="shared" si="503"/>
        <v>45372</v>
      </c>
      <c r="E4674" s="238">
        <f t="shared" si="512"/>
        <v>45372</v>
      </c>
      <c r="F4674" s="476" t="s">
        <v>1122</v>
      </c>
      <c r="G4674" s="239" t="s">
        <v>86</v>
      </c>
      <c r="H4674" s="239" t="str" cm="1">
        <f t="array" ref="H4674">IFERROR(INDEX(INVESTOR_LIST[INVESTOR NAME],MATCH(I4674,INVESTOR_LIST[INVESTOR CODE],0),)," ")</f>
        <v xml:space="preserve"> </v>
      </c>
      <c r="I4674" s="240"/>
      <c r="J4674" s="241" t="s">
        <v>91</v>
      </c>
      <c r="K4674" s="242">
        <f>M4673</f>
        <v>3106.9261989047345</v>
      </c>
      <c r="L4674" s="242"/>
    </row>
    <row r="4675" spans="1:13" ht="11.25" customHeight="1" x14ac:dyDescent="0.2">
      <c r="A4675" s="243">
        <v>2024</v>
      </c>
      <c r="B4675" s="243">
        <v>3</v>
      </c>
      <c r="C4675" s="243">
        <v>21</v>
      </c>
      <c r="D4675" s="248">
        <f t="shared" si="503"/>
        <v>45372</v>
      </c>
      <c r="E4675" s="249">
        <f t="shared" si="512"/>
        <v>45372</v>
      </c>
      <c r="F4675" s="477"/>
      <c r="G4675" s="244" t="s">
        <v>86</v>
      </c>
      <c r="H4675" s="244" t="str" cm="1">
        <f t="array" ref="H4675">IFERROR(INDEX(INVESTOR_LIST[INVESTOR NAME],MATCH(I4675,INVESTOR_LIST[INVESTOR CODE],0),)," ")</f>
        <v xml:space="preserve"> </v>
      </c>
      <c r="I4675" s="245"/>
      <c r="J4675" s="246" t="s">
        <v>51</v>
      </c>
      <c r="K4675" s="247"/>
      <c r="L4675" s="247">
        <f>K4674</f>
        <v>3106.9261989047345</v>
      </c>
    </row>
    <row r="4676" spans="1:13" ht="11.25" customHeight="1" x14ac:dyDescent="0.2">
      <c r="A4676" s="221">
        <v>2024</v>
      </c>
      <c r="B4676" s="221">
        <v>3</v>
      </c>
      <c r="C4676" s="221">
        <v>24</v>
      </c>
      <c r="D4676" s="231">
        <f t="shared" si="503"/>
        <v>45375</v>
      </c>
      <c r="E4676" s="233">
        <f t="shared" si="512"/>
        <v>45375</v>
      </c>
      <c r="F4676" s="478" t="s">
        <v>1709</v>
      </c>
      <c r="G4676" s="222" t="s">
        <v>1111</v>
      </c>
      <c r="H4676" s="223" t="str" cm="1">
        <f t="array" ref="H4676">IFERROR(INDEX(INVESTOR_LIST[INVESTOR NAME],MATCH(I4676,INVESTOR_LIST[INVESTOR CODE],0),)," ")</f>
        <v xml:space="preserve"> </v>
      </c>
      <c r="I4676" s="223"/>
      <c r="J4676" s="224" t="s">
        <v>1707</v>
      </c>
      <c r="K4676" s="225">
        <v>150</v>
      </c>
      <c r="L4676" s="225"/>
    </row>
    <row r="4677" spans="1:13" ht="11.25" customHeight="1" x14ac:dyDescent="0.2">
      <c r="A4677" s="226">
        <v>2024</v>
      </c>
      <c r="B4677" s="226">
        <v>3</v>
      </c>
      <c r="C4677" s="226">
        <v>24</v>
      </c>
      <c r="D4677" s="232">
        <f t="shared" si="503"/>
        <v>45375</v>
      </c>
      <c r="E4677" s="234">
        <f t="shared" si="512"/>
        <v>45375</v>
      </c>
      <c r="F4677" s="479"/>
      <c r="G4677" s="227" t="s">
        <v>1111</v>
      </c>
      <c r="H4677" s="228" t="str" cm="1">
        <f t="array" ref="H4677">IFERROR(INDEX(INVESTOR_LIST[INVESTOR NAME],MATCH(I4677,INVESTOR_LIST[INVESTOR CODE],0),)," ")</f>
        <v xml:space="preserve"> </v>
      </c>
      <c r="I4677" s="228"/>
      <c r="J4677" s="229" t="s">
        <v>55</v>
      </c>
      <c r="K4677" s="230"/>
      <c r="L4677" s="230">
        <v>150</v>
      </c>
    </row>
    <row r="4678" spans="1:13" ht="11.25" customHeight="1" x14ac:dyDescent="0.2">
      <c r="A4678" s="221">
        <v>2024</v>
      </c>
      <c r="B4678" s="221">
        <v>3</v>
      </c>
      <c r="C4678" s="221">
        <v>24</v>
      </c>
      <c r="D4678" s="231">
        <f t="shared" si="503"/>
        <v>45375</v>
      </c>
      <c r="E4678" s="233">
        <f t="shared" ref="E4678:E4679" si="513">DATE(A4678,B4678,C4678)</f>
        <v>45375</v>
      </c>
      <c r="F4678" s="478" t="s">
        <v>1710</v>
      </c>
      <c r="G4678" s="222" t="s">
        <v>1111</v>
      </c>
      <c r="H4678" s="223" t="str" cm="1">
        <f t="array" ref="H4678">IFERROR(INDEX(INVESTOR_LIST[INVESTOR NAME],MATCH(I4678,INVESTOR_LIST[INVESTOR CODE],0),)," ")</f>
        <v xml:space="preserve"> </v>
      </c>
      <c r="I4678" s="223"/>
      <c r="J4678" s="224" t="s">
        <v>1708</v>
      </c>
      <c r="K4678" s="225">
        <v>250</v>
      </c>
      <c r="L4678" s="225"/>
    </row>
    <row r="4679" spans="1:13" ht="11.25" customHeight="1" x14ac:dyDescent="0.2">
      <c r="A4679" s="226">
        <v>2024</v>
      </c>
      <c r="B4679" s="226">
        <v>3</v>
      </c>
      <c r="C4679" s="226">
        <v>24</v>
      </c>
      <c r="D4679" s="232">
        <f t="shared" si="503"/>
        <v>45375</v>
      </c>
      <c r="E4679" s="234">
        <f t="shared" si="513"/>
        <v>45375</v>
      </c>
      <c r="F4679" s="479"/>
      <c r="G4679" s="227" t="s">
        <v>1111</v>
      </c>
      <c r="H4679" s="228" t="str" cm="1">
        <f t="array" ref="H4679">IFERROR(INDEX(INVESTOR_LIST[INVESTOR NAME],MATCH(I4679,INVESTOR_LIST[INVESTOR CODE],0),)," ")</f>
        <v xml:space="preserve"> </v>
      </c>
      <c r="I4679" s="228"/>
      <c r="J4679" s="229" t="s">
        <v>55</v>
      </c>
      <c r="K4679" s="230"/>
      <c r="L4679" s="230">
        <v>250</v>
      </c>
    </row>
    <row r="4680" spans="1:13" ht="11.25" customHeight="1" x14ac:dyDescent="0.2">
      <c r="A4680" s="221">
        <v>2024</v>
      </c>
      <c r="B4680" s="221">
        <v>3</v>
      </c>
      <c r="C4680" s="231">
        <v>24</v>
      </c>
      <c r="D4680" s="231">
        <f t="shared" si="503"/>
        <v>45375</v>
      </c>
      <c r="E4680" s="233">
        <f t="shared" si="512"/>
        <v>45375</v>
      </c>
      <c r="F4680" s="478" t="s">
        <v>1115</v>
      </c>
      <c r="G4680" s="222" t="s">
        <v>1111</v>
      </c>
      <c r="H4680" s="223" t="str" cm="1">
        <f t="array" ref="H4680">IFERROR(INDEX(INVESTOR_LIST[INVESTOR NAME],MATCH(I4680,INVESTOR_LIST[INVESTOR CODE],0),)," ")</f>
        <v>RAIHAN RASHID MAJUMDAR</v>
      </c>
      <c r="I4680" s="223" t="s">
        <v>460</v>
      </c>
      <c r="J4680" s="224" t="s">
        <v>14</v>
      </c>
      <c r="K4680" s="167">
        <v>503420</v>
      </c>
      <c r="L4680" s="225"/>
    </row>
    <row r="4681" spans="1:13" ht="11.25" customHeight="1" x14ac:dyDescent="0.2">
      <c r="A4681" s="164">
        <v>2024</v>
      </c>
      <c r="B4681" s="164">
        <v>3</v>
      </c>
      <c r="C4681" s="156">
        <v>24</v>
      </c>
      <c r="D4681" s="156">
        <f t="shared" ref="D4681:D4744" si="514">DATE(A4681,B4681,C4681)</f>
        <v>45375</v>
      </c>
      <c r="E4681" s="235">
        <f t="shared" si="512"/>
        <v>45375</v>
      </c>
      <c r="F4681" s="480"/>
      <c r="G4681" s="208" t="s">
        <v>1111</v>
      </c>
      <c r="H4681" s="206" t="str" cm="1">
        <f t="array" ref="H4681">IFERROR(INDEX(INVESTOR_LIST[INVESTOR NAME],MATCH(I4681,INVESTOR_LIST[INVESTOR CODE],0),)," ")</f>
        <v>RAIHAN RASHID MAJUMDAR</v>
      </c>
      <c r="I4681" s="206" t="s">
        <v>460</v>
      </c>
      <c r="J4681" s="165" t="s">
        <v>1112</v>
      </c>
      <c r="L4681" s="205">
        <v>3420</v>
      </c>
    </row>
    <row r="4682" spans="1:13" ht="11.25" customHeight="1" x14ac:dyDescent="0.2">
      <c r="A4682" s="226">
        <v>2024</v>
      </c>
      <c r="B4682" s="226">
        <v>3</v>
      </c>
      <c r="C4682" s="232">
        <v>24</v>
      </c>
      <c r="D4682" s="232">
        <f t="shared" si="514"/>
        <v>45375</v>
      </c>
      <c r="E4682" s="234">
        <f t="shared" si="512"/>
        <v>45375</v>
      </c>
      <c r="F4682" s="479"/>
      <c r="G4682" s="227" t="s">
        <v>1111</v>
      </c>
      <c r="H4682" s="228" t="str" cm="1">
        <f t="array" ref="H4682">IFERROR(INDEX(INVESTOR_LIST[INVESTOR NAME],MATCH(I4682,INVESTOR_LIST[INVESTOR CODE],0),)," ")</f>
        <v>RAIHAN RASHID MAJUMDAR</v>
      </c>
      <c r="I4682" s="228" t="s">
        <v>460</v>
      </c>
      <c r="J4682" s="229" t="s">
        <v>55</v>
      </c>
      <c r="K4682" s="230"/>
      <c r="L4682" s="230">
        <v>500000</v>
      </c>
    </row>
    <row r="4683" spans="1:13" ht="11.25" customHeight="1" x14ac:dyDescent="0.2">
      <c r="A4683" s="221">
        <v>2024</v>
      </c>
      <c r="B4683" s="221">
        <v>3</v>
      </c>
      <c r="C4683" s="231">
        <v>24</v>
      </c>
      <c r="D4683" s="231">
        <f t="shared" si="514"/>
        <v>45375</v>
      </c>
      <c r="E4683" s="233">
        <f t="shared" ref="E4683:E4685" si="515">DATE(A4683,B4683,C4683)</f>
        <v>45375</v>
      </c>
      <c r="F4683" s="478" t="s">
        <v>1115</v>
      </c>
      <c r="G4683" s="222" t="s">
        <v>1111</v>
      </c>
      <c r="H4683" s="223" t="str" cm="1">
        <f t="array" ref="H4683">IFERROR(INDEX(INVESTOR_LIST[INVESTOR NAME],MATCH(I4683,INVESTOR_LIST[INVESTOR CODE],0),)," ")</f>
        <v>SANDHANI AML SLIC FIXED INCOME FUND</v>
      </c>
      <c r="I4683" s="223" t="s">
        <v>1481</v>
      </c>
      <c r="J4683" s="224" t="s">
        <v>14</v>
      </c>
      <c r="K4683" s="167">
        <v>99150</v>
      </c>
      <c r="L4683" s="225"/>
    </row>
    <row r="4684" spans="1:13" ht="11.25" customHeight="1" x14ac:dyDescent="0.2">
      <c r="A4684" s="164">
        <v>2024</v>
      </c>
      <c r="B4684" s="164">
        <v>3</v>
      </c>
      <c r="C4684" s="156">
        <v>24</v>
      </c>
      <c r="D4684" s="156">
        <f t="shared" si="514"/>
        <v>45375</v>
      </c>
      <c r="E4684" s="235">
        <f t="shared" si="515"/>
        <v>45375</v>
      </c>
      <c r="F4684" s="480"/>
      <c r="G4684" s="208" t="s">
        <v>1111</v>
      </c>
      <c r="H4684" s="206" t="str" cm="1">
        <f t="array" ref="H4684">IFERROR(INDEX(INVESTOR_LIST[INVESTOR NAME],MATCH(I4684,INVESTOR_LIST[INVESTOR CODE],0),)," ")</f>
        <v>SANDHANI AML SLIC FIXED INCOME FUND</v>
      </c>
      <c r="I4684" s="206" t="s">
        <v>1481</v>
      </c>
      <c r="J4684" s="165" t="s">
        <v>1112</v>
      </c>
      <c r="L4684" s="205">
        <v>1462.5</v>
      </c>
    </row>
    <row r="4685" spans="1:13" ht="11.25" customHeight="1" x14ac:dyDescent="0.2">
      <c r="A4685" s="226">
        <v>2024</v>
      </c>
      <c r="B4685" s="226">
        <v>3</v>
      </c>
      <c r="C4685" s="232">
        <v>24</v>
      </c>
      <c r="D4685" s="232">
        <f t="shared" si="514"/>
        <v>45375</v>
      </c>
      <c r="E4685" s="234">
        <f t="shared" si="515"/>
        <v>45375</v>
      </c>
      <c r="F4685" s="479"/>
      <c r="G4685" s="227" t="s">
        <v>1111</v>
      </c>
      <c r="H4685" s="228" t="str" cm="1">
        <f t="array" ref="H4685">IFERROR(INDEX(INVESTOR_LIST[INVESTOR NAME],MATCH(I4685,INVESTOR_LIST[INVESTOR CODE],0),)," ")</f>
        <v>SANDHANI AML SLIC FIXED INCOME FUND</v>
      </c>
      <c r="I4685" s="228" t="s">
        <v>1481</v>
      </c>
      <c r="J4685" s="229" t="s">
        <v>55</v>
      </c>
      <c r="K4685" s="230"/>
      <c r="L4685" s="230">
        <v>97687.5</v>
      </c>
    </row>
    <row r="4686" spans="1:13" ht="11.25" customHeight="1" x14ac:dyDescent="0.2">
      <c r="A4686" s="221">
        <v>2024</v>
      </c>
      <c r="B4686" s="221">
        <v>3</v>
      </c>
      <c r="C4686" s="231">
        <v>24</v>
      </c>
      <c r="D4686" s="231">
        <f t="shared" si="514"/>
        <v>45375</v>
      </c>
      <c r="E4686" s="233">
        <f t="shared" ref="E4686:E4691" si="516">DATE(A4686,B4686,C4686)</f>
        <v>45375</v>
      </c>
      <c r="F4686" s="478" t="s">
        <v>1115</v>
      </c>
      <c r="G4686" s="222" t="s">
        <v>1111</v>
      </c>
      <c r="H4686" s="223" t="str" cm="1">
        <f t="array" ref="H4686">IFERROR(INDEX(INVESTOR_LIST[INVESTOR NAME],MATCH(I4686,INVESTOR_LIST[INVESTOR CODE],0),)," ")</f>
        <v>SANDHANI AML SLIC FIXED INCOME FUND</v>
      </c>
      <c r="I4686" s="223" t="s">
        <v>1481</v>
      </c>
      <c r="J4686" s="224" t="s">
        <v>14</v>
      </c>
      <c r="K4686" s="167">
        <v>234450</v>
      </c>
      <c r="L4686" s="225"/>
    </row>
    <row r="4687" spans="1:13" ht="11.25" customHeight="1" x14ac:dyDescent="0.2">
      <c r="A4687" s="164">
        <v>2024</v>
      </c>
      <c r="B4687" s="164">
        <v>3</v>
      </c>
      <c r="C4687" s="156">
        <v>24</v>
      </c>
      <c r="D4687" s="156">
        <f t="shared" si="514"/>
        <v>45375</v>
      </c>
      <c r="E4687" s="235">
        <f t="shared" si="516"/>
        <v>45375</v>
      </c>
      <c r="F4687" s="480"/>
      <c r="G4687" s="208" t="s">
        <v>1111</v>
      </c>
      <c r="H4687" s="206" t="str" cm="1">
        <f t="array" ref="H4687">IFERROR(INDEX(INVESTOR_LIST[INVESTOR NAME],MATCH(I4687,INVESTOR_LIST[INVESTOR CODE],0),)," ")</f>
        <v>SANDHANI AML SLIC FIXED INCOME FUND</v>
      </c>
      <c r="I4687" s="206" t="s">
        <v>1481</v>
      </c>
      <c r="J4687" s="165" t="s">
        <v>1112</v>
      </c>
      <c r="K4687" s="167">
        <v>8135.4100000000035</v>
      </c>
      <c r="L4687" s="205"/>
    </row>
    <row r="4688" spans="1:13" ht="11.25" customHeight="1" x14ac:dyDescent="0.2">
      <c r="A4688" s="226">
        <v>2024</v>
      </c>
      <c r="B4688" s="226">
        <v>3</v>
      </c>
      <c r="C4688" s="232">
        <v>24</v>
      </c>
      <c r="D4688" s="232">
        <f t="shared" si="514"/>
        <v>45375</v>
      </c>
      <c r="E4688" s="234">
        <f t="shared" si="516"/>
        <v>45375</v>
      </c>
      <c r="F4688" s="479"/>
      <c r="G4688" s="227" t="s">
        <v>1111</v>
      </c>
      <c r="H4688" s="228" t="str" cm="1">
        <f t="array" ref="H4688">IFERROR(INDEX(INVESTOR_LIST[INVESTOR NAME],MATCH(I4688,INVESTOR_LIST[INVESTOR CODE],0),)," ")</f>
        <v>SANDHANI AML SLIC FIXED INCOME FUND</v>
      </c>
      <c r="I4688" s="228" t="s">
        <v>1481</v>
      </c>
      <c r="J4688" s="229" t="s">
        <v>55</v>
      </c>
      <c r="K4688" s="230"/>
      <c r="L4688" s="230">
        <v>242585.41</v>
      </c>
    </row>
    <row r="4689" spans="1:12" ht="11.25" customHeight="1" x14ac:dyDescent="0.2">
      <c r="A4689" s="221">
        <v>2024</v>
      </c>
      <c r="B4689" s="221">
        <v>3</v>
      </c>
      <c r="C4689" s="221">
        <v>24</v>
      </c>
      <c r="D4689" s="231">
        <f t="shared" si="514"/>
        <v>45375</v>
      </c>
      <c r="E4689" s="233">
        <f t="shared" si="516"/>
        <v>45375</v>
      </c>
      <c r="F4689" s="478" t="s">
        <v>1178</v>
      </c>
      <c r="G4689" s="222" t="s">
        <v>1111</v>
      </c>
      <c r="H4689" s="223" t="str" cm="1">
        <f t="array" ref="H4689">IFERROR(INDEX(INVESTOR_LIST[INVESTOR NAME],MATCH(I4689,INVESTOR_LIST[INVESTOR CODE],0),)," ")</f>
        <v xml:space="preserve"> </v>
      </c>
      <c r="I4689" s="223"/>
      <c r="J4689" s="224" t="s">
        <v>189</v>
      </c>
      <c r="K4689" s="225">
        <v>3750</v>
      </c>
      <c r="L4689" s="225"/>
    </row>
    <row r="4690" spans="1:12" ht="11.25" customHeight="1" x14ac:dyDescent="0.2">
      <c r="A4690" s="164">
        <v>2024</v>
      </c>
      <c r="B4690" s="164">
        <v>3</v>
      </c>
      <c r="C4690" s="164">
        <v>24</v>
      </c>
      <c r="D4690" s="156">
        <f t="shared" si="514"/>
        <v>45375</v>
      </c>
      <c r="E4690" s="235">
        <f t="shared" si="516"/>
        <v>45375</v>
      </c>
      <c r="F4690" s="480"/>
      <c r="G4690" s="208" t="s">
        <v>1111</v>
      </c>
      <c r="J4690" s="165" t="s">
        <v>1708</v>
      </c>
      <c r="K4690" s="205"/>
      <c r="L4690" s="205">
        <v>188</v>
      </c>
    </row>
    <row r="4691" spans="1:12" ht="11.25" customHeight="1" x14ac:dyDescent="0.2">
      <c r="A4691" s="226">
        <v>2024</v>
      </c>
      <c r="B4691" s="226">
        <v>3</v>
      </c>
      <c r="C4691" s="226">
        <v>24</v>
      </c>
      <c r="D4691" s="232">
        <f t="shared" si="514"/>
        <v>45375</v>
      </c>
      <c r="E4691" s="234">
        <f t="shared" si="516"/>
        <v>45375</v>
      </c>
      <c r="F4691" s="479"/>
      <c r="G4691" s="227" t="s">
        <v>1111</v>
      </c>
      <c r="H4691" s="228" t="str" cm="1">
        <f t="array" ref="H4691">IFERROR(INDEX(INVESTOR_LIST[INVESTOR NAME],MATCH(I4691,INVESTOR_LIST[INVESTOR CODE],0),)," ")</f>
        <v xml:space="preserve"> </v>
      </c>
      <c r="I4691" s="228"/>
      <c r="J4691" s="229" t="s">
        <v>55</v>
      </c>
      <c r="K4691" s="230"/>
      <c r="L4691" s="230">
        <v>3562</v>
      </c>
    </row>
    <row r="4692" spans="1:12" ht="11.25" customHeight="1" x14ac:dyDescent="0.2">
      <c r="A4692" s="231">
        <v>2024</v>
      </c>
      <c r="B4692" s="231">
        <v>3</v>
      </c>
      <c r="C4692" s="231">
        <v>25</v>
      </c>
      <c r="D4692" s="221">
        <f t="shared" si="514"/>
        <v>45376</v>
      </c>
      <c r="E4692" s="271">
        <f>DATE(A4692,B4692,C4692)</f>
        <v>45376</v>
      </c>
      <c r="F4692" s="478" t="s">
        <v>1698</v>
      </c>
      <c r="G4692" s="222" t="s">
        <v>1111</v>
      </c>
      <c r="H4692" s="223" t="str" cm="1">
        <f t="array" ref="H4692">IFERROR(INDEX(INVESTOR_LIST[INVESTOR NAME],MATCH(I4692,INVESTOR_LIST[INVESTOR CODE],0),)," ")</f>
        <v xml:space="preserve"> </v>
      </c>
      <c r="I4692" s="223"/>
      <c r="J4692" s="231" t="s">
        <v>316</v>
      </c>
      <c r="K4692" s="225">
        <v>500000</v>
      </c>
      <c r="L4692" s="225"/>
    </row>
    <row r="4693" spans="1:12" ht="11.25" customHeight="1" x14ac:dyDescent="0.2">
      <c r="A4693" s="156">
        <v>2024</v>
      </c>
      <c r="B4693" s="156">
        <v>3</v>
      </c>
      <c r="C4693" s="156">
        <v>25</v>
      </c>
      <c r="D4693" s="164">
        <f t="shared" si="514"/>
        <v>45376</v>
      </c>
      <c r="E4693" s="276">
        <f t="shared" ref="E4693:E4720" si="517">DATE(A4693,B4693,C4693)</f>
        <v>45376</v>
      </c>
      <c r="F4693" s="480"/>
      <c r="G4693" s="208" t="s">
        <v>1111</v>
      </c>
      <c r="H4693" s="206" t="str" cm="1">
        <f t="array" ref="H4693">IFERROR(INDEX(INVESTOR_LIST[INVESTOR NAME],MATCH(I4693,INVESTOR_LIST[INVESTOR CODE],0),)," ")</f>
        <v xml:space="preserve"> </v>
      </c>
      <c r="J4693" s="156" t="s">
        <v>478</v>
      </c>
      <c r="K4693" s="205"/>
      <c r="L4693" s="205">
        <v>100000</v>
      </c>
    </row>
    <row r="4694" spans="1:12" ht="11.25" customHeight="1" x14ac:dyDescent="0.2">
      <c r="A4694" s="232">
        <v>2024</v>
      </c>
      <c r="B4694" s="232">
        <v>3</v>
      </c>
      <c r="C4694" s="232">
        <v>25</v>
      </c>
      <c r="D4694" s="226">
        <f t="shared" si="514"/>
        <v>45376</v>
      </c>
      <c r="E4694" s="272">
        <f t="shared" si="517"/>
        <v>45376</v>
      </c>
      <c r="F4694" s="479"/>
      <c r="G4694" s="227" t="s">
        <v>1111</v>
      </c>
      <c r="H4694" s="228" t="str" cm="1">
        <f t="array" ref="H4694">IFERROR(INDEX(INVESTOR_LIST[INVESTOR NAME],MATCH(I4694,INVESTOR_LIST[INVESTOR CODE],0),)," ")</f>
        <v xml:space="preserve"> </v>
      </c>
      <c r="I4694" s="228"/>
      <c r="J4694" s="232" t="s">
        <v>55</v>
      </c>
      <c r="K4694" s="230"/>
      <c r="L4694" s="230">
        <v>400000</v>
      </c>
    </row>
    <row r="4695" spans="1:12" ht="11.25" customHeight="1" x14ac:dyDescent="0.2">
      <c r="A4695" s="221">
        <v>2024</v>
      </c>
      <c r="B4695" s="221">
        <v>3</v>
      </c>
      <c r="C4695" s="221">
        <v>25</v>
      </c>
      <c r="D4695" s="221">
        <f t="shared" si="514"/>
        <v>45376</v>
      </c>
      <c r="E4695" s="233">
        <f>DATE(A4695,B4695,C4695)</f>
        <v>45376</v>
      </c>
      <c r="F4695" s="478" t="s">
        <v>1589</v>
      </c>
      <c r="G4695" s="222" t="s">
        <v>86</v>
      </c>
      <c r="H4695" s="222" t="str" cm="1">
        <f t="array" ref="H4695">IFERROR(INDEX(INVESTOR_LIST[INVESTOR NAME],MATCH(I4695,INVESTOR_LIST[INVESTOR CODE],0),)," ")</f>
        <v xml:space="preserve"> </v>
      </c>
      <c r="I4695" s="223"/>
      <c r="J4695" s="165" t="s">
        <v>199</v>
      </c>
      <c r="K4695" s="225">
        <v>1496301.81</v>
      </c>
      <c r="L4695" s="225"/>
    </row>
    <row r="4696" spans="1:12" ht="11.25" customHeight="1" x14ac:dyDescent="0.2">
      <c r="A4696" s="164">
        <v>2024</v>
      </c>
      <c r="B4696" s="164">
        <v>3</v>
      </c>
      <c r="C4696" s="164">
        <v>25</v>
      </c>
      <c r="D4696" s="164">
        <f t="shared" si="514"/>
        <v>45376</v>
      </c>
      <c r="E4696" s="235">
        <f>DATE(A4696,B4696,C4696)</f>
        <v>45376</v>
      </c>
      <c r="F4696" s="480"/>
      <c r="G4696" s="208" t="s">
        <v>86</v>
      </c>
      <c r="H4696" s="208"/>
      <c r="J4696" s="165" t="s">
        <v>960</v>
      </c>
      <c r="K4696" s="205">
        <v>2698.19</v>
      </c>
      <c r="L4696" s="205"/>
    </row>
    <row r="4697" spans="1:12" ht="11.25" customHeight="1" x14ac:dyDescent="0.2">
      <c r="A4697" s="164">
        <v>2024</v>
      </c>
      <c r="B4697" s="164">
        <v>3</v>
      </c>
      <c r="C4697" s="164">
        <v>25</v>
      </c>
      <c r="D4697" s="164">
        <f t="shared" si="514"/>
        <v>45376</v>
      </c>
      <c r="E4697" s="235">
        <f>DATE(A4697,B4697,C4697)</f>
        <v>45376</v>
      </c>
      <c r="F4697" s="480"/>
      <c r="G4697" s="208" t="s">
        <v>86</v>
      </c>
      <c r="H4697" s="208"/>
      <c r="J4697" s="165" t="s">
        <v>200</v>
      </c>
      <c r="K4697" s="205">
        <v>1000</v>
      </c>
      <c r="L4697" s="205"/>
    </row>
    <row r="4698" spans="1:12" ht="11.25" customHeight="1" x14ac:dyDescent="0.2">
      <c r="A4698" s="226">
        <v>2024</v>
      </c>
      <c r="B4698" s="226">
        <v>3</v>
      </c>
      <c r="C4698" s="226">
        <v>25</v>
      </c>
      <c r="D4698" s="226">
        <f t="shared" si="514"/>
        <v>45376</v>
      </c>
      <c r="E4698" s="234">
        <f>DATE(A4698,B4698,C4698)</f>
        <v>45376</v>
      </c>
      <c r="F4698" s="479"/>
      <c r="G4698" s="227" t="s">
        <v>86</v>
      </c>
      <c r="H4698" s="228" t="str" cm="1">
        <f t="array" ref="H4698">IFERROR(INDEX(INVESTOR_LIST[INVESTOR NAME],MATCH(I4698,INVESTOR_LIST[INVESTOR CODE],0),)," ")</f>
        <v xml:space="preserve"> </v>
      </c>
      <c r="I4698" s="228"/>
      <c r="J4698" s="229" t="s">
        <v>80</v>
      </c>
      <c r="K4698" s="230"/>
      <c r="L4698" s="230">
        <v>1500000</v>
      </c>
    </row>
    <row r="4699" spans="1:12" ht="11.25" customHeight="1" x14ac:dyDescent="0.2">
      <c r="A4699" s="221">
        <v>2024</v>
      </c>
      <c r="B4699" s="221">
        <v>3</v>
      </c>
      <c r="C4699" s="221">
        <v>25</v>
      </c>
      <c r="D4699" s="231">
        <f t="shared" si="514"/>
        <v>45376</v>
      </c>
      <c r="E4699" s="233">
        <f t="shared" ref="E4699:E4700" si="518">DATE(A4699,B4699,C4699)</f>
        <v>45376</v>
      </c>
      <c r="F4699" s="478" t="s">
        <v>1706</v>
      </c>
      <c r="G4699" s="222" t="s">
        <v>1111</v>
      </c>
      <c r="H4699" s="222" t="str" cm="1">
        <f t="array" ref="H4699">IFERROR(INDEX(INVESTOR_LIST[INVESTOR NAME],MATCH(I4699,INVESTOR_LIST[INVESTOR CODE],0),)," ")</f>
        <v xml:space="preserve"> </v>
      </c>
      <c r="I4699" s="223"/>
      <c r="J4699" s="224" t="s">
        <v>1465</v>
      </c>
      <c r="K4699" s="357">
        <v>9724820</v>
      </c>
      <c r="L4699" s="225"/>
    </row>
    <row r="4700" spans="1:12" ht="11.25" customHeight="1" x14ac:dyDescent="0.2">
      <c r="A4700" s="226">
        <v>2024</v>
      </c>
      <c r="B4700" s="226">
        <v>3</v>
      </c>
      <c r="C4700" s="226">
        <v>25</v>
      </c>
      <c r="D4700" s="226">
        <f t="shared" si="514"/>
        <v>45376</v>
      </c>
      <c r="E4700" s="234">
        <f t="shared" si="518"/>
        <v>45376</v>
      </c>
      <c r="F4700" s="479"/>
      <c r="G4700" s="227" t="s">
        <v>1111</v>
      </c>
      <c r="H4700" s="227"/>
      <c r="I4700" s="228"/>
      <c r="J4700" s="229" t="s">
        <v>55</v>
      </c>
      <c r="K4700" s="294"/>
      <c r="L4700" s="230">
        <v>9724820</v>
      </c>
    </row>
    <row r="4701" spans="1:12" ht="11.25" customHeight="1" x14ac:dyDescent="0.2">
      <c r="A4701" s="221">
        <v>2024</v>
      </c>
      <c r="B4701" s="221">
        <v>3</v>
      </c>
      <c r="C4701" s="221">
        <v>25</v>
      </c>
      <c r="D4701" s="231">
        <f t="shared" si="514"/>
        <v>45376</v>
      </c>
      <c r="E4701" s="233">
        <f t="shared" ref="E4701:E4702" si="519">DATE(A4701,B4701,C4701)</f>
        <v>45376</v>
      </c>
      <c r="F4701" s="478" t="s">
        <v>1706</v>
      </c>
      <c r="G4701" s="222" t="s">
        <v>1111</v>
      </c>
      <c r="H4701" s="222" t="str" cm="1">
        <f t="array" ref="H4701">IFERROR(INDEX(INVESTOR_LIST[INVESTOR NAME],MATCH(I4701,INVESTOR_LIST[INVESTOR CODE],0),)," ")</f>
        <v xml:space="preserve"> </v>
      </c>
      <c r="I4701" s="223"/>
      <c r="J4701" s="224" t="s">
        <v>1465</v>
      </c>
      <c r="K4701" s="357">
        <v>9725930</v>
      </c>
      <c r="L4701" s="225"/>
    </row>
    <row r="4702" spans="1:12" ht="11.25" customHeight="1" x14ac:dyDescent="0.2">
      <c r="A4702" s="226">
        <v>2024</v>
      </c>
      <c r="B4702" s="226">
        <v>3</v>
      </c>
      <c r="C4702" s="226">
        <v>25</v>
      </c>
      <c r="D4702" s="226">
        <f t="shared" si="514"/>
        <v>45376</v>
      </c>
      <c r="E4702" s="234">
        <f t="shared" si="519"/>
        <v>45376</v>
      </c>
      <c r="F4702" s="479"/>
      <c r="G4702" s="227" t="s">
        <v>1111</v>
      </c>
      <c r="H4702" s="227"/>
      <c r="I4702" s="228"/>
      <c r="J4702" s="229" t="s">
        <v>55</v>
      </c>
      <c r="K4702" s="294"/>
      <c r="L4702" s="230">
        <v>9725930</v>
      </c>
    </row>
    <row r="4703" spans="1:12" ht="11.25" customHeight="1" x14ac:dyDescent="0.2">
      <c r="A4703" s="221">
        <v>2024</v>
      </c>
      <c r="B4703" s="221">
        <v>3</v>
      </c>
      <c r="C4703" s="221">
        <v>27</v>
      </c>
      <c r="D4703" s="231">
        <f t="shared" si="514"/>
        <v>45378</v>
      </c>
      <c r="E4703" s="233">
        <f t="shared" si="517"/>
        <v>45378</v>
      </c>
      <c r="F4703" s="478" t="s">
        <v>1132</v>
      </c>
      <c r="G4703" s="222" t="s">
        <v>1111</v>
      </c>
      <c r="H4703" s="223" t="str" cm="1">
        <f t="array" ref="H4703">IFERROR(INDEX(INVESTOR_LIST[INVESTOR NAME],MATCH(I4703,INVESTOR_LIST[INVESTOR CODE],0),)," ")</f>
        <v xml:space="preserve"> </v>
      </c>
      <c r="I4703" s="223"/>
      <c r="J4703" s="224" t="s">
        <v>55</v>
      </c>
      <c r="K4703" s="167">
        <v>15000</v>
      </c>
      <c r="L4703" s="225"/>
    </row>
    <row r="4704" spans="1:12" ht="11.25" customHeight="1" x14ac:dyDescent="0.2">
      <c r="A4704" s="164">
        <v>2024</v>
      </c>
      <c r="B4704" s="164">
        <v>3</v>
      </c>
      <c r="C4704" s="164">
        <v>27</v>
      </c>
      <c r="D4704" s="156">
        <f t="shared" si="514"/>
        <v>45378</v>
      </c>
      <c r="E4704" s="235">
        <f t="shared" si="517"/>
        <v>45378</v>
      </c>
      <c r="F4704" s="480"/>
      <c r="G4704" s="208" t="s">
        <v>1111</v>
      </c>
      <c r="H4704" s="206" t="str" cm="1">
        <f t="array" ref="H4704">IFERROR(INDEX(INVESTOR_LIST[INVESTOR NAME],MATCH(I4704,INVESTOR_LIST[INVESTOR CODE],0),)," ")</f>
        <v xml:space="preserve"> </v>
      </c>
      <c r="J4704" s="165" t="s">
        <v>14</v>
      </c>
      <c r="L4704" s="205">
        <v>15100</v>
      </c>
    </row>
    <row r="4705" spans="1:12" ht="11.25" customHeight="1" x14ac:dyDescent="0.2">
      <c r="A4705" s="226">
        <v>2024</v>
      </c>
      <c r="B4705" s="226">
        <v>3</v>
      </c>
      <c r="C4705" s="226">
        <v>27</v>
      </c>
      <c r="D4705" s="232">
        <f t="shared" si="514"/>
        <v>45378</v>
      </c>
      <c r="E4705" s="234">
        <f t="shared" si="517"/>
        <v>45378</v>
      </c>
      <c r="F4705" s="479"/>
      <c r="G4705" s="227" t="s">
        <v>1111</v>
      </c>
      <c r="H4705" s="228" t="str" cm="1">
        <f t="array" ref="H4705">IFERROR(INDEX(INVESTOR_LIST[INVESTOR NAME],MATCH(I4705,INVESTOR_LIST[INVESTOR CODE],0),)," ")</f>
        <v xml:space="preserve"> </v>
      </c>
      <c r="I4705" s="228"/>
      <c r="J4705" s="229" t="s">
        <v>1112</v>
      </c>
      <c r="K4705" s="230">
        <v>100</v>
      </c>
      <c r="L4705" s="230"/>
    </row>
    <row r="4706" spans="1:12" ht="11.25" customHeight="1" x14ac:dyDescent="0.2">
      <c r="A4706" s="221">
        <v>2024</v>
      </c>
      <c r="B4706" s="221">
        <v>3</v>
      </c>
      <c r="C4706" s="221">
        <v>28</v>
      </c>
      <c r="D4706" s="231">
        <f t="shared" si="514"/>
        <v>45379</v>
      </c>
      <c r="E4706" s="233">
        <f t="shared" ref="E4706:E4708" si="520">DATE(A4706,B4706,C4706)</f>
        <v>45379</v>
      </c>
      <c r="F4706" s="478" t="s">
        <v>1115</v>
      </c>
      <c r="G4706" s="222" t="s">
        <v>1111</v>
      </c>
      <c r="H4706" s="223" t="str" cm="1">
        <f t="array" ref="H4706">IFERROR(INDEX(INVESTOR_LIST[INVESTOR NAME],MATCH(I4706,INVESTOR_LIST[INVESTOR CODE],0),)," ")</f>
        <v xml:space="preserve"> </v>
      </c>
      <c r="I4706" s="223"/>
      <c r="J4706" s="224" t="s">
        <v>55</v>
      </c>
      <c r="K4706" s="167">
        <v>50000</v>
      </c>
      <c r="L4706" s="225"/>
    </row>
    <row r="4707" spans="1:12" ht="11.25" customHeight="1" x14ac:dyDescent="0.2">
      <c r="A4707" s="164">
        <v>2024</v>
      </c>
      <c r="B4707" s="164">
        <v>3</v>
      </c>
      <c r="C4707" s="164">
        <v>28</v>
      </c>
      <c r="D4707" s="156">
        <f t="shared" si="514"/>
        <v>45379</v>
      </c>
      <c r="E4707" s="235">
        <f t="shared" si="520"/>
        <v>45379</v>
      </c>
      <c r="F4707" s="480"/>
      <c r="G4707" s="208" t="s">
        <v>1111</v>
      </c>
      <c r="H4707" s="206" t="str" cm="1">
        <f t="array" ref="H4707">IFERROR(INDEX(INVESTOR_LIST[INVESTOR NAME],MATCH(I4707,INVESTOR_LIST[INVESTOR CODE],0),)," ")</f>
        <v xml:space="preserve"> </v>
      </c>
      <c r="J4707" s="165" t="s">
        <v>14</v>
      </c>
      <c r="L4707" s="205">
        <v>50340</v>
      </c>
    </row>
    <row r="4708" spans="1:12" ht="11.25" customHeight="1" x14ac:dyDescent="0.2">
      <c r="A4708" s="226">
        <v>2024</v>
      </c>
      <c r="B4708" s="226">
        <v>3</v>
      </c>
      <c r="C4708" s="226">
        <v>28</v>
      </c>
      <c r="D4708" s="232">
        <f t="shared" si="514"/>
        <v>45379</v>
      </c>
      <c r="E4708" s="234">
        <f t="shared" si="520"/>
        <v>45379</v>
      </c>
      <c r="F4708" s="479"/>
      <c r="G4708" s="227" t="s">
        <v>1111</v>
      </c>
      <c r="H4708" s="228" t="str" cm="1">
        <f t="array" ref="H4708">IFERROR(INDEX(INVESTOR_LIST[INVESTOR NAME],MATCH(I4708,INVESTOR_LIST[INVESTOR CODE],0),)," ")</f>
        <v xml:space="preserve"> </v>
      </c>
      <c r="I4708" s="228"/>
      <c r="J4708" s="229" t="s">
        <v>1112</v>
      </c>
      <c r="K4708" s="230">
        <v>340</v>
      </c>
      <c r="L4708" s="230"/>
    </row>
    <row r="4709" spans="1:12" ht="11.25" customHeight="1" x14ac:dyDescent="0.2">
      <c r="A4709" s="221">
        <v>2024</v>
      </c>
      <c r="B4709" s="221">
        <v>3</v>
      </c>
      <c r="C4709" s="221">
        <v>28</v>
      </c>
      <c r="D4709" s="231">
        <f t="shared" si="514"/>
        <v>45379</v>
      </c>
      <c r="E4709" s="233">
        <f t="shared" si="517"/>
        <v>45379</v>
      </c>
      <c r="F4709" s="478" t="s">
        <v>1399</v>
      </c>
      <c r="G4709" s="222" t="s">
        <v>1111</v>
      </c>
      <c r="H4709" s="223" t="str" cm="1">
        <f t="array" ref="H4709">IFERROR(INDEX(INVESTOR_LIST[INVESTOR NAME],MATCH(I4709,INVESTOR_LIST[INVESTOR CODE],0),)," ")</f>
        <v xml:space="preserve"> </v>
      </c>
      <c r="I4709" s="223"/>
      <c r="J4709" s="224" t="s">
        <v>53</v>
      </c>
      <c r="K4709" s="225">
        <v>30000</v>
      </c>
      <c r="L4709" s="225"/>
    </row>
    <row r="4710" spans="1:12" ht="11.25" customHeight="1" x14ac:dyDescent="0.2">
      <c r="A4710" s="164">
        <v>2024</v>
      </c>
      <c r="B4710" s="164">
        <v>3</v>
      </c>
      <c r="C4710" s="164">
        <v>28</v>
      </c>
      <c r="D4710" s="156">
        <f t="shared" si="514"/>
        <v>45379</v>
      </c>
      <c r="E4710" s="235">
        <f t="shared" ref="E4710" si="521">DATE(A4710,B4710,C4710)</f>
        <v>45379</v>
      </c>
      <c r="F4710" s="480"/>
      <c r="G4710" s="208" t="s">
        <v>1111</v>
      </c>
      <c r="J4710" s="165" t="s">
        <v>128</v>
      </c>
      <c r="K4710" s="205">
        <v>4500</v>
      </c>
      <c r="L4710" s="205"/>
    </row>
    <row r="4711" spans="1:12" ht="11.25" customHeight="1" x14ac:dyDescent="0.2">
      <c r="A4711" s="164">
        <v>2024</v>
      </c>
      <c r="B4711" s="164">
        <v>3</v>
      </c>
      <c r="C4711" s="164">
        <v>28</v>
      </c>
      <c r="D4711" s="156">
        <f t="shared" si="514"/>
        <v>45379</v>
      </c>
      <c r="E4711" s="235">
        <f t="shared" si="517"/>
        <v>45379</v>
      </c>
      <c r="F4711" s="480"/>
      <c r="G4711" s="208" t="s">
        <v>1111</v>
      </c>
      <c r="J4711" s="165" t="s">
        <v>478</v>
      </c>
      <c r="K4711" s="205"/>
      <c r="L4711" s="205">
        <v>3000</v>
      </c>
    </row>
    <row r="4712" spans="1:12" ht="11.25" customHeight="1" x14ac:dyDescent="0.2">
      <c r="A4712" s="226">
        <v>2024</v>
      </c>
      <c r="B4712" s="226">
        <v>3</v>
      </c>
      <c r="C4712" s="226">
        <v>28</v>
      </c>
      <c r="D4712" s="232">
        <f t="shared" si="514"/>
        <v>45379</v>
      </c>
      <c r="E4712" s="234">
        <f t="shared" si="517"/>
        <v>45379</v>
      </c>
      <c r="F4712" s="479"/>
      <c r="G4712" s="227" t="s">
        <v>1111</v>
      </c>
      <c r="H4712" s="228" t="str" cm="1">
        <f t="array" ref="H4712">IFERROR(INDEX(INVESTOR_LIST[INVESTOR NAME],MATCH(I4712,INVESTOR_LIST[INVESTOR CODE],0),)," ")</f>
        <v xml:space="preserve"> </v>
      </c>
      <c r="I4712" s="228"/>
      <c r="J4712" s="229" t="s">
        <v>55</v>
      </c>
      <c r="K4712" s="230"/>
      <c r="L4712" s="230">
        <v>31500</v>
      </c>
    </row>
    <row r="4713" spans="1:12" ht="11.25" customHeight="1" x14ac:dyDescent="0.2">
      <c r="A4713" s="221">
        <v>2024</v>
      </c>
      <c r="B4713" s="221">
        <v>3</v>
      </c>
      <c r="C4713" s="221">
        <v>28</v>
      </c>
      <c r="D4713" s="221">
        <f t="shared" si="514"/>
        <v>45379</v>
      </c>
      <c r="E4713" s="233">
        <f>DATE(A4713,B4713,C4713)</f>
        <v>45379</v>
      </c>
      <c r="F4713" s="478" t="s">
        <v>1589</v>
      </c>
      <c r="G4713" s="222" t="s">
        <v>86</v>
      </c>
      <c r="H4713" s="222" t="str" cm="1">
        <f t="array" ref="H4713">IFERROR(INDEX(INVESTOR_LIST[INVESTOR NAME],MATCH(I4713,INVESTOR_LIST[INVESTOR CODE],0),)," ")</f>
        <v xml:space="preserve"> </v>
      </c>
      <c r="I4713" s="223"/>
      <c r="J4713" s="165" t="s">
        <v>199</v>
      </c>
      <c r="K4713" s="225">
        <v>2800250.46</v>
      </c>
      <c r="L4713" s="225"/>
    </row>
    <row r="4714" spans="1:12" ht="11.25" customHeight="1" x14ac:dyDescent="0.2">
      <c r="A4714" s="164">
        <v>2024</v>
      </c>
      <c r="B4714" s="164">
        <v>3</v>
      </c>
      <c r="C4714" s="164">
        <v>28</v>
      </c>
      <c r="D4714" s="164">
        <f t="shared" si="514"/>
        <v>45379</v>
      </c>
      <c r="E4714" s="235">
        <f>DATE(A4714,B4714,C4714)</f>
        <v>45379</v>
      </c>
      <c r="F4714" s="480"/>
      <c r="G4714" s="208" t="s">
        <v>86</v>
      </c>
      <c r="H4714" s="208"/>
      <c r="J4714" s="165" t="s">
        <v>960</v>
      </c>
      <c r="K4714" s="205">
        <v>5049.54</v>
      </c>
      <c r="L4714" s="205"/>
    </row>
    <row r="4715" spans="1:12" ht="11.25" customHeight="1" x14ac:dyDescent="0.2">
      <c r="A4715" s="164">
        <v>2024</v>
      </c>
      <c r="B4715" s="164">
        <v>3</v>
      </c>
      <c r="C4715" s="164">
        <v>28</v>
      </c>
      <c r="D4715" s="164">
        <f t="shared" si="514"/>
        <v>45379</v>
      </c>
      <c r="E4715" s="235">
        <f>DATE(A4715,B4715,C4715)</f>
        <v>45379</v>
      </c>
      <c r="F4715" s="480"/>
      <c r="G4715" s="208" t="s">
        <v>86</v>
      </c>
      <c r="H4715" s="208"/>
      <c r="J4715" s="165" t="s">
        <v>200</v>
      </c>
      <c r="K4715" s="205">
        <v>194700</v>
      </c>
      <c r="L4715" s="205"/>
    </row>
    <row r="4716" spans="1:12" ht="11.25" customHeight="1" x14ac:dyDescent="0.2">
      <c r="A4716" s="226">
        <v>2024</v>
      </c>
      <c r="B4716" s="226">
        <v>3</v>
      </c>
      <c r="C4716" s="226">
        <v>28</v>
      </c>
      <c r="D4716" s="226">
        <f t="shared" si="514"/>
        <v>45379</v>
      </c>
      <c r="E4716" s="234">
        <f>DATE(A4716,B4716,C4716)</f>
        <v>45379</v>
      </c>
      <c r="F4716" s="479"/>
      <c r="G4716" s="227" t="s">
        <v>86</v>
      </c>
      <c r="H4716" s="228" t="str" cm="1">
        <f t="array" ref="H4716">IFERROR(INDEX(INVESTOR_LIST[INVESTOR NAME],MATCH(I4716,INVESTOR_LIST[INVESTOR CODE],0),)," ")</f>
        <v xml:space="preserve"> </v>
      </c>
      <c r="I4716" s="228"/>
      <c r="J4716" s="229" t="s">
        <v>80</v>
      </c>
      <c r="K4716" s="230"/>
      <c r="L4716" s="230">
        <v>3000000</v>
      </c>
    </row>
    <row r="4717" spans="1:12" ht="11.25" customHeight="1" x14ac:dyDescent="0.2">
      <c r="A4717" s="221">
        <v>2024</v>
      </c>
      <c r="B4717" s="221">
        <v>3</v>
      </c>
      <c r="C4717" s="221">
        <v>28</v>
      </c>
      <c r="D4717" s="231">
        <f t="shared" si="514"/>
        <v>45379</v>
      </c>
      <c r="E4717" s="233">
        <f t="shared" ref="E4717:E4718" si="522">DATE(A4717,B4717,C4717)</f>
        <v>45379</v>
      </c>
      <c r="F4717" s="478" t="s">
        <v>1670</v>
      </c>
      <c r="G4717" s="222" t="s">
        <v>1111</v>
      </c>
      <c r="H4717" s="223" t="str" cm="1">
        <f t="array" ref="H4717">IFERROR(INDEX(INVESTOR_LIST[INVESTOR NAME],MATCH(I4717,INVESTOR_LIST[INVESTOR CODE],0),)," ")</f>
        <v xml:space="preserve"> </v>
      </c>
      <c r="I4717" s="223"/>
      <c r="J4717" s="224" t="s">
        <v>63</v>
      </c>
      <c r="K4717" s="225">
        <v>10</v>
      </c>
      <c r="L4717" s="225"/>
    </row>
    <row r="4718" spans="1:12" ht="11.25" customHeight="1" x14ac:dyDescent="0.2">
      <c r="A4718" s="226">
        <v>2024</v>
      </c>
      <c r="B4718" s="226">
        <v>3</v>
      </c>
      <c r="C4718" s="226">
        <v>28</v>
      </c>
      <c r="D4718" s="232">
        <f t="shared" si="514"/>
        <v>45379</v>
      </c>
      <c r="E4718" s="234">
        <f t="shared" si="522"/>
        <v>45379</v>
      </c>
      <c r="F4718" s="479"/>
      <c r="G4718" s="227" t="s">
        <v>1111</v>
      </c>
      <c r="H4718" s="228" t="str" cm="1">
        <f t="array" ref="H4718">IFERROR(INDEX(INVESTOR_LIST[INVESTOR NAME],MATCH(I4718,INVESTOR_LIST[INVESTOR CODE],0),)," ")</f>
        <v xml:space="preserve"> </v>
      </c>
      <c r="I4718" s="228"/>
      <c r="J4718" s="229" t="s">
        <v>55</v>
      </c>
      <c r="K4718" s="230"/>
      <c r="L4718" s="230">
        <v>10</v>
      </c>
    </row>
    <row r="4719" spans="1:12" ht="11.25" customHeight="1" x14ac:dyDescent="0.2">
      <c r="A4719" s="280">
        <v>2024</v>
      </c>
      <c r="B4719" s="280">
        <v>3</v>
      </c>
      <c r="C4719" s="280">
        <v>28</v>
      </c>
      <c r="D4719" s="281">
        <f t="shared" si="514"/>
        <v>45379</v>
      </c>
      <c r="E4719" s="282">
        <f t="shared" si="517"/>
        <v>45379</v>
      </c>
      <c r="F4719" s="472" t="s">
        <v>1584</v>
      </c>
      <c r="G4719" s="283" t="s">
        <v>86</v>
      </c>
      <c r="H4719" s="284" t="str" cm="1">
        <f t="array" ref="H4719">IFERROR(INDEX(INVESTOR_LIST[INVESTOR NAME],MATCH(I4719,INVESTOR_LIST[INVESTOR CODE],0),)," ")</f>
        <v xml:space="preserve"> </v>
      </c>
      <c r="I4719" s="284"/>
      <c r="J4719" s="285" t="s">
        <v>131</v>
      </c>
      <c r="K4719" s="286">
        <v>7884.6153846153848</v>
      </c>
      <c r="L4719" s="286"/>
    </row>
    <row r="4720" spans="1:12" ht="11.25" customHeight="1" x14ac:dyDescent="0.2">
      <c r="A4720" s="287">
        <v>2024</v>
      </c>
      <c r="B4720" s="287">
        <v>3</v>
      </c>
      <c r="C4720" s="287">
        <v>28</v>
      </c>
      <c r="D4720" s="288">
        <f t="shared" si="514"/>
        <v>45379</v>
      </c>
      <c r="E4720" s="289">
        <f t="shared" si="517"/>
        <v>45379</v>
      </c>
      <c r="F4720" s="473"/>
      <c r="G4720" s="290" t="s">
        <v>86</v>
      </c>
      <c r="H4720" s="291" t="str" cm="1">
        <f t="array" ref="H4720">IFERROR(INDEX(INVESTOR_LIST[INVESTOR NAME],MATCH(I4720,INVESTOR_LIST[INVESTOR CODE],0),)," ")</f>
        <v xml:space="preserve"> </v>
      </c>
      <c r="I4720" s="291"/>
      <c r="J4720" s="292" t="s">
        <v>174</v>
      </c>
      <c r="K4720" s="293"/>
      <c r="L4720" s="293">
        <v>7884.6153846153848</v>
      </c>
    </row>
    <row r="4721" spans="1:13" ht="11.25" customHeight="1" x14ac:dyDescent="0.2">
      <c r="A4721" s="358">
        <v>2024</v>
      </c>
      <c r="B4721" s="358">
        <v>3</v>
      </c>
      <c r="C4721" s="358">
        <v>28</v>
      </c>
      <c r="D4721" s="312">
        <f t="shared" si="514"/>
        <v>45379</v>
      </c>
      <c r="E4721" s="313">
        <f>DATE(A4721,B4721,C4721)</f>
        <v>45379</v>
      </c>
      <c r="F4721" s="482" t="s">
        <v>1627</v>
      </c>
      <c r="G4721" s="314" t="s">
        <v>86</v>
      </c>
      <c r="H4721" s="324" t="str" cm="1">
        <f t="array" ref="H4721">IFERROR(INDEX(INVESTOR_LIST[INVESTOR NAME],MATCH(I4721,INVESTOR_LIST[INVESTOR CODE],0),)," ")</f>
        <v xml:space="preserve"> </v>
      </c>
      <c r="I4721" s="324"/>
      <c r="J4721" s="364" t="s">
        <v>1621</v>
      </c>
      <c r="K4721" s="365">
        <v>152931.29999999702</v>
      </c>
      <c r="L4721" s="365"/>
    </row>
    <row r="4722" spans="1:13" ht="11.25" customHeight="1" x14ac:dyDescent="0.2">
      <c r="A4722" s="320">
        <v>2024</v>
      </c>
      <c r="B4722" s="320">
        <v>3</v>
      </c>
      <c r="C4722" s="320">
        <v>28</v>
      </c>
      <c r="D4722" s="323">
        <f t="shared" si="514"/>
        <v>45379</v>
      </c>
      <c r="E4722" s="321">
        <f t="shared" ref="E4722:E4732" si="523">DATE(A4722,B4722,C4722)</f>
        <v>45379</v>
      </c>
      <c r="F4722" s="483"/>
      <c r="G4722" s="322" t="s">
        <v>86</v>
      </c>
      <c r="H4722" s="325" t="str" cm="1">
        <f t="array" ref="H4722">IFERROR(INDEX(INVESTOR_LIST[INVESTOR NAME],MATCH(I4722,INVESTOR_LIST[INVESTOR CODE],0),)," ")</f>
        <v xml:space="preserve"> </v>
      </c>
      <c r="I4722" s="325"/>
      <c r="J4722" s="366" t="s">
        <v>1613</v>
      </c>
      <c r="K4722" s="367"/>
      <c r="L4722" s="367">
        <v>152931.29999999702</v>
      </c>
    </row>
    <row r="4723" spans="1:13" ht="11.25" customHeight="1" x14ac:dyDescent="0.2">
      <c r="A4723" s="236">
        <v>2024</v>
      </c>
      <c r="B4723" s="236">
        <v>3</v>
      </c>
      <c r="C4723" s="236">
        <v>28</v>
      </c>
      <c r="D4723" s="237">
        <f t="shared" si="514"/>
        <v>45379</v>
      </c>
      <c r="E4723" s="238">
        <f t="shared" si="523"/>
        <v>45379</v>
      </c>
      <c r="F4723" s="476" t="s">
        <v>1118</v>
      </c>
      <c r="G4723" s="239" t="s">
        <v>86</v>
      </c>
      <c r="H4723" s="239" t="str" cm="1">
        <f t="array" ref="H4723">IFERROR(INDEX(INVESTOR_LIST[INVESTOR NAME],MATCH(I4723,INVESTOR_LIST[INVESTOR CODE],0),)," ")</f>
        <v xml:space="preserve"> </v>
      </c>
      <c r="I4723" s="240"/>
      <c r="J4723" s="241" t="s">
        <v>82</v>
      </c>
      <c r="K4723" s="242">
        <v>511490.39999999851</v>
      </c>
      <c r="L4723" s="242"/>
    </row>
    <row r="4724" spans="1:13" ht="11.25" customHeight="1" x14ac:dyDescent="0.2">
      <c r="A4724" s="243">
        <v>2024</v>
      </c>
      <c r="B4724" s="243">
        <v>3</v>
      </c>
      <c r="C4724" s="243">
        <v>28</v>
      </c>
      <c r="D4724" s="248">
        <f t="shared" si="514"/>
        <v>45379</v>
      </c>
      <c r="E4724" s="249">
        <f t="shared" si="523"/>
        <v>45379</v>
      </c>
      <c r="F4724" s="477"/>
      <c r="G4724" s="244" t="s">
        <v>86</v>
      </c>
      <c r="H4724" s="244" t="str" cm="1">
        <f t="array" ref="H4724">IFERROR(INDEX(INVESTOR_LIST[INVESTOR NAME],MATCH(I4724,INVESTOR_LIST[INVESTOR CODE],0),)," ")</f>
        <v xml:space="preserve"> </v>
      </c>
      <c r="I4724" s="245"/>
      <c r="J4724" s="246" t="s">
        <v>98</v>
      </c>
      <c r="K4724" s="247"/>
      <c r="L4724" s="247">
        <v>511490.39999999851</v>
      </c>
    </row>
    <row r="4725" spans="1:13" ht="11.25" customHeight="1" x14ac:dyDescent="0.2">
      <c r="A4725" s="236">
        <v>2024</v>
      </c>
      <c r="B4725" s="236">
        <v>3</v>
      </c>
      <c r="C4725" s="236">
        <v>28</v>
      </c>
      <c r="D4725" s="237">
        <f t="shared" si="514"/>
        <v>45379</v>
      </c>
      <c r="E4725" s="238">
        <f t="shared" si="523"/>
        <v>45379</v>
      </c>
      <c r="F4725" s="476" t="s">
        <v>1120</v>
      </c>
      <c r="G4725" s="239" t="s">
        <v>86</v>
      </c>
      <c r="H4725" s="239" t="str" cm="1">
        <f t="array" ref="H4725">IFERROR(INDEX(INVESTOR_LIST[INVESTOR NAME],MATCH(I4725,INVESTOR_LIST[INVESTOR CODE],0),)," ")</f>
        <v xml:space="preserve"> </v>
      </c>
      <c r="I4725" s="240"/>
      <c r="J4725" s="241" t="s">
        <v>87</v>
      </c>
      <c r="K4725" s="242">
        <v>2747.2527472527472</v>
      </c>
      <c r="L4725" s="242"/>
    </row>
    <row r="4726" spans="1:13" ht="11.25" customHeight="1" x14ac:dyDescent="0.2">
      <c r="A4726" s="243">
        <v>2024</v>
      </c>
      <c r="B4726" s="243">
        <v>3</v>
      </c>
      <c r="C4726" s="243">
        <v>28</v>
      </c>
      <c r="D4726" s="248">
        <f t="shared" si="514"/>
        <v>45379</v>
      </c>
      <c r="E4726" s="249">
        <f t="shared" si="523"/>
        <v>45379</v>
      </c>
      <c r="F4726" s="477"/>
      <c r="G4726" s="244" t="s">
        <v>86</v>
      </c>
      <c r="H4726" s="244" t="str" cm="1">
        <f t="array" ref="H4726">IFERROR(INDEX(INVESTOR_LIST[INVESTOR NAME],MATCH(I4726,INVESTOR_LIST[INVESTOR CODE],0),)," ")</f>
        <v xml:space="preserve"> </v>
      </c>
      <c r="I4726" s="245"/>
      <c r="J4726" s="246" t="s">
        <v>64</v>
      </c>
      <c r="K4726" s="247"/>
      <c r="L4726" s="247">
        <v>2747.2527472527472</v>
      </c>
    </row>
    <row r="4727" spans="1:13" ht="11.25" customHeight="1" x14ac:dyDescent="0.2">
      <c r="A4727" s="236">
        <v>2024</v>
      </c>
      <c r="B4727" s="236">
        <v>3</v>
      </c>
      <c r="C4727" s="236">
        <v>28</v>
      </c>
      <c r="D4727" s="237">
        <f t="shared" si="514"/>
        <v>45379</v>
      </c>
      <c r="E4727" s="238">
        <f t="shared" si="523"/>
        <v>45379</v>
      </c>
      <c r="F4727" s="476" t="s">
        <v>1121</v>
      </c>
      <c r="G4727" s="239" t="s">
        <v>86</v>
      </c>
      <c r="H4727" s="239" t="str" cm="1">
        <f t="array" ref="H4727">IFERROR(INDEX(INVESTOR_LIST[INVESTOR NAME],MATCH(I4727,INVESTOR_LIST[INVESTOR CODE],0),)," ")</f>
        <v xml:space="preserve"> </v>
      </c>
      <c r="I4727" s="240"/>
      <c r="J4727" s="241" t="s">
        <v>89</v>
      </c>
      <c r="K4727" s="242">
        <f>M4727</f>
        <v>66377.136952166591</v>
      </c>
      <c r="L4727" s="242"/>
      <c r="M4727" s="156">
        <v>66377.136952166591</v>
      </c>
    </row>
    <row r="4728" spans="1:13" ht="11.25" customHeight="1" x14ac:dyDescent="0.2">
      <c r="A4728" s="243">
        <v>2024</v>
      </c>
      <c r="B4728" s="243">
        <v>3</v>
      </c>
      <c r="C4728" s="243">
        <v>28</v>
      </c>
      <c r="D4728" s="248">
        <f t="shared" si="514"/>
        <v>45379</v>
      </c>
      <c r="E4728" s="249">
        <f t="shared" si="523"/>
        <v>45379</v>
      </c>
      <c r="F4728" s="477"/>
      <c r="G4728" s="244" t="s">
        <v>86</v>
      </c>
      <c r="H4728" s="244" t="str" cm="1">
        <f t="array" ref="H4728">IFERROR(INDEX(INVESTOR_LIST[INVESTOR NAME],MATCH(I4728,INVESTOR_LIST[INVESTOR CODE],0),)," ")</f>
        <v xml:space="preserve"> </v>
      </c>
      <c r="I4728" s="245"/>
      <c r="J4728" s="246" t="s">
        <v>50</v>
      </c>
      <c r="K4728" s="247"/>
      <c r="L4728" s="247">
        <f>K4727</f>
        <v>66377.136952166591</v>
      </c>
      <c r="M4728" s="156">
        <v>3078.4722322237144</v>
      </c>
    </row>
    <row r="4729" spans="1:13" ht="11.25" customHeight="1" x14ac:dyDescent="0.2">
      <c r="A4729" s="236">
        <v>2024</v>
      </c>
      <c r="B4729" s="236">
        <v>3</v>
      </c>
      <c r="C4729" s="236">
        <v>28</v>
      </c>
      <c r="D4729" s="237">
        <f t="shared" si="514"/>
        <v>45379</v>
      </c>
      <c r="E4729" s="238">
        <f t="shared" si="523"/>
        <v>45379</v>
      </c>
      <c r="F4729" s="476" t="s">
        <v>1122</v>
      </c>
      <c r="G4729" s="239" t="s">
        <v>86</v>
      </c>
      <c r="H4729" s="239" t="str" cm="1">
        <f t="array" ref="H4729">IFERROR(INDEX(INVESTOR_LIST[INVESTOR NAME],MATCH(I4729,INVESTOR_LIST[INVESTOR CODE],0),)," ")</f>
        <v xml:space="preserve"> </v>
      </c>
      <c r="I4729" s="240"/>
      <c r="J4729" s="241" t="s">
        <v>91</v>
      </c>
      <c r="K4729" s="242">
        <f>M4728</f>
        <v>3078.4722322237144</v>
      </c>
      <c r="L4729" s="242"/>
    </row>
    <row r="4730" spans="1:13" ht="11.25" customHeight="1" x14ac:dyDescent="0.2">
      <c r="A4730" s="243">
        <v>2024</v>
      </c>
      <c r="B4730" s="243">
        <v>3</v>
      </c>
      <c r="C4730" s="243">
        <v>28</v>
      </c>
      <c r="D4730" s="248">
        <f t="shared" si="514"/>
        <v>45379</v>
      </c>
      <c r="E4730" s="249">
        <f t="shared" si="523"/>
        <v>45379</v>
      </c>
      <c r="F4730" s="477"/>
      <c r="G4730" s="244" t="s">
        <v>86</v>
      </c>
      <c r="H4730" s="244" t="str" cm="1">
        <f t="array" ref="H4730">IFERROR(INDEX(INVESTOR_LIST[INVESTOR NAME],MATCH(I4730,INVESTOR_LIST[INVESTOR CODE],0),)," ")</f>
        <v xml:space="preserve"> </v>
      </c>
      <c r="I4730" s="245"/>
      <c r="J4730" s="246" t="s">
        <v>51</v>
      </c>
      <c r="K4730" s="247"/>
      <c r="L4730" s="247">
        <f>K4729</f>
        <v>3078.4722322237144</v>
      </c>
    </row>
    <row r="4731" spans="1:13" ht="11.25" customHeight="1" x14ac:dyDescent="0.2">
      <c r="A4731" s="221">
        <v>2024</v>
      </c>
      <c r="B4731" s="221">
        <v>3</v>
      </c>
      <c r="C4731" s="221">
        <v>31</v>
      </c>
      <c r="D4731" s="231">
        <f t="shared" si="514"/>
        <v>45382</v>
      </c>
      <c r="E4731" s="233">
        <f t="shared" si="523"/>
        <v>45382</v>
      </c>
      <c r="F4731" s="478" t="s">
        <v>1590</v>
      </c>
      <c r="G4731" s="222" t="s">
        <v>1111</v>
      </c>
      <c r="H4731" s="223" t="str" cm="1">
        <f t="array" ref="H4731">IFERROR(INDEX(INVESTOR_LIST[INVESTOR NAME],MATCH(I4731,INVESTOR_LIST[INVESTOR CODE],0),)," ")</f>
        <v xml:space="preserve"> </v>
      </c>
      <c r="I4731" s="223"/>
      <c r="J4731" s="224" t="s">
        <v>55</v>
      </c>
      <c r="K4731" s="225">
        <v>1496301.81</v>
      </c>
      <c r="L4731" s="225"/>
    </row>
    <row r="4732" spans="1:13" ht="11.25" customHeight="1" x14ac:dyDescent="0.2">
      <c r="A4732" s="226">
        <v>2024</v>
      </c>
      <c r="B4732" s="226">
        <v>3</v>
      </c>
      <c r="C4732" s="226">
        <v>31</v>
      </c>
      <c r="D4732" s="232">
        <f t="shared" si="514"/>
        <v>45382</v>
      </c>
      <c r="E4732" s="234">
        <f t="shared" si="523"/>
        <v>45382</v>
      </c>
      <c r="F4732" s="479"/>
      <c r="G4732" s="227" t="s">
        <v>1111</v>
      </c>
      <c r="H4732" s="228" t="str" cm="1">
        <f t="array" ref="H4732">IFERROR(INDEX(INVESTOR_LIST[INVESTOR NAME],MATCH(I4732,INVESTOR_LIST[INVESTOR CODE],0),)," ")</f>
        <v xml:space="preserve"> </v>
      </c>
      <c r="I4732" s="228"/>
      <c r="J4732" s="229" t="s">
        <v>199</v>
      </c>
      <c r="K4732" s="230"/>
      <c r="L4732" s="230">
        <v>1496301.81</v>
      </c>
    </row>
    <row r="4733" spans="1:13" ht="11.25" customHeight="1" x14ac:dyDescent="0.2">
      <c r="A4733" s="221">
        <v>2024</v>
      </c>
      <c r="B4733" s="221">
        <v>4</v>
      </c>
      <c r="C4733" s="221">
        <v>1</v>
      </c>
      <c r="D4733" s="221">
        <f t="shared" si="514"/>
        <v>45383</v>
      </c>
      <c r="E4733" s="233">
        <f>DATE(A4733,B4733,C4733)</f>
        <v>45383</v>
      </c>
      <c r="F4733" s="478" t="s">
        <v>1589</v>
      </c>
      <c r="G4733" s="222" t="s">
        <v>86</v>
      </c>
      <c r="H4733" s="222"/>
      <c r="I4733" s="223"/>
      <c r="J4733" s="165" t="s">
        <v>199</v>
      </c>
      <c r="K4733" s="225">
        <v>123818.32</v>
      </c>
      <c r="L4733" s="225"/>
    </row>
    <row r="4734" spans="1:13" ht="11.25" customHeight="1" x14ac:dyDescent="0.2">
      <c r="A4734" s="164">
        <v>2024</v>
      </c>
      <c r="B4734" s="164">
        <v>4</v>
      </c>
      <c r="C4734" s="164">
        <v>1</v>
      </c>
      <c r="D4734" s="164">
        <f t="shared" si="514"/>
        <v>45383</v>
      </c>
      <c r="E4734" s="235">
        <f>DATE(A4734,B4734,C4734)</f>
        <v>45383</v>
      </c>
      <c r="F4734" s="480"/>
      <c r="G4734" s="208" t="s">
        <v>86</v>
      </c>
      <c r="H4734" s="208"/>
      <c r="J4734" s="165" t="s">
        <v>960</v>
      </c>
      <c r="K4734" s="205">
        <v>223.28</v>
      </c>
      <c r="L4734" s="205"/>
    </row>
    <row r="4735" spans="1:13" ht="11.25" customHeight="1" x14ac:dyDescent="0.2">
      <c r="A4735" s="164">
        <v>2024</v>
      </c>
      <c r="B4735" s="164">
        <v>4</v>
      </c>
      <c r="C4735" s="164">
        <v>1</v>
      </c>
      <c r="D4735" s="164">
        <f t="shared" si="514"/>
        <v>45383</v>
      </c>
      <c r="E4735" s="235">
        <f>DATE(A4735,B4735,C4735)</f>
        <v>45383</v>
      </c>
      <c r="F4735" s="480"/>
      <c r="G4735" s="208" t="s">
        <v>86</v>
      </c>
      <c r="H4735" s="208"/>
      <c r="J4735" s="165" t="s">
        <v>200</v>
      </c>
      <c r="K4735" s="205"/>
      <c r="L4735" s="205">
        <v>89001.600000000006</v>
      </c>
    </row>
    <row r="4736" spans="1:13" ht="11.25" customHeight="1" x14ac:dyDescent="0.2">
      <c r="A4736" s="226">
        <v>2024</v>
      </c>
      <c r="B4736" s="226">
        <v>4</v>
      </c>
      <c r="C4736" s="226">
        <v>1</v>
      </c>
      <c r="D4736" s="226">
        <f t="shared" si="514"/>
        <v>45383</v>
      </c>
      <c r="E4736" s="234">
        <f>DATE(A4736,B4736,C4736)</f>
        <v>45383</v>
      </c>
      <c r="F4736" s="479"/>
      <c r="G4736" s="227" t="s">
        <v>86</v>
      </c>
      <c r="H4736" s="228"/>
      <c r="I4736" s="228"/>
      <c r="J4736" s="229" t="s">
        <v>80</v>
      </c>
      <c r="K4736" s="230"/>
      <c r="L4736" s="230">
        <v>35040</v>
      </c>
    </row>
    <row r="4737" spans="1:12" ht="11.25" customHeight="1" x14ac:dyDescent="0.2">
      <c r="A4737" s="221">
        <v>2024</v>
      </c>
      <c r="B4737" s="221">
        <v>4</v>
      </c>
      <c r="C4737" s="221">
        <v>2</v>
      </c>
      <c r="D4737" s="231">
        <f t="shared" si="514"/>
        <v>45384</v>
      </c>
      <c r="E4737" s="233">
        <f t="shared" ref="E4737:E4740" si="524">DATE(A4737,B4737,C4737)</f>
        <v>45384</v>
      </c>
      <c r="F4737" s="478" t="s">
        <v>1590</v>
      </c>
      <c r="G4737" s="222" t="s">
        <v>1111</v>
      </c>
      <c r="H4737" s="223"/>
      <c r="I4737" s="223"/>
      <c r="J4737" s="224" t="s">
        <v>55</v>
      </c>
      <c r="K4737" s="225">
        <v>2800250.46</v>
      </c>
      <c r="L4737" s="225"/>
    </row>
    <row r="4738" spans="1:12" ht="11.25" customHeight="1" x14ac:dyDescent="0.2">
      <c r="A4738" s="226">
        <v>2024</v>
      </c>
      <c r="B4738" s="226">
        <v>4</v>
      </c>
      <c r="C4738" s="226">
        <v>2</v>
      </c>
      <c r="D4738" s="232">
        <f t="shared" si="514"/>
        <v>45384</v>
      </c>
      <c r="E4738" s="234">
        <f t="shared" si="524"/>
        <v>45384</v>
      </c>
      <c r="F4738" s="479"/>
      <c r="G4738" s="227" t="s">
        <v>1111</v>
      </c>
      <c r="H4738" s="228"/>
      <c r="I4738" s="228"/>
      <c r="J4738" s="229" t="s">
        <v>199</v>
      </c>
      <c r="K4738" s="230"/>
      <c r="L4738" s="230">
        <v>2800250.46</v>
      </c>
    </row>
    <row r="4739" spans="1:12" ht="11.25" customHeight="1" x14ac:dyDescent="0.2">
      <c r="A4739" s="221">
        <v>2024</v>
      </c>
      <c r="B4739" s="221">
        <v>4</v>
      </c>
      <c r="C4739" s="221">
        <v>2</v>
      </c>
      <c r="D4739" s="231">
        <f t="shared" si="514"/>
        <v>45384</v>
      </c>
      <c r="E4739" s="233">
        <f t="shared" si="524"/>
        <v>45384</v>
      </c>
      <c r="F4739" s="478" t="s">
        <v>1711</v>
      </c>
      <c r="G4739" s="222" t="s">
        <v>1111</v>
      </c>
      <c r="H4739" s="223"/>
      <c r="I4739" s="223"/>
      <c r="J4739" s="224" t="s">
        <v>478</v>
      </c>
      <c r="K4739" s="225">
        <v>662072.51</v>
      </c>
      <c r="L4739" s="225"/>
    </row>
    <row r="4740" spans="1:12" ht="11.25" customHeight="1" x14ac:dyDescent="0.2">
      <c r="A4740" s="226">
        <v>2024</v>
      </c>
      <c r="B4740" s="226">
        <v>4</v>
      </c>
      <c r="C4740" s="226">
        <v>2</v>
      </c>
      <c r="D4740" s="232">
        <f t="shared" si="514"/>
        <v>45384</v>
      </c>
      <c r="E4740" s="234">
        <f t="shared" si="524"/>
        <v>45384</v>
      </c>
      <c r="F4740" s="479"/>
      <c r="G4740" s="227" t="s">
        <v>1111</v>
      </c>
      <c r="H4740" s="228"/>
      <c r="I4740" s="228"/>
      <c r="J4740" s="229" t="s">
        <v>55</v>
      </c>
      <c r="K4740" s="230"/>
      <c r="L4740" s="230">
        <v>662072.51</v>
      </c>
    </row>
    <row r="4741" spans="1:12" ht="11.25" customHeight="1" x14ac:dyDescent="0.2">
      <c r="A4741" s="221">
        <v>2024</v>
      </c>
      <c r="B4741" s="221">
        <v>4</v>
      </c>
      <c r="C4741" s="221">
        <v>2</v>
      </c>
      <c r="D4741" s="231">
        <f t="shared" si="514"/>
        <v>45384</v>
      </c>
      <c r="E4741" s="233">
        <f t="shared" ref="E4741:E4749" si="525">DATE(A4741,B4741,C4741)</f>
        <v>45384</v>
      </c>
      <c r="F4741" s="478" t="s">
        <v>1711</v>
      </c>
      <c r="G4741" s="222" t="s">
        <v>1111</v>
      </c>
      <c r="H4741" s="223"/>
      <c r="I4741" s="223"/>
      <c r="J4741" s="224" t="s">
        <v>478</v>
      </c>
      <c r="K4741" s="225">
        <v>5492.83</v>
      </c>
      <c r="L4741" s="225"/>
    </row>
    <row r="4742" spans="1:12" ht="11.25" customHeight="1" x14ac:dyDescent="0.2">
      <c r="A4742" s="164">
        <v>2024</v>
      </c>
      <c r="B4742" s="164">
        <v>4</v>
      </c>
      <c r="C4742" s="164">
        <v>2</v>
      </c>
      <c r="D4742" s="156">
        <f t="shared" si="514"/>
        <v>45384</v>
      </c>
      <c r="E4742" s="235">
        <f t="shared" si="525"/>
        <v>45384</v>
      </c>
      <c r="F4742" s="480"/>
      <c r="G4742" s="208" t="s">
        <v>1111</v>
      </c>
      <c r="J4742" s="165" t="s">
        <v>478</v>
      </c>
      <c r="K4742" s="205">
        <v>3000</v>
      </c>
      <c r="L4742" s="205"/>
    </row>
    <row r="4743" spans="1:12" ht="11.25" customHeight="1" x14ac:dyDescent="0.2">
      <c r="A4743" s="164">
        <v>2024</v>
      </c>
      <c r="B4743" s="164">
        <v>4</v>
      </c>
      <c r="C4743" s="164">
        <v>2</v>
      </c>
      <c r="D4743" s="156">
        <f t="shared" si="514"/>
        <v>45384</v>
      </c>
      <c r="E4743" s="235">
        <f t="shared" si="525"/>
        <v>45384</v>
      </c>
      <c r="F4743" s="480"/>
      <c r="G4743" s="208" t="s">
        <v>1111</v>
      </c>
      <c r="J4743" s="165" t="s">
        <v>1708</v>
      </c>
      <c r="K4743" s="205">
        <v>188</v>
      </c>
      <c r="L4743" s="205"/>
    </row>
    <row r="4744" spans="1:12" ht="11.25" customHeight="1" x14ac:dyDescent="0.2">
      <c r="A4744" s="164">
        <v>2024</v>
      </c>
      <c r="B4744" s="164">
        <v>4</v>
      </c>
      <c r="C4744" s="164">
        <v>2</v>
      </c>
      <c r="D4744" s="156">
        <f t="shared" si="514"/>
        <v>45384</v>
      </c>
      <c r="E4744" s="235">
        <f t="shared" ref="E4744" si="526">DATE(A4744,B4744,C4744)</f>
        <v>45384</v>
      </c>
      <c r="F4744" s="480"/>
      <c r="G4744" s="208" t="s">
        <v>1111</v>
      </c>
      <c r="J4744" s="165" t="s">
        <v>1707</v>
      </c>
      <c r="K4744" s="205">
        <v>150</v>
      </c>
      <c r="L4744" s="205"/>
    </row>
    <row r="4745" spans="1:12" ht="11.25" customHeight="1" x14ac:dyDescent="0.2">
      <c r="A4745" s="226">
        <v>2024</v>
      </c>
      <c r="B4745" s="226">
        <v>4</v>
      </c>
      <c r="C4745" s="226">
        <v>2</v>
      </c>
      <c r="D4745" s="232">
        <f t="shared" ref="D4745:D4808" si="527">DATE(A4745,B4745,C4745)</f>
        <v>45384</v>
      </c>
      <c r="E4745" s="234">
        <f t="shared" si="525"/>
        <v>45384</v>
      </c>
      <c r="F4745" s="479"/>
      <c r="G4745" s="227" t="s">
        <v>1111</v>
      </c>
      <c r="H4745" s="228"/>
      <c r="I4745" s="228"/>
      <c r="J4745" s="229" t="s">
        <v>55</v>
      </c>
      <c r="K4745" s="230"/>
      <c r="L4745" s="230">
        <v>8830.83</v>
      </c>
    </row>
    <row r="4746" spans="1:12" ht="11.25" customHeight="1" x14ac:dyDescent="0.2">
      <c r="A4746" s="221">
        <v>2024</v>
      </c>
      <c r="B4746" s="221">
        <v>4</v>
      </c>
      <c r="C4746" s="221">
        <v>3</v>
      </c>
      <c r="D4746" s="231">
        <f t="shared" si="527"/>
        <v>45385</v>
      </c>
      <c r="E4746" s="233">
        <f t="shared" si="525"/>
        <v>45385</v>
      </c>
      <c r="F4746" s="478" t="s">
        <v>1712</v>
      </c>
      <c r="G4746" s="222" t="s">
        <v>1111</v>
      </c>
      <c r="H4746" s="222"/>
      <c r="I4746" s="223"/>
      <c r="J4746" s="224" t="s">
        <v>1615</v>
      </c>
      <c r="K4746" s="357">
        <v>15009075.15</v>
      </c>
      <c r="L4746" s="225"/>
    </row>
    <row r="4747" spans="1:12" ht="11.25" customHeight="1" x14ac:dyDescent="0.2">
      <c r="A4747" s="226">
        <v>2024</v>
      </c>
      <c r="B4747" s="226">
        <v>4</v>
      </c>
      <c r="C4747" s="226">
        <v>3</v>
      </c>
      <c r="D4747" s="226">
        <f t="shared" si="527"/>
        <v>45385</v>
      </c>
      <c r="E4747" s="234">
        <f t="shared" si="525"/>
        <v>45385</v>
      </c>
      <c r="F4747" s="479"/>
      <c r="G4747" s="227" t="s">
        <v>1111</v>
      </c>
      <c r="H4747" s="227"/>
      <c r="I4747" s="228"/>
      <c r="J4747" s="229" t="s">
        <v>55</v>
      </c>
      <c r="K4747" s="294"/>
      <c r="L4747" s="230">
        <v>15009075.15</v>
      </c>
    </row>
    <row r="4748" spans="1:12" ht="11.25" customHeight="1" x14ac:dyDescent="0.2">
      <c r="A4748" s="280">
        <v>2024</v>
      </c>
      <c r="B4748" s="280">
        <v>4</v>
      </c>
      <c r="C4748" s="280">
        <v>3</v>
      </c>
      <c r="D4748" s="281">
        <f t="shared" si="527"/>
        <v>45385</v>
      </c>
      <c r="E4748" s="282">
        <f t="shared" si="525"/>
        <v>45385</v>
      </c>
      <c r="F4748" s="472" t="s">
        <v>1584</v>
      </c>
      <c r="G4748" s="283" t="s">
        <v>86</v>
      </c>
      <c r="H4748" s="284"/>
      <c r="I4748" s="284"/>
      <c r="J4748" s="285" t="s">
        <v>131</v>
      </c>
      <c r="K4748" s="286">
        <v>7884.6153846153848</v>
      </c>
      <c r="L4748" s="286"/>
    </row>
    <row r="4749" spans="1:12" ht="11.25" customHeight="1" x14ac:dyDescent="0.2">
      <c r="A4749" s="287">
        <v>2024</v>
      </c>
      <c r="B4749" s="287">
        <v>4</v>
      </c>
      <c r="C4749" s="287">
        <v>3</v>
      </c>
      <c r="D4749" s="288">
        <f t="shared" si="527"/>
        <v>45385</v>
      </c>
      <c r="E4749" s="289">
        <f t="shared" si="525"/>
        <v>45385</v>
      </c>
      <c r="F4749" s="473"/>
      <c r="G4749" s="290" t="s">
        <v>86</v>
      </c>
      <c r="H4749" s="291"/>
      <c r="I4749" s="291"/>
      <c r="J4749" s="292" t="s">
        <v>174</v>
      </c>
      <c r="K4749" s="293"/>
      <c r="L4749" s="293">
        <v>7884.6153846153848</v>
      </c>
    </row>
    <row r="4750" spans="1:12" ht="11.25" customHeight="1" x14ac:dyDescent="0.2">
      <c r="A4750" s="358">
        <v>2024</v>
      </c>
      <c r="B4750" s="358">
        <v>4</v>
      </c>
      <c r="C4750" s="358">
        <v>3</v>
      </c>
      <c r="D4750" s="312">
        <f t="shared" si="527"/>
        <v>45385</v>
      </c>
      <c r="E4750" s="313">
        <f>DATE(A4750,B4750,C4750)</f>
        <v>45385</v>
      </c>
      <c r="F4750" s="482" t="s">
        <v>1627</v>
      </c>
      <c r="G4750" s="314" t="s">
        <v>86</v>
      </c>
      <c r="H4750" s="324"/>
      <c r="I4750" s="324"/>
      <c r="J4750" s="364" t="s">
        <v>1621</v>
      </c>
      <c r="K4750" s="365">
        <v>178750</v>
      </c>
      <c r="L4750" s="365"/>
    </row>
    <row r="4751" spans="1:12" ht="11.25" customHeight="1" x14ac:dyDescent="0.2">
      <c r="A4751" s="320">
        <v>2024</v>
      </c>
      <c r="B4751" s="320">
        <v>4</v>
      </c>
      <c r="C4751" s="320">
        <v>3</v>
      </c>
      <c r="D4751" s="323">
        <f t="shared" si="527"/>
        <v>45385</v>
      </c>
      <c r="E4751" s="321">
        <f t="shared" ref="E4751:E4766" si="528">DATE(A4751,B4751,C4751)</f>
        <v>45385</v>
      </c>
      <c r="F4751" s="483"/>
      <c r="G4751" s="322" t="s">
        <v>86</v>
      </c>
      <c r="H4751" s="325"/>
      <c r="I4751" s="325"/>
      <c r="J4751" s="366" t="s">
        <v>1613</v>
      </c>
      <c r="K4751" s="367"/>
      <c r="L4751" s="367">
        <v>178750</v>
      </c>
    </row>
    <row r="4752" spans="1:12" ht="11.25" customHeight="1" x14ac:dyDescent="0.2">
      <c r="A4752" s="358">
        <v>2024</v>
      </c>
      <c r="B4752" s="358">
        <v>4</v>
      </c>
      <c r="C4752" s="358">
        <v>3</v>
      </c>
      <c r="D4752" s="312">
        <f t="shared" si="527"/>
        <v>45385</v>
      </c>
      <c r="E4752" s="313">
        <f>DATE(A4752,B4752,C4752)</f>
        <v>45385</v>
      </c>
      <c r="F4752" s="482" t="s">
        <v>1713</v>
      </c>
      <c r="G4752" s="314" t="s">
        <v>86</v>
      </c>
      <c r="H4752" s="324"/>
      <c r="I4752" s="324"/>
      <c r="J4752" s="364" t="s">
        <v>1614</v>
      </c>
      <c r="K4752" s="365">
        <v>13351.349999999627</v>
      </c>
      <c r="L4752" s="365"/>
    </row>
    <row r="4753" spans="1:13" ht="11.25" customHeight="1" x14ac:dyDescent="0.2">
      <c r="A4753" s="320">
        <v>2024</v>
      </c>
      <c r="B4753" s="320">
        <v>4</v>
      </c>
      <c r="C4753" s="320">
        <v>3</v>
      </c>
      <c r="D4753" s="323">
        <f t="shared" si="527"/>
        <v>45385</v>
      </c>
      <c r="E4753" s="321">
        <f t="shared" ref="E4753" si="529">DATE(A4753,B4753,C4753)</f>
        <v>45385</v>
      </c>
      <c r="F4753" s="483"/>
      <c r="G4753" s="322" t="s">
        <v>86</v>
      </c>
      <c r="H4753" s="325"/>
      <c r="I4753" s="325"/>
      <c r="J4753" s="366" t="s">
        <v>1622</v>
      </c>
      <c r="K4753" s="367"/>
      <c r="L4753" s="367">
        <v>13351.349999999627</v>
      </c>
    </row>
    <row r="4754" spans="1:13" ht="11.25" customHeight="1" x14ac:dyDescent="0.2">
      <c r="A4754" s="236">
        <v>2024</v>
      </c>
      <c r="B4754" s="236">
        <v>4</v>
      </c>
      <c r="C4754" s="236">
        <v>3</v>
      </c>
      <c r="D4754" s="237">
        <f t="shared" si="527"/>
        <v>45385</v>
      </c>
      <c r="E4754" s="238">
        <f t="shared" si="528"/>
        <v>45385</v>
      </c>
      <c r="F4754" s="476" t="s">
        <v>1118</v>
      </c>
      <c r="G4754" s="239" t="s">
        <v>86</v>
      </c>
      <c r="H4754" s="239"/>
      <c r="I4754" s="240"/>
      <c r="J4754" s="241" t="s">
        <v>82</v>
      </c>
      <c r="K4754" s="242">
        <v>441683.19999999553</v>
      </c>
      <c r="L4754" s="242"/>
    </row>
    <row r="4755" spans="1:13" ht="11.25" customHeight="1" x14ac:dyDescent="0.2">
      <c r="A4755" s="243">
        <v>2024</v>
      </c>
      <c r="B4755" s="243">
        <v>4</v>
      </c>
      <c r="C4755" s="243">
        <v>3</v>
      </c>
      <c r="D4755" s="248">
        <f t="shared" si="527"/>
        <v>45385</v>
      </c>
      <c r="E4755" s="249">
        <f t="shared" si="528"/>
        <v>45385</v>
      </c>
      <c r="F4755" s="477"/>
      <c r="G4755" s="244" t="s">
        <v>86</v>
      </c>
      <c r="H4755" s="244"/>
      <c r="I4755" s="245"/>
      <c r="J4755" s="246" t="s">
        <v>98</v>
      </c>
      <c r="K4755" s="247"/>
      <c r="L4755" s="247">
        <v>441683.19999999553</v>
      </c>
    </row>
    <row r="4756" spans="1:13" ht="11.25" customHeight="1" x14ac:dyDescent="0.2">
      <c r="A4756" s="236">
        <v>2024</v>
      </c>
      <c r="B4756" s="236">
        <v>4</v>
      </c>
      <c r="C4756" s="236">
        <v>3</v>
      </c>
      <c r="D4756" s="237">
        <f t="shared" si="527"/>
        <v>45385</v>
      </c>
      <c r="E4756" s="238">
        <f t="shared" si="528"/>
        <v>45385</v>
      </c>
      <c r="F4756" s="476" t="s">
        <v>1120</v>
      </c>
      <c r="G4756" s="239" t="s">
        <v>86</v>
      </c>
      <c r="H4756" s="239"/>
      <c r="I4756" s="240"/>
      <c r="J4756" s="241" t="s">
        <v>87</v>
      </c>
      <c r="K4756" s="242">
        <v>2747.2527472527472</v>
      </c>
      <c r="L4756" s="242"/>
    </row>
    <row r="4757" spans="1:13" ht="11.25" customHeight="1" x14ac:dyDescent="0.2">
      <c r="A4757" s="243">
        <v>2024</v>
      </c>
      <c r="B4757" s="243">
        <v>4</v>
      </c>
      <c r="C4757" s="243">
        <v>3</v>
      </c>
      <c r="D4757" s="248">
        <f t="shared" si="527"/>
        <v>45385</v>
      </c>
      <c r="E4757" s="249">
        <f t="shared" si="528"/>
        <v>45385</v>
      </c>
      <c r="F4757" s="477"/>
      <c r="G4757" s="244" t="s">
        <v>86</v>
      </c>
      <c r="H4757" s="244"/>
      <c r="I4757" s="245"/>
      <c r="J4757" s="246" t="s">
        <v>64</v>
      </c>
      <c r="K4757" s="247"/>
      <c r="L4757" s="247">
        <v>2747.2527472527472</v>
      </c>
    </row>
    <row r="4758" spans="1:13" ht="11.25" customHeight="1" x14ac:dyDescent="0.2">
      <c r="A4758" s="236">
        <v>2024</v>
      </c>
      <c r="B4758" s="236">
        <v>4</v>
      </c>
      <c r="C4758" s="236">
        <v>3</v>
      </c>
      <c r="D4758" s="237">
        <f t="shared" si="527"/>
        <v>45385</v>
      </c>
      <c r="E4758" s="238">
        <f t="shared" si="528"/>
        <v>45385</v>
      </c>
      <c r="F4758" s="476" t="s">
        <v>1121</v>
      </c>
      <c r="G4758" s="239" t="s">
        <v>86</v>
      </c>
      <c r="H4758" s="239"/>
      <c r="I4758" s="240"/>
      <c r="J4758" s="241" t="s">
        <v>89</v>
      </c>
      <c r="K4758" s="242">
        <f>M4758</f>
        <v>66306.343210250707</v>
      </c>
      <c r="L4758" s="242"/>
      <c r="M4758" s="156">
        <v>66306.343210250707</v>
      </c>
    </row>
    <row r="4759" spans="1:13" ht="11.25" customHeight="1" x14ac:dyDescent="0.2">
      <c r="A4759" s="243">
        <v>2024</v>
      </c>
      <c r="B4759" s="243">
        <v>4</v>
      </c>
      <c r="C4759" s="243">
        <v>3</v>
      </c>
      <c r="D4759" s="248">
        <f t="shared" si="527"/>
        <v>45385</v>
      </c>
      <c r="E4759" s="249">
        <f t="shared" si="528"/>
        <v>45385</v>
      </c>
      <c r="F4759" s="477"/>
      <c r="G4759" s="244" t="s">
        <v>86</v>
      </c>
      <c r="H4759" s="244"/>
      <c r="I4759" s="245"/>
      <c r="J4759" s="246" t="s">
        <v>50</v>
      </c>
      <c r="K4759" s="247"/>
      <c r="L4759" s="247">
        <f>K4758</f>
        <v>66306.343210250707</v>
      </c>
      <c r="M4759" s="156">
        <v>3074.9325451279196</v>
      </c>
    </row>
    <row r="4760" spans="1:13" ht="11.25" customHeight="1" x14ac:dyDescent="0.2">
      <c r="A4760" s="236">
        <v>2024</v>
      </c>
      <c r="B4760" s="236">
        <v>4</v>
      </c>
      <c r="C4760" s="236">
        <v>3</v>
      </c>
      <c r="D4760" s="237">
        <f t="shared" si="527"/>
        <v>45385</v>
      </c>
      <c r="E4760" s="238">
        <f t="shared" si="528"/>
        <v>45385</v>
      </c>
      <c r="F4760" s="476" t="s">
        <v>1122</v>
      </c>
      <c r="G4760" s="239" t="s">
        <v>86</v>
      </c>
      <c r="H4760" s="239"/>
      <c r="I4760" s="240"/>
      <c r="J4760" s="241" t="s">
        <v>91</v>
      </c>
      <c r="K4760" s="242">
        <f>M4759</f>
        <v>3074.9325451279196</v>
      </c>
      <c r="L4760" s="242"/>
    </row>
    <row r="4761" spans="1:13" ht="11.25" customHeight="1" x14ac:dyDescent="0.2">
      <c r="A4761" s="243">
        <v>2024</v>
      </c>
      <c r="B4761" s="243">
        <v>4</v>
      </c>
      <c r="C4761" s="243">
        <v>3</v>
      </c>
      <c r="D4761" s="248">
        <f t="shared" si="527"/>
        <v>45385</v>
      </c>
      <c r="E4761" s="249">
        <f t="shared" si="528"/>
        <v>45385</v>
      </c>
      <c r="F4761" s="477"/>
      <c r="G4761" s="244" t="s">
        <v>86</v>
      </c>
      <c r="H4761" s="244"/>
      <c r="I4761" s="245"/>
      <c r="J4761" s="246" t="s">
        <v>51</v>
      </c>
      <c r="K4761" s="247"/>
      <c r="L4761" s="247">
        <f>K4760</f>
        <v>3074.9325451279196</v>
      </c>
    </row>
    <row r="4762" spans="1:13" ht="11.25" customHeight="1" x14ac:dyDescent="0.2">
      <c r="A4762" s="221">
        <v>2024</v>
      </c>
      <c r="B4762" s="221">
        <v>4</v>
      </c>
      <c r="C4762" s="221">
        <v>8</v>
      </c>
      <c r="D4762" s="231">
        <f t="shared" si="527"/>
        <v>45390</v>
      </c>
      <c r="E4762" s="233">
        <f t="shared" si="528"/>
        <v>45390</v>
      </c>
      <c r="F4762" s="478" t="s">
        <v>1590</v>
      </c>
      <c r="G4762" s="222" t="s">
        <v>1111</v>
      </c>
      <c r="H4762" s="223"/>
      <c r="I4762" s="223"/>
      <c r="J4762" s="224" t="s">
        <v>55</v>
      </c>
      <c r="K4762" s="225">
        <v>123818.32</v>
      </c>
      <c r="L4762" s="225"/>
    </row>
    <row r="4763" spans="1:13" ht="11.25" customHeight="1" x14ac:dyDescent="0.2">
      <c r="A4763" s="226">
        <v>2024</v>
      </c>
      <c r="B4763" s="226">
        <v>4</v>
      </c>
      <c r="C4763" s="226">
        <v>8</v>
      </c>
      <c r="D4763" s="232">
        <f t="shared" si="527"/>
        <v>45390</v>
      </c>
      <c r="E4763" s="234">
        <f t="shared" si="528"/>
        <v>45390</v>
      </c>
      <c r="F4763" s="479"/>
      <c r="G4763" s="227" t="s">
        <v>1111</v>
      </c>
      <c r="H4763" s="228"/>
      <c r="I4763" s="228"/>
      <c r="J4763" s="229" t="s">
        <v>199</v>
      </c>
      <c r="K4763" s="230"/>
      <c r="L4763" s="230">
        <v>123818.32</v>
      </c>
    </row>
    <row r="4764" spans="1:13" ht="11.25" customHeight="1" x14ac:dyDescent="0.2">
      <c r="A4764" s="221">
        <v>2024</v>
      </c>
      <c r="B4764" s="221">
        <v>4</v>
      </c>
      <c r="C4764" s="221">
        <v>8</v>
      </c>
      <c r="D4764" s="231">
        <f t="shared" si="527"/>
        <v>45390</v>
      </c>
      <c r="E4764" s="233">
        <f t="shared" si="528"/>
        <v>45390</v>
      </c>
      <c r="F4764" s="478" t="s">
        <v>1714</v>
      </c>
      <c r="G4764" s="222" t="s">
        <v>1111</v>
      </c>
      <c r="H4764" s="222"/>
      <c r="I4764" s="223"/>
      <c r="J4764" s="224" t="s">
        <v>55</v>
      </c>
      <c r="K4764" s="357">
        <v>1000000</v>
      </c>
      <c r="L4764" s="225"/>
    </row>
    <row r="4765" spans="1:13" ht="11.25" customHeight="1" x14ac:dyDescent="0.2">
      <c r="A4765" s="164">
        <v>2024</v>
      </c>
      <c r="B4765" s="164">
        <v>4</v>
      </c>
      <c r="C4765" s="164">
        <v>8</v>
      </c>
      <c r="D4765" s="164">
        <f t="shared" si="527"/>
        <v>45390</v>
      </c>
      <c r="E4765" s="235">
        <f t="shared" si="528"/>
        <v>45390</v>
      </c>
      <c r="F4765" s="480"/>
      <c r="G4765" s="208" t="s">
        <v>1111</v>
      </c>
      <c r="H4765" s="208"/>
      <c r="J4765" s="165" t="s">
        <v>1617</v>
      </c>
      <c r="K4765" s="263"/>
      <c r="L4765" s="205">
        <v>44900</v>
      </c>
    </row>
    <row r="4766" spans="1:13" ht="11.25" customHeight="1" x14ac:dyDescent="0.2">
      <c r="A4766" s="226">
        <v>2024</v>
      </c>
      <c r="B4766" s="226">
        <v>4</v>
      </c>
      <c r="C4766" s="226">
        <v>8</v>
      </c>
      <c r="D4766" s="226">
        <f t="shared" si="527"/>
        <v>45390</v>
      </c>
      <c r="E4766" s="234">
        <f t="shared" si="528"/>
        <v>45390</v>
      </c>
      <c r="F4766" s="479"/>
      <c r="G4766" s="227" t="s">
        <v>1111</v>
      </c>
      <c r="H4766" s="227"/>
      <c r="I4766" s="228"/>
      <c r="J4766" s="229" t="s">
        <v>1465</v>
      </c>
      <c r="K4766" s="294"/>
      <c r="L4766" s="230">
        <v>955100</v>
      </c>
    </row>
    <row r="4767" spans="1:13" ht="11.25" customHeight="1" x14ac:dyDescent="0.2">
      <c r="A4767" s="221">
        <v>2024</v>
      </c>
      <c r="B4767" s="221">
        <v>4</v>
      </c>
      <c r="C4767" s="221">
        <v>8</v>
      </c>
      <c r="D4767" s="231">
        <f t="shared" si="527"/>
        <v>45390</v>
      </c>
      <c r="E4767" s="233">
        <f t="shared" ref="E4767:E4774" si="530">DATE(A4767,B4767,C4767)</f>
        <v>45390</v>
      </c>
      <c r="F4767" s="478" t="s">
        <v>1715</v>
      </c>
      <c r="G4767" s="222" t="s">
        <v>1111</v>
      </c>
      <c r="H4767" s="222"/>
      <c r="I4767" s="223"/>
      <c r="J4767" s="224" t="s">
        <v>55</v>
      </c>
      <c r="K4767" s="357">
        <v>32000000</v>
      </c>
      <c r="L4767" s="225"/>
    </row>
    <row r="4768" spans="1:13" ht="11.25" customHeight="1" x14ac:dyDescent="0.2">
      <c r="A4768" s="164">
        <v>2024</v>
      </c>
      <c r="B4768" s="164">
        <v>4</v>
      </c>
      <c r="C4768" s="164">
        <v>8</v>
      </c>
      <c r="D4768" s="164">
        <f t="shared" si="527"/>
        <v>45390</v>
      </c>
      <c r="E4768" s="235">
        <f t="shared" si="530"/>
        <v>45390</v>
      </c>
      <c r="F4768" s="480"/>
      <c r="G4768" s="208" t="s">
        <v>1111</v>
      </c>
      <c r="H4768" s="208"/>
      <c r="J4768" s="165" t="s">
        <v>1617</v>
      </c>
      <c r="K4768" s="263"/>
      <c r="L4768" s="205">
        <v>675840</v>
      </c>
    </row>
    <row r="4769" spans="1:13" ht="11.25" customHeight="1" x14ac:dyDescent="0.2">
      <c r="A4769" s="226">
        <v>2024</v>
      </c>
      <c r="B4769" s="226">
        <v>4</v>
      </c>
      <c r="C4769" s="226">
        <v>8</v>
      </c>
      <c r="D4769" s="226">
        <f t="shared" si="527"/>
        <v>45390</v>
      </c>
      <c r="E4769" s="234">
        <f t="shared" si="530"/>
        <v>45390</v>
      </c>
      <c r="F4769" s="479"/>
      <c r="G4769" s="227" t="s">
        <v>1111</v>
      </c>
      <c r="H4769" s="227"/>
      <c r="I4769" s="228"/>
      <c r="J4769" s="229" t="s">
        <v>1465</v>
      </c>
      <c r="K4769" s="294"/>
      <c r="L4769" s="230">
        <v>31324160</v>
      </c>
    </row>
    <row r="4770" spans="1:13" ht="11.25" customHeight="1" x14ac:dyDescent="0.2">
      <c r="A4770" s="221">
        <v>2024</v>
      </c>
      <c r="B4770" s="221">
        <v>4</v>
      </c>
      <c r="C4770" s="221">
        <v>9</v>
      </c>
      <c r="D4770" s="231">
        <f t="shared" si="527"/>
        <v>45391</v>
      </c>
      <c r="E4770" s="233">
        <f t="shared" si="530"/>
        <v>45391</v>
      </c>
      <c r="F4770" s="478" t="s">
        <v>1470</v>
      </c>
      <c r="G4770" s="222" t="s">
        <v>1111</v>
      </c>
      <c r="H4770" s="223"/>
      <c r="I4770" s="223"/>
      <c r="J4770" s="224" t="s">
        <v>194</v>
      </c>
      <c r="K4770" s="225">
        <v>63167.53</v>
      </c>
      <c r="L4770" s="225"/>
    </row>
    <row r="4771" spans="1:13" ht="11.25" customHeight="1" x14ac:dyDescent="0.2">
      <c r="A4771" s="164">
        <v>2024</v>
      </c>
      <c r="B4771" s="164">
        <v>4</v>
      </c>
      <c r="C4771" s="164">
        <v>9</v>
      </c>
      <c r="D4771" s="156">
        <f t="shared" si="527"/>
        <v>45391</v>
      </c>
      <c r="E4771" s="235">
        <f t="shared" ref="E4771" si="531">DATE(A4771,B4771,C4771)</f>
        <v>45391</v>
      </c>
      <c r="F4771" s="480"/>
      <c r="G4771" s="208" t="s">
        <v>1111</v>
      </c>
      <c r="J4771" s="165" t="s">
        <v>478</v>
      </c>
      <c r="K4771" s="205"/>
      <c r="L4771" s="205">
        <v>5492.83</v>
      </c>
    </row>
    <row r="4772" spans="1:13" ht="11.25" customHeight="1" x14ac:dyDescent="0.2">
      <c r="A4772" s="226">
        <v>2024</v>
      </c>
      <c r="B4772" s="226">
        <v>4</v>
      </c>
      <c r="C4772" s="226">
        <v>9</v>
      </c>
      <c r="D4772" s="232">
        <f t="shared" si="527"/>
        <v>45391</v>
      </c>
      <c r="E4772" s="234">
        <f t="shared" si="530"/>
        <v>45391</v>
      </c>
      <c r="F4772" s="479"/>
      <c r="G4772" s="227" t="s">
        <v>1111</v>
      </c>
      <c r="H4772" s="228"/>
      <c r="I4772" s="228"/>
      <c r="J4772" s="229" t="s">
        <v>55</v>
      </c>
      <c r="K4772" s="230"/>
      <c r="L4772" s="230">
        <v>57674.7</v>
      </c>
    </row>
    <row r="4773" spans="1:13" ht="11.25" customHeight="1" x14ac:dyDescent="0.2">
      <c r="A4773" s="280">
        <v>2024</v>
      </c>
      <c r="B4773" s="280">
        <v>4</v>
      </c>
      <c r="C4773" s="280">
        <v>9</v>
      </c>
      <c r="D4773" s="281">
        <f t="shared" si="527"/>
        <v>45391</v>
      </c>
      <c r="E4773" s="282">
        <f t="shared" si="530"/>
        <v>45391</v>
      </c>
      <c r="F4773" s="472" t="s">
        <v>1584</v>
      </c>
      <c r="G4773" s="283" t="s">
        <v>86</v>
      </c>
      <c r="H4773" s="284"/>
      <c r="I4773" s="284"/>
      <c r="J4773" s="285" t="s">
        <v>131</v>
      </c>
      <c r="K4773" s="286">
        <v>7884.6153846153848</v>
      </c>
      <c r="L4773" s="286"/>
    </row>
    <row r="4774" spans="1:13" ht="11.25" customHeight="1" x14ac:dyDescent="0.2">
      <c r="A4774" s="287">
        <v>2024</v>
      </c>
      <c r="B4774" s="287">
        <v>4</v>
      </c>
      <c r="C4774" s="287">
        <v>9</v>
      </c>
      <c r="D4774" s="288">
        <f t="shared" si="527"/>
        <v>45391</v>
      </c>
      <c r="E4774" s="289">
        <f t="shared" si="530"/>
        <v>45391</v>
      </c>
      <c r="F4774" s="473"/>
      <c r="G4774" s="290" t="s">
        <v>86</v>
      </c>
      <c r="H4774" s="291"/>
      <c r="I4774" s="291"/>
      <c r="J4774" s="292" t="s">
        <v>174</v>
      </c>
      <c r="K4774" s="293"/>
      <c r="L4774" s="293">
        <v>7884.6153846153848</v>
      </c>
    </row>
    <row r="4775" spans="1:13" ht="11.25" customHeight="1" x14ac:dyDescent="0.2">
      <c r="A4775" s="358">
        <v>2024</v>
      </c>
      <c r="B4775" s="358">
        <v>4</v>
      </c>
      <c r="C4775" s="358">
        <v>9</v>
      </c>
      <c r="D4775" s="312">
        <f t="shared" si="527"/>
        <v>45391</v>
      </c>
      <c r="E4775" s="313">
        <f>DATE(A4775,B4775,C4775)</f>
        <v>45391</v>
      </c>
      <c r="F4775" s="482" t="s">
        <v>1627</v>
      </c>
      <c r="G4775" s="314" t="s">
        <v>86</v>
      </c>
      <c r="H4775" s="324"/>
      <c r="I4775" s="324"/>
      <c r="J4775" s="364" t="s">
        <v>1613</v>
      </c>
      <c r="K4775" s="365">
        <v>603752.79999999702</v>
      </c>
      <c r="L4775" s="365"/>
    </row>
    <row r="4776" spans="1:13" ht="11.25" customHeight="1" x14ac:dyDescent="0.2">
      <c r="A4776" s="320">
        <v>2024</v>
      </c>
      <c r="B4776" s="320">
        <v>4</v>
      </c>
      <c r="C4776" s="320">
        <v>9</v>
      </c>
      <c r="D4776" s="323">
        <f t="shared" si="527"/>
        <v>45391</v>
      </c>
      <c r="E4776" s="321">
        <f t="shared" ref="E4776" si="532">DATE(A4776,B4776,C4776)</f>
        <v>45391</v>
      </c>
      <c r="F4776" s="483"/>
      <c r="G4776" s="322" t="s">
        <v>86</v>
      </c>
      <c r="H4776" s="325"/>
      <c r="I4776" s="325"/>
      <c r="J4776" s="366" t="s">
        <v>1621</v>
      </c>
      <c r="K4776" s="367"/>
      <c r="L4776" s="367">
        <v>603752.79999999702</v>
      </c>
    </row>
    <row r="4777" spans="1:13" ht="11.25" customHeight="1" x14ac:dyDescent="0.2">
      <c r="A4777" s="358">
        <v>2024</v>
      </c>
      <c r="B4777" s="358">
        <v>4</v>
      </c>
      <c r="C4777" s="358">
        <v>9</v>
      </c>
      <c r="D4777" s="312">
        <f t="shared" si="527"/>
        <v>45391</v>
      </c>
      <c r="E4777" s="313">
        <f>DATE(A4777,B4777,C4777)</f>
        <v>45391</v>
      </c>
      <c r="F4777" s="482" t="s">
        <v>1713</v>
      </c>
      <c r="G4777" s="314" t="s">
        <v>86</v>
      </c>
      <c r="H4777" s="324"/>
      <c r="I4777" s="324"/>
      <c r="J4777" s="364" t="s">
        <v>1622</v>
      </c>
      <c r="K4777" s="365">
        <v>23948.549999998882</v>
      </c>
      <c r="L4777" s="365"/>
    </row>
    <row r="4778" spans="1:13" ht="11.25" customHeight="1" x14ac:dyDescent="0.2">
      <c r="A4778" s="320">
        <v>2024</v>
      </c>
      <c r="B4778" s="320">
        <v>4</v>
      </c>
      <c r="C4778" s="320">
        <v>9</v>
      </c>
      <c r="D4778" s="323">
        <f t="shared" si="527"/>
        <v>45391</v>
      </c>
      <c r="E4778" s="321">
        <f t="shared" ref="E4778:E4815" si="533">DATE(A4778,B4778,C4778)</f>
        <v>45391</v>
      </c>
      <c r="F4778" s="483"/>
      <c r="G4778" s="322" t="s">
        <v>86</v>
      </c>
      <c r="H4778" s="325"/>
      <c r="I4778" s="325"/>
      <c r="J4778" s="366" t="s">
        <v>1614</v>
      </c>
      <c r="K4778" s="367"/>
      <c r="L4778" s="367">
        <v>23948.549999998882</v>
      </c>
    </row>
    <row r="4779" spans="1:13" ht="11.25" customHeight="1" x14ac:dyDescent="0.2">
      <c r="A4779" s="236">
        <v>2024</v>
      </c>
      <c r="B4779" s="236">
        <v>4</v>
      </c>
      <c r="C4779" s="236">
        <v>9</v>
      </c>
      <c r="D4779" s="237">
        <f t="shared" si="527"/>
        <v>45391</v>
      </c>
      <c r="E4779" s="238">
        <f t="shared" si="533"/>
        <v>45391</v>
      </c>
      <c r="F4779" s="476" t="s">
        <v>1118</v>
      </c>
      <c r="G4779" s="239" t="s">
        <v>86</v>
      </c>
      <c r="H4779" s="239"/>
      <c r="I4779" s="240"/>
      <c r="J4779" s="241" t="s">
        <v>82</v>
      </c>
      <c r="K4779" s="242">
        <v>741511.30000000447</v>
      </c>
      <c r="L4779" s="242"/>
    </row>
    <row r="4780" spans="1:13" ht="11.25" customHeight="1" x14ac:dyDescent="0.2">
      <c r="A4780" s="243">
        <v>2024</v>
      </c>
      <c r="B4780" s="243">
        <v>4</v>
      </c>
      <c r="C4780" s="243">
        <v>9</v>
      </c>
      <c r="D4780" s="248">
        <f t="shared" si="527"/>
        <v>45391</v>
      </c>
      <c r="E4780" s="249">
        <f t="shared" si="533"/>
        <v>45391</v>
      </c>
      <c r="F4780" s="477"/>
      <c r="G4780" s="244" t="s">
        <v>86</v>
      </c>
      <c r="H4780" s="244"/>
      <c r="I4780" s="245"/>
      <c r="J4780" s="246" t="s">
        <v>98</v>
      </c>
      <c r="K4780" s="247"/>
      <c r="L4780" s="247">
        <v>741511.30000000447</v>
      </c>
    </row>
    <row r="4781" spans="1:13" ht="11.25" customHeight="1" x14ac:dyDescent="0.2">
      <c r="A4781" s="236">
        <v>2024</v>
      </c>
      <c r="B4781" s="236">
        <v>4</v>
      </c>
      <c r="C4781" s="236">
        <v>9</v>
      </c>
      <c r="D4781" s="237">
        <f t="shared" si="527"/>
        <v>45391</v>
      </c>
      <c r="E4781" s="238">
        <f t="shared" si="533"/>
        <v>45391</v>
      </c>
      <c r="F4781" s="476" t="s">
        <v>1120</v>
      </c>
      <c r="G4781" s="239" t="s">
        <v>86</v>
      </c>
      <c r="H4781" s="239"/>
      <c r="I4781" s="240"/>
      <c r="J4781" s="241" t="s">
        <v>87</v>
      </c>
      <c r="K4781" s="242">
        <v>2747.2527472527472</v>
      </c>
      <c r="L4781" s="242"/>
    </row>
    <row r="4782" spans="1:13" ht="11.25" customHeight="1" x14ac:dyDescent="0.2">
      <c r="A4782" s="243">
        <v>2024</v>
      </c>
      <c r="B4782" s="243">
        <v>4</v>
      </c>
      <c r="C4782" s="243">
        <v>9</v>
      </c>
      <c r="D4782" s="248">
        <f t="shared" si="527"/>
        <v>45391</v>
      </c>
      <c r="E4782" s="249">
        <f t="shared" si="533"/>
        <v>45391</v>
      </c>
      <c r="F4782" s="477"/>
      <c r="G4782" s="244" t="s">
        <v>86</v>
      </c>
      <c r="H4782" s="244"/>
      <c r="I4782" s="245"/>
      <c r="J4782" s="246" t="s">
        <v>64</v>
      </c>
      <c r="K4782" s="247"/>
      <c r="L4782" s="247">
        <v>2747.2527472527472</v>
      </c>
    </row>
    <row r="4783" spans="1:13" ht="11.25" customHeight="1" x14ac:dyDescent="0.2">
      <c r="A4783" s="236">
        <v>2024</v>
      </c>
      <c r="B4783" s="236">
        <v>4</v>
      </c>
      <c r="C4783" s="236">
        <v>9</v>
      </c>
      <c r="D4783" s="237">
        <f t="shared" si="527"/>
        <v>45391</v>
      </c>
      <c r="E4783" s="238">
        <f t="shared" si="533"/>
        <v>45391</v>
      </c>
      <c r="F4783" s="476" t="s">
        <v>1121</v>
      </c>
      <c r="G4783" s="239" t="s">
        <v>86</v>
      </c>
      <c r="H4783" s="239"/>
      <c r="I4783" s="240"/>
      <c r="J4783" s="241" t="s">
        <v>89</v>
      </c>
      <c r="K4783" s="242">
        <f>M4783</f>
        <v>66026.348212897617</v>
      </c>
      <c r="L4783" s="242"/>
      <c r="M4783" s="156">
        <v>66026.348212897617</v>
      </c>
    </row>
    <row r="4784" spans="1:13" ht="11.25" customHeight="1" x14ac:dyDescent="0.2">
      <c r="A4784" s="243">
        <v>2024</v>
      </c>
      <c r="B4784" s="243">
        <v>4</v>
      </c>
      <c r="C4784" s="243">
        <v>9</v>
      </c>
      <c r="D4784" s="248">
        <f t="shared" si="527"/>
        <v>45391</v>
      </c>
      <c r="E4784" s="249">
        <f t="shared" si="533"/>
        <v>45391</v>
      </c>
      <c r="F4784" s="477"/>
      <c r="G4784" s="244" t="s">
        <v>86</v>
      </c>
      <c r="H4784" s="244"/>
      <c r="I4784" s="245"/>
      <c r="J4784" s="246" t="s">
        <v>50</v>
      </c>
      <c r="K4784" s="247"/>
      <c r="L4784" s="247">
        <f>K4783</f>
        <v>66026.348212897617</v>
      </c>
      <c r="M4784" s="156">
        <v>3060.9327952602657</v>
      </c>
    </row>
    <row r="4785" spans="1:12" ht="11.25" customHeight="1" x14ac:dyDescent="0.2">
      <c r="A4785" s="236">
        <v>2024</v>
      </c>
      <c r="B4785" s="236">
        <v>4</v>
      </c>
      <c r="C4785" s="236">
        <v>9</v>
      </c>
      <c r="D4785" s="237">
        <f t="shared" si="527"/>
        <v>45391</v>
      </c>
      <c r="E4785" s="238">
        <f t="shared" si="533"/>
        <v>45391</v>
      </c>
      <c r="F4785" s="476" t="s">
        <v>1122</v>
      </c>
      <c r="G4785" s="239" t="s">
        <v>86</v>
      </c>
      <c r="H4785" s="239"/>
      <c r="I4785" s="240"/>
      <c r="J4785" s="241" t="s">
        <v>91</v>
      </c>
      <c r="K4785" s="242">
        <f>M4784</f>
        <v>3060.9327952602657</v>
      </c>
      <c r="L4785" s="242"/>
    </row>
    <row r="4786" spans="1:12" ht="11.25" customHeight="1" x14ac:dyDescent="0.2">
      <c r="A4786" s="243">
        <v>2024</v>
      </c>
      <c r="B4786" s="243">
        <v>4</v>
      </c>
      <c r="C4786" s="243">
        <v>9</v>
      </c>
      <c r="D4786" s="248">
        <f t="shared" si="527"/>
        <v>45391</v>
      </c>
      <c r="E4786" s="249">
        <f t="shared" si="533"/>
        <v>45391</v>
      </c>
      <c r="F4786" s="477"/>
      <c r="G4786" s="244" t="s">
        <v>86</v>
      </c>
      <c r="H4786" s="244"/>
      <c r="I4786" s="245"/>
      <c r="J4786" s="246" t="s">
        <v>51</v>
      </c>
      <c r="K4786" s="247"/>
      <c r="L4786" s="247">
        <f>K4785</f>
        <v>3060.9327952602657</v>
      </c>
    </row>
    <row r="4787" spans="1:12" ht="11.25" customHeight="1" x14ac:dyDescent="0.2">
      <c r="A4787" s="221">
        <v>2024</v>
      </c>
      <c r="B4787" s="221">
        <v>4</v>
      </c>
      <c r="C4787" s="221">
        <v>15</v>
      </c>
      <c r="D4787" s="231">
        <f t="shared" si="527"/>
        <v>45397</v>
      </c>
      <c r="E4787" s="233">
        <f t="shared" si="533"/>
        <v>45397</v>
      </c>
      <c r="F4787" s="478" t="s">
        <v>1716</v>
      </c>
      <c r="G4787" s="222" t="s">
        <v>1111</v>
      </c>
      <c r="H4787" s="222"/>
      <c r="I4787" s="223"/>
      <c r="J4787" s="224" t="s">
        <v>55</v>
      </c>
      <c r="K4787" s="357">
        <v>16200000</v>
      </c>
      <c r="L4787" s="225"/>
    </row>
    <row r="4788" spans="1:12" ht="11.25" customHeight="1" x14ac:dyDescent="0.2">
      <c r="A4788" s="164">
        <v>2024</v>
      </c>
      <c r="B4788" s="164">
        <v>4</v>
      </c>
      <c r="C4788" s="164">
        <v>15</v>
      </c>
      <c r="D4788" s="164">
        <f t="shared" si="527"/>
        <v>45397</v>
      </c>
      <c r="E4788" s="235">
        <f t="shared" si="533"/>
        <v>45397</v>
      </c>
      <c r="F4788" s="480"/>
      <c r="G4788" s="208" t="s">
        <v>1111</v>
      </c>
      <c r="H4788" s="208"/>
      <c r="J4788" s="165" t="s">
        <v>1617</v>
      </c>
      <c r="K4788" s="263"/>
      <c r="L4788" s="205">
        <v>440450.2</v>
      </c>
    </row>
    <row r="4789" spans="1:12" ht="11.25" customHeight="1" x14ac:dyDescent="0.2">
      <c r="A4789" s="226">
        <v>2024</v>
      </c>
      <c r="B4789" s="226">
        <v>4</v>
      </c>
      <c r="C4789" s="226">
        <v>15</v>
      </c>
      <c r="D4789" s="226">
        <f t="shared" si="527"/>
        <v>45397</v>
      </c>
      <c r="E4789" s="234">
        <f t="shared" si="533"/>
        <v>45397</v>
      </c>
      <c r="F4789" s="479"/>
      <c r="G4789" s="227" t="s">
        <v>1111</v>
      </c>
      <c r="H4789" s="227"/>
      <c r="I4789" s="228"/>
      <c r="J4789" s="229" t="s">
        <v>1465</v>
      </c>
      <c r="K4789" s="294"/>
      <c r="L4789" s="230">
        <v>15759549.800000001</v>
      </c>
    </row>
    <row r="4790" spans="1:12" ht="11.25" customHeight="1" x14ac:dyDescent="0.2">
      <c r="A4790" s="221">
        <v>2024</v>
      </c>
      <c r="B4790" s="221">
        <v>4</v>
      </c>
      <c r="C4790" s="221">
        <v>15</v>
      </c>
      <c r="D4790" s="221">
        <f t="shared" si="527"/>
        <v>45397</v>
      </c>
      <c r="E4790" s="233">
        <f>DATE(A4790,B4790,C4790)</f>
        <v>45397</v>
      </c>
      <c r="F4790" s="478" t="s">
        <v>1589</v>
      </c>
      <c r="G4790" s="222" t="s">
        <v>86</v>
      </c>
      <c r="H4790" s="222"/>
      <c r="I4790" s="223"/>
      <c r="J4790" s="165" t="s">
        <v>199</v>
      </c>
      <c r="K4790" s="225">
        <v>213165.6</v>
      </c>
      <c r="L4790" s="225"/>
    </row>
    <row r="4791" spans="1:12" ht="11.25" customHeight="1" x14ac:dyDescent="0.2">
      <c r="A4791" s="164">
        <v>2024</v>
      </c>
      <c r="B4791" s="164">
        <v>4</v>
      </c>
      <c r="C4791" s="164">
        <v>15</v>
      </c>
      <c r="D4791" s="164">
        <f t="shared" si="527"/>
        <v>45397</v>
      </c>
      <c r="E4791" s="235">
        <f>DATE(A4791,B4791,C4791)</f>
        <v>45397</v>
      </c>
      <c r="F4791" s="480"/>
      <c r="G4791" s="208" t="s">
        <v>86</v>
      </c>
      <c r="H4791" s="208"/>
      <c r="J4791" s="165" t="s">
        <v>960</v>
      </c>
      <c r="K4791" s="205">
        <v>384.4</v>
      </c>
      <c r="L4791" s="205"/>
    </row>
    <row r="4792" spans="1:12" ht="11.25" customHeight="1" x14ac:dyDescent="0.2">
      <c r="A4792" s="164">
        <v>2024</v>
      </c>
      <c r="B4792" s="164">
        <v>4</v>
      </c>
      <c r="C4792" s="164">
        <v>15</v>
      </c>
      <c r="D4792" s="164">
        <f t="shared" si="527"/>
        <v>45397</v>
      </c>
      <c r="E4792" s="235">
        <f>DATE(A4792,B4792,C4792)</f>
        <v>45397</v>
      </c>
      <c r="F4792" s="480"/>
      <c r="G4792" s="208" t="s">
        <v>86</v>
      </c>
      <c r="H4792" s="208"/>
      <c r="J4792" s="165" t="s">
        <v>200</v>
      </c>
      <c r="K4792" s="205">
        <v>36450</v>
      </c>
      <c r="L4792" s="205"/>
    </row>
    <row r="4793" spans="1:12" ht="11.25" customHeight="1" x14ac:dyDescent="0.2">
      <c r="A4793" s="226">
        <v>2024</v>
      </c>
      <c r="B4793" s="226">
        <v>4</v>
      </c>
      <c r="C4793" s="226">
        <v>15</v>
      </c>
      <c r="D4793" s="226">
        <f t="shared" si="527"/>
        <v>45397</v>
      </c>
      <c r="E4793" s="234">
        <f>DATE(A4793,B4793,C4793)</f>
        <v>45397</v>
      </c>
      <c r="F4793" s="479"/>
      <c r="G4793" s="227" t="s">
        <v>86</v>
      </c>
      <c r="H4793" s="228"/>
      <c r="I4793" s="228"/>
      <c r="J4793" s="229" t="s">
        <v>80</v>
      </c>
      <c r="K4793" s="230"/>
      <c r="L4793" s="230">
        <v>250000</v>
      </c>
    </row>
    <row r="4794" spans="1:12" ht="11.25" customHeight="1" x14ac:dyDescent="0.2">
      <c r="A4794" s="221">
        <v>2024</v>
      </c>
      <c r="B4794" s="221">
        <v>4</v>
      </c>
      <c r="C4794" s="221">
        <v>15</v>
      </c>
      <c r="D4794" s="231">
        <f t="shared" si="527"/>
        <v>45397</v>
      </c>
      <c r="E4794" s="233">
        <f t="shared" si="533"/>
        <v>45397</v>
      </c>
      <c r="F4794" s="478" t="s">
        <v>1717</v>
      </c>
      <c r="G4794" s="222" t="s">
        <v>1111</v>
      </c>
      <c r="H4794" s="222"/>
      <c r="I4794" s="223"/>
      <c r="J4794" s="224" t="s">
        <v>1615</v>
      </c>
      <c r="K4794" s="357">
        <v>30046529.399999999</v>
      </c>
      <c r="L4794" s="225"/>
    </row>
    <row r="4795" spans="1:12" ht="11.25" customHeight="1" x14ac:dyDescent="0.2">
      <c r="A4795" s="226">
        <v>2024</v>
      </c>
      <c r="B4795" s="226">
        <v>4</v>
      </c>
      <c r="C4795" s="226">
        <v>15</v>
      </c>
      <c r="D4795" s="226">
        <f t="shared" si="527"/>
        <v>45397</v>
      </c>
      <c r="E4795" s="234">
        <f t="shared" si="533"/>
        <v>45397</v>
      </c>
      <c r="F4795" s="479"/>
      <c r="G4795" s="227" t="s">
        <v>1111</v>
      </c>
      <c r="H4795" s="227"/>
      <c r="I4795" s="228"/>
      <c r="J4795" s="229" t="s">
        <v>55</v>
      </c>
      <c r="K4795" s="294"/>
      <c r="L4795" s="230">
        <v>30046529.399999999</v>
      </c>
    </row>
    <row r="4796" spans="1:12" ht="11.25" customHeight="1" x14ac:dyDescent="0.2">
      <c r="A4796" s="221">
        <v>2024</v>
      </c>
      <c r="B4796" s="221">
        <v>4</v>
      </c>
      <c r="C4796" s="221">
        <v>16</v>
      </c>
      <c r="D4796" s="231">
        <f t="shared" si="527"/>
        <v>45398</v>
      </c>
      <c r="E4796" s="233">
        <f t="shared" si="533"/>
        <v>45398</v>
      </c>
      <c r="F4796" s="478" t="s">
        <v>1593</v>
      </c>
      <c r="G4796" s="222" t="s">
        <v>86</v>
      </c>
      <c r="H4796" s="222"/>
      <c r="I4796" s="223"/>
      <c r="J4796" s="224" t="s">
        <v>80</v>
      </c>
      <c r="K4796" s="225">
        <v>557625.1</v>
      </c>
      <c r="L4796" s="225"/>
    </row>
    <row r="4797" spans="1:12" ht="11.25" customHeight="1" x14ac:dyDescent="0.2">
      <c r="A4797" s="164">
        <v>2024</v>
      </c>
      <c r="B4797" s="164">
        <v>4</v>
      </c>
      <c r="C4797" s="164">
        <v>16</v>
      </c>
      <c r="D4797" s="164">
        <f t="shared" si="527"/>
        <v>45398</v>
      </c>
      <c r="E4797" s="235">
        <f t="shared" si="533"/>
        <v>45398</v>
      </c>
      <c r="F4797" s="480"/>
      <c r="G4797" s="208" t="s">
        <v>86</v>
      </c>
      <c r="H4797" s="208"/>
      <c r="J4797" s="165" t="s">
        <v>960</v>
      </c>
      <c r="K4797" s="205">
        <v>1003.72</v>
      </c>
      <c r="L4797" s="205"/>
    </row>
    <row r="4798" spans="1:12" ht="11.25" customHeight="1" x14ac:dyDescent="0.2">
      <c r="A4798" s="226">
        <v>2024</v>
      </c>
      <c r="B4798" s="226">
        <v>4</v>
      </c>
      <c r="C4798" s="226">
        <v>16</v>
      </c>
      <c r="D4798" s="226">
        <f t="shared" si="527"/>
        <v>45398</v>
      </c>
      <c r="E4798" s="234">
        <f t="shared" si="533"/>
        <v>45398</v>
      </c>
      <c r="F4798" s="479"/>
      <c r="G4798" s="227" t="s">
        <v>86</v>
      </c>
      <c r="H4798" s="227"/>
      <c r="I4798" s="228"/>
      <c r="J4798" s="229" t="s">
        <v>961</v>
      </c>
      <c r="K4798" s="294"/>
      <c r="L4798" s="230">
        <v>558628.81999999995</v>
      </c>
    </row>
    <row r="4799" spans="1:12" ht="11.25" customHeight="1" x14ac:dyDescent="0.2">
      <c r="A4799" s="221">
        <v>2024</v>
      </c>
      <c r="B4799" s="221">
        <v>4</v>
      </c>
      <c r="C4799" s="231">
        <v>17</v>
      </c>
      <c r="D4799" s="231">
        <f t="shared" si="527"/>
        <v>45399</v>
      </c>
      <c r="E4799" s="233">
        <f t="shared" si="533"/>
        <v>45399</v>
      </c>
      <c r="F4799" s="478" t="s">
        <v>1115</v>
      </c>
      <c r="G4799" s="222" t="s">
        <v>1111</v>
      </c>
      <c r="H4799" s="223"/>
      <c r="I4799" s="223" t="s">
        <v>320</v>
      </c>
      <c r="J4799" s="224" t="s">
        <v>14</v>
      </c>
      <c r="K4799" s="167">
        <v>1942830</v>
      </c>
      <c r="L4799" s="225"/>
    </row>
    <row r="4800" spans="1:12" ht="11.25" customHeight="1" x14ac:dyDescent="0.2">
      <c r="A4800" s="164">
        <v>2024</v>
      </c>
      <c r="B4800" s="164">
        <v>4</v>
      </c>
      <c r="C4800" s="156">
        <v>17</v>
      </c>
      <c r="D4800" s="156">
        <f t="shared" si="527"/>
        <v>45399</v>
      </c>
      <c r="E4800" s="235">
        <f t="shared" si="533"/>
        <v>45399</v>
      </c>
      <c r="F4800" s="480"/>
      <c r="G4800" s="208" t="s">
        <v>1111</v>
      </c>
      <c r="I4800" s="206" t="s">
        <v>320</v>
      </c>
      <c r="J4800" s="165" t="s">
        <v>1112</v>
      </c>
      <c r="L4800" s="205">
        <v>32830</v>
      </c>
    </row>
    <row r="4801" spans="1:13" ht="11.25" customHeight="1" x14ac:dyDescent="0.2">
      <c r="A4801" s="226">
        <v>2024</v>
      </c>
      <c r="B4801" s="226">
        <v>4</v>
      </c>
      <c r="C4801" s="232">
        <v>17</v>
      </c>
      <c r="D4801" s="232">
        <f t="shared" si="527"/>
        <v>45399</v>
      </c>
      <c r="E4801" s="234">
        <f t="shared" si="533"/>
        <v>45399</v>
      </c>
      <c r="F4801" s="479"/>
      <c r="G4801" s="227" t="s">
        <v>1111</v>
      </c>
      <c r="H4801" s="228"/>
      <c r="I4801" s="228" t="s">
        <v>320</v>
      </c>
      <c r="J4801" s="229" t="s">
        <v>55</v>
      </c>
      <c r="K4801" s="230"/>
      <c r="L4801" s="230">
        <v>1910000</v>
      </c>
    </row>
    <row r="4802" spans="1:13" ht="11.25" customHeight="1" x14ac:dyDescent="0.2">
      <c r="A4802" s="221">
        <v>2024</v>
      </c>
      <c r="B4802" s="221">
        <v>4</v>
      </c>
      <c r="C4802" s="221">
        <v>17</v>
      </c>
      <c r="D4802" s="231">
        <f t="shared" si="527"/>
        <v>45399</v>
      </c>
      <c r="E4802" s="233">
        <f t="shared" si="533"/>
        <v>45399</v>
      </c>
      <c r="F4802" s="478" t="s">
        <v>1719</v>
      </c>
      <c r="G4802" s="222" t="s">
        <v>1111</v>
      </c>
      <c r="H4802" s="223"/>
      <c r="I4802" s="223"/>
      <c r="J4802" s="224" t="s">
        <v>63</v>
      </c>
      <c r="K4802" s="225">
        <v>10</v>
      </c>
      <c r="L4802" s="225"/>
    </row>
    <row r="4803" spans="1:13" ht="11.25" customHeight="1" x14ac:dyDescent="0.2">
      <c r="A4803" s="226">
        <v>2024</v>
      </c>
      <c r="B4803" s="226">
        <v>4</v>
      </c>
      <c r="C4803" s="226">
        <v>17</v>
      </c>
      <c r="D4803" s="232">
        <f t="shared" si="527"/>
        <v>45399</v>
      </c>
      <c r="E4803" s="234">
        <f t="shared" si="533"/>
        <v>45399</v>
      </c>
      <c r="F4803" s="479"/>
      <c r="G4803" s="227" t="s">
        <v>1111</v>
      </c>
      <c r="H4803" s="228"/>
      <c r="I4803" s="228"/>
      <c r="J4803" s="229" t="s">
        <v>55</v>
      </c>
      <c r="K4803" s="230"/>
      <c r="L4803" s="230">
        <v>10</v>
      </c>
    </row>
    <row r="4804" spans="1:13" ht="11.25" customHeight="1" x14ac:dyDescent="0.2">
      <c r="A4804" s="221">
        <v>2024</v>
      </c>
      <c r="B4804" s="221">
        <v>4</v>
      </c>
      <c r="C4804" s="221">
        <v>17</v>
      </c>
      <c r="D4804" s="231">
        <f t="shared" si="527"/>
        <v>45399</v>
      </c>
      <c r="E4804" s="233">
        <f t="shared" si="533"/>
        <v>45399</v>
      </c>
      <c r="F4804" s="478" t="s">
        <v>1692</v>
      </c>
      <c r="G4804" s="222" t="s">
        <v>1111</v>
      </c>
      <c r="H4804" s="223"/>
      <c r="I4804" s="223"/>
      <c r="J4804" s="165" t="s">
        <v>55</v>
      </c>
      <c r="K4804" s="225">
        <v>95000</v>
      </c>
      <c r="L4804" s="225"/>
    </row>
    <row r="4805" spans="1:13" ht="11.25" customHeight="1" x14ac:dyDescent="0.2">
      <c r="A4805" s="226">
        <v>2024</v>
      </c>
      <c r="B4805" s="226">
        <v>4</v>
      </c>
      <c r="C4805" s="226">
        <v>17</v>
      </c>
      <c r="D4805" s="232">
        <f t="shared" si="527"/>
        <v>45399</v>
      </c>
      <c r="E4805" s="234">
        <f t="shared" si="533"/>
        <v>45399</v>
      </c>
      <c r="F4805" s="479"/>
      <c r="G4805" s="227" t="s">
        <v>1111</v>
      </c>
      <c r="H4805" s="228"/>
      <c r="I4805" s="228"/>
      <c r="J4805" s="229" t="s">
        <v>131</v>
      </c>
      <c r="K4805" s="230"/>
      <c r="L4805" s="230">
        <v>95000</v>
      </c>
    </row>
    <row r="4806" spans="1:13" ht="11.25" customHeight="1" x14ac:dyDescent="0.2">
      <c r="A4806" s="221">
        <v>2024</v>
      </c>
      <c r="B4806" s="221">
        <v>4</v>
      </c>
      <c r="C4806" s="221">
        <v>17</v>
      </c>
      <c r="D4806" s="221">
        <f t="shared" si="527"/>
        <v>45399</v>
      </c>
      <c r="E4806" s="233">
        <f t="shared" si="533"/>
        <v>45399</v>
      </c>
      <c r="F4806" s="478" t="s">
        <v>1736</v>
      </c>
      <c r="G4806" s="222" t="s">
        <v>1111</v>
      </c>
      <c r="H4806" s="222"/>
      <c r="I4806" s="223"/>
      <c r="J4806" s="224" t="s">
        <v>50</v>
      </c>
      <c r="K4806" s="225">
        <v>699162.88</v>
      </c>
      <c r="L4806" s="225"/>
    </row>
    <row r="4807" spans="1:13" ht="11.25" customHeight="1" x14ac:dyDescent="0.2">
      <c r="A4807" s="226">
        <v>2024</v>
      </c>
      <c r="B4807" s="226">
        <v>4</v>
      </c>
      <c r="C4807" s="226">
        <v>17</v>
      </c>
      <c r="D4807" s="226">
        <f t="shared" si="527"/>
        <v>45399</v>
      </c>
      <c r="E4807" s="234">
        <f t="shared" si="533"/>
        <v>45399</v>
      </c>
      <c r="F4807" s="479"/>
      <c r="G4807" s="227" t="s">
        <v>1111</v>
      </c>
      <c r="H4807" s="227"/>
      <c r="I4807" s="228"/>
      <c r="J4807" s="229" t="s">
        <v>55</v>
      </c>
      <c r="K4807" s="230"/>
      <c r="L4807" s="230">
        <v>699162.88</v>
      </c>
    </row>
    <row r="4808" spans="1:13" ht="11.25" customHeight="1" x14ac:dyDescent="0.2">
      <c r="A4808" s="221">
        <v>2024</v>
      </c>
      <c r="B4808" s="221">
        <v>4</v>
      </c>
      <c r="C4808" s="221">
        <v>18</v>
      </c>
      <c r="D4808" s="231">
        <f t="shared" si="527"/>
        <v>45400</v>
      </c>
      <c r="E4808" s="233">
        <f t="shared" si="533"/>
        <v>45400</v>
      </c>
      <c r="F4808" s="478" t="s">
        <v>1718</v>
      </c>
      <c r="G4808" s="222" t="s">
        <v>1111</v>
      </c>
      <c r="H4808" s="222"/>
      <c r="I4808" s="223"/>
      <c r="J4808" s="224" t="s">
        <v>196</v>
      </c>
      <c r="K4808" s="225">
        <v>4000000</v>
      </c>
      <c r="L4808" s="225"/>
      <c r="M4808" s="166"/>
    </row>
    <row r="4809" spans="1:13" ht="11.25" customHeight="1" x14ac:dyDescent="0.2">
      <c r="A4809" s="164">
        <v>2024</v>
      </c>
      <c r="B4809" s="164">
        <v>4</v>
      </c>
      <c r="C4809" s="164">
        <v>18</v>
      </c>
      <c r="D4809" s="164">
        <f t="shared" ref="D4809:D4872" si="534">DATE(A4809,B4809,C4809)</f>
        <v>45400</v>
      </c>
      <c r="E4809" s="235">
        <f t="shared" ref="E4809" si="535">DATE(A4809,B4809,C4809)</f>
        <v>45400</v>
      </c>
      <c r="F4809" s="480"/>
      <c r="G4809" s="208" t="s">
        <v>1111</v>
      </c>
      <c r="H4809" s="208"/>
      <c r="J4809" s="165" t="s">
        <v>197</v>
      </c>
      <c r="K4809" s="205">
        <v>5000</v>
      </c>
      <c r="L4809" s="205"/>
    </row>
    <row r="4810" spans="1:13" ht="11.25" customHeight="1" x14ac:dyDescent="0.2">
      <c r="A4810" s="164">
        <v>2024</v>
      </c>
      <c r="B4810" s="164">
        <v>4</v>
      </c>
      <c r="C4810" s="164">
        <v>18</v>
      </c>
      <c r="D4810" s="164">
        <f t="shared" si="534"/>
        <v>45400</v>
      </c>
      <c r="E4810" s="235">
        <f t="shared" si="533"/>
        <v>45400</v>
      </c>
      <c r="F4810" s="480"/>
      <c r="G4810" s="208" t="s">
        <v>1111</v>
      </c>
      <c r="H4810" s="208"/>
      <c r="J4810" s="165" t="s">
        <v>63</v>
      </c>
      <c r="K4810" s="205">
        <v>115</v>
      </c>
      <c r="L4810" s="205"/>
    </row>
    <row r="4811" spans="1:13" ht="11.25" customHeight="1" x14ac:dyDescent="0.2">
      <c r="A4811" s="226">
        <v>2024</v>
      </c>
      <c r="B4811" s="226">
        <v>4</v>
      </c>
      <c r="C4811" s="226">
        <v>18</v>
      </c>
      <c r="D4811" s="226">
        <f t="shared" si="534"/>
        <v>45400</v>
      </c>
      <c r="E4811" s="234">
        <f t="shared" si="533"/>
        <v>45400</v>
      </c>
      <c r="F4811" s="479"/>
      <c r="G4811" s="227" t="s">
        <v>1111</v>
      </c>
      <c r="H4811" s="228"/>
      <c r="I4811" s="228"/>
      <c r="J4811" s="229" t="s">
        <v>55</v>
      </c>
      <c r="K4811" s="230"/>
      <c r="L4811" s="230">
        <v>4005115</v>
      </c>
    </row>
    <row r="4812" spans="1:13" ht="11.25" customHeight="1" x14ac:dyDescent="0.2">
      <c r="A4812" s="221">
        <v>2024</v>
      </c>
      <c r="B4812" s="221">
        <v>4</v>
      </c>
      <c r="C4812" s="221">
        <v>18</v>
      </c>
      <c r="D4812" s="231">
        <f t="shared" si="534"/>
        <v>45400</v>
      </c>
      <c r="E4812" s="233">
        <f t="shared" si="533"/>
        <v>45400</v>
      </c>
      <c r="F4812" s="478" t="s">
        <v>1594</v>
      </c>
      <c r="G4812" s="222" t="s">
        <v>1111</v>
      </c>
      <c r="H4812" s="223"/>
      <c r="I4812" s="223"/>
      <c r="J4812" s="224" t="s">
        <v>961</v>
      </c>
      <c r="K4812" s="225">
        <v>558628.81999999995</v>
      </c>
      <c r="L4812" s="225"/>
    </row>
    <row r="4813" spans="1:13" ht="11.25" customHeight="1" x14ac:dyDescent="0.2">
      <c r="A4813" s="226">
        <v>2024</v>
      </c>
      <c r="B4813" s="226">
        <v>4</v>
      </c>
      <c r="C4813" s="226">
        <v>18</v>
      </c>
      <c r="D4813" s="232">
        <f t="shared" si="534"/>
        <v>45400</v>
      </c>
      <c r="E4813" s="234">
        <f t="shared" si="533"/>
        <v>45400</v>
      </c>
      <c r="F4813" s="479"/>
      <c r="G4813" s="227" t="s">
        <v>1111</v>
      </c>
      <c r="H4813" s="228"/>
      <c r="I4813" s="228"/>
      <c r="J4813" s="229" t="s">
        <v>55</v>
      </c>
      <c r="K4813" s="230"/>
      <c r="L4813" s="230">
        <v>558628.81999999995</v>
      </c>
    </row>
    <row r="4814" spans="1:13" ht="11.25" customHeight="1" x14ac:dyDescent="0.2">
      <c r="A4814" s="280">
        <v>2024</v>
      </c>
      <c r="B4814" s="280">
        <v>4</v>
      </c>
      <c r="C4814" s="280">
        <v>18</v>
      </c>
      <c r="D4814" s="281">
        <f t="shared" si="534"/>
        <v>45400</v>
      </c>
      <c r="E4814" s="282">
        <f t="shared" si="533"/>
        <v>45400</v>
      </c>
      <c r="F4814" s="472" t="s">
        <v>1584</v>
      </c>
      <c r="G4814" s="283" t="s">
        <v>86</v>
      </c>
      <c r="H4814" s="284"/>
      <c r="I4814" s="284"/>
      <c r="J4814" s="285" t="s">
        <v>131</v>
      </c>
      <c r="K4814" s="286">
        <v>7884.6153846153848</v>
      </c>
      <c r="L4814" s="286"/>
    </row>
    <row r="4815" spans="1:13" ht="11.25" customHeight="1" x14ac:dyDescent="0.2">
      <c r="A4815" s="287">
        <v>2024</v>
      </c>
      <c r="B4815" s="287">
        <v>4</v>
      </c>
      <c r="C4815" s="287">
        <v>18</v>
      </c>
      <c r="D4815" s="288">
        <f t="shared" si="534"/>
        <v>45400</v>
      </c>
      <c r="E4815" s="289">
        <f t="shared" si="533"/>
        <v>45400</v>
      </c>
      <c r="F4815" s="473"/>
      <c r="G4815" s="290" t="s">
        <v>86</v>
      </c>
      <c r="H4815" s="291"/>
      <c r="I4815" s="291"/>
      <c r="J4815" s="292" t="s">
        <v>174</v>
      </c>
      <c r="K4815" s="293"/>
      <c r="L4815" s="293">
        <v>7884.6153846153848</v>
      </c>
    </row>
    <row r="4816" spans="1:13" ht="11.25" customHeight="1" x14ac:dyDescent="0.2">
      <c r="A4816" s="358">
        <v>2024</v>
      </c>
      <c r="B4816" s="358">
        <v>4</v>
      </c>
      <c r="C4816" s="358">
        <v>18</v>
      </c>
      <c r="D4816" s="312">
        <f t="shared" si="534"/>
        <v>45400</v>
      </c>
      <c r="E4816" s="313">
        <f>DATE(A4816,B4816,C4816)</f>
        <v>45400</v>
      </c>
      <c r="F4816" s="482" t="s">
        <v>1627</v>
      </c>
      <c r="G4816" s="314" t="s">
        <v>86</v>
      </c>
      <c r="H4816" s="324"/>
      <c r="I4816" s="324"/>
      <c r="J4816" s="364" t="s">
        <v>1613</v>
      </c>
      <c r="K4816" s="365">
        <v>310257.70000000298</v>
      </c>
      <c r="L4816" s="365"/>
    </row>
    <row r="4817" spans="1:13" ht="11.25" customHeight="1" x14ac:dyDescent="0.2">
      <c r="A4817" s="320">
        <v>2024</v>
      </c>
      <c r="B4817" s="320">
        <v>4</v>
      </c>
      <c r="C4817" s="320">
        <v>18</v>
      </c>
      <c r="D4817" s="323">
        <f t="shared" si="534"/>
        <v>45400</v>
      </c>
      <c r="E4817" s="321">
        <f t="shared" ref="E4817" si="536">DATE(A4817,B4817,C4817)</f>
        <v>45400</v>
      </c>
      <c r="F4817" s="483"/>
      <c r="G4817" s="322" t="s">
        <v>86</v>
      </c>
      <c r="H4817" s="325"/>
      <c r="I4817" s="325"/>
      <c r="J4817" s="366" t="s">
        <v>1621</v>
      </c>
      <c r="K4817" s="367"/>
      <c r="L4817" s="367">
        <v>310257.70000000298</v>
      </c>
    </row>
    <row r="4818" spans="1:13" ht="11.25" customHeight="1" x14ac:dyDescent="0.2">
      <c r="A4818" s="358">
        <v>2024</v>
      </c>
      <c r="B4818" s="358">
        <v>4</v>
      </c>
      <c r="C4818" s="358">
        <v>18</v>
      </c>
      <c r="D4818" s="312">
        <f t="shared" si="534"/>
        <v>45400</v>
      </c>
      <c r="E4818" s="313">
        <f>DATE(A4818,B4818,C4818)</f>
        <v>45400</v>
      </c>
      <c r="F4818" s="482" t="s">
        <v>1713</v>
      </c>
      <c r="G4818" s="314" t="s">
        <v>86</v>
      </c>
      <c r="H4818" s="324"/>
      <c r="I4818" s="324"/>
      <c r="J4818" s="364" t="s">
        <v>1614</v>
      </c>
      <c r="K4818" s="365">
        <v>20445.599999997765</v>
      </c>
      <c r="L4818" s="365"/>
    </row>
    <row r="4819" spans="1:13" ht="11.25" customHeight="1" x14ac:dyDescent="0.2">
      <c r="A4819" s="320">
        <v>2024</v>
      </c>
      <c r="B4819" s="320">
        <v>4</v>
      </c>
      <c r="C4819" s="320">
        <v>18</v>
      </c>
      <c r="D4819" s="323">
        <f t="shared" si="534"/>
        <v>45400</v>
      </c>
      <c r="E4819" s="321">
        <f t="shared" ref="E4819:E4830" si="537">DATE(A4819,B4819,C4819)</f>
        <v>45400</v>
      </c>
      <c r="F4819" s="483"/>
      <c r="G4819" s="322" t="s">
        <v>86</v>
      </c>
      <c r="H4819" s="325"/>
      <c r="I4819" s="325"/>
      <c r="J4819" s="366" t="s">
        <v>1622</v>
      </c>
      <c r="K4819" s="367"/>
      <c r="L4819" s="367">
        <v>20445.599999997765</v>
      </c>
    </row>
    <row r="4820" spans="1:13" ht="11.25" customHeight="1" x14ac:dyDescent="0.2">
      <c r="A4820" s="236">
        <v>2024</v>
      </c>
      <c r="B4820" s="236">
        <v>4</v>
      </c>
      <c r="C4820" s="236">
        <v>18</v>
      </c>
      <c r="D4820" s="237">
        <f t="shared" si="534"/>
        <v>45400</v>
      </c>
      <c r="E4820" s="238">
        <f t="shared" si="537"/>
        <v>45400</v>
      </c>
      <c r="F4820" s="476" t="s">
        <v>1118</v>
      </c>
      <c r="G4820" s="239" t="s">
        <v>86</v>
      </c>
      <c r="H4820" s="239"/>
      <c r="I4820" s="240"/>
      <c r="J4820" s="241" t="s">
        <v>82</v>
      </c>
      <c r="K4820" s="242">
        <v>968984.69999999925</v>
      </c>
      <c r="L4820" s="242"/>
    </row>
    <row r="4821" spans="1:13" ht="11.25" customHeight="1" x14ac:dyDescent="0.2">
      <c r="A4821" s="243">
        <v>2024</v>
      </c>
      <c r="B4821" s="243">
        <v>4</v>
      </c>
      <c r="C4821" s="243">
        <v>18</v>
      </c>
      <c r="D4821" s="248">
        <f t="shared" si="534"/>
        <v>45400</v>
      </c>
      <c r="E4821" s="249">
        <f t="shared" si="537"/>
        <v>45400</v>
      </c>
      <c r="F4821" s="477"/>
      <c r="G4821" s="244" t="s">
        <v>86</v>
      </c>
      <c r="H4821" s="244"/>
      <c r="I4821" s="245"/>
      <c r="J4821" s="246" t="s">
        <v>98</v>
      </c>
      <c r="K4821" s="247"/>
      <c r="L4821" s="247">
        <v>968984.69999999925</v>
      </c>
    </row>
    <row r="4822" spans="1:13" ht="11.25" customHeight="1" x14ac:dyDescent="0.2">
      <c r="A4822" s="236">
        <v>2024</v>
      </c>
      <c r="B4822" s="236">
        <v>4</v>
      </c>
      <c r="C4822" s="236">
        <v>18</v>
      </c>
      <c r="D4822" s="237">
        <f t="shared" si="534"/>
        <v>45400</v>
      </c>
      <c r="E4822" s="238">
        <f t="shared" si="537"/>
        <v>45400</v>
      </c>
      <c r="F4822" s="476" t="s">
        <v>1120</v>
      </c>
      <c r="G4822" s="239" t="s">
        <v>86</v>
      </c>
      <c r="H4822" s="239"/>
      <c r="I4822" s="240"/>
      <c r="J4822" s="241" t="s">
        <v>87</v>
      </c>
      <c r="K4822" s="242">
        <v>2747.2527472527472</v>
      </c>
      <c r="L4822" s="242"/>
    </row>
    <row r="4823" spans="1:13" ht="11.25" customHeight="1" x14ac:dyDescent="0.2">
      <c r="A4823" s="243">
        <v>2024</v>
      </c>
      <c r="B4823" s="243">
        <v>4</v>
      </c>
      <c r="C4823" s="243">
        <v>18</v>
      </c>
      <c r="D4823" s="248">
        <f t="shared" si="534"/>
        <v>45400</v>
      </c>
      <c r="E4823" s="249">
        <f t="shared" si="537"/>
        <v>45400</v>
      </c>
      <c r="F4823" s="477"/>
      <c r="G4823" s="244" t="s">
        <v>86</v>
      </c>
      <c r="H4823" s="244"/>
      <c r="I4823" s="245"/>
      <c r="J4823" s="246" t="s">
        <v>64</v>
      </c>
      <c r="K4823" s="247"/>
      <c r="L4823" s="247">
        <v>2747.2527472527472</v>
      </c>
    </row>
    <row r="4824" spans="1:13" ht="11.25" customHeight="1" x14ac:dyDescent="0.2">
      <c r="A4824" s="236">
        <v>2024</v>
      </c>
      <c r="B4824" s="236">
        <v>4</v>
      </c>
      <c r="C4824" s="236">
        <v>18</v>
      </c>
      <c r="D4824" s="237">
        <f t="shared" si="534"/>
        <v>45400</v>
      </c>
      <c r="E4824" s="238">
        <f t="shared" si="537"/>
        <v>45400</v>
      </c>
      <c r="F4824" s="476" t="s">
        <v>1121</v>
      </c>
      <c r="G4824" s="239" t="s">
        <v>86</v>
      </c>
      <c r="H4824" s="239"/>
      <c r="I4824" s="240"/>
      <c r="J4824" s="241" t="s">
        <v>89</v>
      </c>
      <c r="K4824" s="242">
        <f>M4824</f>
        <v>64935.8252750627</v>
      </c>
      <c r="L4824" s="242"/>
      <c r="M4824" s="156">
        <v>64935.8252750627</v>
      </c>
    </row>
    <row r="4825" spans="1:13" ht="11.25" customHeight="1" x14ac:dyDescent="0.2">
      <c r="A4825" s="243">
        <v>2024</v>
      </c>
      <c r="B4825" s="243">
        <v>4</v>
      </c>
      <c r="C4825" s="243">
        <v>18</v>
      </c>
      <c r="D4825" s="248">
        <f t="shared" si="534"/>
        <v>45400</v>
      </c>
      <c r="E4825" s="249">
        <f t="shared" si="537"/>
        <v>45400</v>
      </c>
      <c r="F4825" s="477"/>
      <c r="G4825" s="244" t="s">
        <v>86</v>
      </c>
      <c r="H4825" s="244"/>
      <c r="I4825" s="245"/>
      <c r="J4825" s="246" t="s">
        <v>50</v>
      </c>
      <c r="K4825" s="247"/>
      <c r="L4825" s="247">
        <f>K4824</f>
        <v>64935.8252750627</v>
      </c>
      <c r="M4825" s="156">
        <v>3006.4066483685197</v>
      </c>
    </row>
    <row r="4826" spans="1:13" ht="11.25" customHeight="1" x14ac:dyDescent="0.2">
      <c r="A4826" s="236">
        <v>2024</v>
      </c>
      <c r="B4826" s="236">
        <v>4</v>
      </c>
      <c r="C4826" s="236">
        <v>18</v>
      </c>
      <c r="D4826" s="237">
        <f t="shared" si="534"/>
        <v>45400</v>
      </c>
      <c r="E4826" s="238">
        <f t="shared" si="537"/>
        <v>45400</v>
      </c>
      <c r="F4826" s="476" t="s">
        <v>1122</v>
      </c>
      <c r="G4826" s="239" t="s">
        <v>86</v>
      </c>
      <c r="H4826" s="239"/>
      <c r="I4826" s="240"/>
      <c r="J4826" s="241" t="s">
        <v>91</v>
      </c>
      <c r="K4826" s="242">
        <f>M4825</f>
        <v>3006.4066483685197</v>
      </c>
      <c r="L4826" s="242"/>
    </row>
    <row r="4827" spans="1:13" ht="11.25" customHeight="1" x14ac:dyDescent="0.2">
      <c r="A4827" s="243">
        <v>2024</v>
      </c>
      <c r="B4827" s="243">
        <v>4</v>
      </c>
      <c r="C4827" s="243">
        <v>18</v>
      </c>
      <c r="D4827" s="248">
        <f t="shared" si="534"/>
        <v>45400</v>
      </c>
      <c r="E4827" s="249">
        <f t="shared" si="537"/>
        <v>45400</v>
      </c>
      <c r="F4827" s="477"/>
      <c r="G4827" s="244" t="s">
        <v>86</v>
      </c>
      <c r="H4827" s="244"/>
      <c r="I4827" s="245"/>
      <c r="J4827" s="246" t="s">
        <v>51</v>
      </c>
      <c r="K4827" s="247"/>
      <c r="L4827" s="247">
        <f>K4826</f>
        <v>3006.4066483685197</v>
      </c>
    </row>
    <row r="4828" spans="1:13" ht="11.25" customHeight="1" x14ac:dyDescent="0.2">
      <c r="A4828" s="221">
        <v>2024</v>
      </c>
      <c r="B4828" s="221">
        <v>4</v>
      </c>
      <c r="C4828" s="231">
        <v>22</v>
      </c>
      <c r="D4828" s="231">
        <f t="shared" si="534"/>
        <v>45404</v>
      </c>
      <c r="E4828" s="233">
        <f t="shared" si="537"/>
        <v>45404</v>
      </c>
      <c r="F4828" s="478" t="s">
        <v>1115</v>
      </c>
      <c r="G4828" s="222" t="s">
        <v>1111</v>
      </c>
      <c r="H4828" s="223"/>
      <c r="I4828" s="223" t="s">
        <v>387</v>
      </c>
      <c r="J4828" s="224" t="s">
        <v>14</v>
      </c>
      <c r="K4828" s="167">
        <v>51080</v>
      </c>
      <c r="L4828" s="225"/>
    </row>
    <row r="4829" spans="1:13" ht="11.25" customHeight="1" x14ac:dyDescent="0.2">
      <c r="A4829" s="164">
        <v>2024</v>
      </c>
      <c r="B4829" s="164">
        <v>4</v>
      </c>
      <c r="C4829" s="156">
        <v>22</v>
      </c>
      <c r="D4829" s="156">
        <f t="shared" si="534"/>
        <v>45404</v>
      </c>
      <c r="E4829" s="235">
        <f t="shared" si="537"/>
        <v>45404</v>
      </c>
      <c r="F4829" s="480"/>
      <c r="G4829" s="208" t="s">
        <v>1111</v>
      </c>
      <c r="I4829" s="206" t="s">
        <v>387</v>
      </c>
      <c r="J4829" s="165" t="s">
        <v>1112</v>
      </c>
      <c r="L4829" s="205">
        <v>1169.73</v>
      </c>
    </row>
    <row r="4830" spans="1:13" ht="11.25" customHeight="1" x14ac:dyDescent="0.2">
      <c r="A4830" s="226">
        <v>2024</v>
      </c>
      <c r="B4830" s="226">
        <v>4</v>
      </c>
      <c r="C4830" s="232">
        <v>22</v>
      </c>
      <c r="D4830" s="232">
        <f t="shared" si="534"/>
        <v>45404</v>
      </c>
      <c r="E4830" s="234">
        <f t="shared" si="537"/>
        <v>45404</v>
      </c>
      <c r="F4830" s="479"/>
      <c r="G4830" s="227" t="s">
        <v>1111</v>
      </c>
      <c r="H4830" s="228"/>
      <c r="I4830" s="228" t="s">
        <v>387</v>
      </c>
      <c r="J4830" s="229" t="s">
        <v>55</v>
      </c>
      <c r="K4830" s="230"/>
      <c r="L4830" s="230">
        <v>49910.27</v>
      </c>
    </row>
    <row r="4831" spans="1:13" ht="11.25" customHeight="1" x14ac:dyDescent="0.2">
      <c r="A4831" s="221">
        <v>2024</v>
      </c>
      <c r="B4831" s="221">
        <v>4</v>
      </c>
      <c r="C4831" s="231">
        <v>22</v>
      </c>
      <c r="D4831" s="231">
        <f t="shared" si="534"/>
        <v>45404</v>
      </c>
      <c r="E4831" s="233">
        <f t="shared" ref="E4831:E4835" si="538">DATE(A4831,B4831,C4831)</f>
        <v>45404</v>
      </c>
      <c r="F4831" s="478" t="s">
        <v>1115</v>
      </c>
      <c r="G4831" s="222" t="s">
        <v>1111</v>
      </c>
      <c r="H4831" s="223"/>
      <c r="I4831" s="223" t="s">
        <v>320</v>
      </c>
      <c r="J4831" s="224" t="s">
        <v>14</v>
      </c>
      <c r="K4831" s="167">
        <v>409370</v>
      </c>
      <c r="L4831" s="225"/>
    </row>
    <row r="4832" spans="1:13" ht="11.25" customHeight="1" x14ac:dyDescent="0.2">
      <c r="A4832" s="164">
        <v>2024</v>
      </c>
      <c r="B4832" s="164">
        <v>4</v>
      </c>
      <c r="C4832" s="156">
        <v>22</v>
      </c>
      <c r="D4832" s="156">
        <f t="shared" si="534"/>
        <v>45404</v>
      </c>
      <c r="E4832" s="235">
        <f t="shared" si="538"/>
        <v>45404</v>
      </c>
      <c r="F4832" s="480"/>
      <c r="G4832" s="208" t="s">
        <v>1111</v>
      </c>
      <c r="I4832" s="206" t="s">
        <v>320</v>
      </c>
      <c r="J4832" s="165" t="s">
        <v>1112</v>
      </c>
      <c r="L4832" s="205">
        <v>9370</v>
      </c>
    </row>
    <row r="4833" spans="1:13" ht="11.25" customHeight="1" x14ac:dyDescent="0.2">
      <c r="A4833" s="226">
        <v>2024</v>
      </c>
      <c r="B4833" s="226">
        <v>4</v>
      </c>
      <c r="C4833" s="232">
        <v>22</v>
      </c>
      <c r="D4833" s="232">
        <f t="shared" si="534"/>
        <v>45404</v>
      </c>
      <c r="E4833" s="234">
        <f t="shared" si="538"/>
        <v>45404</v>
      </c>
      <c r="F4833" s="479"/>
      <c r="G4833" s="227" t="s">
        <v>1111</v>
      </c>
      <c r="H4833" s="228"/>
      <c r="I4833" s="228" t="s">
        <v>320</v>
      </c>
      <c r="J4833" s="229" t="s">
        <v>55</v>
      </c>
      <c r="K4833" s="230"/>
      <c r="L4833" s="230">
        <v>400000</v>
      </c>
    </row>
    <row r="4834" spans="1:13" ht="11.25" customHeight="1" x14ac:dyDescent="0.2">
      <c r="A4834" s="221">
        <v>2024</v>
      </c>
      <c r="B4834" s="221">
        <v>4</v>
      </c>
      <c r="C4834" s="221">
        <v>22</v>
      </c>
      <c r="D4834" s="231">
        <f t="shared" si="534"/>
        <v>45404</v>
      </c>
      <c r="E4834" s="233">
        <f t="shared" si="538"/>
        <v>45404</v>
      </c>
      <c r="F4834" s="478" t="s">
        <v>1720</v>
      </c>
      <c r="G4834" s="222" t="s">
        <v>1111</v>
      </c>
      <c r="H4834" s="222"/>
      <c r="I4834" s="223"/>
      <c r="J4834" s="224" t="s">
        <v>1465</v>
      </c>
      <c r="K4834" s="357">
        <v>9724820</v>
      </c>
      <c r="L4834" s="225"/>
    </row>
    <row r="4835" spans="1:13" ht="11.25" customHeight="1" x14ac:dyDescent="0.2">
      <c r="A4835" s="226">
        <v>2024</v>
      </c>
      <c r="B4835" s="226">
        <v>4</v>
      </c>
      <c r="C4835" s="226">
        <v>22</v>
      </c>
      <c r="D4835" s="226">
        <f t="shared" si="534"/>
        <v>45404</v>
      </c>
      <c r="E4835" s="234">
        <f t="shared" si="538"/>
        <v>45404</v>
      </c>
      <c r="F4835" s="479"/>
      <c r="G4835" s="227" t="s">
        <v>1111</v>
      </c>
      <c r="H4835" s="227"/>
      <c r="I4835" s="228"/>
      <c r="J4835" s="229" t="s">
        <v>55</v>
      </c>
      <c r="K4835" s="294"/>
      <c r="L4835" s="230">
        <v>9724820</v>
      </c>
    </row>
    <row r="4836" spans="1:13" ht="11.25" customHeight="1" x14ac:dyDescent="0.2">
      <c r="A4836" s="221">
        <v>2024</v>
      </c>
      <c r="B4836" s="221">
        <v>4</v>
      </c>
      <c r="C4836" s="221">
        <v>22</v>
      </c>
      <c r="D4836" s="231">
        <f t="shared" si="534"/>
        <v>45404</v>
      </c>
      <c r="E4836" s="233">
        <f t="shared" ref="E4836:E4847" si="539">DATE(A4836,B4836,C4836)</f>
        <v>45404</v>
      </c>
      <c r="F4836" s="478" t="s">
        <v>1720</v>
      </c>
      <c r="G4836" s="222" t="s">
        <v>1111</v>
      </c>
      <c r="H4836" s="222"/>
      <c r="I4836" s="223"/>
      <c r="J4836" s="224" t="s">
        <v>1465</v>
      </c>
      <c r="K4836" s="357">
        <v>4862580</v>
      </c>
      <c r="L4836" s="225"/>
    </row>
    <row r="4837" spans="1:13" ht="11.25" customHeight="1" x14ac:dyDescent="0.2">
      <c r="A4837" s="226">
        <v>2024</v>
      </c>
      <c r="B4837" s="226">
        <v>4</v>
      </c>
      <c r="C4837" s="226">
        <v>22</v>
      </c>
      <c r="D4837" s="226">
        <f t="shared" si="534"/>
        <v>45404</v>
      </c>
      <c r="E4837" s="234">
        <f t="shared" si="539"/>
        <v>45404</v>
      </c>
      <c r="F4837" s="479"/>
      <c r="G4837" s="227" t="s">
        <v>1111</v>
      </c>
      <c r="H4837" s="227"/>
      <c r="I4837" s="228"/>
      <c r="J4837" s="229" t="s">
        <v>55</v>
      </c>
      <c r="K4837" s="294"/>
      <c r="L4837" s="230">
        <v>4862580</v>
      </c>
    </row>
    <row r="4838" spans="1:13" ht="11.25" customHeight="1" x14ac:dyDescent="0.2">
      <c r="A4838" s="221">
        <v>2024</v>
      </c>
      <c r="B4838" s="221">
        <v>4</v>
      </c>
      <c r="C4838" s="221">
        <v>23</v>
      </c>
      <c r="D4838" s="221">
        <f t="shared" si="534"/>
        <v>45405</v>
      </c>
      <c r="E4838" s="233">
        <f t="shared" si="539"/>
        <v>45405</v>
      </c>
      <c r="F4838" s="478" t="s">
        <v>1721</v>
      </c>
      <c r="G4838" s="222" t="s">
        <v>1111</v>
      </c>
      <c r="H4838" s="222"/>
      <c r="I4838" s="223"/>
      <c r="J4838" s="224" t="s">
        <v>55</v>
      </c>
      <c r="K4838" s="225">
        <v>104874.43</v>
      </c>
      <c r="L4838" s="225"/>
    </row>
    <row r="4839" spans="1:13" ht="11.25" customHeight="1" x14ac:dyDescent="0.2">
      <c r="A4839" s="226">
        <v>2024</v>
      </c>
      <c r="B4839" s="226">
        <v>4</v>
      </c>
      <c r="C4839" s="226">
        <v>23</v>
      </c>
      <c r="D4839" s="226">
        <f t="shared" si="534"/>
        <v>45405</v>
      </c>
      <c r="E4839" s="234">
        <f t="shared" si="539"/>
        <v>45405</v>
      </c>
      <c r="F4839" s="479"/>
      <c r="G4839" s="227" t="s">
        <v>1111</v>
      </c>
      <c r="H4839" s="227"/>
      <c r="I4839" s="228"/>
      <c r="J4839" s="229" t="s">
        <v>478</v>
      </c>
      <c r="K4839" s="230"/>
      <c r="L4839" s="230">
        <v>104874.43</v>
      </c>
    </row>
    <row r="4840" spans="1:13" ht="11.25" customHeight="1" x14ac:dyDescent="0.2">
      <c r="A4840" s="221">
        <v>2024</v>
      </c>
      <c r="B4840" s="221">
        <v>4</v>
      </c>
      <c r="C4840" s="221">
        <v>23</v>
      </c>
      <c r="D4840" s="231">
        <f t="shared" si="534"/>
        <v>45405</v>
      </c>
      <c r="E4840" s="233">
        <f t="shared" si="539"/>
        <v>45405</v>
      </c>
      <c r="F4840" s="478" t="s">
        <v>1590</v>
      </c>
      <c r="G4840" s="222" t="s">
        <v>1111</v>
      </c>
      <c r="H4840" s="223"/>
      <c r="I4840" s="223"/>
      <c r="J4840" s="224" t="s">
        <v>55</v>
      </c>
      <c r="K4840" s="225">
        <v>213165.6</v>
      </c>
      <c r="L4840" s="225"/>
    </row>
    <row r="4841" spans="1:13" ht="11.25" customHeight="1" x14ac:dyDescent="0.2">
      <c r="A4841" s="226">
        <v>2024</v>
      </c>
      <c r="B4841" s="226">
        <v>4</v>
      </c>
      <c r="C4841" s="226">
        <v>23</v>
      </c>
      <c r="D4841" s="232">
        <f t="shared" si="534"/>
        <v>45405</v>
      </c>
      <c r="E4841" s="234">
        <f t="shared" si="539"/>
        <v>45405</v>
      </c>
      <c r="F4841" s="479"/>
      <c r="G4841" s="227" t="s">
        <v>1111</v>
      </c>
      <c r="H4841" s="228"/>
      <c r="I4841" s="228"/>
      <c r="J4841" s="229" t="s">
        <v>199</v>
      </c>
      <c r="K4841" s="230"/>
      <c r="L4841" s="230">
        <v>213165.6</v>
      </c>
    </row>
    <row r="4842" spans="1:13" ht="11.25" customHeight="1" x14ac:dyDescent="0.2">
      <c r="A4842" s="221">
        <v>2024</v>
      </c>
      <c r="B4842" s="221">
        <v>4</v>
      </c>
      <c r="C4842" s="221">
        <v>24</v>
      </c>
      <c r="D4842" s="231">
        <f t="shared" si="534"/>
        <v>45406</v>
      </c>
      <c r="E4842" s="233">
        <f t="shared" si="539"/>
        <v>45406</v>
      </c>
      <c r="F4842" s="478" t="s">
        <v>1722</v>
      </c>
      <c r="G4842" s="222" t="s">
        <v>1111</v>
      </c>
      <c r="H4842" s="222"/>
      <c r="I4842" s="223"/>
      <c r="J4842" s="224" t="s">
        <v>196</v>
      </c>
      <c r="K4842" s="225">
        <v>2400000</v>
      </c>
      <c r="L4842" s="225"/>
      <c r="M4842" s="166"/>
    </row>
    <row r="4843" spans="1:13" ht="11.25" customHeight="1" x14ac:dyDescent="0.2">
      <c r="A4843" s="164">
        <v>2024</v>
      </c>
      <c r="B4843" s="164">
        <v>4</v>
      </c>
      <c r="C4843" s="164">
        <v>24</v>
      </c>
      <c r="D4843" s="164">
        <f t="shared" si="534"/>
        <v>45406</v>
      </c>
      <c r="E4843" s="235">
        <f t="shared" si="539"/>
        <v>45406</v>
      </c>
      <c r="F4843" s="480"/>
      <c r="G4843" s="208" t="s">
        <v>1111</v>
      </c>
      <c r="H4843" s="208"/>
      <c r="J4843" s="165" t="s">
        <v>63</v>
      </c>
      <c r="K4843" s="205">
        <v>115</v>
      </c>
      <c r="L4843" s="205"/>
    </row>
    <row r="4844" spans="1:13" ht="11.25" customHeight="1" x14ac:dyDescent="0.2">
      <c r="A4844" s="226">
        <v>2024</v>
      </c>
      <c r="B4844" s="226">
        <v>4</v>
      </c>
      <c r="C4844" s="226">
        <v>24</v>
      </c>
      <c r="D4844" s="226">
        <f t="shared" si="534"/>
        <v>45406</v>
      </c>
      <c r="E4844" s="234">
        <f t="shared" si="539"/>
        <v>45406</v>
      </c>
      <c r="F4844" s="479"/>
      <c r="G4844" s="227" t="s">
        <v>1111</v>
      </c>
      <c r="H4844" s="228"/>
      <c r="I4844" s="228"/>
      <c r="J4844" s="229" t="s">
        <v>55</v>
      </c>
      <c r="K4844" s="230"/>
      <c r="L4844" s="230">
        <v>2400115</v>
      </c>
    </row>
    <row r="4845" spans="1:13" ht="11.25" customHeight="1" x14ac:dyDescent="0.2">
      <c r="A4845" s="221">
        <v>2024</v>
      </c>
      <c r="B4845" s="221">
        <v>4</v>
      </c>
      <c r="C4845" s="221">
        <v>24</v>
      </c>
      <c r="D4845" s="231">
        <f t="shared" si="534"/>
        <v>45406</v>
      </c>
      <c r="E4845" s="233">
        <f t="shared" si="539"/>
        <v>45406</v>
      </c>
      <c r="F4845" s="478" t="s">
        <v>1142</v>
      </c>
      <c r="G4845" s="222" t="s">
        <v>1111</v>
      </c>
      <c r="H4845" s="223"/>
      <c r="I4845" s="223"/>
      <c r="J4845" s="224" t="s">
        <v>189</v>
      </c>
      <c r="K4845" s="225">
        <v>1575</v>
      </c>
      <c r="L4845" s="225"/>
    </row>
    <row r="4846" spans="1:13" ht="11.25" customHeight="1" x14ac:dyDescent="0.2">
      <c r="A4846" s="164">
        <v>2024</v>
      </c>
      <c r="B4846" s="164">
        <v>4</v>
      </c>
      <c r="C4846" s="164">
        <v>24</v>
      </c>
      <c r="D4846" s="156">
        <f t="shared" si="534"/>
        <v>45406</v>
      </c>
      <c r="E4846" s="235">
        <f t="shared" si="539"/>
        <v>45406</v>
      </c>
      <c r="F4846" s="480"/>
      <c r="G4846" s="208" t="s">
        <v>1111</v>
      </c>
      <c r="J4846" s="165" t="s">
        <v>1707</v>
      </c>
      <c r="K4846" s="205"/>
      <c r="L4846" s="205">
        <v>150</v>
      </c>
    </row>
    <row r="4847" spans="1:13" ht="11.25" customHeight="1" x14ac:dyDescent="0.2">
      <c r="A4847" s="226">
        <v>2024</v>
      </c>
      <c r="B4847" s="226">
        <v>4</v>
      </c>
      <c r="C4847" s="226">
        <v>24</v>
      </c>
      <c r="D4847" s="232">
        <f t="shared" si="534"/>
        <v>45406</v>
      </c>
      <c r="E4847" s="234">
        <f t="shared" si="539"/>
        <v>45406</v>
      </c>
      <c r="F4847" s="479"/>
      <c r="G4847" s="227" t="s">
        <v>1111</v>
      </c>
      <c r="H4847" s="228"/>
      <c r="I4847" s="228"/>
      <c r="J4847" s="229" t="s">
        <v>55</v>
      </c>
      <c r="K4847" s="230"/>
      <c r="L4847" s="230">
        <v>1425</v>
      </c>
    </row>
    <row r="4848" spans="1:13" ht="11.25" customHeight="1" x14ac:dyDescent="0.2">
      <c r="A4848" s="221">
        <v>2024</v>
      </c>
      <c r="B4848" s="221">
        <v>4</v>
      </c>
      <c r="C4848" s="221">
        <v>24</v>
      </c>
      <c r="D4848" s="231">
        <f t="shared" si="534"/>
        <v>45406</v>
      </c>
      <c r="E4848" s="233">
        <f>DATE(A4848,B4848,C4848)</f>
        <v>45406</v>
      </c>
      <c r="F4848" s="478" t="s">
        <v>1723</v>
      </c>
      <c r="G4848" s="222" t="s">
        <v>1111</v>
      </c>
      <c r="H4848" s="223"/>
      <c r="I4848" s="223"/>
      <c r="J4848" s="224" t="s">
        <v>51</v>
      </c>
      <c r="K4848" s="225">
        <v>90608.2</v>
      </c>
      <c r="L4848" s="225"/>
    </row>
    <row r="4849" spans="1:12" ht="11.25" customHeight="1" x14ac:dyDescent="0.2">
      <c r="A4849" s="164">
        <v>2024</v>
      </c>
      <c r="B4849" s="164">
        <v>4</v>
      </c>
      <c r="C4849" s="164">
        <v>24</v>
      </c>
      <c r="D4849" s="156">
        <f t="shared" si="534"/>
        <v>45406</v>
      </c>
      <c r="E4849" s="235">
        <f>DATE(A4849,B4849,C4849)</f>
        <v>45406</v>
      </c>
      <c r="F4849" s="480"/>
      <c r="G4849" s="208" t="s">
        <v>1111</v>
      </c>
      <c r="J4849" s="165" t="s">
        <v>478</v>
      </c>
      <c r="K4849" s="205"/>
      <c r="L4849" s="205">
        <v>9060.82</v>
      </c>
    </row>
    <row r="4850" spans="1:12" ht="11.25" customHeight="1" x14ac:dyDescent="0.2">
      <c r="A4850" s="226">
        <v>2024</v>
      </c>
      <c r="B4850" s="226">
        <v>4</v>
      </c>
      <c r="C4850" s="226">
        <v>24</v>
      </c>
      <c r="D4850" s="232">
        <f t="shared" si="534"/>
        <v>45406</v>
      </c>
      <c r="E4850" s="234">
        <f>DATE(A4850,B4850,C4850)</f>
        <v>45406</v>
      </c>
      <c r="F4850" s="479"/>
      <c r="G4850" s="227" t="s">
        <v>1111</v>
      </c>
      <c r="H4850" s="228"/>
      <c r="I4850" s="228"/>
      <c r="J4850" s="229" t="s">
        <v>55</v>
      </c>
      <c r="K4850" s="230"/>
      <c r="L4850" s="230">
        <v>81547.38</v>
      </c>
    </row>
    <row r="4851" spans="1:12" ht="11.25" customHeight="1" x14ac:dyDescent="0.2">
      <c r="A4851" s="221">
        <v>2024</v>
      </c>
      <c r="B4851" s="221">
        <v>4</v>
      </c>
      <c r="C4851" s="221">
        <v>25</v>
      </c>
      <c r="D4851" s="231">
        <f t="shared" si="534"/>
        <v>45407</v>
      </c>
      <c r="E4851" s="233">
        <f t="shared" ref="E4851:E4857" si="540">DATE(A4851,B4851,C4851)</f>
        <v>45407</v>
      </c>
      <c r="F4851" s="478" t="s">
        <v>1593</v>
      </c>
      <c r="G4851" s="222" t="s">
        <v>86</v>
      </c>
      <c r="H4851" s="222"/>
      <c r="I4851" s="223"/>
      <c r="J4851" s="224" t="s">
        <v>80</v>
      </c>
      <c r="K4851" s="225">
        <v>2867133.9</v>
      </c>
      <c r="L4851" s="225"/>
    </row>
    <row r="4852" spans="1:12" ht="11.25" customHeight="1" x14ac:dyDescent="0.2">
      <c r="A4852" s="164">
        <v>2024</v>
      </c>
      <c r="B4852" s="164">
        <v>4</v>
      </c>
      <c r="C4852" s="164">
        <v>25</v>
      </c>
      <c r="D4852" s="164">
        <f t="shared" si="534"/>
        <v>45407</v>
      </c>
      <c r="E4852" s="235">
        <f t="shared" si="540"/>
        <v>45407</v>
      </c>
      <c r="F4852" s="480"/>
      <c r="G4852" s="208" t="s">
        <v>86</v>
      </c>
      <c r="H4852" s="208"/>
      <c r="J4852" s="165" t="s">
        <v>960</v>
      </c>
      <c r="K4852" s="205">
        <v>5160.87</v>
      </c>
      <c r="L4852" s="205"/>
    </row>
    <row r="4853" spans="1:12" ht="11.25" customHeight="1" x14ac:dyDescent="0.2">
      <c r="A4853" s="226">
        <v>2024</v>
      </c>
      <c r="B4853" s="226">
        <v>4</v>
      </c>
      <c r="C4853" s="226">
        <v>25</v>
      </c>
      <c r="D4853" s="226">
        <f t="shared" si="534"/>
        <v>45407</v>
      </c>
      <c r="E4853" s="234">
        <f t="shared" si="540"/>
        <v>45407</v>
      </c>
      <c r="F4853" s="479"/>
      <c r="G4853" s="227" t="s">
        <v>86</v>
      </c>
      <c r="H4853" s="227"/>
      <c r="I4853" s="228"/>
      <c r="J4853" s="229" t="s">
        <v>961</v>
      </c>
      <c r="K4853" s="294"/>
      <c r="L4853" s="230">
        <v>2872294.77</v>
      </c>
    </row>
    <row r="4854" spans="1:12" ht="11.25" customHeight="1" x14ac:dyDescent="0.2">
      <c r="A4854" s="221">
        <v>2024</v>
      </c>
      <c r="B4854" s="221">
        <v>4</v>
      </c>
      <c r="C4854" s="221">
        <v>25</v>
      </c>
      <c r="D4854" s="231">
        <f t="shared" si="534"/>
        <v>45407</v>
      </c>
      <c r="E4854" s="233">
        <f t="shared" si="540"/>
        <v>45407</v>
      </c>
      <c r="F4854" s="478" t="s">
        <v>1594</v>
      </c>
      <c r="G4854" s="222" t="s">
        <v>1111</v>
      </c>
      <c r="H4854" s="223"/>
      <c r="I4854" s="223"/>
      <c r="J4854" s="224" t="s">
        <v>961</v>
      </c>
      <c r="K4854" s="225">
        <v>2872294.77</v>
      </c>
      <c r="L4854" s="225"/>
    </row>
    <row r="4855" spans="1:12" ht="11.25" customHeight="1" x14ac:dyDescent="0.2">
      <c r="A4855" s="226">
        <v>2024</v>
      </c>
      <c r="B4855" s="226">
        <v>4</v>
      </c>
      <c r="C4855" s="226">
        <v>25</v>
      </c>
      <c r="D4855" s="232">
        <f t="shared" si="534"/>
        <v>45407</v>
      </c>
      <c r="E4855" s="234">
        <f t="shared" si="540"/>
        <v>45407</v>
      </c>
      <c r="F4855" s="479"/>
      <c r="G4855" s="227" t="s">
        <v>1111</v>
      </c>
      <c r="H4855" s="228"/>
      <c r="I4855" s="228"/>
      <c r="J4855" s="229" t="s">
        <v>55</v>
      </c>
      <c r="K4855" s="230"/>
      <c r="L4855" s="230">
        <v>2872294.77</v>
      </c>
    </row>
    <row r="4856" spans="1:12" ht="11.25" customHeight="1" x14ac:dyDescent="0.2">
      <c r="A4856" s="280">
        <v>2024</v>
      </c>
      <c r="B4856" s="280">
        <v>4</v>
      </c>
      <c r="C4856" s="280">
        <v>25</v>
      </c>
      <c r="D4856" s="281">
        <f t="shared" si="534"/>
        <v>45407</v>
      </c>
      <c r="E4856" s="282">
        <f t="shared" si="540"/>
        <v>45407</v>
      </c>
      <c r="F4856" s="472" t="s">
        <v>1584</v>
      </c>
      <c r="G4856" s="283" t="s">
        <v>86</v>
      </c>
      <c r="H4856" s="284"/>
      <c r="I4856" s="284"/>
      <c r="J4856" s="285" t="s">
        <v>131</v>
      </c>
      <c r="K4856" s="286">
        <v>7884.6153846153848</v>
      </c>
      <c r="L4856" s="286"/>
    </row>
    <row r="4857" spans="1:12" ht="11.25" customHeight="1" x14ac:dyDescent="0.2">
      <c r="A4857" s="287">
        <v>2024</v>
      </c>
      <c r="B4857" s="287">
        <v>4</v>
      </c>
      <c r="C4857" s="287">
        <v>25</v>
      </c>
      <c r="D4857" s="288">
        <f t="shared" si="534"/>
        <v>45407</v>
      </c>
      <c r="E4857" s="289">
        <f t="shared" si="540"/>
        <v>45407</v>
      </c>
      <c r="F4857" s="473"/>
      <c r="G4857" s="290" t="s">
        <v>86</v>
      </c>
      <c r="H4857" s="291"/>
      <c r="I4857" s="291"/>
      <c r="J4857" s="292" t="s">
        <v>174</v>
      </c>
      <c r="K4857" s="293"/>
      <c r="L4857" s="293">
        <v>7884.6153846153848</v>
      </c>
    </row>
    <row r="4858" spans="1:12" ht="11.25" customHeight="1" x14ac:dyDescent="0.2">
      <c r="A4858" s="358">
        <v>2024</v>
      </c>
      <c r="B4858" s="358">
        <v>4</v>
      </c>
      <c r="C4858" s="358">
        <v>25</v>
      </c>
      <c r="D4858" s="312">
        <f t="shared" si="534"/>
        <v>45407</v>
      </c>
      <c r="E4858" s="313">
        <f>DATE(A4858,B4858,C4858)</f>
        <v>45407</v>
      </c>
      <c r="F4858" s="482" t="s">
        <v>1627</v>
      </c>
      <c r="G4858" s="314" t="s">
        <v>86</v>
      </c>
      <c r="H4858" s="324"/>
      <c r="I4858" s="324"/>
      <c r="J4858" s="364" t="s">
        <v>1621</v>
      </c>
      <c r="K4858" s="365">
        <v>126115</v>
      </c>
      <c r="L4858" s="365"/>
    </row>
    <row r="4859" spans="1:12" ht="11.25" customHeight="1" x14ac:dyDescent="0.2">
      <c r="A4859" s="320">
        <v>2024</v>
      </c>
      <c r="B4859" s="320">
        <v>4</v>
      </c>
      <c r="C4859" s="320">
        <v>25</v>
      </c>
      <c r="D4859" s="323">
        <f t="shared" si="534"/>
        <v>45407</v>
      </c>
      <c r="E4859" s="321">
        <f t="shared" ref="E4859" si="541">DATE(A4859,B4859,C4859)</f>
        <v>45407</v>
      </c>
      <c r="F4859" s="483"/>
      <c r="G4859" s="322" t="s">
        <v>86</v>
      </c>
      <c r="H4859" s="325"/>
      <c r="I4859" s="325"/>
      <c r="J4859" s="366" t="s">
        <v>1613</v>
      </c>
      <c r="K4859" s="367"/>
      <c r="L4859" s="367">
        <v>126115</v>
      </c>
    </row>
    <row r="4860" spans="1:12" ht="11.25" customHeight="1" x14ac:dyDescent="0.2">
      <c r="A4860" s="358">
        <v>2024</v>
      </c>
      <c r="B4860" s="358">
        <v>4</v>
      </c>
      <c r="C4860" s="358">
        <v>25</v>
      </c>
      <c r="D4860" s="312">
        <f t="shared" si="534"/>
        <v>45407</v>
      </c>
      <c r="E4860" s="313">
        <f>DATE(A4860,B4860,C4860)</f>
        <v>45407</v>
      </c>
      <c r="F4860" s="482" t="s">
        <v>1713</v>
      </c>
      <c r="G4860" s="314" t="s">
        <v>86</v>
      </c>
      <c r="H4860" s="324"/>
      <c r="I4860" s="324"/>
      <c r="J4860" s="364" t="s">
        <v>1622</v>
      </c>
      <c r="K4860" s="365">
        <v>131149.80000000447</v>
      </c>
      <c r="L4860" s="365"/>
    </row>
    <row r="4861" spans="1:12" ht="11.25" customHeight="1" x14ac:dyDescent="0.2">
      <c r="A4861" s="320">
        <v>2024</v>
      </c>
      <c r="B4861" s="320">
        <v>4</v>
      </c>
      <c r="C4861" s="320">
        <v>25</v>
      </c>
      <c r="D4861" s="323">
        <f t="shared" si="534"/>
        <v>45407</v>
      </c>
      <c r="E4861" s="321">
        <f t="shared" ref="E4861:E4880" si="542">DATE(A4861,B4861,C4861)</f>
        <v>45407</v>
      </c>
      <c r="F4861" s="483"/>
      <c r="G4861" s="322" t="s">
        <v>86</v>
      </c>
      <c r="H4861" s="325"/>
      <c r="I4861" s="325"/>
      <c r="J4861" s="366" t="s">
        <v>1614</v>
      </c>
      <c r="K4861" s="367"/>
      <c r="L4861" s="367">
        <v>131149.80000000447</v>
      </c>
    </row>
    <row r="4862" spans="1:12" ht="11.25" customHeight="1" x14ac:dyDescent="0.2">
      <c r="A4862" s="236">
        <v>2024</v>
      </c>
      <c r="B4862" s="236">
        <v>4</v>
      </c>
      <c r="C4862" s="236">
        <v>25</v>
      </c>
      <c r="D4862" s="237">
        <f t="shared" si="534"/>
        <v>45407</v>
      </c>
      <c r="E4862" s="238">
        <f t="shared" si="542"/>
        <v>45407</v>
      </c>
      <c r="F4862" s="476" t="s">
        <v>1118</v>
      </c>
      <c r="G4862" s="239" t="s">
        <v>86</v>
      </c>
      <c r="H4862" s="239"/>
      <c r="I4862" s="240"/>
      <c r="J4862" s="241" t="s">
        <v>98</v>
      </c>
      <c r="K4862" s="242">
        <v>177366.10000000522</v>
      </c>
      <c r="L4862" s="242"/>
    </row>
    <row r="4863" spans="1:12" ht="11.25" customHeight="1" x14ac:dyDescent="0.2">
      <c r="A4863" s="243">
        <v>2024</v>
      </c>
      <c r="B4863" s="243">
        <v>4</v>
      </c>
      <c r="C4863" s="243">
        <v>25</v>
      </c>
      <c r="D4863" s="248">
        <f t="shared" si="534"/>
        <v>45407</v>
      </c>
      <c r="E4863" s="249">
        <f t="shared" si="542"/>
        <v>45407</v>
      </c>
      <c r="F4863" s="477"/>
      <c r="G4863" s="244" t="s">
        <v>86</v>
      </c>
      <c r="H4863" s="244"/>
      <c r="I4863" s="245"/>
      <c r="J4863" s="246" t="s">
        <v>82</v>
      </c>
      <c r="K4863" s="247"/>
      <c r="L4863" s="247">
        <v>177366.10000000522</v>
      </c>
    </row>
    <row r="4864" spans="1:12" ht="11.25" customHeight="1" x14ac:dyDescent="0.2">
      <c r="A4864" s="236">
        <v>2024</v>
      </c>
      <c r="B4864" s="236">
        <v>4</v>
      </c>
      <c r="C4864" s="236">
        <v>25</v>
      </c>
      <c r="D4864" s="237">
        <f t="shared" si="534"/>
        <v>45407</v>
      </c>
      <c r="E4864" s="238">
        <f t="shared" si="542"/>
        <v>45407</v>
      </c>
      <c r="F4864" s="476" t="s">
        <v>1120</v>
      </c>
      <c r="G4864" s="239" t="s">
        <v>86</v>
      </c>
      <c r="H4864" s="239"/>
      <c r="I4864" s="240"/>
      <c r="J4864" s="241" t="s">
        <v>87</v>
      </c>
      <c r="K4864" s="242">
        <v>2747.2527472527472</v>
      </c>
      <c r="L4864" s="242"/>
    </row>
    <row r="4865" spans="1:13" ht="11.25" customHeight="1" x14ac:dyDescent="0.2">
      <c r="A4865" s="243">
        <v>2024</v>
      </c>
      <c r="B4865" s="243">
        <v>4</v>
      </c>
      <c r="C4865" s="243">
        <v>25</v>
      </c>
      <c r="D4865" s="248">
        <f t="shared" si="534"/>
        <v>45407</v>
      </c>
      <c r="E4865" s="249">
        <f t="shared" si="542"/>
        <v>45407</v>
      </c>
      <c r="F4865" s="477"/>
      <c r="G4865" s="244" t="s">
        <v>86</v>
      </c>
      <c r="H4865" s="244"/>
      <c r="I4865" s="245"/>
      <c r="J4865" s="246" t="s">
        <v>64</v>
      </c>
      <c r="K4865" s="247"/>
      <c r="L4865" s="247">
        <v>2747.2527472527472</v>
      </c>
    </row>
    <row r="4866" spans="1:13" ht="11.25" customHeight="1" x14ac:dyDescent="0.2">
      <c r="A4866" s="236">
        <v>2024</v>
      </c>
      <c r="B4866" s="236">
        <v>4</v>
      </c>
      <c r="C4866" s="236">
        <v>25</v>
      </c>
      <c r="D4866" s="237">
        <f t="shared" si="534"/>
        <v>45407</v>
      </c>
      <c r="E4866" s="238">
        <f t="shared" si="542"/>
        <v>45407</v>
      </c>
      <c r="F4866" s="476" t="s">
        <v>1121</v>
      </c>
      <c r="G4866" s="239" t="s">
        <v>86</v>
      </c>
      <c r="H4866" s="239"/>
      <c r="I4866" s="240"/>
      <c r="J4866" s="241" t="s">
        <v>89</v>
      </c>
      <c r="K4866" s="242">
        <f>M4866</f>
        <v>64887.459386875744</v>
      </c>
      <c r="L4866" s="242"/>
      <c r="M4866" s="156">
        <v>64887.459386875744</v>
      </c>
    </row>
    <row r="4867" spans="1:13" ht="11.25" customHeight="1" x14ac:dyDescent="0.2">
      <c r="A4867" s="243">
        <v>2024</v>
      </c>
      <c r="B4867" s="243">
        <v>4</v>
      </c>
      <c r="C4867" s="243">
        <v>25</v>
      </c>
      <c r="D4867" s="248">
        <f t="shared" si="534"/>
        <v>45407</v>
      </c>
      <c r="E4867" s="249">
        <f t="shared" si="542"/>
        <v>45407</v>
      </c>
      <c r="F4867" s="477"/>
      <c r="G4867" s="244" t="s">
        <v>86</v>
      </c>
      <c r="H4867" s="244"/>
      <c r="I4867" s="245"/>
      <c r="J4867" s="246" t="s">
        <v>50</v>
      </c>
      <c r="K4867" s="247"/>
      <c r="L4867" s="247">
        <f>K4866</f>
        <v>64887.459386875744</v>
      </c>
      <c r="M4867" s="156">
        <v>3003.9883539591715</v>
      </c>
    </row>
    <row r="4868" spans="1:13" ht="11.25" customHeight="1" x14ac:dyDescent="0.2">
      <c r="A4868" s="236">
        <v>2024</v>
      </c>
      <c r="B4868" s="236">
        <v>4</v>
      </c>
      <c r="C4868" s="236">
        <v>25</v>
      </c>
      <c r="D4868" s="237">
        <f t="shared" si="534"/>
        <v>45407</v>
      </c>
      <c r="E4868" s="238">
        <f t="shared" si="542"/>
        <v>45407</v>
      </c>
      <c r="F4868" s="476" t="s">
        <v>1122</v>
      </c>
      <c r="G4868" s="239" t="s">
        <v>86</v>
      </c>
      <c r="H4868" s="239"/>
      <c r="I4868" s="240"/>
      <c r="J4868" s="241" t="s">
        <v>91</v>
      </c>
      <c r="K4868" s="242">
        <f>M4867</f>
        <v>3003.9883539591715</v>
      </c>
      <c r="L4868" s="242"/>
    </row>
    <row r="4869" spans="1:13" ht="11.25" customHeight="1" x14ac:dyDescent="0.2">
      <c r="A4869" s="243">
        <v>2024</v>
      </c>
      <c r="B4869" s="243">
        <v>4</v>
      </c>
      <c r="C4869" s="243">
        <v>25</v>
      </c>
      <c r="D4869" s="248">
        <f t="shared" si="534"/>
        <v>45407</v>
      </c>
      <c r="E4869" s="249">
        <f t="shared" si="542"/>
        <v>45407</v>
      </c>
      <c r="F4869" s="477"/>
      <c r="G4869" s="244" t="s">
        <v>86</v>
      </c>
      <c r="H4869" s="244"/>
      <c r="I4869" s="245"/>
      <c r="J4869" s="246" t="s">
        <v>51</v>
      </c>
      <c r="K4869" s="247"/>
      <c r="L4869" s="247">
        <f>K4868</f>
        <v>3003.9883539591715</v>
      </c>
    </row>
    <row r="4870" spans="1:13" ht="11.25" customHeight="1" x14ac:dyDescent="0.2">
      <c r="A4870" s="221">
        <v>2024</v>
      </c>
      <c r="B4870" s="221">
        <v>4</v>
      </c>
      <c r="C4870" s="231">
        <v>28</v>
      </c>
      <c r="D4870" s="231">
        <f t="shared" si="534"/>
        <v>45410</v>
      </c>
      <c r="E4870" s="233">
        <f t="shared" si="542"/>
        <v>45410</v>
      </c>
      <c r="F4870" s="478" t="s">
        <v>1309</v>
      </c>
      <c r="G4870" s="222" t="s">
        <v>1111</v>
      </c>
      <c r="H4870" s="223"/>
      <c r="I4870" s="223"/>
      <c r="J4870" s="224" t="s">
        <v>14</v>
      </c>
      <c r="K4870" s="167">
        <v>56670</v>
      </c>
      <c r="L4870" s="225"/>
    </row>
    <row r="4871" spans="1:13" ht="11.25" customHeight="1" x14ac:dyDescent="0.2">
      <c r="A4871" s="164">
        <v>2024</v>
      </c>
      <c r="B4871" s="164">
        <v>4</v>
      </c>
      <c r="C4871" s="156">
        <v>28</v>
      </c>
      <c r="D4871" s="156">
        <f t="shared" si="534"/>
        <v>45410</v>
      </c>
      <c r="E4871" s="235">
        <f t="shared" si="542"/>
        <v>45410</v>
      </c>
      <c r="F4871" s="480"/>
      <c r="G4871" s="208" t="s">
        <v>1111</v>
      </c>
      <c r="J4871" s="165" t="s">
        <v>1112</v>
      </c>
      <c r="L4871" s="205">
        <v>1171</v>
      </c>
    </row>
    <row r="4872" spans="1:13" ht="11.25" customHeight="1" x14ac:dyDescent="0.2">
      <c r="A4872" s="226">
        <v>2024</v>
      </c>
      <c r="B4872" s="226">
        <v>4</v>
      </c>
      <c r="C4872" s="232">
        <v>28</v>
      </c>
      <c r="D4872" s="232">
        <f t="shared" si="534"/>
        <v>45410</v>
      </c>
      <c r="E4872" s="234">
        <f t="shared" si="542"/>
        <v>45410</v>
      </c>
      <c r="F4872" s="479"/>
      <c r="G4872" s="227" t="s">
        <v>1111</v>
      </c>
      <c r="H4872" s="228"/>
      <c r="I4872" s="228"/>
      <c r="J4872" s="229" t="s">
        <v>55</v>
      </c>
      <c r="K4872" s="230"/>
      <c r="L4872" s="230">
        <v>55499</v>
      </c>
    </row>
    <row r="4873" spans="1:13" ht="11.25" customHeight="1" x14ac:dyDescent="0.2">
      <c r="A4873" s="221">
        <v>2024</v>
      </c>
      <c r="B4873" s="221">
        <v>4</v>
      </c>
      <c r="C4873" s="231">
        <v>28</v>
      </c>
      <c r="D4873" s="231">
        <f t="shared" ref="D4873:D4936" si="543">DATE(A4873,B4873,C4873)</f>
        <v>45410</v>
      </c>
      <c r="E4873" s="233">
        <f t="shared" si="542"/>
        <v>45410</v>
      </c>
      <c r="F4873" s="478" t="s">
        <v>1132</v>
      </c>
      <c r="G4873" s="222" t="s">
        <v>1111</v>
      </c>
      <c r="H4873" s="223"/>
      <c r="I4873" s="223"/>
      <c r="J4873" s="224" t="s">
        <v>55</v>
      </c>
      <c r="K4873" s="167">
        <v>15000</v>
      </c>
      <c r="L4873" s="225"/>
    </row>
    <row r="4874" spans="1:13" ht="11.25" customHeight="1" x14ac:dyDescent="0.2">
      <c r="A4874" s="164">
        <v>2024</v>
      </c>
      <c r="B4874" s="164">
        <v>4</v>
      </c>
      <c r="C4874" s="156">
        <v>28</v>
      </c>
      <c r="D4874" s="156">
        <f t="shared" si="543"/>
        <v>45410</v>
      </c>
      <c r="E4874" s="235">
        <f t="shared" si="542"/>
        <v>45410</v>
      </c>
      <c r="F4874" s="480"/>
      <c r="G4874" s="208" t="s">
        <v>1111</v>
      </c>
      <c r="J4874" s="165" t="s">
        <v>14</v>
      </c>
      <c r="L4874" s="205">
        <v>15320</v>
      </c>
    </row>
    <row r="4875" spans="1:13" ht="11.25" customHeight="1" x14ac:dyDescent="0.2">
      <c r="A4875" s="226">
        <v>2024</v>
      </c>
      <c r="B4875" s="226">
        <v>4</v>
      </c>
      <c r="C4875" s="232">
        <v>28</v>
      </c>
      <c r="D4875" s="232">
        <f t="shared" si="543"/>
        <v>45410</v>
      </c>
      <c r="E4875" s="234">
        <f t="shared" si="542"/>
        <v>45410</v>
      </c>
      <c r="F4875" s="479"/>
      <c r="G4875" s="227" t="s">
        <v>1111</v>
      </c>
      <c r="H4875" s="228"/>
      <c r="I4875" s="228"/>
      <c r="J4875" s="229" t="s">
        <v>1112</v>
      </c>
      <c r="K4875" s="230">
        <v>320</v>
      </c>
      <c r="L4875" s="230"/>
    </row>
    <row r="4876" spans="1:13" ht="11.25" customHeight="1" x14ac:dyDescent="0.2">
      <c r="A4876" s="221">
        <v>2024</v>
      </c>
      <c r="B4876" s="221">
        <v>4</v>
      </c>
      <c r="C4876" s="221">
        <v>28</v>
      </c>
      <c r="D4876" s="231">
        <f t="shared" si="543"/>
        <v>45410</v>
      </c>
      <c r="E4876" s="233">
        <f t="shared" si="542"/>
        <v>45410</v>
      </c>
      <c r="F4876" s="478" t="s">
        <v>1724</v>
      </c>
      <c r="G4876" s="222" t="s">
        <v>1111</v>
      </c>
      <c r="H4876" s="223"/>
      <c r="I4876" s="223"/>
      <c r="J4876" s="224" t="s">
        <v>55</v>
      </c>
      <c r="K4876" s="225">
        <v>410550</v>
      </c>
      <c r="L4876" s="225"/>
    </row>
    <row r="4877" spans="1:13" ht="11.25" customHeight="1" x14ac:dyDescent="0.2">
      <c r="A4877" s="226">
        <v>2024</v>
      </c>
      <c r="B4877" s="226">
        <v>4</v>
      </c>
      <c r="C4877" s="226">
        <v>28</v>
      </c>
      <c r="D4877" s="232">
        <f t="shared" si="543"/>
        <v>45410</v>
      </c>
      <c r="E4877" s="234">
        <f t="shared" si="542"/>
        <v>45410</v>
      </c>
      <c r="F4877" s="479"/>
      <c r="G4877" s="227" t="s">
        <v>1111</v>
      </c>
      <c r="H4877" s="228"/>
      <c r="I4877" s="228"/>
      <c r="J4877" s="229" t="s">
        <v>192</v>
      </c>
      <c r="K4877" s="230"/>
      <c r="L4877" s="230">
        <v>410550</v>
      </c>
    </row>
    <row r="4878" spans="1:13" ht="11.25" customHeight="1" x14ac:dyDescent="0.2">
      <c r="A4878" s="221">
        <v>2024</v>
      </c>
      <c r="B4878" s="221">
        <v>4</v>
      </c>
      <c r="C4878" s="221">
        <v>28</v>
      </c>
      <c r="D4878" s="231">
        <f t="shared" si="543"/>
        <v>45410</v>
      </c>
      <c r="E4878" s="233">
        <f t="shared" si="542"/>
        <v>45410</v>
      </c>
      <c r="F4878" s="478" t="s">
        <v>1593</v>
      </c>
      <c r="G4878" s="222" t="s">
        <v>86</v>
      </c>
      <c r="H4878" s="222"/>
      <c r="I4878" s="223"/>
      <c r="J4878" s="224" t="s">
        <v>80</v>
      </c>
      <c r="K4878" s="225">
        <v>2165843.6</v>
      </c>
      <c r="L4878" s="225"/>
    </row>
    <row r="4879" spans="1:13" ht="11.25" customHeight="1" x14ac:dyDescent="0.2">
      <c r="A4879" s="164">
        <v>2024</v>
      </c>
      <c r="B4879" s="164">
        <v>4</v>
      </c>
      <c r="C4879" s="164">
        <v>28</v>
      </c>
      <c r="D4879" s="164">
        <f t="shared" si="543"/>
        <v>45410</v>
      </c>
      <c r="E4879" s="235">
        <f t="shared" si="542"/>
        <v>45410</v>
      </c>
      <c r="F4879" s="480"/>
      <c r="G4879" s="208" t="s">
        <v>86</v>
      </c>
      <c r="H4879" s="208"/>
      <c r="J4879" s="165" t="s">
        <v>960</v>
      </c>
      <c r="K4879" s="205">
        <v>3898.52</v>
      </c>
      <c r="L4879" s="205"/>
    </row>
    <row r="4880" spans="1:13" ht="11.25" customHeight="1" x14ac:dyDescent="0.2">
      <c r="A4880" s="226">
        <v>2024</v>
      </c>
      <c r="B4880" s="226">
        <v>4</v>
      </c>
      <c r="C4880" s="226">
        <v>28</v>
      </c>
      <c r="D4880" s="226">
        <f t="shared" si="543"/>
        <v>45410</v>
      </c>
      <c r="E4880" s="234">
        <f t="shared" si="542"/>
        <v>45410</v>
      </c>
      <c r="F4880" s="479"/>
      <c r="G4880" s="227" t="s">
        <v>86</v>
      </c>
      <c r="H4880" s="227"/>
      <c r="I4880" s="228"/>
      <c r="J4880" s="229" t="s">
        <v>961</v>
      </c>
      <c r="K4880" s="294"/>
      <c r="L4880" s="230">
        <v>2169742.12</v>
      </c>
    </row>
    <row r="4881" spans="1:13" ht="11.25" customHeight="1" x14ac:dyDescent="0.2">
      <c r="A4881" s="221">
        <v>2024</v>
      </c>
      <c r="B4881" s="221">
        <v>4</v>
      </c>
      <c r="C4881" s="231">
        <v>29</v>
      </c>
      <c r="D4881" s="231">
        <f t="shared" si="543"/>
        <v>45411</v>
      </c>
      <c r="E4881" s="233">
        <f t="shared" ref="E4881:E4889" si="544">DATE(A4881,B4881,C4881)</f>
        <v>45411</v>
      </c>
      <c r="F4881" s="478" t="s">
        <v>1115</v>
      </c>
      <c r="G4881" s="222" t="s">
        <v>1111</v>
      </c>
      <c r="H4881" s="223"/>
      <c r="I4881" s="223"/>
      <c r="J4881" s="224" t="s">
        <v>14</v>
      </c>
      <c r="K4881" s="167">
        <v>229730</v>
      </c>
      <c r="L4881" s="225"/>
    </row>
    <row r="4882" spans="1:13" ht="11.25" customHeight="1" x14ac:dyDescent="0.2">
      <c r="A4882" s="164">
        <v>2024</v>
      </c>
      <c r="B4882" s="164">
        <v>4</v>
      </c>
      <c r="C4882" s="156">
        <v>29</v>
      </c>
      <c r="D4882" s="156">
        <f t="shared" si="543"/>
        <v>45411</v>
      </c>
      <c r="E4882" s="235">
        <f t="shared" si="544"/>
        <v>45411</v>
      </c>
      <c r="F4882" s="480"/>
      <c r="G4882" s="208" t="s">
        <v>1111</v>
      </c>
      <c r="J4882" s="165" t="s">
        <v>1112</v>
      </c>
      <c r="L4882" s="205">
        <v>4730</v>
      </c>
    </row>
    <row r="4883" spans="1:13" ht="11.25" customHeight="1" x14ac:dyDescent="0.2">
      <c r="A4883" s="226">
        <v>2024</v>
      </c>
      <c r="B4883" s="226">
        <v>4</v>
      </c>
      <c r="C4883" s="232">
        <v>29</v>
      </c>
      <c r="D4883" s="232">
        <f t="shared" si="543"/>
        <v>45411</v>
      </c>
      <c r="E4883" s="234">
        <f t="shared" si="544"/>
        <v>45411</v>
      </c>
      <c r="F4883" s="479"/>
      <c r="G4883" s="227" t="s">
        <v>1111</v>
      </c>
      <c r="H4883" s="228"/>
      <c r="I4883" s="228"/>
      <c r="J4883" s="229" t="s">
        <v>55</v>
      </c>
      <c r="K4883" s="230"/>
      <c r="L4883" s="230">
        <v>225000</v>
      </c>
    </row>
    <row r="4884" spans="1:13" ht="11.25" customHeight="1" x14ac:dyDescent="0.2">
      <c r="A4884" s="221">
        <v>2024</v>
      </c>
      <c r="B4884" s="221">
        <v>4</v>
      </c>
      <c r="C4884" s="221">
        <v>29</v>
      </c>
      <c r="D4884" s="231">
        <f t="shared" si="543"/>
        <v>45411</v>
      </c>
      <c r="E4884" s="233">
        <f t="shared" si="544"/>
        <v>45411</v>
      </c>
      <c r="F4884" s="478" t="s">
        <v>1594</v>
      </c>
      <c r="G4884" s="222" t="s">
        <v>1111</v>
      </c>
      <c r="H4884" s="223"/>
      <c r="I4884" s="223"/>
      <c r="J4884" s="224" t="s">
        <v>961</v>
      </c>
      <c r="K4884" s="225">
        <v>2169742.12</v>
      </c>
      <c r="L4884" s="225"/>
    </row>
    <row r="4885" spans="1:13" ht="11.25" customHeight="1" x14ac:dyDescent="0.2">
      <c r="A4885" s="226">
        <v>2024</v>
      </c>
      <c r="B4885" s="226">
        <v>4</v>
      </c>
      <c r="C4885" s="226">
        <v>29</v>
      </c>
      <c r="D4885" s="232">
        <f t="shared" si="543"/>
        <v>45411</v>
      </c>
      <c r="E4885" s="234">
        <f t="shared" si="544"/>
        <v>45411</v>
      </c>
      <c r="F4885" s="479"/>
      <c r="G4885" s="227" t="s">
        <v>1111</v>
      </c>
      <c r="H4885" s="228"/>
      <c r="I4885" s="228"/>
      <c r="J4885" s="229" t="s">
        <v>55</v>
      </c>
      <c r="K4885" s="230"/>
      <c r="L4885" s="230">
        <v>2169742.12</v>
      </c>
    </row>
    <row r="4886" spans="1:13" ht="11.25" customHeight="1" x14ac:dyDescent="0.2">
      <c r="A4886" s="221">
        <v>2024</v>
      </c>
      <c r="B4886" s="221">
        <v>4</v>
      </c>
      <c r="C4886" s="221">
        <v>29</v>
      </c>
      <c r="D4886" s="231">
        <f t="shared" si="543"/>
        <v>45411</v>
      </c>
      <c r="E4886" s="233">
        <f t="shared" si="544"/>
        <v>45411</v>
      </c>
      <c r="F4886" s="478" t="s">
        <v>1670</v>
      </c>
      <c r="G4886" s="222" t="s">
        <v>1111</v>
      </c>
      <c r="H4886" s="223"/>
      <c r="I4886" s="223"/>
      <c r="J4886" s="224" t="s">
        <v>63</v>
      </c>
      <c r="K4886" s="225">
        <v>100</v>
      </c>
      <c r="L4886" s="225"/>
    </row>
    <row r="4887" spans="1:13" ht="11.25" customHeight="1" x14ac:dyDescent="0.2">
      <c r="A4887" s="226">
        <v>2024</v>
      </c>
      <c r="B4887" s="226">
        <v>4</v>
      </c>
      <c r="C4887" s="226">
        <v>29</v>
      </c>
      <c r="D4887" s="232">
        <f t="shared" si="543"/>
        <v>45411</v>
      </c>
      <c r="E4887" s="234">
        <f t="shared" si="544"/>
        <v>45411</v>
      </c>
      <c r="F4887" s="479"/>
      <c r="G4887" s="227" t="s">
        <v>1111</v>
      </c>
      <c r="H4887" s="228"/>
      <c r="I4887" s="228"/>
      <c r="J4887" s="229" t="s">
        <v>55</v>
      </c>
      <c r="K4887" s="230"/>
      <c r="L4887" s="230">
        <v>100</v>
      </c>
    </row>
    <row r="4888" spans="1:13" ht="11.25" customHeight="1" x14ac:dyDescent="0.2">
      <c r="A4888" s="221">
        <v>2024</v>
      </c>
      <c r="B4888" s="221">
        <v>4</v>
      </c>
      <c r="C4888" s="221">
        <v>29</v>
      </c>
      <c r="D4888" s="231">
        <f t="shared" si="543"/>
        <v>45411</v>
      </c>
      <c r="E4888" s="233">
        <f t="shared" si="544"/>
        <v>45411</v>
      </c>
      <c r="F4888" s="478" t="s">
        <v>1725</v>
      </c>
      <c r="G4888" s="222" t="s">
        <v>1111</v>
      </c>
      <c r="H4888" s="222"/>
      <c r="I4888" s="223"/>
      <c r="J4888" s="224" t="s">
        <v>1465</v>
      </c>
      <c r="K4888" s="357">
        <v>4862410</v>
      </c>
      <c r="L4888" s="225"/>
    </row>
    <row r="4889" spans="1:13" ht="11.25" customHeight="1" x14ac:dyDescent="0.2">
      <c r="A4889" s="226">
        <v>2024</v>
      </c>
      <c r="B4889" s="226">
        <v>4</v>
      </c>
      <c r="C4889" s="226">
        <v>29</v>
      </c>
      <c r="D4889" s="226">
        <f t="shared" si="543"/>
        <v>45411</v>
      </c>
      <c r="E4889" s="234">
        <f t="shared" si="544"/>
        <v>45411</v>
      </c>
      <c r="F4889" s="479"/>
      <c r="G4889" s="227" t="s">
        <v>1111</v>
      </c>
      <c r="H4889" s="227"/>
      <c r="I4889" s="228"/>
      <c r="J4889" s="229" t="s">
        <v>55</v>
      </c>
      <c r="K4889" s="294"/>
      <c r="L4889" s="230">
        <v>4862410</v>
      </c>
    </row>
    <row r="4890" spans="1:13" ht="11.25" customHeight="1" x14ac:dyDescent="0.2">
      <c r="A4890" s="221">
        <v>2024</v>
      </c>
      <c r="B4890" s="221">
        <v>4</v>
      </c>
      <c r="C4890" s="221">
        <v>29</v>
      </c>
      <c r="D4890" s="231">
        <f t="shared" si="543"/>
        <v>45411</v>
      </c>
      <c r="E4890" s="233">
        <f t="shared" ref="E4890:E4896" si="545">DATE(A4890,B4890,C4890)</f>
        <v>45411</v>
      </c>
      <c r="F4890" s="478" t="s">
        <v>1725</v>
      </c>
      <c r="G4890" s="222" t="s">
        <v>1111</v>
      </c>
      <c r="H4890" s="222"/>
      <c r="I4890" s="223"/>
      <c r="J4890" s="224" t="s">
        <v>1465</v>
      </c>
      <c r="K4890" s="357">
        <v>4862445</v>
      </c>
      <c r="L4890" s="225"/>
    </row>
    <row r="4891" spans="1:13" ht="11.25" customHeight="1" x14ac:dyDescent="0.2">
      <c r="A4891" s="226">
        <v>2024</v>
      </c>
      <c r="B4891" s="226">
        <v>4</v>
      </c>
      <c r="C4891" s="226">
        <v>29</v>
      </c>
      <c r="D4891" s="226">
        <f t="shared" si="543"/>
        <v>45411</v>
      </c>
      <c r="E4891" s="234">
        <f t="shared" si="545"/>
        <v>45411</v>
      </c>
      <c r="F4891" s="479"/>
      <c r="G4891" s="227" t="s">
        <v>1111</v>
      </c>
      <c r="H4891" s="227"/>
      <c r="I4891" s="228"/>
      <c r="J4891" s="229" t="s">
        <v>55</v>
      </c>
      <c r="K4891" s="294"/>
      <c r="L4891" s="230">
        <v>4862445</v>
      </c>
    </row>
    <row r="4892" spans="1:13" ht="11.25" customHeight="1" x14ac:dyDescent="0.2">
      <c r="A4892" s="221">
        <v>2024</v>
      </c>
      <c r="B4892" s="221">
        <v>5</v>
      </c>
      <c r="C4892" s="221">
        <v>2</v>
      </c>
      <c r="D4892" s="231">
        <f t="shared" si="543"/>
        <v>45414</v>
      </c>
      <c r="E4892" s="233">
        <f t="shared" si="545"/>
        <v>45414</v>
      </c>
      <c r="F4892" s="478" t="s">
        <v>1726</v>
      </c>
      <c r="G4892" s="222" t="s">
        <v>1111</v>
      </c>
      <c r="H4892" s="222"/>
      <c r="I4892" s="223"/>
      <c r="J4892" s="224" t="s">
        <v>55</v>
      </c>
      <c r="K4892" s="225">
        <v>22000</v>
      </c>
      <c r="L4892" s="225"/>
      <c r="M4892" s="166"/>
    </row>
    <row r="4893" spans="1:13" ht="11.25" customHeight="1" x14ac:dyDescent="0.2">
      <c r="A4893" s="164">
        <v>2024</v>
      </c>
      <c r="B4893" s="164">
        <v>5</v>
      </c>
      <c r="C4893" s="164">
        <v>2</v>
      </c>
      <c r="D4893" s="164">
        <f t="shared" si="543"/>
        <v>45414</v>
      </c>
      <c r="E4893" s="235">
        <f t="shared" si="545"/>
        <v>45414</v>
      </c>
      <c r="F4893" s="480"/>
      <c r="G4893" s="208" t="s">
        <v>1111</v>
      </c>
      <c r="H4893" s="208"/>
      <c r="J4893" s="165" t="s">
        <v>80</v>
      </c>
      <c r="K4893" s="205">
        <v>3978000</v>
      </c>
      <c r="L4893" s="205"/>
    </row>
    <row r="4894" spans="1:13" ht="11.25" customHeight="1" x14ac:dyDescent="0.2">
      <c r="A4894" s="226">
        <v>2024</v>
      </c>
      <c r="B4894" s="226">
        <v>5</v>
      </c>
      <c r="C4894" s="226">
        <v>2</v>
      </c>
      <c r="D4894" s="226">
        <f t="shared" si="543"/>
        <v>45414</v>
      </c>
      <c r="E4894" s="234">
        <f t="shared" si="545"/>
        <v>45414</v>
      </c>
      <c r="F4894" s="479"/>
      <c r="G4894" s="227" t="s">
        <v>1111</v>
      </c>
      <c r="H4894" s="228"/>
      <c r="I4894" s="228"/>
      <c r="J4894" s="229" t="s">
        <v>196</v>
      </c>
      <c r="K4894" s="230"/>
      <c r="L4894" s="230">
        <v>4000000</v>
      </c>
    </row>
    <row r="4895" spans="1:13" ht="11.25" customHeight="1" x14ac:dyDescent="0.2">
      <c r="A4895" s="280">
        <v>2024</v>
      </c>
      <c r="B4895" s="280">
        <v>5</v>
      </c>
      <c r="C4895" s="280">
        <v>2</v>
      </c>
      <c r="D4895" s="281">
        <f t="shared" si="543"/>
        <v>45414</v>
      </c>
      <c r="E4895" s="282">
        <f t="shared" si="545"/>
        <v>45414</v>
      </c>
      <c r="F4895" s="472" t="s">
        <v>1584</v>
      </c>
      <c r="G4895" s="283" t="s">
        <v>86</v>
      </c>
      <c r="H4895" s="284"/>
      <c r="I4895" s="284"/>
      <c r="J4895" s="285" t="s">
        <v>131</v>
      </c>
      <c r="K4895" s="286">
        <v>7884.6153846153848</v>
      </c>
      <c r="L4895" s="286"/>
    </row>
    <row r="4896" spans="1:13" ht="11.25" customHeight="1" x14ac:dyDescent="0.2">
      <c r="A4896" s="287">
        <v>2024</v>
      </c>
      <c r="B4896" s="287">
        <v>5</v>
      </c>
      <c r="C4896" s="287">
        <v>2</v>
      </c>
      <c r="D4896" s="288">
        <f t="shared" si="543"/>
        <v>45414</v>
      </c>
      <c r="E4896" s="289">
        <f t="shared" si="545"/>
        <v>45414</v>
      </c>
      <c r="F4896" s="473"/>
      <c r="G4896" s="290" t="s">
        <v>86</v>
      </c>
      <c r="H4896" s="291"/>
      <c r="I4896" s="291"/>
      <c r="J4896" s="292" t="s">
        <v>174</v>
      </c>
      <c r="K4896" s="293"/>
      <c r="L4896" s="293">
        <v>7884.6153846153848</v>
      </c>
    </row>
    <row r="4897" spans="1:13" ht="11.25" customHeight="1" x14ac:dyDescent="0.2">
      <c r="A4897" s="358">
        <v>2024</v>
      </c>
      <c r="B4897" s="358">
        <v>5</v>
      </c>
      <c r="C4897" s="358">
        <v>2</v>
      </c>
      <c r="D4897" s="312">
        <f t="shared" si="543"/>
        <v>45414</v>
      </c>
      <c r="E4897" s="313">
        <f>DATE(A4897,B4897,C4897)</f>
        <v>45414</v>
      </c>
      <c r="F4897" s="482" t="s">
        <v>1627</v>
      </c>
      <c r="G4897" s="314" t="s">
        <v>86</v>
      </c>
      <c r="H4897" s="324"/>
      <c r="I4897" s="324"/>
      <c r="J4897" s="364" t="s">
        <v>1621</v>
      </c>
      <c r="K4897" s="365">
        <v>89901.5</v>
      </c>
      <c r="L4897" s="365"/>
    </row>
    <row r="4898" spans="1:13" ht="11.25" customHeight="1" x14ac:dyDescent="0.2">
      <c r="A4898" s="320">
        <v>2024</v>
      </c>
      <c r="B4898" s="320">
        <v>5</v>
      </c>
      <c r="C4898" s="320">
        <v>2</v>
      </c>
      <c r="D4898" s="323">
        <f t="shared" si="543"/>
        <v>45414</v>
      </c>
      <c r="E4898" s="321">
        <f t="shared" ref="E4898" si="546">DATE(A4898,B4898,C4898)</f>
        <v>45414</v>
      </c>
      <c r="F4898" s="483"/>
      <c r="G4898" s="322" t="s">
        <v>86</v>
      </c>
      <c r="H4898" s="325"/>
      <c r="I4898" s="325"/>
      <c r="J4898" s="366" t="s">
        <v>1613</v>
      </c>
      <c r="K4898" s="367"/>
      <c r="L4898" s="367">
        <f>K4897</f>
        <v>89901.5</v>
      </c>
    </row>
    <row r="4899" spans="1:13" ht="11.25" customHeight="1" x14ac:dyDescent="0.2">
      <c r="A4899" s="358">
        <v>2024</v>
      </c>
      <c r="B4899" s="358">
        <v>5</v>
      </c>
      <c r="C4899" s="358">
        <v>2</v>
      </c>
      <c r="D4899" s="312">
        <f t="shared" si="543"/>
        <v>45414</v>
      </c>
      <c r="E4899" s="313">
        <f>DATE(A4899,B4899,C4899)</f>
        <v>45414</v>
      </c>
      <c r="F4899" s="482" t="s">
        <v>1713</v>
      </c>
      <c r="G4899" s="314" t="s">
        <v>86</v>
      </c>
      <c r="H4899" s="324"/>
      <c r="I4899" s="324"/>
      <c r="J4899" s="364" t="s">
        <v>1622</v>
      </c>
      <c r="K4899" s="365">
        <v>72945.75</v>
      </c>
      <c r="L4899" s="365"/>
    </row>
    <row r="4900" spans="1:13" ht="11.25" customHeight="1" x14ac:dyDescent="0.2">
      <c r="A4900" s="320">
        <v>2024</v>
      </c>
      <c r="B4900" s="320">
        <v>5</v>
      </c>
      <c r="C4900" s="320">
        <v>2</v>
      </c>
      <c r="D4900" s="323">
        <f t="shared" si="543"/>
        <v>45414</v>
      </c>
      <c r="E4900" s="321">
        <f t="shared" ref="E4900:E4919" si="547">DATE(A4900,B4900,C4900)</f>
        <v>45414</v>
      </c>
      <c r="F4900" s="483"/>
      <c r="G4900" s="322" t="s">
        <v>86</v>
      </c>
      <c r="H4900" s="325"/>
      <c r="I4900" s="325"/>
      <c r="J4900" s="366" t="s">
        <v>1614</v>
      </c>
      <c r="K4900" s="367"/>
      <c r="L4900" s="367">
        <f>K4899</f>
        <v>72945.75</v>
      </c>
    </row>
    <row r="4901" spans="1:13" ht="11.25" customHeight="1" x14ac:dyDescent="0.2">
      <c r="A4901" s="236">
        <v>2024</v>
      </c>
      <c r="B4901" s="236">
        <v>5</v>
      </c>
      <c r="C4901" s="236">
        <v>2</v>
      </c>
      <c r="D4901" s="237">
        <f t="shared" si="543"/>
        <v>45414</v>
      </c>
      <c r="E4901" s="238">
        <f t="shared" si="547"/>
        <v>45414</v>
      </c>
      <c r="F4901" s="476" t="s">
        <v>1118</v>
      </c>
      <c r="G4901" s="239" t="s">
        <v>86</v>
      </c>
      <c r="H4901" s="239"/>
      <c r="I4901" s="240"/>
      <c r="J4901" s="241" t="s">
        <v>98</v>
      </c>
      <c r="K4901" s="242">
        <v>906548.79999999702</v>
      </c>
      <c r="L4901" s="242"/>
    </row>
    <row r="4902" spans="1:13" ht="11.25" customHeight="1" x14ac:dyDescent="0.2">
      <c r="A4902" s="243">
        <v>2024</v>
      </c>
      <c r="B4902" s="243">
        <v>5</v>
      </c>
      <c r="C4902" s="243">
        <v>2</v>
      </c>
      <c r="D4902" s="248">
        <f t="shared" si="543"/>
        <v>45414</v>
      </c>
      <c r="E4902" s="249">
        <f t="shared" si="547"/>
        <v>45414</v>
      </c>
      <c r="F4902" s="477"/>
      <c r="G4902" s="244" t="s">
        <v>86</v>
      </c>
      <c r="H4902" s="244"/>
      <c r="I4902" s="245"/>
      <c r="J4902" s="246" t="s">
        <v>82</v>
      </c>
      <c r="K4902" s="247"/>
      <c r="L4902" s="247">
        <f>K4901</f>
        <v>906548.79999999702</v>
      </c>
    </row>
    <row r="4903" spans="1:13" ht="11.25" customHeight="1" x14ac:dyDescent="0.2">
      <c r="A4903" s="236">
        <v>2024</v>
      </c>
      <c r="B4903" s="236">
        <v>5</v>
      </c>
      <c r="C4903" s="236">
        <v>2</v>
      </c>
      <c r="D4903" s="237">
        <f t="shared" si="543"/>
        <v>45414</v>
      </c>
      <c r="E4903" s="238">
        <f t="shared" si="547"/>
        <v>45414</v>
      </c>
      <c r="F4903" s="476" t="s">
        <v>1120</v>
      </c>
      <c r="G4903" s="239" t="s">
        <v>86</v>
      </c>
      <c r="H4903" s="239"/>
      <c r="I4903" s="240"/>
      <c r="J4903" s="241" t="s">
        <v>87</v>
      </c>
      <c r="K4903" s="242">
        <v>2747.2527472527472</v>
      </c>
      <c r="L4903" s="242"/>
    </row>
    <row r="4904" spans="1:13" ht="11.25" customHeight="1" x14ac:dyDescent="0.2">
      <c r="A4904" s="243">
        <v>2024</v>
      </c>
      <c r="B4904" s="243">
        <v>5</v>
      </c>
      <c r="C4904" s="243">
        <v>2</v>
      </c>
      <c r="D4904" s="248">
        <f t="shared" si="543"/>
        <v>45414</v>
      </c>
      <c r="E4904" s="249">
        <f t="shared" si="547"/>
        <v>45414</v>
      </c>
      <c r="F4904" s="477"/>
      <c r="G4904" s="244" t="s">
        <v>86</v>
      </c>
      <c r="H4904" s="244"/>
      <c r="I4904" s="245"/>
      <c r="J4904" s="246" t="s">
        <v>64</v>
      </c>
      <c r="K4904" s="247"/>
      <c r="L4904" s="247">
        <v>2747.2527472527472</v>
      </c>
    </row>
    <row r="4905" spans="1:13" ht="11.25" customHeight="1" x14ac:dyDescent="0.2">
      <c r="A4905" s="236">
        <v>2024</v>
      </c>
      <c r="B4905" s="236">
        <v>5</v>
      </c>
      <c r="C4905" s="236">
        <v>2</v>
      </c>
      <c r="D4905" s="237">
        <f t="shared" si="543"/>
        <v>45414</v>
      </c>
      <c r="E4905" s="238">
        <f t="shared" si="547"/>
        <v>45414</v>
      </c>
      <c r="F4905" s="476" t="s">
        <v>1121</v>
      </c>
      <c r="G4905" s="239" t="s">
        <v>86</v>
      </c>
      <c r="H4905" s="239"/>
      <c r="I4905" s="240"/>
      <c r="J4905" s="241" t="s">
        <v>89</v>
      </c>
      <c r="K4905" s="242">
        <f>M4905</f>
        <v>65131.500519528257</v>
      </c>
      <c r="L4905" s="242"/>
      <c r="M4905" s="156">
        <v>65131.500519528257</v>
      </c>
    </row>
    <row r="4906" spans="1:13" ht="11.25" customHeight="1" x14ac:dyDescent="0.2">
      <c r="A4906" s="243">
        <v>2024</v>
      </c>
      <c r="B4906" s="243">
        <v>5</v>
      </c>
      <c r="C4906" s="243">
        <v>2</v>
      </c>
      <c r="D4906" s="248">
        <f t="shared" si="543"/>
        <v>45414</v>
      </c>
      <c r="E4906" s="249">
        <f t="shared" si="547"/>
        <v>45414</v>
      </c>
      <c r="F4906" s="477"/>
      <c r="G4906" s="244" t="s">
        <v>86</v>
      </c>
      <c r="H4906" s="244"/>
      <c r="I4906" s="245"/>
      <c r="J4906" s="246" t="s">
        <v>50</v>
      </c>
      <c r="K4906" s="247"/>
      <c r="L4906" s="247">
        <f>K4905</f>
        <v>65131.500519528257</v>
      </c>
      <c r="M4906" s="156">
        <v>3016.1904105917979</v>
      </c>
    </row>
    <row r="4907" spans="1:13" ht="11.25" customHeight="1" x14ac:dyDescent="0.2">
      <c r="A4907" s="236">
        <v>2024</v>
      </c>
      <c r="B4907" s="236">
        <v>5</v>
      </c>
      <c r="C4907" s="236">
        <v>2</v>
      </c>
      <c r="D4907" s="237">
        <f t="shared" si="543"/>
        <v>45414</v>
      </c>
      <c r="E4907" s="238">
        <f t="shared" si="547"/>
        <v>45414</v>
      </c>
      <c r="F4907" s="476" t="s">
        <v>1122</v>
      </c>
      <c r="G4907" s="239" t="s">
        <v>86</v>
      </c>
      <c r="H4907" s="239"/>
      <c r="I4907" s="240"/>
      <c r="J4907" s="241" t="s">
        <v>91</v>
      </c>
      <c r="K4907" s="242">
        <f>M4906</f>
        <v>3016.1904105917979</v>
      </c>
      <c r="L4907" s="242"/>
    </row>
    <row r="4908" spans="1:13" ht="11.25" customHeight="1" x14ac:dyDescent="0.2">
      <c r="A4908" s="243">
        <v>2024</v>
      </c>
      <c r="B4908" s="243">
        <v>5</v>
      </c>
      <c r="C4908" s="243">
        <v>2</v>
      </c>
      <c r="D4908" s="248">
        <f t="shared" si="543"/>
        <v>45414</v>
      </c>
      <c r="E4908" s="249">
        <f t="shared" si="547"/>
        <v>45414</v>
      </c>
      <c r="F4908" s="477"/>
      <c r="G4908" s="244" t="s">
        <v>86</v>
      </c>
      <c r="H4908" s="244"/>
      <c r="I4908" s="245"/>
      <c r="J4908" s="246" t="s">
        <v>51</v>
      </c>
      <c r="K4908" s="247"/>
      <c r="L4908" s="247">
        <f>K4907</f>
        <v>3016.1904105917979</v>
      </c>
    </row>
    <row r="4909" spans="1:13" ht="11.25" customHeight="1" x14ac:dyDescent="0.2">
      <c r="A4909" s="221">
        <v>2024</v>
      </c>
      <c r="B4909" s="221">
        <v>5</v>
      </c>
      <c r="C4909" s="221">
        <v>5</v>
      </c>
      <c r="D4909" s="231">
        <f t="shared" si="543"/>
        <v>45417</v>
      </c>
      <c r="E4909" s="233">
        <f t="shared" si="547"/>
        <v>45417</v>
      </c>
      <c r="F4909" s="478" t="s">
        <v>1727</v>
      </c>
      <c r="G4909" s="222" t="s">
        <v>1111</v>
      </c>
      <c r="H4909" s="223"/>
      <c r="I4909" s="223"/>
      <c r="J4909" s="224" t="s">
        <v>55</v>
      </c>
      <c r="K4909" s="225">
        <v>158862.5</v>
      </c>
      <c r="L4909" s="225"/>
    </row>
    <row r="4910" spans="1:13" ht="11.25" customHeight="1" x14ac:dyDescent="0.2">
      <c r="A4910" s="226">
        <v>2024</v>
      </c>
      <c r="B4910" s="226">
        <v>5</v>
      </c>
      <c r="C4910" s="226">
        <v>5</v>
      </c>
      <c r="D4910" s="232">
        <f t="shared" si="543"/>
        <v>45417</v>
      </c>
      <c r="E4910" s="234">
        <f t="shared" si="547"/>
        <v>45417</v>
      </c>
      <c r="F4910" s="479"/>
      <c r="G4910" s="227" t="s">
        <v>1111</v>
      </c>
      <c r="H4910" s="228"/>
      <c r="I4910" s="228"/>
      <c r="J4910" s="229" t="s">
        <v>192</v>
      </c>
      <c r="K4910" s="230"/>
      <c r="L4910" s="230">
        <v>158862.5</v>
      </c>
    </row>
    <row r="4911" spans="1:13" ht="11.25" customHeight="1" x14ac:dyDescent="0.2">
      <c r="A4911" s="221">
        <v>2024</v>
      </c>
      <c r="B4911" s="231">
        <v>5</v>
      </c>
      <c r="C4911" s="231">
        <v>5</v>
      </c>
      <c r="D4911" s="231">
        <f t="shared" si="543"/>
        <v>45417</v>
      </c>
      <c r="E4911" s="233">
        <f t="shared" si="547"/>
        <v>45417</v>
      </c>
      <c r="F4911" s="478" t="s">
        <v>1728</v>
      </c>
      <c r="G4911" s="222" t="s">
        <v>1111</v>
      </c>
      <c r="H4911" s="222"/>
      <c r="I4911" s="223"/>
      <c r="J4911" s="224" t="s">
        <v>80</v>
      </c>
      <c r="K4911" s="225">
        <v>25760</v>
      </c>
      <c r="L4911" s="225"/>
      <c r="M4911" s="166"/>
    </row>
    <row r="4912" spans="1:13" ht="11.25" customHeight="1" x14ac:dyDescent="0.2">
      <c r="A4912" s="164">
        <v>2024</v>
      </c>
      <c r="B4912" s="156">
        <v>5</v>
      </c>
      <c r="C4912" s="156">
        <v>5</v>
      </c>
      <c r="D4912" s="164">
        <f t="shared" si="543"/>
        <v>45417</v>
      </c>
      <c r="E4912" s="235">
        <f t="shared" si="547"/>
        <v>45417</v>
      </c>
      <c r="F4912" s="480"/>
      <c r="G4912" s="208" t="s">
        <v>1111</v>
      </c>
      <c r="H4912" s="208"/>
      <c r="J4912" s="165" t="s">
        <v>55</v>
      </c>
      <c r="K4912" s="205">
        <v>2374240</v>
      </c>
      <c r="L4912" s="205"/>
    </row>
    <row r="4913" spans="1:12" ht="11.25" customHeight="1" x14ac:dyDescent="0.2">
      <c r="A4913" s="226">
        <v>2024</v>
      </c>
      <c r="B4913" s="232">
        <v>5</v>
      </c>
      <c r="C4913" s="232">
        <v>5</v>
      </c>
      <c r="D4913" s="226">
        <f t="shared" si="543"/>
        <v>45417</v>
      </c>
      <c r="E4913" s="234">
        <f t="shared" si="547"/>
        <v>45417</v>
      </c>
      <c r="F4913" s="479"/>
      <c r="G4913" s="227" t="s">
        <v>1111</v>
      </c>
      <c r="H4913" s="228"/>
      <c r="I4913" s="228"/>
      <c r="J4913" s="229" t="s">
        <v>196</v>
      </c>
      <c r="K4913" s="230"/>
      <c r="L4913" s="230">
        <v>2400000</v>
      </c>
    </row>
    <row r="4914" spans="1:12" ht="11.25" customHeight="1" x14ac:dyDescent="0.2">
      <c r="A4914" s="221">
        <v>2024</v>
      </c>
      <c r="B4914" s="231">
        <v>5</v>
      </c>
      <c r="C4914" s="231">
        <v>5</v>
      </c>
      <c r="D4914" s="231">
        <f t="shared" si="543"/>
        <v>45417</v>
      </c>
      <c r="E4914" s="233">
        <f t="shared" si="547"/>
        <v>45417</v>
      </c>
      <c r="F4914" s="478" t="s">
        <v>1729</v>
      </c>
      <c r="G4914" s="222" t="s">
        <v>1111</v>
      </c>
      <c r="H4914" s="222"/>
      <c r="I4914" s="223"/>
      <c r="J4914" s="224" t="s">
        <v>55</v>
      </c>
      <c r="K4914" s="357">
        <v>5051454</v>
      </c>
      <c r="L4914" s="225"/>
    </row>
    <row r="4915" spans="1:12" ht="11.25" customHeight="1" x14ac:dyDescent="0.2">
      <c r="A4915" s="164">
        <v>2024</v>
      </c>
      <c r="B4915" s="156">
        <v>5</v>
      </c>
      <c r="C4915" s="156">
        <v>5</v>
      </c>
      <c r="D4915" s="164">
        <f t="shared" si="543"/>
        <v>45417</v>
      </c>
      <c r="E4915" s="235">
        <f t="shared" si="547"/>
        <v>45417</v>
      </c>
      <c r="F4915" s="480"/>
      <c r="G4915" s="208" t="s">
        <v>1111</v>
      </c>
      <c r="H4915" s="208"/>
      <c r="J4915" s="165" t="s">
        <v>1618</v>
      </c>
      <c r="K4915" s="263"/>
      <c r="L4915" s="205">
        <f>K4914-L4916</f>
        <v>48428.949999999255</v>
      </c>
    </row>
    <row r="4916" spans="1:12" ht="11.25" customHeight="1" x14ac:dyDescent="0.2">
      <c r="A4916" s="226">
        <v>2024</v>
      </c>
      <c r="B4916" s="232">
        <v>5</v>
      </c>
      <c r="C4916" s="232">
        <v>5</v>
      </c>
      <c r="D4916" s="226">
        <f t="shared" si="543"/>
        <v>45417</v>
      </c>
      <c r="E4916" s="234">
        <f t="shared" si="547"/>
        <v>45417</v>
      </c>
      <c r="F4916" s="479"/>
      <c r="G4916" s="227" t="s">
        <v>1111</v>
      </c>
      <c r="H4916" s="227"/>
      <c r="I4916" s="228"/>
      <c r="J4916" s="229" t="s">
        <v>1615</v>
      </c>
      <c r="K4916" s="294"/>
      <c r="L4916" s="230">
        <v>5003025.0500000007</v>
      </c>
    </row>
    <row r="4917" spans="1:12" ht="11.25" customHeight="1" x14ac:dyDescent="0.2">
      <c r="A4917" s="221">
        <v>2024</v>
      </c>
      <c r="B4917" s="221">
        <v>5</v>
      </c>
      <c r="C4917" s="221">
        <v>7</v>
      </c>
      <c r="D4917" s="231">
        <f t="shared" si="543"/>
        <v>45419</v>
      </c>
      <c r="E4917" s="233">
        <f t="shared" si="547"/>
        <v>45419</v>
      </c>
      <c r="F4917" s="478" t="s">
        <v>1731</v>
      </c>
      <c r="G4917" s="222" t="s">
        <v>86</v>
      </c>
      <c r="H4917" s="223"/>
      <c r="I4917" s="223"/>
      <c r="J4917" s="224" t="s">
        <v>192</v>
      </c>
      <c r="K4917" s="225">
        <v>666421</v>
      </c>
      <c r="L4917" s="225"/>
    </row>
    <row r="4918" spans="1:12" ht="11.25" customHeight="1" x14ac:dyDescent="0.2">
      <c r="A4918" s="164">
        <v>2024</v>
      </c>
      <c r="B4918" s="164">
        <v>5</v>
      </c>
      <c r="C4918" s="164">
        <v>7</v>
      </c>
      <c r="D4918" s="156">
        <f t="shared" si="543"/>
        <v>45419</v>
      </c>
      <c r="E4918" s="235">
        <f t="shared" ref="E4918" si="548">DATE(A4918,B4918,C4918)</f>
        <v>45419</v>
      </c>
      <c r="F4918" s="480"/>
      <c r="G4918" s="208" t="s">
        <v>86</v>
      </c>
      <c r="J4918" s="165" t="s">
        <v>80</v>
      </c>
      <c r="K4918" s="205">
        <v>666421</v>
      </c>
      <c r="L4918" s="205"/>
    </row>
    <row r="4919" spans="1:12" ht="11.25" customHeight="1" x14ac:dyDescent="0.2">
      <c r="A4919" s="226">
        <v>2024</v>
      </c>
      <c r="B4919" s="226">
        <v>5</v>
      </c>
      <c r="C4919" s="226">
        <v>7</v>
      </c>
      <c r="D4919" s="232">
        <f t="shared" si="543"/>
        <v>45419</v>
      </c>
      <c r="E4919" s="234">
        <f t="shared" si="547"/>
        <v>45419</v>
      </c>
      <c r="F4919" s="479"/>
      <c r="G4919" s="227" t="s">
        <v>86</v>
      </c>
      <c r="H4919" s="228"/>
      <c r="I4919" s="228"/>
      <c r="J4919" s="229" t="s">
        <v>191</v>
      </c>
      <c r="K4919" s="230"/>
      <c r="L4919" s="230">
        <v>1332842</v>
      </c>
    </row>
    <row r="4920" spans="1:12" ht="11.25" customHeight="1" x14ac:dyDescent="0.2">
      <c r="A4920" s="221">
        <v>2024</v>
      </c>
      <c r="B4920" s="231">
        <v>5</v>
      </c>
      <c r="C4920" s="231">
        <v>6</v>
      </c>
      <c r="D4920" s="231">
        <f t="shared" si="543"/>
        <v>45418</v>
      </c>
      <c r="E4920" s="233">
        <f t="shared" ref="E4920:E4924" si="549">DATE(A4920,B4920,C4920)</f>
        <v>45418</v>
      </c>
      <c r="F4920" s="478" t="s">
        <v>1730</v>
      </c>
      <c r="G4920" s="222" t="s">
        <v>1111</v>
      </c>
      <c r="H4920" s="222"/>
      <c r="I4920" s="223"/>
      <c r="J4920" s="224" t="s">
        <v>55</v>
      </c>
      <c r="K4920" s="357">
        <v>7500000</v>
      </c>
      <c r="L4920" s="225"/>
    </row>
    <row r="4921" spans="1:12" ht="11.25" customHeight="1" x14ac:dyDescent="0.2">
      <c r="A4921" s="164">
        <v>2024</v>
      </c>
      <c r="B4921" s="156">
        <v>5</v>
      </c>
      <c r="C4921" s="156">
        <v>6</v>
      </c>
      <c r="D4921" s="164">
        <f t="shared" si="543"/>
        <v>45418</v>
      </c>
      <c r="E4921" s="235">
        <f t="shared" si="549"/>
        <v>45418</v>
      </c>
      <c r="F4921" s="480"/>
      <c r="G4921" s="208" t="s">
        <v>1111</v>
      </c>
      <c r="H4921" s="208"/>
      <c r="J4921" s="165" t="s">
        <v>1617</v>
      </c>
      <c r="K4921" s="263"/>
      <c r="L4921" s="205">
        <v>206385</v>
      </c>
    </row>
    <row r="4922" spans="1:12" ht="11.25" customHeight="1" x14ac:dyDescent="0.2">
      <c r="A4922" s="226">
        <v>2024</v>
      </c>
      <c r="B4922" s="232">
        <v>5</v>
      </c>
      <c r="C4922" s="232">
        <v>6</v>
      </c>
      <c r="D4922" s="226">
        <f t="shared" si="543"/>
        <v>45418</v>
      </c>
      <c r="E4922" s="234">
        <f t="shared" si="549"/>
        <v>45418</v>
      </c>
      <c r="F4922" s="479"/>
      <c r="G4922" s="227" t="s">
        <v>1111</v>
      </c>
      <c r="H4922" s="227"/>
      <c r="I4922" s="228"/>
      <c r="J4922" s="229" t="s">
        <v>1465</v>
      </c>
      <c r="K4922" s="294"/>
      <c r="L4922" s="230">
        <v>7293615</v>
      </c>
    </row>
    <row r="4923" spans="1:12" ht="11.25" customHeight="1" x14ac:dyDescent="0.2">
      <c r="A4923" s="280">
        <v>2024</v>
      </c>
      <c r="B4923" s="280">
        <v>5</v>
      </c>
      <c r="C4923" s="280">
        <v>9</v>
      </c>
      <c r="D4923" s="281">
        <f t="shared" si="543"/>
        <v>45421</v>
      </c>
      <c r="E4923" s="282">
        <f t="shared" si="549"/>
        <v>45421</v>
      </c>
      <c r="F4923" s="472" t="s">
        <v>1584</v>
      </c>
      <c r="G4923" s="283" t="s">
        <v>86</v>
      </c>
      <c r="H4923" s="284"/>
      <c r="I4923" s="284"/>
      <c r="J4923" s="285" t="s">
        <v>131</v>
      </c>
      <c r="K4923" s="286">
        <v>7884.6153846153848</v>
      </c>
      <c r="L4923" s="286"/>
    </row>
    <row r="4924" spans="1:12" ht="11.25" customHeight="1" x14ac:dyDescent="0.2">
      <c r="A4924" s="287">
        <v>2024</v>
      </c>
      <c r="B4924" s="287">
        <v>5</v>
      </c>
      <c r="C4924" s="287">
        <v>9</v>
      </c>
      <c r="D4924" s="288">
        <f t="shared" si="543"/>
        <v>45421</v>
      </c>
      <c r="E4924" s="289">
        <f t="shared" si="549"/>
        <v>45421</v>
      </c>
      <c r="F4924" s="473"/>
      <c r="G4924" s="290" t="s">
        <v>86</v>
      </c>
      <c r="H4924" s="291"/>
      <c r="I4924" s="291"/>
      <c r="J4924" s="292" t="s">
        <v>174</v>
      </c>
      <c r="K4924" s="293"/>
      <c r="L4924" s="293">
        <v>7884.6153846153848</v>
      </c>
    </row>
    <row r="4925" spans="1:12" ht="11.25" customHeight="1" x14ac:dyDescent="0.2">
      <c r="A4925" s="358">
        <v>2024</v>
      </c>
      <c r="B4925" s="358">
        <v>5</v>
      </c>
      <c r="C4925" s="358">
        <v>9</v>
      </c>
      <c r="D4925" s="312">
        <f t="shared" si="543"/>
        <v>45421</v>
      </c>
      <c r="E4925" s="313">
        <f>DATE(A4925,B4925,C4925)</f>
        <v>45421</v>
      </c>
      <c r="F4925" s="482" t="s">
        <v>1627</v>
      </c>
      <c r="G4925" s="314" t="s">
        <v>86</v>
      </c>
      <c r="H4925" s="324"/>
      <c r="I4925" s="324"/>
      <c r="J4925" s="364" t="s">
        <v>1613</v>
      </c>
      <c r="K4925" s="365">
        <v>78922</v>
      </c>
      <c r="L4925" s="365"/>
    </row>
    <row r="4926" spans="1:12" ht="11.25" customHeight="1" x14ac:dyDescent="0.2">
      <c r="A4926" s="320">
        <v>2024</v>
      </c>
      <c r="B4926" s="320">
        <v>5</v>
      </c>
      <c r="C4926" s="320">
        <v>9</v>
      </c>
      <c r="D4926" s="323">
        <f t="shared" si="543"/>
        <v>45421</v>
      </c>
      <c r="E4926" s="321">
        <f t="shared" ref="E4926" si="550">DATE(A4926,B4926,C4926)</f>
        <v>45421</v>
      </c>
      <c r="F4926" s="483"/>
      <c r="G4926" s="322" t="s">
        <v>86</v>
      </c>
      <c r="H4926" s="325"/>
      <c r="I4926" s="325"/>
      <c r="J4926" s="366" t="s">
        <v>1621</v>
      </c>
      <c r="K4926" s="367"/>
      <c r="L4926" s="367">
        <v>78922</v>
      </c>
    </row>
    <row r="4927" spans="1:12" ht="11.25" customHeight="1" x14ac:dyDescent="0.2">
      <c r="A4927" s="358">
        <v>2024</v>
      </c>
      <c r="B4927" s="358">
        <v>5</v>
      </c>
      <c r="C4927" s="358">
        <v>9</v>
      </c>
      <c r="D4927" s="312">
        <f t="shared" si="543"/>
        <v>45421</v>
      </c>
      <c r="E4927" s="313">
        <f>DATE(A4927,B4927,C4927)</f>
        <v>45421</v>
      </c>
      <c r="F4927" s="482" t="s">
        <v>1713</v>
      </c>
      <c r="G4927" s="314" t="s">
        <v>86</v>
      </c>
      <c r="H4927" s="324"/>
      <c r="I4927" s="324"/>
      <c r="J4927" s="364" t="s">
        <v>1622</v>
      </c>
      <c r="K4927" s="365">
        <v>56558.649999991059</v>
      </c>
      <c r="L4927" s="365"/>
    </row>
    <row r="4928" spans="1:12" ht="11.25" customHeight="1" x14ac:dyDescent="0.2">
      <c r="A4928" s="320">
        <v>2024</v>
      </c>
      <c r="B4928" s="320">
        <v>5</v>
      </c>
      <c r="C4928" s="320">
        <v>9</v>
      </c>
      <c r="D4928" s="323">
        <f t="shared" si="543"/>
        <v>45421</v>
      </c>
      <c r="E4928" s="321">
        <f t="shared" ref="E4928:E4947" si="551">DATE(A4928,B4928,C4928)</f>
        <v>45421</v>
      </c>
      <c r="F4928" s="483"/>
      <c r="G4928" s="322" t="s">
        <v>86</v>
      </c>
      <c r="H4928" s="325"/>
      <c r="I4928" s="325"/>
      <c r="J4928" s="366" t="s">
        <v>1614</v>
      </c>
      <c r="K4928" s="367"/>
      <c r="L4928" s="367">
        <v>56558.649999991059</v>
      </c>
    </row>
    <row r="4929" spans="1:13" ht="11.25" customHeight="1" x14ac:dyDescent="0.2">
      <c r="A4929" s="236">
        <v>2024</v>
      </c>
      <c r="B4929" s="236">
        <v>5</v>
      </c>
      <c r="C4929" s="236">
        <v>9</v>
      </c>
      <c r="D4929" s="237">
        <f t="shared" si="543"/>
        <v>45421</v>
      </c>
      <c r="E4929" s="238">
        <f t="shared" si="551"/>
        <v>45421</v>
      </c>
      <c r="F4929" s="476" t="s">
        <v>1118</v>
      </c>
      <c r="G4929" s="239" t="s">
        <v>86</v>
      </c>
      <c r="H4929" s="239"/>
      <c r="I4929" s="240"/>
      <c r="J4929" s="241" t="s">
        <v>98</v>
      </c>
      <c r="K4929" s="242">
        <v>553374.89999999851</v>
      </c>
      <c r="L4929" s="242"/>
    </row>
    <row r="4930" spans="1:13" ht="11.25" customHeight="1" x14ac:dyDescent="0.2">
      <c r="A4930" s="243">
        <v>2024</v>
      </c>
      <c r="B4930" s="243">
        <v>5</v>
      </c>
      <c r="C4930" s="243">
        <v>9</v>
      </c>
      <c r="D4930" s="248">
        <f t="shared" si="543"/>
        <v>45421</v>
      </c>
      <c r="E4930" s="249">
        <f t="shared" si="551"/>
        <v>45421</v>
      </c>
      <c r="F4930" s="477"/>
      <c r="G4930" s="244" t="s">
        <v>86</v>
      </c>
      <c r="H4930" s="244"/>
      <c r="I4930" s="245"/>
      <c r="J4930" s="246" t="s">
        <v>82</v>
      </c>
      <c r="K4930" s="247"/>
      <c r="L4930" s="247">
        <v>553374.89999999851</v>
      </c>
    </row>
    <row r="4931" spans="1:13" ht="11.25" customHeight="1" x14ac:dyDescent="0.2">
      <c r="A4931" s="236">
        <v>2024</v>
      </c>
      <c r="B4931" s="236">
        <v>5</v>
      </c>
      <c r="C4931" s="236">
        <v>9</v>
      </c>
      <c r="D4931" s="237">
        <f t="shared" si="543"/>
        <v>45421</v>
      </c>
      <c r="E4931" s="238">
        <f t="shared" si="551"/>
        <v>45421</v>
      </c>
      <c r="F4931" s="476" t="s">
        <v>1120</v>
      </c>
      <c r="G4931" s="239" t="s">
        <v>86</v>
      </c>
      <c r="H4931" s="239"/>
      <c r="I4931" s="240"/>
      <c r="J4931" s="241" t="s">
        <v>87</v>
      </c>
      <c r="K4931" s="242">
        <v>2747.2527472527472</v>
      </c>
      <c r="L4931" s="242"/>
    </row>
    <row r="4932" spans="1:13" ht="11.25" customHeight="1" x14ac:dyDescent="0.2">
      <c r="A4932" s="243">
        <v>2024</v>
      </c>
      <c r="B4932" s="243">
        <v>5</v>
      </c>
      <c r="C4932" s="243">
        <v>9</v>
      </c>
      <c r="D4932" s="248">
        <f t="shared" si="543"/>
        <v>45421</v>
      </c>
      <c r="E4932" s="249">
        <f t="shared" si="551"/>
        <v>45421</v>
      </c>
      <c r="F4932" s="477"/>
      <c r="G4932" s="244" t="s">
        <v>86</v>
      </c>
      <c r="H4932" s="244"/>
      <c r="I4932" s="245"/>
      <c r="J4932" s="246" t="s">
        <v>64</v>
      </c>
      <c r="K4932" s="247"/>
      <c r="L4932" s="247">
        <v>2747.2527472527472</v>
      </c>
    </row>
    <row r="4933" spans="1:13" ht="11.25" customHeight="1" x14ac:dyDescent="0.2">
      <c r="A4933" s="236">
        <v>2024</v>
      </c>
      <c r="B4933" s="236">
        <v>5</v>
      </c>
      <c r="C4933" s="236">
        <v>9</v>
      </c>
      <c r="D4933" s="237">
        <f t="shared" si="543"/>
        <v>45421</v>
      </c>
      <c r="E4933" s="238">
        <f t="shared" si="551"/>
        <v>45421</v>
      </c>
      <c r="F4933" s="476" t="s">
        <v>1121</v>
      </c>
      <c r="G4933" s="239" t="s">
        <v>86</v>
      </c>
      <c r="H4933" s="239"/>
      <c r="I4933" s="240"/>
      <c r="J4933" s="241" t="s">
        <v>89</v>
      </c>
      <c r="K4933" s="242">
        <f>M4933</f>
        <v>65922.13789326181</v>
      </c>
      <c r="L4933" s="242"/>
      <c r="M4933" s="156">
        <v>65922.13789326181</v>
      </c>
    </row>
    <row r="4934" spans="1:13" ht="11.25" customHeight="1" x14ac:dyDescent="0.2">
      <c r="A4934" s="243">
        <v>2024</v>
      </c>
      <c r="B4934" s="243">
        <v>5</v>
      </c>
      <c r="C4934" s="243">
        <v>9</v>
      </c>
      <c r="D4934" s="248">
        <f t="shared" si="543"/>
        <v>45421</v>
      </c>
      <c r="E4934" s="249">
        <f t="shared" si="551"/>
        <v>45421</v>
      </c>
      <c r="F4934" s="477"/>
      <c r="G4934" s="244" t="s">
        <v>86</v>
      </c>
      <c r="H4934" s="244"/>
      <c r="I4934" s="245"/>
      <c r="J4934" s="246" t="s">
        <v>50</v>
      </c>
      <c r="K4934" s="247"/>
      <c r="L4934" s="247">
        <f>K4933</f>
        <v>65922.13789326181</v>
      </c>
      <c r="M4934" s="156">
        <v>3055.7222792784746</v>
      </c>
    </row>
    <row r="4935" spans="1:13" ht="11.25" customHeight="1" x14ac:dyDescent="0.2">
      <c r="A4935" s="236">
        <v>2024</v>
      </c>
      <c r="B4935" s="236">
        <v>5</v>
      </c>
      <c r="C4935" s="236">
        <v>9</v>
      </c>
      <c r="D4935" s="237">
        <f t="shared" si="543"/>
        <v>45421</v>
      </c>
      <c r="E4935" s="238">
        <f t="shared" si="551"/>
        <v>45421</v>
      </c>
      <c r="F4935" s="476" t="s">
        <v>1122</v>
      </c>
      <c r="G4935" s="239" t="s">
        <v>86</v>
      </c>
      <c r="H4935" s="239"/>
      <c r="I4935" s="240"/>
      <c r="J4935" s="241" t="s">
        <v>91</v>
      </c>
      <c r="K4935" s="242">
        <f>M4934</f>
        <v>3055.7222792784746</v>
      </c>
      <c r="L4935" s="242"/>
    </row>
    <row r="4936" spans="1:13" ht="11.25" customHeight="1" x14ac:dyDescent="0.2">
      <c r="A4936" s="243">
        <v>2024</v>
      </c>
      <c r="B4936" s="243">
        <v>5</v>
      </c>
      <c r="C4936" s="243">
        <v>9</v>
      </c>
      <c r="D4936" s="248">
        <f t="shared" si="543"/>
        <v>45421</v>
      </c>
      <c r="E4936" s="249">
        <f t="shared" si="551"/>
        <v>45421</v>
      </c>
      <c r="F4936" s="477"/>
      <c r="G4936" s="244" t="s">
        <v>86</v>
      </c>
      <c r="H4936" s="244"/>
      <c r="I4936" s="245"/>
      <c r="J4936" s="246" t="s">
        <v>51</v>
      </c>
      <c r="K4936" s="247"/>
      <c r="L4936" s="247">
        <f>K4935</f>
        <v>3055.7222792784746</v>
      </c>
    </row>
    <row r="4937" spans="1:13" ht="11.25" customHeight="1" x14ac:dyDescent="0.2">
      <c r="A4937" s="221">
        <v>2024</v>
      </c>
      <c r="B4937" s="221">
        <v>5</v>
      </c>
      <c r="C4937" s="231">
        <v>13</v>
      </c>
      <c r="D4937" s="231">
        <f t="shared" ref="D4937:D5000" si="552">DATE(A4937,B4937,C4937)</f>
        <v>45425</v>
      </c>
      <c r="E4937" s="233">
        <f t="shared" si="551"/>
        <v>45425</v>
      </c>
      <c r="F4937" s="478" t="s">
        <v>1115</v>
      </c>
      <c r="G4937" s="222" t="s">
        <v>1111</v>
      </c>
      <c r="H4937" s="223"/>
      <c r="I4937" s="223" t="s">
        <v>1220</v>
      </c>
      <c r="J4937" s="224" t="s">
        <v>14</v>
      </c>
      <c r="K4937" s="167">
        <v>53320</v>
      </c>
      <c r="L4937" s="225"/>
    </row>
    <row r="4938" spans="1:13" ht="11.25" customHeight="1" x14ac:dyDescent="0.2">
      <c r="A4938" s="164">
        <v>2024</v>
      </c>
      <c r="B4938" s="164">
        <v>5</v>
      </c>
      <c r="C4938" s="156">
        <v>13</v>
      </c>
      <c r="D4938" s="156">
        <f t="shared" si="552"/>
        <v>45425</v>
      </c>
      <c r="E4938" s="235">
        <f t="shared" si="551"/>
        <v>45425</v>
      </c>
      <c r="F4938" s="480"/>
      <c r="G4938" s="208" t="s">
        <v>1111</v>
      </c>
      <c r="I4938" s="206" t="s">
        <v>1220</v>
      </c>
      <c r="J4938" s="165" t="s">
        <v>1112</v>
      </c>
      <c r="L4938" s="205">
        <v>106.64</v>
      </c>
    </row>
    <row r="4939" spans="1:13" ht="11.25" customHeight="1" x14ac:dyDescent="0.2">
      <c r="A4939" s="226">
        <v>2024</v>
      </c>
      <c r="B4939" s="226">
        <v>5</v>
      </c>
      <c r="C4939" s="232">
        <v>13</v>
      </c>
      <c r="D4939" s="232">
        <f t="shared" si="552"/>
        <v>45425</v>
      </c>
      <c r="E4939" s="234">
        <f t="shared" si="551"/>
        <v>45425</v>
      </c>
      <c r="F4939" s="479"/>
      <c r="G4939" s="227" t="s">
        <v>1111</v>
      </c>
      <c r="H4939" s="228"/>
      <c r="I4939" s="228" t="s">
        <v>1220</v>
      </c>
      <c r="J4939" s="229" t="s">
        <v>55</v>
      </c>
      <c r="K4939" s="230"/>
      <c r="L4939" s="230">
        <v>53213.36</v>
      </c>
    </row>
    <row r="4940" spans="1:13" ht="11.25" customHeight="1" x14ac:dyDescent="0.2">
      <c r="A4940" s="221">
        <v>2024</v>
      </c>
      <c r="B4940" s="221">
        <v>5</v>
      </c>
      <c r="C4940" s="221">
        <v>13</v>
      </c>
      <c r="D4940" s="231">
        <f t="shared" si="552"/>
        <v>45425</v>
      </c>
      <c r="E4940" s="233">
        <f t="shared" si="551"/>
        <v>45425</v>
      </c>
      <c r="F4940" s="478" t="s">
        <v>1732</v>
      </c>
      <c r="G4940" s="222" t="s">
        <v>1111</v>
      </c>
      <c r="H4940" s="223"/>
      <c r="I4940" s="223"/>
      <c r="J4940" s="224" t="s">
        <v>1707</v>
      </c>
      <c r="K4940" s="225">
        <v>150</v>
      </c>
      <c r="L4940" s="225"/>
    </row>
    <row r="4941" spans="1:13" ht="11.25" customHeight="1" x14ac:dyDescent="0.2">
      <c r="A4941" s="164">
        <v>2024</v>
      </c>
      <c r="B4941" s="164">
        <v>5</v>
      </c>
      <c r="C4941" s="164">
        <v>13</v>
      </c>
      <c r="D4941" s="156">
        <f t="shared" si="552"/>
        <v>45425</v>
      </c>
      <c r="E4941" s="235">
        <f t="shared" si="551"/>
        <v>45425</v>
      </c>
      <c r="F4941" s="480"/>
      <c r="G4941" s="208" t="s">
        <v>1111</v>
      </c>
      <c r="J4941" s="165" t="s">
        <v>478</v>
      </c>
      <c r="K4941" s="205">
        <v>9060.82</v>
      </c>
      <c r="L4941" s="205"/>
    </row>
    <row r="4942" spans="1:13" ht="11.25" customHeight="1" x14ac:dyDescent="0.2">
      <c r="A4942" s="164">
        <v>2024</v>
      </c>
      <c r="B4942" s="164">
        <v>5</v>
      </c>
      <c r="C4942" s="164">
        <v>13</v>
      </c>
      <c r="D4942" s="156">
        <f t="shared" si="552"/>
        <v>45425</v>
      </c>
      <c r="E4942" s="235">
        <f t="shared" si="551"/>
        <v>45425</v>
      </c>
      <c r="F4942" s="480"/>
      <c r="G4942" s="208" t="s">
        <v>1111</v>
      </c>
      <c r="J4942" s="165" t="s">
        <v>478</v>
      </c>
      <c r="K4942" s="205">
        <v>104874.43</v>
      </c>
      <c r="L4942" s="205"/>
    </row>
    <row r="4943" spans="1:13" ht="11.25" customHeight="1" x14ac:dyDescent="0.2">
      <c r="A4943" s="164">
        <v>2024</v>
      </c>
      <c r="B4943" s="164">
        <v>5</v>
      </c>
      <c r="C4943" s="164">
        <v>13</v>
      </c>
      <c r="D4943" s="156">
        <f t="shared" si="552"/>
        <v>45425</v>
      </c>
      <c r="E4943" s="235">
        <f t="shared" si="551"/>
        <v>45425</v>
      </c>
      <c r="F4943" s="480"/>
      <c r="G4943" s="208" t="s">
        <v>1111</v>
      </c>
      <c r="J4943" s="165" t="s">
        <v>478</v>
      </c>
      <c r="K4943" s="205">
        <v>300.93</v>
      </c>
      <c r="L4943" s="205"/>
    </row>
    <row r="4944" spans="1:13" ht="11.25" customHeight="1" x14ac:dyDescent="0.2">
      <c r="A4944" s="226">
        <v>2024</v>
      </c>
      <c r="B4944" s="226">
        <v>5</v>
      </c>
      <c r="C4944" s="226">
        <v>13</v>
      </c>
      <c r="D4944" s="232">
        <f t="shared" si="552"/>
        <v>45425</v>
      </c>
      <c r="E4944" s="234">
        <f t="shared" si="551"/>
        <v>45425</v>
      </c>
      <c r="F4944" s="479"/>
      <c r="G4944" s="227" t="s">
        <v>1111</v>
      </c>
      <c r="H4944" s="228"/>
      <c r="I4944" s="228"/>
      <c r="J4944" s="229" t="s">
        <v>55</v>
      </c>
      <c r="K4944" s="230"/>
      <c r="L4944" s="230">
        <v>114386.18</v>
      </c>
    </row>
    <row r="4945" spans="1:12" ht="11.25" customHeight="1" x14ac:dyDescent="0.2">
      <c r="A4945" s="221">
        <v>2024</v>
      </c>
      <c r="B4945" s="231">
        <v>5</v>
      </c>
      <c r="C4945" s="231">
        <v>13</v>
      </c>
      <c r="D4945" s="231">
        <f t="shared" si="552"/>
        <v>45425</v>
      </c>
      <c r="E4945" s="233">
        <f t="shared" si="551"/>
        <v>45425</v>
      </c>
      <c r="F4945" s="478" t="s">
        <v>1733</v>
      </c>
      <c r="G4945" s="222" t="s">
        <v>1111</v>
      </c>
      <c r="H4945" s="222"/>
      <c r="I4945" s="223"/>
      <c r="J4945" s="224" t="s">
        <v>55</v>
      </c>
      <c r="K4945" s="357">
        <v>6000000</v>
      </c>
      <c r="L4945" s="225"/>
    </row>
    <row r="4946" spans="1:12" ht="11.25" customHeight="1" x14ac:dyDescent="0.2">
      <c r="A4946" s="164">
        <v>2024</v>
      </c>
      <c r="B4946" s="156">
        <v>5</v>
      </c>
      <c r="C4946" s="156">
        <v>13</v>
      </c>
      <c r="D4946" s="164">
        <f t="shared" si="552"/>
        <v>45425</v>
      </c>
      <c r="E4946" s="235">
        <f t="shared" si="551"/>
        <v>45425</v>
      </c>
      <c r="F4946" s="480"/>
      <c r="G4946" s="208" t="s">
        <v>1111</v>
      </c>
      <c r="H4946" s="208"/>
      <c r="J4946" s="165" t="s">
        <v>1617</v>
      </c>
      <c r="K4946" s="263"/>
      <c r="L4946" s="205">
        <v>164982</v>
      </c>
    </row>
    <row r="4947" spans="1:12" ht="11.25" customHeight="1" x14ac:dyDescent="0.2">
      <c r="A4947" s="226">
        <v>2024</v>
      </c>
      <c r="B4947" s="232">
        <v>5</v>
      </c>
      <c r="C4947" s="232">
        <v>13</v>
      </c>
      <c r="D4947" s="226">
        <f t="shared" si="552"/>
        <v>45425</v>
      </c>
      <c r="E4947" s="234">
        <f t="shared" si="551"/>
        <v>45425</v>
      </c>
      <c r="F4947" s="479"/>
      <c r="G4947" s="227" t="s">
        <v>1111</v>
      </c>
      <c r="H4947" s="227"/>
      <c r="I4947" s="228"/>
      <c r="J4947" s="229" t="s">
        <v>1465</v>
      </c>
      <c r="K4947" s="294"/>
      <c r="L4947" s="230">
        <v>5835018</v>
      </c>
    </row>
    <row r="4948" spans="1:12" ht="11.25" customHeight="1" x14ac:dyDescent="0.2">
      <c r="A4948" s="221">
        <v>2024</v>
      </c>
      <c r="B4948" s="221">
        <v>5</v>
      </c>
      <c r="C4948" s="231">
        <v>16</v>
      </c>
      <c r="D4948" s="231">
        <f t="shared" si="552"/>
        <v>45428</v>
      </c>
      <c r="E4948" s="233">
        <f t="shared" ref="E4948:E4958" si="553">DATE(A4948,B4948,C4948)</f>
        <v>45428</v>
      </c>
      <c r="F4948" s="478" t="s">
        <v>1115</v>
      </c>
      <c r="G4948" s="222" t="s">
        <v>1111</v>
      </c>
      <c r="H4948" s="223"/>
      <c r="I4948" s="223" t="s">
        <v>412</v>
      </c>
      <c r="J4948" s="224" t="s">
        <v>14</v>
      </c>
      <c r="K4948" s="167">
        <v>1028770</v>
      </c>
      <c r="L4948" s="225"/>
    </row>
    <row r="4949" spans="1:12" ht="11.25" customHeight="1" x14ac:dyDescent="0.2">
      <c r="A4949" s="164">
        <v>2024</v>
      </c>
      <c r="B4949" s="164">
        <v>5</v>
      </c>
      <c r="C4949" s="156">
        <v>16</v>
      </c>
      <c r="D4949" s="156">
        <f t="shared" si="552"/>
        <v>45428</v>
      </c>
      <c r="E4949" s="235">
        <f t="shared" si="553"/>
        <v>45428</v>
      </c>
      <c r="F4949" s="480"/>
      <c r="G4949" s="208" t="s">
        <v>1111</v>
      </c>
      <c r="I4949" s="206" t="s">
        <v>412</v>
      </c>
      <c r="J4949" s="165" t="s">
        <v>1112</v>
      </c>
      <c r="L4949" s="205">
        <v>2057.5400000000373</v>
      </c>
    </row>
    <row r="4950" spans="1:12" ht="11.25" customHeight="1" x14ac:dyDescent="0.2">
      <c r="A4950" s="226">
        <v>2024</v>
      </c>
      <c r="B4950" s="226">
        <v>5</v>
      </c>
      <c r="C4950" s="232">
        <v>16</v>
      </c>
      <c r="D4950" s="232">
        <f t="shared" si="552"/>
        <v>45428</v>
      </c>
      <c r="E4950" s="234">
        <f t="shared" si="553"/>
        <v>45428</v>
      </c>
      <c r="F4950" s="479"/>
      <c r="G4950" s="227" t="s">
        <v>1111</v>
      </c>
      <c r="H4950" s="228"/>
      <c r="I4950" s="228" t="s">
        <v>412</v>
      </c>
      <c r="J4950" s="229" t="s">
        <v>55</v>
      </c>
      <c r="K4950" s="230"/>
      <c r="L4950" s="230">
        <v>1026712.46</v>
      </c>
    </row>
    <row r="4951" spans="1:12" ht="11.25" customHeight="1" x14ac:dyDescent="0.2">
      <c r="A4951" s="221">
        <v>2024</v>
      </c>
      <c r="B4951" s="221">
        <v>5</v>
      </c>
      <c r="C4951" s="221">
        <v>16</v>
      </c>
      <c r="D4951" s="231">
        <f t="shared" si="552"/>
        <v>45428</v>
      </c>
      <c r="E4951" s="233">
        <f t="shared" si="553"/>
        <v>45428</v>
      </c>
      <c r="F4951" s="478" t="s">
        <v>1142</v>
      </c>
      <c r="G4951" s="222" t="s">
        <v>1111</v>
      </c>
      <c r="H4951" s="223"/>
      <c r="I4951" s="223"/>
      <c r="J4951" s="224" t="s">
        <v>189</v>
      </c>
      <c r="K4951" s="225">
        <v>1575</v>
      </c>
      <c r="L4951" s="225"/>
    </row>
    <row r="4952" spans="1:12" ht="11.25" customHeight="1" x14ac:dyDescent="0.2">
      <c r="A4952" s="164">
        <v>2024</v>
      </c>
      <c r="B4952" s="164">
        <v>5</v>
      </c>
      <c r="C4952" s="164">
        <v>16</v>
      </c>
      <c r="D4952" s="156">
        <f t="shared" si="552"/>
        <v>45428</v>
      </c>
      <c r="E4952" s="235">
        <f t="shared" si="553"/>
        <v>45428</v>
      </c>
      <c r="F4952" s="480"/>
      <c r="G4952" s="208" t="s">
        <v>1111</v>
      </c>
      <c r="J4952" s="165" t="s">
        <v>1707</v>
      </c>
      <c r="K4952" s="205"/>
      <c r="L4952" s="205">
        <v>150</v>
      </c>
    </row>
    <row r="4953" spans="1:12" ht="11.25" customHeight="1" x14ac:dyDescent="0.2">
      <c r="A4953" s="226">
        <v>2024</v>
      </c>
      <c r="B4953" s="226">
        <v>5</v>
      </c>
      <c r="C4953" s="226">
        <v>16</v>
      </c>
      <c r="D4953" s="232">
        <f t="shared" si="552"/>
        <v>45428</v>
      </c>
      <c r="E4953" s="234">
        <f t="shared" si="553"/>
        <v>45428</v>
      </c>
      <c r="F4953" s="479"/>
      <c r="G4953" s="227" t="s">
        <v>1111</v>
      </c>
      <c r="H4953" s="228"/>
      <c r="I4953" s="228"/>
      <c r="J4953" s="229" t="s">
        <v>55</v>
      </c>
      <c r="K4953" s="230"/>
      <c r="L4953" s="230">
        <v>1425</v>
      </c>
    </row>
    <row r="4954" spans="1:12" ht="11.25" customHeight="1" x14ac:dyDescent="0.2">
      <c r="A4954" s="221">
        <v>2024</v>
      </c>
      <c r="B4954" s="221">
        <v>3</v>
      </c>
      <c r="C4954" s="221">
        <v>19</v>
      </c>
      <c r="D4954" s="231">
        <f t="shared" si="552"/>
        <v>45370</v>
      </c>
      <c r="E4954" s="233">
        <f t="shared" si="553"/>
        <v>45370</v>
      </c>
      <c r="F4954" s="478" t="s">
        <v>1196</v>
      </c>
      <c r="G4954" s="222" t="s">
        <v>1111</v>
      </c>
      <c r="H4954" s="223"/>
      <c r="I4954" s="223"/>
      <c r="J4954" s="224" t="s">
        <v>95</v>
      </c>
      <c r="K4954" s="225">
        <v>3009.33</v>
      </c>
      <c r="L4954" s="225"/>
    </row>
    <row r="4955" spans="1:12" ht="11.25" customHeight="1" x14ac:dyDescent="0.2">
      <c r="A4955" s="164">
        <v>2024</v>
      </c>
      <c r="B4955" s="164">
        <v>3</v>
      </c>
      <c r="C4955" s="164">
        <v>19</v>
      </c>
      <c r="D4955" s="156">
        <f t="shared" si="552"/>
        <v>45370</v>
      </c>
      <c r="E4955" s="235">
        <f t="shared" ref="E4955" si="554">DATE(A4955,B4955,C4955)</f>
        <v>45370</v>
      </c>
      <c r="F4955" s="480"/>
      <c r="G4955" s="208" t="s">
        <v>1111</v>
      </c>
      <c r="J4955" s="165" t="s">
        <v>478</v>
      </c>
      <c r="K4955" s="205"/>
      <c r="L4955" s="205">
        <v>300.93</v>
      </c>
    </row>
    <row r="4956" spans="1:12" ht="11.25" customHeight="1" x14ac:dyDescent="0.2">
      <c r="A4956" s="226">
        <v>2024</v>
      </c>
      <c r="B4956" s="226">
        <v>3</v>
      </c>
      <c r="C4956" s="226">
        <v>19</v>
      </c>
      <c r="D4956" s="232">
        <f t="shared" si="552"/>
        <v>45370</v>
      </c>
      <c r="E4956" s="234">
        <f t="shared" si="553"/>
        <v>45370</v>
      </c>
      <c r="F4956" s="479"/>
      <c r="G4956" s="227" t="s">
        <v>1111</v>
      </c>
      <c r="H4956" s="228"/>
      <c r="I4956" s="228"/>
      <c r="J4956" s="229" t="s">
        <v>55</v>
      </c>
      <c r="K4956" s="230"/>
      <c r="L4956" s="230">
        <v>2708.4</v>
      </c>
    </row>
    <row r="4957" spans="1:12" ht="11.25" customHeight="1" x14ac:dyDescent="0.2">
      <c r="A4957" s="280">
        <v>2024</v>
      </c>
      <c r="B4957" s="280">
        <v>5</v>
      </c>
      <c r="C4957" s="280">
        <v>16</v>
      </c>
      <c r="D4957" s="281">
        <f t="shared" si="552"/>
        <v>45428</v>
      </c>
      <c r="E4957" s="282">
        <f t="shared" si="553"/>
        <v>45428</v>
      </c>
      <c r="F4957" s="472" t="s">
        <v>1584</v>
      </c>
      <c r="G4957" s="283" t="s">
        <v>86</v>
      </c>
      <c r="H4957" s="284"/>
      <c r="I4957" s="284"/>
      <c r="J4957" s="285" t="s">
        <v>131</v>
      </c>
      <c r="K4957" s="286">
        <v>7884.6153846153848</v>
      </c>
      <c r="L4957" s="286"/>
    </row>
    <row r="4958" spans="1:12" ht="11.25" customHeight="1" x14ac:dyDescent="0.2">
      <c r="A4958" s="287">
        <v>2024</v>
      </c>
      <c r="B4958" s="287">
        <v>5</v>
      </c>
      <c r="C4958" s="287">
        <v>16</v>
      </c>
      <c r="D4958" s="288">
        <f t="shared" si="552"/>
        <v>45428</v>
      </c>
      <c r="E4958" s="289">
        <f t="shared" si="553"/>
        <v>45428</v>
      </c>
      <c r="F4958" s="473"/>
      <c r="G4958" s="290" t="s">
        <v>86</v>
      </c>
      <c r="H4958" s="291"/>
      <c r="I4958" s="291"/>
      <c r="J4958" s="292" t="s">
        <v>174</v>
      </c>
      <c r="K4958" s="293"/>
      <c r="L4958" s="293">
        <v>7884.6153846153848</v>
      </c>
    </row>
    <row r="4959" spans="1:12" ht="11.25" customHeight="1" x14ac:dyDescent="0.2">
      <c r="A4959" s="358">
        <v>2024</v>
      </c>
      <c r="B4959" s="358">
        <v>5</v>
      </c>
      <c r="C4959" s="358">
        <v>16</v>
      </c>
      <c r="D4959" s="312">
        <f t="shared" si="552"/>
        <v>45428</v>
      </c>
      <c r="E4959" s="313">
        <f>DATE(A4959,B4959,C4959)</f>
        <v>45428</v>
      </c>
      <c r="F4959" s="482" t="s">
        <v>1627</v>
      </c>
      <c r="G4959" s="314" t="s">
        <v>86</v>
      </c>
      <c r="H4959" s="324"/>
      <c r="I4959" s="324"/>
      <c r="J4959" s="364" t="s">
        <v>1613</v>
      </c>
      <c r="K4959" s="365">
        <v>31546</v>
      </c>
      <c r="L4959" s="365"/>
    </row>
    <row r="4960" spans="1:12" ht="11.25" customHeight="1" x14ac:dyDescent="0.2">
      <c r="A4960" s="320">
        <v>2024</v>
      </c>
      <c r="B4960" s="320">
        <v>5</v>
      </c>
      <c r="C4960" s="320">
        <v>16</v>
      </c>
      <c r="D4960" s="323">
        <f t="shared" si="552"/>
        <v>45428</v>
      </c>
      <c r="E4960" s="321">
        <f t="shared" ref="E4960" si="555">DATE(A4960,B4960,C4960)</f>
        <v>45428</v>
      </c>
      <c r="F4960" s="483"/>
      <c r="G4960" s="322" t="s">
        <v>86</v>
      </c>
      <c r="H4960" s="325"/>
      <c r="I4960" s="325"/>
      <c r="J4960" s="366" t="s">
        <v>1621</v>
      </c>
      <c r="K4960" s="367"/>
      <c r="L4960" s="367">
        <f>K4959</f>
        <v>31546</v>
      </c>
    </row>
    <row r="4961" spans="1:13" ht="11.25" customHeight="1" x14ac:dyDescent="0.2">
      <c r="A4961" s="358">
        <v>2024</v>
      </c>
      <c r="B4961" s="358">
        <v>5</v>
      </c>
      <c r="C4961" s="358">
        <v>16</v>
      </c>
      <c r="D4961" s="312">
        <f t="shared" si="552"/>
        <v>45428</v>
      </c>
      <c r="E4961" s="313">
        <f>DATE(A4961,B4961,C4961)</f>
        <v>45428</v>
      </c>
      <c r="F4961" s="482" t="s">
        <v>1713</v>
      </c>
      <c r="G4961" s="314" t="s">
        <v>86</v>
      </c>
      <c r="H4961" s="324"/>
      <c r="I4961" s="324"/>
      <c r="J4961" s="364" t="s">
        <v>1614</v>
      </c>
      <c r="K4961" s="365">
        <v>198340.59999999404</v>
      </c>
      <c r="L4961" s="365"/>
    </row>
    <row r="4962" spans="1:13" ht="11.25" customHeight="1" x14ac:dyDescent="0.2">
      <c r="A4962" s="320">
        <v>2024</v>
      </c>
      <c r="B4962" s="320">
        <v>5</v>
      </c>
      <c r="C4962" s="320">
        <v>16</v>
      </c>
      <c r="D4962" s="323">
        <f t="shared" si="552"/>
        <v>45428</v>
      </c>
      <c r="E4962" s="321">
        <f t="shared" ref="E4962:E4975" si="556">DATE(A4962,B4962,C4962)</f>
        <v>45428</v>
      </c>
      <c r="F4962" s="483"/>
      <c r="G4962" s="322" t="s">
        <v>86</v>
      </c>
      <c r="H4962" s="325"/>
      <c r="I4962" s="325"/>
      <c r="J4962" s="366" t="s">
        <v>1622</v>
      </c>
      <c r="K4962" s="367"/>
      <c r="L4962" s="367">
        <f>K4961</f>
        <v>198340.59999999404</v>
      </c>
    </row>
    <row r="4963" spans="1:13" ht="11.25" customHeight="1" x14ac:dyDescent="0.2">
      <c r="A4963" s="236">
        <v>2024</v>
      </c>
      <c r="B4963" s="236">
        <v>5</v>
      </c>
      <c r="C4963" s="236">
        <v>16</v>
      </c>
      <c r="D4963" s="237">
        <f t="shared" si="552"/>
        <v>45428</v>
      </c>
      <c r="E4963" s="238">
        <f t="shared" si="556"/>
        <v>45428</v>
      </c>
      <c r="F4963" s="476" t="s">
        <v>1118</v>
      </c>
      <c r="G4963" s="239" t="s">
        <v>86</v>
      </c>
      <c r="H4963" s="239"/>
      <c r="I4963" s="240"/>
      <c r="J4963" s="241" t="s">
        <v>98</v>
      </c>
      <c r="K4963" s="242">
        <v>778078.79999999702</v>
      </c>
      <c r="L4963" s="242"/>
    </row>
    <row r="4964" spans="1:13" ht="11.25" customHeight="1" x14ac:dyDescent="0.2">
      <c r="A4964" s="243">
        <v>2024</v>
      </c>
      <c r="B4964" s="243">
        <v>5</v>
      </c>
      <c r="C4964" s="243">
        <v>16</v>
      </c>
      <c r="D4964" s="248">
        <f t="shared" si="552"/>
        <v>45428</v>
      </c>
      <c r="E4964" s="249">
        <f t="shared" si="556"/>
        <v>45428</v>
      </c>
      <c r="F4964" s="477"/>
      <c r="G4964" s="244" t="s">
        <v>86</v>
      </c>
      <c r="H4964" s="244"/>
      <c r="I4964" s="245"/>
      <c r="J4964" s="246" t="s">
        <v>82</v>
      </c>
      <c r="K4964" s="247"/>
      <c r="L4964" s="247">
        <f>K4963</f>
        <v>778078.79999999702</v>
      </c>
    </row>
    <row r="4965" spans="1:13" ht="11.25" customHeight="1" x14ac:dyDescent="0.2">
      <c r="A4965" s="236">
        <v>2024</v>
      </c>
      <c r="B4965" s="236">
        <v>5</v>
      </c>
      <c r="C4965" s="236">
        <v>16</v>
      </c>
      <c r="D4965" s="237">
        <f t="shared" si="552"/>
        <v>45428</v>
      </c>
      <c r="E4965" s="238">
        <f t="shared" si="556"/>
        <v>45428</v>
      </c>
      <c r="F4965" s="476" t="s">
        <v>1120</v>
      </c>
      <c r="G4965" s="239" t="s">
        <v>86</v>
      </c>
      <c r="H4965" s="239"/>
      <c r="I4965" s="240"/>
      <c r="J4965" s="241" t="s">
        <v>87</v>
      </c>
      <c r="K4965" s="242">
        <v>2747.2527472527472</v>
      </c>
      <c r="L4965" s="242"/>
    </row>
    <row r="4966" spans="1:13" ht="11.25" customHeight="1" x14ac:dyDescent="0.2">
      <c r="A4966" s="243">
        <v>2024</v>
      </c>
      <c r="B4966" s="243">
        <v>5</v>
      </c>
      <c r="C4966" s="243">
        <v>16</v>
      </c>
      <c r="D4966" s="248">
        <f t="shared" si="552"/>
        <v>45428</v>
      </c>
      <c r="E4966" s="249">
        <f t="shared" si="556"/>
        <v>45428</v>
      </c>
      <c r="F4966" s="477"/>
      <c r="G4966" s="244" t="s">
        <v>86</v>
      </c>
      <c r="H4966" s="244"/>
      <c r="I4966" s="245"/>
      <c r="J4966" s="246" t="s">
        <v>64</v>
      </c>
      <c r="K4966" s="247"/>
      <c r="L4966" s="247">
        <v>2747.2527472527472</v>
      </c>
    </row>
    <row r="4967" spans="1:13" ht="11.25" customHeight="1" x14ac:dyDescent="0.2">
      <c r="A4967" s="236">
        <v>2024</v>
      </c>
      <c r="B4967" s="236">
        <v>5</v>
      </c>
      <c r="C4967" s="236">
        <v>16</v>
      </c>
      <c r="D4967" s="237">
        <f t="shared" si="552"/>
        <v>45428</v>
      </c>
      <c r="E4967" s="238">
        <f t="shared" si="556"/>
        <v>45428</v>
      </c>
      <c r="F4967" s="476" t="s">
        <v>1121</v>
      </c>
      <c r="G4967" s="239" t="s">
        <v>86</v>
      </c>
      <c r="H4967" s="239"/>
      <c r="I4967" s="240"/>
      <c r="J4967" s="241" t="s">
        <v>89</v>
      </c>
      <c r="K4967" s="242">
        <f>M4967</f>
        <v>65756.496694209811</v>
      </c>
      <c r="L4967" s="242"/>
      <c r="M4967" s="156">
        <v>65756.496694209811</v>
      </c>
    </row>
    <row r="4968" spans="1:13" ht="11.25" customHeight="1" x14ac:dyDescent="0.2">
      <c r="A4968" s="243">
        <v>2024</v>
      </c>
      <c r="B4968" s="243">
        <v>5</v>
      </c>
      <c r="C4968" s="243">
        <v>16</v>
      </c>
      <c r="D4968" s="248">
        <f t="shared" si="552"/>
        <v>45428</v>
      </c>
      <c r="E4968" s="249">
        <f t="shared" si="556"/>
        <v>45428</v>
      </c>
      <c r="F4968" s="477"/>
      <c r="G4968" s="244" t="s">
        <v>86</v>
      </c>
      <c r="H4968" s="244"/>
      <c r="I4968" s="245"/>
      <c r="J4968" s="246" t="s">
        <v>50</v>
      </c>
      <c r="K4968" s="247"/>
      <c r="L4968" s="247">
        <f>K4967</f>
        <v>65756.496694209811</v>
      </c>
      <c r="M4968" s="156">
        <v>3047.4402193258752</v>
      </c>
    </row>
    <row r="4969" spans="1:13" ht="11.25" customHeight="1" x14ac:dyDescent="0.2">
      <c r="A4969" s="236">
        <v>2024</v>
      </c>
      <c r="B4969" s="236">
        <v>5</v>
      </c>
      <c r="C4969" s="236">
        <v>16</v>
      </c>
      <c r="D4969" s="237">
        <f t="shared" si="552"/>
        <v>45428</v>
      </c>
      <c r="E4969" s="238">
        <f t="shared" si="556"/>
        <v>45428</v>
      </c>
      <c r="F4969" s="476" t="s">
        <v>1122</v>
      </c>
      <c r="G4969" s="239" t="s">
        <v>86</v>
      </c>
      <c r="H4969" s="239"/>
      <c r="I4969" s="240"/>
      <c r="J4969" s="241" t="s">
        <v>91</v>
      </c>
      <c r="K4969" s="242">
        <f>M4968</f>
        <v>3047.4402193258752</v>
      </c>
      <c r="L4969" s="242"/>
    </row>
    <row r="4970" spans="1:13" ht="11.25" customHeight="1" x14ac:dyDescent="0.2">
      <c r="A4970" s="243">
        <v>2024</v>
      </c>
      <c r="B4970" s="243">
        <v>5</v>
      </c>
      <c r="C4970" s="243">
        <v>16</v>
      </c>
      <c r="D4970" s="248">
        <f t="shared" si="552"/>
        <v>45428</v>
      </c>
      <c r="E4970" s="249">
        <f t="shared" si="556"/>
        <v>45428</v>
      </c>
      <c r="F4970" s="477"/>
      <c r="G4970" s="244" t="s">
        <v>86</v>
      </c>
      <c r="H4970" s="244"/>
      <c r="I4970" s="245"/>
      <c r="J4970" s="246" t="s">
        <v>51</v>
      </c>
      <c r="K4970" s="247"/>
      <c r="L4970" s="247">
        <f>K4969</f>
        <v>3047.4402193258752</v>
      </c>
    </row>
    <row r="4971" spans="1:13" ht="11.25" customHeight="1" x14ac:dyDescent="0.2">
      <c r="A4971" s="221">
        <v>2024</v>
      </c>
      <c r="B4971" s="221">
        <v>5</v>
      </c>
      <c r="C4971" s="221">
        <v>23</v>
      </c>
      <c r="D4971" s="231">
        <f t="shared" si="552"/>
        <v>45435</v>
      </c>
      <c r="E4971" s="233">
        <f t="shared" si="556"/>
        <v>45435</v>
      </c>
      <c r="F4971" s="478" t="s">
        <v>1178</v>
      </c>
      <c r="G4971" s="222" t="s">
        <v>1111</v>
      </c>
      <c r="H4971" s="223"/>
      <c r="I4971" s="223"/>
      <c r="J4971" s="224" t="s">
        <v>189</v>
      </c>
      <c r="K4971" s="225">
        <v>10062.5</v>
      </c>
      <c r="L4971" s="225"/>
    </row>
    <row r="4972" spans="1:13" ht="11.25" customHeight="1" x14ac:dyDescent="0.2">
      <c r="A4972" s="164">
        <v>2024</v>
      </c>
      <c r="B4972" s="164">
        <v>5</v>
      </c>
      <c r="C4972" s="164">
        <v>23</v>
      </c>
      <c r="D4972" s="156">
        <f t="shared" si="552"/>
        <v>45435</v>
      </c>
      <c r="E4972" s="235">
        <f t="shared" si="556"/>
        <v>45435</v>
      </c>
      <c r="F4972" s="480"/>
      <c r="G4972" s="208" t="s">
        <v>1111</v>
      </c>
      <c r="J4972" s="165" t="s">
        <v>1708</v>
      </c>
      <c r="K4972" s="205"/>
      <c r="L4972" s="205">
        <v>438.5</v>
      </c>
    </row>
    <row r="4973" spans="1:13" ht="11.25" customHeight="1" x14ac:dyDescent="0.2">
      <c r="A4973" s="226">
        <v>2024</v>
      </c>
      <c r="B4973" s="226">
        <v>5</v>
      </c>
      <c r="C4973" s="226">
        <v>23</v>
      </c>
      <c r="D4973" s="232">
        <f t="shared" si="552"/>
        <v>45435</v>
      </c>
      <c r="E4973" s="234">
        <f t="shared" si="556"/>
        <v>45435</v>
      </c>
      <c r="F4973" s="479"/>
      <c r="G4973" s="227" t="s">
        <v>1111</v>
      </c>
      <c r="H4973" s="228"/>
      <c r="I4973" s="228"/>
      <c r="J4973" s="229" t="s">
        <v>55</v>
      </c>
      <c r="K4973" s="230"/>
      <c r="L4973" s="230">
        <v>9624</v>
      </c>
    </row>
    <row r="4974" spans="1:13" ht="11.25" customHeight="1" x14ac:dyDescent="0.2">
      <c r="A4974" s="280">
        <v>2024</v>
      </c>
      <c r="B4974" s="280">
        <v>5</v>
      </c>
      <c r="C4974" s="280">
        <v>23</v>
      </c>
      <c r="D4974" s="281">
        <f t="shared" si="552"/>
        <v>45435</v>
      </c>
      <c r="E4974" s="282">
        <f t="shared" si="556"/>
        <v>45435</v>
      </c>
      <c r="F4974" s="472" t="s">
        <v>1584</v>
      </c>
      <c r="G4974" s="283" t="s">
        <v>86</v>
      </c>
      <c r="H4974" s="284"/>
      <c r="I4974" s="284"/>
      <c r="J4974" s="285" t="s">
        <v>131</v>
      </c>
      <c r="K4974" s="286">
        <v>7884.6153846153848</v>
      </c>
      <c r="L4974" s="286"/>
    </row>
    <row r="4975" spans="1:13" ht="11.25" customHeight="1" x14ac:dyDescent="0.2">
      <c r="A4975" s="287">
        <v>2024</v>
      </c>
      <c r="B4975" s="287">
        <v>5</v>
      </c>
      <c r="C4975" s="287">
        <v>23</v>
      </c>
      <c r="D4975" s="288">
        <f t="shared" si="552"/>
        <v>45435</v>
      </c>
      <c r="E4975" s="289">
        <f t="shared" si="556"/>
        <v>45435</v>
      </c>
      <c r="F4975" s="473"/>
      <c r="G4975" s="290" t="s">
        <v>86</v>
      </c>
      <c r="H4975" s="291"/>
      <c r="I4975" s="291"/>
      <c r="J4975" s="292" t="s">
        <v>174</v>
      </c>
      <c r="K4975" s="293"/>
      <c r="L4975" s="293">
        <v>7884.6153846153848</v>
      </c>
    </row>
    <row r="4976" spans="1:13" ht="11.25" customHeight="1" x14ac:dyDescent="0.2">
      <c r="A4976" s="358">
        <v>2024</v>
      </c>
      <c r="B4976" s="358">
        <v>5</v>
      </c>
      <c r="C4976" s="358">
        <v>23</v>
      </c>
      <c r="D4976" s="312">
        <f t="shared" si="552"/>
        <v>45435</v>
      </c>
      <c r="E4976" s="313">
        <f>DATE(A4976,B4976,C4976)</f>
        <v>45435</v>
      </c>
      <c r="F4976" s="482" t="s">
        <v>1627</v>
      </c>
      <c r="G4976" s="314" t="s">
        <v>86</v>
      </c>
      <c r="H4976" s="324"/>
      <c r="I4976" s="324"/>
      <c r="J4976" s="364" t="s">
        <v>1621</v>
      </c>
      <c r="K4976" s="365">
        <v>105077.99999999255</v>
      </c>
      <c r="L4976" s="365"/>
    </row>
    <row r="4977" spans="1:13" ht="11.25" customHeight="1" x14ac:dyDescent="0.2">
      <c r="A4977" s="320">
        <v>2024</v>
      </c>
      <c r="B4977" s="320">
        <v>5</v>
      </c>
      <c r="C4977" s="320">
        <v>23</v>
      </c>
      <c r="D4977" s="323">
        <f t="shared" si="552"/>
        <v>45435</v>
      </c>
      <c r="E4977" s="321">
        <f t="shared" ref="E4977" si="557">DATE(A4977,B4977,C4977)</f>
        <v>45435</v>
      </c>
      <c r="F4977" s="483"/>
      <c r="G4977" s="322" t="s">
        <v>86</v>
      </c>
      <c r="H4977" s="325"/>
      <c r="I4977" s="325"/>
      <c r="J4977" s="366" t="s">
        <v>1613</v>
      </c>
      <c r="K4977" s="367"/>
      <c r="L4977" s="367">
        <f>K4976</f>
        <v>105077.99999999255</v>
      </c>
    </row>
    <row r="4978" spans="1:13" ht="11.25" customHeight="1" x14ac:dyDescent="0.2">
      <c r="A4978" s="358">
        <v>2024</v>
      </c>
      <c r="B4978" s="358">
        <v>5</v>
      </c>
      <c r="C4978" s="358">
        <v>23</v>
      </c>
      <c r="D4978" s="312">
        <f t="shared" si="552"/>
        <v>45435</v>
      </c>
      <c r="E4978" s="313">
        <f>DATE(A4978,B4978,C4978)</f>
        <v>45435</v>
      </c>
      <c r="F4978" s="482" t="s">
        <v>1713</v>
      </c>
      <c r="G4978" s="314" t="s">
        <v>86</v>
      </c>
      <c r="H4978" s="324"/>
      <c r="I4978" s="324"/>
      <c r="J4978" s="364" t="s">
        <v>1622</v>
      </c>
      <c r="K4978" s="365">
        <v>94564.70000000298</v>
      </c>
      <c r="L4978" s="365"/>
    </row>
    <row r="4979" spans="1:13" ht="11.25" customHeight="1" x14ac:dyDescent="0.2">
      <c r="A4979" s="320">
        <v>2024</v>
      </c>
      <c r="B4979" s="320">
        <v>5</v>
      </c>
      <c r="C4979" s="320">
        <v>23</v>
      </c>
      <c r="D4979" s="323">
        <f t="shared" si="552"/>
        <v>45435</v>
      </c>
      <c r="E4979" s="321">
        <f t="shared" ref="E4979:E5007" si="558">DATE(A4979,B4979,C4979)</f>
        <v>45435</v>
      </c>
      <c r="F4979" s="483"/>
      <c r="G4979" s="322" t="s">
        <v>86</v>
      </c>
      <c r="H4979" s="325"/>
      <c r="I4979" s="325"/>
      <c r="J4979" s="366" t="s">
        <v>1614</v>
      </c>
      <c r="K4979" s="367"/>
      <c r="L4979" s="367">
        <f>K4978</f>
        <v>94564.70000000298</v>
      </c>
    </row>
    <row r="4980" spans="1:13" ht="11.25" customHeight="1" x14ac:dyDescent="0.2">
      <c r="A4980" s="236">
        <v>2024</v>
      </c>
      <c r="B4980" s="236">
        <v>5</v>
      </c>
      <c r="C4980" s="236">
        <v>23</v>
      </c>
      <c r="D4980" s="237">
        <f t="shared" si="552"/>
        <v>45435</v>
      </c>
      <c r="E4980" s="238">
        <f t="shared" si="558"/>
        <v>45435</v>
      </c>
      <c r="F4980" s="476" t="s">
        <v>1118</v>
      </c>
      <c r="G4980" s="239" t="s">
        <v>86</v>
      </c>
      <c r="H4980" s="239"/>
      <c r="I4980" s="240"/>
      <c r="J4980" s="241" t="s">
        <v>82</v>
      </c>
      <c r="K4980" s="242">
        <v>2667253.3999999985</v>
      </c>
      <c r="L4980" s="242"/>
    </row>
    <row r="4981" spans="1:13" ht="11.25" customHeight="1" x14ac:dyDescent="0.2">
      <c r="A4981" s="243">
        <v>2024</v>
      </c>
      <c r="B4981" s="243">
        <v>5</v>
      </c>
      <c r="C4981" s="243">
        <v>23</v>
      </c>
      <c r="D4981" s="248">
        <f t="shared" si="552"/>
        <v>45435</v>
      </c>
      <c r="E4981" s="249">
        <f t="shared" si="558"/>
        <v>45435</v>
      </c>
      <c r="F4981" s="477"/>
      <c r="G4981" s="244" t="s">
        <v>86</v>
      </c>
      <c r="H4981" s="244"/>
      <c r="I4981" s="245"/>
      <c r="J4981" s="246" t="s">
        <v>98</v>
      </c>
      <c r="K4981" s="247"/>
      <c r="L4981" s="247">
        <f>K4980</f>
        <v>2667253.3999999985</v>
      </c>
    </row>
    <row r="4982" spans="1:13" ht="11.25" customHeight="1" x14ac:dyDescent="0.2">
      <c r="A4982" s="236">
        <v>2024</v>
      </c>
      <c r="B4982" s="236">
        <v>5</v>
      </c>
      <c r="C4982" s="236">
        <v>23</v>
      </c>
      <c r="D4982" s="237">
        <f t="shared" si="552"/>
        <v>45435</v>
      </c>
      <c r="E4982" s="238">
        <f t="shared" si="558"/>
        <v>45435</v>
      </c>
      <c r="F4982" s="476" t="s">
        <v>1120</v>
      </c>
      <c r="G4982" s="239" t="s">
        <v>86</v>
      </c>
      <c r="H4982" s="239"/>
      <c r="I4982" s="240"/>
      <c r="J4982" s="241" t="s">
        <v>87</v>
      </c>
      <c r="K4982" s="242">
        <v>2747.2527472527472</v>
      </c>
      <c r="L4982" s="242"/>
    </row>
    <row r="4983" spans="1:13" ht="11.25" customHeight="1" x14ac:dyDescent="0.2">
      <c r="A4983" s="243">
        <v>2024</v>
      </c>
      <c r="B4983" s="243">
        <v>5</v>
      </c>
      <c r="C4983" s="243">
        <v>23</v>
      </c>
      <c r="D4983" s="248">
        <f t="shared" si="552"/>
        <v>45435</v>
      </c>
      <c r="E4983" s="249">
        <f t="shared" si="558"/>
        <v>45435</v>
      </c>
      <c r="F4983" s="477"/>
      <c r="G4983" s="244" t="s">
        <v>86</v>
      </c>
      <c r="H4983" s="244"/>
      <c r="I4983" s="245"/>
      <c r="J4983" s="246" t="s">
        <v>64</v>
      </c>
      <c r="K4983" s="247"/>
      <c r="L4983" s="247">
        <v>2747.2527472527472</v>
      </c>
    </row>
    <row r="4984" spans="1:13" ht="11.25" customHeight="1" x14ac:dyDescent="0.2">
      <c r="A4984" s="236">
        <v>2024</v>
      </c>
      <c r="B4984" s="236">
        <v>5</v>
      </c>
      <c r="C4984" s="236">
        <v>23</v>
      </c>
      <c r="D4984" s="237">
        <f t="shared" si="552"/>
        <v>45435</v>
      </c>
      <c r="E4984" s="238">
        <f t="shared" si="558"/>
        <v>45435</v>
      </c>
      <c r="F4984" s="476" t="s">
        <v>1121</v>
      </c>
      <c r="G4984" s="239" t="s">
        <v>86</v>
      </c>
      <c r="H4984" s="239"/>
      <c r="I4984" s="240"/>
      <c r="J4984" s="241" t="s">
        <v>89</v>
      </c>
      <c r="K4984" s="242">
        <f>M4984</f>
        <v>64777.295115642068</v>
      </c>
      <c r="L4984" s="242"/>
      <c r="M4984" s="156">
        <v>64777.295115642068</v>
      </c>
    </row>
    <row r="4985" spans="1:13" ht="11.25" customHeight="1" x14ac:dyDescent="0.2">
      <c r="A4985" s="243">
        <v>2024</v>
      </c>
      <c r="B4985" s="243">
        <v>5</v>
      </c>
      <c r="C4985" s="243">
        <v>23</v>
      </c>
      <c r="D4985" s="248">
        <f t="shared" si="552"/>
        <v>45435</v>
      </c>
      <c r="E4985" s="249">
        <f t="shared" si="558"/>
        <v>45435</v>
      </c>
      <c r="F4985" s="477"/>
      <c r="G4985" s="244" t="s">
        <v>86</v>
      </c>
      <c r="H4985" s="244"/>
      <c r="I4985" s="245"/>
      <c r="J4985" s="246" t="s">
        <v>50</v>
      </c>
      <c r="K4985" s="247"/>
      <c r="L4985" s="247">
        <f>K4984</f>
        <v>64777.295115642068</v>
      </c>
      <c r="M4985" s="156">
        <v>2998.480140397488</v>
      </c>
    </row>
    <row r="4986" spans="1:13" ht="11.25" customHeight="1" x14ac:dyDescent="0.2">
      <c r="A4986" s="236">
        <v>2024</v>
      </c>
      <c r="B4986" s="236">
        <v>5</v>
      </c>
      <c r="C4986" s="236">
        <v>23</v>
      </c>
      <c r="D4986" s="237">
        <f t="shared" si="552"/>
        <v>45435</v>
      </c>
      <c r="E4986" s="238">
        <f t="shared" si="558"/>
        <v>45435</v>
      </c>
      <c r="F4986" s="476" t="s">
        <v>1122</v>
      </c>
      <c r="G4986" s="239" t="s">
        <v>86</v>
      </c>
      <c r="H4986" s="239"/>
      <c r="I4986" s="240"/>
      <c r="J4986" s="241" t="s">
        <v>91</v>
      </c>
      <c r="K4986" s="242">
        <f>M4985</f>
        <v>2998.480140397488</v>
      </c>
      <c r="L4986" s="242"/>
    </row>
    <row r="4987" spans="1:13" ht="11.25" customHeight="1" x14ac:dyDescent="0.2">
      <c r="A4987" s="243">
        <v>2024</v>
      </c>
      <c r="B4987" s="243">
        <v>5</v>
      </c>
      <c r="C4987" s="243">
        <v>23</v>
      </c>
      <c r="D4987" s="248">
        <f t="shared" si="552"/>
        <v>45435</v>
      </c>
      <c r="E4987" s="249">
        <f t="shared" si="558"/>
        <v>45435</v>
      </c>
      <c r="F4987" s="477"/>
      <c r="G4987" s="244" t="s">
        <v>86</v>
      </c>
      <c r="H4987" s="244"/>
      <c r="I4987" s="245"/>
      <c r="J4987" s="246" t="s">
        <v>51</v>
      </c>
      <c r="K4987" s="247"/>
      <c r="L4987" s="247">
        <f>K4986</f>
        <v>2998.480140397488</v>
      </c>
    </row>
    <row r="4988" spans="1:13" ht="11.25" customHeight="1" x14ac:dyDescent="0.2">
      <c r="A4988" s="221">
        <v>2024</v>
      </c>
      <c r="B4988" s="221">
        <v>5</v>
      </c>
      <c r="C4988" s="231">
        <v>26</v>
      </c>
      <c r="D4988" s="231">
        <f t="shared" si="552"/>
        <v>45438</v>
      </c>
      <c r="E4988" s="233">
        <f t="shared" si="558"/>
        <v>45438</v>
      </c>
      <c r="F4988" s="478" t="s">
        <v>1132</v>
      </c>
      <c r="G4988" s="222" t="s">
        <v>1111</v>
      </c>
      <c r="H4988" s="223"/>
      <c r="I4988" s="223"/>
      <c r="J4988" s="224" t="s">
        <v>55</v>
      </c>
      <c r="K4988" s="167">
        <v>5000</v>
      </c>
      <c r="L4988" s="225"/>
    </row>
    <row r="4989" spans="1:13" ht="11.25" customHeight="1" x14ac:dyDescent="0.2">
      <c r="A4989" s="164">
        <v>2024</v>
      </c>
      <c r="B4989" s="164">
        <v>5</v>
      </c>
      <c r="C4989" s="156">
        <v>26</v>
      </c>
      <c r="D4989" s="156">
        <f t="shared" si="552"/>
        <v>45438</v>
      </c>
      <c r="E4989" s="235">
        <f t="shared" si="558"/>
        <v>45438</v>
      </c>
      <c r="F4989" s="480"/>
      <c r="G4989" s="208" t="s">
        <v>1111</v>
      </c>
      <c r="J4989" s="165" t="s">
        <v>14</v>
      </c>
      <c r="L4989" s="205">
        <v>5070</v>
      </c>
    </row>
    <row r="4990" spans="1:13" ht="11.25" customHeight="1" x14ac:dyDescent="0.2">
      <c r="A4990" s="226">
        <v>2024</v>
      </c>
      <c r="B4990" s="226">
        <v>5</v>
      </c>
      <c r="C4990" s="232">
        <v>26</v>
      </c>
      <c r="D4990" s="232">
        <f t="shared" si="552"/>
        <v>45438</v>
      </c>
      <c r="E4990" s="234">
        <f t="shared" si="558"/>
        <v>45438</v>
      </c>
      <c r="F4990" s="479"/>
      <c r="G4990" s="227" t="s">
        <v>1111</v>
      </c>
      <c r="H4990" s="228"/>
      <c r="I4990" s="228"/>
      <c r="J4990" s="229" t="s">
        <v>1112</v>
      </c>
      <c r="K4990" s="230">
        <v>70</v>
      </c>
      <c r="L4990" s="230"/>
    </row>
    <row r="4991" spans="1:13" ht="11.25" customHeight="1" x14ac:dyDescent="0.2">
      <c r="A4991" s="221">
        <v>2024</v>
      </c>
      <c r="B4991" s="221">
        <v>5</v>
      </c>
      <c r="C4991" s="231">
        <v>26</v>
      </c>
      <c r="D4991" s="231">
        <f t="shared" si="552"/>
        <v>45438</v>
      </c>
      <c r="E4991" s="233">
        <f t="shared" si="558"/>
        <v>45438</v>
      </c>
      <c r="F4991" s="478" t="s">
        <v>1593</v>
      </c>
      <c r="G4991" s="222" t="s">
        <v>86</v>
      </c>
      <c r="H4991" s="222"/>
      <c r="I4991" s="223"/>
      <c r="J4991" s="224" t="s">
        <v>80</v>
      </c>
      <c r="K4991" s="225">
        <v>101750</v>
      </c>
      <c r="L4991" s="225"/>
    </row>
    <row r="4992" spans="1:13" ht="11.25" customHeight="1" x14ac:dyDescent="0.2">
      <c r="A4992" s="164">
        <v>2024</v>
      </c>
      <c r="B4992" s="164">
        <v>5</v>
      </c>
      <c r="C4992" s="156">
        <v>26</v>
      </c>
      <c r="D4992" s="164">
        <f t="shared" si="552"/>
        <v>45438</v>
      </c>
      <c r="E4992" s="235">
        <f t="shared" si="558"/>
        <v>45438</v>
      </c>
      <c r="F4992" s="480"/>
      <c r="G4992" s="208" t="s">
        <v>86</v>
      </c>
      <c r="H4992" s="208"/>
      <c r="J4992" s="165" t="s">
        <v>960</v>
      </c>
      <c r="K4992" s="205">
        <v>183.15</v>
      </c>
      <c r="L4992" s="205"/>
    </row>
    <row r="4993" spans="1:12" ht="11.25" customHeight="1" x14ac:dyDescent="0.2">
      <c r="A4993" s="226">
        <v>2024</v>
      </c>
      <c r="B4993" s="226">
        <v>5</v>
      </c>
      <c r="C4993" s="232">
        <v>26</v>
      </c>
      <c r="D4993" s="226">
        <f t="shared" si="552"/>
        <v>45438</v>
      </c>
      <c r="E4993" s="234">
        <f t="shared" si="558"/>
        <v>45438</v>
      </c>
      <c r="F4993" s="479"/>
      <c r="G4993" s="227" t="s">
        <v>86</v>
      </c>
      <c r="H4993" s="227"/>
      <c r="I4993" s="228"/>
      <c r="J4993" s="229" t="s">
        <v>961</v>
      </c>
      <c r="K4993" s="294"/>
      <c r="L4993" s="230">
        <v>101933.15</v>
      </c>
    </row>
    <row r="4994" spans="1:12" ht="11.25" customHeight="1" x14ac:dyDescent="0.2">
      <c r="A4994" s="221">
        <v>2024</v>
      </c>
      <c r="B4994" s="221">
        <v>5</v>
      </c>
      <c r="C4994" s="221">
        <v>27</v>
      </c>
      <c r="D4994" s="231">
        <f t="shared" si="552"/>
        <v>45439</v>
      </c>
      <c r="E4994" s="233">
        <f t="shared" si="558"/>
        <v>45439</v>
      </c>
      <c r="F4994" s="478" t="s">
        <v>1732</v>
      </c>
      <c r="G4994" s="222" t="s">
        <v>1111</v>
      </c>
      <c r="H4994" s="223"/>
      <c r="I4994" s="223"/>
      <c r="J4994" s="224" t="s">
        <v>1707</v>
      </c>
      <c r="K4994" s="225">
        <v>150</v>
      </c>
      <c r="L4994" s="225"/>
    </row>
    <row r="4995" spans="1:12" ht="11.25" customHeight="1" x14ac:dyDescent="0.2">
      <c r="A4995" s="164">
        <v>2024</v>
      </c>
      <c r="B4995" s="164">
        <v>5</v>
      </c>
      <c r="C4995" s="164">
        <v>27</v>
      </c>
      <c r="D4995" s="156">
        <f t="shared" si="552"/>
        <v>45439</v>
      </c>
      <c r="E4995" s="235">
        <f t="shared" si="558"/>
        <v>45439</v>
      </c>
      <c r="F4995" s="480"/>
      <c r="G4995" s="208" t="s">
        <v>1111</v>
      </c>
      <c r="J4995" s="165" t="s">
        <v>1708</v>
      </c>
      <c r="K4995" s="205">
        <v>438.5</v>
      </c>
      <c r="L4995" s="205"/>
    </row>
    <row r="4996" spans="1:12" ht="11.25" customHeight="1" x14ac:dyDescent="0.2">
      <c r="A4996" s="164">
        <v>2024</v>
      </c>
      <c r="B4996" s="164">
        <v>5</v>
      </c>
      <c r="C4996" s="164">
        <v>27</v>
      </c>
      <c r="D4996" s="156">
        <f t="shared" si="552"/>
        <v>45439</v>
      </c>
      <c r="E4996" s="235">
        <f t="shared" si="558"/>
        <v>45439</v>
      </c>
      <c r="F4996" s="480"/>
      <c r="G4996" s="208" t="s">
        <v>1111</v>
      </c>
      <c r="J4996" s="165" t="s">
        <v>478</v>
      </c>
      <c r="K4996" s="205">
        <v>72.95</v>
      </c>
      <c r="L4996" s="205"/>
    </row>
    <row r="4997" spans="1:12" ht="11.25" customHeight="1" x14ac:dyDescent="0.2">
      <c r="A4997" s="226">
        <v>2024</v>
      </c>
      <c r="B4997" s="226">
        <v>5</v>
      </c>
      <c r="C4997" s="226">
        <v>27</v>
      </c>
      <c r="D4997" s="232">
        <f t="shared" si="552"/>
        <v>45439</v>
      </c>
      <c r="E4997" s="234">
        <f t="shared" si="558"/>
        <v>45439</v>
      </c>
      <c r="F4997" s="479"/>
      <c r="G4997" s="227" t="s">
        <v>1111</v>
      </c>
      <c r="H4997" s="228"/>
      <c r="I4997" s="228"/>
      <c r="J4997" s="229" t="s">
        <v>55</v>
      </c>
      <c r="K4997" s="230"/>
      <c r="L4997" s="230">
        <v>661.45</v>
      </c>
    </row>
    <row r="4998" spans="1:12" ht="11.25" customHeight="1" x14ac:dyDescent="0.2">
      <c r="A4998" s="221">
        <v>2024</v>
      </c>
      <c r="B4998" s="221">
        <v>5</v>
      </c>
      <c r="C4998" s="231">
        <v>29</v>
      </c>
      <c r="D4998" s="231">
        <f t="shared" si="552"/>
        <v>45441</v>
      </c>
      <c r="E4998" s="233">
        <f t="shared" si="558"/>
        <v>45441</v>
      </c>
      <c r="F4998" s="478" t="s">
        <v>1115</v>
      </c>
      <c r="G4998" s="222" t="s">
        <v>1111</v>
      </c>
      <c r="H4998" s="223"/>
      <c r="I4998" s="223" t="s">
        <v>838</v>
      </c>
      <c r="J4998" s="224" t="s">
        <v>14</v>
      </c>
      <c r="K4998" s="167">
        <v>10</v>
      </c>
      <c r="L4998" s="225"/>
    </row>
    <row r="4999" spans="1:12" ht="11.25" customHeight="1" x14ac:dyDescent="0.2">
      <c r="A4999" s="164">
        <v>2024</v>
      </c>
      <c r="B4999" s="164">
        <v>5</v>
      </c>
      <c r="C4999" s="156">
        <v>29</v>
      </c>
      <c r="D4999" s="156">
        <f t="shared" si="552"/>
        <v>45441</v>
      </c>
      <c r="E4999" s="235">
        <f t="shared" si="558"/>
        <v>45441</v>
      </c>
      <c r="F4999" s="480"/>
      <c r="G4999" s="208" t="s">
        <v>1111</v>
      </c>
      <c r="I4999" s="206" t="s">
        <v>838</v>
      </c>
      <c r="J4999" s="165" t="s">
        <v>1112</v>
      </c>
      <c r="L4999" s="205">
        <v>6.65</v>
      </c>
    </row>
    <row r="5000" spans="1:12" ht="11.25" customHeight="1" x14ac:dyDescent="0.2">
      <c r="A5000" s="226">
        <v>2024</v>
      </c>
      <c r="B5000" s="226">
        <v>5</v>
      </c>
      <c r="C5000" s="232">
        <v>29</v>
      </c>
      <c r="D5000" s="232">
        <f t="shared" si="552"/>
        <v>45441</v>
      </c>
      <c r="E5000" s="234">
        <f t="shared" si="558"/>
        <v>45441</v>
      </c>
      <c r="F5000" s="479"/>
      <c r="G5000" s="227" t="s">
        <v>1111</v>
      </c>
      <c r="H5000" s="228"/>
      <c r="I5000" s="228" t="s">
        <v>838</v>
      </c>
      <c r="J5000" s="229" t="s">
        <v>55</v>
      </c>
      <c r="K5000" s="230"/>
      <c r="L5000" s="230">
        <v>3.35</v>
      </c>
    </row>
    <row r="5001" spans="1:12" ht="11.25" customHeight="1" x14ac:dyDescent="0.2">
      <c r="A5001" s="221">
        <v>2024</v>
      </c>
      <c r="B5001" s="221">
        <v>5</v>
      </c>
      <c r="C5001" s="221">
        <v>30</v>
      </c>
      <c r="D5001" s="231">
        <f t="shared" ref="D5001:D5064" si="559">DATE(A5001,B5001,C5001)</f>
        <v>45442</v>
      </c>
      <c r="E5001" s="233">
        <f t="shared" si="558"/>
        <v>45442</v>
      </c>
      <c r="F5001" s="478" t="s">
        <v>1594</v>
      </c>
      <c r="G5001" s="222" t="s">
        <v>1111</v>
      </c>
      <c r="H5001" s="223"/>
      <c r="I5001" s="223"/>
      <c r="J5001" s="224" t="s">
        <v>961</v>
      </c>
      <c r="K5001" s="225">
        <v>101933.15</v>
      </c>
      <c r="L5001" s="225"/>
    </row>
    <row r="5002" spans="1:12" ht="11.25" customHeight="1" x14ac:dyDescent="0.2">
      <c r="A5002" s="226">
        <v>2024</v>
      </c>
      <c r="B5002" s="226">
        <v>5</v>
      </c>
      <c r="C5002" s="226">
        <v>30</v>
      </c>
      <c r="D5002" s="232">
        <f t="shared" si="559"/>
        <v>45442</v>
      </c>
      <c r="E5002" s="234">
        <f t="shared" si="558"/>
        <v>45442</v>
      </c>
      <c r="F5002" s="479"/>
      <c r="G5002" s="227" t="s">
        <v>1111</v>
      </c>
      <c r="H5002" s="228"/>
      <c r="I5002" s="228"/>
      <c r="J5002" s="229" t="s">
        <v>55</v>
      </c>
      <c r="K5002" s="230"/>
      <c r="L5002" s="230">
        <v>101933.15</v>
      </c>
    </row>
    <row r="5003" spans="1:12" ht="11.25" customHeight="1" x14ac:dyDescent="0.2">
      <c r="A5003" s="221">
        <v>2024</v>
      </c>
      <c r="B5003" s="231">
        <v>5</v>
      </c>
      <c r="C5003" s="231">
        <v>30</v>
      </c>
      <c r="D5003" s="231">
        <f t="shared" si="559"/>
        <v>45442</v>
      </c>
      <c r="E5003" s="233">
        <f t="shared" si="558"/>
        <v>45442</v>
      </c>
      <c r="F5003" s="478" t="s">
        <v>1734</v>
      </c>
      <c r="G5003" s="222" t="s">
        <v>1111</v>
      </c>
      <c r="H5003" s="222"/>
      <c r="I5003" s="223"/>
      <c r="J5003" s="224" t="s">
        <v>55</v>
      </c>
      <c r="K5003" s="357">
        <v>4000000</v>
      </c>
      <c r="L5003" s="225"/>
    </row>
    <row r="5004" spans="1:12" ht="11.25" customHeight="1" x14ac:dyDescent="0.2">
      <c r="A5004" s="164">
        <v>2024</v>
      </c>
      <c r="B5004" s="156">
        <v>5</v>
      </c>
      <c r="C5004" s="156">
        <v>30</v>
      </c>
      <c r="D5004" s="164">
        <f t="shared" si="559"/>
        <v>45442</v>
      </c>
      <c r="E5004" s="235">
        <f t="shared" si="558"/>
        <v>45442</v>
      </c>
      <c r="F5004" s="480"/>
      <c r="G5004" s="208" t="s">
        <v>1111</v>
      </c>
      <c r="H5004" s="208"/>
      <c r="J5004" s="165" t="s">
        <v>1617</v>
      </c>
      <c r="K5004" s="263"/>
      <c r="L5004" s="205">
        <v>110016</v>
      </c>
    </row>
    <row r="5005" spans="1:12" ht="11.25" customHeight="1" x14ac:dyDescent="0.2">
      <c r="A5005" s="226">
        <v>2024</v>
      </c>
      <c r="B5005" s="232">
        <v>5</v>
      </c>
      <c r="C5005" s="232">
        <v>30</v>
      </c>
      <c r="D5005" s="226">
        <f t="shared" si="559"/>
        <v>45442</v>
      </c>
      <c r="E5005" s="234">
        <f t="shared" si="558"/>
        <v>45442</v>
      </c>
      <c r="F5005" s="479"/>
      <c r="G5005" s="227" t="s">
        <v>1111</v>
      </c>
      <c r="H5005" s="227"/>
      <c r="I5005" s="228"/>
      <c r="J5005" s="229" t="s">
        <v>1465</v>
      </c>
      <c r="K5005" s="294"/>
      <c r="L5005" s="230">
        <v>3889984</v>
      </c>
    </row>
    <row r="5006" spans="1:12" ht="11.25" customHeight="1" x14ac:dyDescent="0.2">
      <c r="A5006" s="280">
        <v>2024</v>
      </c>
      <c r="B5006" s="280">
        <v>5</v>
      </c>
      <c r="C5006" s="280">
        <v>30</v>
      </c>
      <c r="D5006" s="281">
        <f t="shared" si="559"/>
        <v>45442</v>
      </c>
      <c r="E5006" s="282">
        <f t="shared" si="558"/>
        <v>45442</v>
      </c>
      <c r="F5006" s="472" t="s">
        <v>1584</v>
      </c>
      <c r="G5006" s="283" t="s">
        <v>86</v>
      </c>
      <c r="H5006" s="284"/>
      <c r="I5006" s="284"/>
      <c r="J5006" s="285" t="s">
        <v>131</v>
      </c>
      <c r="K5006" s="286">
        <v>7884.6153846153848</v>
      </c>
      <c r="L5006" s="286"/>
    </row>
    <row r="5007" spans="1:12" ht="11.25" customHeight="1" x14ac:dyDescent="0.2">
      <c r="A5007" s="287">
        <v>2024</v>
      </c>
      <c r="B5007" s="287">
        <v>5</v>
      </c>
      <c r="C5007" s="287">
        <v>30</v>
      </c>
      <c r="D5007" s="288">
        <f t="shared" si="559"/>
        <v>45442</v>
      </c>
      <c r="E5007" s="289">
        <f t="shared" si="558"/>
        <v>45442</v>
      </c>
      <c r="F5007" s="473"/>
      <c r="G5007" s="290" t="s">
        <v>86</v>
      </c>
      <c r="H5007" s="291"/>
      <c r="I5007" s="291"/>
      <c r="J5007" s="292" t="s">
        <v>174</v>
      </c>
      <c r="K5007" s="293"/>
      <c r="L5007" s="293">
        <v>7884.6153846153848</v>
      </c>
    </row>
    <row r="5008" spans="1:12" ht="11.25" customHeight="1" x14ac:dyDescent="0.2">
      <c r="A5008" s="358">
        <v>2024</v>
      </c>
      <c r="B5008" s="358">
        <v>5</v>
      </c>
      <c r="C5008" s="358">
        <v>30</v>
      </c>
      <c r="D5008" s="312">
        <f t="shared" si="559"/>
        <v>45442</v>
      </c>
      <c r="E5008" s="313">
        <f>DATE(A5008,B5008,C5008)</f>
        <v>45442</v>
      </c>
      <c r="F5008" s="482" t="s">
        <v>1627</v>
      </c>
      <c r="G5008" s="314" t="s">
        <v>86</v>
      </c>
      <c r="H5008" s="324"/>
      <c r="I5008" s="324"/>
      <c r="J5008" s="364" t="s">
        <v>1613</v>
      </c>
      <c r="K5008" s="365">
        <v>9431.9999999925494</v>
      </c>
      <c r="L5008" s="365"/>
    </row>
    <row r="5009" spans="1:13" ht="11.25" customHeight="1" x14ac:dyDescent="0.2">
      <c r="A5009" s="320">
        <v>2024</v>
      </c>
      <c r="B5009" s="320">
        <v>5</v>
      </c>
      <c r="C5009" s="320">
        <v>30</v>
      </c>
      <c r="D5009" s="323">
        <f t="shared" si="559"/>
        <v>45442</v>
      </c>
      <c r="E5009" s="321">
        <f t="shared" ref="E5009" si="560">DATE(A5009,B5009,C5009)</f>
        <v>45442</v>
      </c>
      <c r="F5009" s="483"/>
      <c r="G5009" s="322" t="s">
        <v>86</v>
      </c>
      <c r="H5009" s="325"/>
      <c r="I5009" s="325"/>
      <c r="J5009" s="366" t="s">
        <v>1621</v>
      </c>
      <c r="K5009" s="367"/>
      <c r="L5009" s="367">
        <f>K5008</f>
        <v>9431.9999999925494</v>
      </c>
    </row>
    <row r="5010" spans="1:13" ht="11.25" customHeight="1" x14ac:dyDescent="0.2">
      <c r="A5010" s="358">
        <v>2024</v>
      </c>
      <c r="B5010" s="358">
        <v>5</v>
      </c>
      <c r="C5010" s="358">
        <v>30</v>
      </c>
      <c r="D5010" s="312">
        <f t="shared" si="559"/>
        <v>45442</v>
      </c>
      <c r="E5010" s="313">
        <f>DATE(A5010,B5010,C5010)</f>
        <v>45442</v>
      </c>
      <c r="F5010" s="482" t="s">
        <v>1713</v>
      </c>
      <c r="G5010" s="314" t="s">
        <v>86</v>
      </c>
      <c r="H5010" s="324"/>
      <c r="I5010" s="324"/>
      <c r="J5010" s="364" t="s">
        <v>1622</v>
      </c>
      <c r="K5010" s="365">
        <v>94754.999999992549</v>
      </c>
      <c r="L5010" s="365"/>
    </row>
    <row r="5011" spans="1:13" ht="11.25" customHeight="1" x14ac:dyDescent="0.2">
      <c r="A5011" s="320">
        <v>2024</v>
      </c>
      <c r="B5011" s="320">
        <v>5</v>
      </c>
      <c r="C5011" s="320">
        <v>30</v>
      </c>
      <c r="D5011" s="323">
        <f t="shared" si="559"/>
        <v>45442</v>
      </c>
      <c r="E5011" s="321">
        <f t="shared" ref="E5011:E5031" si="561">DATE(A5011,B5011,C5011)</f>
        <v>45442</v>
      </c>
      <c r="F5011" s="483"/>
      <c r="G5011" s="322" t="s">
        <v>86</v>
      </c>
      <c r="H5011" s="325"/>
      <c r="I5011" s="325"/>
      <c r="J5011" s="366" t="s">
        <v>1614</v>
      </c>
      <c r="K5011" s="367"/>
      <c r="L5011" s="367">
        <f>K5010</f>
        <v>94754.999999992549</v>
      </c>
    </row>
    <row r="5012" spans="1:13" ht="11.25" customHeight="1" x14ac:dyDescent="0.2">
      <c r="A5012" s="236">
        <v>2024</v>
      </c>
      <c r="B5012" s="236">
        <v>5</v>
      </c>
      <c r="C5012" s="236">
        <v>30</v>
      </c>
      <c r="D5012" s="237">
        <f t="shared" si="559"/>
        <v>45442</v>
      </c>
      <c r="E5012" s="238">
        <f t="shared" si="561"/>
        <v>45442</v>
      </c>
      <c r="F5012" s="476" t="s">
        <v>1118</v>
      </c>
      <c r="G5012" s="239" t="s">
        <v>86</v>
      </c>
      <c r="H5012" s="239"/>
      <c r="I5012" s="240"/>
      <c r="J5012" s="241" t="s">
        <v>82</v>
      </c>
      <c r="K5012" s="242">
        <v>1027976.6999999955</v>
      </c>
      <c r="L5012" s="242"/>
    </row>
    <row r="5013" spans="1:13" ht="11.25" customHeight="1" x14ac:dyDescent="0.2">
      <c r="A5013" s="243">
        <v>2024</v>
      </c>
      <c r="B5013" s="243">
        <v>5</v>
      </c>
      <c r="C5013" s="243">
        <v>30</v>
      </c>
      <c r="D5013" s="248">
        <f t="shared" si="559"/>
        <v>45442</v>
      </c>
      <c r="E5013" s="249">
        <f t="shared" si="561"/>
        <v>45442</v>
      </c>
      <c r="F5013" s="477"/>
      <c r="G5013" s="244" t="s">
        <v>86</v>
      </c>
      <c r="H5013" s="244"/>
      <c r="I5013" s="245"/>
      <c r="J5013" s="246" t="s">
        <v>98</v>
      </c>
      <c r="K5013" s="247"/>
      <c r="L5013" s="247">
        <f>K5012</f>
        <v>1027976.6999999955</v>
      </c>
    </row>
    <row r="5014" spans="1:13" ht="11.25" customHeight="1" x14ac:dyDescent="0.2">
      <c r="A5014" s="236">
        <v>2024</v>
      </c>
      <c r="B5014" s="236">
        <v>5</v>
      </c>
      <c r="C5014" s="236">
        <v>30</v>
      </c>
      <c r="D5014" s="237">
        <f t="shared" si="559"/>
        <v>45442</v>
      </c>
      <c r="E5014" s="238">
        <f t="shared" si="561"/>
        <v>45442</v>
      </c>
      <c r="F5014" s="476" t="s">
        <v>1120</v>
      </c>
      <c r="G5014" s="239" t="s">
        <v>86</v>
      </c>
      <c r="H5014" s="239"/>
      <c r="I5014" s="240"/>
      <c r="J5014" s="241" t="s">
        <v>87</v>
      </c>
      <c r="K5014" s="242">
        <v>2747.2527472527472</v>
      </c>
      <c r="L5014" s="242"/>
    </row>
    <row r="5015" spans="1:13" ht="11.25" customHeight="1" x14ac:dyDescent="0.2">
      <c r="A5015" s="243">
        <v>2024</v>
      </c>
      <c r="B5015" s="243">
        <v>5</v>
      </c>
      <c r="C5015" s="243">
        <v>30</v>
      </c>
      <c r="D5015" s="248">
        <f t="shared" si="559"/>
        <v>45442</v>
      </c>
      <c r="E5015" s="249">
        <f t="shared" si="561"/>
        <v>45442</v>
      </c>
      <c r="F5015" s="477"/>
      <c r="G5015" s="244" t="s">
        <v>86</v>
      </c>
      <c r="H5015" s="244"/>
      <c r="I5015" s="245"/>
      <c r="J5015" s="246" t="s">
        <v>64</v>
      </c>
      <c r="K5015" s="247"/>
      <c r="L5015" s="247">
        <v>2747.2527472527472</v>
      </c>
    </row>
    <row r="5016" spans="1:13" ht="11.25" customHeight="1" x14ac:dyDescent="0.2">
      <c r="A5016" s="236">
        <v>2024</v>
      </c>
      <c r="B5016" s="236">
        <v>5</v>
      </c>
      <c r="C5016" s="236">
        <v>30</v>
      </c>
      <c r="D5016" s="237">
        <f t="shared" si="559"/>
        <v>45442</v>
      </c>
      <c r="E5016" s="238">
        <f t="shared" si="561"/>
        <v>45442</v>
      </c>
      <c r="F5016" s="476" t="s">
        <v>1121</v>
      </c>
      <c r="G5016" s="239" t="s">
        <v>86</v>
      </c>
      <c r="H5016" s="239"/>
      <c r="I5016" s="240"/>
      <c r="J5016" s="241" t="s">
        <v>89</v>
      </c>
      <c r="K5016" s="242">
        <f>M5016</f>
        <v>64434.810783865643</v>
      </c>
      <c r="L5016" s="242"/>
      <c r="M5016" s="156">
        <v>64434.810783865643</v>
      </c>
    </row>
    <row r="5017" spans="1:13" ht="11.25" customHeight="1" x14ac:dyDescent="0.2">
      <c r="A5017" s="243">
        <v>2024</v>
      </c>
      <c r="B5017" s="243">
        <v>5</v>
      </c>
      <c r="C5017" s="243">
        <v>30</v>
      </c>
      <c r="D5017" s="248">
        <f t="shared" si="559"/>
        <v>45442</v>
      </c>
      <c r="E5017" s="249">
        <f t="shared" si="561"/>
        <v>45442</v>
      </c>
      <c r="F5017" s="477"/>
      <c r="G5017" s="244" t="s">
        <v>86</v>
      </c>
      <c r="H5017" s="244"/>
      <c r="I5017" s="245"/>
      <c r="J5017" s="246" t="s">
        <v>50</v>
      </c>
      <c r="K5017" s="247"/>
      <c r="L5017" s="247">
        <f>K5016</f>
        <v>64434.810783865643</v>
      </c>
      <c r="M5017" s="156">
        <v>2981.3559238086673</v>
      </c>
    </row>
    <row r="5018" spans="1:13" ht="11.25" customHeight="1" x14ac:dyDescent="0.2">
      <c r="A5018" s="236">
        <v>2024</v>
      </c>
      <c r="B5018" s="236">
        <v>5</v>
      </c>
      <c r="C5018" s="236">
        <v>30</v>
      </c>
      <c r="D5018" s="237">
        <f t="shared" si="559"/>
        <v>45442</v>
      </c>
      <c r="E5018" s="238">
        <f t="shared" si="561"/>
        <v>45442</v>
      </c>
      <c r="F5018" s="476" t="s">
        <v>1122</v>
      </c>
      <c r="G5018" s="239" t="s">
        <v>86</v>
      </c>
      <c r="H5018" s="239"/>
      <c r="I5018" s="240"/>
      <c r="J5018" s="241" t="s">
        <v>91</v>
      </c>
      <c r="K5018" s="242">
        <f>M5017</f>
        <v>2981.3559238086673</v>
      </c>
      <c r="L5018" s="242"/>
    </row>
    <row r="5019" spans="1:13" ht="11.25" customHeight="1" x14ac:dyDescent="0.2">
      <c r="A5019" s="243">
        <v>2024</v>
      </c>
      <c r="B5019" s="243">
        <v>5</v>
      </c>
      <c r="C5019" s="243">
        <v>30</v>
      </c>
      <c r="D5019" s="248">
        <f t="shared" si="559"/>
        <v>45442</v>
      </c>
      <c r="E5019" s="249">
        <f t="shared" si="561"/>
        <v>45442</v>
      </c>
      <c r="F5019" s="477"/>
      <c r="G5019" s="244" t="s">
        <v>86</v>
      </c>
      <c r="H5019" s="244"/>
      <c r="I5019" s="245"/>
      <c r="J5019" s="246" t="s">
        <v>51</v>
      </c>
      <c r="K5019" s="247"/>
      <c r="L5019" s="247">
        <f>K5018</f>
        <v>2981.3559238086673</v>
      </c>
    </row>
    <row r="5020" spans="1:13" ht="11.25" customHeight="1" x14ac:dyDescent="0.2">
      <c r="A5020" s="221">
        <v>2024</v>
      </c>
      <c r="B5020" s="221">
        <v>6</v>
      </c>
      <c r="C5020" s="231">
        <v>2</v>
      </c>
      <c r="D5020" s="231">
        <f t="shared" si="559"/>
        <v>45445</v>
      </c>
      <c r="E5020" s="233">
        <f t="shared" si="561"/>
        <v>45445</v>
      </c>
      <c r="F5020" s="478" t="s">
        <v>1593</v>
      </c>
      <c r="G5020" s="222" t="s">
        <v>86</v>
      </c>
      <c r="H5020" s="222"/>
      <c r="I5020" s="223"/>
      <c r="J5020" s="224" t="s">
        <v>80</v>
      </c>
      <c r="K5020" s="225">
        <v>411850.3</v>
      </c>
      <c r="L5020" s="225"/>
    </row>
    <row r="5021" spans="1:13" ht="11.25" customHeight="1" x14ac:dyDescent="0.2">
      <c r="A5021" s="164">
        <v>2024</v>
      </c>
      <c r="B5021" s="164">
        <v>6</v>
      </c>
      <c r="C5021" s="156">
        <v>2</v>
      </c>
      <c r="D5021" s="164">
        <f t="shared" si="559"/>
        <v>45445</v>
      </c>
      <c r="E5021" s="235">
        <f t="shared" si="561"/>
        <v>45445</v>
      </c>
      <c r="F5021" s="480"/>
      <c r="G5021" s="208" t="s">
        <v>86</v>
      </c>
      <c r="H5021" s="208"/>
      <c r="J5021" s="165" t="s">
        <v>960</v>
      </c>
      <c r="K5021" s="205">
        <v>741.33</v>
      </c>
      <c r="L5021" s="205"/>
    </row>
    <row r="5022" spans="1:13" ht="11.25" customHeight="1" x14ac:dyDescent="0.2">
      <c r="A5022" s="226">
        <v>2024</v>
      </c>
      <c r="B5022" s="226">
        <v>6</v>
      </c>
      <c r="C5022" s="232">
        <v>2</v>
      </c>
      <c r="D5022" s="226">
        <f t="shared" si="559"/>
        <v>45445</v>
      </c>
      <c r="E5022" s="234">
        <f t="shared" si="561"/>
        <v>45445</v>
      </c>
      <c r="F5022" s="479"/>
      <c r="G5022" s="227" t="s">
        <v>86</v>
      </c>
      <c r="H5022" s="227"/>
      <c r="I5022" s="228"/>
      <c r="J5022" s="229" t="s">
        <v>961</v>
      </c>
      <c r="K5022" s="294"/>
      <c r="L5022" s="230">
        <v>412591.63</v>
      </c>
    </row>
    <row r="5023" spans="1:13" ht="11.25" customHeight="1" x14ac:dyDescent="0.2">
      <c r="A5023" s="221">
        <v>2024</v>
      </c>
      <c r="B5023" s="221">
        <v>6</v>
      </c>
      <c r="C5023" s="221">
        <v>2</v>
      </c>
      <c r="D5023" s="231">
        <f t="shared" si="559"/>
        <v>45445</v>
      </c>
      <c r="E5023" s="233">
        <f t="shared" si="561"/>
        <v>45445</v>
      </c>
      <c r="F5023" s="478" t="s">
        <v>1196</v>
      </c>
      <c r="G5023" s="222" t="s">
        <v>1111</v>
      </c>
      <c r="H5023" s="223"/>
      <c r="I5023" s="223"/>
      <c r="J5023" s="224" t="s">
        <v>95</v>
      </c>
      <c r="K5023" s="225">
        <v>729.46</v>
      </c>
      <c r="L5023" s="225"/>
    </row>
    <row r="5024" spans="1:13" ht="11.25" customHeight="1" x14ac:dyDescent="0.2">
      <c r="A5024" s="164">
        <v>2024</v>
      </c>
      <c r="B5024" s="164">
        <v>6</v>
      </c>
      <c r="C5024" s="164">
        <v>2</v>
      </c>
      <c r="D5024" s="156">
        <f t="shared" si="559"/>
        <v>45445</v>
      </c>
      <c r="E5024" s="235">
        <f t="shared" si="561"/>
        <v>45445</v>
      </c>
      <c r="F5024" s="480"/>
      <c r="G5024" s="208" t="s">
        <v>1111</v>
      </c>
      <c r="J5024" s="165" t="s">
        <v>478</v>
      </c>
      <c r="K5024" s="205"/>
      <c r="L5024" s="205">
        <v>72.95</v>
      </c>
    </row>
    <row r="5025" spans="1:13" ht="11.25" customHeight="1" x14ac:dyDescent="0.2">
      <c r="A5025" s="226">
        <v>2024</v>
      </c>
      <c r="B5025" s="226">
        <v>6</v>
      </c>
      <c r="C5025" s="226">
        <v>2</v>
      </c>
      <c r="D5025" s="232">
        <f t="shared" si="559"/>
        <v>45445</v>
      </c>
      <c r="E5025" s="234">
        <f t="shared" si="561"/>
        <v>45445</v>
      </c>
      <c r="F5025" s="479"/>
      <c r="G5025" s="227" t="s">
        <v>1111</v>
      </c>
      <c r="H5025" s="228"/>
      <c r="I5025" s="228"/>
      <c r="J5025" s="229" t="s">
        <v>55</v>
      </c>
      <c r="K5025" s="230"/>
      <c r="L5025" s="230">
        <v>656.51</v>
      </c>
    </row>
    <row r="5026" spans="1:13" ht="11.25" customHeight="1" x14ac:dyDescent="0.2">
      <c r="A5026" s="221">
        <v>2024</v>
      </c>
      <c r="B5026" s="221">
        <v>6</v>
      </c>
      <c r="C5026" s="221">
        <v>3</v>
      </c>
      <c r="D5026" s="231">
        <f t="shared" si="559"/>
        <v>45446</v>
      </c>
      <c r="E5026" s="233">
        <f t="shared" si="561"/>
        <v>45446</v>
      </c>
      <c r="F5026" s="478" t="s">
        <v>1735</v>
      </c>
      <c r="G5026" s="222" t="s">
        <v>1111</v>
      </c>
      <c r="H5026" s="222"/>
      <c r="I5026" s="223"/>
      <c r="J5026" s="224" t="s">
        <v>1465</v>
      </c>
      <c r="K5026" s="357">
        <v>4859115</v>
      </c>
      <c r="L5026" s="225"/>
    </row>
    <row r="5027" spans="1:13" ht="11.25" customHeight="1" x14ac:dyDescent="0.2">
      <c r="A5027" s="226">
        <v>2024</v>
      </c>
      <c r="B5027" s="226">
        <v>6</v>
      </c>
      <c r="C5027" s="226">
        <v>3</v>
      </c>
      <c r="D5027" s="226">
        <f t="shared" si="559"/>
        <v>45446</v>
      </c>
      <c r="E5027" s="234">
        <f t="shared" si="561"/>
        <v>45446</v>
      </c>
      <c r="F5027" s="479"/>
      <c r="G5027" s="227" t="s">
        <v>1111</v>
      </c>
      <c r="H5027" s="227"/>
      <c r="I5027" s="228"/>
      <c r="J5027" s="229" t="s">
        <v>55</v>
      </c>
      <c r="K5027" s="294"/>
      <c r="L5027" s="230">
        <v>4859115</v>
      </c>
    </row>
    <row r="5028" spans="1:13" ht="11.25" customHeight="1" x14ac:dyDescent="0.2">
      <c r="A5028" s="221">
        <v>2024</v>
      </c>
      <c r="B5028" s="221">
        <v>6</v>
      </c>
      <c r="C5028" s="221">
        <v>4</v>
      </c>
      <c r="D5028" s="231">
        <f t="shared" si="559"/>
        <v>45447</v>
      </c>
      <c r="E5028" s="233">
        <f t="shared" si="561"/>
        <v>45447</v>
      </c>
      <c r="F5028" s="478" t="s">
        <v>1594</v>
      </c>
      <c r="G5028" s="222" t="s">
        <v>1111</v>
      </c>
      <c r="H5028" s="223"/>
      <c r="I5028" s="223"/>
      <c r="J5028" s="224" t="s">
        <v>961</v>
      </c>
      <c r="K5028" s="225">
        <v>412591.63</v>
      </c>
      <c r="L5028" s="225"/>
    </row>
    <row r="5029" spans="1:13" ht="11.25" customHeight="1" x14ac:dyDescent="0.2">
      <c r="A5029" s="226">
        <v>2024</v>
      </c>
      <c r="B5029" s="226">
        <v>6</v>
      </c>
      <c r="C5029" s="226">
        <v>4</v>
      </c>
      <c r="D5029" s="232">
        <f t="shared" si="559"/>
        <v>45447</v>
      </c>
      <c r="E5029" s="234">
        <f t="shared" si="561"/>
        <v>45447</v>
      </c>
      <c r="F5029" s="479"/>
      <c r="G5029" s="227" t="s">
        <v>1111</v>
      </c>
      <c r="H5029" s="228"/>
      <c r="I5029" s="228"/>
      <c r="J5029" s="229" t="s">
        <v>55</v>
      </c>
      <c r="K5029" s="230"/>
      <c r="L5029" s="230">
        <v>412591.63</v>
      </c>
    </row>
    <row r="5030" spans="1:13" ht="11.25" customHeight="1" x14ac:dyDescent="0.2">
      <c r="A5030" s="280">
        <v>2024</v>
      </c>
      <c r="B5030" s="280">
        <v>6</v>
      </c>
      <c r="C5030" s="280">
        <v>6</v>
      </c>
      <c r="D5030" s="281">
        <f t="shared" si="559"/>
        <v>45449</v>
      </c>
      <c r="E5030" s="282">
        <f t="shared" si="561"/>
        <v>45449</v>
      </c>
      <c r="F5030" s="472" t="s">
        <v>1584</v>
      </c>
      <c r="G5030" s="283" t="s">
        <v>86</v>
      </c>
      <c r="H5030" s="284"/>
      <c r="I5030" s="284"/>
      <c r="J5030" s="285" t="s">
        <v>131</v>
      </c>
      <c r="K5030" s="286">
        <v>7884.6153846153848</v>
      </c>
      <c r="L5030" s="286"/>
    </row>
    <row r="5031" spans="1:13" ht="11.25" customHeight="1" x14ac:dyDescent="0.2">
      <c r="A5031" s="287">
        <v>2024</v>
      </c>
      <c r="B5031" s="287">
        <v>6</v>
      </c>
      <c r="C5031" s="287">
        <v>6</v>
      </c>
      <c r="D5031" s="288">
        <f t="shared" si="559"/>
        <v>45449</v>
      </c>
      <c r="E5031" s="289">
        <f t="shared" si="561"/>
        <v>45449</v>
      </c>
      <c r="F5031" s="473"/>
      <c r="G5031" s="290" t="s">
        <v>86</v>
      </c>
      <c r="H5031" s="291"/>
      <c r="I5031" s="291"/>
      <c r="J5031" s="292" t="s">
        <v>174</v>
      </c>
      <c r="K5031" s="293"/>
      <c r="L5031" s="293">
        <v>7884.6153846153848</v>
      </c>
    </row>
    <row r="5032" spans="1:13" ht="11.25" customHeight="1" x14ac:dyDescent="0.2">
      <c r="A5032" s="358">
        <v>2024</v>
      </c>
      <c r="B5032" s="358">
        <v>6</v>
      </c>
      <c r="C5032" s="358">
        <v>6</v>
      </c>
      <c r="D5032" s="312">
        <f t="shared" si="559"/>
        <v>45449</v>
      </c>
      <c r="E5032" s="313">
        <f>DATE(A5032,B5032,C5032)</f>
        <v>45449</v>
      </c>
      <c r="F5032" s="482" t="s">
        <v>1627</v>
      </c>
      <c r="G5032" s="314" t="s">
        <v>86</v>
      </c>
      <c r="H5032" s="324"/>
      <c r="I5032" s="324"/>
      <c r="J5032" s="364" t="s">
        <v>1621</v>
      </c>
      <c r="K5032" s="365">
        <v>103815</v>
      </c>
      <c r="L5032" s="365"/>
    </row>
    <row r="5033" spans="1:13" ht="11.25" customHeight="1" x14ac:dyDescent="0.2">
      <c r="A5033" s="320">
        <v>2024</v>
      </c>
      <c r="B5033" s="320">
        <v>6</v>
      </c>
      <c r="C5033" s="320">
        <v>6</v>
      </c>
      <c r="D5033" s="323">
        <f t="shared" si="559"/>
        <v>45449</v>
      </c>
      <c r="E5033" s="321">
        <f t="shared" ref="E5033" si="562">DATE(A5033,B5033,C5033)</f>
        <v>45449</v>
      </c>
      <c r="F5033" s="483"/>
      <c r="G5033" s="322" t="s">
        <v>86</v>
      </c>
      <c r="H5033" s="325"/>
      <c r="I5033" s="325"/>
      <c r="J5033" s="366" t="s">
        <v>1613</v>
      </c>
      <c r="K5033" s="367"/>
      <c r="L5033" s="367">
        <f>K5032</f>
        <v>103815</v>
      </c>
    </row>
    <row r="5034" spans="1:13" ht="11.25" customHeight="1" x14ac:dyDescent="0.2">
      <c r="A5034" s="358">
        <v>2024</v>
      </c>
      <c r="B5034" s="358">
        <v>6</v>
      </c>
      <c r="C5034" s="358">
        <v>6</v>
      </c>
      <c r="D5034" s="312">
        <f t="shared" si="559"/>
        <v>45449</v>
      </c>
      <c r="E5034" s="313">
        <f>DATE(A5034,B5034,C5034)</f>
        <v>45449</v>
      </c>
      <c r="F5034" s="482" t="s">
        <v>1713</v>
      </c>
      <c r="G5034" s="314" t="s">
        <v>86</v>
      </c>
      <c r="H5034" s="324"/>
      <c r="I5034" s="324"/>
      <c r="J5034" s="364" t="s">
        <v>1622</v>
      </c>
      <c r="K5034" s="365">
        <v>32905</v>
      </c>
      <c r="L5034" s="365"/>
    </row>
    <row r="5035" spans="1:13" ht="11.25" customHeight="1" x14ac:dyDescent="0.2">
      <c r="A5035" s="320">
        <v>2024</v>
      </c>
      <c r="B5035" s="320">
        <v>6</v>
      </c>
      <c r="C5035" s="320">
        <v>6</v>
      </c>
      <c r="D5035" s="323">
        <f t="shared" si="559"/>
        <v>45449</v>
      </c>
      <c r="E5035" s="321">
        <f t="shared" ref="E5035:E5067" si="563">DATE(A5035,B5035,C5035)</f>
        <v>45449</v>
      </c>
      <c r="F5035" s="483"/>
      <c r="G5035" s="322" t="s">
        <v>86</v>
      </c>
      <c r="H5035" s="325"/>
      <c r="I5035" s="325"/>
      <c r="J5035" s="366" t="s">
        <v>1614</v>
      </c>
      <c r="K5035" s="367"/>
      <c r="L5035" s="367">
        <f>K5034</f>
        <v>32905</v>
      </c>
    </row>
    <row r="5036" spans="1:13" ht="11.25" customHeight="1" x14ac:dyDescent="0.2">
      <c r="A5036" s="236">
        <v>2024</v>
      </c>
      <c r="B5036" s="236">
        <v>6</v>
      </c>
      <c r="C5036" s="236">
        <v>6</v>
      </c>
      <c r="D5036" s="237">
        <f t="shared" si="559"/>
        <v>45449</v>
      </c>
      <c r="E5036" s="238">
        <f t="shared" si="563"/>
        <v>45449</v>
      </c>
      <c r="F5036" s="476" t="s">
        <v>1118</v>
      </c>
      <c r="G5036" s="239" t="s">
        <v>86</v>
      </c>
      <c r="H5036" s="239"/>
      <c r="I5036" s="240"/>
      <c r="J5036" s="241" t="s">
        <v>98</v>
      </c>
      <c r="K5036" s="242">
        <v>78296.59999999404</v>
      </c>
      <c r="L5036" s="242"/>
    </row>
    <row r="5037" spans="1:13" ht="11.25" customHeight="1" x14ac:dyDescent="0.2">
      <c r="A5037" s="243">
        <v>2024</v>
      </c>
      <c r="B5037" s="243">
        <v>6</v>
      </c>
      <c r="C5037" s="243">
        <v>6</v>
      </c>
      <c r="D5037" s="248">
        <f t="shared" si="559"/>
        <v>45449</v>
      </c>
      <c r="E5037" s="249">
        <f t="shared" si="563"/>
        <v>45449</v>
      </c>
      <c r="F5037" s="477"/>
      <c r="G5037" s="244" t="s">
        <v>86</v>
      </c>
      <c r="H5037" s="244"/>
      <c r="I5037" s="245"/>
      <c r="J5037" s="246" t="s">
        <v>82</v>
      </c>
      <c r="K5037" s="247"/>
      <c r="L5037" s="247">
        <f>K5036</f>
        <v>78296.59999999404</v>
      </c>
    </row>
    <row r="5038" spans="1:13" ht="11.25" customHeight="1" x14ac:dyDescent="0.2">
      <c r="A5038" s="236">
        <v>2024</v>
      </c>
      <c r="B5038" s="236">
        <v>6</v>
      </c>
      <c r="C5038" s="236">
        <v>6</v>
      </c>
      <c r="D5038" s="237">
        <f t="shared" si="559"/>
        <v>45449</v>
      </c>
      <c r="E5038" s="238">
        <f t="shared" si="563"/>
        <v>45449</v>
      </c>
      <c r="F5038" s="476" t="s">
        <v>1120</v>
      </c>
      <c r="G5038" s="239" t="s">
        <v>86</v>
      </c>
      <c r="H5038" s="239"/>
      <c r="I5038" s="240"/>
      <c r="J5038" s="241" t="s">
        <v>87</v>
      </c>
      <c r="K5038" s="242">
        <v>2747.2527472527472</v>
      </c>
      <c r="L5038" s="242"/>
    </row>
    <row r="5039" spans="1:13" ht="11.25" customHeight="1" x14ac:dyDescent="0.2">
      <c r="A5039" s="243">
        <v>2024</v>
      </c>
      <c r="B5039" s="243">
        <v>6</v>
      </c>
      <c r="C5039" s="243">
        <v>6</v>
      </c>
      <c r="D5039" s="248">
        <f t="shared" si="559"/>
        <v>45449</v>
      </c>
      <c r="E5039" s="249">
        <f t="shared" si="563"/>
        <v>45449</v>
      </c>
      <c r="F5039" s="477"/>
      <c r="G5039" s="244" t="s">
        <v>86</v>
      </c>
      <c r="H5039" s="244"/>
      <c r="I5039" s="245"/>
      <c r="J5039" s="246" t="s">
        <v>64</v>
      </c>
      <c r="K5039" s="247"/>
      <c r="L5039" s="247">
        <v>2747.2527472527472</v>
      </c>
    </row>
    <row r="5040" spans="1:13" ht="11.25" customHeight="1" x14ac:dyDescent="0.2">
      <c r="A5040" s="236">
        <v>2024</v>
      </c>
      <c r="B5040" s="236">
        <v>6</v>
      </c>
      <c r="C5040" s="236">
        <v>6</v>
      </c>
      <c r="D5040" s="237">
        <f t="shared" si="559"/>
        <v>45449</v>
      </c>
      <c r="E5040" s="238">
        <f t="shared" si="563"/>
        <v>45449</v>
      </c>
      <c r="F5040" s="476" t="s">
        <v>1121</v>
      </c>
      <c r="G5040" s="239" t="s">
        <v>86</v>
      </c>
      <c r="H5040" s="239"/>
      <c r="I5040" s="240"/>
      <c r="J5040" s="241" t="s">
        <v>89</v>
      </c>
      <c r="K5040" s="242">
        <f>M5040</f>
        <v>64492.990401530908</v>
      </c>
      <c r="L5040" s="242"/>
      <c r="M5040" s="156">
        <v>64492.990401530908</v>
      </c>
    </row>
    <row r="5041" spans="1:13" ht="11.25" customHeight="1" x14ac:dyDescent="0.2">
      <c r="A5041" s="243">
        <v>2024</v>
      </c>
      <c r="B5041" s="243">
        <v>6</v>
      </c>
      <c r="C5041" s="243">
        <v>6</v>
      </c>
      <c r="D5041" s="248">
        <f t="shared" si="559"/>
        <v>45449</v>
      </c>
      <c r="E5041" s="249">
        <f t="shared" si="563"/>
        <v>45449</v>
      </c>
      <c r="F5041" s="477"/>
      <c r="G5041" s="244" t="s">
        <v>86</v>
      </c>
      <c r="H5041" s="244"/>
      <c r="I5041" s="245"/>
      <c r="J5041" s="246" t="s">
        <v>50</v>
      </c>
      <c r="K5041" s="247"/>
      <c r="L5041" s="247">
        <f>K5040</f>
        <v>64492.990401530908</v>
      </c>
      <c r="M5041" s="156">
        <v>2984.26490469193</v>
      </c>
    </row>
    <row r="5042" spans="1:13" ht="11.25" customHeight="1" x14ac:dyDescent="0.2">
      <c r="A5042" s="236">
        <v>2024</v>
      </c>
      <c r="B5042" s="236">
        <v>6</v>
      </c>
      <c r="C5042" s="236">
        <v>6</v>
      </c>
      <c r="D5042" s="237">
        <f t="shared" si="559"/>
        <v>45449</v>
      </c>
      <c r="E5042" s="238">
        <f t="shared" si="563"/>
        <v>45449</v>
      </c>
      <c r="F5042" s="476" t="s">
        <v>1122</v>
      </c>
      <c r="G5042" s="239" t="s">
        <v>86</v>
      </c>
      <c r="H5042" s="239"/>
      <c r="I5042" s="240"/>
      <c r="J5042" s="241" t="s">
        <v>91</v>
      </c>
      <c r="K5042" s="242">
        <f>M5041</f>
        <v>2984.26490469193</v>
      </c>
      <c r="L5042" s="242"/>
    </row>
    <row r="5043" spans="1:13" ht="11.25" customHeight="1" x14ac:dyDescent="0.2">
      <c r="A5043" s="243">
        <v>2024</v>
      </c>
      <c r="B5043" s="243">
        <v>6</v>
      </c>
      <c r="C5043" s="243">
        <v>6</v>
      </c>
      <c r="D5043" s="248">
        <f t="shared" si="559"/>
        <v>45449</v>
      </c>
      <c r="E5043" s="249">
        <f t="shared" si="563"/>
        <v>45449</v>
      </c>
      <c r="F5043" s="477"/>
      <c r="G5043" s="244" t="s">
        <v>86</v>
      </c>
      <c r="H5043" s="244"/>
      <c r="I5043" s="245"/>
      <c r="J5043" s="246" t="s">
        <v>51</v>
      </c>
      <c r="K5043" s="247"/>
      <c r="L5043" s="247">
        <f>K5042</f>
        <v>2984.26490469193</v>
      </c>
    </row>
    <row r="5044" spans="1:13" ht="11.25" customHeight="1" x14ac:dyDescent="0.2">
      <c r="A5044" s="221">
        <v>2024</v>
      </c>
      <c r="B5044" s="221">
        <v>6</v>
      </c>
      <c r="C5044" s="221">
        <v>9</v>
      </c>
      <c r="D5044" s="221">
        <f t="shared" si="559"/>
        <v>45452</v>
      </c>
      <c r="E5044" s="233">
        <f>DATE(A5044,B5044,C5044)</f>
        <v>45452</v>
      </c>
      <c r="F5044" s="478" t="s">
        <v>1589</v>
      </c>
      <c r="G5044" s="222" t="s">
        <v>86</v>
      </c>
      <c r="H5044" s="222"/>
      <c r="I5044" s="223"/>
      <c r="J5044" s="165" t="s">
        <v>199</v>
      </c>
      <c r="K5044" s="225">
        <v>113139.98</v>
      </c>
      <c r="L5044" s="225"/>
    </row>
    <row r="5045" spans="1:13" ht="11.25" customHeight="1" x14ac:dyDescent="0.2">
      <c r="A5045" s="164">
        <v>2024</v>
      </c>
      <c r="B5045" s="164">
        <v>6</v>
      </c>
      <c r="C5045" s="164">
        <v>9</v>
      </c>
      <c r="D5045" s="164">
        <f t="shared" si="559"/>
        <v>45452</v>
      </c>
      <c r="E5045" s="235">
        <f>DATE(A5045,B5045,C5045)</f>
        <v>45452</v>
      </c>
      <c r="F5045" s="480"/>
      <c r="G5045" s="208" t="s">
        <v>86</v>
      </c>
      <c r="H5045" s="208"/>
      <c r="J5045" s="165" t="s">
        <v>960</v>
      </c>
      <c r="K5045" s="205">
        <v>204.02</v>
      </c>
      <c r="L5045" s="205"/>
    </row>
    <row r="5046" spans="1:13" ht="11.25" customHeight="1" x14ac:dyDescent="0.2">
      <c r="A5046" s="164">
        <v>2024</v>
      </c>
      <c r="B5046" s="164">
        <v>6</v>
      </c>
      <c r="C5046" s="164">
        <v>9</v>
      </c>
      <c r="D5046" s="164">
        <f t="shared" si="559"/>
        <v>45452</v>
      </c>
      <c r="E5046" s="235">
        <f>DATE(A5046,B5046,C5046)</f>
        <v>45452</v>
      </c>
      <c r="F5046" s="480"/>
      <c r="G5046" s="208" t="s">
        <v>86</v>
      </c>
      <c r="H5046" s="208"/>
      <c r="J5046" s="165" t="s">
        <v>200</v>
      </c>
      <c r="K5046" s="205"/>
      <c r="L5046" s="205">
        <v>87584</v>
      </c>
    </row>
    <row r="5047" spans="1:13" ht="11.25" customHeight="1" x14ac:dyDescent="0.2">
      <c r="A5047" s="226">
        <v>2024</v>
      </c>
      <c r="B5047" s="226">
        <v>6</v>
      </c>
      <c r="C5047" s="226">
        <v>9</v>
      </c>
      <c r="D5047" s="226">
        <f t="shared" si="559"/>
        <v>45452</v>
      </c>
      <c r="E5047" s="234">
        <f>DATE(A5047,B5047,C5047)</f>
        <v>45452</v>
      </c>
      <c r="F5047" s="479"/>
      <c r="G5047" s="227" t="s">
        <v>86</v>
      </c>
      <c r="H5047" s="228"/>
      <c r="I5047" s="228"/>
      <c r="J5047" s="229" t="s">
        <v>80</v>
      </c>
      <c r="K5047" s="230"/>
      <c r="L5047" s="230">
        <v>25760</v>
      </c>
    </row>
    <row r="5048" spans="1:13" ht="11.25" customHeight="1" x14ac:dyDescent="0.2">
      <c r="A5048" s="221">
        <v>2024</v>
      </c>
      <c r="B5048" s="221">
        <v>6</v>
      </c>
      <c r="C5048" s="231">
        <v>10</v>
      </c>
      <c r="D5048" s="231">
        <f t="shared" si="559"/>
        <v>45453</v>
      </c>
      <c r="E5048" s="233">
        <f t="shared" si="563"/>
        <v>45453</v>
      </c>
      <c r="F5048" s="478" t="s">
        <v>1115</v>
      </c>
      <c r="G5048" s="222" t="s">
        <v>1111</v>
      </c>
      <c r="H5048" s="223"/>
      <c r="I5048" s="223" t="s">
        <v>838</v>
      </c>
      <c r="J5048" s="224" t="s">
        <v>14</v>
      </c>
      <c r="K5048" s="167">
        <v>51140</v>
      </c>
      <c r="L5048" s="225"/>
    </row>
    <row r="5049" spans="1:13" ht="11.25" customHeight="1" x14ac:dyDescent="0.2">
      <c r="A5049" s="164">
        <v>2024</v>
      </c>
      <c r="B5049" s="164">
        <v>6</v>
      </c>
      <c r="C5049" s="156">
        <v>10</v>
      </c>
      <c r="D5049" s="156">
        <f t="shared" si="559"/>
        <v>45453</v>
      </c>
      <c r="E5049" s="235">
        <f t="shared" si="563"/>
        <v>45453</v>
      </c>
      <c r="F5049" s="480"/>
      <c r="G5049" s="208" t="s">
        <v>1111</v>
      </c>
      <c r="I5049" s="206" t="s">
        <v>838</v>
      </c>
      <c r="J5049" s="165" t="s">
        <v>1112</v>
      </c>
      <c r="L5049" s="205">
        <v>956.32</v>
      </c>
    </row>
    <row r="5050" spans="1:13" ht="11.25" customHeight="1" x14ac:dyDescent="0.2">
      <c r="A5050" s="226">
        <v>2024</v>
      </c>
      <c r="B5050" s="226">
        <v>6</v>
      </c>
      <c r="C5050" s="232">
        <v>10</v>
      </c>
      <c r="D5050" s="232">
        <f t="shared" si="559"/>
        <v>45453</v>
      </c>
      <c r="E5050" s="234">
        <f t="shared" si="563"/>
        <v>45453</v>
      </c>
      <c r="F5050" s="479"/>
      <c r="G5050" s="227" t="s">
        <v>1111</v>
      </c>
      <c r="H5050" s="228"/>
      <c r="I5050" s="228" t="s">
        <v>838</v>
      </c>
      <c r="J5050" s="229" t="s">
        <v>55</v>
      </c>
      <c r="K5050" s="230"/>
      <c r="L5050" s="230">
        <v>50183.68</v>
      </c>
    </row>
    <row r="5051" spans="1:13" ht="11.25" customHeight="1" x14ac:dyDescent="0.2">
      <c r="A5051" s="221">
        <v>2024</v>
      </c>
      <c r="B5051" s="221">
        <v>6</v>
      </c>
      <c r="C5051" s="221">
        <v>10</v>
      </c>
      <c r="D5051" s="221">
        <f t="shared" si="559"/>
        <v>45453</v>
      </c>
      <c r="E5051" s="233">
        <f t="shared" si="563"/>
        <v>45453</v>
      </c>
      <c r="F5051" s="478" t="s">
        <v>1738</v>
      </c>
      <c r="G5051" s="222" t="s">
        <v>1111</v>
      </c>
      <c r="H5051" s="222"/>
      <c r="I5051" s="223"/>
      <c r="J5051" s="224" t="s">
        <v>50</v>
      </c>
      <c r="K5051" s="225">
        <v>866288.08</v>
      </c>
      <c r="L5051" s="225"/>
    </row>
    <row r="5052" spans="1:13" ht="11.25" customHeight="1" x14ac:dyDescent="0.2">
      <c r="A5052" s="226">
        <v>2024</v>
      </c>
      <c r="B5052" s="226">
        <v>6</v>
      </c>
      <c r="C5052" s="226">
        <v>10</v>
      </c>
      <c r="D5052" s="226">
        <f t="shared" si="559"/>
        <v>45453</v>
      </c>
      <c r="E5052" s="234">
        <f t="shared" si="563"/>
        <v>45453</v>
      </c>
      <c r="F5052" s="479"/>
      <c r="G5052" s="227" t="s">
        <v>1111</v>
      </c>
      <c r="H5052" s="227"/>
      <c r="I5052" s="228"/>
      <c r="J5052" s="229" t="s">
        <v>55</v>
      </c>
      <c r="K5052" s="230"/>
      <c r="L5052" s="230">
        <v>866288.08</v>
      </c>
    </row>
    <row r="5053" spans="1:13" ht="11.25" customHeight="1" x14ac:dyDescent="0.2">
      <c r="A5053" s="221">
        <v>2024</v>
      </c>
      <c r="B5053" s="231">
        <v>6</v>
      </c>
      <c r="C5053" s="231">
        <v>10</v>
      </c>
      <c r="D5053" s="231">
        <f t="shared" si="559"/>
        <v>45453</v>
      </c>
      <c r="E5053" s="233">
        <f t="shared" si="563"/>
        <v>45453</v>
      </c>
      <c r="F5053" s="478" t="s">
        <v>1733</v>
      </c>
      <c r="G5053" s="222" t="s">
        <v>1111</v>
      </c>
      <c r="H5053" s="222"/>
      <c r="I5053" s="223"/>
      <c r="J5053" s="224" t="s">
        <v>55</v>
      </c>
      <c r="K5053" s="357">
        <v>14817645</v>
      </c>
      <c r="L5053" s="225"/>
    </row>
    <row r="5054" spans="1:13" ht="11.25" customHeight="1" x14ac:dyDescent="0.2">
      <c r="A5054" s="164">
        <v>2024</v>
      </c>
      <c r="B5054" s="156">
        <v>6</v>
      </c>
      <c r="C5054" s="156">
        <v>10</v>
      </c>
      <c r="D5054" s="164">
        <f t="shared" si="559"/>
        <v>45453</v>
      </c>
      <c r="E5054" s="235">
        <f t="shared" si="563"/>
        <v>45453</v>
      </c>
      <c r="F5054" s="480"/>
      <c r="G5054" s="208" t="s">
        <v>1111</v>
      </c>
      <c r="H5054" s="208"/>
      <c r="J5054" s="165" t="s">
        <v>1617</v>
      </c>
      <c r="K5054" s="263"/>
      <c r="L5054" s="205">
        <v>230245</v>
      </c>
    </row>
    <row r="5055" spans="1:13" ht="11.25" customHeight="1" x14ac:dyDescent="0.2">
      <c r="A5055" s="226">
        <v>2024</v>
      </c>
      <c r="B5055" s="232">
        <v>6</v>
      </c>
      <c r="C5055" s="232">
        <v>10</v>
      </c>
      <c r="D5055" s="226">
        <f t="shared" si="559"/>
        <v>45453</v>
      </c>
      <c r="E5055" s="234">
        <f t="shared" si="563"/>
        <v>45453</v>
      </c>
      <c r="F5055" s="479"/>
      <c r="G5055" s="227" t="s">
        <v>1111</v>
      </c>
      <c r="H5055" s="227"/>
      <c r="I5055" s="228"/>
      <c r="J5055" s="229" t="s">
        <v>1465</v>
      </c>
      <c r="K5055" s="294"/>
      <c r="L5055" s="230">
        <v>14587400</v>
      </c>
    </row>
    <row r="5056" spans="1:13" ht="11.25" customHeight="1" x14ac:dyDescent="0.2">
      <c r="A5056" s="221">
        <v>2024</v>
      </c>
      <c r="B5056" s="221">
        <v>6</v>
      </c>
      <c r="C5056" s="221">
        <v>11</v>
      </c>
      <c r="D5056" s="231">
        <f t="shared" si="559"/>
        <v>45454</v>
      </c>
      <c r="E5056" s="233">
        <f t="shared" si="563"/>
        <v>45454</v>
      </c>
      <c r="F5056" s="478" t="s">
        <v>1670</v>
      </c>
      <c r="G5056" s="222" t="s">
        <v>1111</v>
      </c>
      <c r="H5056" s="223"/>
      <c r="I5056" s="223"/>
      <c r="J5056" s="224" t="s">
        <v>63</v>
      </c>
      <c r="K5056" s="225">
        <v>10</v>
      </c>
      <c r="L5056" s="225"/>
    </row>
    <row r="5057" spans="1:12" ht="11.25" customHeight="1" x14ac:dyDescent="0.2">
      <c r="A5057" s="226">
        <v>2024</v>
      </c>
      <c r="B5057" s="226">
        <v>6</v>
      </c>
      <c r="C5057" s="226">
        <v>11</v>
      </c>
      <c r="D5057" s="232">
        <f t="shared" si="559"/>
        <v>45454</v>
      </c>
      <c r="E5057" s="234">
        <f t="shared" si="563"/>
        <v>45454</v>
      </c>
      <c r="F5057" s="479"/>
      <c r="G5057" s="227" t="s">
        <v>1111</v>
      </c>
      <c r="H5057" s="228"/>
      <c r="I5057" s="228"/>
      <c r="J5057" s="229" t="s">
        <v>55</v>
      </c>
      <c r="K5057" s="230"/>
      <c r="L5057" s="230">
        <v>10</v>
      </c>
    </row>
    <row r="5058" spans="1:12" ht="11.25" customHeight="1" x14ac:dyDescent="0.2">
      <c r="A5058" s="221">
        <v>2024</v>
      </c>
      <c r="B5058" s="221">
        <v>6</v>
      </c>
      <c r="C5058" s="221">
        <v>11</v>
      </c>
      <c r="D5058" s="231">
        <f t="shared" si="559"/>
        <v>45454</v>
      </c>
      <c r="E5058" s="233">
        <f t="shared" si="563"/>
        <v>45454</v>
      </c>
      <c r="F5058" s="478" t="s">
        <v>1590</v>
      </c>
      <c r="G5058" s="222" t="s">
        <v>1111</v>
      </c>
      <c r="H5058" s="223"/>
      <c r="I5058" s="223"/>
      <c r="J5058" s="224" t="s">
        <v>55</v>
      </c>
      <c r="K5058" s="225">
        <v>113139.98</v>
      </c>
      <c r="L5058" s="225"/>
    </row>
    <row r="5059" spans="1:12" ht="11.25" customHeight="1" x14ac:dyDescent="0.2">
      <c r="A5059" s="226">
        <v>2024</v>
      </c>
      <c r="B5059" s="226">
        <v>6</v>
      </c>
      <c r="C5059" s="226">
        <v>11</v>
      </c>
      <c r="D5059" s="232">
        <f t="shared" si="559"/>
        <v>45454</v>
      </c>
      <c r="E5059" s="234">
        <f t="shared" si="563"/>
        <v>45454</v>
      </c>
      <c r="F5059" s="479"/>
      <c r="G5059" s="227" t="s">
        <v>1111</v>
      </c>
      <c r="H5059" s="228"/>
      <c r="I5059" s="228"/>
      <c r="J5059" s="229" t="s">
        <v>199</v>
      </c>
      <c r="K5059" s="230"/>
      <c r="L5059" s="230">
        <v>113139.98</v>
      </c>
    </row>
    <row r="5060" spans="1:12" ht="11.25" customHeight="1" x14ac:dyDescent="0.2">
      <c r="A5060" s="221">
        <v>2024</v>
      </c>
      <c r="B5060" s="221">
        <v>6</v>
      </c>
      <c r="C5060" s="231">
        <v>11</v>
      </c>
      <c r="D5060" s="231">
        <f t="shared" si="559"/>
        <v>45454</v>
      </c>
      <c r="E5060" s="233">
        <f t="shared" si="563"/>
        <v>45454</v>
      </c>
      <c r="F5060" s="478" t="s">
        <v>802</v>
      </c>
      <c r="G5060" s="222" t="s">
        <v>1111</v>
      </c>
      <c r="H5060" s="223"/>
      <c r="I5060" s="223"/>
      <c r="J5060" s="224" t="s">
        <v>55</v>
      </c>
      <c r="K5060" s="167">
        <v>50000</v>
      </c>
      <c r="L5060" s="225"/>
    </row>
    <row r="5061" spans="1:12" ht="11.25" customHeight="1" x14ac:dyDescent="0.2">
      <c r="A5061" s="164">
        <v>2024</v>
      </c>
      <c r="B5061" s="164">
        <v>6</v>
      </c>
      <c r="C5061" s="156">
        <v>11</v>
      </c>
      <c r="D5061" s="156">
        <f t="shared" si="559"/>
        <v>45454</v>
      </c>
      <c r="E5061" s="235">
        <f t="shared" si="563"/>
        <v>45454</v>
      </c>
      <c r="F5061" s="480"/>
      <c r="G5061" s="208" t="s">
        <v>1111</v>
      </c>
      <c r="J5061" s="165" t="s">
        <v>14</v>
      </c>
      <c r="L5061" s="418">
        <v>50950</v>
      </c>
    </row>
    <row r="5062" spans="1:12" ht="11.25" customHeight="1" x14ac:dyDescent="0.2">
      <c r="A5062" s="226">
        <v>2024</v>
      </c>
      <c r="B5062" s="226">
        <v>6</v>
      </c>
      <c r="C5062" s="232">
        <v>11</v>
      </c>
      <c r="D5062" s="232">
        <f t="shared" si="559"/>
        <v>45454</v>
      </c>
      <c r="E5062" s="234">
        <f t="shared" si="563"/>
        <v>45454</v>
      </c>
      <c r="F5062" s="479"/>
      <c r="G5062" s="227" t="s">
        <v>1111</v>
      </c>
      <c r="H5062" s="228"/>
      <c r="I5062" s="228"/>
      <c r="J5062" s="229" t="s">
        <v>1112</v>
      </c>
      <c r="K5062" s="230">
        <v>950</v>
      </c>
      <c r="L5062" s="230"/>
    </row>
    <row r="5063" spans="1:12" ht="11.25" customHeight="1" x14ac:dyDescent="0.2">
      <c r="A5063" s="221">
        <v>2024</v>
      </c>
      <c r="B5063" s="221">
        <v>6</v>
      </c>
      <c r="C5063" s="231">
        <v>11</v>
      </c>
      <c r="D5063" s="231">
        <f t="shared" si="559"/>
        <v>45454</v>
      </c>
      <c r="E5063" s="233">
        <f t="shared" si="563"/>
        <v>45454</v>
      </c>
      <c r="F5063" s="478" t="s">
        <v>1593</v>
      </c>
      <c r="G5063" s="222" t="s">
        <v>86</v>
      </c>
      <c r="H5063" s="222"/>
      <c r="I5063" s="223"/>
      <c r="J5063" s="224" t="s">
        <v>80</v>
      </c>
      <c r="K5063" s="225">
        <v>396000</v>
      </c>
      <c r="L5063" s="225"/>
    </row>
    <row r="5064" spans="1:12" ht="11.25" customHeight="1" x14ac:dyDescent="0.2">
      <c r="A5064" s="164">
        <v>2024</v>
      </c>
      <c r="B5064" s="164">
        <v>6</v>
      </c>
      <c r="C5064" s="156">
        <v>11</v>
      </c>
      <c r="D5064" s="164">
        <f t="shared" si="559"/>
        <v>45454</v>
      </c>
      <c r="E5064" s="235">
        <f t="shared" si="563"/>
        <v>45454</v>
      </c>
      <c r="F5064" s="480"/>
      <c r="G5064" s="208" t="s">
        <v>86</v>
      </c>
      <c r="H5064" s="208"/>
      <c r="J5064" s="165" t="s">
        <v>960</v>
      </c>
      <c r="K5064" s="205">
        <v>712.8</v>
      </c>
      <c r="L5064" s="205"/>
    </row>
    <row r="5065" spans="1:12" ht="11.25" customHeight="1" x14ac:dyDescent="0.2">
      <c r="A5065" s="226">
        <v>2024</v>
      </c>
      <c r="B5065" s="226">
        <v>6</v>
      </c>
      <c r="C5065" s="232">
        <v>11</v>
      </c>
      <c r="D5065" s="226">
        <f t="shared" ref="D5065:D5128" si="564">DATE(A5065,B5065,C5065)</f>
        <v>45454</v>
      </c>
      <c r="E5065" s="234">
        <f t="shared" si="563"/>
        <v>45454</v>
      </c>
      <c r="F5065" s="479"/>
      <c r="G5065" s="227" t="s">
        <v>86</v>
      </c>
      <c r="H5065" s="227"/>
      <c r="I5065" s="228"/>
      <c r="J5065" s="229" t="s">
        <v>961</v>
      </c>
      <c r="K5065" s="294"/>
      <c r="L5065" s="230">
        <v>396712.8</v>
      </c>
    </row>
    <row r="5066" spans="1:12" ht="11.25" customHeight="1" x14ac:dyDescent="0.2">
      <c r="A5066" s="221">
        <v>2024</v>
      </c>
      <c r="B5066" s="221">
        <v>6</v>
      </c>
      <c r="C5066" s="221">
        <v>12</v>
      </c>
      <c r="D5066" s="231">
        <f t="shared" si="564"/>
        <v>45455</v>
      </c>
      <c r="E5066" s="233">
        <f t="shared" si="563"/>
        <v>45455</v>
      </c>
      <c r="F5066" s="478" t="s">
        <v>1739</v>
      </c>
      <c r="G5066" s="222" t="s">
        <v>1111</v>
      </c>
      <c r="H5066" s="223"/>
      <c r="I5066" s="223"/>
      <c r="J5066" s="224" t="s">
        <v>55</v>
      </c>
      <c r="K5066" s="225">
        <v>666421</v>
      </c>
      <c r="L5066" s="225"/>
    </row>
    <row r="5067" spans="1:12" ht="11.25" customHeight="1" x14ac:dyDescent="0.2">
      <c r="A5067" s="226">
        <v>2024</v>
      </c>
      <c r="B5067" s="226">
        <v>6</v>
      </c>
      <c r="C5067" s="226">
        <v>12</v>
      </c>
      <c r="D5067" s="232">
        <f t="shared" si="564"/>
        <v>45455</v>
      </c>
      <c r="E5067" s="234">
        <f t="shared" si="563"/>
        <v>45455</v>
      </c>
      <c r="F5067" s="479"/>
      <c r="G5067" s="227" t="s">
        <v>1111</v>
      </c>
      <c r="H5067" s="228"/>
      <c r="I5067" s="228"/>
      <c r="J5067" s="229" t="s">
        <v>192</v>
      </c>
      <c r="K5067" s="230"/>
      <c r="L5067" s="230">
        <v>666421</v>
      </c>
    </row>
    <row r="5068" spans="1:12" ht="11.25" customHeight="1" x14ac:dyDescent="0.2">
      <c r="A5068" s="221">
        <v>2024</v>
      </c>
      <c r="B5068" s="221">
        <v>6</v>
      </c>
      <c r="C5068" s="231">
        <v>12</v>
      </c>
      <c r="D5068" s="231">
        <f t="shared" si="564"/>
        <v>45455</v>
      </c>
      <c r="E5068" s="233">
        <f t="shared" ref="E5068:E5083" si="565">DATE(A5068,B5068,C5068)</f>
        <v>45455</v>
      </c>
      <c r="F5068" s="478" t="s">
        <v>1115</v>
      </c>
      <c r="G5068" s="222" t="s">
        <v>1111</v>
      </c>
      <c r="H5068" s="223"/>
      <c r="I5068" s="223" t="s">
        <v>320</v>
      </c>
      <c r="J5068" s="224" t="s">
        <v>14</v>
      </c>
      <c r="K5068" s="167">
        <v>186680</v>
      </c>
      <c r="L5068" s="418"/>
    </row>
    <row r="5069" spans="1:12" ht="11.25" customHeight="1" x14ac:dyDescent="0.2">
      <c r="A5069" s="164">
        <v>2024</v>
      </c>
      <c r="B5069" s="164">
        <v>6</v>
      </c>
      <c r="C5069" s="156">
        <v>12</v>
      </c>
      <c r="D5069" s="156">
        <f t="shared" si="564"/>
        <v>45455</v>
      </c>
      <c r="E5069" s="235">
        <f t="shared" si="565"/>
        <v>45455</v>
      </c>
      <c r="F5069" s="480"/>
      <c r="G5069" s="208" t="s">
        <v>1111</v>
      </c>
      <c r="I5069" s="206" t="s">
        <v>320</v>
      </c>
      <c r="J5069" s="165" t="s">
        <v>1112</v>
      </c>
      <c r="L5069" s="205">
        <v>3486.79000000001</v>
      </c>
    </row>
    <row r="5070" spans="1:12" ht="11.25" customHeight="1" x14ac:dyDescent="0.2">
      <c r="A5070" s="226">
        <v>2024</v>
      </c>
      <c r="B5070" s="226">
        <v>6</v>
      </c>
      <c r="C5070" s="232">
        <v>12</v>
      </c>
      <c r="D5070" s="232">
        <f t="shared" si="564"/>
        <v>45455</v>
      </c>
      <c r="E5070" s="234">
        <f t="shared" si="565"/>
        <v>45455</v>
      </c>
      <c r="F5070" s="479"/>
      <c r="G5070" s="227" t="s">
        <v>1111</v>
      </c>
      <c r="H5070" s="228"/>
      <c r="I5070" s="228" t="s">
        <v>320</v>
      </c>
      <c r="J5070" s="229" t="s">
        <v>55</v>
      </c>
      <c r="K5070" s="230"/>
      <c r="L5070" s="230">
        <v>183193.21</v>
      </c>
    </row>
    <row r="5071" spans="1:12" ht="11.25" customHeight="1" x14ac:dyDescent="0.2">
      <c r="A5071" s="221">
        <v>2024</v>
      </c>
      <c r="B5071" s="221">
        <v>6</v>
      </c>
      <c r="C5071" s="221">
        <v>12</v>
      </c>
      <c r="D5071" s="221">
        <f t="shared" si="564"/>
        <v>45455</v>
      </c>
      <c r="E5071" s="233">
        <f t="shared" si="565"/>
        <v>45455</v>
      </c>
      <c r="F5071" s="478" t="s">
        <v>1740</v>
      </c>
      <c r="G5071" s="222" t="s">
        <v>1111</v>
      </c>
      <c r="H5071" s="222"/>
      <c r="I5071" s="223"/>
      <c r="J5071" s="224" t="s">
        <v>55</v>
      </c>
      <c r="K5071" s="225">
        <v>129943.21</v>
      </c>
      <c r="L5071" s="225"/>
    </row>
    <row r="5072" spans="1:12" ht="11.25" customHeight="1" x14ac:dyDescent="0.2">
      <c r="A5072" s="226">
        <v>2024</v>
      </c>
      <c r="B5072" s="226">
        <v>6</v>
      </c>
      <c r="C5072" s="226">
        <v>12</v>
      </c>
      <c r="D5072" s="226">
        <f t="shared" si="564"/>
        <v>45455</v>
      </c>
      <c r="E5072" s="234">
        <f t="shared" si="565"/>
        <v>45455</v>
      </c>
      <c r="F5072" s="479"/>
      <c r="G5072" s="227" t="s">
        <v>1111</v>
      </c>
      <c r="H5072" s="227"/>
      <c r="I5072" s="228"/>
      <c r="J5072" s="229" t="s">
        <v>478</v>
      </c>
      <c r="K5072" s="230"/>
      <c r="L5072" s="230">
        <v>129943.21</v>
      </c>
    </row>
    <row r="5073" spans="1:12" ht="11.25" customHeight="1" x14ac:dyDescent="0.2">
      <c r="A5073" s="221">
        <v>2024</v>
      </c>
      <c r="B5073" s="221">
        <v>6</v>
      </c>
      <c r="C5073" s="221">
        <v>12</v>
      </c>
      <c r="D5073" s="231">
        <f t="shared" si="564"/>
        <v>45455</v>
      </c>
      <c r="E5073" s="233">
        <f t="shared" si="565"/>
        <v>45455</v>
      </c>
      <c r="F5073" s="478" t="s">
        <v>1751</v>
      </c>
      <c r="G5073" s="222" t="s">
        <v>1111</v>
      </c>
      <c r="H5073" s="223"/>
      <c r="I5073" s="223"/>
      <c r="J5073" s="224" t="s">
        <v>88</v>
      </c>
      <c r="K5073" s="225">
        <v>4500000</v>
      </c>
      <c r="L5073" s="225"/>
    </row>
    <row r="5074" spans="1:12" ht="11.25" customHeight="1" x14ac:dyDescent="0.2">
      <c r="A5074" s="226">
        <v>2024</v>
      </c>
      <c r="B5074" s="226">
        <v>6</v>
      </c>
      <c r="C5074" s="226">
        <v>12</v>
      </c>
      <c r="D5074" s="232">
        <f t="shared" si="564"/>
        <v>45455</v>
      </c>
      <c r="E5074" s="234">
        <f t="shared" si="565"/>
        <v>45455</v>
      </c>
      <c r="F5074" s="479"/>
      <c r="G5074" s="227" t="s">
        <v>1111</v>
      </c>
      <c r="H5074" s="228"/>
      <c r="I5074" s="228"/>
      <c r="J5074" s="229" t="s">
        <v>55</v>
      </c>
      <c r="K5074" s="230"/>
      <c r="L5074" s="230">
        <v>4500000</v>
      </c>
    </row>
    <row r="5075" spans="1:12" ht="11.25" customHeight="1" x14ac:dyDescent="0.2">
      <c r="A5075" s="221">
        <v>2024</v>
      </c>
      <c r="B5075" s="221">
        <v>6</v>
      </c>
      <c r="C5075" s="221">
        <v>12</v>
      </c>
      <c r="D5075" s="231">
        <f t="shared" si="564"/>
        <v>45455</v>
      </c>
      <c r="E5075" s="233">
        <f t="shared" ref="E5075:E5076" si="566">DATE(A5075,B5075,C5075)</f>
        <v>45455</v>
      </c>
      <c r="F5075" s="478" t="s">
        <v>1752</v>
      </c>
      <c r="G5075" s="222" t="s">
        <v>1111</v>
      </c>
      <c r="H5075" s="223"/>
      <c r="I5075" s="223"/>
      <c r="J5075" s="224" t="s">
        <v>88</v>
      </c>
      <c r="K5075" s="225">
        <v>4500000</v>
      </c>
      <c r="L5075" s="225"/>
    </row>
    <row r="5076" spans="1:12" ht="11.25" customHeight="1" x14ac:dyDescent="0.2">
      <c r="A5076" s="226">
        <v>2024</v>
      </c>
      <c r="B5076" s="226">
        <v>6</v>
      </c>
      <c r="C5076" s="226">
        <v>12</v>
      </c>
      <c r="D5076" s="232">
        <f t="shared" si="564"/>
        <v>45455</v>
      </c>
      <c r="E5076" s="234">
        <f t="shared" si="566"/>
        <v>45455</v>
      </c>
      <c r="F5076" s="479"/>
      <c r="G5076" s="227" t="s">
        <v>1111</v>
      </c>
      <c r="H5076" s="228"/>
      <c r="I5076" s="228"/>
      <c r="J5076" s="229" t="s">
        <v>55</v>
      </c>
      <c r="K5076" s="230"/>
      <c r="L5076" s="230">
        <v>4500000</v>
      </c>
    </row>
    <row r="5077" spans="1:12" ht="11.25" customHeight="1" x14ac:dyDescent="0.2">
      <c r="A5077" s="221">
        <v>2024</v>
      </c>
      <c r="B5077" s="221">
        <v>6</v>
      </c>
      <c r="C5077" s="221">
        <v>13</v>
      </c>
      <c r="D5077" s="231">
        <f t="shared" si="564"/>
        <v>45456</v>
      </c>
      <c r="E5077" s="233">
        <f t="shared" si="565"/>
        <v>45456</v>
      </c>
      <c r="F5077" s="478" t="s">
        <v>1594</v>
      </c>
      <c r="G5077" s="222" t="s">
        <v>1111</v>
      </c>
      <c r="H5077" s="223"/>
      <c r="I5077" s="223"/>
      <c r="J5077" s="224" t="s">
        <v>961</v>
      </c>
      <c r="K5077" s="225">
        <v>396712.8</v>
      </c>
      <c r="L5077" s="225"/>
    </row>
    <row r="5078" spans="1:12" ht="11.25" customHeight="1" x14ac:dyDescent="0.2">
      <c r="A5078" s="226">
        <v>2024</v>
      </c>
      <c r="B5078" s="226">
        <v>6</v>
      </c>
      <c r="C5078" s="226">
        <v>13</v>
      </c>
      <c r="D5078" s="232">
        <f t="shared" si="564"/>
        <v>45456</v>
      </c>
      <c r="E5078" s="234">
        <f t="shared" si="565"/>
        <v>45456</v>
      </c>
      <c r="F5078" s="479"/>
      <c r="G5078" s="227" t="s">
        <v>1111</v>
      </c>
      <c r="H5078" s="228"/>
      <c r="I5078" s="228"/>
      <c r="J5078" s="229" t="s">
        <v>55</v>
      </c>
      <c r="K5078" s="230"/>
      <c r="L5078" s="230">
        <v>396712.8</v>
      </c>
    </row>
    <row r="5079" spans="1:12" ht="11.25" customHeight="1" x14ac:dyDescent="0.2">
      <c r="A5079" s="221">
        <v>2024</v>
      </c>
      <c r="B5079" s="221">
        <v>6</v>
      </c>
      <c r="C5079" s="221">
        <v>13</v>
      </c>
      <c r="D5079" s="231">
        <f t="shared" si="564"/>
        <v>45456</v>
      </c>
      <c r="E5079" s="233">
        <f t="shared" si="565"/>
        <v>45456</v>
      </c>
      <c r="F5079" s="478" t="s">
        <v>1142</v>
      </c>
      <c r="G5079" s="222" t="s">
        <v>1111</v>
      </c>
      <c r="H5079" s="223"/>
      <c r="I5079" s="223"/>
      <c r="J5079" s="224" t="s">
        <v>189</v>
      </c>
      <c r="K5079" s="225">
        <v>1575</v>
      </c>
      <c r="L5079" s="225"/>
    </row>
    <row r="5080" spans="1:12" ht="11.25" customHeight="1" x14ac:dyDescent="0.2">
      <c r="A5080" s="164">
        <v>2024</v>
      </c>
      <c r="B5080" s="164">
        <v>6</v>
      </c>
      <c r="C5080" s="164">
        <v>13</v>
      </c>
      <c r="D5080" s="156">
        <f t="shared" si="564"/>
        <v>45456</v>
      </c>
      <c r="E5080" s="235">
        <f t="shared" si="565"/>
        <v>45456</v>
      </c>
      <c r="F5080" s="480"/>
      <c r="G5080" s="208" t="s">
        <v>1111</v>
      </c>
      <c r="J5080" s="165" t="s">
        <v>1707</v>
      </c>
      <c r="K5080" s="205"/>
      <c r="L5080" s="205">
        <v>150</v>
      </c>
    </row>
    <row r="5081" spans="1:12" ht="11.25" customHeight="1" x14ac:dyDescent="0.2">
      <c r="A5081" s="226">
        <v>2024</v>
      </c>
      <c r="B5081" s="226">
        <v>6</v>
      </c>
      <c r="C5081" s="226">
        <v>13</v>
      </c>
      <c r="D5081" s="232">
        <f t="shared" si="564"/>
        <v>45456</v>
      </c>
      <c r="E5081" s="234">
        <f t="shared" si="565"/>
        <v>45456</v>
      </c>
      <c r="F5081" s="479"/>
      <c r="G5081" s="227" t="s">
        <v>1111</v>
      </c>
      <c r="H5081" s="228"/>
      <c r="I5081" s="228"/>
      <c r="J5081" s="229" t="s">
        <v>55</v>
      </c>
      <c r="K5081" s="230"/>
      <c r="L5081" s="230">
        <v>1425</v>
      </c>
    </row>
    <row r="5082" spans="1:12" ht="11.25" customHeight="1" x14ac:dyDescent="0.2">
      <c r="A5082" s="280">
        <v>2024</v>
      </c>
      <c r="B5082" s="280">
        <v>6</v>
      </c>
      <c r="C5082" s="280">
        <v>13</v>
      </c>
      <c r="D5082" s="281">
        <f t="shared" si="564"/>
        <v>45456</v>
      </c>
      <c r="E5082" s="282">
        <f t="shared" si="565"/>
        <v>45456</v>
      </c>
      <c r="F5082" s="472" t="s">
        <v>1584</v>
      </c>
      <c r="G5082" s="283" t="s">
        <v>86</v>
      </c>
      <c r="H5082" s="284"/>
      <c r="I5082" s="284"/>
      <c r="J5082" s="285" t="s">
        <v>131</v>
      </c>
      <c r="K5082" s="286">
        <v>7884.6153846153848</v>
      </c>
      <c r="L5082" s="286"/>
    </row>
    <row r="5083" spans="1:12" ht="11.25" customHeight="1" x14ac:dyDescent="0.2">
      <c r="A5083" s="287">
        <v>2024</v>
      </c>
      <c r="B5083" s="287">
        <v>6</v>
      </c>
      <c r="C5083" s="287">
        <v>13</v>
      </c>
      <c r="D5083" s="288">
        <f t="shared" si="564"/>
        <v>45456</v>
      </c>
      <c r="E5083" s="289">
        <f t="shared" si="565"/>
        <v>45456</v>
      </c>
      <c r="F5083" s="473"/>
      <c r="G5083" s="290" t="s">
        <v>86</v>
      </c>
      <c r="H5083" s="291"/>
      <c r="I5083" s="291"/>
      <c r="J5083" s="292" t="s">
        <v>174</v>
      </c>
      <c r="K5083" s="293"/>
      <c r="L5083" s="293">
        <v>7884.6153846153848</v>
      </c>
    </row>
    <row r="5084" spans="1:12" ht="11.25" customHeight="1" x14ac:dyDescent="0.2">
      <c r="A5084" s="358">
        <v>2024</v>
      </c>
      <c r="B5084" s="358">
        <v>6</v>
      </c>
      <c r="C5084" s="358">
        <v>13</v>
      </c>
      <c r="D5084" s="312">
        <f t="shared" si="564"/>
        <v>45456</v>
      </c>
      <c r="E5084" s="313">
        <f>DATE(A5084,B5084,C5084)</f>
        <v>45456</v>
      </c>
      <c r="F5084" s="482" t="s">
        <v>1627</v>
      </c>
      <c r="G5084" s="314" t="s">
        <v>86</v>
      </c>
      <c r="H5084" s="324"/>
      <c r="I5084" s="324"/>
      <c r="J5084" s="364" t="s">
        <v>1613</v>
      </c>
      <c r="K5084" s="365">
        <v>116735</v>
      </c>
      <c r="L5084" s="365"/>
    </row>
    <row r="5085" spans="1:12" ht="11.25" customHeight="1" x14ac:dyDescent="0.2">
      <c r="A5085" s="320">
        <v>2024</v>
      </c>
      <c r="B5085" s="320">
        <v>6</v>
      </c>
      <c r="C5085" s="320">
        <v>13</v>
      </c>
      <c r="D5085" s="323">
        <f t="shared" si="564"/>
        <v>45456</v>
      </c>
      <c r="E5085" s="321">
        <f t="shared" ref="E5085" si="567">DATE(A5085,B5085,C5085)</f>
        <v>45456</v>
      </c>
      <c r="F5085" s="483"/>
      <c r="G5085" s="322" t="s">
        <v>86</v>
      </c>
      <c r="H5085" s="325"/>
      <c r="I5085" s="325"/>
      <c r="J5085" s="366" t="s">
        <v>1621</v>
      </c>
      <c r="K5085" s="367"/>
      <c r="L5085" s="367">
        <f>K5084</f>
        <v>116735</v>
      </c>
    </row>
    <row r="5086" spans="1:12" ht="11.25" customHeight="1" x14ac:dyDescent="0.2">
      <c r="A5086" s="358">
        <v>2024</v>
      </c>
      <c r="B5086" s="358">
        <v>6</v>
      </c>
      <c r="C5086" s="358">
        <v>13</v>
      </c>
      <c r="D5086" s="312">
        <f t="shared" si="564"/>
        <v>45456</v>
      </c>
      <c r="E5086" s="313">
        <f>DATE(A5086,B5086,C5086)</f>
        <v>45456</v>
      </c>
      <c r="F5086" s="482" t="s">
        <v>1713</v>
      </c>
      <c r="G5086" s="314" t="s">
        <v>86</v>
      </c>
      <c r="H5086" s="324"/>
      <c r="I5086" s="324"/>
      <c r="J5086" s="364" t="s">
        <v>1622</v>
      </c>
      <c r="K5086" s="365">
        <v>133551.30000000447</v>
      </c>
      <c r="L5086" s="365"/>
    </row>
    <row r="5087" spans="1:12" ht="11.25" customHeight="1" x14ac:dyDescent="0.2">
      <c r="A5087" s="320">
        <v>2024</v>
      </c>
      <c r="B5087" s="320">
        <v>6</v>
      </c>
      <c r="C5087" s="320">
        <v>13</v>
      </c>
      <c r="D5087" s="323">
        <f t="shared" si="564"/>
        <v>45456</v>
      </c>
      <c r="E5087" s="321">
        <f t="shared" ref="E5087:E5108" si="568">DATE(A5087,B5087,C5087)</f>
        <v>45456</v>
      </c>
      <c r="F5087" s="483"/>
      <c r="G5087" s="322" t="s">
        <v>86</v>
      </c>
      <c r="H5087" s="325"/>
      <c r="I5087" s="325"/>
      <c r="J5087" s="366" t="s">
        <v>1614</v>
      </c>
      <c r="K5087" s="367"/>
      <c r="L5087" s="367">
        <f>K5086</f>
        <v>133551.30000000447</v>
      </c>
    </row>
    <row r="5088" spans="1:12" ht="11.25" customHeight="1" x14ac:dyDescent="0.2">
      <c r="A5088" s="236">
        <v>2024</v>
      </c>
      <c r="B5088" s="236">
        <v>6</v>
      </c>
      <c r="C5088" s="236">
        <v>13</v>
      </c>
      <c r="D5088" s="237">
        <f t="shared" si="564"/>
        <v>45456</v>
      </c>
      <c r="E5088" s="238">
        <f t="shared" si="568"/>
        <v>45456</v>
      </c>
      <c r="F5088" s="476" t="s">
        <v>1118</v>
      </c>
      <c r="G5088" s="239" t="s">
        <v>86</v>
      </c>
      <c r="H5088" s="239"/>
      <c r="I5088" s="240"/>
      <c r="J5088" s="241" t="s">
        <v>82</v>
      </c>
      <c r="K5088" s="242">
        <v>115561.5</v>
      </c>
      <c r="L5088" s="242"/>
    </row>
    <row r="5089" spans="1:13" ht="11.25" customHeight="1" x14ac:dyDescent="0.2">
      <c r="A5089" s="243">
        <v>2024</v>
      </c>
      <c r="B5089" s="243">
        <v>6</v>
      </c>
      <c r="C5089" s="243">
        <v>13</v>
      </c>
      <c r="D5089" s="248">
        <f t="shared" si="564"/>
        <v>45456</v>
      </c>
      <c r="E5089" s="249">
        <f t="shared" si="568"/>
        <v>45456</v>
      </c>
      <c r="F5089" s="477"/>
      <c r="G5089" s="244" t="s">
        <v>86</v>
      </c>
      <c r="H5089" s="244"/>
      <c r="I5089" s="245"/>
      <c r="J5089" s="246" t="s">
        <v>98</v>
      </c>
      <c r="K5089" s="247"/>
      <c r="L5089" s="247">
        <f>K5088</f>
        <v>115561.5</v>
      </c>
    </row>
    <row r="5090" spans="1:13" ht="11.25" customHeight="1" x14ac:dyDescent="0.2">
      <c r="A5090" s="236">
        <v>2024</v>
      </c>
      <c r="B5090" s="236">
        <v>6</v>
      </c>
      <c r="C5090" s="236">
        <v>13</v>
      </c>
      <c r="D5090" s="237">
        <f t="shared" si="564"/>
        <v>45456</v>
      </c>
      <c r="E5090" s="238">
        <f t="shared" si="568"/>
        <v>45456</v>
      </c>
      <c r="F5090" s="476" t="s">
        <v>1120</v>
      </c>
      <c r="G5090" s="239" t="s">
        <v>86</v>
      </c>
      <c r="H5090" s="239"/>
      <c r="I5090" s="240"/>
      <c r="J5090" s="241" t="s">
        <v>87</v>
      </c>
      <c r="K5090" s="242">
        <v>2747.2527472527472</v>
      </c>
      <c r="L5090" s="242"/>
    </row>
    <row r="5091" spans="1:13" ht="11.25" customHeight="1" x14ac:dyDescent="0.2">
      <c r="A5091" s="243">
        <v>2024</v>
      </c>
      <c r="B5091" s="243">
        <v>6</v>
      </c>
      <c r="C5091" s="243">
        <v>13</v>
      </c>
      <c r="D5091" s="248">
        <f t="shared" si="564"/>
        <v>45456</v>
      </c>
      <c r="E5091" s="249">
        <f t="shared" si="568"/>
        <v>45456</v>
      </c>
      <c r="F5091" s="477"/>
      <c r="G5091" s="244" t="s">
        <v>86</v>
      </c>
      <c r="H5091" s="244"/>
      <c r="I5091" s="245"/>
      <c r="J5091" s="246" t="s">
        <v>64</v>
      </c>
      <c r="K5091" s="247"/>
      <c r="L5091" s="247">
        <v>2747.2527472527472</v>
      </c>
    </row>
    <row r="5092" spans="1:13" ht="11.25" customHeight="1" x14ac:dyDescent="0.2">
      <c r="A5092" s="236">
        <v>2024</v>
      </c>
      <c r="B5092" s="236">
        <v>6</v>
      </c>
      <c r="C5092" s="236">
        <v>13</v>
      </c>
      <c r="D5092" s="237">
        <f t="shared" si="564"/>
        <v>45456</v>
      </c>
      <c r="E5092" s="238">
        <f t="shared" si="568"/>
        <v>45456</v>
      </c>
      <c r="F5092" s="476" t="s">
        <v>1121</v>
      </c>
      <c r="G5092" s="239" t="s">
        <v>86</v>
      </c>
      <c r="H5092" s="239"/>
      <c r="I5092" s="240"/>
      <c r="J5092" s="241" t="s">
        <v>89</v>
      </c>
      <c r="K5092" s="242">
        <f>M5092</f>
        <v>64482.389188965964</v>
      </c>
      <c r="L5092" s="242"/>
      <c r="M5092" s="156">
        <v>64482.389188965964</v>
      </c>
    </row>
    <row r="5093" spans="1:13" ht="11.25" customHeight="1" x14ac:dyDescent="0.2">
      <c r="A5093" s="243">
        <v>2024</v>
      </c>
      <c r="B5093" s="243">
        <v>6</v>
      </c>
      <c r="C5093" s="243">
        <v>13</v>
      </c>
      <c r="D5093" s="248">
        <f t="shared" si="564"/>
        <v>45456</v>
      </c>
      <c r="E5093" s="249">
        <f t="shared" si="568"/>
        <v>45456</v>
      </c>
      <c r="F5093" s="477"/>
      <c r="G5093" s="244" t="s">
        <v>86</v>
      </c>
      <c r="H5093" s="244"/>
      <c r="I5093" s="245"/>
      <c r="J5093" s="246" t="s">
        <v>50</v>
      </c>
      <c r="K5093" s="247"/>
      <c r="L5093" s="247">
        <f>K5092</f>
        <v>64482.389188965964</v>
      </c>
      <c r="M5093" s="156">
        <v>2983.7348440636829</v>
      </c>
    </row>
    <row r="5094" spans="1:13" ht="11.25" customHeight="1" x14ac:dyDescent="0.2">
      <c r="A5094" s="236">
        <v>2024</v>
      </c>
      <c r="B5094" s="236">
        <v>6</v>
      </c>
      <c r="C5094" s="236">
        <v>13</v>
      </c>
      <c r="D5094" s="237">
        <f t="shared" si="564"/>
        <v>45456</v>
      </c>
      <c r="E5094" s="238">
        <f t="shared" si="568"/>
        <v>45456</v>
      </c>
      <c r="F5094" s="476" t="s">
        <v>1122</v>
      </c>
      <c r="G5094" s="239" t="s">
        <v>86</v>
      </c>
      <c r="H5094" s="239"/>
      <c r="I5094" s="240"/>
      <c r="J5094" s="241" t="s">
        <v>91</v>
      </c>
      <c r="K5094" s="242">
        <f>M5093</f>
        <v>2983.7348440636829</v>
      </c>
      <c r="L5094" s="242"/>
    </row>
    <row r="5095" spans="1:13" ht="11.25" customHeight="1" x14ac:dyDescent="0.2">
      <c r="A5095" s="243">
        <v>2024</v>
      </c>
      <c r="B5095" s="243">
        <v>6</v>
      </c>
      <c r="C5095" s="243">
        <v>13</v>
      </c>
      <c r="D5095" s="248">
        <f t="shared" si="564"/>
        <v>45456</v>
      </c>
      <c r="E5095" s="249">
        <f t="shared" si="568"/>
        <v>45456</v>
      </c>
      <c r="F5095" s="477"/>
      <c r="G5095" s="244" t="s">
        <v>86</v>
      </c>
      <c r="H5095" s="244"/>
      <c r="I5095" s="245"/>
      <c r="J5095" s="246" t="s">
        <v>51</v>
      </c>
      <c r="K5095" s="247"/>
      <c r="L5095" s="247">
        <f>K5094</f>
        <v>2983.7348440636829</v>
      </c>
    </row>
    <row r="5096" spans="1:13" ht="11.25" customHeight="1" x14ac:dyDescent="0.2">
      <c r="A5096" s="221">
        <v>2024</v>
      </c>
      <c r="B5096" s="221">
        <v>6</v>
      </c>
      <c r="C5096" s="221">
        <v>19</v>
      </c>
      <c r="D5096" s="231">
        <f t="shared" si="564"/>
        <v>45462</v>
      </c>
      <c r="E5096" s="233">
        <f t="shared" si="568"/>
        <v>45462</v>
      </c>
      <c r="F5096" s="478" t="s">
        <v>1732</v>
      </c>
      <c r="G5096" s="222" t="s">
        <v>1111</v>
      </c>
      <c r="H5096" s="223"/>
      <c r="I5096" s="223"/>
      <c r="J5096" s="224" t="s">
        <v>1707</v>
      </c>
      <c r="K5096" s="225">
        <v>150</v>
      </c>
      <c r="L5096" s="225"/>
    </row>
    <row r="5097" spans="1:13" ht="11.25" customHeight="1" x14ac:dyDescent="0.2">
      <c r="A5097" s="164">
        <v>2024</v>
      </c>
      <c r="B5097" s="164">
        <v>6</v>
      </c>
      <c r="C5097" s="164">
        <v>19</v>
      </c>
      <c r="D5097" s="156">
        <f t="shared" si="564"/>
        <v>45462</v>
      </c>
      <c r="E5097" s="235">
        <f t="shared" si="568"/>
        <v>45462</v>
      </c>
      <c r="F5097" s="480"/>
      <c r="G5097" s="208" t="s">
        <v>1111</v>
      </c>
      <c r="J5097" s="165" t="s">
        <v>478</v>
      </c>
      <c r="K5097" s="205">
        <v>1.3</v>
      </c>
      <c r="L5097" s="205"/>
    </row>
    <row r="5098" spans="1:13" ht="11.25" customHeight="1" x14ac:dyDescent="0.2">
      <c r="A5098" s="226">
        <v>2024</v>
      </c>
      <c r="B5098" s="226">
        <v>6</v>
      </c>
      <c r="C5098" s="226">
        <v>19</v>
      </c>
      <c r="D5098" s="232">
        <f t="shared" si="564"/>
        <v>45462</v>
      </c>
      <c r="E5098" s="234">
        <f t="shared" si="568"/>
        <v>45462</v>
      </c>
      <c r="F5098" s="479"/>
      <c r="G5098" s="227" t="s">
        <v>1111</v>
      </c>
      <c r="H5098" s="228"/>
      <c r="I5098" s="228"/>
      <c r="J5098" s="229" t="s">
        <v>55</v>
      </c>
      <c r="K5098" s="230"/>
      <c r="L5098" s="230">
        <v>151.30000000000001</v>
      </c>
    </row>
    <row r="5099" spans="1:13" ht="11.25" customHeight="1" x14ac:dyDescent="0.2">
      <c r="A5099" s="221">
        <v>2024</v>
      </c>
      <c r="B5099" s="221">
        <v>6</v>
      </c>
      <c r="C5099" s="231">
        <v>19</v>
      </c>
      <c r="D5099" s="231">
        <f t="shared" si="564"/>
        <v>45462</v>
      </c>
      <c r="E5099" s="233">
        <f t="shared" si="568"/>
        <v>45462</v>
      </c>
      <c r="F5099" s="478" t="s">
        <v>1593</v>
      </c>
      <c r="G5099" s="222" t="s">
        <v>86</v>
      </c>
      <c r="H5099" s="222"/>
      <c r="I5099" s="223"/>
      <c r="J5099" s="224" t="s">
        <v>80</v>
      </c>
      <c r="K5099" s="225">
        <v>572774.40000000002</v>
      </c>
      <c r="L5099" s="225"/>
    </row>
    <row r="5100" spans="1:13" ht="11.25" customHeight="1" x14ac:dyDescent="0.2">
      <c r="A5100" s="164">
        <v>2024</v>
      </c>
      <c r="B5100" s="164">
        <v>6</v>
      </c>
      <c r="C5100" s="156">
        <v>19</v>
      </c>
      <c r="D5100" s="164">
        <f t="shared" si="564"/>
        <v>45462</v>
      </c>
      <c r="E5100" s="235">
        <f t="shared" si="568"/>
        <v>45462</v>
      </c>
      <c r="F5100" s="480"/>
      <c r="G5100" s="208" t="s">
        <v>86</v>
      </c>
      <c r="H5100" s="208"/>
      <c r="J5100" s="165" t="s">
        <v>960</v>
      </c>
      <c r="K5100" s="205">
        <v>1030.99</v>
      </c>
      <c r="L5100" s="205"/>
    </row>
    <row r="5101" spans="1:13" ht="11.25" customHeight="1" x14ac:dyDescent="0.2">
      <c r="A5101" s="226">
        <v>2024</v>
      </c>
      <c r="B5101" s="226">
        <v>6</v>
      </c>
      <c r="C5101" s="232">
        <v>19</v>
      </c>
      <c r="D5101" s="226">
        <f t="shared" si="564"/>
        <v>45462</v>
      </c>
      <c r="E5101" s="234">
        <f t="shared" si="568"/>
        <v>45462</v>
      </c>
      <c r="F5101" s="479"/>
      <c r="G5101" s="227" t="s">
        <v>86</v>
      </c>
      <c r="H5101" s="227"/>
      <c r="I5101" s="228"/>
      <c r="J5101" s="229" t="s">
        <v>961</v>
      </c>
      <c r="K5101" s="294"/>
      <c r="L5101" s="230">
        <v>573805.39</v>
      </c>
    </row>
    <row r="5102" spans="1:13" ht="11.25" customHeight="1" x14ac:dyDescent="0.2">
      <c r="A5102" s="221">
        <v>2024</v>
      </c>
      <c r="B5102" s="221">
        <v>6</v>
      </c>
      <c r="C5102" s="221">
        <v>20</v>
      </c>
      <c r="D5102" s="231">
        <f t="shared" si="564"/>
        <v>45463</v>
      </c>
      <c r="E5102" s="233">
        <f t="shared" si="568"/>
        <v>45463</v>
      </c>
      <c r="F5102" s="478" t="s">
        <v>1594</v>
      </c>
      <c r="G5102" s="222" t="s">
        <v>1111</v>
      </c>
      <c r="H5102" s="223"/>
      <c r="I5102" s="223"/>
      <c r="J5102" s="224" t="s">
        <v>961</v>
      </c>
      <c r="K5102" s="225">
        <v>573805.39</v>
      </c>
      <c r="L5102" s="225"/>
    </row>
    <row r="5103" spans="1:13" ht="11.25" customHeight="1" x14ac:dyDescent="0.2">
      <c r="A5103" s="226">
        <v>2024</v>
      </c>
      <c r="B5103" s="226">
        <v>6</v>
      </c>
      <c r="C5103" s="226">
        <v>20</v>
      </c>
      <c r="D5103" s="232">
        <f t="shared" si="564"/>
        <v>45463</v>
      </c>
      <c r="E5103" s="234">
        <f t="shared" si="568"/>
        <v>45463</v>
      </c>
      <c r="F5103" s="479"/>
      <c r="G5103" s="227" t="s">
        <v>1111</v>
      </c>
      <c r="H5103" s="228"/>
      <c r="I5103" s="228"/>
      <c r="J5103" s="229" t="s">
        <v>55</v>
      </c>
      <c r="K5103" s="230"/>
      <c r="L5103" s="230">
        <v>573805.39</v>
      </c>
    </row>
    <row r="5104" spans="1:13" ht="11.25" customHeight="1" x14ac:dyDescent="0.2">
      <c r="A5104" s="221">
        <v>2024</v>
      </c>
      <c r="B5104" s="221">
        <v>6</v>
      </c>
      <c r="C5104" s="231">
        <v>20</v>
      </c>
      <c r="D5104" s="231">
        <f t="shared" si="564"/>
        <v>45463</v>
      </c>
      <c r="E5104" s="233">
        <f t="shared" ref="E5104:E5106" si="569">DATE(A5104,B5104,C5104)</f>
        <v>45463</v>
      </c>
      <c r="F5104" s="478" t="s">
        <v>1593</v>
      </c>
      <c r="G5104" s="222" t="s">
        <v>86</v>
      </c>
      <c r="H5104" s="222"/>
      <c r="I5104" s="223"/>
      <c r="J5104" s="224" t="s">
        <v>80</v>
      </c>
      <c r="K5104" s="225">
        <v>1572856.4</v>
      </c>
      <c r="L5104" s="225"/>
    </row>
    <row r="5105" spans="1:13" ht="11.25" customHeight="1" x14ac:dyDescent="0.2">
      <c r="A5105" s="164">
        <v>2024</v>
      </c>
      <c r="B5105" s="164">
        <v>6</v>
      </c>
      <c r="C5105" s="156">
        <v>20</v>
      </c>
      <c r="D5105" s="164">
        <f t="shared" si="564"/>
        <v>45463</v>
      </c>
      <c r="E5105" s="235">
        <f t="shared" si="569"/>
        <v>45463</v>
      </c>
      <c r="F5105" s="480"/>
      <c r="G5105" s="208" t="s">
        <v>86</v>
      </c>
      <c r="H5105" s="208"/>
      <c r="J5105" s="165" t="s">
        <v>960</v>
      </c>
      <c r="K5105" s="205">
        <v>2831.14</v>
      </c>
      <c r="L5105" s="205"/>
    </row>
    <row r="5106" spans="1:13" ht="11.25" customHeight="1" x14ac:dyDescent="0.2">
      <c r="A5106" s="226">
        <v>2024</v>
      </c>
      <c r="B5106" s="226">
        <v>6</v>
      </c>
      <c r="C5106" s="232">
        <v>20</v>
      </c>
      <c r="D5106" s="226">
        <f t="shared" si="564"/>
        <v>45463</v>
      </c>
      <c r="E5106" s="234">
        <f t="shared" si="569"/>
        <v>45463</v>
      </c>
      <c r="F5106" s="479"/>
      <c r="G5106" s="227" t="s">
        <v>86</v>
      </c>
      <c r="H5106" s="227"/>
      <c r="I5106" s="228"/>
      <c r="J5106" s="229" t="s">
        <v>961</v>
      </c>
      <c r="K5106" s="294"/>
      <c r="L5106" s="230">
        <v>1575687.54</v>
      </c>
    </row>
    <row r="5107" spans="1:13" ht="11.25" customHeight="1" x14ac:dyDescent="0.2">
      <c r="A5107" s="280">
        <v>2024</v>
      </c>
      <c r="B5107" s="280">
        <v>6</v>
      </c>
      <c r="C5107" s="280">
        <v>20</v>
      </c>
      <c r="D5107" s="281">
        <f t="shared" si="564"/>
        <v>45463</v>
      </c>
      <c r="E5107" s="282">
        <f t="shared" si="568"/>
        <v>45463</v>
      </c>
      <c r="F5107" s="472" t="s">
        <v>1584</v>
      </c>
      <c r="G5107" s="283" t="s">
        <v>86</v>
      </c>
      <c r="H5107" s="284"/>
      <c r="I5107" s="284"/>
      <c r="J5107" s="285" t="s">
        <v>131</v>
      </c>
      <c r="K5107" s="286">
        <v>102884.62</v>
      </c>
      <c r="L5107" s="286"/>
    </row>
    <row r="5108" spans="1:13" ht="11.25" customHeight="1" x14ac:dyDescent="0.2">
      <c r="A5108" s="287">
        <v>2024</v>
      </c>
      <c r="B5108" s="287">
        <v>6</v>
      </c>
      <c r="C5108" s="287">
        <v>20</v>
      </c>
      <c r="D5108" s="288">
        <f t="shared" si="564"/>
        <v>45463</v>
      </c>
      <c r="E5108" s="289">
        <f t="shared" si="568"/>
        <v>45463</v>
      </c>
      <c r="F5108" s="473"/>
      <c r="G5108" s="290" t="s">
        <v>86</v>
      </c>
      <c r="H5108" s="291"/>
      <c r="I5108" s="291"/>
      <c r="J5108" s="292" t="s">
        <v>174</v>
      </c>
      <c r="K5108" s="293"/>
      <c r="L5108" s="293">
        <v>102884.62</v>
      </c>
    </row>
    <row r="5109" spans="1:13" ht="11.25" customHeight="1" x14ac:dyDescent="0.2">
      <c r="A5109" s="358">
        <v>2024</v>
      </c>
      <c r="B5109" s="358">
        <v>6</v>
      </c>
      <c r="C5109" s="358">
        <v>20</v>
      </c>
      <c r="D5109" s="312">
        <f t="shared" si="564"/>
        <v>45463</v>
      </c>
      <c r="E5109" s="313">
        <f>DATE(A5109,B5109,C5109)</f>
        <v>45463</v>
      </c>
      <c r="F5109" s="482" t="s">
        <v>1627</v>
      </c>
      <c r="G5109" s="314" t="s">
        <v>86</v>
      </c>
      <c r="H5109" s="324"/>
      <c r="I5109" s="324"/>
      <c r="J5109" s="364" t="s">
        <v>1621</v>
      </c>
      <c r="K5109" s="365">
        <v>40835</v>
      </c>
      <c r="L5109" s="365"/>
    </row>
    <row r="5110" spans="1:13" ht="11.25" customHeight="1" x14ac:dyDescent="0.2">
      <c r="A5110" s="320">
        <v>2024</v>
      </c>
      <c r="B5110" s="320">
        <v>6</v>
      </c>
      <c r="C5110" s="320">
        <v>20</v>
      </c>
      <c r="D5110" s="323">
        <f t="shared" si="564"/>
        <v>45463</v>
      </c>
      <c r="E5110" s="321">
        <f t="shared" ref="E5110" si="570">DATE(A5110,B5110,C5110)</f>
        <v>45463</v>
      </c>
      <c r="F5110" s="483"/>
      <c r="G5110" s="322" t="s">
        <v>86</v>
      </c>
      <c r="H5110" s="325"/>
      <c r="I5110" s="325"/>
      <c r="J5110" s="366" t="s">
        <v>1613</v>
      </c>
      <c r="K5110" s="367"/>
      <c r="L5110" s="367">
        <f>K5109</f>
        <v>40835</v>
      </c>
    </row>
    <row r="5111" spans="1:13" ht="11.25" customHeight="1" x14ac:dyDescent="0.2">
      <c r="A5111" s="358">
        <v>2024</v>
      </c>
      <c r="B5111" s="358">
        <v>6</v>
      </c>
      <c r="C5111" s="358">
        <v>20</v>
      </c>
      <c r="D5111" s="312">
        <f t="shared" si="564"/>
        <v>45463</v>
      </c>
      <c r="E5111" s="313">
        <f>DATE(A5111,B5111,C5111)</f>
        <v>45463</v>
      </c>
      <c r="F5111" s="482" t="s">
        <v>1713</v>
      </c>
      <c r="G5111" s="314" t="s">
        <v>86</v>
      </c>
      <c r="H5111" s="324"/>
      <c r="I5111" s="324"/>
      <c r="J5111" s="364" t="s">
        <v>1622</v>
      </c>
      <c r="K5111" s="365">
        <v>53588.5</v>
      </c>
      <c r="L5111" s="365"/>
    </row>
    <row r="5112" spans="1:13" ht="11.25" customHeight="1" x14ac:dyDescent="0.2">
      <c r="A5112" s="320">
        <v>2024</v>
      </c>
      <c r="B5112" s="320">
        <v>6</v>
      </c>
      <c r="C5112" s="320">
        <v>20</v>
      </c>
      <c r="D5112" s="323">
        <f t="shared" si="564"/>
        <v>45463</v>
      </c>
      <c r="E5112" s="321">
        <f t="shared" ref="E5112:E5151" si="571">DATE(A5112,B5112,C5112)</f>
        <v>45463</v>
      </c>
      <c r="F5112" s="483"/>
      <c r="G5112" s="322" t="s">
        <v>86</v>
      </c>
      <c r="H5112" s="325"/>
      <c r="I5112" s="325"/>
      <c r="J5112" s="366" t="s">
        <v>1614</v>
      </c>
      <c r="K5112" s="367"/>
      <c r="L5112" s="367">
        <f>K5111</f>
        <v>53588.5</v>
      </c>
    </row>
    <row r="5113" spans="1:13" ht="11.25" customHeight="1" x14ac:dyDescent="0.2">
      <c r="A5113" s="236">
        <v>2024</v>
      </c>
      <c r="B5113" s="236">
        <v>6</v>
      </c>
      <c r="C5113" s="236">
        <v>20</v>
      </c>
      <c r="D5113" s="237">
        <f t="shared" si="564"/>
        <v>45463</v>
      </c>
      <c r="E5113" s="238">
        <f t="shared" si="571"/>
        <v>45463</v>
      </c>
      <c r="F5113" s="476" t="s">
        <v>1118</v>
      </c>
      <c r="G5113" s="239" t="s">
        <v>86</v>
      </c>
      <c r="H5113" s="239"/>
      <c r="I5113" s="240"/>
      <c r="J5113" s="241" t="s">
        <v>98</v>
      </c>
      <c r="K5113" s="242">
        <v>357150.30000000447</v>
      </c>
      <c r="L5113" s="242"/>
    </row>
    <row r="5114" spans="1:13" ht="11.25" customHeight="1" x14ac:dyDescent="0.2">
      <c r="A5114" s="243">
        <v>2024</v>
      </c>
      <c r="B5114" s="243">
        <v>6</v>
      </c>
      <c r="C5114" s="243">
        <v>20</v>
      </c>
      <c r="D5114" s="248">
        <f t="shared" si="564"/>
        <v>45463</v>
      </c>
      <c r="E5114" s="249">
        <f t="shared" si="571"/>
        <v>45463</v>
      </c>
      <c r="F5114" s="477"/>
      <c r="G5114" s="244" t="s">
        <v>86</v>
      </c>
      <c r="H5114" s="244"/>
      <c r="I5114" s="245"/>
      <c r="J5114" s="246" t="s">
        <v>82</v>
      </c>
      <c r="K5114" s="247"/>
      <c r="L5114" s="247">
        <f>K5113</f>
        <v>357150.30000000447</v>
      </c>
    </row>
    <row r="5115" spans="1:13" ht="11.25" customHeight="1" x14ac:dyDescent="0.2">
      <c r="A5115" s="236">
        <v>2024</v>
      </c>
      <c r="B5115" s="236">
        <v>6</v>
      </c>
      <c r="C5115" s="236">
        <v>20</v>
      </c>
      <c r="D5115" s="237">
        <f t="shared" si="564"/>
        <v>45463</v>
      </c>
      <c r="E5115" s="238">
        <f t="shared" si="571"/>
        <v>45463</v>
      </c>
      <c r="F5115" s="476" t="s">
        <v>1120</v>
      </c>
      <c r="G5115" s="239" t="s">
        <v>86</v>
      </c>
      <c r="H5115" s="239"/>
      <c r="I5115" s="240"/>
      <c r="J5115" s="241" t="s">
        <v>87</v>
      </c>
      <c r="K5115" s="242">
        <v>2747.2527472527472</v>
      </c>
      <c r="L5115" s="242"/>
    </row>
    <row r="5116" spans="1:13" ht="11.25" customHeight="1" x14ac:dyDescent="0.2">
      <c r="A5116" s="243">
        <v>2024</v>
      </c>
      <c r="B5116" s="243">
        <v>6</v>
      </c>
      <c r="C5116" s="243">
        <v>20</v>
      </c>
      <c r="D5116" s="248">
        <f t="shared" si="564"/>
        <v>45463</v>
      </c>
      <c r="E5116" s="249">
        <f t="shared" si="571"/>
        <v>45463</v>
      </c>
      <c r="F5116" s="477"/>
      <c r="G5116" s="244" t="s">
        <v>86</v>
      </c>
      <c r="H5116" s="244"/>
      <c r="I5116" s="245"/>
      <c r="J5116" s="246" t="s">
        <v>64</v>
      </c>
      <c r="K5116" s="247"/>
      <c r="L5116" s="247">
        <v>2747.2527472527472</v>
      </c>
    </row>
    <row r="5117" spans="1:13" ht="11.25" customHeight="1" x14ac:dyDescent="0.2">
      <c r="A5117" s="236">
        <v>2024</v>
      </c>
      <c r="B5117" s="236">
        <v>6</v>
      </c>
      <c r="C5117" s="236">
        <v>20</v>
      </c>
      <c r="D5117" s="237">
        <f t="shared" si="564"/>
        <v>45463</v>
      </c>
      <c r="E5117" s="238">
        <f t="shared" si="571"/>
        <v>45463</v>
      </c>
      <c r="F5117" s="476" t="s">
        <v>1121</v>
      </c>
      <c r="G5117" s="239" t="s">
        <v>86</v>
      </c>
      <c r="H5117" s="239"/>
      <c r="I5117" s="240"/>
      <c r="J5117" s="241" t="s">
        <v>89</v>
      </c>
      <c r="K5117" s="242">
        <f>M5117</f>
        <v>64631.096515352248</v>
      </c>
      <c r="L5117" s="242"/>
      <c r="M5117" s="156">
        <v>64631.096515352248</v>
      </c>
    </row>
    <row r="5118" spans="1:13" ht="11.25" customHeight="1" x14ac:dyDescent="0.2">
      <c r="A5118" s="243">
        <v>2024</v>
      </c>
      <c r="B5118" s="243">
        <v>6</v>
      </c>
      <c r="C5118" s="243">
        <v>20</v>
      </c>
      <c r="D5118" s="248">
        <f t="shared" si="564"/>
        <v>45463</v>
      </c>
      <c r="E5118" s="249">
        <f t="shared" si="571"/>
        <v>45463</v>
      </c>
      <c r="F5118" s="477"/>
      <c r="G5118" s="244" t="s">
        <v>86</v>
      </c>
      <c r="H5118" s="244"/>
      <c r="I5118" s="245"/>
      <c r="J5118" s="246" t="s">
        <v>50</v>
      </c>
      <c r="K5118" s="247"/>
      <c r="L5118" s="247">
        <f>K5117</f>
        <v>64631.096515352248</v>
      </c>
      <c r="M5118" s="156">
        <v>2991.1702103829966</v>
      </c>
    </row>
    <row r="5119" spans="1:13" ht="11.25" customHeight="1" x14ac:dyDescent="0.2">
      <c r="A5119" s="236">
        <v>2024</v>
      </c>
      <c r="B5119" s="236">
        <v>6</v>
      </c>
      <c r="C5119" s="236">
        <v>20</v>
      </c>
      <c r="D5119" s="237">
        <f t="shared" si="564"/>
        <v>45463</v>
      </c>
      <c r="E5119" s="238">
        <f t="shared" si="571"/>
        <v>45463</v>
      </c>
      <c r="F5119" s="476" t="s">
        <v>1122</v>
      </c>
      <c r="G5119" s="239" t="s">
        <v>86</v>
      </c>
      <c r="H5119" s="239"/>
      <c r="I5119" s="240"/>
      <c r="J5119" s="241" t="s">
        <v>91</v>
      </c>
      <c r="K5119" s="242">
        <f>M5118</f>
        <v>2991.1702103829966</v>
      </c>
      <c r="L5119" s="242"/>
    </row>
    <row r="5120" spans="1:13" ht="11.25" customHeight="1" x14ac:dyDescent="0.2">
      <c r="A5120" s="243">
        <v>2024</v>
      </c>
      <c r="B5120" s="243">
        <v>6</v>
      </c>
      <c r="C5120" s="243">
        <v>20</v>
      </c>
      <c r="D5120" s="248">
        <f t="shared" si="564"/>
        <v>45463</v>
      </c>
      <c r="E5120" s="249">
        <f t="shared" si="571"/>
        <v>45463</v>
      </c>
      <c r="F5120" s="477"/>
      <c r="G5120" s="244" t="s">
        <v>86</v>
      </c>
      <c r="H5120" s="244"/>
      <c r="I5120" s="245"/>
      <c r="J5120" s="246" t="s">
        <v>51</v>
      </c>
      <c r="K5120" s="247"/>
      <c r="L5120" s="247">
        <f>K5119</f>
        <v>2991.1702103829966</v>
      </c>
    </row>
    <row r="5121" spans="1:13" ht="11.25" customHeight="1" x14ac:dyDescent="0.2">
      <c r="A5121" s="221">
        <v>2024</v>
      </c>
      <c r="B5121" s="221">
        <v>6</v>
      </c>
      <c r="C5121" s="221">
        <v>23</v>
      </c>
      <c r="D5121" s="231">
        <f t="shared" si="564"/>
        <v>45466</v>
      </c>
      <c r="E5121" s="233">
        <f t="shared" si="571"/>
        <v>45466</v>
      </c>
      <c r="F5121" s="478" t="s">
        <v>1594</v>
      </c>
      <c r="G5121" s="222" t="s">
        <v>1111</v>
      </c>
      <c r="H5121" s="223"/>
      <c r="I5121" s="223"/>
      <c r="J5121" s="224" t="s">
        <v>961</v>
      </c>
      <c r="K5121" s="225">
        <v>1575687.54</v>
      </c>
      <c r="L5121" s="225"/>
    </row>
    <row r="5122" spans="1:13" ht="11.25" customHeight="1" x14ac:dyDescent="0.2">
      <c r="A5122" s="226">
        <v>2024</v>
      </c>
      <c r="B5122" s="226">
        <v>6</v>
      </c>
      <c r="C5122" s="226">
        <v>23</v>
      </c>
      <c r="D5122" s="232">
        <f t="shared" si="564"/>
        <v>45466</v>
      </c>
      <c r="E5122" s="234">
        <f t="shared" si="571"/>
        <v>45466</v>
      </c>
      <c r="F5122" s="479"/>
      <c r="G5122" s="227" t="s">
        <v>1111</v>
      </c>
      <c r="H5122" s="228"/>
      <c r="I5122" s="228"/>
      <c r="J5122" s="229" t="s">
        <v>55</v>
      </c>
      <c r="K5122" s="230"/>
      <c r="L5122" s="230">
        <v>1575687.54</v>
      </c>
    </row>
    <row r="5123" spans="1:13" ht="11.25" customHeight="1" x14ac:dyDescent="0.2">
      <c r="A5123" s="221">
        <v>2024</v>
      </c>
      <c r="B5123" s="221">
        <v>6</v>
      </c>
      <c r="C5123" s="221">
        <v>23</v>
      </c>
      <c r="D5123" s="231">
        <f t="shared" si="564"/>
        <v>45466</v>
      </c>
      <c r="E5123" s="233">
        <f t="shared" si="571"/>
        <v>45466</v>
      </c>
      <c r="F5123" s="478" t="s">
        <v>1196</v>
      </c>
      <c r="G5123" s="222" t="s">
        <v>1111</v>
      </c>
      <c r="H5123" s="223"/>
      <c r="I5123" s="223"/>
      <c r="J5123" s="224" t="s">
        <v>95</v>
      </c>
      <c r="K5123" s="225">
        <v>12.95</v>
      </c>
      <c r="L5123" s="225"/>
      <c r="M5123" s="166"/>
    </row>
    <row r="5124" spans="1:13" ht="11.25" customHeight="1" x14ac:dyDescent="0.2">
      <c r="A5124" s="164">
        <v>2024</v>
      </c>
      <c r="B5124" s="164">
        <v>6</v>
      </c>
      <c r="C5124" s="164">
        <v>23</v>
      </c>
      <c r="D5124" s="156">
        <f t="shared" si="564"/>
        <v>45466</v>
      </c>
      <c r="E5124" s="235">
        <f t="shared" si="571"/>
        <v>45466</v>
      </c>
      <c r="F5124" s="480"/>
      <c r="G5124" s="208" t="s">
        <v>1111</v>
      </c>
      <c r="J5124" s="165" t="s">
        <v>478</v>
      </c>
      <c r="K5124" s="205"/>
      <c r="L5124" s="205">
        <v>1.3</v>
      </c>
    </row>
    <row r="5125" spans="1:13" ht="11.25" customHeight="1" x14ac:dyDescent="0.2">
      <c r="A5125" s="226">
        <v>2024</v>
      </c>
      <c r="B5125" s="226">
        <v>6</v>
      </c>
      <c r="C5125" s="226">
        <v>23</v>
      </c>
      <c r="D5125" s="232">
        <f t="shared" si="564"/>
        <v>45466</v>
      </c>
      <c r="E5125" s="234">
        <f t="shared" si="571"/>
        <v>45466</v>
      </c>
      <c r="F5125" s="479"/>
      <c r="G5125" s="227" t="s">
        <v>1111</v>
      </c>
      <c r="H5125" s="228"/>
      <c r="I5125" s="228"/>
      <c r="J5125" s="229" t="s">
        <v>55</v>
      </c>
      <c r="K5125" s="230"/>
      <c r="L5125" s="230">
        <v>11.65</v>
      </c>
    </row>
    <row r="5126" spans="1:13" ht="11.25" customHeight="1" x14ac:dyDescent="0.2">
      <c r="A5126" s="221">
        <v>2024</v>
      </c>
      <c r="B5126" s="221">
        <v>6</v>
      </c>
      <c r="C5126" s="231">
        <v>24</v>
      </c>
      <c r="D5126" s="231">
        <f t="shared" si="564"/>
        <v>45467</v>
      </c>
      <c r="E5126" s="233">
        <f t="shared" ref="E5126:E5141" si="572">DATE(A5126,B5126,C5126)</f>
        <v>45467</v>
      </c>
      <c r="F5126" s="478" t="s">
        <v>802</v>
      </c>
      <c r="G5126" s="222" t="s">
        <v>1111</v>
      </c>
      <c r="H5126" s="223"/>
      <c r="I5126" s="223"/>
      <c r="J5126" s="224" t="s">
        <v>55</v>
      </c>
      <c r="K5126" s="167">
        <v>130000</v>
      </c>
      <c r="L5126" s="225"/>
    </row>
    <row r="5127" spans="1:13" ht="11.25" customHeight="1" x14ac:dyDescent="0.2">
      <c r="A5127" s="164">
        <v>2024</v>
      </c>
      <c r="B5127" s="164">
        <v>6</v>
      </c>
      <c r="C5127" s="156">
        <v>24</v>
      </c>
      <c r="D5127" s="156">
        <f t="shared" si="564"/>
        <v>45467</v>
      </c>
      <c r="E5127" s="235">
        <f t="shared" si="572"/>
        <v>45467</v>
      </c>
      <c r="F5127" s="480"/>
      <c r="G5127" s="208" t="s">
        <v>1111</v>
      </c>
      <c r="J5127" s="165" t="s">
        <v>14</v>
      </c>
      <c r="L5127" s="418">
        <v>132020</v>
      </c>
    </row>
    <row r="5128" spans="1:13" ht="11.25" customHeight="1" x14ac:dyDescent="0.2">
      <c r="A5128" s="226">
        <v>2024</v>
      </c>
      <c r="B5128" s="226">
        <v>6</v>
      </c>
      <c r="C5128" s="232">
        <v>24</v>
      </c>
      <c r="D5128" s="232">
        <f t="shared" si="564"/>
        <v>45467</v>
      </c>
      <c r="E5128" s="234">
        <f t="shared" si="572"/>
        <v>45467</v>
      </c>
      <c r="F5128" s="479"/>
      <c r="G5128" s="227" t="s">
        <v>1111</v>
      </c>
      <c r="H5128" s="228"/>
      <c r="I5128" s="228"/>
      <c r="J5128" s="229" t="s">
        <v>1112</v>
      </c>
      <c r="K5128" s="230">
        <v>2020</v>
      </c>
      <c r="L5128" s="230"/>
    </row>
    <row r="5129" spans="1:13" ht="11.25" customHeight="1" x14ac:dyDescent="0.2">
      <c r="A5129" s="221">
        <v>2024</v>
      </c>
      <c r="B5129" s="221">
        <v>6</v>
      </c>
      <c r="C5129" s="221">
        <v>24</v>
      </c>
      <c r="D5129" s="231">
        <f t="shared" ref="D5129:D5192" si="573">DATE(A5129,B5129,C5129)</f>
        <v>45467</v>
      </c>
      <c r="E5129" s="233">
        <f t="shared" si="572"/>
        <v>45467</v>
      </c>
      <c r="F5129" s="478" t="s">
        <v>1741</v>
      </c>
      <c r="G5129" s="222" t="s">
        <v>1111</v>
      </c>
      <c r="H5129" s="223"/>
      <c r="I5129" s="223"/>
      <c r="J5129" s="224" t="s">
        <v>63</v>
      </c>
      <c r="K5129" s="225">
        <v>2261.35</v>
      </c>
      <c r="L5129" s="225"/>
    </row>
    <row r="5130" spans="1:13" ht="11.25" customHeight="1" x14ac:dyDescent="0.2">
      <c r="A5130" s="226">
        <v>2024</v>
      </c>
      <c r="B5130" s="226">
        <v>6</v>
      </c>
      <c r="C5130" s="226">
        <v>24</v>
      </c>
      <c r="D5130" s="232">
        <f t="shared" si="573"/>
        <v>45467</v>
      </c>
      <c r="E5130" s="234">
        <f t="shared" si="572"/>
        <v>45467</v>
      </c>
      <c r="F5130" s="479"/>
      <c r="G5130" s="227" t="s">
        <v>1111</v>
      </c>
      <c r="H5130" s="228"/>
      <c r="I5130" s="228"/>
      <c r="J5130" s="229" t="s">
        <v>55</v>
      </c>
      <c r="K5130" s="230"/>
      <c r="L5130" s="230">
        <v>2261.35</v>
      </c>
    </row>
    <row r="5131" spans="1:13" ht="11.25" customHeight="1" x14ac:dyDescent="0.2">
      <c r="A5131" s="221">
        <v>2024</v>
      </c>
      <c r="B5131" s="221">
        <v>6</v>
      </c>
      <c r="C5131" s="221">
        <v>24</v>
      </c>
      <c r="D5131" s="231">
        <f t="shared" si="573"/>
        <v>45467</v>
      </c>
      <c r="E5131" s="233">
        <f t="shared" si="572"/>
        <v>45467</v>
      </c>
      <c r="F5131" s="478" t="s">
        <v>1742</v>
      </c>
      <c r="G5131" s="222" t="s">
        <v>1111</v>
      </c>
      <c r="H5131" s="222"/>
      <c r="I5131" s="223"/>
      <c r="J5131" s="224" t="s">
        <v>1465</v>
      </c>
      <c r="K5131" s="357">
        <v>9717750</v>
      </c>
      <c r="L5131" s="225"/>
    </row>
    <row r="5132" spans="1:13" ht="11.25" customHeight="1" x14ac:dyDescent="0.2">
      <c r="A5132" s="226">
        <v>2024</v>
      </c>
      <c r="B5132" s="226">
        <v>6</v>
      </c>
      <c r="C5132" s="226">
        <v>24</v>
      </c>
      <c r="D5132" s="226">
        <f t="shared" si="573"/>
        <v>45467</v>
      </c>
      <c r="E5132" s="234">
        <f t="shared" si="572"/>
        <v>45467</v>
      </c>
      <c r="F5132" s="479"/>
      <c r="G5132" s="227" t="s">
        <v>1111</v>
      </c>
      <c r="H5132" s="227"/>
      <c r="I5132" s="228"/>
      <c r="J5132" s="229" t="s">
        <v>55</v>
      </c>
      <c r="K5132" s="294"/>
      <c r="L5132" s="230">
        <v>9717750</v>
      </c>
    </row>
    <row r="5133" spans="1:13" ht="11.25" customHeight="1" x14ac:dyDescent="0.2">
      <c r="A5133" s="221">
        <v>2024</v>
      </c>
      <c r="B5133" s="231">
        <v>6</v>
      </c>
      <c r="C5133" s="231">
        <v>24</v>
      </c>
      <c r="D5133" s="231">
        <f t="shared" si="573"/>
        <v>45467</v>
      </c>
      <c r="E5133" s="233">
        <f t="shared" si="572"/>
        <v>45467</v>
      </c>
      <c r="F5133" s="478" t="s">
        <v>1745</v>
      </c>
      <c r="G5133" s="222" t="s">
        <v>1111</v>
      </c>
      <c r="H5133" s="222"/>
      <c r="I5133" s="223"/>
      <c r="J5133" s="224" t="s">
        <v>55</v>
      </c>
      <c r="K5133" s="357">
        <v>15000000</v>
      </c>
      <c r="L5133" s="225"/>
    </row>
    <row r="5134" spans="1:13" ht="11.25" customHeight="1" x14ac:dyDescent="0.2">
      <c r="A5134" s="164">
        <v>2024</v>
      </c>
      <c r="B5134" s="156">
        <v>6</v>
      </c>
      <c r="C5134" s="156">
        <v>24</v>
      </c>
      <c r="D5134" s="156">
        <f t="shared" si="573"/>
        <v>45467</v>
      </c>
      <c r="E5134" s="235">
        <f t="shared" ref="E5134" si="574">DATE(A5134,B5134,C5134)</f>
        <v>45467</v>
      </c>
      <c r="F5134" s="480"/>
      <c r="G5134" s="208" t="s">
        <v>1111</v>
      </c>
      <c r="H5134" s="208"/>
      <c r="J5134" s="165" t="s">
        <v>199</v>
      </c>
      <c r="K5134" s="263">
        <v>5000000</v>
      </c>
      <c r="L5134" s="205"/>
    </row>
    <row r="5135" spans="1:13" ht="11.25" customHeight="1" x14ac:dyDescent="0.2">
      <c r="A5135" s="164">
        <v>2024</v>
      </c>
      <c r="B5135" s="156">
        <v>6</v>
      </c>
      <c r="C5135" s="156">
        <v>24</v>
      </c>
      <c r="D5135" s="164">
        <f t="shared" si="573"/>
        <v>45467</v>
      </c>
      <c r="E5135" s="235">
        <f t="shared" si="572"/>
        <v>45467</v>
      </c>
      <c r="F5135" s="480"/>
      <c r="G5135" s="208" t="s">
        <v>1111</v>
      </c>
      <c r="H5135" s="208"/>
      <c r="J5135" s="165" t="s">
        <v>1617</v>
      </c>
      <c r="K5135" s="263"/>
      <c r="L5135" s="205">
        <v>549250</v>
      </c>
    </row>
    <row r="5136" spans="1:13" ht="11.25" customHeight="1" x14ac:dyDescent="0.2">
      <c r="A5136" s="226">
        <v>2024</v>
      </c>
      <c r="B5136" s="232">
        <v>6</v>
      </c>
      <c r="C5136" s="232">
        <v>24</v>
      </c>
      <c r="D5136" s="226">
        <f t="shared" si="573"/>
        <v>45467</v>
      </c>
      <c r="E5136" s="234">
        <f t="shared" si="572"/>
        <v>45467</v>
      </c>
      <c r="F5136" s="479"/>
      <c r="G5136" s="227" t="s">
        <v>1111</v>
      </c>
      <c r="H5136" s="227"/>
      <c r="I5136" s="228"/>
      <c r="J5136" s="229" t="s">
        <v>1465</v>
      </c>
      <c r="K5136" s="294"/>
      <c r="L5136" s="230">
        <v>19450750</v>
      </c>
    </row>
    <row r="5137" spans="1:12" ht="11.25" customHeight="1" x14ac:dyDescent="0.2">
      <c r="A5137" s="221">
        <v>2024</v>
      </c>
      <c r="B5137" s="221">
        <v>6</v>
      </c>
      <c r="C5137" s="221">
        <v>25</v>
      </c>
      <c r="D5137" s="231">
        <f t="shared" si="573"/>
        <v>45468</v>
      </c>
      <c r="E5137" s="233">
        <f t="shared" ref="E5137:E5138" si="575">DATE(A5137,B5137,C5137)</f>
        <v>45468</v>
      </c>
      <c r="F5137" s="478" t="s">
        <v>1735</v>
      </c>
      <c r="G5137" s="222" t="s">
        <v>1111</v>
      </c>
      <c r="H5137" s="222"/>
      <c r="I5137" s="223"/>
      <c r="J5137" s="224" t="s">
        <v>1465</v>
      </c>
      <c r="K5137" s="357">
        <v>33293752</v>
      </c>
      <c r="L5137" s="225"/>
    </row>
    <row r="5138" spans="1:12" ht="11.25" customHeight="1" x14ac:dyDescent="0.2">
      <c r="A5138" s="226">
        <v>2024</v>
      </c>
      <c r="B5138" s="226">
        <v>6</v>
      </c>
      <c r="C5138" s="226">
        <v>25</v>
      </c>
      <c r="D5138" s="226">
        <f t="shared" si="573"/>
        <v>45468</v>
      </c>
      <c r="E5138" s="234">
        <f t="shared" si="575"/>
        <v>45468</v>
      </c>
      <c r="F5138" s="479"/>
      <c r="G5138" s="227" t="s">
        <v>1111</v>
      </c>
      <c r="H5138" s="227"/>
      <c r="I5138" s="228"/>
      <c r="J5138" s="229" t="s">
        <v>55</v>
      </c>
      <c r="K5138" s="294"/>
      <c r="L5138" s="230">
        <v>33293752</v>
      </c>
    </row>
    <row r="5139" spans="1:12" ht="11.25" customHeight="1" x14ac:dyDescent="0.2">
      <c r="A5139" s="221">
        <v>2024</v>
      </c>
      <c r="B5139" s="221">
        <v>6</v>
      </c>
      <c r="C5139" s="231">
        <v>25</v>
      </c>
      <c r="D5139" s="231">
        <f t="shared" si="573"/>
        <v>45468</v>
      </c>
      <c r="E5139" s="233">
        <f t="shared" si="572"/>
        <v>45468</v>
      </c>
      <c r="F5139" s="478" t="s">
        <v>1115</v>
      </c>
      <c r="G5139" s="222" t="s">
        <v>1111</v>
      </c>
      <c r="H5139" s="223"/>
      <c r="I5139" s="223" t="s">
        <v>370</v>
      </c>
      <c r="J5139" s="224" t="s">
        <v>14</v>
      </c>
      <c r="K5139" s="167">
        <v>304660</v>
      </c>
      <c r="L5139" s="225"/>
    </row>
    <row r="5140" spans="1:12" ht="11.25" customHeight="1" x14ac:dyDescent="0.2">
      <c r="A5140" s="164">
        <v>2024</v>
      </c>
      <c r="B5140" s="164">
        <v>6</v>
      </c>
      <c r="C5140" s="156">
        <v>25</v>
      </c>
      <c r="D5140" s="156">
        <f t="shared" si="573"/>
        <v>45468</v>
      </c>
      <c r="E5140" s="235">
        <f t="shared" si="572"/>
        <v>45468</v>
      </c>
      <c r="F5140" s="480"/>
      <c r="G5140" s="208" t="s">
        <v>1111</v>
      </c>
      <c r="I5140" s="206" t="s">
        <v>370</v>
      </c>
      <c r="J5140" s="165" t="s">
        <v>1112</v>
      </c>
      <c r="L5140" s="205">
        <v>4660</v>
      </c>
    </row>
    <row r="5141" spans="1:12" ht="11.25" customHeight="1" x14ac:dyDescent="0.2">
      <c r="A5141" s="226">
        <v>2024</v>
      </c>
      <c r="B5141" s="226">
        <v>6</v>
      </c>
      <c r="C5141" s="232">
        <v>25</v>
      </c>
      <c r="D5141" s="232">
        <f t="shared" si="573"/>
        <v>45468</v>
      </c>
      <c r="E5141" s="234">
        <f t="shared" si="572"/>
        <v>45468</v>
      </c>
      <c r="F5141" s="479"/>
      <c r="G5141" s="227" t="s">
        <v>1111</v>
      </c>
      <c r="H5141" s="228"/>
      <c r="I5141" s="228" t="s">
        <v>370</v>
      </c>
      <c r="J5141" s="229" t="s">
        <v>55</v>
      </c>
      <c r="K5141" s="230"/>
      <c r="L5141" s="230">
        <v>300000</v>
      </c>
    </row>
    <row r="5142" spans="1:12" ht="11.25" customHeight="1" x14ac:dyDescent="0.2">
      <c r="A5142" s="221">
        <v>2024</v>
      </c>
      <c r="B5142" s="221">
        <v>6</v>
      </c>
      <c r="C5142" s="231">
        <v>26</v>
      </c>
      <c r="D5142" s="231">
        <f t="shared" si="573"/>
        <v>45469</v>
      </c>
      <c r="E5142" s="233">
        <f t="shared" ref="E5142:E5144" si="576">DATE(A5142,B5142,C5142)</f>
        <v>45469</v>
      </c>
      <c r="F5142" s="478" t="s">
        <v>1115</v>
      </c>
      <c r="G5142" s="222" t="s">
        <v>1111</v>
      </c>
      <c r="H5142" s="223"/>
      <c r="I5142" s="223" t="s">
        <v>320</v>
      </c>
      <c r="J5142" s="224" t="s">
        <v>14</v>
      </c>
      <c r="K5142" s="167">
        <v>609320</v>
      </c>
      <c r="L5142" s="225"/>
    </row>
    <row r="5143" spans="1:12" ht="11.25" customHeight="1" x14ac:dyDescent="0.2">
      <c r="A5143" s="164">
        <v>2024</v>
      </c>
      <c r="B5143" s="164">
        <v>6</v>
      </c>
      <c r="C5143" s="156">
        <v>26</v>
      </c>
      <c r="D5143" s="156">
        <f t="shared" si="573"/>
        <v>45469</v>
      </c>
      <c r="E5143" s="235">
        <f t="shared" si="576"/>
        <v>45469</v>
      </c>
      <c r="F5143" s="480"/>
      <c r="G5143" s="208" t="s">
        <v>1111</v>
      </c>
      <c r="I5143" s="206" t="s">
        <v>320</v>
      </c>
      <c r="J5143" s="165" t="s">
        <v>1112</v>
      </c>
      <c r="L5143" s="205">
        <v>9320</v>
      </c>
    </row>
    <row r="5144" spans="1:12" ht="11.25" customHeight="1" x14ac:dyDescent="0.2">
      <c r="A5144" s="226">
        <v>2024</v>
      </c>
      <c r="B5144" s="226">
        <v>6</v>
      </c>
      <c r="C5144" s="232">
        <v>26</v>
      </c>
      <c r="D5144" s="232">
        <f t="shared" si="573"/>
        <v>45469</v>
      </c>
      <c r="E5144" s="234">
        <f t="shared" si="576"/>
        <v>45469</v>
      </c>
      <c r="F5144" s="479"/>
      <c r="G5144" s="227" t="s">
        <v>1111</v>
      </c>
      <c r="H5144" s="228"/>
      <c r="I5144" s="228" t="s">
        <v>320</v>
      </c>
      <c r="J5144" s="229" t="s">
        <v>55</v>
      </c>
      <c r="K5144" s="230"/>
      <c r="L5144" s="230">
        <v>600000</v>
      </c>
    </row>
    <row r="5145" spans="1:12" ht="11.25" customHeight="1" x14ac:dyDescent="0.2">
      <c r="A5145" s="221">
        <v>2024</v>
      </c>
      <c r="B5145" s="221">
        <v>6</v>
      </c>
      <c r="C5145" s="231">
        <v>26</v>
      </c>
      <c r="D5145" s="231">
        <f t="shared" si="573"/>
        <v>45469</v>
      </c>
      <c r="E5145" s="233">
        <f t="shared" si="571"/>
        <v>45469</v>
      </c>
      <c r="F5145" s="478" t="s">
        <v>1132</v>
      </c>
      <c r="G5145" s="222" t="s">
        <v>1111</v>
      </c>
      <c r="H5145" s="223"/>
      <c r="I5145" s="223"/>
      <c r="J5145" s="224" t="s">
        <v>55</v>
      </c>
      <c r="K5145" s="167">
        <v>15000</v>
      </c>
      <c r="L5145" s="225"/>
    </row>
    <row r="5146" spans="1:12" ht="11.25" customHeight="1" x14ac:dyDescent="0.2">
      <c r="A5146" s="164">
        <v>2024</v>
      </c>
      <c r="B5146" s="164">
        <v>6</v>
      </c>
      <c r="C5146" s="156">
        <v>26</v>
      </c>
      <c r="D5146" s="156">
        <f t="shared" si="573"/>
        <v>45469</v>
      </c>
      <c r="E5146" s="235">
        <f t="shared" si="571"/>
        <v>45469</v>
      </c>
      <c r="F5146" s="480"/>
      <c r="G5146" s="208" t="s">
        <v>1111</v>
      </c>
      <c r="J5146" s="165" t="s">
        <v>14</v>
      </c>
      <c r="L5146" s="205">
        <v>15240</v>
      </c>
    </row>
    <row r="5147" spans="1:12" ht="11.25" customHeight="1" x14ac:dyDescent="0.2">
      <c r="A5147" s="226">
        <v>2024</v>
      </c>
      <c r="B5147" s="226">
        <v>6</v>
      </c>
      <c r="C5147" s="232">
        <v>26</v>
      </c>
      <c r="D5147" s="232">
        <f t="shared" si="573"/>
        <v>45469</v>
      </c>
      <c r="E5147" s="234">
        <f t="shared" si="571"/>
        <v>45469</v>
      </c>
      <c r="F5147" s="479"/>
      <c r="G5147" s="227" t="s">
        <v>1111</v>
      </c>
      <c r="H5147" s="228"/>
      <c r="I5147" s="228"/>
      <c r="J5147" s="229" t="s">
        <v>1112</v>
      </c>
      <c r="K5147" s="230">
        <v>240</v>
      </c>
      <c r="L5147" s="230"/>
    </row>
    <row r="5148" spans="1:12" ht="11.25" customHeight="1" x14ac:dyDescent="0.2">
      <c r="A5148" s="221">
        <v>2024</v>
      </c>
      <c r="B5148" s="221">
        <v>6</v>
      </c>
      <c r="C5148" s="221">
        <v>26</v>
      </c>
      <c r="D5148" s="231">
        <f t="shared" si="573"/>
        <v>45469</v>
      </c>
      <c r="E5148" s="233">
        <f t="shared" si="571"/>
        <v>45469</v>
      </c>
      <c r="F5148" s="478" t="s">
        <v>1670</v>
      </c>
      <c r="G5148" s="222" t="s">
        <v>1111</v>
      </c>
      <c r="H5148" s="223"/>
      <c r="I5148" s="223"/>
      <c r="J5148" s="224" t="s">
        <v>63</v>
      </c>
      <c r="K5148" s="225">
        <v>100</v>
      </c>
      <c r="L5148" s="225"/>
    </row>
    <row r="5149" spans="1:12" ht="11.25" customHeight="1" x14ac:dyDescent="0.2">
      <c r="A5149" s="226">
        <v>2024</v>
      </c>
      <c r="B5149" s="226">
        <v>6</v>
      </c>
      <c r="C5149" s="226">
        <v>26</v>
      </c>
      <c r="D5149" s="232">
        <f t="shared" si="573"/>
        <v>45469</v>
      </c>
      <c r="E5149" s="234">
        <f t="shared" si="571"/>
        <v>45469</v>
      </c>
      <c r="F5149" s="479"/>
      <c r="G5149" s="227" t="s">
        <v>1111</v>
      </c>
      <c r="H5149" s="228"/>
      <c r="I5149" s="228"/>
      <c r="J5149" s="229" t="s">
        <v>55</v>
      </c>
      <c r="K5149" s="230"/>
      <c r="L5149" s="230">
        <v>100</v>
      </c>
    </row>
    <row r="5150" spans="1:12" ht="11.25" customHeight="1" x14ac:dyDescent="0.2">
      <c r="A5150" s="221">
        <v>2024</v>
      </c>
      <c r="B5150" s="231">
        <v>6</v>
      </c>
      <c r="C5150" s="231">
        <v>27</v>
      </c>
      <c r="D5150" s="231">
        <f t="shared" si="573"/>
        <v>45470</v>
      </c>
      <c r="E5150" s="233">
        <f t="shared" si="571"/>
        <v>45470</v>
      </c>
      <c r="F5150" s="478" t="s">
        <v>1743</v>
      </c>
      <c r="G5150" s="222" t="s">
        <v>1111</v>
      </c>
      <c r="H5150" s="222"/>
      <c r="I5150" s="223"/>
      <c r="J5150" s="224" t="s">
        <v>55</v>
      </c>
      <c r="K5150" s="357">
        <v>33293752</v>
      </c>
      <c r="L5150" s="225"/>
    </row>
    <row r="5151" spans="1:12" ht="11.25" customHeight="1" x14ac:dyDescent="0.2">
      <c r="A5151" s="226">
        <v>2024</v>
      </c>
      <c r="B5151" s="232">
        <v>6</v>
      </c>
      <c r="C5151" s="232">
        <v>27</v>
      </c>
      <c r="D5151" s="226">
        <f t="shared" si="573"/>
        <v>45470</v>
      </c>
      <c r="E5151" s="234">
        <f t="shared" si="571"/>
        <v>45470</v>
      </c>
      <c r="F5151" s="479"/>
      <c r="G5151" s="227" t="s">
        <v>1111</v>
      </c>
      <c r="H5151" s="227"/>
      <c r="I5151" s="228"/>
      <c r="J5151" s="229" t="s">
        <v>1465</v>
      </c>
      <c r="K5151" s="294"/>
      <c r="L5151" s="230">
        <v>33293752</v>
      </c>
    </row>
    <row r="5152" spans="1:12" ht="11.25" customHeight="1" x14ac:dyDescent="0.2">
      <c r="A5152" s="280">
        <v>2024</v>
      </c>
      <c r="B5152" s="280">
        <v>6</v>
      </c>
      <c r="C5152" s="280">
        <v>27</v>
      </c>
      <c r="D5152" s="281">
        <f t="shared" si="573"/>
        <v>45470</v>
      </c>
      <c r="E5152" s="282">
        <f t="shared" ref="E5152:E5153" si="577">DATE(A5152,B5152,C5152)</f>
        <v>45470</v>
      </c>
      <c r="F5152" s="472" t="s">
        <v>1744</v>
      </c>
      <c r="G5152" s="283" t="s">
        <v>86</v>
      </c>
      <c r="H5152" s="284"/>
      <c r="I5152" s="284"/>
      <c r="J5152" s="285" t="s">
        <v>131</v>
      </c>
      <c r="K5152" s="286">
        <v>58075</v>
      </c>
      <c r="L5152" s="286"/>
    </row>
    <row r="5153" spans="1:13" ht="11.25" customHeight="1" x14ac:dyDescent="0.2">
      <c r="A5153" s="287">
        <v>2024</v>
      </c>
      <c r="B5153" s="287">
        <v>6</v>
      </c>
      <c r="C5153" s="287">
        <v>27</v>
      </c>
      <c r="D5153" s="288">
        <f t="shared" si="573"/>
        <v>45470</v>
      </c>
      <c r="E5153" s="289">
        <f t="shared" si="577"/>
        <v>45470</v>
      </c>
      <c r="F5153" s="473"/>
      <c r="G5153" s="290" t="s">
        <v>86</v>
      </c>
      <c r="H5153" s="291"/>
      <c r="I5153" s="291"/>
      <c r="J5153" s="292" t="s">
        <v>174</v>
      </c>
      <c r="K5153" s="293"/>
      <c r="L5153" s="293">
        <v>58075</v>
      </c>
    </row>
    <row r="5154" spans="1:13" ht="11.25" customHeight="1" x14ac:dyDescent="0.2">
      <c r="A5154" s="358">
        <v>2024</v>
      </c>
      <c r="B5154" s="358">
        <v>6</v>
      </c>
      <c r="C5154" s="358">
        <v>27</v>
      </c>
      <c r="D5154" s="312">
        <f t="shared" si="573"/>
        <v>45470</v>
      </c>
      <c r="E5154" s="313">
        <f>DATE(A5154,B5154,C5154)</f>
        <v>45470</v>
      </c>
      <c r="F5154" s="482" t="s">
        <v>1627</v>
      </c>
      <c r="G5154" s="314" t="s">
        <v>86</v>
      </c>
      <c r="H5154" s="324"/>
      <c r="I5154" s="324"/>
      <c r="J5154" s="364" t="s">
        <v>1613</v>
      </c>
      <c r="K5154" s="365">
        <v>488550</v>
      </c>
      <c r="L5154" s="365"/>
    </row>
    <row r="5155" spans="1:13" ht="11.25" customHeight="1" x14ac:dyDescent="0.2">
      <c r="A5155" s="320">
        <v>2024</v>
      </c>
      <c r="B5155" s="320">
        <v>6</v>
      </c>
      <c r="C5155" s="320">
        <v>27</v>
      </c>
      <c r="D5155" s="323">
        <f t="shared" si="573"/>
        <v>45470</v>
      </c>
      <c r="E5155" s="321">
        <f t="shared" ref="E5155" si="578">DATE(A5155,B5155,C5155)</f>
        <v>45470</v>
      </c>
      <c r="F5155" s="483"/>
      <c r="G5155" s="322" t="s">
        <v>86</v>
      </c>
      <c r="H5155" s="325"/>
      <c r="I5155" s="325"/>
      <c r="J5155" s="366" t="s">
        <v>1621</v>
      </c>
      <c r="K5155" s="367"/>
      <c r="L5155" s="367">
        <f>K5154</f>
        <v>488550</v>
      </c>
    </row>
    <row r="5156" spans="1:13" ht="11.25" customHeight="1" x14ac:dyDescent="0.2">
      <c r="A5156" s="358">
        <v>2024</v>
      </c>
      <c r="B5156" s="358">
        <v>6</v>
      </c>
      <c r="C5156" s="358">
        <v>27</v>
      </c>
      <c r="D5156" s="312">
        <f t="shared" si="573"/>
        <v>45470</v>
      </c>
      <c r="E5156" s="313">
        <f>DATE(A5156,B5156,C5156)</f>
        <v>45470</v>
      </c>
      <c r="F5156" s="482" t="s">
        <v>1713</v>
      </c>
      <c r="G5156" s="314" t="s">
        <v>86</v>
      </c>
      <c r="H5156" s="324"/>
      <c r="I5156" s="324"/>
      <c r="J5156" s="364" t="s">
        <v>1622</v>
      </c>
      <c r="K5156" s="365">
        <v>93805</v>
      </c>
      <c r="L5156" s="365"/>
    </row>
    <row r="5157" spans="1:13" ht="11.25" customHeight="1" x14ac:dyDescent="0.2">
      <c r="A5157" s="320">
        <v>2024</v>
      </c>
      <c r="B5157" s="320">
        <v>6</v>
      </c>
      <c r="C5157" s="320">
        <v>27</v>
      </c>
      <c r="D5157" s="323">
        <f t="shared" si="573"/>
        <v>45470</v>
      </c>
      <c r="E5157" s="321">
        <f t="shared" ref="E5157:E5169" si="579">DATE(A5157,B5157,C5157)</f>
        <v>45470</v>
      </c>
      <c r="F5157" s="483"/>
      <c r="G5157" s="322" t="s">
        <v>86</v>
      </c>
      <c r="H5157" s="325"/>
      <c r="I5157" s="325"/>
      <c r="J5157" s="366" t="s">
        <v>1614</v>
      </c>
      <c r="K5157" s="367"/>
      <c r="L5157" s="367">
        <f>K5156</f>
        <v>93805</v>
      </c>
    </row>
    <row r="5158" spans="1:13" ht="11.25" customHeight="1" x14ac:dyDescent="0.2">
      <c r="A5158" s="236">
        <v>2024</v>
      </c>
      <c r="B5158" s="236">
        <v>6</v>
      </c>
      <c r="C5158" s="236">
        <v>27</v>
      </c>
      <c r="D5158" s="237">
        <f t="shared" si="573"/>
        <v>45470</v>
      </c>
      <c r="E5158" s="238">
        <f t="shared" si="579"/>
        <v>45470</v>
      </c>
      <c r="F5158" s="476" t="s">
        <v>1118</v>
      </c>
      <c r="G5158" s="239" t="s">
        <v>86</v>
      </c>
      <c r="H5158" s="239"/>
      <c r="I5158" s="240"/>
      <c r="J5158" s="241" t="s">
        <v>98</v>
      </c>
      <c r="K5158" s="242">
        <v>618047.69999999553</v>
      </c>
      <c r="L5158" s="242"/>
    </row>
    <row r="5159" spans="1:13" ht="11.25" customHeight="1" x14ac:dyDescent="0.2">
      <c r="A5159" s="243">
        <v>2024</v>
      </c>
      <c r="B5159" s="243">
        <v>6</v>
      </c>
      <c r="C5159" s="243">
        <v>27</v>
      </c>
      <c r="D5159" s="248">
        <f t="shared" si="573"/>
        <v>45470</v>
      </c>
      <c r="E5159" s="249">
        <f t="shared" si="579"/>
        <v>45470</v>
      </c>
      <c r="F5159" s="477"/>
      <c r="G5159" s="244" t="s">
        <v>86</v>
      </c>
      <c r="H5159" s="244"/>
      <c r="I5159" s="245"/>
      <c r="J5159" s="246" t="s">
        <v>82</v>
      </c>
      <c r="K5159" s="247"/>
      <c r="L5159" s="247">
        <f>K5158</f>
        <v>618047.69999999553</v>
      </c>
    </row>
    <row r="5160" spans="1:13" ht="11.25" customHeight="1" x14ac:dyDescent="0.2">
      <c r="A5160" s="236">
        <v>2024</v>
      </c>
      <c r="B5160" s="236">
        <v>6</v>
      </c>
      <c r="C5160" s="236">
        <v>27</v>
      </c>
      <c r="D5160" s="237">
        <f t="shared" si="573"/>
        <v>45470</v>
      </c>
      <c r="E5160" s="238">
        <f t="shared" si="579"/>
        <v>45470</v>
      </c>
      <c r="F5160" s="476" t="s">
        <v>1120</v>
      </c>
      <c r="G5160" s="239" t="s">
        <v>86</v>
      </c>
      <c r="H5160" s="239"/>
      <c r="I5160" s="240"/>
      <c r="J5160" s="241" t="s">
        <v>87</v>
      </c>
      <c r="K5160" s="242">
        <v>2747.2527472527472</v>
      </c>
      <c r="L5160" s="242"/>
    </row>
    <row r="5161" spans="1:13" ht="11.25" customHeight="1" x14ac:dyDescent="0.2">
      <c r="A5161" s="243">
        <v>2024</v>
      </c>
      <c r="B5161" s="243">
        <v>6</v>
      </c>
      <c r="C5161" s="243">
        <v>27</v>
      </c>
      <c r="D5161" s="248">
        <f t="shared" si="573"/>
        <v>45470</v>
      </c>
      <c r="E5161" s="249">
        <f t="shared" si="579"/>
        <v>45470</v>
      </c>
      <c r="F5161" s="477"/>
      <c r="G5161" s="244" t="s">
        <v>86</v>
      </c>
      <c r="H5161" s="244"/>
      <c r="I5161" s="245"/>
      <c r="J5161" s="246" t="s">
        <v>64</v>
      </c>
      <c r="K5161" s="247"/>
      <c r="L5161" s="247">
        <v>2747.2527472527472</v>
      </c>
    </row>
    <row r="5162" spans="1:13" ht="11.25" customHeight="1" x14ac:dyDescent="0.2">
      <c r="A5162" s="236">
        <v>2024</v>
      </c>
      <c r="B5162" s="236">
        <v>6</v>
      </c>
      <c r="C5162" s="236">
        <v>27</v>
      </c>
      <c r="D5162" s="237">
        <f t="shared" si="573"/>
        <v>45470</v>
      </c>
      <c r="E5162" s="238">
        <f t="shared" si="579"/>
        <v>45470</v>
      </c>
      <c r="F5162" s="476" t="s">
        <v>1121</v>
      </c>
      <c r="G5162" s="239" t="s">
        <v>86</v>
      </c>
      <c r="H5162" s="239"/>
      <c r="I5162" s="240"/>
      <c r="J5162" s="241" t="s">
        <v>89</v>
      </c>
      <c r="K5162" s="242">
        <f>M5162</f>
        <v>64667.655263483939</v>
      </c>
      <c r="L5162" s="242"/>
      <c r="M5162" s="156">
        <v>64667.655263483939</v>
      </c>
    </row>
    <row r="5163" spans="1:13" ht="11.25" customHeight="1" x14ac:dyDescent="0.2">
      <c r="A5163" s="243">
        <v>2024</v>
      </c>
      <c r="B5163" s="243">
        <v>6</v>
      </c>
      <c r="C5163" s="243">
        <v>27</v>
      </c>
      <c r="D5163" s="248">
        <f t="shared" si="573"/>
        <v>45470</v>
      </c>
      <c r="E5163" s="249">
        <f t="shared" si="579"/>
        <v>45470</v>
      </c>
      <c r="F5163" s="477"/>
      <c r="G5163" s="244" t="s">
        <v>86</v>
      </c>
      <c r="H5163" s="244"/>
      <c r="I5163" s="245"/>
      <c r="J5163" s="246" t="s">
        <v>50</v>
      </c>
      <c r="K5163" s="247"/>
      <c r="L5163" s="247">
        <f>K5162</f>
        <v>64667.655263483939</v>
      </c>
      <c r="M5163" s="156">
        <v>2992.9981477895813</v>
      </c>
    </row>
    <row r="5164" spans="1:13" ht="11.25" customHeight="1" x14ac:dyDescent="0.2">
      <c r="A5164" s="236">
        <v>2024</v>
      </c>
      <c r="B5164" s="236">
        <v>6</v>
      </c>
      <c r="C5164" s="236">
        <v>27</v>
      </c>
      <c r="D5164" s="237">
        <f t="shared" si="573"/>
        <v>45470</v>
      </c>
      <c r="E5164" s="238">
        <f t="shared" si="579"/>
        <v>45470</v>
      </c>
      <c r="F5164" s="476" t="s">
        <v>1122</v>
      </c>
      <c r="G5164" s="239" t="s">
        <v>86</v>
      </c>
      <c r="H5164" s="239"/>
      <c r="I5164" s="240"/>
      <c r="J5164" s="241" t="s">
        <v>91</v>
      </c>
      <c r="K5164" s="242">
        <f>M5163</f>
        <v>2992.9981477895813</v>
      </c>
      <c r="L5164" s="242"/>
    </row>
    <row r="5165" spans="1:13" ht="11.25" customHeight="1" x14ac:dyDescent="0.2">
      <c r="A5165" s="243">
        <v>2024</v>
      </c>
      <c r="B5165" s="243">
        <v>6</v>
      </c>
      <c r="C5165" s="243">
        <v>27</v>
      </c>
      <c r="D5165" s="248">
        <f t="shared" si="573"/>
        <v>45470</v>
      </c>
      <c r="E5165" s="249">
        <f t="shared" si="579"/>
        <v>45470</v>
      </c>
      <c r="F5165" s="477"/>
      <c r="G5165" s="244" t="s">
        <v>86</v>
      </c>
      <c r="H5165" s="244"/>
      <c r="I5165" s="245"/>
      <c r="J5165" s="246" t="s">
        <v>51</v>
      </c>
      <c r="K5165" s="247"/>
      <c r="L5165" s="247">
        <f>K5164</f>
        <v>2992.9981477895813</v>
      </c>
    </row>
    <row r="5166" spans="1:13" ht="11.25" customHeight="1" x14ac:dyDescent="0.2">
      <c r="A5166" s="221">
        <v>2024</v>
      </c>
      <c r="B5166" s="221">
        <v>6</v>
      </c>
      <c r="C5166" s="221">
        <v>26</v>
      </c>
      <c r="D5166" s="231">
        <f t="shared" si="573"/>
        <v>45469</v>
      </c>
      <c r="E5166" s="233">
        <f t="shared" si="579"/>
        <v>45469</v>
      </c>
      <c r="F5166" s="478" t="s">
        <v>1676</v>
      </c>
      <c r="G5166" s="222" t="s">
        <v>1111</v>
      </c>
      <c r="H5166" s="223"/>
      <c r="I5166" s="223"/>
      <c r="J5166" s="224" t="s">
        <v>63</v>
      </c>
      <c r="K5166" s="225">
        <v>575</v>
      </c>
      <c r="L5166" s="225"/>
    </row>
    <row r="5167" spans="1:13" ht="11.25" customHeight="1" x14ac:dyDescent="0.2">
      <c r="A5167" s="226">
        <v>2024</v>
      </c>
      <c r="B5167" s="226">
        <v>6</v>
      </c>
      <c r="C5167" s="226">
        <v>26</v>
      </c>
      <c r="D5167" s="232">
        <f t="shared" si="573"/>
        <v>45469</v>
      </c>
      <c r="E5167" s="234">
        <f t="shared" si="579"/>
        <v>45469</v>
      </c>
      <c r="F5167" s="479"/>
      <c r="G5167" s="227" t="s">
        <v>1111</v>
      </c>
      <c r="H5167" s="228"/>
      <c r="I5167" s="228"/>
      <c r="J5167" s="229" t="s">
        <v>55</v>
      </c>
      <c r="K5167" s="230"/>
      <c r="L5167" s="230">
        <v>575</v>
      </c>
    </row>
    <row r="5168" spans="1:13" ht="11.25" customHeight="1" x14ac:dyDescent="0.2">
      <c r="A5168" s="221">
        <v>2024</v>
      </c>
      <c r="B5168" s="221">
        <v>6</v>
      </c>
      <c r="C5168" s="221">
        <v>27</v>
      </c>
      <c r="D5168" s="231">
        <f t="shared" si="573"/>
        <v>45470</v>
      </c>
      <c r="E5168" s="233">
        <f t="shared" si="579"/>
        <v>45470</v>
      </c>
      <c r="F5168" s="478" t="s">
        <v>1753</v>
      </c>
      <c r="G5168" s="222" t="s">
        <v>1111</v>
      </c>
      <c r="H5168" s="223"/>
      <c r="I5168" s="223"/>
      <c r="J5168" s="224" t="s">
        <v>63</v>
      </c>
      <c r="K5168" s="225">
        <v>345</v>
      </c>
      <c r="L5168" s="225"/>
    </row>
    <row r="5169" spans="1:12" ht="11.25" customHeight="1" x14ac:dyDescent="0.2">
      <c r="A5169" s="226">
        <v>2024</v>
      </c>
      <c r="B5169" s="226">
        <v>6</v>
      </c>
      <c r="C5169" s="226">
        <v>27</v>
      </c>
      <c r="D5169" s="232">
        <f t="shared" si="573"/>
        <v>45470</v>
      </c>
      <c r="E5169" s="234">
        <f t="shared" si="579"/>
        <v>45470</v>
      </c>
      <c r="F5169" s="479"/>
      <c r="G5169" s="227" t="s">
        <v>1111</v>
      </c>
      <c r="H5169" s="228"/>
      <c r="I5169" s="228"/>
      <c r="J5169" s="229" t="s">
        <v>55</v>
      </c>
      <c r="K5169" s="230"/>
      <c r="L5169" s="230">
        <v>345</v>
      </c>
    </row>
    <row r="5170" spans="1:12" ht="11.25" customHeight="1" x14ac:dyDescent="0.2">
      <c r="A5170" s="221">
        <v>2024</v>
      </c>
      <c r="B5170" s="221">
        <v>6</v>
      </c>
      <c r="C5170" s="221">
        <v>28</v>
      </c>
      <c r="D5170" s="231">
        <f t="shared" si="573"/>
        <v>45471</v>
      </c>
      <c r="E5170" s="233">
        <f t="shared" ref="E5170:E5171" si="580">DATE(A5170,B5170,C5170)</f>
        <v>45471</v>
      </c>
      <c r="F5170" s="478" t="s">
        <v>1677</v>
      </c>
      <c r="G5170" s="222" t="s">
        <v>1111</v>
      </c>
      <c r="H5170" s="223"/>
      <c r="I5170" s="223"/>
      <c r="J5170" s="224" t="s">
        <v>63</v>
      </c>
      <c r="K5170" s="225">
        <v>805</v>
      </c>
      <c r="L5170" s="225"/>
    </row>
    <row r="5171" spans="1:12" ht="11.25" customHeight="1" x14ac:dyDescent="0.2">
      <c r="A5171" s="226">
        <v>2024</v>
      </c>
      <c r="B5171" s="226">
        <v>6</v>
      </c>
      <c r="C5171" s="226">
        <v>28</v>
      </c>
      <c r="D5171" s="232">
        <f t="shared" si="573"/>
        <v>45471</v>
      </c>
      <c r="E5171" s="234">
        <f t="shared" si="580"/>
        <v>45471</v>
      </c>
      <c r="F5171" s="479"/>
      <c r="G5171" s="227" t="s">
        <v>1111</v>
      </c>
      <c r="H5171" s="228"/>
      <c r="I5171" s="228"/>
      <c r="J5171" s="229" t="s">
        <v>55</v>
      </c>
      <c r="K5171" s="230"/>
      <c r="L5171" s="230">
        <v>805</v>
      </c>
    </row>
    <row r="5172" spans="1:12" ht="11.25" customHeight="1" x14ac:dyDescent="0.2">
      <c r="A5172" s="221">
        <v>2024</v>
      </c>
      <c r="B5172" s="221">
        <v>6</v>
      </c>
      <c r="C5172" s="221">
        <v>30</v>
      </c>
      <c r="D5172" s="221">
        <f t="shared" si="573"/>
        <v>45473</v>
      </c>
      <c r="E5172" s="233">
        <f>DATE(A5172,B5172,C5172)</f>
        <v>45473</v>
      </c>
      <c r="F5172" s="478" t="s">
        <v>1589</v>
      </c>
      <c r="G5172" s="222" t="s">
        <v>86</v>
      </c>
      <c r="H5172" s="222"/>
      <c r="I5172" s="223"/>
      <c r="J5172" s="165" t="s">
        <v>199</v>
      </c>
      <c r="K5172" s="225">
        <v>3808828.55</v>
      </c>
      <c r="L5172" s="225"/>
    </row>
    <row r="5173" spans="1:12" ht="11.25" customHeight="1" x14ac:dyDescent="0.2">
      <c r="A5173" s="164">
        <v>2024</v>
      </c>
      <c r="B5173" s="164">
        <v>6</v>
      </c>
      <c r="C5173" s="164">
        <v>30</v>
      </c>
      <c r="D5173" s="164">
        <f t="shared" si="573"/>
        <v>45473</v>
      </c>
      <c r="E5173" s="235">
        <f>DATE(A5173,B5173,C5173)</f>
        <v>45473</v>
      </c>
      <c r="F5173" s="480"/>
      <c r="G5173" s="208" t="s">
        <v>86</v>
      </c>
      <c r="H5173" s="208"/>
      <c r="J5173" s="165" t="s">
        <v>960</v>
      </c>
      <c r="K5173" s="205">
        <v>6868.25</v>
      </c>
      <c r="L5173" s="205"/>
    </row>
    <row r="5174" spans="1:12" ht="11.25" customHeight="1" x14ac:dyDescent="0.2">
      <c r="A5174" s="164">
        <v>2024</v>
      </c>
      <c r="B5174" s="164">
        <v>6</v>
      </c>
      <c r="C5174" s="164">
        <v>30</v>
      </c>
      <c r="D5174" s="164">
        <f t="shared" si="573"/>
        <v>45473</v>
      </c>
      <c r="E5174" s="235">
        <f>DATE(A5174,B5174,C5174)</f>
        <v>45473</v>
      </c>
      <c r="F5174" s="480"/>
      <c r="G5174" s="208" t="s">
        <v>86</v>
      </c>
      <c r="H5174" s="208"/>
      <c r="J5174" s="165" t="s">
        <v>200</v>
      </c>
      <c r="K5174" s="205"/>
      <c r="L5174" s="205">
        <v>97639.07</v>
      </c>
    </row>
    <row r="5175" spans="1:12" ht="11.25" customHeight="1" x14ac:dyDescent="0.2">
      <c r="A5175" s="226">
        <v>2024</v>
      </c>
      <c r="B5175" s="226">
        <v>6</v>
      </c>
      <c r="C5175" s="226">
        <v>30</v>
      </c>
      <c r="D5175" s="226">
        <f t="shared" si="573"/>
        <v>45473</v>
      </c>
      <c r="E5175" s="234">
        <f>DATE(A5175,B5175,C5175)</f>
        <v>45473</v>
      </c>
      <c r="F5175" s="479"/>
      <c r="G5175" s="227" t="s">
        <v>86</v>
      </c>
      <c r="H5175" s="228"/>
      <c r="I5175" s="228"/>
      <c r="J5175" s="229" t="s">
        <v>80</v>
      </c>
      <c r="K5175" s="230"/>
      <c r="L5175" s="230">
        <v>3718057.73</v>
      </c>
    </row>
    <row r="5176" spans="1:12" ht="11.25" customHeight="1" x14ac:dyDescent="0.2">
      <c r="A5176" s="221">
        <v>2024</v>
      </c>
      <c r="B5176" s="231">
        <v>6</v>
      </c>
      <c r="C5176" s="231">
        <v>30</v>
      </c>
      <c r="D5176" s="231">
        <f t="shared" si="573"/>
        <v>45473</v>
      </c>
      <c r="E5176" s="233">
        <f t="shared" ref="E5176:E5179" si="581">DATE(A5176,B5176,C5176)</f>
        <v>45473</v>
      </c>
      <c r="F5176" s="478" t="s">
        <v>1746</v>
      </c>
      <c r="G5176" s="222" t="s">
        <v>1111</v>
      </c>
      <c r="H5176" s="222"/>
      <c r="I5176" s="223"/>
      <c r="J5176" s="224" t="s">
        <v>55</v>
      </c>
      <c r="K5176" s="357">
        <v>5000000</v>
      </c>
      <c r="L5176" s="225"/>
    </row>
    <row r="5177" spans="1:12" ht="11.25" customHeight="1" x14ac:dyDescent="0.2">
      <c r="A5177" s="226">
        <v>2024</v>
      </c>
      <c r="B5177" s="232">
        <v>6</v>
      </c>
      <c r="C5177" s="232">
        <v>30</v>
      </c>
      <c r="D5177" s="232">
        <f t="shared" si="573"/>
        <v>45473</v>
      </c>
      <c r="E5177" s="234">
        <f t="shared" si="581"/>
        <v>45473</v>
      </c>
      <c r="F5177" s="479"/>
      <c r="G5177" s="227" t="s">
        <v>1111</v>
      </c>
      <c r="H5177" s="227"/>
      <c r="I5177" s="228"/>
      <c r="J5177" s="229" t="s">
        <v>199</v>
      </c>
      <c r="K5177" s="294"/>
      <c r="L5177" s="230">
        <v>5000000</v>
      </c>
    </row>
    <row r="5178" spans="1:12" ht="11.25" customHeight="1" x14ac:dyDescent="0.2">
      <c r="A5178" s="221">
        <v>2024</v>
      </c>
      <c r="B5178" s="221">
        <v>6</v>
      </c>
      <c r="C5178" s="221">
        <v>30</v>
      </c>
      <c r="D5178" s="231">
        <f t="shared" si="573"/>
        <v>45473</v>
      </c>
      <c r="E5178" s="233">
        <f t="shared" si="581"/>
        <v>45473</v>
      </c>
      <c r="F5178" s="478" t="s">
        <v>1670</v>
      </c>
      <c r="G5178" s="222" t="s">
        <v>1111</v>
      </c>
      <c r="H5178" s="223"/>
      <c r="I5178" s="223"/>
      <c r="J5178" s="224" t="s">
        <v>63</v>
      </c>
      <c r="K5178" s="225">
        <v>345</v>
      </c>
      <c r="L5178" s="225"/>
    </row>
    <row r="5179" spans="1:12" ht="11.25" customHeight="1" x14ac:dyDescent="0.2">
      <c r="A5179" s="226">
        <v>2024</v>
      </c>
      <c r="B5179" s="226">
        <v>6</v>
      </c>
      <c r="C5179" s="226">
        <v>30</v>
      </c>
      <c r="D5179" s="232">
        <f t="shared" si="573"/>
        <v>45473</v>
      </c>
      <c r="E5179" s="234">
        <f t="shared" si="581"/>
        <v>45473</v>
      </c>
      <c r="F5179" s="479"/>
      <c r="G5179" s="227" t="s">
        <v>1111</v>
      </c>
      <c r="H5179" s="228"/>
      <c r="I5179" s="228"/>
      <c r="J5179" s="229" t="s">
        <v>55</v>
      </c>
      <c r="K5179" s="230"/>
      <c r="L5179" s="230">
        <v>345</v>
      </c>
    </row>
    <row r="5180" spans="1:12" ht="11.25" customHeight="1" x14ac:dyDescent="0.2">
      <c r="A5180" s="221">
        <v>2024</v>
      </c>
      <c r="B5180" s="221">
        <v>6</v>
      </c>
      <c r="C5180" s="221">
        <v>30</v>
      </c>
      <c r="D5180" s="231">
        <f t="shared" si="573"/>
        <v>45473</v>
      </c>
      <c r="E5180" s="233">
        <f t="shared" ref="E5180:E5185" si="582">DATE(A5180,B5180,C5180)</f>
        <v>45473</v>
      </c>
      <c r="F5180" s="478" t="s">
        <v>1747</v>
      </c>
      <c r="G5180" s="222" t="s">
        <v>1111</v>
      </c>
      <c r="H5180" s="223"/>
      <c r="I5180" s="223"/>
      <c r="J5180" s="224" t="s">
        <v>55</v>
      </c>
      <c r="K5180" s="225">
        <v>97474</v>
      </c>
      <c r="L5180" s="225"/>
    </row>
    <row r="5181" spans="1:12" ht="11.25" customHeight="1" x14ac:dyDescent="0.2">
      <c r="A5181" s="226">
        <v>2024</v>
      </c>
      <c r="B5181" s="226">
        <v>6</v>
      </c>
      <c r="C5181" s="226">
        <v>30</v>
      </c>
      <c r="D5181" s="232">
        <f t="shared" si="573"/>
        <v>45473</v>
      </c>
      <c r="E5181" s="234">
        <f t="shared" si="582"/>
        <v>45473</v>
      </c>
      <c r="F5181" s="479"/>
      <c r="G5181" s="227" t="s">
        <v>1111</v>
      </c>
      <c r="H5181" s="228"/>
      <c r="I5181" s="228"/>
      <c r="J5181" s="229" t="s">
        <v>174</v>
      </c>
      <c r="K5181" s="230"/>
      <c r="L5181" s="230">
        <v>97474</v>
      </c>
    </row>
    <row r="5182" spans="1:12" ht="11.25" customHeight="1" x14ac:dyDescent="0.2">
      <c r="A5182" s="221">
        <v>2024</v>
      </c>
      <c r="B5182" s="221">
        <v>6</v>
      </c>
      <c r="C5182" s="221">
        <v>30</v>
      </c>
      <c r="D5182" s="231">
        <f t="shared" si="573"/>
        <v>45473</v>
      </c>
      <c r="E5182" s="233">
        <f t="shared" si="582"/>
        <v>45473</v>
      </c>
      <c r="F5182" s="478" t="s">
        <v>1670</v>
      </c>
      <c r="G5182" s="222" t="s">
        <v>1111</v>
      </c>
      <c r="H5182" s="223"/>
      <c r="I5182" s="223"/>
      <c r="J5182" s="224" t="s">
        <v>63</v>
      </c>
      <c r="K5182" s="225">
        <v>14621.15</v>
      </c>
      <c r="L5182" s="225"/>
    </row>
    <row r="5183" spans="1:12" ht="11.25" customHeight="1" x14ac:dyDescent="0.2">
      <c r="A5183" s="226">
        <v>2024</v>
      </c>
      <c r="B5183" s="226">
        <v>6</v>
      </c>
      <c r="C5183" s="226">
        <v>30</v>
      </c>
      <c r="D5183" s="232">
        <f t="shared" si="573"/>
        <v>45473</v>
      </c>
      <c r="E5183" s="234">
        <f t="shared" si="582"/>
        <v>45473</v>
      </c>
      <c r="F5183" s="479"/>
      <c r="G5183" s="227" t="s">
        <v>1111</v>
      </c>
      <c r="H5183" s="228"/>
      <c r="I5183" s="228"/>
      <c r="J5183" s="229" t="s">
        <v>55</v>
      </c>
      <c r="K5183" s="230"/>
      <c r="L5183" s="230">
        <v>14621.15</v>
      </c>
    </row>
    <row r="5184" spans="1:12" ht="11.25" customHeight="1" x14ac:dyDescent="0.2">
      <c r="A5184" s="221">
        <v>2024</v>
      </c>
      <c r="B5184" s="221">
        <v>6</v>
      </c>
      <c r="C5184" s="221">
        <v>30</v>
      </c>
      <c r="D5184" s="231">
        <f t="shared" si="573"/>
        <v>45473</v>
      </c>
      <c r="E5184" s="233">
        <f t="shared" si="582"/>
        <v>45473</v>
      </c>
      <c r="F5184" s="478" t="s">
        <v>1670</v>
      </c>
      <c r="G5184" s="222" t="s">
        <v>1111</v>
      </c>
      <c r="H5184" s="223"/>
      <c r="I5184" s="223"/>
      <c r="J5184" s="224" t="s">
        <v>63</v>
      </c>
      <c r="K5184" s="225">
        <v>575</v>
      </c>
      <c r="L5184" s="225"/>
    </row>
    <row r="5185" spans="1:12" ht="11.25" customHeight="1" x14ac:dyDescent="0.2">
      <c r="A5185" s="226">
        <v>2024</v>
      </c>
      <c r="B5185" s="226">
        <v>6</v>
      </c>
      <c r="C5185" s="226">
        <v>30</v>
      </c>
      <c r="D5185" s="232">
        <f t="shared" si="573"/>
        <v>45473</v>
      </c>
      <c r="E5185" s="234">
        <f t="shared" si="582"/>
        <v>45473</v>
      </c>
      <c r="F5185" s="479"/>
      <c r="G5185" s="227" t="s">
        <v>1111</v>
      </c>
      <c r="H5185" s="228"/>
      <c r="I5185" s="228"/>
      <c r="J5185" s="229" t="s">
        <v>55</v>
      </c>
      <c r="K5185" s="230"/>
      <c r="L5185" s="230">
        <v>575</v>
      </c>
    </row>
    <row r="5186" spans="1:12" ht="11.25" customHeight="1" x14ac:dyDescent="0.2">
      <c r="A5186" s="221">
        <v>2024</v>
      </c>
      <c r="B5186" s="221">
        <v>6</v>
      </c>
      <c r="C5186" s="221">
        <v>30</v>
      </c>
      <c r="D5186" s="231">
        <f t="shared" si="573"/>
        <v>45473</v>
      </c>
      <c r="E5186" s="233">
        <f t="shared" ref="E5186:E5189" si="583">DATE(A5186,B5186,C5186)</f>
        <v>45473</v>
      </c>
      <c r="F5186" s="478" t="s">
        <v>1747</v>
      </c>
      <c r="G5186" s="222" t="s">
        <v>1111</v>
      </c>
      <c r="H5186" s="223"/>
      <c r="I5186" s="223"/>
      <c r="J5186" s="224" t="s">
        <v>55</v>
      </c>
      <c r="K5186" s="225">
        <v>936898</v>
      </c>
      <c r="L5186" s="225"/>
    </row>
    <row r="5187" spans="1:12" ht="11.25" customHeight="1" x14ac:dyDescent="0.2">
      <c r="A5187" s="226">
        <v>2024</v>
      </c>
      <c r="B5187" s="226">
        <v>6</v>
      </c>
      <c r="C5187" s="226">
        <v>30</v>
      </c>
      <c r="D5187" s="232">
        <f t="shared" si="573"/>
        <v>45473</v>
      </c>
      <c r="E5187" s="234">
        <f t="shared" si="583"/>
        <v>45473</v>
      </c>
      <c r="F5187" s="479"/>
      <c r="G5187" s="227" t="s">
        <v>1111</v>
      </c>
      <c r="H5187" s="228"/>
      <c r="I5187" s="228"/>
      <c r="J5187" s="229" t="s">
        <v>174</v>
      </c>
      <c r="K5187" s="230"/>
      <c r="L5187" s="230">
        <v>936898</v>
      </c>
    </row>
    <row r="5188" spans="1:12" ht="11.25" customHeight="1" x14ac:dyDescent="0.2">
      <c r="A5188" s="221">
        <v>2024</v>
      </c>
      <c r="B5188" s="221">
        <v>6</v>
      </c>
      <c r="C5188" s="221">
        <v>30</v>
      </c>
      <c r="D5188" s="231">
        <f t="shared" si="573"/>
        <v>45473</v>
      </c>
      <c r="E5188" s="233">
        <f t="shared" si="583"/>
        <v>45473</v>
      </c>
      <c r="F5188" s="478" t="s">
        <v>1748</v>
      </c>
      <c r="G5188" s="222" t="s">
        <v>1111</v>
      </c>
      <c r="H5188" s="223"/>
      <c r="I5188" s="223"/>
      <c r="J5188" s="224" t="s">
        <v>55</v>
      </c>
      <c r="K5188" s="225">
        <v>1948.89</v>
      </c>
      <c r="L5188" s="225"/>
    </row>
    <row r="5189" spans="1:12" ht="11.25" customHeight="1" x14ac:dyDescent="0.2">
      <c r="A5189" s="226">
        <v>2024</v>
      </c>
      <c r="B5189" s="226">
        <v>6</v>
      </c>
      <c r="C5189" s="226">
        <v>30</v>
      </c>
      <c r="D5189" s="232">
        <f t="shared" si="573"/>
        <v>45473</v>
      </c>
      <c r="E5189" s="234">
        <f t="shared" si="583"/>
        <v>45473</v>
      </c>
      <c r="F5189" s="479"/>
      <c r="G5189" s="227" t="s">
        <v>1111</v>
      </c>
      <c r="H5189" s="228"/>
      <c r="I5189" s="228"/>
      <c r="J5189" s="229" t="s">
        <v>174</v>
      </c>
      <c r="K5189" s="230"/>
      <c r="L5189" s="230">
        <v>1948.89</v>
      </c>
    </row>
    <row r="5190" spans="1:12" ht="11.25" customHeight="1" x14ac:dyDescent="0.2">
      <c r="A5190" s="221">
        <v>2024</v>
      </c>
      <c r="B5190" s="221">
        <v>6</v>
      </c>
      <c r="C5190" s="221">
        <v>30</v>
      </c>
      <c r="D5190" s="231">
        <f t="shared" si="573"/>
        <v>45473</v>
      </c>
      <c r="E5190" s="233">
        <f t="shared" ref="E5190:E5193" si="584">DATE(A5190,B5190,C5190)</f>
        <v>45473</v>
      </c>
      <c r="F5190" s="478" t="s">
        <v>1748</v>
      </c>
      <c r="G5190" s="222" t="s">
        <v>1111</v>
      </c>
      <c r="H5190" s="223"/>
      <c r="I5190" s="223"/>
      <c r="J5190" s="224" t="s">
        <v>55</v>
      </c>
      <c r="K5190" s="225">
        <v>2547.75</v>
      </c>
      <c r="L5190" s="225"/>
    </row>
    <row r="5191" spans="1:12" ht="11.25" customHeight="1" x14ac:dyDescent="0.2">
      <c r="A5191" s="226">
        <v>2024</v>
      </c>
      <c r="B5191" s="226">
        <v>6</v>
      </c>
      <c r="C5191" s="226">
        <v>30</v>
      </c>
      <c r="D5191" s="232">
        <f t="shared" si="573"/>
        <v>45473</v>
      </c>
      <c r="E5191" s="234">
        <f t="shared" si="584"/>
        <v>45473</v>
      </c>
      <c r="F5191" s="479"/>
      <c r="G5191" s="227" t="s">
        <v>1111</v>
      </c>
      <c r="H5191" s="228"/>
      <c r="I5191" s="228"/>
      <c r="J5191" s="229" t="s">
        <v>174</v>
      </c>
      <c r="K5191" s="230"/>
      <c r="L5191" s="230">
        <v>2547.75</v>
      </c>
    </row>
    <row r="5192" spans="1:12" ht="11.25" customHeight="1" x14ac:dyDescent="0.2">
      <c r="A5192" s="221">
        <v>2024</v>
      </c>
      <c r="B5192" s="221">
        <v>6</v>
      </c>
      <c r="C5192" s="221">
        <v>30</v>
      </c>
      <c r="D5192" s="231">
        <f t="shared" si="573"/>
        <v>45473</v>
      </c>
      <c r="E5192" s="233">
        <f t="shared" si="584"/>
        <v>45473</v>
      </c>
      <c r="F5192" s="478" t="s">
        <v>1673</v>
      </c>
      <c r="G5192" s="222" t="s">
        <v>1111</v>
      </c>
      <c r="H5192" s="223"/>
      <c r="I5192" s="223"/>
      <c r="J5192" s="224" t="s">
        <v>63</v>
      </c>
      <c r="K5192" s="225">
        <v>230</v>
      </c>
      <c r="L5192" s="225"/>
    </row>
    <row r="5193" spans="1:12" ht="11.25" customHeight="1" x14ac:dyDescent="0.2">
      <c r="A5193" s="226">
        <v>2024</v>
      </c>
      <c r="B5193" s="226">
        <v>6</v>
      </c>
      <c r="C5193" s="226">
        <v>30</v>
      </c>
      <c r="D5193" s="232">
        <f t="shared" ref="D5193:D5256" si="585">DATE(A5193,B5193,C5193)</f>
        <v>45473</v>
      </c>
      <c r="E5193" s="234">
        <f t="shared" si="584"/>
        <v>45473</v>
      </c>
      <c r="F5193" s="479"/>
      <c r="G5193" s="227" t="s">
        <v>1111</v>
      </c>
      <c r="H5193" s="228"/>
      <c r="I5193" s="228"/>
      <c r="J5193" s="229" t="s">
        <v>55</v>
      </c>
      <c r="K5193" s="230"/>
      <c r="L5193" s="230">
        <v>230</v>
      </c>
    </row>
    <row r="5194" spans="1:12" ht="11.25" customHeight="1" x14ac:dyDescent="0.2">
      <c r="A5194" s="221">
        <v>2024</v>
      </c>
      <c r="B5194" s="221">
        <v>6</v>
      </c>
      <c r="C5194" s="221">
        <v>30</v>
      </c>
      <c r="D5194" s="231">
        <f t="shared" si="585"/>
        <v>45473</v>
      </c>
      <c r="E5194" s="233">
        <f t="shared" ref="E5194:E5197" si="586">DATE(A5194,B5194,C5194)</f>
        <v>45473</v>
      </c>
      <c r="F5194" s="478" t="s">
        <v>1749</v>
      </c>
      <c r="G5194" s="222" t="s">
        <v>1111</v>
      </c>
      <c r="H5194" s="223"/>
      <c r="I5194" s="223"/>
      <c r="J5194" s="224" t="s">
        <v>55</v>
      </c>
      <c r="K5194" s="225">
        <v>41.25</v>
      </c>
      <c r="L5194" s="225"/>
    </row>
    <row r="5195" spans="1:12" ht="11.25" customHeight="1" x14ac:dyDescent="0.2">
      <c r="A5195" s="226">
        <v>2024</v>
      </c>
      <c r="B5195" s="226">
        <v>6</v>
      </c>
      <c r="C5195" s="226">
        <v>30</v>
      </c>
      <c r="D5195" s="232">
        <f t="shared" si="585"/>
        <v>45473</v>
      </c>
      <c r="E5195" s="234">
        <f t="shared" si="586"/>
        <v>45473</v>
      </c>
      <c r="F5195" s="479"/>
      <c r="G5195" s="227" t="s">
        <v>1111</v>
      </c>
      <c r="H5195" s="228"/>
      <c r="I5195" s="228"/>
      <c r="J5195" s="229" t="s">
        <v>174</v>
      </c>
      <c r="K5195" s="230"/>
      <c r="L5195" s="230">
        <v>41.25</v>
      </c>
    </row>
    <row r="5196" spans="1:12" ht="11.25" customHeight="1" x14ac:dyDescent="0.2">
      <c r="A5196" s="221">
        <v>2024</v>
      </c>
      <c r="B5196" s="221">
        <v>6</v>
      </c>
      <c r="C5196" s="221">
        <v>30</v>
      </c>
      <c r="D5196" s="231">
        <f t="shared" si="585"/>
        <v>45473</v>
      </c>
      <c r="E5196" s="233">
        <f t="shared" si="586"/>
        <v>45473</v>
      </c>
      <c r="F5196" s="478" t="s">
        <v>1676</v>
      </c>
      <c r="G5196" s="222" t="s">
        <v>1111</v>
      </c>
      <c r="H5196" s="223"/>
      <c r="I5196" s="223"/>
      <c r="J5196" s="224" t="s">
        <v>63</v>
      </c>
      <c r="K5196" s="225">
        <v>6.21</v>
      </c>
      <c r="L5196" s="225"/>
    </row>
    <row r="5197" spans="1:12" ht="11.25" customHeight="1" x14ac:dyDescent="0.2">
      <c r="A5197" s="226">
        <v>2024</v>
      </c>
      <c r="B5197" s="226">
        <v>6</v>
      </c>
      <c r="C5197" s="226">
        <v>30</v>
      </c>
      <c r="D5197" s="232">
        <f t="shared" si="585"/>
        <v>45473</v>
      </c>
      <c r="E5197" s="234">
        <f t="shared" si="586"/>
        <v>45473</v>
      </c>
      <c r="F5197" s="479"/>
      <c r="G5197" s="227" t="s">
        <v>1111</v>
      </c>
      <c r="H5197" s="228"/>
      <c r="I5197" s="228"/>
      <c r="J5197" s="229" t="s">
        <v>55</v>
      </c>
      <c r="K5197" s="230"/>
      <c r="L5197" s="230">
        <v>6.21</v>
      </c>
    </row>
    <row r="5198" spans="1:12" ht="11.25" customHeight="1" x14ac:dyDescent="0.2">
      <c r="A5198" s="221">
        <v>2024</v>
      </c>
      <c r="B5198" s="221">
        <v>6</v>
      </c>
      <c r="C5198" s="221">
        <v>30</v>
      </c>
      <c r="D5198" s="231">
        <f t="shared" si="585"/>
        <v>45473</v>
      </c>
      <c r="E5198" s="233">
        <f t="shared" ref="E5198:E5201" si="587">DATE(A5198,B5198,C5198)</f>
        <v>45473</v>
      </c>
      <c r="F5198" s="478" t="s">
        <v>1750</v>
      </c>
      <c r="G5198" s="222" t="s">
        <v>1111</v>
      </c>
      <c r="H5198" s="223"/>
      <c r="I5198" s="223"/>
      <c r="J5198" s="224" t="s">
        <v>55</v>
      </c>
      <c r="K5198" s="225">
        <v>60646.2</v>
      </c>
      <c r="L5198" s="225"/>
    </row>
    <row r="5199" spans="1:12" ht="11.25" customHeight="1" x14ac:dyDescent="0.2">
      <c r="A5199" s="226">
        <v>2024</v>
      </c>
      <c r="B5199" s="226">
        <v>6</v>
      </c>
      <c r="C5199" s="226">
        <v>30</v>
      </c>
      <c r="D5199" s="232">
        <f t="shared" si="585"/>
        <v>45473</v>
      </c>
      <c r="E5199" s="234">
        <f t="shared" si="587"/>
        <v>45473</v>
      </c>
      <c r="F5199" s="479"/>
      <c r="G5199" s="227" t="s">
        <v>1111</v>
      </c>
      <c r="H5199" s="228"/>
      <c r="I5199" s="228"/>
      <c r="J5199" s="229" t="s">
        <v>174</v>
      </c>
      <c r="K5199" s="230"/>
      <c r="L5199" s="230">
        <v>60646.2</v>
      </c>
    </row>
    <row r="5200" spans="1:12" ht="11.25" customHeight="1" x14ac:dyDescent="0.2">
      <c r="A5200" s="221">
        <v>2024</v>
      </c>
      <c r="B5200" s="221">
        <v>6</v>
      </c>
      <c r="C5200" s="221">
        <v>30</v>
      </c>
      <c r="D5200" s="231">
        <f t="shared" si="585"/>
        <v>45473</v>
      </c>
      <c r="E5200" s="233">
        <f t="shared" si="587"/>
        <v>45473</v>
      </c>
      <c r="F5200" s="478" t="s">
        <v>1677</v>
      </c>
      <c r="G5200" s="222" t="s">
        <v>1111</v>
      </c>
      <c r="H5200" s="223"/>
      <c r="I5200" s="223"/>
      <c r="J5200" s="224" t="s">
        <v>63</v>
      </c>
      <c r="K5200" s="225">
        <v>18194</v>
      </c>
      <c r="L5200" s="225"/>
    </row>
    <row r="5201" spans="1:12" ht="11.25" customHeight="1" x14ac:dyDescent="0.2">
      <c r="A5201" s="226">
        <v>2024</v>
      </c>
      <c r="B5201" s="226">
        <v>6</v>
      </c>
      <c r="C5201" s="226">
        <v>30</v>
      </c>
      <c r="D5201" s="232">
        <f t="shared" si="585"/>
        <v>45473</v>
      </c>
      <c r="E5201" s="234">
        <f t="shared" si="587"/>
        <v>45473</v>
      </c>
      <c r="F5201" s="479"/>
      <c r="G5201" s="227" t="s">
        <v>1111</v>
      </c>
      <c r="H5201" s="228"/>
      <c r="I5201" s="228"/>
      <c r="J5201" s="229" t="s">
        <v>55</v>
      </c>
      <c r="K5201" s="230"/>
      <c r="L5201" s="230">
        <v>18194</v>
      </c>
    </row>
    <row r="5202" spans="1:12" ht="11.25" customHeight="1" x14ac:dyDescent="0.2">
      <c r="A5202" s="221">
        <v>2024</v>
      </c>
      <c r="B5202" s="221">
        <v>6</v>
      </c>
      <c r="C5202" s="221">
        <v>30</v>
      </c>
      <c r="D5202" s="231">
        <f t="shared" si="585"/>
        <v>45473</v>
      </c>
      <c r="E5202" s="233">
        <f t="shared" ref="E5202:E5222" si="588">DATE(A5202,B5202,C5202)</f>
        <v>45473</v>
      </c>
      <c r="F5202" s="478" t="s">
        <v>1754</v>
      </c>
      <c r="G5202" s="222" t="s">
        <v>1111</v>
      </c>
      <c r="H5202" s="223"/>
      <c r="I5202" s="223"/>
      <c r="J5202" s="224" t="s">
        <v>55</v>
      </c>
      <c r="K5202" s="225">
        <v>13124.89</v>
      </c>
      <c r="L5202" s="225"/>
    </row>
    <row r="5203" spans="1:12" ht="11.25" customHeight="1" x14ac:dyDescent="0.2">
      <c r="A5203" s="226">
        <v>2024</v>
      </c>
      <c r="B5203" s="226">
        <v>6</v>
      </c>
      <c r="C5203" s="226">
        <v>30</v>
      </c>
      <c r="D5203" s="232">
        <f t="shared" si="585"/>
        <v>45473</v>
      </c>
      <c r="E5203" s="234">
        <f t="shared" si="588"/>
        <v>45473</v>
      </c>
      <c r="F5203" s="479"/>
      <c r="G5203" s="227" t="s">
        <v>1111</v>
      </c>
      <c r="H5203" s="228"/>
      <c r="I5203" s="228"/>
      <c r="J5203" s="229" t="s">
        <v>174</v>
      </c>
      <c r="K5203" s="230"/>
      <c r="L5203" s="230">
        <v>13124.89</v>
      </c>
    </row>
    <row r="5204" spans="1:12" ht="11.25" customHeight="1" x14ac:dyDescent="0.2">
      <c r="A5204" s="221">
        <v>2024</v>
      </c>
      <c r="B5204" s="221">
        <v>7</v>
      </c>
      <c r="C5204" s="221">
        <v>1</v>
      </c>
      <c r="D5204" s="231">
        <f t="shared" si="585"/>
        <v>45474</v>
      </c>
      <c r="E5204" s="233">
        <f t="shared" si="588"/>
        <v>45474</v>
      </c>
      <c r="F5204" s="478" t="s">
        <v>1719</v>
      </c>
      <c r="G5204" s="222" t="s">
        <v>1111</v>
      </c>
      <c r="H5204" s="223"/>
      <c r="I5204" s="223"/>
      <c r="J5204" s="224" t="s">
        <v>63</v>
      </c>
      <c r="K5204" s="225">
        <v>345</v>
      </c>
      <c r="L5204" s="225"/>
    </row>
    <row r="5205" spans="1:12" ht="11.25" customHeight="1" x14ac:dyDescent="0.2">
      <c r="A5205" s="226">
        <v>2024</v>
      </c>
      <c r="B5205" s="226">
        <v>7</v>
      </c>
      <c r="C5205" s="226">
        <v>1</v>
      </c>
      <c r="D5205" s="232">
        <f t="shared" si="585"/>
        <v>45474</v>
      </c>
      <c r="E5205" s="234">
        <f t="shared" si="588"/>
        <v>45474</v>
      </c>
      <c r="F5205" s="479"/>
      <c r="G5205" s="227" t="s">
        <v>1111</v>
      </c>
      <c r="H5205" s="228"/>
      <c r="I5205" s="228"/>
      <c r="J5205" s="229" t="s">
        <v>55</v>
      </c>
      <c r="K5205" s="230"/>
      <c r="L5205" s="230">
        <v>345</v>
      </c>
    </row>
    <row r="5206" spans="1:12" ht="11.25" customHeight="1" x14ac:dyDescent="0.2">
      <c r="A5206" s="221">
        <v>2024</v>
      </c>
      <c r="B5206" s="221">
        <v>7</v>
      </c>
      <c r="C5206" s="221">
        <v>1</v>
      </c>
      <c r="D5206" s="231">
        <f t="shared" si="585"/>
        <v>45474</v>
      </c>
      <c r="E5206" s="233">
        <f t="shared" si="588"/>
        <v>45474</v>
      </c>
      <c r="F5206" s="478" t="s">
        <v>1719</v>
      </c>
      <c r="G5206" s="222" t="s">
        <v>1111</v>
      </c>
      <c r="H5206" s="223"/>
      <c r="I5206" s="223"/>
      <c r="J5206" s="224" t="s">
        <v>63</v>
      </c>
      <c r="K5206" s="225">
        <v>345</v>
      </c>
      <c r="L5206" s="225"/>
    </row>
    <row r="5207" spans="1:12" ht="11.25" customHeight="1" x14ac:dyDescent="0.2">
      <c r="A5207" s="226">
        <v>2024</v>
      </c>
      <c r="B5207" s="226">
        <v>7</v>
      </c>
      <c r="C5207" s="226">
        <v>1</v>
      </c>
      <c r="D5207" s="232">
        <f t="shared" si="585"/>
        <v>45474</v>
      </c>
      <c r="E5207" s="234">
        <f t="shared" si="588"/>
        <v>45474</v>
      </c>
      <c r="F5207" s="479"/>
      <c r="G5207" s="227" t="s">
        <v>1111</v>
      </c>
      <c r="H5207" s="228"/>
      <c r="I5207" s="228"/>
      <c r="J5207" s="229" t="s">
        <v>55</v>
      </c>
      <c r="K5207" s="230"/>
      <c r="L5207" s="230">
        <v>345</v>
      </c>
    </row>
    <row r="5208" spans="1:12" ht="11.25" customHeight="1" x14ac:dyDescent="0.2">
      <c r="A5208" s="221">
        <v>2024</v>
      </c>
      <c r="B5208" s="221">
        <v>7</v>
      </c>
      <c r="C5208" s="221">
        <v>2</v>
      </c>
      <c r="D5208" s="231">
        <f t="shared" si="585"/>
        <v>45475</v>
      </c>
      <c r="E5208" s="233">
        <f t="shared" si="588"/>
        <v>45475</v>
      </c>
      <c r="F5208" s="478" t="s">
        <v>1755</v>
      </c>
      <c r="G5208" s="222" t="s">
        <v>1111</v>
      </c>
      <c r="H5208" s="223"/>
      <c r="I5208" s="223"/>
      <c r="J5208" s="224" t="s">
        <v>55</v>
      </c>
      <c r="K5208" s="225">
        <v>14621.15</v>
      </c>
      <c r="L5208" s="225"/>
    </row>
    <row r="5209" spans="1:12" ht="11.25" customHeight="1" x14ac:dyDescent="0.2">
      <c r="A5209" s="226">
        <v>2024</v>
      </c>
      <c r="B5209" s="226">
        <v>7</v>
      </c>
      <c r="C5209" s="226">
        <v>2</v>
      </c>
      <c r="D5209" s="232">
        <f t="shared" si="585"/>
        <v>45475</v>
      </c>
      <c r="E5209" s="234">
        <f t="shared" si="588"/>
        <v>45475</v>
      </c>
      <c r="F5209" s="479"/>
      <c r="G5209" s="227" t="s">
        <v>1111</v>
      </c>
      <c r="H5209" s="228"/>
      <c r="I5209" s="228"/>
      <c r="J5209" s="229" t="s">
        <v>63</v>
      </c>
      <c r="K5209" s="230"/>
      <c r="L5209" s="230">
        <v>14621.15</v>
      </c>
    </row>
    <row r="5210" spans="1:12" ht="11.25" customHeight="1" x14ac:dyDescent="0.2">
      <c r="A5210" s="221">
        <v>2024</v>
      </c>
      <c r="B5210" s="221">
        <v>7</v>
      </c>
      <c r="C5210" s="221">
        <v>2</v>
      </c>
      <c r="D5210" s="231">
        <f t="shared" si="585"/>
        <v>45475</v>
      </c>
      <c r="E5210" s="233">
        <f t="shared" si="588"/>
        <v>45475</v>
      </c>
      <c r="F5210" s="478" t="s">
        <v>1178</v>
      </c>
      <c r="G5210" s="222" t="s">
        <v>1111</v>
      </c>
      <c r="H5210" s="223"/>
      <c r="I5210" s="223"/>
      <c r="J5210" s="224" t="s">
        <v>189</v>
      </c>
      <c r="K5210" s="225">
        <v>5750</v>
      </c>
      <c r="L5210" s="225"/>
    </row>
    <row r="5211" spans="1:12" ht="11.25" customHeight="1" x14ac:dyDescent="0.2">
      <c r="A5211" s="226">
        <v>2024</v>
      </c>
      <c r="B5211" s="226">
        <v>7</v>
      </c>
      <c r="C5211" s="226">
        <v>2</v>
      </c>
      <c r="D5211" s="232">
        <f t="shared" si="585"/>
        <v>45475</v>
      </c>
      <c r="E5211" s="234">
        <f t="shared" si="588"/>
        <v>45475</v>
      </c>
      <c r="F5211" s="479"/>
      <c r="G5211" s="227" t="s">
        <v>1111</v>
      </c>
      <c r="H5211" s="228"/>
      <c r="I5211" s="228"/>
      <c r="J5211" s="229" t="s">
        <v>55</v>
      </c>
      <c r="K5211" s="230"/>
      <c r="L5211" s="230">
        <v>5750</v>
      </c>
    </row>
    <row r="5212" spans="1:12" ht="11.25" customHeight="1" x14ac:dyDescent="0.2">
      <c r="A5212" s="221">
        <v>2024</v>
      </c>
      <c r="B5212" s="221">
        <v>7</v>
      </c>
      <c r="C5212" s="231">
        <v>3</v>
      </c>
      <c r="D5212" s="231">
        <f t="shared" si="585"/>
        <v>45476</v>
      </c>
      <c r="E5212" s="233">
        <f t="shared" si="588"/>
        <v>45476</v>
      </c>
      <c r="F5212" s="478" t="s">
        <v>1115</v>
      </c>
      <c r="G5212" s="222" t="s">
        <v>1111</v>
      </c>
      <c r="H5212" s="223"/>
      <c r="I5212" s="223" t="s">
        <v>460</v>
      </c>
      <c r="J5212" s="224" t="s">
        <v>14</v>
      </c>
      <c r="K5212" s="167">
        <v>1010000</v>
      </c>
      <c r="L5212" s="225"/>
    </row>
    <row r="5213" spans="1:12" ht="11.25" customHeight="1" x14ac:dyDescent="0.2">
      <c r="A5213" s="164">
        <v>2024</v>
      </c>
      <c r="B5213" s="164">
        <v>7</v>
      </c>
      <c r="C5213" s="156">
        <v>3</v>
      </c>
      <c r="D5213" s="156">
        <f t="shared" si="585"/>
        <v>45476</v>
      </c>
      <c r="E5213" s="235">
        <f t="shared" si="588"/>
        <v>45476</v>
      </c>
      <c r="F5213" s="480"/>
      <c r="G5213" s="208" t="s">
        <v>1111</v>
      </c>
      <c r="I5213" s="206" t="s">
        <v>460</v>
      </c>
      <c r="J5213" s="165" t="s">
        <v>1112</v>
      </c>
      <c r="L5213" s="205">
        <v>10000</v>
      </c>
    </row>
    <row r="5214" spans="1:12" ht="11.25" customHeight="1" x14ac:dyDescent="0.2">
      <c r="A5214" s="226">
        <v>2024</v>
      </c>
      <c r="B5214" s="226">
        <v>7</v>
      </c>
      <c r="C5214" s="232">
        <v>3</v>
      </c>
      <c r="D5214" s="232">
        <f t="shared" si="585"/>
        <v>45476</v>
      </c>
      <c r="E5214" s="234">
        <f t="shared" si="588"/>
        <v>45476</v>
      </c>
      <c r="F5214" s="479"/>
      <c r="G5214" s="227" t="s">
        <v>1111</v>
      </c>
      <c r="H5214" s="228"/>
      <c r="I5214" s="228" t="s">
        <v>460</v>
      </c>
      <c r="J5214" s="229" t="s">
        <v>55</v>
      </c>
      <c r="K5214" s="230"/>
      <c r="L5214" s="230">
        <v>1000000</v>
      </c>
    </row>
    <row r="5215" spans="1:12" ht="11.25" customHeight="1" x14ac:dyDescent="0.2">
      <c r="A5215" s="221">
        <v>2024</v>
      </c>
      <c r="B5215" s="221">
        <v>7</v>
      </c>
      <c r="C5215" s="221">
        <v>3</v>
      </c>
      <c r="D5215" s="231">
        <f t="shared" si="585"/>
        <v>45476</v>
      </c>
      <c r="E5215" s="233">
        <f t="shared" si="588"/>
        <v>45476</v>
      </c>
      <c r="F5215" s="478" t="s">
        <v>1670</v>
      </c>
      <c r="G5215" s="222" t="s">
        <v>1111</v>
      </c>
      <c r="H5215" s="223"/>
      <c r="I5215" s="223"/>
      <c r="J5215" s="224" t="s">
        <v>63</v>
      </c>
      <c r="K5215" s="225">
        <v>100</v>
      </c>
      <c r="L5215" s="225"/>
    </row>
    <row r="5216" spans="1:12" ht="11.25" customHeight="1" x14ac:dyDescent="0.2">
      <c r="A5216" s="226">
        <v>2024</v>
      </c>
      <c r="B5216" s="226">
        <v>7</v>
      </c>
      <c r="C5216" s="226">
        <v>3</v>
      </c>
      <c r="D5216" s="232">
        <f t="shared" si="585"/>
        <v>45476</v>
      </c>
      <c r="E5216" s="234">
        <f t="shared" si="588"/>
        <v>45476</v>
      </c>
      <c r="F5216" s="479"/>
      <c r="G5216" s="227" t="s">
        <v>1111</v>
      </c>
      <c r="H5216" s="228"/>
      <c r="I5216" s="228"/>
      <c r="J5216" s="229" t="s">
        <v>55</v>
      </c>
      <c r="K5216" s="230"/>
      <c r="L5216" s="230">
        <v>100</v>
      </c>
    </row>
    <row r="5217" spans="1:13" ht="11.25" customHeight="1" x14ac:dyDescent="0.2">
      <c r="A5217" s="221">
        <v>2024</v>
      </c>
      <c r="B5217" s="221">
        <v>7</v>
      </c>
      <c r="C5217" s="221">
        <v>4</v>
      </c>
      <c r="D5217" s="231">
        <f t="shared" si="585"/>
        <v>45477</v>
      </c>
      <c r="E5217" s="233">
        <f t="shared" si="588"/>
        <v>45477</v>
      </c>
      <c r="F5217" s="478" t="s">
        <v>1590</v>
      </c>
      <c r="G5217" s="222" t="s">
        <v>1111</v>
      </c>
      <c r="H5217" s="223"/>
      <c r="I5217" s="223"/>
      <c r="J5217" s="224" t="s">
        <v>55</v>
      </c>
      <c r="K5217" s="225">
        <v>3808828.55</v>
      </c>
      <c r="L5217" s="225"/>
    </row>
    <row r="5218" spans="1:13" ht="11.25" customHeight="1" x14ac:dyDescent="0.2">
      <c r="A5218" s="226">
        <v>2024</v>
      </c>
      <c r="B5218" s="226">
        <v>7</v>
      </c>
      <c r="C5218" s="226">
        <v>4</v>
      </c>
      <c r="D5218" s="232">
        <f t="shared" si="585"/>
        <v>45477</v>
      </c>
      <c r="E5218" s="234">
        <f t="shared" si="588"/>
        <v>45477</v>
      </c>
      <c r="F5218" s="479"/>
      <c r="G5218" s="227" t="s">
        <v>1111</v>
      </c>
      <c r="H5218" s="228"/>
      <c r="I5218" s="228"/>
      <c r="J5218" s="229" t="s">
        <v>199</v>
      </c>
      <c r="K5218" s="230"/>
      <c r="L5218" s="230">
        <v>3808828.55</v>
      </c>
    </row>
    <row r="5219" spans="1:13" ht="11.25" customHeight="1" x14ac:dyDescent="0.2">
      <c r="A5219" s="280">
        <v>2024</v>
      </c>
      <c r="B5219" s="280">
        <v>7</v>
      </c>
      <c r="C5219" s="280">
        <v>4</v>
      </c>
      <c r="D5219" s="281">
        <f t="shared" si="585"/>
        <v>45477</v>
      </c>
      <c r="E5219" s="282">
        <f t="shared" si="588"/>
        <v>45477</v>
      </c>
      <c r="F5219" s="472" t="s">
        <v>1744</v>
      </c>
      <c r="G5219" s="283" t="s">
        <v>86</v>
      </c>
      <c r="H5219" s="284"/>
      <c r="I5219" s="284"/>
      <c r="J5219" s="285" t="s">
        <v>131</v>
      </c>
      <c r="K5219" s="286">
        <v>19358.333333333332</v>
      </c>
      <c r="L5219" s="286"/>
    </row>
    <row r="5220" spans="1:13" ht="11.25" customHeight="1" x14ac:dyDescent="0.2">
      <c r="A5220" s="287">
        <v>2024</v>
      </c>
      <c r="B5220" s="287">
        <v>7</v>
      </c>
      <c r="C5220" s="287">
        <v>4</v>
      </c>
      <c r="D5220" s="288">
        <f t="shared" si="585"/>
        <v>45477</v>
      </c>
      <c r="E5220" s="289">
        <f t="shared" si="588"/>
        <v>45477</v>
      </c>
      <c r="F5220" s="473"/>
      <c r="G5220" s="290" t="s">
        <v>86</v>
      </c>
      <c r="H5220" s="291"/>
      <c r="I5220" s="291"/>
      <c r="J5220" s="292" t="s">
        <v>174</v>
      </c>
      <c r="K5220" s="293"/>
      <c r="L5220" s="293">
        <v>19358.333333333332</v>
      </c>
    </row>
    <row r="5221" spans="1:13" ht="11.25" customHeight="1" x14ac:dyDescent="0.2">
      <c r="A5221" s="280">
        <v>2024</v>
      </c>
      <c r="B5221" s="280">
        <v>7</v>
      </c>
      <c r="C5221" s="280">
        <v>4</v>
      </c>
      <c r="D5221" s="281">
        <f t="shared" si="585"/>
        <v>45477</v>
      </c>
      <c r="E5221" s="282">
        <f t="shared" si="588"/>
        <v>45477</v>
      </c>
      <c r="F5221" s="472" t="s">
        <v>1584</v>
      </c>
      <c r="G5221" s="283" t="s">
        <v>86</v>
      </c>
      <c r="H5221" s="284"/>
      <c r="I5221" s="284"/>
      <c r="J5221" s="285" t="s">
        <v>131</v>
      </c>
      <c r="K5221" s="286">
        <v>8653.8461538461543</v>
      </c>
      <c r="L5221" s="286"/>
    </row>
    <row r="5222" spans="1:13" ht="11.25" customHeight="1" x14ac:dyDescent="0.2">
      <c r="A5222" s="287">
        <v>2024</v>
      </c>
      <c r="B5222" s="287">
        <v>7</v>
      </c>
      <c r="C5222" s="287">
        <v>4</v>
      </c>
      <c r="D5222" s="288">
        <f t="shared" si="585"/>
        <v>45477</v>
      </c>
      <c r="E5222" s="289">
        <f t="shared" si="588"/>
        <v>45477</v>
      </c>
      <c r="F5222" s="473"/>
      <c r="G5222" s="290" t="s">
        <v>86</v>
      </c>
      <c r="H5222" s="291"/>
      <c r="I5222" s="291"/>
      <c r="J5222" s="292" t="s">
        <v>174</v>
      </c>
      <c r="K5222" s="293"/>
      <c r="L5222" s="293">
        <v>8653.8461538461543</v>
      </c>
    </row>
    <row r="5223" spans="1:13" ht="11.25" customHeight="1" x14ac:dyDescent="0.2">
      <c r="A5223" s="358">
        <v>2024</v>
      </c>
      <c r="B5223" s="358">
        <v>7</v>
      </c>
      <c r="C5223" s="358">
        <v>4</v>
      </c>
      <c r="D5223" s="312">
        <f t="shared" si="585"/>
        <v>45477</v>
      </c>
      <c r="E5223" s="313">
        <f>DATE(A5223,B5223,C5223)</f>
        <v>45477</v>
      </c>
      <c r="F5223" s="482" t="s">
        <v>1627</v>
      </c>
      <c r="G5223" s="314" t="s">
        <v>86</v>
      </c>
      <c r="H5223" s="324"/>
      <c r="I5223" s="324"/>
      <c r="J5223" s="364" t="s">
        <v>1621</v>
      </c>
      <c r="K5223" s="365">
        <v>55810</v>
      </c>
      <c r="L5223" s="365"/>
    </row>
    <row r="5224" spans="1:13" ht="11.25" customHeight="1" x14ac:dyDescent="0.2">
      <c r="A5224" s="320">
        <v>2024</v>
      </c>
      <c r="B5224" s="320">
        <v>7</v>
      </c>
      <c r="C5224" s="320">
        <v>4</v>
      </c>
      <c r="D5224" s="323">
        <f t="shared" si="585"/>
        <v>45477</v>
      </c>
      <c r="E5224" s="321">
        <f t="shared" ref="E5224" si="589">DATE(A5224,B5224,C5224)</f>
        <v>45477</v>
      </c>
      <c r="F5224" s="483"/>
      <c r="G5224" s="322" t="s">
        <v>86</v>
      </c>
      <c r="H5224" s="325"/>
      <c r="I5224" s="325"/>
      <c r="J5224" s="366" t="s">
        <v>1613</v>
      </c>
      <c r="K5224" s="367"/>
      <c r="L5224" s="367">
        <f>K5223</f>
        <v>55810</v>
      </c>
    </row>
    <row r="5225" spans="1:13" ht="11.25" customHeight="1" x14ac:dyDescent="0.2">
      <c r="A5225" s="358">
        <v>2024</v>
      </c>
      <c r="B5225" s="358">
        <v>7</v>
      </c>
      <c r="C5225" s="358">
        <v>4</v>
      </c>
      <c r="D5225" s="312">
        <f t="shared" si="585"/>
        <v>45477</v>
      </c>
      <c r="E5225" s="313">
        <f>DATE(A5225,B5225,C5225)</f>
        <v>45477</v>
      </c>
      <c r="F5225" s="482" t="s">
        <v>1713</v>
      </c>
      <c r="G5225" s="314" t="s">
        <v>86</v>
      </c>
      <c r="H5225" s="324"/>
      <c r="I5225" s="324"/>
      <c r="J5225" s="364" t="s">
        <v>1622</v>
      </c>
      <c r="K5225" s="365">
        <v>94034.69999999553</v>
      </c>
      <c r="L5225" s="365"/>
    </row>
    <row r="5226" spans="1:13" ht="11.25" customHeight="1" x14ac:dyDescent="0.2">
      <c r="A5226" s="320">
        <v>2024</v>
      </c>
      <c r="B5226" s="320">
        <v>7</v>
      </c>
      <c r="C5226" s="320">
        <v>4</v>
      </c>
      <c r="D5226" s="323">
        <f t="shared" si="585"/>
        <v>45477</v>
      </c>
      <c r="E5226" s="321">
        <f t="shared" ref="E5226:E5254" si="590">DATE(A5226,B5226,C5226)</f>
        <v>45477</v>
      </c>
      <c r="F5226" s="483"/>
      <c r="G5226" s="322" t="s">
        <v>86</v>
      </c>
      <c r="H5226" s="325"/>
      <c r="I5226" s="325"/>
      <c r="J5226" s="366" t="s">
        <v>1614</v>
      </c>
      <c r="K5226" s="367"/>
      <c r="L5226" s="367">
        <f>K5225</f>
        <v>94034.69999999553</v>
      </c>
    </row>
    <row r="5227" spans="1:13" ht="11.25" customHeight="1" x14ac:dyDescent="0.2">
      <c r="A5227" s="236">
        <v>2024</v>
      </c>
      <c r="B5227" s="236">
        <v>7</v>
      </c>
      <c r="C5227" s="236">
        <v>4</v>
      </c>
      <c r="D5227" s="237">
        <f t="shared" si="585"/>
        <v>45477</v>
      </c>
      <c r="E5227" s="238">
        <f t="shared" si="590"/>
        <v>45477</v>
      </c>
      <c r="F5227" s="476" t="s">
        <v>1118</v>
      </c>
      <c r="G5227" s="239" t="s">
        <v>86</v>
      </c>
      <c r="H5227" s="239"/>
      <c r="I5227" s="240"/>
      <c r="J5227" s="241" t="s">
        <v>98</v>
      </c>
      <c r="K5227" s="242">
        <v>1191158.5300000086</v>
      </c>
      <c r="L5227" s="242"/>
    </row>
    <row r="5228" spans="1:13" ht="11.25" customHeight="1" x14ac:dyDescent="0.2">
      <c r="A5228" s="243">
        <v>2024</v>
      </c>
      <c r="B5228" s="243">
        <v>7</v>
      </c>
      <c r="C5228" s="243">
        <v>4</v>
      </c>
      <c r="D5228" s="248">
        <f t="shared" si="585"/>
        <v>45477</v>
      </c>
      <c r="E5228" s="249">
        <f t="shared" si="590"/>
        <v>45477</v>
      </c>
      <c r="F5228" s="477"/>
      <c r="G5228" s="244" t="s">
        <v>86</v>
      </c>
      <c r="H5228" s="244"/>
      <c r="I5228" s="245"/>
      <c r="J5228" s="246" t="s">
        <v>82</v>
      </c>
      <c r="K5228" s="247"/>
      <c r="L5228" s="247">
        <f>K5227</f>
        <v>1191158.5300000086</v>
      </c>
    </row>
    <row r="5229" spans="1:13" ht="11.25" customHeight="1" x14ac:dyDescent="0.2">
      <c r="A5229" s="236">
        <v>2024</v>
      </c>
      <c r="B5229" s="236">
        <v>7</v>
      </c>
      <c r="C5229" s="236">
        <v>4</v>
      </c>
      <c r="D5229" s="237">
        <f t="shared" si="585"/>
        <v>45477</v>
      </c>
      <c r="E5229" s="238">
        <f t="shared" si="590"/>
        <v>45477</v>
      </c>
      <c r="F5229" s="476" t="s">
        <v>1120</v>
      </c>
      <c r="G5229" s="239" t="s">
        <v>86</v>
      </c>
      <c r="H5229" s="239"/>
      <c r="I5229" s="240"/>
      <c r="J5229" s="241" t="s">
        <v>87</v>
      </c>
      <c r="K5229" s="242">
        <v>2747.2527472527472</v>
      </c>
      <c r="L5229" s="242"/>
    </row>
    <row r="5230" spans="1:13" ht="11.25" customHeight="1" x14ac:dyDescent="0.2">
      <c r="A5230" s="243">
        <v>2024</v>
      </c>
      <c r="B5230" s="243">
        <v>7</v>
      </c>
      <c r="C5230" s="243">
        <v>4</v>
      </c>
      <c r="D5230" s="248">
        <f t="shared" si="585"/>
        <v>45477</v>
      </c>
      <c r="E5230" s="249">
        <f t="shared" si="590"/>
        <v>45477</v>
      </c>
      <c r="F5230" s="477"/>
      <c r="G5230" s="244" t="s">
        <v>86</v>
      </c>
      <c r="H5230" s="244"/>
      <c r="I5230" s="245"/>
      <c r="J5230" s="246" t="s">
        <v>64</v>
      </c>
      <c r="K5230" s="247"/>
      <c r="L5230" s="247">
        <v>2747.2527472527472</v>
      </c>
    </row>
    <row r="5231" spans="1:13" ht="11.25" customHeight="1" x14ac:dyDescent="0.2">
      <c r="A5231" s="236">
        <v>2024</v>
      </c>
      <c r="B5231" s="236">
        <v>7</v>
      </c>
      <c r="C5231" s="236">
        <v>4</v>
      </c>
      <c r="D5231" s="237">
        <f t="shared" si="585"/>
        <v>45477</v>
      </c>
      <c r="E5231" s="238">
        <f t="shared" si="590"/>
        <v>45477</v>
      </c>
      <c r="F5231" s="476" t="s">
        <v>1121</v>
      </c>
      <c r="G5231" s="239" t="s">
        <v>86</v>
      </c>
      <c r="H5231" s="239"/>
      <c r="I5231" s="240"/>
      <c r="J5231" s="241" t="s">
        <v>89</v>
      </c>
      <c r="K5231" s="242">
        <f>M5231</f>
        <v>65210.783385474242</v>
      </c>
      <c r="L5231" s="242"/>
      <c r="M5231" s="156">
        <v>65210.783385474242</v>
      </c>
    </row>
    <row r="5232" spans="1:13" ht="11.25" customHeight="1" x14ac:dyDescent="0.2">
      <c r="A5232" s="243">
        <v>2024</v>
      </c>
      <c r="B5232" s="243">
        <v>7</v>
      </c>
      <c r="C5232" s="243">
        <v>4</v>
      </c>
      <c r="D5232" s="248">
        <f t="shared" si="585"/>
        <v>45477</v>
      </c>
      <c r="E5232" s="249">
        <f t="shared" si="590"/>
        <v>45477</v>
      </c>
      <c r="F5232" s="477"/>
      <c r="G5232" s="244" t="s">
        <v>86</v>
      </c>
      <c r="H5232" s="244"/>
      <c r="I5232" s="245"/>
      <c r="J5232" s="246" t="s">
        <v>50</v>
      </c>
      <c r="K5232" s="247"/>
      <c r="L5232" s="247">
        <f>K5231</f>
        <v>65210.783385474242</v>
      </c>
      <c r="M5232" s="156">
        <v>3020.1545538890973</v>
      </c>
    </row>
    <row r="5233" spans="1:12" ht="11.25" customHeight="1" x14ac:dyDescent="0.2">
      <c r="A5233" s="236">
        <v>2024</v>
      </c>
      <c r="B5233" s="236">
        <v>7</v>
      </c>
      <c r="C5233" s="236">
        <v>4</v>
      </c>
      <c r="D5233" s="237">
        <f t="shared" si="585"/>
        <v>45477</v>
      </c>
      <c r="E5233" s="238">
        <f t="shared" si="590"/>
        <v>45477</v>
      </c>
      <c r="F5233" s="476" t="s">
        <v>1122</v>
      </c>
      <c r="G5233" s="239" t="s">
        <v>86</v>
      </c>
      <c r="H5233" s="239"/>
      <c r="I5233" s="240"/>
      <c r="J5233" s="241" t="s">
        <v>91</v>
      </c>
      <c r="K5233" s="242">
        <f>M5232</f>
        <v>3020.1545538890973</v>
      </c>
      <c r="L5233" s="242"/>
    </row>
    <row r="5234" spans="1:12" ht="11.25" customHeight="1" x14ac:dyDescent="0.2">
      <c r="A5234" s="243">
        <v>2024</v>
      </c>
      <c r="B5234" s="243">
        <v>7</v>
      </c>
      <c r="C5234" s="243">
        <v>4</v>
      </c>
      <c r="D5234" s="248">
        <f t="shared" si="585"/>
        <v>45477</v>
      </c>
      <c r="E5234" s="249">
        <f t="shared" si="590"/>
        <v>45477</v>
      </c>
      <c r="F5234" s="477"/>
      <c r="G5234" s="244" t="s">
        <v>86</v>
      </c>
      <c r="H5234" s="244"/>
      <c r="I5234" s="245"/>
      <c r="J5234" s="246" t="s">
        <v>51</v>
      </c>
      <c r="K5234" s="247"/>
      <c r="L5234" s="247">
        <f>K5233</f>
        <v>3020.1545538890973</v>
      </c>
    </row>
    <row r="5235" spans="1:12" ht="11.25" customHeight="1" x14ac:dyDescent="0.2">
      <c r="A5235" s="231">
        <v>2024</v>
      </c>
      <c r="B5235" s="231">
        <v>7</v>
      </c>
      <c r="C5235" s="231">
        <v>9</v>
      </c>
      <c r="D5235" s="221">
        <f t="shared" si="585"/>
        <v>45482</v>
      </c>
      <c r="E5235" s="271">
        <f t="shared" si="590"/>
        <v>45482</v>
      </c>
      <c r="F5235" s="478" t="s">
        <v>1231</v>
      </c>
      <c r="G5235" s="222" t="s">
        <v>1111</v>
      </c>
      <c r="H5235" s="222"/>
      <c r="I5235" s="223" t="s">
        <v>1119</v>
      </c>
      <c r="J5235" s="224" t="s">
        <v>92</v>
      </c>
      <c r="K5235" s="225">
        <v>156235.82</v>
      </c>
      <c r="L5235" s="225"/>
    </row>
    <row r="5236" spans="1:12" ht="11.25" customHeight="1" x14ac:dyDescent="0.2">
      <c r="A5236" s="156">
        <v>2024</v>
      </c>
      <c r="B5236" s="156">
        <v>7</v>
      </c>
      <c r="C5236" s="156">
        <v>9</v>
      </c>
      <c r="D5236" s="164">
        <f t="shared" si="585"/>
        <v>45482</v>
      </c>
      <c r="E5236" s="276">
        <f t="shared" si="590"/>
        <v>45482</v>
      </c>
      <c r="F5236" s="480"/>
      <c r="G5236" s="208" t="s">
        <v>1111</v>
      </c>
      <c r="H5236" s="208"/>
      <c r="J5236" s="165" t="s">
        <v>63</v>
      </c>
      <c r="K5236" s="205">
        <v>115</v>
      </c>
      <c r="L5236" s="205"/>
    </row>
    <row r="5237" spans="1:12" ht="11.25" customHeight="1" x14ac:dyDescent="0.2">
      <c r="A5237" s="232">
        <v>2024</v>
      </c>
      <c r="B5237" s="232">
        <v>7</v>
      </c>
      <c r="C5237" s="232">
        <v>9</v>
      </c>
      <c r="D5237" s="164">
        <f t="shared" si="585"/>
        <v>45482</v>
      </c>
      <c r="E5237" s="276">
        <f t="shared" si="590"/>
        <v>45482</v>
      </c>
      <c r="F5237" s="479"/>
      <c r="G5237" s="227" t="s">
        <v>1111</v>
      </c>
      <c r="H5237" s="227"/>
      <c r="I5237" s="228" t="s">
        <v>1119</v>
      </c>
      <c r="J5237" s="229" t="s">
        <v>55</v>
      </c>
      <c r="K5237" s="230"/>
      <c r="L5237" s="230">
        <v>156350.82</v>
      </c>
    </row>
    <row r="5238" spans="1:12" ht="11.25" customHeight="1" x14ac:dyDescent="0.2">
      <c r="A5238" s="221">
        <v>2024</v>
      </c>
      <c r="B5238" s="221">
        <v>7</v>
      </c>
      <c r="C5238" s="221">
        <v>9</v>
      </c>
      <c r="D5238" s="221">
        <f t="shared" si="585"/>
        <v>45482</v>
      </c>
      <c r="E5238" s="233">
        <f t="shared" si="590"/>
        <v>45482</v>
      </c>
      <c r="F5238" s="478" t="s">
        <v>1740</v>
      </c>
      <c r="G5238" s="222" t="s">
        <v>1111</v>
      </c>
      <c r="H5238" s="222"/>
      <c r="I5238" s="223"/>
      <c r="J5238" s="224" t="s">
        <v>478</v>
      </c>
      <c r="K5238" s="225">
        <v>129943.21</v>
      </c>
      <c r="L5238" s="225"/>
    </row>
    <row r="5239" spans="1:12" ht="11.25" customHeight="1" x14ac:dyDescent="0.2">
      <c r="A5239" s="226">
        <v>2024</v>
      </c>
      <c r="B5239" s="226">
        <v>7</v>
      </c>
      <c r="C5239" s="226">
        <v>9</v>
      </c>
      <c r="D5239" s="226">
        <f t="shared" si="585"/>
        <v>45482</v>
      </c>
      <c r="E5239" s="234">
        <f t="shared" si="590"/>
        <v>45482</v>
      </c>
      <c r="F5239" s="479"/>
      <c r="G5239" s="227" t="s">
        <v>1111</v>
      </c>
      <c r="H5239" s="227"/>
      <c r="I5239" s="228"/>
      <c r="J5239" s="229" t="s">
        <v>55</v>
      </c>
      <c r="K5239" s="230"/>
      <c r="L5239" s="230">
        <v>129943.21</v>
      </c>
    </row>
    <row r="5240" spans="1:12" ht="11.25" customHeight="1" x14ac:dyDescent="0.2">
      <c r="A5240" s="221">
        <v>2024</v>
      </c>
      <c r="B5240" s="221">
        <v>7</v>
      </c>
      <c r="C5240" s="221">
        <v>9</v>
      </c>
      <c r="D5240" s="221">
        <f t="shared" si="585"/>
        <v>45482</v>
      </c>
      <c r="E5240" s="233">
        <f t="shared" ref="E5240:E5247" si="591">DATE(A5240,B5240,C5240)</f>
        <v>45482</v>
      </c>
      <c r="F5240" s="478" t="s">
        <v>1589</v>
      </c>
      <c r="G5240" s="222" t="s">
        <v>86</v>
      </c>
      <c r="H5240" s="222"/>
      <c r="I5240" s="223"/>
      <c r="J5240" s="165" t="s">
        <v>199</v>
      </c>
      <c r="K5240" s="225">
        <v>2095920.54</v>
      </c>
      <c r="L5240" s="225"/>
    </row>
    <row r="5241" spans="1:12" ht="11.25" customHeight="1" x14ac:dyDescent="0.2">
      <c r="A5241" s="164">
        <v>2024</v>
      </c>
      <c r="B5241" s="164">
        <v>7</v>
      </c>
      <c r="C5241" s="164">
        <v>9</v>
      </c>
      <c r="D5241" s="164">
        <f t="shared" si="585"/>
        <v>45482</v>
      </c>
      <c r="E5241" s="235">
        <f t="shared" si="591"/>
        <v>45482</v>
      </c>
      <c r="F5241" s="480"/>
      <c r="G5241" s="208" t="s">
        <v>86</v>
      </c>
      <c r="H5241" s="208"/>
      <c r="J5241" s="165" t="s">
        <v>960</v>
      </c>
      <c r="K5241" s="205">
        <v>3779.46</v>
      </c>
      <c r="L5241" s="205"/>
    </row>
    <row r="5242" spans="1:12" ht="11.25" customHeight="1" x14ac:dyDescent="0.2">
      <c r="A5242" s="164">
        <v>2024</v>
      </c>
      <c r="B5242" s="164">
        <v>7</v>
      </c>
      <c r="C5242" s="164">
        <v>9</v>
      </c>
      <c r="D5242" s="164">
        <f t="shared" si="585"/>
        <v>45482</v>
      </c>
      <c r="E5242" s="235">
        <f t="shared" si="591"/>
        <v>45482</v>
      </c>
      <c r="F5242" s="480"/>
      <c r="G5242" s="208" t="s">
        <v>86</v>
      </c>
      <c r="H5242" s="208"/>
      <c r="J5242" s="165" t="s">
        <v>200</v>
      </c>
      <c r="K5242" s="205">
        <v>293986.01</v>
      </c>
      <c r="L5242" s="205"/>
    </row>
    <row r="5243" spans="1:12" ht="11.25" customHeight="1" x14ac:dyDescent="0.2">
      <c r="A5243" s="226">
        <v>2024</v>
      </c>
      <c r="B5243" s="226">
        <v>7</v>
      </c>
      <c r="C5243" s="226">
        <v>9</v>
      </c>
      <c r="D5243" s="226">
        <f t="shared" si="585"/>
        <v>45482</v>
      </c>
      <c r="E5243" s="234">
        <f t="shared" si="591"/>
        <v>45482</v>
      </c>
      <c r="F5243" s="479"/>
      <c r="G5243" s="227" t="s">
        <v>86</v>
      </c>
      <c r="H5243" s="228"/>
      <c r="I5243" s="228"/>
      <c r="J5243" s="229" t="s">
        <v>80</v>
      </c>
      <c r="K5243" s="230"/>
      <c r="L5243" s="230">
        <v>2393686.0099999998</v>
      </c>
    </row>
    <row r="5244" spans="1:12" ht="11.25" customHeight="1" x14ac:dyDescent="0.2">
      <c r="A5244" s="221">
        <v>2024</v>
      </c>
      <c r="B5244" s="221">
        <v>7</v>
      </c>
      <c r="C5244" s="221">
        <v>9</v>
      </c>
      <c r="D5244" s="221">
        <f t="shared" si="585"/>
        <v>45482</v>
      </c>
      <c r="E5244" s="233">
        <f t="shared" si="591"/>
        <v>45482</v>
      </c>
      <c r="F5244" s="478" t="s">
        <v>1757</v>
      </c>
      <c r="G5244" s="222" t="s">
        <v>86</v>
      </c>
      <c r="H5244" s="222"/>
      <c r="I5244" s="223"/>
      <c r="J5244" s="165" t="s">
        <v>199</v>
      </c>
      <c r="K5244" s="225">
        <v>912155.16</v>
      </c>
      <c r="L5244" s="225"/>
    </row>
    <row r="5245" spans="1:12" ht="11.25" customHeight="1" x14ac:dyDescent="0.2">
      <c r="A5245" s="164">
        <v>2024</v>
      </c>
      <c r="B5245" s="164">
        <v>7</v>
      </c>
      <c r="C5245" s="164">
        <v>9</v>
      </c>
      <c r="D5245" s="164">
        <f t="shared" si="585"/>
        <v>45482</v>
      </c>
      <c r="E5245" s="235">
        <f t="shared" si="591"/>
        <v>45482</v>
      </c>
      <c r="F5245" s="480"/>
      <c r="G5245" s="208" t="s">
        <v>86</v>
      </c>
      <c r="H5245" s="208"/>
      <c r="J5245" s="165" t="s">
        <v>960</v>
      </c>
      <c r="K5245" s="205">
        <v>1644.84</v>
      </c>
      <c r="L5245" s="205"/>
    </row>
    <row r="5246" spans="1:12" ht="11.25" customHeight="1" x14ac:dyDescent="0.2">
      <c r="A5246" s="164">
        <v>2024</v>
      </c>
      <c r="B5246" s="164">
        <v>7</v>
      </c>
      <c r="C5246" s="164">
        <v>9</v>
      </c>
      <c r="D5246" s="164">
        <f t="shared" si="585"/>
        <v>45482</v>
      </c>
      <c r="E5246" s="235">
        <f t="shared" si="591"/>
        <v>45482</v>
      </c>
      <c r="F5246" s="480"/>
      <c r="G5246" s="208" t="s">
        <v>86</v>
      </c>
      <c r="H5246" s="208"/>
      <c r="J5246" s="165" t="s">
        <v>200</v>
      </c>
      <c r="K5246" s="205">
        <v>64114.879999999997</v>
      </c>
      <c r="L5246" s="205"/>
    </row>
    <row r="5247" spans="1:12" ht="11.25" customHeight="1" x14ac:dyDescent="0.2">
      <c r="A5247" s="226">
        <v>2024</v>
      </c>
      <c r="B5247" s="226">
        <v>7</v>
      </c>
      <c r="C5247" s="226">
        <v>9</v>
      </c>
      <c r="D5247" s="226">
        <f t="shared" si="585"/>
        <v>45482</v>
      </c>
      <c r="E5247" s="234">
        <f t="shared" si="591"/>
        <v>45482</v>
      </c>
      <c r="F5247" s="479"/>
      <c r="G5247" s="227" t="s">
        <v>86</v>
      </c>
      <c r="H5247" s="228"/>
      <c r="I5247" s="228"/>
      <c r="J5247" s="229" t="s">
        <v>80</v>
      </c>
      <c r="K5247" s="230"/>
      <c r="L5247" s="230">
        <v>977914.88</v>
      </c>
    </row>
    <row r="5248" spans="1:12" s="386" customFormat="1" ht="11.25" customHeight="1" x14ac:dyDescent="0.2">
      <c r="A5248" s="380">
        <v>2024</v>
      </c>
      <c r="B5248" s="380">
        <v>7</v>
      </c>
      <c r="C5248" s="380">
        <v>11</v>
      </c>
      <c r="D5248" s="381">
        <f t="shared" si="585"/>
        <v>45484</v>
      </c>
      <c r="E5248" s="382">
        <f t="shared" si="590"/>
        <v>45484</v>
      </c>
      <c r="F5248" s="496" t="s">
        <v>1756</v>
      </c>
      <c r="G5248" s="383" t="s">
        <v>86</v>
      </c>
      <c r="H5248" s="384"/>
      <c r="I5248" s="384"/>
      <c r="J5248" s="385" t="s">
        <v>55</v>
      </c>
      <c r="K5248" s="225">
        <v>102500</v>
      </c>
      <c r="L5248" s="225"/>
    </row>
    <row r="5249" spans="1:12" s="386" customFormat="1" ht="11.25" customHeight="1" x14ac:dyDescent="0.2">
      <c r="A5249" s="387">
        <v>2024</v>
      </c>
      <c r="B5249" s="387">
        <v>7</v>
      </c>
      <c r="C5249" s="387">
        <v>11</v>
      </c>
      <c r="D5249" s="388">
        <f t="shared" si="585"/>
        <v>45484</v>
      </c>
      <c r="E5249" s="389">
        <f t="shared" si="590"/>
        <v>45484</v>
      </c>
      <c r="F5249" s="497"/>
      <c r="G5249" s="390" t="s">
        <v>86</v>
      </c>
      <c r="H5249" s="391"/>
      <c r="I5249" s="391"/>
      <c r="J5249" s="392" t="s">
        <v>131</v>
      </c>
      <c r="K5249" s="230"/>
      <c r="L5249" s="230">
        <v>102500</v>
      </c>
    </row>
    <row r="5250" spans="1:12" ht="11.25" customHeight="1" x14ac:dyDescent="0.2">
      <c r="A5250" s="221">
        <v>2024</v>
      </c>
      <c r="B5250" s="221">
        <v>7</v>
      </c>
      <c r="C5250" s="221">
        <v>11</v>
      </c>
      <c r="D5250" s="231">
        <f t="shared" si="585"/>
        <v>45484</v>
      </c>
      <c r="E5250" s="233">
        <f t="shared" si="590"/>
        <v>45484</v>
      </c>
      <c r="F5250" s="478" t="s">
        <v>1719</v>
      </c>
      <c r="G5250" s="222" t="s">
        <v>1111</v>
      </c>
      <c r="H5250" s="223"/>
      <c r="I5250" s="223"/>
      <c r="J5250" s="224" t="s">
        <v>63</v>
      </c>
      <c r="K5250" s="225">
        <v>10</v>
      </c>
      <c r="L5250" s="225"/>
    </row>
    <row r="5251" spans="1:12" ht="11.25" customHeight="1" x14ac:dyDescent="0.2">
      <c r="A5251" s="226">
        <v>2024</v>
      </c>
      <c r="B5251" s="226">
        <v>7</v>
      </c>
      <c r="C5251" s="226">
        <v>11</v>
      </c>
      <c r="D5251" s="232">
        <f t="shared" si="585"/>
        <v>45484</v>
      </c>
      <c r="E5251" s="234">
        <f t="shared" si="590"/>
        <v>45484</v>
      </c>
      <c r="F5251" s="479"/>
      <c r="G5251" s="227" t="s">
        <v>1111</v>
      </c>
      <c r="H5251" s="228"/>
      <c r="I5251" s="228"/>
      <c r="J5251" s="229" t="s">
        <v>55</v>
      </c>
      <c r="K5251" s="230"/>
      <c r="L5251" s="230">
        <v>10</v>
      </c>
    </row>
    <row r="5252" spans="1:12" ht="11.25" customHeight="1" x14ac:dyDescent="0.2">
      <c r="A5252" s="221">
        <v>2024</v>
      </c>
      <c r="B5252" s="221">
        <v>7</v>
      </c>
      <c r="C5252" s="231">
        <v>11</v>
      </c>
      <c r="D5252" s="231">
        <f t="shared" si="585"/>
        <v>45484</v>
      </c>
      <c r="E5252" s="233">
        <f t="shared" si="590"/>
        <v>45484</v>
      </c>
      <c r="F5252" s="478" t="s">
        <v>1115</v>
      </c>
      <c r="G5252" s="222" t="s">
        <v>1111</v>
      </c>
      <c r="H5252" s="223"/>
      <c r="I5252" s="223" t="s">
        <v>609</v>
      </c>
      <c r="J5252" s="224" t="s">
        <v>14</v>
      </c>
      <c r="K5252" s="167">
        <v>1500000</v>
      </c>
      <c r="L5252" s="225"/>
    </row>
    <row r="5253" spans="1:12" ht="11.25" customHeight="1" x14ac:dyDescent="0.2">
      <c r="A5253" s="164">
        <v>2024</v>
      </c>
      <c r="B5253" s="164">
        <v>7</v>
      </c>
      <c r="C5253" s="156">
        <v>11</v>
      </c>
      <c r="D5253" s="156">
        <f t="shared" si="585"/>
        <v>45484</v>
      </c>
      <c r="E5253" s="235">
        <f t="shared" si="590"/>
        <v>45484</v>
      </c>
      <c r="F5253" s="480"/>
      <c r="G5253" s="208" t="s">
        <v>1111</v>
      </c>
      <c r="I5253" s="206" t="s">
        <v>609</v>
      </c>
      <c r="J5253" s="165" t="s">
        <v>1112</v>
      </c>
      <c r="K5253" s="205">
        <v>8400</v>
      </c>
      <c r="L5253" s="156"/>
    </row>
    <row r="5254" spans="1:12" ht="11.25" customHeight="1" x14ac:dyDescent="0.2">
      <c r="A5254" s="226">
        <v>2024</v>
      </c>
      <c r="B5254" s="226">
        <v>7</v>
      </c>
      <c r="C5254" s="232">
        <v>11</v>
      </c>
      <c r="D5254" s="232">
        <f t="shared" si="585"/>
        <v>45484</v>
      </c>
      <c r="E5254" s="234">
        <f t="shared" si="590"/>
        <v>45484</v>
      </c>
      <c r="F5254" s="479"/>
      <c r="G5254" s="227" t="s">
        <v>1111</v>
      </c>
      <c r="H5254" s="228"/>
      <c r="I5254" s="228" t="s">
        <v>609</v>
      </c>
      <c r="J5254" s="229" t="s">
        <v>55</v>
      </c>
      <c r="K5254" s="230"/>
      <c r="L5254" s="230">
        <v>1508400</v>
      </c>
    </row>
    <row r="5255" spans="1:12" ht="11.25" customHeight="1" x14ac:dyDescent="0.2">
      <c r="A5255" s="221">
        <v>2024</v>
      </c>
      <c r="B5255" s="221">
        <v>7</v>
      </c>
      <c r="C5255" s="221">
        <v>11</v>
      </c>
      <c r="D5255" s="221">
        <f t="shared" si="585"/>
        <v>45484</v>
      </c>
      <c r="E5255" s="233">
        <f>DATE(A5255,B5255,C5255)</f>
        <v>45484</v>
      </c>
      <c r="F5255" s="478" t="s">
        <v>1757</v>
      </c>
      <c r="G5255" s="222" t="s">
        <v>86</v>
      </c>
      <c r="H5255" s="222"/>
      <c r="I5255" s="223"/>
      <c r="J5255" s="165" t="s">
        <v>199</v>
      </c>
      <c r="K5255" s="225">
        <v>668794</v>
      </c>
      <c r="L5255" s="225"/>
    </row>
    <row r="5256" spans="1:12" ht="11.25" customHeight="1" x14ac:dyDescent="0.2">
      <c r="A5256" s="164">
        <v>2024</v>
      </c>
      <c r="B5256" s="164">
        <v>7</v>
      </c>
      <c r="C5256" s="164">
        <v>11</v>
      </c>
      <c r="D5256" s="164">
        <f t="shared" si="585"/>
        <v>45484</v>
      </c>
      <c r="E5256" s="235">
        <f>DATE(A5256,B5256,C5256)</f>
        <v>45484</v>
      </c>
      <c r="F5256" s="480"/>
      <c r="G5256" s="208" t="s">
        <v>86</v>
      </c>
      <c r="H5256" s="208"/>
      <c r="J5256" s="165" t="s">
        <v>960</v>
      </c>
      <c r="K5256" s="205">
        <v>1206</v>
      </c>
      <c r="L5256" s="205"/>
    </row>
    <row r="5257" spans="1:12" ht="11.25" customHeight="1" x14ac:dyDescent="0.2">
      <c r="A5257" s="164">
        <v>2024</v>
      </c>
      <c r="B5257" s="164">
        <v>7</v>
      </c>
      <c r="C5257" s="164">
        <v>11</v>
      </c>
      <c r="D5257" s="164">
        <f t="shared" ref="D5257:D5320" si="592">DATE(A5257,B5257,C5257)</f>
        <v>45484</v>
      </c>
      <c r="E5257" s="235">
        <f>DATE(A5257,B5257,C5257)</f>
        <v>45484</v>
      </c>
      <c r="F5257" s="480"/>
      <c r="G5257" s="208" t="s">
        <v>86</v>
      </c>
      <c r="H5257" s="208"/>
      <c r="J5257" s="165" t="s">
        <v>200</v>
      </c>
      <c r="K5257" s="205">
        <v>156497.64000000001</v>
      </c>
      <c r="L5257" s="205"/>
    </row>
    <row r="5258" spans="1:12" ht="11.25" customHeight="1" x14ac:dyDescent="0.2">
      <c r="A5258" s="226">
        <v>2024</v>
      </c>
      <c r="B5258" s="226">
        <v>7</v>
      </c>
      <c r="C5258" s="226">
        <v>11</v>
      </c>
      <c r="D5258" s="226">
        <f t="shared" si="592"/>
        <v>45484</v>
      </c>
      <c r="E5258" s="234">
        <f>DATE(A5258,B5258,C5258)</f>
        <v>45484</v>
      </c>
      <c r="F5258" s="479"/>
      <c r="G5258" s="227" t="s">
        <v>86</v>
      </c>
      <c r="H5258" s="228"/>
      <c r="I5258" s="228"/>
      <c r="J5258" s="229" t="s">
        <v>80</v>
      </c>
      <c r="K5258" s="230"/>
      <c r="L5258" s="230">
        <v>826497.64</v>
      </c>
    </row>
    <row r="5259" spans="1:12" ht="11.25" customHeight="1" x14ac:dyDescent="0.2">
      <c r="A5259" s="221">
        <v>2024</v>
      </c>
      <c r="B5259" s="221">
        <v>7</v>
      </c>
      <c r="C5259" s="221">
        <v>11</v>
      </c>
      <c r="D5259" s="231">
        <f t="shared" si="592"/>
        <v>45484</v>
      </c>
      <c r="E5259" s="233">
        <f t="shared" ref="E5259:E5264" si="593">DATE(A5259,B5259,C5259)</f>
        <v>45484</v>
      </c>
      <c r="F5259" s="478" t="s">
        <v>1758</v>
      </c>
      <c r="G5259" s="222" t="s">
        <v>1111</v>
      </c>
      <c r="H5259" s="223"/>
      <c r="I5259" s="223"/>
      <c r="J5259" s="224" t="s">
        <v>55</v>
      </c>
      <c r="K5259" s="225">
        <v>912155.16</v>
      </c>
      <c r="L5259" s="225"/>
    </row>
    <row r="5260" spans="1:12" ht="11.25" customHeight="1" x14ac:dyDescent="0.2">
      <c r="A5260" s="226">
        <v>2024</v>
      </c>
      <c r="B5260" s="226">
        <v>7</v>
      </c>
      <c r="C5260" s="226">
        <v>11</v>
      </c>
      <c r="D5260" s="232">
        <f t="shared" si="592"/>
        <v>45484</v>
      </c>
      <c r="E5260" s="234">
        <f t="shared" si="593"/>
        <v>45484</v>
      </c>
      <c r="F5260" s="479"/>
      <c r="G5260" s="227" t="s">
        <v>1111</v>
      </c>
      <c r="H5260" s="228"/>
      <c r="I5260" s="228"/>
      <c r="J5260" s="229" t="s">
        <v>199</v>
      </c>
      <c r="K5260" s="230"/>
      <c r="L5260" s="230">
        <v>912155.16</v>
      </c>
    </row>
    <row r="5261" spans="1:12" ht="11.25" customHeight="1" x14ac:dyDescent="0.2">
      <c r="A5261" s="280">
        <v>2024</v>
      </c>
      <c r="B5261" s="280">
        <v>7</v>
      </c>
      <c r="C5261" s="280">
        <v>11</v>
      </c>
      <c r="D5261" s="281">
        <f t="shared" si="592"/>
        <v>45484</v>
      </c>
      <c r="E5261" s="282">
        <f t="shared" si="593"/>
        <v>45484</v>
      </c>
      <c r="F5261" s="472" t="s">
        <v>1744</v>
      </c>
      <c r="G5261" s="283" t="s">
        <v>86</v>
      </c>
      <c r="H5261" s="284"/>
      <c r="I5261" s="284"/>
      <c r="J5261" s="285" t="s">
        <v>131</v>
      </c>
      <c r="K5261" s="286">
        <v>19358.333333333332</v>
      </c>
      <c r="L5261" s="286"/>
    </row>
    <row r="5262" spans="1:12" ht="11.25" customHeight="1" x14ac:dyDescent="0.2">
      <c r="A5262" s="287">
        <v>2024</v>
      </c>
      <c r="B5262" s="287">
        <v>7</v>
      </c>
      <c r="C5262" s="287">
        <v>11</v>
      </c>
      <c r="D5262" s="288">
        <f t="shared" si="592"/>
        <v>45484</v>
      </c>
      <c r="E5262" s="289">
        <f t="shared" si="593"/>
        <v>45484</v>
      </c>
      <c r="F5262" s="473"/>
      <c r="G5262" s="290" t="s">
        <v>86</v>
      </c>
      <c r="H5262" s="291"/>
      <c r="I5262" s="291"/>
      <c r="J5262" s="292" t="s">
        <v>174</v>
      </c>
      <c r="K5262" s="293"/>
      <c r="L5262" s="293">
        <v>19358.333333333332</v>
      </c>
    </row>
    <row r="5263" spans="1:12" ht="11.25" customHeight="1" x14ac:dyDescent="0.2">
      <c r="A5263" s="280">
        <v>2024</v>
      </c>
      <c r="B5263" s="280">
        <v>7</v>
      </c>
      <c r="C5263" s="280">
        <v>11</v>
      </c>
      <c r="D5263" s="281">
        <f t="shared" si="592"/>
        <v>45484</v>
      </c>
      <c r="E5263" s="282">
        <f t="shared" si="593"/>
        <v>45484</v>
      </c>
      <c r="F5263" s="472" t="s">
        <v>1584</v>
      </c>
      <c r="G5263" s="283" t="s">
        <v>86</v>
      </c>
      <c r="H5263" s="284"/>
      <c r="I5263" s="284"/>
      <c r="J5263" s="285" t="s">
        <v>131</v>
      </c>
      <c r="K5263" s="286">
        <v>8653.8461538461543</v>
      </c>
      <c r="L5263" s="286"/>
    </row>
    <row r="5264" spans="1:12" ht="11.25" customHeight="1" x14ac:dyDescent="0.2">
      <c r="A5264" s="287">
        <v>2024</v>
      </c>
      <c r="B5264" s="287">
        <v>7</v>
      </c>
      <c r="C5264" s="287">
        <v>11</v>
      </c>
      <c r="D5264" s="288">
        <f t="shared" si="592"/>
        <v>45484</v>
      </c>
      <c r="E5264" s="289">
        <f t="shared" si="593"/>
        <v>45484</v>
      </c>
      <c r="F5264" s="473"/>
      <c r="G5264" s="290" t="s">
        <v>86</v>
      </c>
      <c r="H5264" s="291"/>
      <c r="I5264" s="291"/>
      <c r="J5264" s="292" t="s">
        <v>174</v>
      </c>
      <c r="K5264" s="293"/>
      <c r="L5264" s="293">
        <v>8653.8461538461543</v>
      </c>
    </row>
    <row r="5265" spans="1:13" ht="11.25" customHeight="1" x14ac:dyDescent="0.2">
      <c r="A5265" s="358">
        <v>2024</v>
      </c>
      <c r="B5265" s="358">
        <v>7</v>
      </c>
      <c r="C5265" s="358">
        <v>11</v>
      </c>
      <c r="D5265" s="312">
        <f t="shared" si="592"/>
        <v>45484</v>
      </c>
      <c r="E5265" s="313">
        <f>DATE(A5265,B5265,C5265)</f>
        <v>45484</v>
      </c>
      <c r="F5265" s="482" t="s">
        <v>1627</v>
      </c>
      <c r="G5265" s="314" t="s">
        <v>86</v>
      </c>
      <c r="H5265" s="324"/>
      <c r="I5265" s="324"/>
      <c r="J5265" s="364" t="s">
        <v>1621</v>
      </c>
      <c r="K5265" s="365">
        <v>54780</v>
      </c>
      <c r="L5265" s="365"/>
    </row>
    <row r="5266" spans="1:13" ht="11.25" customHeight="1" x14ac:dyDescent="0.2">
      <c r="A5266" s="320">
        <v>2024</v>
      </c>
      <c r="B5266" s="320">
        <v>7</v>
      </c>
      <c r="C5266" s="320">
        <v>11</v>
      </c>
      <c r="D5266" s="323">
        <f t="shared" si="592"/>
        <v>45484</v>
      </c>
      <c r="E5266" s="321">
        <f t="shared" ref="E5266" si="594">DATE(A5266,B5266,C5266)</f>
        <v>45484</v>
      </c>
      <c r="F5266" s="483"/>
      <c r="G5266" s="322" t="s">
        <v>86</v>
      </c>
      <c r="H5266" s="325"/>
      <c r="I5266" s="325"/>
      <c r="J5266" s="366" t="s">
        <v>1613</v>
      </c>
      <c r="K5266" s="367"/>
      <c r="L5266" s="367">
        <f>K5265</f>
        <v>54780</v>
      </c>
    </row>
    <row r="5267" spans="1:13" ht="11.25" customHeight="1" x14ac:dyDescent="0.2">
      <c r="A5267" s="358">
        <v>2024</v>
      </c>
      <c r="B5267" s="358">
        <v>7</v>
      </c>
      <c r="C5267" s="358">
        <v>11</v>
      </c>
      <c r="D5267" s="312">
        <f t="shared" si="592"/>
        <v>45484</v>
      </c>
      <c r="E5267" s="313">
        <f>DATE(A5267,B5267,C5267)</f>
        <v>45484</v>
      </c>
      <c r="F5267" s="482" t="s">
        <v>1713</v>
      </c>
      <c r="G5267" s="314" t="s">
        <v>86</v>
      </c>
      <c r="H5267" s="324"/>
      <c r="I5267" s="324"/>
      <c r="J5267" s="364" t="s">
        <v>1622</v>
      </c>
      <c r="K5267" s="365">
        <v>82395</v>
      </c>
      <c r="L5267" s="365"/>
    </row>
    <row r="5268" spans="1:13" ht="11.25" customHeight="1" x14ac:dyDescent="0.2">
      <c r="A5268" s="320">
        <v>2024</v>
      </c>
      <c r="B5268" s="320">
        <v>7</v>
      </c>
      <c r="C5268" s="320">
        <v>11</v>
      </c>
      <c r="D5268" s="323">
        <f t="shared" si="592"/>
        <v>45484</v>
      </c>
      <c r="E5268" s="321">
        <f t="shared" ref="E5268:E5288" si="595">DATE(A5268,B5268,C5268)</f>
        <v>45484</v>
      </c>
      <c r="F5268" s="483"/>
      <c r="G5268" s="322" t="s">
        <v>86</v>
      </c>
      <c r="H5268" s="325"/>
      <c r="I5268" s="325"/>
      <c r="J5268" s="366" t="s">
        <v>1614</v>
      </c>
      <c r="K5268" s="367"/>
      <c r="L5268" s="367">
        <f>K5267</f>
        <v>82395</v>
      </c>
    </row>
    <row r="5269" spans="1:13" ht="11.25" customHeight="1" x14ac:dyDescent="0.2">
      <c r="A5269" s="236">
        <v>2024</v>
      </c>
      <c r="B5269" s="236">
        <v>7</v>
      </c>
      <c r="C5269" s="236">
        <v>11</v>
      </c>
      <c r="D5269" s="237">
        <f t="shared" si="592"/>
        <v>45484</v>
      </c>
      <c r="E5269" s="238">
        <f t="shared" si="595"/>
        <v>45484</v>
      </c>
      <c r="F5269" s="476" t="s">
        <v>1118</v>
      </c>
      <c r="G5269" s="239" t="s">
        <v>86</v>
      </c>
      <c r="H5269" s="239"/>
      <c r="I5269" s="240"/>
      <c r="J5269" s="241" t="s">
        <v>98</v>
      </c>
      <c r="K5269" s="242">
        <v>861305.13000000268</v>
      </c>
      <c r="L5269" s="242"/>
    </row>
    <row r="5270" spans="1:13" ht="11.25" customHeight="1" x14ac:dyDescent="0.2">
      <c r="A5270" s="243">
        <v>2024</v>
      </c>
      <c r="B5270" s="243">
        <v>7</v>
      </c>
      <c r="C5270" s="243">
        <v>11</v>
      </c>
      <c r="D5270" s="248">
        <f t="shared" si="592"/>
        <v>45484</v>
      </c>
      <c r="E5270" s="249">
        <f t="shared" si="595"/>
        <v>45484</v>
      </c>
      <c r="F5270" s="477"/>
      <c r="G5270" s="244" t="s">
        <v>86</v>
      </c>
      <c r="H5270" s="244"/>
      <c r="I5270" s="245"/>
      <c r="J5270" s="246" t="s">
        <v>82</v>
      </c>
      <c r="K5270" s="247"/>
      <c r="L5270" s="247">
        <f>K5269</f>
        <v>861305.13000000268</v>
      </c>
    </row>
    <row r="5271" spans="1:13" ht="11.25" customHeight="1" x14ac:dyDescent="0.2">
      <c r="A5271" s="236">
        <v>2024</v>
      </c>
      <c r="B5271" s="236">
        <v>7</v>
      </c>
      <c r="C5271" s="236">
        <v>11</v>
      </c>
      <c r="D5271" s="237">
        <f t="shared" si="592"/>
        <v>45484</v>
      </c>
      <c r="E5271" s="238">
        <f t="shared" si="595"/>
        <v>45484</v>
      </c>
      <c r="F5271" s="476" t="s">
        <v>1120</v>
      </c>
      <c r="G5271" s="239" t="s">
        <v>86</v>
      </c>
      <c r="H5271" s="239"/>
      <c r="I5271" s="240"/>
      <c r="J5271" s="241" t="s">
        <v>87</v>
      </c>
      <c r="K5271" s="242">
        <v>2747.2527472527472</v>
      </c>
      <c r="L5271" s="242"/>
    </row>
    <row r="5272" spans="1:13" ht="11.25" customHeight="1" x14ac:dyDescent="0.2">
      <c r="A5272" s="243">
        <v>2024</v>
      </c>
      <c r="B5272" s="243">
        <v>7</v>
      </c>
      <c r="C5272" s="243">
        <v>11</v>
      </c>
      <c r="D5272" s="248">
        <f t="shared" si="592"/>
        <v>45484</v>
      </c>
      <c r="E5272" s="249">
        <f t="shared" si="595"/>
        <v>45484</v>
      </c>
      <c r="F5272" s="477"/>
      <c r="G5272" s="244" t="s">
        <v>86</v>
      </c>
      <c r="H5272" s="244"/>
      <c r="I5272" s="245"/>
      <c r="J5272" s="246" t="s">
        <v>64</v>
      </c>
      <c r="K5272" s="247"/>
      <c r="L5272" s="247">
        <v>2747.2527472527472</v>
      </c>
    </row>
    <row r="5273" spans="1:13" ht="11.25" customHeight="1" x14ac:dyDescent="0.2">
      <c r="A5273" s="236">
        <v>2024</v>
      </c>
      <c r="B5273" s="236">
        <v>7</v>
      </c>
      <c r="C5273" s="236">
        <v>11</v>
      </c>
      <c r="D5273" s="237">
        <f t="shared" si="592"/>
        <v>45484</v>
      </c>
      <c r="E5273" s="238">
        <f t="shared" si="595"/>
        <v>45484</v>
      </c>
      <c r="F5273" s="476" t="s">
        <v>1121</v>
      </c>
      <c r="G5273" s="239" t="s">
        <v>86</v>
      </c>
      <c r="H5273" s="239"/>
      <c r="I5273" s="240"/>
      <c r="J5273" s="241" t="s">
        <v>89</v>
      </c>
      <c r="K5273" s="242">
        <f>M5273</f>
        <v>64761.489325841336</v>
      </c>
      <c r="L5273" s="242"/>
      <c r="M5273" s="156">
        <v>64761.489325841336</v>
      </c>
    </row>
    <row r="5274" spans="1:13" ht="11.25" customHeight="1" x14ac:dyDescent="0.2">
      <c r="A5274" s="243">
        <v>2024</v>
      </c>
      <c r="B5274" s="243">
        <v>7</v>
      </c>
      <c r="C5274" s="243">
        <v>11</v>
      </c>
      <c r="D5274" s="248">
        <f t="shared" si="592"/>
        <v>45484</v>
      </c>
      <c r="E5274" s="249">
        <f t="shared" si="595"/>
        <v>45484</v>
      </c>
      <c r="F5274" s="477"/>
      <c r="G5274" s="244" t="s">
        <v>86</v>
      </c>
      <c r="H5274" s="244"/>
      <c r="I5274" s="245"/>
      <c r="J5274" s="246" t="s">
        <v>50</v>
      </c>
      <c r="K5274" s="247"/>
      <c r="L5274" s="247">
        <f>K5273</f>
        <v>64761.489325841336</v>
      </c>
      <c r="M5274" s="156">
        <v>2997.6898509074517</v>
      </c>
    </row>
    <row r="5275" spans="1:13" ht="11.25" customHeight="1" x14ac:dyDescent="0.2">
      <c r="A5275" s="236">
        <v>2024</v>
      </c>
      <c r="B5275" s="236">
        <v>7</v>
      </c>
      <c r="C5275" s="236">
        <v>11</v>
      </c>
      <c r="D5275" s="237">
        <f t="shared" si="592"/>
        <v>45484</v>
      </c>
      <c r="E5275" s="238">
        <f t="shared" si="595"/>
        <v>45484</v>
      </c>
      <c r="F5275" s="476" t="s">
        <v>1122</v>
      </c>
      <c r="G5275" s="239" t="s">
        <v>86</v>
      </c>
      <c r="H5275" s="239"/>
      <c r="I5275" s="240"/>
      <c r="J5275" s="241" t="s">
        <v>91</v>
      </c>
      <c r="K5275" s="242">
        <f>M5274</f>
        <v>2997.6898509074517</v>
      </c>
      <c r="L5275" s="242"/>
    </row>
    <row r="5276" spans="1:13" ht="11.25" customHeight="1" x14ac:dyDescent="0.2">
      <c r="A5276" s="243">
        <v>2024</v>
      </c>
      <c r="B5276" s="243">
        <v>7</v>
      </c>
      <c r="C5276" s="243">
        <v>11</v>
      </c>
      <c r="D5276" s="248">
        <f t="shared" si="592"/>
        <v>45484</v>
      </c>
      <c r="E5276" s="249">
        <f t="shared" si="595"/>
        <v>45484</v>
      </c>
      <c r="F5276" s="477"/>
      <c r="G5276" s="244" t="s">
        <v>86</v>
      </c>
      <c r="H5276" s="244"/>
      <c r="I5276" s="245"/>
      <c r="J5276" s="246" t="s">
        <v>51</v>
      </c>
      <c r="K5276" s="247"/>
      <c r="L5276" s="247">
        <f>K5275</f>
        <v>2997.6898509074517</v>
      </c>
    </row>
    <row r="5277" spans="1:13" ht="11.25" customHeight="1" x14ac:dyDescent="0.2">
      <c r="A5277" s="221">
        <v>2024</v>
      </c>
      <c r="B5277" s="221">
        <v>7</v>
      </c>
      <c r="C5277" s="221">
        <v>14</v>
      </c>
      <c r="D5277" s="231">
        <f t="shared" si="592"/>
        <v>45487</v>
      </c>
      <c r="E5277" s="233">
        <f t="shared" si="595"/>
        <v>45487</v>
      </c>
      <c r="F5277" s="478" t="s">
        <v>1590</v>
      </c>
      <c r="G5277" s="222" t="s">
        <v>1111</v>
      </c>
      <c r="H5277" s="223"/>
      <c r="I5277" s="223"/>
      <c r="J5277" s="224" t="s">
        <v>55</v>
      </c>
      <c r="K5277" s="225">
        <v>2095920.54</v>
      </c>
      <c r="L5277" s="225"/>
    </row>
    <row r="5278" spans="1:13" ht="11.25" customHeight="1" x14ac:dyDescent="0.2">
      <c r="A5278" s="226">
        <v>2024</v>
      </c>
      <c r="B5278" s="226">
        <v>7</v>
      </c>
      <c r="C5278" s="226">
        <v>14</v>
      </c>
      <c r="D5278" s="232">
        <f t="shared" si="592"/>
        <v>45487</v>
      </c>
      <c r="E5278" s="234">
        <f t="shared" si="595"/>
        <v>45487</v>
      </c>
      <c r="F5278" s="479"/>
      <c r="G5278" s="227" t="s">
        <v>1111</v>
      </c>
      <c r="H5278" s="228"/>
      <c r="I5278" s="228"/>
      <c r="J5278" s="229" t="s">
        <v>199</v>
      </c>
      <c r="K5278" s="230"/>
      <c r="L5278" s="230">
        <v>2095920.54</v>
      </c>
    </row>
    <row r="5279" spans="1:13" ht="11.25" customHeight="1" x14ac:dyDescent="0.2">
      <c r="A5279" s="221">
        <v>2024</v>
      </c>
      <c r="B5279" s="221">
        <v>7</v>
      </c>
      <c r="C5279" s="221">
        <v>15</v>
      </c>
      <c r="D5279" s="231">
        <f t="shared" si="592"/>
        <v>45488</v>
      </c>
      <c r="E5279" s="233">
        <f t="shared" ref="E5279:E5285" si="596">DATE(A5279,B5279,C5279)</f>
        <v>45488</v>
      </c>
      <c r="F5279" s="478" t="s">
        <v>1758</v>
      </c>
      <c r="G5279" s="222" t="s">
        <v>1111</v>
      </c>
      <c r="H5279" s="223"/>
      <c r="I5279" s="223"/>
      <c r="J5279" s="224" t="s">
        <v>55</v>
      </c>
      <c r="K5279" s="225">
        <v>668794</v>
      </c>
      <c r="L5279" s="225"/>
    </row>
    <row r="5280" spans="1:13" ht="11.25" customHeight="1" x14ac:dyDescent="0.2">
      <c r="A5280" s="226">
        <v>2024</v>
      </c>
      <c r="B5280" s="226">
        <v>7</v>
      </c>
      <c r="C5280" s="226">
        <v>15</v>
      </c>
      <c r="D5280" s="232">
        <f t="shared" si="592"/>
        <v>45488</v>
      </c>
      <c r="E5280" s="234">
        <f t="shared" si="596"/>
        <v>45488</v>
      </c>
      <c r="F5280" s="479"/>
      <c r="G5280" s="227" t="s">
        <v>1111</v>
      </c>
      <c r="H5280" s="228"/>
      <c r="I5280" s="228"/>
      <c r="J5280" s="229" t="s">
        <v>199</v>
      </c>
      <c r="K5280" s="230"/>
      <c r="L5280" s="230">
        <v>668794</v>
      </c>
    </row>
    <row r="5281" spans="1:12" ht="11.25" customHeight="1" x14ac:dyDescent="0.2">
      <c r="A5281" s="221">
        <v>2024</v>
      </c>
      <c r="B5281" s="221">
        <v>7</v>
      </c>
      <c r="C5281" s="231">
        <v>15</v>
      </c>
      <c r="D5281" s="231">
        <f t="shared" si="592"/>
        <v>45488</v>
      </c>
      <c r="E5281" s="233">
        <f t="shared" si="596"/>
        <v>45488</v>
      </c>
      <c r="F5281" s="478" t="s">
        <v>802</v>
      </c>
      <c r="G5281" s="222" t="s">
        <v>1111</v>
      </c>
      <c r="H5281" s="223"/>
      <c r="I5281" s="223" t="s">
        <v>320</v>
      </c>
      <c r="J5281" s="224" t="s">
        <v>55</v>
      </c>
      <c r="K5281" s="167">
        <v>6000000</v>
      </c>
      <c r="L5281" s="225"/>
    </row>
    <row r="5282" spans="1:12" ht="11.25" customHeight="1" x14ac:dyDescent="0.2">
      <c r="A5282" s="164">
        <v>2024</v>
      </c>
      <c r="B5282" s="164">
        <v>7</v>
      </c>
      <c r="C5282" s="156">
        <v>15</v>
      </c>
      <c r="D5282" s="156">
        <f t="shared" si="592"/>
        <v>45488</v>
      </c>
      <c r="E5282" s="235">
        <f t="shared" si="596"/>
        <v>45488</v>
      </c>
      <c r="F5282" s="480"/>
      <c r="G5282" s="208" t="s">
        <v>1111</v>
      </c>
      <c r="I5282" s="206" t="s">
        <v>320</v>
      </c>
      <c r="J5282" s="165" t="s">
        <v>14</v>
      </c>
      <c r="L5282" s="418">
        <v>5953560</v>
      </c>
    </row>
    <row r="5283" spans="1:12" ht="11.25" customHeight="1" x14ac:dyDescent="0.2">
      <c r="A5283" s="226">
        <v>2024</v>
      </c>
      <c r="B5283" s="226">
        <v>7</v>
      </c>
      <c r="C5283" s="232">
        <v>15</v>
      </c>
      <c r="D5283" s="232">
        <f t="shared" si="592"/>
        <v>45488</v>
      </c>
      <c r="E5283" s="234">
        <f t="shared" si="596"/>
        <v>45488</v>
      </c>
      <c r="F5283" s="479"/>
      <c r="G5283" s="227" t="s">
        <v>1111</v>
      </c>
      <c r="H5283" s="228"/>
      <c r="I5283" s="228" t="s">
        <v>320</v>
      </c>
      <c r="J5283" s="229" t="s">
        <v>1112</v>
      </c>
      <c r="K5283" s="230"/>
      <c r="L5283" s="230">
        <v>46440</v>
      </c>
    </row>
    <row r="5284" spans="1:12" ht="11.25" customHeight="1" x14ac:dyDescent="0.2">
      <c r="A5284" s="221">
        <v>2024</v>
      </c>
      <c r="B5284" s="221">
        <v>7</v>
      </c>
      <c r="C5284" s="221">
        <v>16</v>
      </c>
      <c r="D5284" s="231">
        <f t="shared" si="592"/>
        <v>45489</v>
      </c>
      <c r="E5284" s="233">
        <f t="shared" si="596"/>
        <v>45489</v>
      </c>
      <c r="F5284" s="478" t="s">
        <v>1588</v>
      </c>
      <c r="G5284" s="222" t="s">
        <v>1111</v>
      </c>
      <c r="H5284" s="223"/>
      <c r="I5284" s="223"/>
      <c r="J5284" s="224" t="s">
        <v>189</v>
      </c>
      <c r="K5284" s="225">
        <v>1800</v>
      </c>
      <c r="L5284" s="225"/>
    </row>
    <row r="5285" spans="1:12" ht="11.25" customHeight="1" x14ac:dyDescent="0.2">
      <c r="A5285" s="226">
        <v>2024</v>
      </c>
      <c r="B5285" s="226">
        <v>7</v>
      </c>
      <c r="C5285" s="226">
        <v>16</v>
      </c>
      <c r="D5285" s="232">
        <f t="shared" si="592"/>
        <v>45489</v>
      </c>
      <c r="E5285" s="234">
        <f t="shared" si="596"/>
        <v>45489</v>
      </c>
      <c r="F5285" s="479"/>
      <c r="G5285" s="227" t="s">
        <v>1111</v>
      </c>
      <c r="H5285" s="228"/>
      <c r="I5285" s="228"/>
      <c r="J5285" s="229" t="s">
        <v>55</v>
      </c>
      <c r="K5285" s="230"/>
      <c r="L5285" s="230">
        <v>1800</v>
      </c>
    </row>
    <row r="5286" spans="1:12" ht="11.25" customHeight="1" x14ac:dyDescent="0.2">
      <c r="A5286" s="221">
        <v>2024</v>
      </c>
      <c r="B5286" s="221">
        <v>7</v>
      </c>
      <c r="C5286" s="231">
        <v>18</v>
      </c>
      <c r="D5286" s="231">
        <f t="shared" si="592"/>
        <v>45491</v>
      </c>
      <c r="E5286" s="233">
        <f t="shared" si="595"/>
        <v>45491</v>
      </c>
      <c r="F5286" s="478" t="s">
        <v>802</v>
      </c>
      <c r="G5286" s="222" t="s">
        <v>1111</v>
      </c>
      <c r="H5286" s="223"/>
      <c r="I5286" s="223" t="s">
        <v>370</v>
      </c>
      <c r="J5286" s="224" t="s">
        <v>55</v>
      </c>
      <c r="K5286" s="167">
        <v>300000</v>
      </c>
      <c r="L5286" s="225"/>
    </row>
    <row r="5287" spans="1:12" ht="11.25" customHeight="1" x14ac:dyDescent="0.2">
      <c r="A5287" s="164">
        <v>2024</v>
      </c>
      <c r="B5287" s="164">
        <v>7</v>
      </c>
      <c r="C5287" s="156">
        <v>18</v>
      </c>
      <c r="D5287" s="156">
        <f t="shared" si="592"/>
        <v>45491</v>
      </c>
      <c r="E5287" s="235">
        <f t="shared" si="595"/>
        <v>45491</v>
      </c>
      <c r="F5287" s="480"/>
      <c r="G5287" s="208" t="s">
        <v>1111</v>
      </c>
      <c r="I5287" s="206" t="s">
        <v>370</v>
      </c>
      <c r="J5287" s="165" t="s">
        <v>14</v>
      </c>
      <c r="L5287" s="418">
        <v>297680</v>
      </c>
    </row>
    <row r="5288" spans="1:12" ht="11.25" customHeight="1" x14ac:dyDescent="0.2">
      <c r="A5288" s="226">
        <v>2024</v>
      </c>
      <c r="B5288" s="226">
        <v>7</v>
      </c>
      <c r="C5288" s="232">
        <v>18</v>
      </c>
      <c r="D5288" s="232">
        <f t="shared" si="592"/>
        <v>45491</v>
      </c>
      <c r="E5288" s="234">
        <f t="shared" si="595"/>
        <v>45491</v>
      </c>
      <c r="F5288" s="479"/>
      <c r="G5288" s="227" t="s">
        <v>1111</v>
      </c>
      <c r="H5288" s="228"/>
      <c r="I5288" s="228" t="s">
        <v>370</v>
      </c>
      <c r="J5288" s="229" t="s">
        <v>1112</v>
      </c>
      <c r="K5288" s="230"/>
      <c r="L5288" s="230">
        <v>2320</v>
      </c>
    </row>
    <row r="5289" spans="1:12" ht="11.25" customHeight="1" x14ac:dyDescent="0.2">
      <c r="A5289" s="221">
        <v>2024</v>
      </c>
      <c r="B5289" s="221">
        <v>7</v>
      </c>
      <c r="C5289" s="231">
        <v>18</v>
      </c>
      <c r="D5289" s="231">
        <f t="shared" si="592"/>
        <v>45491</v>
      </c>
      <c r="E5289" s="233">
        <f t="shared" ref="E5289:E5291" si="597">DATE(A5289,B5289,C5289)</f>
        <v>45491</v>
      </c>
      <c r="F5289" s="478" t="s">
        <v>802</v>
      </c>
      <c r="G5289" s="222" t="s">
        <v>1111</v>
      </c>
      <c r="H5289" s="223"/>
      <c r="I5289" s="223" t="s">
        <v>391</v>
      </c>
      <c r="J5289" s="224" t="s">
        <v>55</v>
      </c>
      <c r="K5289" s="167">
        <v>4600000</v>
      </c>
      <c r="L5289" s="225"/>
    </row>
    <row r="5290" spans="1:12" ht="11.25" customHeight="1" x14ac:dyDescent="0.2">
      <c r="A5290" s="164">
        <v>2024</v>
      </c>
      <c r="B5290" s="164">
        <v>7</v>
      </c>
      <c r="C5290" s="156">
        <v>18</v>
      </c>
      <c r="D5290" s="156">
        <f t="shared" si="592"/>
        <v>45491</v>
      </c>
      <c r="E5290" s="235">
        <f t="shared" si="597"/>
        <v>45491</v>
      </c>
      <c r="F5290" s="480"/>
      <c r="G5290" s="208" t="s">
        <v>1111</v>
      </c>
      <c r="I5290" s="206" t="s">
        <v>391</v>
      </c>
      <c r="J5290" s="165" t="s">
        <v>14</v>
      </c>
      <c r="L5290" s="418">
        <v>4564400</v>
      </c>
    </row>
    <row r="5291" spans="1:12" ht="11.25" customHeight="1" x14ac:dyDescent="0.2">
      <c r="A5291" s="226">
        <v>2024</v>
      </c>
      <c r="B5291" s="226">
        <v>7</v>
      </c>
      <c r="C5291" s="232">
        <v>18</v>
      </c>
      <c r="D5291" s="232">
        <f t="shared" si="592"/>
        <v>45491</v>
      </c>
      <c r="E5291" s="234">
        <f t="shared" si="597"/>
        <v>45491</v>
      </c>
      <c r="F5291" s="479"/>
      <c r="G5291" s="227" t="s">
        <v>1111</v>
      </c>
      <c r="H5291" s="228"/>
      <c r="I5291" s="228" t="s">
        <v>391</v>
      </c>
      <c r="J5291" s="229" t="s">
        <v>1112</v>
      </c>
      <c r="K5291" s="230"/>
      <c r="L5291" s="230">
        <v>35600</v>
      </c>
    </row>
    <row r="5292" spans="1:12" ht="11.25" customHeight="1" x14ac:dyDescent="0.2">
      <c r="A5292" s="221">
        <v>2024</v>
      </c>
      <c r="B5292" s="221">
        <v>7</v>
      </c>
      <c r="C5292" s="231">
        <v>18</v>
      </c>
      <c r="D5292" s="231">
        <f t="shared" si="592"/>
        <v>45491</v>
      </c>
      <c r="E5292" s="233">
        <f t="shared" ref="E5292:E5301" si="598">DATE(A5292,B5292,C5292)</f>
        <v>45491</v>
      </c>
      <c r="F5292" s="478" t="s">
        <v>802</v>
      </c>
      <c r="G5292" s="222" t="s">
        <v>1111</v>
      </c>
      <c r="H5292" s="223"/>
      <c r="I5292" s="223" t="s">
        <v>391</v>
      </c>
      <c r="J5292" s="224" t="s">
        <v>55</v>
      </c>
      <c r="K5292" s="167">
        <v>5400000</v>
      </c>
      <c r="L5292" s="225"/>
    </row>
    <row r="5293" spans="1:12" ht="11.25" customHeight="1" x14ac:dyDescent="0.2">
      <c r="A5293" s="164">
        <v>2024</v>
      </c>
      <c r="B5293" s="164">
        <v>7</v>
      </c>
      <c r="C5293" s="156">
        <v>18</v>
      </c>
      <c r="D5293" s="156">
        <f t="shared" si="592"/>
        <v>45491</v>
      </c>
      <c r="E5293" s="235">
        <f t="shared" si="598"/>
        <v>45491</v>
      </c>
      <c r="F5293" s="480"/>
      <c r="G5293" s="208" t="s">
        <v>1111</v>
      </c>
      <c r="I5293" s="206" t="s">
        <v>391</v>
      </c>
      <c r="J5293" s="165" t="s">
        <v>14</v>
      </c>
      <c r="L5293" s="418">
        <v>5358210</v>
      </c>
    </row>
    <row r="5294" spans="1:12" ht="11.25" customHeight="1" x14ac:dyDescent="0.2">
      <c r="A5294" s="226">
        <v>2024</v>
      </c>
      <c r="B5294" s="226">
        <v>7</v>
      </c>
      <c r="C5294" s="232">
        <v>18</v>
      </c>
      <c r="D5294" s="232">
        <f t="shared" si="592"/>
        <v>45491</v>
      </c>
      <c r="E5294" s="234">
        <f t="shared" si="598"/>
        <v>45491</v>
      </c>
      <c r="F5294" s="479"/>
      <c r="G5294" s="227" t="s">
        <v>1111</v>
      </c>
      <c r="H5294" s="228"/>
      <c r="I5294" s="228" t="s">
        <v>391</v>
      </c>
      <c r="J5294" s="229" t="s">
        <v>1112</v>
      </c>
      <c r="K5294" s="230"/>
      <c r="L5294" s="230">
        <v>41790</v>
      </c>
    </row>
    <row r="5295" spans="1:12" ht="11.25" customHeight="1" x14ac:dyDescent="0.2">
      <c r="A5295" s="221">
        <v>2024</v>
      </c>
      <c r="B5295" s="221">
        <v>7</v>
      </c>
      <c r="C5295" s="231">
        <v>18</v>
      </c>
      <c r="D5295" s="231">
        <f t="shared" si="592"/>
        <v>45491</v>
      </c>
      <c r="E5295" s="233">
        <f t="shared" si="598"/>
        <v>45491</v>
      </c>
      <c r="F5295" s="478" t="s">
        <v>1759</v>
      </c>
      <c r="G5295" s="222" t="s">
        <v>86</v>
      </c>
      <c r="H5295" s="222"/>
      <c r="I5295" s="223"/>
      <c r="J5295" s="224" t="s">
        <v>80</v>
      </c>
      <c r="K5295" s="225">
        <v>1329500</v>
      </c>
      <c r="L5295" s="225"/>
    </row>
    <row r="5296" spans="1:12" ht="11.25" customHeight="1" x14ac:dyDescent="0.2">
      <c r="A5296" s="164">
        <v>2024</v>
      </c>
      <c r="B5296" s="164">
        <v>7</v>
      </c>
      <c r="C5296" s="156">
        <v>18</v>
      </c>
      <c r="D5296" s="164">
        <f t="shared" si="592"/>
        <v>45491</v>
      </c>
      <c r="E5296" s="235">
        <f t="shared" si="598"/>
        <v>45491</v>
      </c>
      <c r="F5296" s="480"/>
      <c r="G5296" s="208" t="s">
        <v>86</v>
      </c>
      <c r="H5296" s="208"/>
      <c r="J5296" s="165" t="s">
        <v>960</v>
      </c>
      <c r="K5296" s="205">
        <v>2393.1</v>
      </c>
      <c r="L5296" s="205"/>
    </row>
    <row r="5297" spans="1:13" ht="11.25" customHeight="1" x14ac:dyDescent="0.2">
      <c r="A5297" s="226">
        <v>2024</v>
      </c>
      <c r="B5297" s="226">
        <v>7</v>
      </c>
      <c r="C5297" s="232">
        <v>18</v>
      </c>
      <c r="D5297" s="226">
        <f t="shared" si="592"/>
        <v>45491</v>
      </c>
      <c r="E5297" s="234">
        <f t="shared" si="598"/>
        <v>45491</v>
      </c>
      <c r="F5297" s="479"/>
      <c r="G5297" s="227" t="s">
        <v>86</v>
      </c>
      <c r="H5297" s="227"/>
      <c r="I5297" s="228"/>
      <c r="J5297" s="229" t="s">
        <v>961</v>
      </c>
      <c r="K5297" s="294"/>
      <c r="L5297" s="230">
        <v>1331893.1000000001</v>
      </c>
    </row>
    <row r="5298" spans="1:13" ht="11.25" customHeight="1" x14ac:dyDescent="0.2">
      <c r="A5298" s="280">
        <v>2024</v>
      </c>
      <c r="B5298" s="280">
        <v>7</v>
      </c>
      <c r="C5298" s="280">
        <v>18</v>
      </c>
      <c r="D5298" s="281">
        <f t="shared" si="592"/>
        <v>45491</v>
      </c>
      <c r="E5298" s="282">
        <f t="shared" si="598"/>
        <v>45491</v>
      </c>
      <c r="F5298" s="472" t="s">
        <v>1744</v>
      </c>
      <c r="G5298" s="283" t="s">
        <v>86</v>
      </c>
      <c r="H5298" s="284"/>
      <c r="I5298" s="284"/>
      <c r="J5298" s="285" t="s">
        <v>131</v>
      </c>
      <c r="K5298" s="286">
        <v>19358.333333333332</v>
      </c>
      <c r="L5298" s="286"/>
    </row>
    <row r="5299" spans="1:13" ht="11.25" customHeight="1" x14ac:dyDescent="0.2">
      <c r="A5299" s="287">
        <v>2024</v>
      </c>
      <c r="B5299" s="287">
        <v>7</v>
      </c>
      <c r="C5299" s="287">
        <v>18</v>
      </c>
      <c r="D5299" s="288">
        <f t="shared" si="592"/>
        <v>45491</v>
      </c>
      <c r="E5299" s="289">
        <f t="shared" si="598"/>
        <v>45491</v>
      </c>
      <c r="F5299" s="473"/>
      <c r="G5299" s="290" t="s">
        <v>86</v>
      </c>
      <c r="H5299" s="291"/>
      <c r="I5299" s="291"/>
      <c r="J5299" s="292" t="s">
        <v>174</v>
      </c>
      <c r="K5299" s="293"/>
      <c r="L5299" s="293">
        <v>19358.333333333332</v>
      </c>
    </row>
    <row r="5300" spans="1:13" ht="11.25" customHeight="1" x14ac:dyDescent="0.2">
      <c r="A5300" s="280">
        <v>2024</v>
      </c>
      <c r="B5300" s="280">
        <v>7</v>
      </c>
      <c r="C5300" s="280">
        <v>18</v>
      </c>
      <c r="D5300" s="281">
        <f t="shared" si="592"/>
        <v>45491</v>
      </c>
      <c r="E5300" s="282">
        <f t="shared" si="598"/>
        <v>45491</v>
      </c>
      <c r="F5300" s="472" t="s">
        <v>1584</v>
      </c>
      <c r="G5300" s="283" t="s">
        <v>86</v>
      </c>
      <c r="H5300" s="284"/>
      <c r="I5300" s="284"/>
      <c r="J5300" s="285" t="s">
        <v>131</v>
      </c>
      <c r="K5300" s="286">
        <v>8653.8461538461543</v>
      </c>
      <c r="L5300" s="286"/>
    </row>
    <row r="5301" spans="1:13" ht="11.25" customHeight="1" x14ac:dyDescent="0.2">
      <c r="A5301" s="287">
        <v>2024</v>
      </c>
      <c r="B5301" s="287">
        <v>7</v>
      </c>
      <c r="C5301" s="287">
        <v>18</v>
      </c>
      <c r="D5301" s="288">
        <f t="shared" si="592"/>
        <v>45491</v>
      </c>
      <c r="E5301" s="289">
        <f t="shared" si="598"/>
        <v>45491</v>
      </c>
      <c r="F5301" s="473"/>
      <c r="G5301" s="290" t="s">
        <v>86</v>
      </c>
      <c r="H5301" s="291"/>
      <c r="I5301" s="291"/>
      <c r="J5301" s="292" t="s">
        <v>174</v>
      </c>
      <c r="K5301" s="293"/>
      <c r="L5301" s="293">
        <v>8653.8461538461543</v>
      </c>
    </row>
    <row r="5302" spans="1:13" ht="11.25" customHeight="1" x14ac:dyDescent="0.2">
      <c r="A5302" s="358">
        <v>2024</v>
      </c>
      <c r="B5302" s="358">
        <v>7</v>
      </c>
      <c r="C5302" s="358">
        <v>18</v>
      </c>
      <c r="D5302" s="312">
        <f t="shared" si="592"/>
        <v>45491</v>
      </c>
      <c r="E5302" s="313">
        <f>DATE(A5302,B5302,C5302)</f>
        <v>45491</v>
      </c>
      <c r="F5302" s="482" t="s">
        <v>1627</v>
      </c>
      <c r="G5302" s="314" t="s">
        <v>86</v>
      </c>
      <c r="H5302" s="324"/>
      <c r="I5302" s="324"/>
      <c r="J5302" s="364" t="s">
        <v>1621</v>
      </c>
      <c r="K5302" s="365">
        <v>53755</v>
      </c>
      <c r="L5302" s="365"/>
    </row>
    <row r="5303" spans="1:13" ht="11.25" customHeight="1" x14ac:dyDescent="0.2">
      <c r="A5303" s="320">
        <v>2024</v>
      </c>
      <c r="B5303" s="320">
        <v>7</v>
      </c>
      <c r="C5303" s="320">
        <v>18</v>
      </c>
      <c r="D5303" s="323">
        <f t="shared" si="592"/>
        <v>45491</v>
      </c>
      <c r="E5303" s="321">
        <f t="shared" ref="E5303" si="599">DATE(A5303,B5303,C5303)</f>
        <v>45491</v>
      </c>
      <c r="F5303" s="483"/>
      <c r="G5303" s="322" t="s">
        <v>86</v>
      </c>
      <c r="H5303" s="325"/>
      <c r="I5303" s="325"/>
      <c r="J5303" s="366" t="s">
        <v>1613</v>
      </c>
      <c r="K5303" s="367"/>
      <c r="L5303" s="367">
        <f>K5302</f>
        <v>53755</v>
      </c>
    </row>
    <row r="5304" spans="1:13" ht="11.25" customHeight="1" x14ac:dyDescent="0.2">
      <c r="A5304" s="358">
        <v>2024</v>
      </c>
      <c r="B5304" s="358">
        <v>7</v>
      </c>
      <c r="C5304" s="358">
        <v>18</v>
      </c>
      <c r="D5304" s="312">
        <f t="shared" si="592"/>
        <v>45491</v>
      </c>
      <c r="E5304" s="313">
        <f>DATE(A5304,B5304,C5304)</f>
        <v>45491</v>
      </c>
      <c r="F5304" s="482" t="s">
        <v>1713</v>
      </c>
      <c r="G5304" s="314" t="s">
        <v>86</v>
      </c>
      <c r="H5304" s="324"/>
      <c r="I5304" s="324"/>
      <c r="J5304" s="364" t="s">
        <v>1622</v>
      </c>
      <c r="K5304" s="365">
        <v>94485.10000000149</v>
      </c>
      <c r="L5304" s="365"/>
    </row>
    <row r="5305" spans="1:13" ht="11.25" customHeight="1" x14ac:dyDescent="0.2">
      <c r="A5305" s="320">
        <v>2024</v>
      </c>
      <c r="B5305" s="320">
        <v>7</v>
      </c>
      <c r="C5305" s="320">
        <v>18</v>
      </c>
      <c r="D5305" s="323">
        <f t="shared" si="592"/>
        <v>45491</v>
      </c>
      <c r="E5305" s="321">
        <f t="shared" ref="E5305:E5316" si="600">DATE(A5305,B5305,C5305)</f>
        <v>45491</v>
      </c>
      <c r="F5305" s="483"/>
      <c r="G5305" s="322" t="s">
        <v>86</v>
      </c>
      <c r="H5305" s="325"/>
      <c r="I5305" s="325"/>
      <c r="J5305" s="366" t="s">
        <v>1614</v>
      </c>
      <c r="K5305" s="367"/>
      <c r="L5305" s="367">
        <f>K5304</f>
        <v>94485.10000000149</v>
      </c>
    </row>
    <row r="5306" spans="1:13" ht="11.25" customHeight="1" x14ac:dyDescent="0.2">
      <c r="A5306" s="236">
        <v>2024</v>
      </c>
      <c r="B5306" s="236">
        <v>7</v>
      </c>
      <c r="C5306" s="236">
        <v>18</v>
      </c>
      <c r="D5306" s="237">
        <f t="shared" si="592"/>
        <v>45491</v>
      </c>
      <c r="E5306" s="238">
        <f t="shared" si="600"/>
        <v>45491</v>
      </c>
      <c r="F5306" s="476" t="s">
        <v>1118</v>
      </c>
      <c r="G5306" s="239" t="s">
        <v>86</v>
      </c>
      <c r="H5306" s="239"/>
      <c r="I5306" s="240"/>
      <c r="J5306" s="241" t="s">
        <v>98</v>
      </c>
      <c r="K5306" s="242">
        <v>1755750.299999997</v>
      </c>
      <c r="L5306" s="242"/>
    </row>
    <row r="5307" spans="1:13" ht="11.25" customHeight="1" x14ac:dyDescent="0.2">
      <c r="A5307" s="243">
        <v>2024</v>
      </c>
      <c r="B5307" s="243">
        <v>7</v>
      </c>
      <c r="C5307" s="243">
        <v>18</v>
      </c>
      <c r="D5307" s="248">
        <f t="shared" si="592"/>
        <v>45491</v>
      </c>
      <c r="E5307" s="249">
        <f t="shared" si="600"/>
        <v>45491</v>
      </c>
      <c r="F5307" s="477"/>
      <c r="G5307" s="244" t="s">
        <v>86</v>
      </c>
      <c r="H5307" s="244"/>
      <c r="I5307" s="245"/>
      <c r="J5307" s="246" t="s">
        <v>82</v>
      </c>
      <c r="K5307" s="247"/>
      <c r="L5307" s="247">
        <f>K5306</f>
        <v>1755750.299999997</v>
      </c>
    </row>
    <row r="5308" spans="1:13" ht="11.25" customHeight="1" x14ac:dyDescent="0.2">
      <c r="A5308" s="236">
        <v>2024</v>
      </c>
      <c r="B5308" s="236">
        <v>7</v>
      </c>
      <c r="C5308" s="236">
        <v>18</v>
      </c>
      <c r="D5308" s="237">
        <f t="shared" si="592"/>
        <v>45491</v>
      </c>
      <c r="E5308" s="238">
        <f t="shared" si="600"/>
        <v>45491</v>
      </c>
      <c r="F5308" s="476" t="s">
        <v>1120</v>
      </c>
      <c r="G5308" s="239" t="s">
        <v>86</v>
      </c>
      <c r="H5308" s="239"/>
      <c r="I5308" s="240"/>
      <c r="J5308" s="241" t="s">
        <v>87</v>
      </c>
      <c r="K5308" s="242">
        <v>2747.2527472527472</v>
      </c>
      <c r="L5308" s="242"/>
    </row>
    <row r="5309" spans="1:13" ht="11.25" customHeight="1" x14ac:dyDescent="0.2">
      <c r="A5309" s="243">
        <v>2024</v>
      </c>
      <c r="B5309" s="243">
        <v>7</v>
      </c>
      <c r="C5309" s="243">
        <v>18</v>
      </c>
      <c r="D5309" s="248">
        <f t="shared" si="592"/>
        <v>45491</v>
      </c>
      <c r="E5309" s="249">
        <f t="shared" si="600"/>
        <v>45491</v>
      </c>
      <c r="F5309" s="477"/>
      <c r="G5309" s="244" t="s">
        <v>86</v>
      </c>
      <c r="H5309" s="244"/>
      <c r="I5309" s="245"/>
      <c r="J5309" s="246" t="s">
        <v>64</v>
      </c>
      <c r="K5309" s="247"/>
      <c r="L5309" s="247">
        <v>2747.2527472527472</v>
      </c>
    </row>
    <row r="5310" spans="1:13" ht="11.25" customHeight="1" x14ac:dyDescent="0.2">
      <c r="A5310" s="236">
        <v>2024</v>
      </c>
      <c r="B5310" s="236">
        <v>7</v>
      </c>
      <c r="C5310" s="236">
        <v>18</v>
      </c>
      <c r="D5310" s="237">
        <f t="shared" si="592"/>
        <v>45491</v>
      </c>
      <c r="E5310" s="238">
        <f t="shared" si="600"/>
        <v>45491</v>
      </c>
      <c r="F5310" s="476" t="s">
        <v>1121</v>
      </c>
      <c r="G5310" s="239" t="s">
        <v>86</v>
      </c>
      <c r="H5310" s="239"/>
      <c r="I5310" s="240"/>
      <c r="J5310" s="241" t="s">
        <v>89</v>
      </c>
      <c r="K5310" s="242">
        <f>M5310</f>
        <v>71003.966564619506</v>
      </c>
      <c r="L5310" s="242"/>
      <c r="M5310" s="156">
        <v>71003.966564619506</v>
      </c>
    </row>
    <row r="5311" spans="1:13" ht="11.25" customHeight="1" x14ac:dyDescent="0.2">
      <c r="A5311" s="243">
        <v>2024</v>
      </c>
      <c r="B5311" s="243">
        <v>7</v>
      </c>
      <c r="C5311" s="243">
        <v>18</v>
      </c>
      <c r="D5311" s="248">
        <f t="shared" si="592"/>
        <v>45491</v>
      </c>
      <c r="E5311" s="249">
        <f t="shared" si="600"/>
        <v>45491</v>
      </c>
      <c r="F5311" s="477"/>
      <c r="G5311" s="244" t="s">
        <v>86</v>
      </c>
      <c r="H5311" s="244"/>
      <c r="I5311" s="245"/>
      <c r="J5311" s="246" t="s">
        <v>50</v>
      </c>
      <c r="K5311" s="247"/>
      <c r="L5311" s="247">
        <f>K5310</f>
        <v>71003.966564619506</v>
      </c>
      <c r="M5311" s="156">
        <v>3346.9147768221274</v>
      </c>
    </row>
    <row r="5312" spans="1:13" ht="11.25" customHeight="1" x14ac:dyDescent="0.2">
      <c r="A5312" s="236">
        <v>2024</v>
      </c>
      <c r="B5312" s="236">
        <v>7</v>
      </c>
      <c r="C5312" s="236">
        <v>18</v>
      </c>
      <c r="D5312" s="237">
        <f t="shared" si="592"/>
        <v>45491</v>
      </c>
      <c r="E5312" s="238">
        <f t="shared" si="600"/>
        <v>45491</v>
      </c>
      <c r="F5312" s="476" t="s">
        <v>1122</v>
      </c>
      <c r="G5312" s="239" t="s">
        <v>86</v>
      </c>
      <c r="H5312" s="239"/>
      <c r="I5312" s="240"/>
      <c r="J5312" s="241" t="s">
        <v>91</v>
      </c>
      <c r="K5312" s="242">
        <f>M5311</f>
        <v>3346.9147768221274</v>
      </c>
      <c r="L5312" s="242"/>
    </row>
    <row r="5313" spans="1:12" ht="11.25" customHeight="1" x14ac:dyDescent="0.2">
      <c r="A5313" s="243">
        <v>2024</v>
      </c>
      <c r="B5313" s="243">
        <v>7</v>
      </c>
      <c r="C5313" s="243">
        <v>18</v>
      </c>
      <c r="D5313" s="248">
        <f t="shared" si="592"/>
        <v>45491</v>
      </c>
      <c r="E5313" s="249">
        <f t="shared" si="600"/>
        <v>45491</v>
      </c>
      <c r="F5313" s="477"/>
      <c r="G5313" s="244" t="s">
        <v>86</v>
      </c>
      <c r="H5313" s="244"/>
      <c r="I5313" s="245"/>
      <c r="J5313" s="246" t="s">
        <v>51</v>
      </c>
      <c r="K5313" s="247"/>
      <c r="L5313" s="247">
        <f>K5312</f>
        <v>3346.9147768221274</v>
      </c>
    </row>
    <row r="5314" spans="1:12" ht="11.25" customHeight="1" x14ac:dyDescent="0.2">
      <c r="A5314" s="221">
        <v>2024</v>
      </c>
      <c r="B5314" s="221">
        <v>7</v>
      </c>
      <c r="C5314" s="231">
        <v>24</v>
      </c>
      <c r="D5314" s="231">
        <f t="shared" si="592"/>
        <v>45497</v>
      </c>
      <c r="E5314" s="233">
        <f t="shared" si="600"/>
        <v>45497</v>
      </c>
      <c r="F5314" s="478" t="s">
        <v>1593</v>
      </c>
      <c r="G5314" s="222" t="s">
        <v>86</v>
      </c>
      <c r="H5314" s="222"/>
      <c r="I5314" s="223"/>
      <c r="J5314" s="224" t="s">
        <v>80</v>
      </c>
      <c r="K5314" s="225">
        <v>2995064.3</v>
      </c>
      <c r="L5314" s="225"/>
    </row>
    <row r="5315" spans="1:12" ht="11.25" customHeight="1" x14ac:dyDescent="0.2">
      <c r="A5315" s="164">
        <v>2024</v>
      </c>
      <c r="B5315" s="164">
        <v>7</v>
      </c>
      <c r="C5315" s="156">
        <v>24</v>
      </c>
      <c r="D5315" s="164">
        <f t="shared" si="592"/>
        <v>45497</v>
      </c>
      <c r="E5315" s="235">
        <f t="shared" si="600"/>
        <v>45497</v>
      </c>
      <c r="F5315" s="480"/>
      <c r="G5315" s="208" t="s">
        <v>86</v>
      </c>
      <c r="H5315" s="208"/>
      <c r="J5315" s="165" t="s">
        <v>960</v>
      </c>
      <c r="K5315" s="205">
        <v>5391.1157999999996</v>
      </c>
      <c r="L5315" s="205"/>
    </row>
    <row r="5316" spans="1:12" ht="11.25" customHeight="1" x14ac:dyDescent="0.2">
      <c r="A5316" s="226">
        <v>2024</v>
      </c>
      <c r="B5316" s="226">
        <v>7</v>
      </c>
      <c r="C5316" s="232">
        <v>24</v>
      </c>
      <c r="D5316" s="226">
        <f t="shared" si="592"/>
        <v>45497</v>
      </c>
      <c r="E5316" s="234">
        <f t="shared" si="600"/>
        <v>45497</v>
      </c>
      <c r="F5316" s="479"/>
      <c r="G5316" s="227" t="s">
        <v>86</v>
      </c>
      <c r="H5316" s="227"/>
      <c r="I5316" s="228"/>
      <c r="J5316" s="229" t="s">
        <v>961</v>
      </c>
      <c r="K5316" s="294"/>
      <c r="L5316" s="230">
        <v>3000455.4158000001</v>
      </c>
    </row>
    <row r="5317" spans="1:12" ht="11.25" customHeight="1" x14ac:dyDescent="0.2">
      <c r="A5317" s="221">
        <v>2024</v>
      </c>
      <c r="B5317" s="221">
        <v>7</v>
      </c>
      <c r="C5317" s="231">
        <v>25</v>
      </c>
      <c r="D5317" s="231">
        <f t="shared" si="592"/>
        <v>45498</v>
      </c>
      <c r="E5317" s="233">
        <f t="shared" ref="E5317:E5319" si="601">DATE(A5317,B5317,C5317)</f>
        <v>45498</v>
      </c>
      <c r="F5317" s="478" t="s">
        <v>1593</v>
      </c>
      <c r="G5317" s="222" t="s">
        <v>86</v>
      </c>
      <c r="H5317" s="222"/>
      <c r="I5317" s="223"/>
      <c r="J5317" s="224" t="s">
        <v>80</v>
      </c>
      <c r="K5317" s="225">
        <v>212050</v>
      </c>
      <c r="L5317" s="225"/>
    </row>
    <row r="5318" spans="1:12" ht="11.25" customHeight="1" x14ac:dyDescent="0.2">
      <c r="A5318" s="164">
        <v>2024</v>
      </c>
      <c r="B5318" s="164">
        <v>7</v>
      </c>
      <c r="C5318" s="156">
        <v>25</v>
      </c>
      <c r="D5318" s="164">
        <f t="shared" si="592"/>
        <v>45498</v>
      </c>
      <c r="E5318" s="235">
        <f t="shared" si="601"/>
        <v>45498</v>
      </c>
      <c r="F5318" s="480"/>
      <c r="G5318" s="208" t="s">
        <v>86</v>
      </c>
      <c r="H5318" s="208"/>
      <c r="J5318" s="165" t="s">
        <v>960</v>
      </c>
      <c r="K5318" s="205">
        <v>381.69</v>
      </c>
      <c r="L5318" s="205"/>
    </row>
    <row r="5319" spans="1:12" ht="11.25" customHeight="1" x14ac:dyDescent="0.2">
      <c r="A5319" s="226">
        <v>2024</v>
      </c>
      <c r="B5319" s="226">
        <v>7</v>
      </c>
      <c r="C5319" s="232">
        <v>25</v>
      </c>
      <c r="D5319" s="226">
        <f t="shared" si="592"/>
        <v>45498</v>
      </c>
      <c r="E5319" s="234">
        <f t="shared" si="601"/>
        <v>45498</v>
      </c>
      <c r="F5319" s="479"/>
      <c r="G5319" s="227" t="s">
        <v>86</v>
      </c>
      <c r="H5319" s="227"/>
      <c r="I5319" s="228"/>
      <c r="J5319" s="229" t="s">
        <v>961</v>
      </c>
      <c r="K5319" s="294"/>
      <c r="L5319" s="230">
        <v>212431.69</v>
      </c>
    </row>
    <row r="5320" spans="1:12" ht="11.25" customHeight="1" x14ac:dyDescent="0.2">
      <c r="A5320" s="221">
        <v>2024</v>
      </c>
      <c r="B5320" s="221">
        <v>7</v>
      </c>
      <c r="C5320" s="231">
        <v>25</v>
      </c>
      <c r="D5320" s="231">
        <f t="shared" si="592"/>
        <v>45498</v>
      </c>
      <c r="E5320" s="233">
        <f t="shared" ref="E5320:E5324" si="602">DATE(A5320,B5320,C5320)</f>
        <v>45498</v>
      </c>
      <c r="F5320" s="478" t="s">
        <v>1759</v>
      </c>
      <c r="G5320" s="222" t="s">
        <v>86</v>
      </c>
      <c r="H5320" s="222"/>
      <c r="I5320" s="223"/>
      <c r="J5320" s="224" t="s">
        <v>80</v>
      </c>
      <c r="K5320" s="225">
        <v>1020858</v>
      </c>
      <c r="L5320" s="225"/>
    </row>
    <row r="5321" spans="1:12" ht="11.25" customHeight="1" x14ac:dyDescent="0.2">
      <c r="A5321" s="164">
        <v>2024</v>
      </c>
      <c r="B5321" s="164">
        <v>7</v>
      </c>
      <c r="C5321" s="156">
        <v>25</v>
      </c>
      <c r="D5321" s="164">
        <f t="shared" ref="D5321:D5384" si="603">DATE(A5321,B5321,C5321)</f>
        <v>45498</v>
      </c>
      <c r="E5321" s="235">
        <f t="shared" si="602"/>
        <v>45498</v>
      </c>
      <c r="F5321" s="480"/>
      <c r="G5321" s="208" t="s">
        <v>86</v>
      </c>
      <c r="H5321" s="208"/>
      <c r="J5321" s="165" t="s">
        <v>960</v>
      </c>
      <c r="K5321" s="205">
        <v>1837.5444</v>
      </c>
      <c r="L5321" s="205"/>
    </row>
    <row r="5322" spans="1:12" ht="11.25" customHeight="1" x14ac:dyDescent="0.2">
      <c r="A5322" s="226">
        <v>2024</v>
      </c>
      <c r="B5322" s="226">
        <v>7</v>
      </c>
      <c r="C5322" s="232">
        <v>25</v>
      </c>
      <c r="D5322" s="226">
        <f t="shared" si="603"/>
        <v>45498</v>
      </c>
      <c r="E5322" s="234">
        <f t="shared" si="602"/>
        <v>45498</v>
      </c>
      <c r="F5322" s="479"/>
      <c r="G5322" s="227" t="s">
        <v>86</v>
      </c>
      <c r="H5322" s="227"/>
      <c r="I5322" s="228"/>
      <c r="J5322" s="229" t="s">
        <v>961</v>
      </c>
      <c r="K5322" s="294"/>
      <c r="L5322" s="230">
        <v>1022695.5444</v>
      </c>
    </row>
    <row r="5323" spans="1:12" ht="11.25" customHeight="1" x14ac:dyDescent="0.2">
      <c r="A5323" s="221">
        <v>2024</v>
      </c>
      <c r="B5323" s="221">
        <v>7</v>
      </c>
      <c r="C5323" s="221">
        <v>25</v>
      </c>
      <c r="D5323" s="231">
        <f t="shared" si="603"/>
        <v>45498</v>
      </c>
      <c r="E5323" s="233">
        <f t="shared" si="602"/>
        <v>45498</v>
      </c>
      <c r="F5323" s="478" t="s">
        <v>1594</v>
      </c>
      <c r="G5323" s="222" t="s">
        <v>1111</v>
      </c>
      <c r="H5323" s="223"/>
      <c r="I5323" s="223"/>
      <c r="J5323" s="224" t="s">
        <v>961</v>
      </c>
      <c r="K5323" s="225">
        <v>3000455.42</v>
      </c>
      <c r="L5323" s="225"/>
    </row>
    <row r="5324" spans="1:12" ht="11.25" customHeight="1" x14ac:dyDescent="0.2">
      <c r="A5324" s="226">
        <v>2024</v>
      </c>
      <c r="B5324" s="226">
        <v>7</v>
      </c>
      <c r="C5324" s="226">
        <v>25</v>
      </c>
      <c r="D5324" s="232">
        <f t="shared" si="603"/>
        <v>45498</v>
      </c>
      <c r="E5324" s="234">
        <f t="shared" si="602"/>
        <v>45498</v>
      </c>
      <c r="F5324" s="479"/>
      <c r="G5324" s="227" t="s">
        <v>1111</v>
      </c>
      <c r="H5324" s="228"/>
      <c r="I5324" s="228"/>
      <c r="J5324" s="229" t="s">
        <v>55</v>
      </c>
      <c r="K5324" s="230"/>
      <c r="L5324" s="230">
        <v>3000455.4158000001</v>
      </c>
    </row>
    <row r="5325" spans="1:12" ht="11.25" customHeight="1" x14ac:dyDescent="0.2">
      <c r="A5325" s="221">
        <v>2024</v>
      </c>
      <c r="B5325" s="221">
        <v>7</v>
      </c>
      <c r="C5325" s="221">
        <v>25</v>
      </c>
      <c r="D5325" s="231">
        <f t="shared" si="603"/>
        <v>45498</v>
      </c>
      <c r="E5325" s="233">
        <f t="shared" ref="E5325:E5332" si="604">DATE(A5325,B5325,C5325)</f>
        <v>45498</v>
      </c>
      <c r="F5325" s="478" t="s">
        <v>1760</v>
      </c>
      <c r="G5325" s="222" t="s">
        <v>1111</v>
      </c>
      <c r="H5325" s="223"/>
      <c r="I5325" s="223"/>
      <c r="J5325" s="224" t="s">
        <v>961</v>
      </c>
      <c r="K5325" s="225">
        <v>1331893.1000000001</v>
      </c>
      <c r="L5325" s="225"/>
    </row>
    <row r="5326" spans="1:12" ht="11.25" customHeight="1" x14ac:dyDescent="0.2">
      <c r="A5326" s="226">
        <v>2024</v>
      </c>
      <c r="B5326" s="226">
        <v>7</v>
      </c>
      <c r="C5326" s="226">
        <v>25</v>
      </c>
      <c r="D5326" s="232">
        <f t="shared" si="603"/>
        <v>45498</v>
      </c>
      <c r="E5326" s="234">
        <f t="shared" si="604"/>
        <v>45498</v>
      </c>
      <c r="F5326" s="479"/>
      <c r="G5326" s="227" t="s">
        <v>1111</v>
      </c>
      <c r="H5326" s="228"/>
      <c r="I5326" s="228"/>
      <c r="J5326" s="229" t="s">
        <v>55</v>
      </c>
      <c r="K5326" s="230"/>
      <c r="L5326" s="230">
        <v>1331893.1000000001</v>
      </c>
    </row>
    <row r="5327" spans="1:12" ht="11.25" customHeight="1" x14ac:dyDescent="0.2">
      <c r="A5327" s="221">
        <v>2024</v>
      </c>
      <c r="B5327" s="221">
        <v>7</v>
      </c>
      <c r="C5327" s="221">
        <v>25</v>
      </c>
      <c r="D5327" s="231">
        <f t="shared" si="603"/>
        <v>45498</v>
      </c>
      <c r="E5327" s="233">
        <f t="shared" si="604"/>
        <v>45498</v>
      </c>
      <c r="F5327" s="478" t="s">
        <v>1670</v>
      </c>
      <c r="G5327" s="222" t="s">
        <v>1111</v>
      </c>
      <c r="H5327" s="223"/>
      <c r="I5327" s="223"/>
      <c r="J5327" s="224" t="s">
        <v>63</v>
      </c>
      <c r="K5327" s="225">
        <v>200</v>
      </c>
      <c r="L5327" s="225"/>
    </row>
    <row r="5328" spans="1:12" ht="11.25" customHeight="1" x14ac:dyDescent="0.2">
      <c r="A5328" s="226">
        <v>2024</v>
      </c>
      <c r="B5328" s="226">
        <v>7</v>
      </c>
      <c r="C5328" s="226">
        <v>25</v>
      </c>
      <c r="D5328" s="232">
        <f t="shared" si="603"/>
        <v>45498</v>
      </c>
      <c r="E5328" s="234">
        <f t="shared" si="604"/>
        <v>45498</v>
      </c>
      <c r="F5328" s="479"/>
      <c r="G5328" s="227" t="s">
        <v>1111</v>
      </c>
      <c r="H5328" s="228"/>
      <c r="I5328" s="228"/>
      <c r="J5328" s="229" t="s">
        <v>55</v>
      </c>
      <c r="K5328" s="230"/>
      <c r="L5328" s="230">
        <v>200</v>
      </c>
    </row>
    <row r="5329" spans="1:13" ht="11.25" customHeight="1" x14ac:dyDescent="0.2">
      <c r="A5329" s="280">
        <v>2024</v>
      </c>
      <c r="B5329" s="280">
        <v>7</v>
      </c>
      <c r="C5329" s="280">
        <v>25</v>
      </c>
      <c r="D5329" s="281">
        <f t="shared" si="603"/>
        <v>45498</v>
      </c>
      <c r="E5329" s="282">
        <f t="shared" si="604"/>
        <v>45498</v>
      </c>
      <c r="F5329" s="472" t="s">
        <v>1744</v>
      </c>
      <c r="G5329" s="283" t="s">
        <v>86</v>
      </c>
      <c r="H5329" s="284"/>
      <c r="I5329" s="284"/>
      <c r="J5329" s="285" t="s">
        <v>131</v>
      </c>
      <c r="K5329" s="286">
        <v>19358.333333333332</v>
      </c>
      <c r="L5329" s="286"/>
    </row>
    <row r="5330" spans="1:13" ht="11.25" customHeight="1" x14ac:dyDescent="0.2">
      <c r="A5330" s="287">
        <v>2024</v>
      </c>
      <c r="B5330" s="287">
        <v>7</v>
      </c>
      <c r="C5330" s="287">
        <v>25</v>
      </c>
      <c r="D5330" s="288">
        <f t="shared" si="603"/>
        <v>45498</v>
      </c>
      <c r="E5330" s="289">
        <f t="shared" si="604"/>
        <v>45498</v>
      </c>
      <c r="F5330" s="473"/>
      <c r="G5330" s="290" t="s">
        <v>86</v>
      </c>
      <c r="H5330" s="291"/>
      <c r="I5330" s="291"/>
      <c r="J5330" s="292" t="s">
        <v>174</v>
      </c>
      <c r="K5330" s="293"/>
      <c r="L5330" s="293">
        <v>19358.333333333332</v>
      </c>
    </row>
    <row r="5331" spans="1:13" ht="11.25" customHeight="1" x14ac:dyDescent="0.2">
      <c r="A5331" s="280">
        <v>2024</v>
      </c>
      <c r="B5331" s="280">
        <v>7</v>
      </c>
      <c r="C5331" s="280">
        <v>25</v>
      </c>
      <c r="D5331" s="281">
        <f t="shared" si="603"/>
        <v>45498</v>
      </c>
      <c r="E5331" s="282">
        <f t="shared" si="604"/>
        <v>45498</v>
      </c>
      <c r="F5331" s="472" t="s">
        <v>1584</v>
      </c>
      <c r="G5331" s="283" t="s">
        <v>86</v>
      </c>
      <c r="H5331" s="284"/>
      <c r="I5331" s="284"/>
      <c r="J5331" s="285" t="s">
        <v>131</v>
      </c>
      <c r="K5331" s="286">
        <v>8653.8461538461543</v>
      </c>
      <c r="L5331" s="286"/>
    </row>
    <row r="5332" spans="1:13" ht="11.25" customHeight="1" x14ac:dyDescent="0.2">
      <c r="A5332" s="287">
        <v>2024</v>
      </c>
      <c r="B5332" s="287">
        <v>7</v>
      </c>
      <c r="C5332" s="287">
        <v>25</v>
      </c>
      <c r="D5332" s="288">
        <f t="shared" si="603"/>
        <v>45498</v>
      </c>
      <c r="E5332" s="289">
        <f t="shared" si="604"/>
        <v>45498</v>
      </c>
      <c r="F5332" s="473"/>
      <c r="G5332" s="290" t="s">
        <v>86</v>
      </c>
      <c r="H5332" s="291"/>
      <c r="I5332" s="291"/>
      <c r="J5332" s="292" t="s">
        <v>174</v>
      </c>
      <c r="K5332" s="293"/>
      <c r="L5332" s="293">
        <v>8653.8461538461543</v>
      </c>
    </row>
    <row r="5333" spans="1:13" ht="11.25" customHeight="1" x14ac:dyDescent="0.2">
      <c r="A5333" s="358">
        <v>2024</v>
      </c>
      <c r="B5333" s="358">
        <v>7</v>
      </c>
      <c r="C5333" s="358">
        <v>25</v>
      </c>
      <c r="D5333" s="312">
        <f t="shared" si="603"/>
        <v>45498</v>
      </c>
      <c r="E5333" s="313">
        <f>DATE(A5333,B5333,C5333)</f>
        <v>45498</v>
      </c>
      <c r="F5333" s="482" t="s">
        <v>1627</v>
      </c>
      <c r="G5333" s="314" t="s">
        <v>86</v>
      </c>
      <c r="H5333" s="324"/>
      <c r="I5333" s="324"/>
      <c r="J5333" s="364" t="s">
        <v>1621</v>
      </c>
      <c r="K5333" s="365">
        <v>52710</v>
      </c>
      <c r="L5333" s="365"/>
    </row>
    <row r="5334" spans="1:13" ht="11.25" customHeight="1" x14ac:dyDescent="0.2">
      <c r="A5334" s="320">
        <v>2024</v>
      </c>
      <c r="B5334" s="320">
        <v>7</v>
      </c>
      <c r="C5334" s="320">
        <v>25</v>
      </c>
      <c r="D5334" s="323">
        <f t="shared" si="603"/>
        <v>45498</v>
      </c>
      <c r="E5334" s="321">
        <f t="shared" ref="E5334" si="605">DATE(A5334,B5334,C5334)</f>
        <v>45498</v>
      </c>
      <c r="F5334" s="483"/>
      <c r="G5334" s="322" t="s">
        <v>86</v>
      </c>
      <c r="H5334" s="325"/>
      <c r="I5334" s="325"/>
      <c r="J5334" s="366" t="s">
        <v>1613</v>
      </c>
      <c r="K5334" s="367"/>
      <c r="L5334" s="367">
        <f>K5333</f>
        <v>52710</v>
      </c>
    </row>
    <row r="5335" spans="1:13" ht="11.25" customHeight="1" x14ac:dyDescent="0.2">
      <c r="A5335" s="358">
        <v>2024</v>
      </c>
      <c r="B5335" s="358">
        <v>7</v>
      </c>
      <c r="C5335" s="358">
        <v>25</v>
      </c>
      <c r="D5335" s="312">
        <f t="shared" si="603"/>
        <v>45498</v>
      </c>
      <c r="E5335" s="313">
        <f>DATE(A5335,B5335,C5335)</f>
        <v>45498</v>
      </c>
      <c r="F5335" s="482" t="s">
        <v>1713</v>
      </c>
      <c r="G5335" s="314" t="s">
        <v>86</v>
      </c>
      <c r="H5335" s="324"/>
      <c r="I5335" s="324"/>
      <c r="J5335" s="364" t="s">
        <v>1622</v>
      </c>
      <c r="K5335" s="365">
        <v>94814.70000000298</v>
      </c>
      <c r="L5335" s="365"/>
    </row>
    <row r="5336" spans="1:13" ht="11.25" customHeight="1" x14ac:dyDescent="0.2">
      <c r="A5336" s="320">
        <v>2024</v>
      </c>
      <c r="B5336" s="320">
        <v>7</v>
      </c>
      <c r="C5336" s="320">
        <v>25</v>
      </c>
      <c r="D5336" s="323">
        <f t="shared" si="603"/>
        <v>45498</v>
      </c>
      <c r="E5336" s="321">
        <f t="shared" ref="E5336:E5350" si="606">DATE(A5336,B5336,C5336)</f>
        <v>45498</v>
      </c>
      <c r="F5336" s="483"/>
      <c r="G5336" s="322" t="s">
        <v>86</v>
      </c>
      <c r="H5336" s="325"/>
      <c r="I5336" s="325"/>
      <c r="J5336" s="366" t="s">
        <v>1614</v>
      </c>
      <c r="K5336" s="367"/>
      <c r="L5336" s="367">
        <f>K5335</f>
        <v>94814.70000000298</v>
      </c>
    </row>
    <row r="5337" spans="1:13" ht="11.25" customHeight="1" x14ac:dyDescent="0.2">
      <c r="A5337" s="236">
        <v>2024</v>
      </c>
      <c r="B5337" s="236">
        <v>7</v>
      </c>
      <c r="C5337" s="236">
        <v>25</v>
      </c>
      <c r="D5337" s="237">
        <f t="shared" si="603"/>
        <v>45498</v>
      </c>
      <c r="E5337" s="238">
        <f t="shared" si="606"/>
        <v>45498</v>
      </c>
      <c r="F5337" s="476" t="s">
        <v>1118</v>
      </c>
      <c r="G5337" s="239" t="s">
        <v>86</v>
      </c>
      <c r="H5337" s="239"/>
      <c r="I5337" s="240"/>
      <c r="J5337" s="241" t="s">
        <v>98</v>
      </c>
      <c r="K5337" s="242">
        <v>238941.59999999404</v>
      </c>
      <c r="L5337" s="242"/>
    </row>
    <row r="5338" spans="1:13" ht="11.25" customHeight="1" x14ac:dyDescent="0.2">
      <c r="A5338" s="243">
        <v>2024</v>
      </c>
      <c r="B5338" s="243">
        <v>7</v>
      </c>
      <c r="C5338" s="243">
        <v>25</v>
      </c>
      <c r="D5338" s="248">
        <f t="shared" si="603"/>
        <v>45498</v>
      </c>
      <c r="E5338" s="249">
        <f t="shared" si="606"/>
        <v>45498</v>
      </c>
      <c r="F5338" s="477"/>
      <c r="G5338" s="244" t="s">
        <v>86</v>
      </c>
      <c r="H5338" s="244"/>
      <c r="I5338" s="245"/>
      <c r="J5338" s="246" t="s">
        <v>82</v>
      </c>
      <c r="K5338" s="247"/>
      <c r="L5338" s="247">
        <f>K5337</f>
        <v>238941.59999999404</v>
      </c>
    </row>
    <row r="5339" spans="1:13" ht="11.25" customHeight="1" x14ac:dyDescent="0.2">
      <c r="A5339" s="236">
        <v>2024</v>
      </c>
      <c r="B5339" s="236">
        <v>7</v>
      </c>
      <c r="C5339" s="236">
        <v>25</v>
      </c>
      <c r="D5339" s="237">
        <f t="shared" si="603"/>
        <v>45498</v>
      </c>
      <c r="E5339" s="238">
        <f t="shared" si="606"/>
        <v>45498</v>
      </c>
      <c r="F5339" s="476" t="s">
        <v>1120</v>
      </c>
      <c r="G5339" s="239" t="s">
        <v>86</v>
      </c>
      <c r="H5339" s="239"/>
      <c r="I5339" s="240"/>
      <c r="J5339" s="241" t="s">
        <v>87</v>
      </c>
      <c r="K5339" s="242">
        <v>2747.2527472527472</v>
      </c>
      <c r="L5339" s="242"/>
    </row>
    <row r="5340" spans="1:13" ht="11.25" customHeight="1" x14ac:dyDescent="0.2">
      <c r="A5340" s="243">
        <v>2024</v>
      </c>
      <c r="B5340" s="243">
        <v>7</v>
      </c>
      <c r="C5340" s="243">
        <v>25</v>
      </c>
      <c r="D5340" s="248">
        <f t="shared" si="603"/>
        <v>45498</v>
      </c>
      <c r="E5340" s="249">
        <f t="shared" si="606"/>
        <v>45498</v>
      </c>
      <c r="F5340" s="477"/>
      <c r="G5340" s="244" t="s">
        <v>86</v>
      </c>
      <c r="H5340" s="244"/>
      <c r="I5340" s="245"/>
      <c r="J5340" s="246" t="s">
        <v>64</v>
      </c>
      <c r="K5340" s="247"/>
      <c r="L5340" s="247">
        <v>2747.2527472527472</v>
      </c>
    </row>
    <row r="5341" spans="1:13" ht="11.25" customHeight="1" x14ac:dyDescent="0.2">
      <c r="A5341" s="236">
        <v>2024</v>
      </c>
      <c r="B5341" s="236">
        <v>7</v>
      </c>
      <c r="C5341" s="236">
        <v>25</v>
      </c>
      <c r="D5341" s="237">
        <f t="shared" si="603"/>
        <v>45498</v>
      </c>
      <c r="E5341" s="238">
        <f t="shared" si="606"/>
        <v>45498</v>
      </c>
      <c r="F5341" s="476" t="s">
        <v>1121</v>
      </c>
      <c r="G5341" s="239" t="s">
        <v>86</v>
      </c>
      <c r="H5341" s="239"/>
      <c r="I5341" s="240"/>
      <c r="J5341" s="241" t="s">
        <v>89</v>
      </c>
      <c r="K5341" s="242">
        <f>M5341</f>
        <v>71871.82511151889</v>
      </c>
      <c r="L5341" s="242"/>
      <c r="M5341" s="156">
        <v>71871.82511151889</v>
      </c>
    </row>
    <row r="5342" spans="1:13" ht="11.25" customHeight="1" x14ac:dyDescent="0.2">
      <c r="A5342" s="243">
        <v>2024</v>
      </c>
      <c r="B5342" s="243">
        <v>7</v>
      </c>
      <c r="C5342" s="243">
        <v>25</v>
      </c>
      <c r="D5342" s="248">
        <f t="shared" si="603"/>
        <v>45498</v>
      </c>
      <c r="E5342" s="249">
        <f t="shared" si="606"/>
        <v>45498</v>
      </c>
      <c r="F5342" s="477"/>
      <c r="G5342" s="244" t="s">
        <v>86</v>
      </c>
      <c r="H5342" s="244"/>
      <c r="I5342" s="245"/>
      <c r="J5342" s="246" t="s">
        <v>50</v>
      </c>
      <c r="K5342" s="247"/>
      <c r="L5342" s="247">
        <f>K5341</f>
        <v>71871.82511151889</v>
      </c>
      <c r="M5342" s="156">
        <v>3353.2066401913294</v>
      </c>
    </row>
    <row r="5343" spans="1:13" ht="11.25" customHeight="1" x14ac:dyDescent="0.2">
      <c r="A5343" s="236">
        <v>2024</v>
      </c>
      <c r="B5343" s="236">
        <v>7</v>
      </c>
      <c r="C5343" s="236">
        <v>25</v>
      </c>
      <c r="D5343" s="237">
        <f t="shared" si="603"/>
        <v>45498</v>
      </c>
      <c r="E5343" s="238">
        <f t="shared" si="606"/>
        <v>45498</v>
      </c>
      <c r="F5343" s="476" t="s">
        <v>1122</v>
      </c>
      <c r="G5343" s="239" t="s">
        <v>86</v>
      </c>
      <c r="H5343" s="239"/>
      <c r="I5343" s="240"/>
      <c r="J5343" s="241" t="s">
        <v>91</v>
      </c>
      <c r="K5343" s="242">
        <f>M5342</f>
        <v>3353.2066401913294</v>
      </c>
      <c r="L5343" s="242"/>
    </row>
    <row r="5344" spans="1:13" ht="11.25" customHeight="1" x14ac:dyDescent="0.2">
      <c r="A5344" s="243">
        <v>2024</v>
      </c>
      <c r="B5344" s="243">
        <v>7</v>
      </c>
      <c r="C5344" s="243">
        <v>25</v>
      </c>
      <c r="D5344" s="248">
        <f t="shared" si="603"/>
        <v>45498</v>
      </c>
      <c r="E5344" s="249">
        <f t="shared" si="606"/>
        <v>45498</v>
      </c>
      <c r="F5344" s="477"/>
      <c r="G5344" s="244" t="s">
        <v>86</v>
      </c>
      <c r="H5344" s="244"/>
      <c r="I5344" s="245"/>
      <c r="J5344" s="246" t="s">
        <v>51</v>
      </c>
      <c r="K5344" s="247"/>
      <c r="L5344" s="247">
        <f>K5343</f>
        <v>3353.2066401913294</v>
      </c>
    </row>
    <row r="5345" spans="1:12" ht="11.25" customHeight="1" x14ac:dyDescent="0.2">
      <c r="A5345" s="221">
        <v>2024</v>
      </c>
      <c r="B5345" s="221">
        <v>7</v>
      </c>
      <c r="C5345" s="231">
        <v>28</v>
      </c>
      <c r="D5345" s="231">
        <f t="shared" si="603"/>
        <v>45501</v>
      </c>
      <c r="E5345" s="233">
        <f t="shared" si="606"/>
        <v>45501</v>
      </c>
      <c r="F5345" s="478" t="s">
        <v>1132</v>
      </c>
      <c r="G5345" s="222" t="s">
        <v>1111</v>
      </c>
      <c r="H5345" s="223"/>
      <c r="I5345" s="223"/>
      <c r="J5345" s="224" t="s">
        <v>55</v>
      </c>
      <c r="K5345" s="167">
        <v>5000</v>
      </c>
      <c r="L5345" s="225"/>
    </row>
    <row r="5346" spans="1:12" ht="11.25" customHeight="1" x14ac:dyDescent="0.2">
      <c r="A5346" s="164">
        <v>2024</v>
      </c>
      <c r="B5346" s="164">
        <v>7</v>
      </c>
      <c r="C5346" s="156">
        <v>28</v>
      </c>
      <c r="D5346" s="156">
        <f t="shared" si="603"/>
        <v>45501</v>
      </c>
      <c r="E5346" s="235">
        <f t="shared" si="606"/>
        <v>45501</v>
      </c>
      <c r="F5346" s="480"/>
      <c r="G5346" s="208" t="s">
        <v>1111</v>
      </c>
      <c r="J5346" s="165" t="s">
        <v>14</v>
      </c>
      <c r="L5346" s="205">
        <v>4900</v>
      </c>
    </row>
    <row r="5347" spans="1:12" ht="11.25" customHeight="1" x14ac:dyDescent="0.2">
      <c r="A5347" s="226">
        <v>2024</v>
      </c>
      <c r="B5347" s="226">
        <v>7</v>
      </c>
      <c r="C5347" s="232">
        <v>28</v>
      </c>
      <c r="D5347" s="232">
        <f t="shared" si="603"/>
        <v>45501</v>
      </c>
      <c r="E5347" s="234">
        <f t="shared" si="606"/>
        <v>45501</v>
      </c>
      <c r="F5347" s="479"/>
      <c r="G5347" s="227" t="s">
        <v>1111</v>
      </c>
      <c r="H5347" s="228"/>
      <c r="I5347" s="228"/>
      <c r="J5347" s="229" t="s">
        <v>1112</v>
      </c>
      <c r="K5347" s="230"/>
      <c r="L5347" s="230">
        <v>100</v>
      </c>
    </row>
    <row r="5348" spans="1:12" ht="11.25" customHeight="1" x14ac:dyDescent="0.2">
      <c r="A5348" s="221">
        <v>2024</v>
      </c>
      <c r="B5348" s="221">
        <v>7</v>
      </c>
      <c r="C5348" s="231">
        <v>28</v>
      </c>
      <c r="D5348" s="231">
        <f t="shared" si="603"/>
        <v>45501</v>
      </c>
      <c r="E5348" s="233">
        <f t="shared" si="606"/>
        <v>45501</v>
      </c>
      <c r="F5348" s="478" t="s">
        <v>1759</v>
      </c>
      <c r="G5348" s="222" t="s">
        <v>86</v>
      </c>
      <c r="H5348" s="222"/>
      <c r="I5348" s="223"/>
      <c r="J5348" s="224" t="s">
        <v>80</v>
      </c>
      <c r="K5348" s="225">
        <v>422500</v>
      </c>
      <c r="L5348" s="225"/>
    </row>
    <row r="5349" spans="1:12" ht="11.25" customHeight="1" x14ac:dyDescent="0.2">
      <c r="A5349" s="164">
        <v>2024</v>
      </c>
      <c r="B5349" s="164">
        <v>7</v>
      </c>
      <c r="C5349" s="156">
        <v>28</v>
      </c>
      <c r="D5349" s="164">
        <f t="shared" si="603"/>
        <v>45501</v>
      </c>
      <c r="E5349" s="235">
        <f t="shared" si="606"/>
        <v>45501</v>
      </c>
      <c r="F5349" s="480"/>
      <c r="G5349" s="208" t="s">
        <v>86</v>
      </c>
      <c r="H5349" s="208"/>
      <c r="J5349" s="165" t="s">
        <v>960</v>
      </c>
      <c r="K5349" s="205">
        <v>760.5</v>
      </c>
      <c r="L5349" s="205"/>
    </row>
    <row r="5350" spans="1:12" ht="11.25" customHeight="1" x14ac:dyDescent="0.2">
      <c r="A5350" s="226">
        <v>2024</v>
      </c>
      <c r="B5350" s="226">
        <v>7</v>
      </c>
      <c r="C5350" s="232">
        <v>28</v>
      </c>
      <c r="D5350" s="226">
        <f t="shared" si="603"/>
        <v>45501</v>
      </c>
      <c r="E5350" s="234">
        <f t="shared" si="606"/>
        <v>45501</v>
      </c>
      <c r="F5350" s="479"/>
      <c r="G5350" s="227" t="s">
        <v>86</v>
      </c>
      <c r="H5350" s="227"/>
      <c r="I5350" s="228"/>
      <c r="J5350" s="229" t="s">
        <v>961</v>
      </c>
      <c r="K5350" s="294"/>
      <c r="L5350" s="230">
        <v>423260.5</v>
      </c>
    </row>
    <row r="5351" spans="1:12" ht="11.25" customHeight="1" x14ac:dyDescent="0.2">
      <c r="A5351" s="221">
        <v>2024</v>
      </c>
      <c r="B5351" s="221">
        <v>7</v>
      </c>
      <c r="C5351" s="231">
        <v>28</v>
      </c>
      <c r="D5351" s="231">
        <f t="shared" si="603"/>
        <v>45501</v>
      </c>
      <c r="E5351" s="233">
        <f t="shared" ref="E5351:E5373" si="607">DATE(A5351,B5351,C5351)</f>
        <v>45501</v>
      </c>
      <c r="F5351" s="478" t="s">
        <v>1761</v>
      </c>
      <c r="G5351" s="222" t="s">
        <v>86</v>
      </c>
      <c r="H5351" s="222"/>
      <c r="I5351" s="223"/>
      <c r="J5351" s="224" t="s">
        <v>80</v>
      </c>
      <c r="K5351" s="225">
        <v>1494801</v>
      </c>
      <c r="L5351" s="225"/>
    </row>
    <row r="5352" spans="1:12" ht="11.25" customHeight="1" x14ac:dyDescent="0.2">
      <c r="A5352" s="164">
        <v>2024</v>
      </c>
      <c r="B5352" s="164">
        <v>7</v>
      </c>
      <c r="C5352" s="156">
        <v>28</v>
      </c>
      <c r="D5352" s="164">
        <f t="shared" si="603"/>
        <v>45501</v>
      </c>
      <c r="E5352" s="235">
        <f t="shared" si="607"/>
        <v>45501</v>
      </c>
      <c r="F5352" s="480"/>
      <c r="G5352" s="208" t="s">
        <v>86</v>
      </c>
      <c r="H5352" s="208"/>
      <c r="J5352" s="165" t="s">
        <v>960</v>
      </c>
      <c r="K5352" s="205">
        <v>2690.64</v>
      </c>
      <c r="L5352" s="205"/>
    </row>
    <row r="5353" spans="1:12" ht="11.25" customHeight="1" x14ac:dyDescent="0.2">
      <c r="A5353" s="226">
        <v>2024</v>
      </c>
      <c r="B5353" s="226">
        <v>7</v>
      </c>
      <c r="C5353" s="232">
        <v>28</v>
      </c>
      <c r="D5353" s="226">
        <f t="shared" si="603"/>
        <v>45501</v>
      </c>
      <c r="E5353" s="234">
        <f t="shared" si="607"/>
        <v>45501</v>
      </c>
      <c r="F5353" s="479"/>
      <c r="G5353" s="227" t="s">
        <v>86</v>
      </c>
      <c r="H5353" s="227"/>
      <c r="I5353" s="228"/>
      <c r="J5353" s="229" t="s">
        <v>961</v>
      </c>
      <c r="K5353" s="294"/>
      <c r="L5353" s="230">
        <v>1497491.64</v>
      </c>
    </row>
    <row r="5354" spans="1:12" ht="11.25" customHeight="1" x14ac:dyDescent="0.2">
      <c r="A5354" s="221">
        <v>2024</v>
      </c>
      <c r="B5354" s="221">
        <v>7</v>
      </c>
      <c r="C5354" s="221">
        <v>29</v>
      </c>
      <c r="D5354" s="231">
        <f t="shared" si="603"/>
        <v>45502</v>
      </c>
      <c r="E5354" s="233">
        <f t="shared" si="607"/>
        <v>45502</v>
      </c>
      <c r="F5354" s="478" t="s">
        <v>1670</v>
      </c>
      <c r="G5354" s="222" t="s">
        <v>1111</v>
      </c>
      <c r="H5354" s="223"/>
      <c r="I5354" s="223"/>
      <c r="J5354" s="224" t="s">
        <v>63</v>
      </c>
      <c r="K5354" s="225">
        <v>316</v>
      </c>
      <c r="L5354" s="225"/>
    </row>
    <row r="5355" spans="1:12" ht="11.25" customHeight="1" x14ac:dyDescent="0.2">
      <c r="A5355" s="226">
        <v>2024</v>
      </c>
      <c r="B5355" s="226">
        <v>7</v>
      </c>
      <c r="C5355" s="226">
        <v>29</v>
      </c>
      <c r="D5355" s="232">
        <f t="shared" si="603"/>
        <v>45502</v>
      </c>
      <c r="E5355" s="234">
        <f t="shared" si="607"/>
        <v>45502</v>
      </c>
      <c r="F5355" s="479"/>
      <c r="G5355" s="227" t="s">
        <v>1111</v>
      </c>
      <c r="H5355" s="228"/>
      <c r="I5355" s="228"/>
      <c r="J5355" s="229" t="s">
        <v>55</v>
      </c>
      <c r="K5355" s="230"/>
      <c r="L5355" s="230">
        <v>316</v>
      </c>
    </row>
    <row r="5356" spans="1:12" ht="11.25" customHeight="1" x14ac:dyDescent="0.2">
      <c r="A5356" s="221">
        <v>2024</v>
      </c>
      <c r="B5356" s="221">
        <v>7</v>
      </c>
      <c r="C5356" s="221">
        <v>29</v>
      </c>
      <c r="D5356" s="231">
        <f t="shared" si="603"/>
        <v>45502</v>
      </c>
      <c r="E5356" s="233">
        <f t="shared" si="607"/>
        <v>45502</v>
      </c>
      <c r="F5356" s="478" t="s">
        <v>1760</v>
      </c>
      <c r="G5356" s="222" t="s">
        <v>1111</v>
      </c>
      <c r="H5356" s="223"/>
      <c r="I5356" s="223"/>
      <c r="J5356" s="224" t="s">
        <v>961</v>
      </c>
      <c r="K5356" s="225">
        <v>1022695.54</v>
      </c>
      <c r="L5356" s="225"/>
    </row>
    <row r="5357" spans="1:12" ht="11.25" customHeight="1" x14ac:dyDescent="0.2">
      <c r="A5357" s="226">
        <v>2024</v>
      </c>
      <c r="B5357" s="226">
        <v>7</v>
      </c>
      <c r="C5357" s="226">
        <v>29</v>
      </c>
      <c r="D5357" s="232">
        <f t="shared" si="603"/>
        <v>45502</v>
      </c>
      <c r="E5357" s="234">
        <f t="shared" si="607"/>
        <v>45502</v>
      </c>
      <c r="F5357" s="479"/>
      <c r="G5357" s="227" t="s">
        <v>1111</v>
      </c>
      <c r="H5357" s="228"/>
      <c r="I5357" s="228"/>
      <c r="J5357" s="229" t="s">
        <v>55</v>
      </c>
      <c r="K5357" s="230"/>
      <c r="L5357" s="230">
        <v>1022695.54</v>
      </c>
    </row>
    <row r="5358" spans="1:12" ht="11.25" customHeight="1" x14ac:dyDescent="0.2">
      <c r="A5358" s="221">
        <v>2024</v>
      </c>
      <c r="B5358" s="221">
        <v>7</v>
      </c>
      <c r="C5358" s="221">
        <v>29</v>
      </c>
      <c r="D5358" s="231">
        <f t="shared" si="603"/>
        <v>45502</v>
      </c>
      <c r="E5358" s="233">
        <f t="shared" ref="E5358:E5359" si="608">DATE(A5358,B5358,C5358)</f>
        <v>45502</v>
      </c>
      <c r="F5358" s="478" t="s">
        <v>1762</v>
      </c>
      <c r="G5358" s="222" t="s">
        <v>1111</v>
      </c>
      <c r="H5358" s="223"/>
      <c r="I5358" s="223"/>
      <c r="J5358" s="224" t="s">
        <v>961</v>
      </c>
      <c r="K5358" s="225">
        <v>212431.69</v>
      </c>
      <c r="L5358" s="225"/>
    </row>
    <row r="5359" spans="1:12" ht="11.25" customHeight="1" x14ac:dyDescent="0.2">
      <c r="A5359" s="226">
        <v>2024</v>
      </c>
      <c r="B5359" s="226">
        <v>7</v>
      </c>
      <c r="C5359" s="226">
        <v>29</v>
      </c>
      <c r="D5359" s="232">
        <f t="shared" si="603"/>
        <v>45502</v>
      </c>
      <c r="E5359" s="234">
        <f t="shared" si="608"/>
        <v>45502</v>
      </c>
      <c r="F5359" s="479"/>
      <c r="G5359" s="227" t="s">
        <v>1111</v>
      </c>
      <c r="H5359" s="228"/>
      <c r="I5359" s="228"/>
      <c r="J5359" s="229" t="s">
        <v>55</v>
      </c>
      <c r="K5359" s="230"/>
      <c r="L5359" s="230">
        <v>212431.69</v>
      </c>
    </row>
    <row r="5360" spans="1:12" ht="11.25" customHeight="1" x14ac:dyDescent="0.2">
      <c r="A5360" s="221">
        <v>2024</v>
      </c>
      <c r="B5360" s="221">
        <v>7</v>
      </c>
      <c r="C5360" s="221">
        <v>29</v>
      </c>
      <c r="D5360" s="231">
        <f t="shared" si="603"/>
        <v>45502</v>
      </c>
      <c r="E5360" s="233">
        <f t="shared" ref="E5360:E5369" si="609">DATE(A5360,B5360,C5360)</f>
        <v>45502</v>
      </c>
      <c r="F5360" s="478" t="s">
        <v>1760</v>
      </c>
      <c r="G5360" s="222" t="s">
        <v>1111</v>
      </c>
      <c r="H5360" s="223"/>
      <c r="I5360" s="223"/>
      <c r="J5360" s="224" t="s">
        <v>961</v>
      </c>
      <c r="K5360" s="225">
        <v>423260.5</v>
      </c>
      <c r="L5360" s="225"/>
    </row>
    <row r="5361" spans="1:12" ht="11.25" customHeight="1" x14ac:dyDescent="0.2">
      <c r="A5361" s="226">
        <v>2024</v>
      </c>
      <c r="B5361" s="226">
        <v>7</v>
      </c>
      <c r="C5361" s="226">
        <v>29</v>
      </c>
      <c r="D5361" s="232">
        <f t="shared" si="603"/>
        <v>45502</v>
      </c>
      <c r="E5361" s="234">
        <f t="shared" si="609"/>
        <v>45502</v>
      </c>
      <c r="F5361" s="479"/>
      <c r="G5361" s="227" t="s">
        <v>1111</v>
      </c>
      <c r="H5361" s="228"/>
      <c r="I5361" s="228"/>
      <c r="J5361" s="229" t="s">
        <v>55</v>
      </c>
      <c r="K5361" s="230"/>
      <c r="L5361" s="230">
        <v>423260.5</v>
      </c>
    </row>
    <row r="5362" spans="1:12" ht="11.25" customHeight="1" x14ac:dyDescent="0.2">
      <c r="A5362" s="221">
        <v>2024</v>
      </c>
      <c r="B5362" s="221">
        <v>7</v>
      </c>
      <c r="C5362" s="221">
        <v>29</v>
      </c>
      <c r="D5362" s="231">
        <f t="shared" si="603"/>
        <v>45502</v>
      </c>
      <c r="E5362" s="233">
        <f t="shared" si="609"/>
        <v>45502</v>
      </c>
      <c r="F5362" s="478" t="s">
        <v>1762</v>
      </c>
      <c r="G5362" s="222" t="s">
        <v>1111</v>
      </c>
      <c r="H5362" s="223"/>
      <c r="I5362" s="223"/>
      <c r="J5362" s="224" t="s">
        <v>961</v>
      </c>
      <c r="K5362" s="225">
        <v>1497491.64</v>
      </c>
      <c r="L5362" s="225"/>
    </row>
    <row r="5363" spans="1:12" ht="11.25" customHeight="1" x14ac:dyDescent="0.2">
      <c r="A5363" s="226">
        <v>2024</v>
      </c>
      <c r="B5363" s="226">
        <v>7</v>
      </c>
      <c r="C5363" s="226">
        <v>29</v>
      </c>
      <c r="D5363" s="232">
        <f t="shared" si="603"/>
        <v>45502</v>
      </c>
      <c r="E5363" s="234">
        <f t="shared" si="609"/>
        <v>45502</v>
      </c>
      <c r="F5363" s="479"/>
      <c r="G5363" s="227" t="s">
        <v>1111</v>
      </c>
      <c r="H5363" s="228"/>
      <c r="I5363" s="228"/>
      <c r="J5363" s="229" t="s">
        <v>55</v>
      </c>
      <c r="K5363" s="230"/>
      <c r="L5363" s="230">
        <v>1497491.64</v>
      </c>
    </row>
    <row r="5364" spans="1:12" ht="11.25" customHeight="1" x14ac:dyDescent="0.2">
      <c r="A5364" s="221">
        <v>2024</v>
      </c>
      <c r="B5364" s="221">
        <v>7</v>
      </c>
      <c r="C5364" s="221">
        <v>29</v>
      </c>
      <c r="D5364" s="231">
        <f t="shared" si="603"/>
        <v>45502</v>
      </c>
      <c r="E5364" s="233">
        <f t="shared" si="609"/>
        <v>45502</v>
      </c>
      <c r="F5364" s="478" t="s">
        <v>1763</v>
      </c>
      <c r="G5364" s="222" t="s">
        <v>1111</v>
      </c>
      <c r="H5364" s="222"/>
      <c r="I5364" s="223"/>
      <c r="J5364" s="224" t="s">
        <v>55</v>
      </c>
      <c r="K5364" s="357">
        <v>10000000</v>
      </c>
      <c r="L5364" s="225"/>
    </row>
    <row r="5365" spans="1:12" ht="11.25" customHeight="1" x14ac:dyDescent="0.2">
      <c r="A5365" s="164">
        <v>2024</v>
      </c>
      <c r="B5365" s="164">
        <v>7</v>
      </c>
      <c r="C5365" s="164">
        <v>29</v>
      </c>
      <c r="D5365" s="156">
        <f t="shared" si="603"/>
        <v>45502</v>
      </c>
      <c r="E5365" s="235">
        <f t="shared" ref="E5365" si="610">DATE(A5365,B5365,C5365)</f>
        <v>45502</v>
      </c>
      <c r="F5365" s="480"/>
      <c r="G5365" s="208" t="s">
        <v>1111</v>
      </c>
      <c r="H5365" s="208"/>
      <c r="J5365" s="165" t="s">
        <v>1617</v>
      </c>
      <c r="K5365" s="263"/>
      <c r="L5365" s="205">
        <v>275145</v>
      </c>
    </row>
    <row r="5366" spans="1:12" ht="11.25" customHeight="1" x14ac:dyDescent="0.2">
      <c r="A5366" s="226">
        <v>2024</v>
      </c>
      <c r="B5366" s="226">
        <v>7</v>
      </c>
      <c r="C5366" s="226">
        <v>29</v>
      </c>
      <c r="D5366" s="232">
        <f t="shared" si="603"/>
        <v>45502</v>
      </c>
      <c r="E5366" s="234">
        <f t="shared" si="609"/>
        <v>45502</v>
      </c>
      <c r="F5366" s="479"/>
      <c r="G5366" s="227" t="s">
        <v>1111</v>
      </c>
      <c r="H5366" s="227"/>
      <c r="I5366" s="228"/>
      <c r="J5366" s="229" t="s">
        <v>1465</v>
      </c>
      <c r="K5366" s="294"/>
      <c r="L5366" s="230">
        <v>9724855</v>
      </c>
    </row>
    <row r="5367" spans="1:12" ht="11.25" customHeight="1" x14ac:dyDescent="0.2">
      <c r="A5367" s="221">
        <v>2024</v>
      </c>
      <c r="B5367" s="221">
        <v>7</v>
      </c>
      <c r="C5367" s="221">
        <v>29</v>
      </c>
      <c r="D5367" s="231">
        <f t="shared" si="603"/>
        <v>45502</v>
      </c>
      <c r="E5367" s="233">
        <f t="shared" si="609"/>
        <v>45502</v>
      </c>
      <c r="F5367" s="478" t="s">
        <v>1142</v>
      </c>
      <c r="G5367" s="222" t="s">
        <v>1111</v>
      </c>
      <c r="H5367" s="223"/>
      <c r="I5367" s="223"/>
      <c r="J5367" s="224" t="s">
        <v>189</v>
      </c>
      <c r="K5367" s="225">
        <v>1575</v>
      </c>
      <c r="L5367" s="225"/>
    </row>
    <row r="5368" spans="1:12" ht="11.25" customHeight="1" x14ac:dyDescent="0.2">
      <c r="A5368" s="164">
        <v>2024</v>
      </c>
      <c r="B5368" s="164">
        <v>7</v>
      </c>
      <c r="C5368" s="164">
        <v>29</v>
      </c>
      <c r="D5368" s="156">
        <f t="shared" si="603"/>
        <v>45502</v>
      </c>
      <c r="E5368" s="235">
        <f t="shared" si="609"/>
        <v>45502</v>
      </c>
      <c r="F5368" s="480"/>
      <c r="G5368" s="208" t="s">
        <v>1111</v>
      </c>
      <c r="J5368" s="165" t="s">
        <v>1707</v>
      </c>
      <c r="K5368" s="205"/>
      <c r="L5368" s="205">
        <v>150</v>
      </c>
    </row>
    <row r="5369" spans="1:12" ht="11.25" customHeight="1" x14ac:dyDescent="0.2">
      <c r="A5369" s="226">
        <v>2024</v>
      </c>
      <c r="B5369" s="226">
        <v>7</v>
      </c>
      <c r="C5369" s="226">
        <v>29</v>
      </c>
      <c r="D5369" s="232">
        <f t="shared" si="603"/>
        <v>45502</v>
      </c>
      <c r="E5369" s="234">
        <f t="shared" si="609"/>
        <v>45502</v>
      </c>
      <c r="F5369" s="479"/>
      <c r="G5369" s="227" t="s">
        <v>1111</v>
      </c>
      <c r="H5369" s="228"/>
      <c r="I5369" s="228"/>
      <c r="J5369" s="229" t="s">
        <v>55</v>
      </c>
      <c r="K5369" s="230"/>
      <c r="L5369" s="230">
        <v>1425</v>
      </c>
    </row>
    <row r="5370" spans="1:12" ht="11.25" customHeight="1" x14ac:dyDescent="0.2">
      <c r="A5370" s="221">
        <v>2024</v>
      </c>
      <c r="B5370" s="221">
        <v>7</v>
      </c>
      <c r="C5370" s="221">
        <v>30</v>
      </c>
      <c r="D5370" s="221">
        <f t="shared" si="603"/>
        <v>45503</v>
      </c>
      <c r="E5370" s="233">
        <f t="shared" si="607"/>
        <v>45503</v>
      </c>
      <c r="F5370" s="478" t="s">
        <v>1757</v>
      </c>
      <c r="G5370" s="222" t="s">
        <v>86</v>
      </c>
      <c r="H5370" s="222"/>
      <c r="I5370" s="223"/>
      <c r="J5370" s="165" t="s">
        <v>199</v>
      </c>
      <c r="K5370" s="225">
        <v>4316216.8</v>
      </c>
      <c r="L5370" s="225"/>
    </row>
    <row r="5371" spans="1:12" ht="11.25" customHeight="1" x14ac:dyDescent="0.2">
      <c r="A5371" s="164">
        <v>2024</v>
      </c>
      <c r="B5371" s="164">
        <v>7</v>
      </c>
      <c r="C5371" s="164">
        <v>30</v>
      </c>
      <c r="D5371" s="164">
        <f t="shared" si="603"/>
        <v>45503</v>
      </c>
      <c r="E5371" s="235">
        <f t="shared" si="607"/>
        <v>45503</v>
      </c>
      <c r="F5371" s="480"/>
      <c r="G5371" s="208" t="s">
        <v>86</v>
      </c>
      <c r="H5371" s="208"/>
      <c r="J5371" s="165" t="s">
        <v>960</v>
      </c>
      <c r="K5371" s="205">
        <v>7783.2</v>
      </c>
      <c r="L5371" s="205"/>
    </row>
    <row r="5372" spans="1:12" ht="11.25" customHeight="1" x14ac:dyDescent="0.2">
      <c r="A5372" s="164">
        <v>2024</v>
      </c>
      <c r="B5372" s="164">
        <v>7</v>
      </c>
      <c r="C5372" s="164">
        <v>30</v>
      </c>
      <c r="D5372" s="164">
        <f t="shared" si="603"/>
        <v>45503</v>
      </c>
      <c r="E5372" s="235">
        <f t="shared" si="607"/>
        <v>45503</v>
      </c>
      <c r="F5372" s="480"/>
      <c r="G5372" s="208" t="s">
        <v>86</v>
      </c>
      <c r="H5372" s="208"/>
      <c r="J5372" s="165" t="s">
        <v>200</v>
      </c>
      <c r="K5372" s="205"/>
      <c r="L5372" s="205">
        <v>1264100.1399999999</v>
      </c>
    </row>
    <row r="5373" spans="1:12" ht="11.25" customHeight="1" x14ac:dyDescent="0.2">
      <c r="A5373" s="226">
        <v>2024</v>
      </c>
      <c r="B5373" s="226">
        <v>7</v>
      </c>
      <c r="C5373" s="226">
        <v>30</v>
      </c>
      <c r="D5373" s="226">
        <f t="shared" si="603"/>
        <v>45503</v>
      </c>
      <c r="E5373" s="234">
        <f t="shared" si="607"/>
        <v>45503</v>
      </c>
      <c r="F5373" s="479"/>
      <c r="G5373" s="227" t="s">
        <v>86</v>
      </c>
      <c r="H5373" s="228"/>
      <c r="I5373" s="228"/>
      <c r="J5373" s="229" t="s">
        <v>80</v>
      </c>
      <c r="K5373" s="230"/>
      <c r="L5373" s="230">
        <v>3059899.86</v>
      </c>
    </row>
    <row r="5374" spans="1:12" ht="11.25" customHeight="1" x14ac:dyDescent="0.2">
      <c r="A5374" s="221">
        <v>2024</v>
      </c>
      <c r="B5374" s="221">
        <v>7</v>
      </c>
      <c r="C5374" s="221">
        <v>31</v>
      </c>
      <c r="D5374" s="221">
        <f t="shared" si="603"/>
        <v>45504</v>
      </c>
      <c r="E5374" s="233">
        <f t="shared" ref="E5374:E5391" si="611">DATE(A5374,B5374,C5374)</f>
        <v>45504</v>
      </c>
      <c r="F5374" s="478" t="s">
        <v>1757</v>
      </c>
      <c r="G5374" s="222" t="s">
        <v>86</v>
      </c>
      <c r="H5374" s="222"/>
      <c r="I5374" s="223"/>
      <c r="J5374" s="165" t="s">
        <v>199</v>
      </c>
      <c r="K5374" s="225">
        <v>1154718.45</v>
      </c>
      <c r="L5374" s="225"/>
    </row>
    <row r="5375" spans="1:12" ht="11.25" customHeight="1" x14ac:dyDescent="0.2">
      <c r="A5375" s="164">
        <v>2024</v>
      </c>
      <c r="B5375" s="164">
        <v>7</v>
      </c>
      <c r="C5375" s="164">
        <v>31</v>
      </c>
      <c r="D5375" s="164">
        <f t="shared" si="603"/>
        <v>45504</v>
      </c>
      <c r="E5375" s="235">
        <f t="shared" si="611"/>
        <v>45504</v>
      </c>
      <c r="F5375" s="480"/>
      <c r="G5375" s="208" t="s">
        <v>86</v>
      </c>
      <c r="H5375" s="208"/>
      <c r="J5375" s="165" t="s">
        <v>960</v>
      </c>
      <c r="K5375" s="205">
        <v>2082.2458007240293</v>
      </c>
      <c r="L5375" s="205"/>
    </row>
    <row r="5376" spans="1:12" ht="11.25" customHeight="1" x14ac:dyDescent="0.2">
      <c r="A5376" s="164">
        <v>2024</v>
      </c>
      <c r="B5376" s="164">
        <v>7</v>
      </c>
      <c r="C5376" s="164">
        <v>31</v>
      </c>
      <c r="D5376" s="164">
        <f t="shared" si="603"/>
        <v>45504</v>
      </c>
      <c r="E5376" s="235">
        <f t="shared" si="611"/>
        <v>45504</v>
      </c>
      <c r="F5376" s="480"/>
      <c r="G5376" s="208" t="s">
        <v>86</v>
      </c>
      <c r="H5376" s="208"/>
      <c r="J5376" s="165" t="s">
        <v>200</v>
      </c>
      <c r="K5376" s="205"/>
      <c r="L5376" s="205">
        <v>476800.7</v>
      </c>
    </row>
    <row r="5377" spans="1:12" ht="11.25" customHeight="1" x14ac:dyDescent="0.2">
      <c r="A5377" s="226">
        <v>2024</v>
      </c>
      <c r="B5377" s="226">
        <v>7</v>
      </c>
      <c r="C5377" s="226">
        <v>31</v>
      </c>
      <c r="D5377" s="226">
        <f t="shared" si="603"/>
        <v>45504</v>
      </c>
      <c r="E5377" s="234">
        <f t="shared" si="611"/>
        <v>45504</v>
      </c>
      <c r="F5377" s="479"/>
      <c r="G5377" s="227" t="s">
        <v>86</v>
      </c>
      <c r="H5377" s="228"/>
      <c r="I5377" s="228"/>
      <c r="J5377" s="229" t="s">
        <v>80</v>
      </c>
      <c r="K5377" s="230"/>
      <c r="L5377" s="230">
        <v>680000</v>
      </c>
    </row>
    <row r="5378" spans="1:12" ht="11.25" customHeight="1" x14ac:dyDescent="0.2">
      <c r="A5378" s="164">
        <v>2024</v>
      </c>
      <c r="B5378" s="164">
        <v>7</v>
      </c>
      <c r="C5378" s="164">
        <v>31</v>
      </c>
      <c r="D5378" s="156">
        <f t="shared" si="603"/>
        <v>45504</v>
      </c>
      <c r="E5378" s="235">
        <f t="shared" si="611"/>
        <v>45504</v>
      </c>
      <c r="F5378" s="478" t="s">
        <v>1732</v>
      </c>
      <c r="G5378" s="208" t="s">
        <v>1111</v>
      </c>
      <c r="J5378" s="165" t="s">
        <v>478</v>
      </c>
      <c r="K5378" s="205">
        <v>84.73</v>
      </c>
      <c r="L5378" s="205"/>
    </row>
    <row r="5379" spans="1:12" ht="11.25" customHeight="1" x14ac:dyDescent="0.2">
      <c r="A5379" s="226">
        <v>2024</v>
      </c>
      <c r="B5379" s="226">
        <v>7</v>
      </c>
      <c r="C5379" s="226">
        <v>31</v>
      </c>
      <c r="D5379" s="232">
        <f t="shared" si="603"/>
        <v>45504</v>
      </c>
      <c r="E5379" s="234">
        <f t="shared" si="611"/>
        <v>45504</v>
      </c>
      <c r="F5379" s="479"/>
      <c r="G5379" s="227" t="s">
        <v>1111</v>
      </c>
      <c r="H5379" s="228"/>
      <c r="I5379" s="228"/>
      <c r="J5379" s="229" t="s">
        <v>55</v>
      </c>
      <c r="K5379" s="230"/>
      <c r="L5379" s="230">
        <v>84.73</v>
      </c>
    </row>
    <row r="5380" spans="1:12" ht="11.25" customHeight="1" x14ac:dyDescent="0.2">
      <c r="A5380" s="221">
        <v>2024</v>
      </c>
      <c r="B5380" s="221">
        <v>7</v>
      </c>
      <c r="C5380" s="231">
        <v>31</v>
      </c>
      <c r="D5380" s="231">
        <f t="shared" si="603"/>
        <v>45504</v>
      </c>
      <c r="E5380" s="233">
        <f>DATE(A5380,B5380,C5380)</f>
        <v>45504</v>
      </c>
      <c r="F5380" s="478" t="s">
        <v>1178</v>
      </c>
      <c r="G5380" s="222" t="s">
        <v>1111</v>
      </c>
      <c r="H5380" s="223"/>
      <c r="I5380" s="223"/>
      <c r="J5380" s="224" t="s">
        <v>189</v>
      </c>
      <c r="K5380" s="225">
        <v>7187.5</v>
      </c>
      <c r="L5380" s="225"/>
    </row>
    <row r="5381" spans="1:12" ht="11.25" customHeight="1" x14ac:dyDescent="0.2">
      <c r="A5381" s="164">
        <v>2024</v>
      </c>
      <c r="B5381" s="164">
        <v>7</v>
      </c>
      <c r="C5381" s="156">
        <v>31</v>
      </c>
      <c r="D5381" s="156">
        <f t="shared" si="603"/>
        <v>45504</v>
      </c>
      <c r="E5381" s="235">
        <f>DATE(A5381,B5381,C5381)</f>
        <v>45504</v>
      </c>
      <c r="F5381" s="480"/>
      <c r="G5381" s="208" t="s">
        <v>1111</v>
      </c>
      <c r="J5381" s="165" t="s">
        <v>1708</v>
      </c>
      <c r="K5381" s="205"/>
      <c r="L5381" s="205">
        <v>563.5</v>
      </c>
    </row>
    <row r="5382" spans="1:12" ht="11.25" customHeight="1" x14ac:dyDescent="0.2">
      <c r="A5382" s="226">
        <v>2024</v>
      </c>
      <c r="B5382" s="226">
        <v>7</v>
      </c>
      <c r="C5382" s="232">
        <v>31</v>
      </c>
      <c r="D5382" s="232">
        <f t="shared" si="603"/>
        <v>45504</v>
      </c>
      <c r="E5382" s="234">
        <f>DATE(A5382,B5382,C5382)</f>
        <v>45504</v>
      </c>
      <c r="F5382" s="479"/>
      <c r="G5382" s="227" t="s">
        <v>1111</v>
      </c>
      <c r="H5382" s="228"/>
      <c r="I5382" s="228"/>
      <c r="J5382" s="229" t="s">
        <v>55</v>
      </c>
      <c r="K5382" s="230"/>
      <c r="L5382" s="230">
        <v>6624</v>
      </c>
    </row>
    <row r="5383" spans="1:12" ht="11.25" customHeight="1" x14ac:dyDescent="0.2">
      <c r="A5383" s="221">
        <v>2024</v>
      </c>
      <c r="B5383" s="221">
        <v>8</v>
      </c>
      <c r="C5383" s="221">
        <v>1</v>
      </c>
      <c r="D5383" s="231">
        <f t="shared" si="603"/>
        <v>45505</v>
      </c>
      <c r="E5383" s="233">
        <f t="shared" si="611"/>
        <v>45505</v>
      </c>
      <c r="F5383" s="478" t="s">
        <v>1758</v>
      </c>
      <c r="G5383" s="222" t="s">
        <v>1111</v>
      </c>
      <c r="H5383" s="223"/>
      <c r="I5383" s="223"/>
      <c r="J5383" s="224" t="s">
        <v>55</v>
      </c>
      <c r="K5383" s="225">
        <v>4316216.8</v>
      </c>
      <c r="L5383" s="225"/>
    </row>
    <row r="5384" spans="1:12" ht="11.25" customHeight="1" x14ac:dyDescent="0.2">
      <c r="A5384" s="226">
        <v>2024</v>
      </c>
      <c r="B5384" s="226">
        <v>8</v>
      </c>
      <c r="C5384" s="226">
        <v>1</v>
      </c>
      <c r="D5384" s="232">
        <f t="shared" si="603"/>
        <v>45505</v>
      </c>
      <c r="E5384" s="234">
        <f t="shared" si="611"/>
        <v>45505</v>
      </c>
      <c r="F5384" s="479"/>
      <c r="G5384" s="227" t="s">
        <v>1111</v>
      </c>
      <c r="H5384" s="228"/>
      <c r="I5384" s="228"/>
      <c r="J5384" s="229" t="s">
        <v>199</v>
      </c>
      <c r="K5384" s="230"/>
      <c r="L5384" s="230">
        <v>4316216.8</v>
      </c>
    </row>
    <row r="5385" spans="1:12" ht="11.25" customHeight="1" x14ac:dyDescent="0.2">
      <c r="A5385" s="221">
        <v>2024</v>
      </c>
      <c r="B5385" s="221">
        <v>8</v>
      </c>
      <c r="C5385" s="231">
        <v>1</v>
      </c>
      <c r="D5385" s="231">
        <f t="shared" ref="D5385:D5448" si="612">DATE(A5385,B5385,C5385)</f>
        <v>45505</v>
      </c>
      <c r="E5385" s="233">
        <f t="shared" si="611"/>
        <v>45505</v>
      </c>
      <c r="F5385" s="478" t="s">
        <v>1759</v>
      </c>
      <c r="G5385" s="222" t="s">
        <v>86</v>
      </c>
      <c r="H5385" s="222"/>
      <c r="I5385" s="223"/>
      <c r="J5385" s="224" t="s">
        <v>80</v>
      </c>
      <c r="K5385" s="225">
        <v>1306090</v>
      </c>
      <c r="L5385" s="225"/>
    </row>
    <row r="5386" spans="1:12" ht="11.25" customHeight="1" x14ac:dyDescent="0.2">
      <c r="A5386" s="164">
        <v>2024</v>
      </c>
      <c r="B5386" s="164">
        <v>8</v>
      </c>
      <c r="C5386" s="156">
        <v>1</v>
      </c>
      <c r="D5386" s="164">
        <f t="shared" si="612"/>
        <v>45505</v>
      </c>
      <c r="E5386" s="235">
        <f t="shared" si="611"/>
        <v>45505</v>
      </c>
      <c r="F5386" s="480"/>
      <c r="G5386" s="208" t="s">
        <v>86</v>
      </c>
      <c r="H5386" s="208"/>
      <c r="J5386" s="165" t="s">
        <v>960</v>
      </c>
      <c r="K5386" s="205">
        <v>2350.962</v>
      </c>
      <c r="L5386" s="205"/>
    </row>
    <row r="5387" spans="1:12" ht="11.25" customHeight="1" x14ac:dyDescent="0.2">
      <c r="A5387" s="226">
        <v>2024</v>
      </c>
      <c r="B5387" s="226">
        <v>8</v>
      </c>
      <c r="C5387" s="232">
        <v>1</v>
      </c>
      <c r="D5387" s="226">
        <f t="shared" si="612"/>
        <v>45505</v>
      </c>
      <c r="E5387" s="234">
        <f t="shared" si="611"/>
        <v>45505</v>
      </c>
      <c r="F5387" s="479"/>
      <c r="G5387" s="227" t="s">
        <v>86</v>
      </c>
      <c r="H5387" s="227"/>
      <c r="I5387" s="228"/>
      <c r="J5387" s="229" t="s">
        <v>961</v>
      </c>
      <c r="K5387" s="294"/>
      <c r="L5387" s="230">
        <v>1308440.9620000001</v>
      </c>
    </row>
    <row r="5388" spans="1:12" ht="11.25" customHeight="1" x14ac:dyDescent="0.2">
      <c r="A5388" s="280">
        <v>2024</v>
      </c>
      <c r="B5388" s="280">
        <v>8</v>
      </c>
      <c r="C5388" s="280">
        <v>1</v>
      </c>
      <c r="D5388" s="281">
        <f t="shared" si="612"/>
        <v>45505</v>
      </c>
      <c r="E5388" s="282">
        <f t="shared" si="611"/>
        <v>45505</v>
      </c>
      <c r="F5388" s="472" t="s">
        <v>1744</v>
      </c>
      <c r="G5388" s="283" t="s">
        <v>86</v>
      </c>
      <c r="H5388" s="284"/>
      <c r="I5388" s="284"/>
      <c r="J5388" s="285" t="s">
        <v>131</v>
      </c>
      <c r="K5388" s="286">
        <v>19358.333333333332</v>
      </c>
      <c r="L5388" s="286"/>
    </row>
    <row r="5389" spans="1:12" ht="11.25" customHeight="1" x14ac:dyDescent="0.2">
      <c r="A5389" s="287">
        <v>2024</v>
      </c>
      <c r="B5389" s="287">
        <v>8</v>
      </c>
      <c r="C5389" s="287">
        <v>1</v>
      </c>
      <c r="D5389" s="288">
        <f t="shared" si="612"/>
        <v>45505</v>
      </c>
      <c r="E5389" s="289">
        <f t="shared" si="611"/>
        <v>45505</v>
      </c>
      <c r="F5389" s="473"/>
      <c r="G5389" s="290" t="s">
        <v>86</v>
      </c>
      <c r="H5389" s="291"/>
      <c r="I5389" s="291"/>
      <c r="J5389" s="292" t="s">
        <v>174</v>
      </c>
      <c r="K5389" s="293"/>
      <c r="L5389" s="293">
        <v>19358.333333333332</v>
      </c>
    </row>
    <row r="5390" spans="1:12" ht="11.25" customHeight="1" x14ac:dyDescent="0.2">
      <c r="A5390" s="280">
        <v>2024</v>
      </c>
      <c r="B5390" s="280">
        <v>8</v>
      </c>
      <c r="C5390" s="280">
        <v>1</v>
      </c>
      <c r="D5390" s="281">
        <f t="shared" si="612"/>
        <v>45505</v>
      </c>
      <c r="E5390" s="282">
        <f t="shared" si="611"/>
        <v>45505</v>
      </c>
      <c r="F5390" s="472" t="s">
        <v>1584</v>
      </c>
      <c r="G5390" s="283" t="s">
        <v>86</v>
      </c>
      <c r="H5390" s="284"/>
      <c r="I5390" s="284"/>
      <c r="J5390" s="285" t="s">
        <v>131</v>
      </c>
      <c r="K5390" s="286">
        <v>8653.8461538461543</v>
      </c>
      <c r="L5390" s="286"/>
    </row>
    <row r="5391" spans="1:12" ht="11.25" customHeight="1" x14ac:dyDescent="0.2">
      <c r="A5391" s="287">
        <v>2024</v>
      </c>
      <c r="B5391" s="287">
        <v>8</v>
      </c>
      <c r="C5391" s="287">
        <v>1</v>
      </c>
      <c r="D5391" s="288">
        <f t="shared" si="612"/>
        <v>45505</v>
      </c>
      <c r="E5391" s="289">
        <f t="shared" si="611"/>
        <v>45505</v>
      </c>
      <c r="F5391" s="473"/>
      <c r="G5391" s="290" t="s">
        <v>86</v>
      </c>
      <c r="H5391" s="291"/>
      <c r="I5391" s="291"/>
      <c r="J5391" s="292" t="s">
        <v>174</v>
      </c>
      <c r="K5391" s="293"/>
      <c r="L5391" s="293">
        <v>8653.8461538461543</v>
      </c>
    </row>
    <row r="5392" spans="1:12" ht="11.25" customHeight="1" x14ac:dyDescent="0.2">
      <c r="A5392" s="341">
        <v>2024</v>
      </c>
      <c r="B5392" s="341">
        <v>8</v>
      </c>
      <c r="C5392" s="341">
        <v>1</v>
      </c>
      <c r="D5392" s="328">
        <f t="shared" si="612"/>
        <v>45505</v>
      </c>
      <c r="E5392" s="329">
        <f t="shared" ref="E5392:E5393" si="613">DATE(A5392,B5392,C5392)</f>
        <v>45505</v>
      </c>
      <c r="F5392" s="474" t="s">
        <v>1767</v>
      </c>
      <c r="G5392" s="330" t="s">
        <v>86</v>
      </c>
      <c r="H5392" s="332"/>
      <c r="I5392" s="332"/>
      <c r="J5392" s="342" t="s">
        <v>67</v>
      </c>
      <c r="K5392" s="343">
        <v>333259.69</v>
      </c>
      <c r="L5392" s="343"/>
    </row>
    <row r="5393" spans="1:13" ht="11.25" customHeight="1" x14ac:dyDescent="0.2">
      <c r="A5393" s="344">
        <v>2024</v>
      </c>
      <c r="B5393" s="344">
        <v>8</v>
      </c>
      <c r="C5393" s="344">
        <v>1</v>
      </c>
      <c r="D5393" s="337">
        <f t="shared" si="612"/>
        <v>45505</v>
      </c>
      <c r="E5393" s="338">
        <f t="shared" si="613"/>
        <v>45505</v>
      </c>
      <c r="F5393" s="475"/>
      <c r="G5393" s="339" t="s">
        <v>86</v>
      </c>
      <c r="H5393" s="340"/>
      <c r="I5393" s="340"/>
      <c r="J5393" s="345" t="s">
        <v>174</v>
      </c>
      <c r="K5393" s="346"/>
      <c r="L5393" s="346">
        <f>K5392</f>
        <v>333259.69</v>
      </c>
    </row>
    <row r="5394" spans="1:13" ht="11.25" customHeight="1" x14ac:dyDescent="0.2">
      <c r="A5394" s="358">
        <v>2024</v>
      </c>
      <c r="B5394" s="358">
        <v>8</v>
      </c>
      <c r="C5394" s="358">
        <v>1</v>
      </c>
      <c r="D5394" s="312">
        <f t="shared" si="612"/>
        <v>45505</v>
      </c>
      <c r="E5394" s="313">
        <f>DATE(A5394,B5394,C5394)</f>
        <v>45505</v>
      </c>
      <c r="F5394" s="482" t="s">
        <v>1627</v>
      </c>
      <c r="G5394" s="314" t="s">
        <v>86</v>
      </c>
      <c r="H5394" s="324"/>
      <c r="I5394" s="324"/>
      <c r="J5394" s="364" t="s">
        <v>1613</v>
      </c>
      <c r="K5394" s="365">
        <v>236915</v>
      </c>
      <c r="L5394" s="365"/>
    </row>
    <row r="5395" spans="1:13" ht="11.25" customHeight="1" x14ac:dyDescent="0.2">
      <c r="A5395" s="320">
        <v>2024</v>
      </c>
      <c r="B5395" s="320">
        <v>8</v>
      </c>
      <c r="C5395" s="320">
        <v>1</v>
      </c>
      <c r="D5395" s="323">
        <f t="shared" si="612"/>
        <v>45505</v>
      </c>
      <c r="E5395" s="321">
        <f t="shared" ref="E5395" si="614">DATE(A5395,B5395,C5395)</f>
        <v>45505</v>
      </c>
      <c r="F5395" s="483"/>
      <c r="G5395" s="322" t="s">
        <v>86</v>
      </c>
      <c r="H5395" s="325"/>
      <c r="I5395" s="325"/>
      <c r="J5395" s="366" t="s">
        <v>1621</v>
      </c>
      <c r="K5395" s="367"/>
      <c r="L5395" s="367">
        <f>K5394</f>
        <v>236915</v>
      </c>
    </row>
    <row r="5396" spans="1:13" ht="11.25" customHeight="1" x14ac:dyDescent="0.2">
      <c r="A5396" s="358">
        <v>2024</v>
      </c>
      <c r="B5396" s="358">
        <v>8</v>
      </c>
      <c r="C5396" s="358">
        <v>1</v>
      </c>
      <c r="D5396" s="312">
        <f t="shared" si="612"/>
        <v>45505</v>
      </c>
      <c r="E5396" s="313">
        <f>DATE(A5396,B5396,C5396)</f>
        <v>45505</v>
      </c>
      <c r="F5396" s="482" t="s">
        <v>1713</v>
      </c>
      <c r="G5396" s="314" t="s">
        <v>86</v>
      </c>
      <c r="H5396" s="324"/>
      <c r="I5396" s="324"/>
      <c r="J5396" s="364" t="s">
        <v>1622</v>
      </c>
      <c r="K5396" s="365">
        <v>106765</v>
      </c>
      <c r="L5396" s="365"/>
    </row>
    <row r="5397" spans="1:13" ht="11.25" customHeight="1" x14ac:dyDescent="0.2">
      <c r="A5397" s="320">
        <v>2024</v>
      </c>
      <c r="B5397" s="320">
        <v>8</v>
      </c>
      <c r="C5397" s="320">
        <v>1</v>
      </c>
      <c r="D5397" s="323">
        <f t="shared" si="612"/>
        <v>45505</v>
      </c>
      <c r="E5397" s="321">
        <f t="shared" ref="E5397:E5413" si="615">DATE(A5397,B5397,C5397)</f>
        <v>45505</v>
      </c>
      <c r="F5397" s="483"/>
      <c r="G5397" s="322" t="s">
        <v>86</v>
      </c>
      <c r="H5397" s="325"/>
      <c r="I5397" s="325"/>
      <c r="J5397" s="366" t="s">
        <v>1614</v>
      </c>
      <c r="K5397" s="367"/>
      <c r="L5397" s="367">
        <f>K5396</f>
        <v>106765</v>
      </c>
    </row>
    <row r="5398" spans="1:13" ht="11.25" customHeight="1" x14ac:dyDescent="0.2">
      <c r="A5398" s="236">
        <v>2024</v>
      </c>
      <c r="B5398" s="236">
        <v>8</v>
      </c>
      <c r="C5398" s="236">
        <v>1</v>
      </c>
      <c r="D5398" s="237">
        <f t="shared" si="612"/>
        <v>45505</v>
      </c>
      <c r="E5398" s="238">
        <f t="shared" si="615"/>
        <v>45505</v>
      </c>
      <c r="F5398" s="476" t="s">
        <v>1118</v>
      </c>
      <c r="G5398" s="239" t="s">
        <v>86</v>
      </c>
      <c r="H5398" s="239"/>
      <c r="I5398" s="240"/>
      <c r="J5398" s="241" t="s">
        <v>82</v>
      </c>
      <c r="K5398" s="242">
        <v>651924.03999999911</v>
      </c>
      <c r="L5398" s="242"/>
    </row>
    <row r="5399" spans="1:13" ht="11.25" customHeight="1" x14ac:dyDescent="0.2">
      <c r="A5399" s="243">
        <v>2024</v>
      </c>
      <c r="B5399" s="243">
        <v>8</v>
      </c>
      <c r="C5399" s="243">
        <v>1</v>
      </c>
      <c r="D5399" s="248">
        <f t="shared" si="612"/>
        <v>45505</v>
      </c>
      <c r="E5399" s="249">
        <f t="shared" si="615"/>
        <v>45505</v>
      </c>
      <c r="F5399" s="477"/>
      <c r="G5399" s="244" t="s">
        <v>86</v>
      </c>
      <c r="H5399" s="244"/>
      <c r="I5399" s="245"/>
      <c r="J5399" s="246" t="s">
        <v>98</v>
      </c>
      <c r="K5399" s="247"/>
      <c r="L5399" s="247">
        <f>K5398</f>
        <v>651924.03999999911</v>
      </c>
    </row>
    <row r="5400" spans="1:13" ht="11.25" customHeight="1" x14ac:dyDescent="0.2">
      <c r="A5400" s="236">
        <v>2024</v>
      </c>
      <c r="B5400" s="236">
        <v>8</v>
      </c>
      <c r="C5400" s="236">
        <v>1</v>
      </c>
      <c r="D5400" s="237">
        <f t="shared" si="612"/>
        <v>45505</v>
      </c>
      <c r="E5400" s="238">
        <f t="shared" si="615"/>
        <v>45505</v>
      </c>
      <c r="F5400" s="476" t="s">
        <v>1120</v>
      </c>
      <c r="G5400" s="239" t="s">
        <v>86</v>
      </c>
      <c r="H5400" s="239"/>
      <c r="I5400" s="240"/>
      <c r="J5400" s="241" t="s">
        <v>87</v>
      </c>
      <c r="K5400" s="242">
        <v>2747.2527472527472</v>
      </c>
      <c r="L5400" s="242"/>
    </row>
    <row r="5401" spans="1:13" ht="11.25" customHeight="1" x14ac:dyDescent="0.2">
      <c r="A5401" s="243">
        <v>2024</v>
      </c>
      <c r="B5401" s="243">
        <v>8</v>
      </c>
      <c r="C5401" s="243">
        <v>1</v>
      </c>
      <c r="D5401" s="248">
        <f t="shared" si="612"/>
        <v>45505</v>
      </c>
      <c r="E5401" s="249">
        <f t="shared" si="615"/>
        <v>45505</v>
      </c>
      <c r="F5401" s="477"/>
      <c r="G5401" s="244" t="s">
        <v>86</v>
      </c>
      <c r="H5401" s="244"/>
      <c r="I5401" s="245"/>
      <c r="J5401" s="246" t="s">
        <v>64</v>
      </c>
      <c r="K5401" s="247"/>
      <c r="L5401" s="247">
        <v>2747.2527472527472</v>
      </c>
    </row>
    <row r="5402" spans="1:13" ht="11.25" customHeight="1" x14ac:dyDescent="0.2">
      <c r="A5402" s="236">
        <v>2024</v>
      </c>
      <c r="B5402" s="236">
        <v>8</v>
      </c>
      <c r="C5402" s="236">
        <v>1</v>
      </c>
      <c r="D5402" s="237">
        <f t="shared" si="612"/>
        <v>45505</v>
      </c>
      <c r="E5402" s="238">
        <f t="shared" si="615"/>
        <v>45505</v>
      </c>
      <c r="F5402" s="476" t="s">
        <v>1121</v>
      </c>
      <c r="G5402" s="239" t="s">
        <v>86</v>
      </c>
      <c r="H5402" s="239"/>
      <c r="I5402" s="240"/>
      <c r="J5402" s="241" t="s">
        <v>89</v>
      </c>
      <c r="K5402" s="242">
        <f>M5402</f>
        <v>72447.796395052545</v>
      </c>
      <c r="L5402" s="242"/>
      <c r="M5402" s="156">
        <v>72447.796395052545</v>
      </c>
    </row>
    <row r="5403" spans="1:13" ht="11.25" customHeight="1" x14ac:dyDescent="0.2">
      <c r="A5403" s="243">
        <v>2024</v>
      </c>
      <c r="B5403" s="243">
        <v>8</v>
      </c>
      <c r="C5403" s="243">
        <v>1</v>
      </c>
      <c r="D5403" s="248">
        <f t="shared" si="612"/>
        <v>45505</v>
      </c>
      <c r="E5403" s="249">
        <f t="shared" si="615"/>
        <v>45505</v>
      </c>
      <c r="F5403" s="477"/>
      <c r="G5403" s="244" t="s">
        <v>86</v>
      </c>
      <c r="H5403" s="244"/>
      <c r="I5403" s="245"/>
      <c r="J5403" s="246" t="s">
        <v>50</v>
      </c>
      <c r="K5403" s="247"/>
      <c r="L5403" s="247">
        <f>K5402</f>
        <v>72447.796395052545</v>
      </c>
      <c r="M5403" s="156">
        <v>3382.0052043680121</v>
      </c>
    </row>
    <row r="5404" spans="1:13" ht="11.25" customHeight="1" x14ac:dyDescent="0.2">
      <c r="A5404" s="236">
        <v>2024</v>
      </c>
      <c r="B5404" s="236">
        <v>8</v>
      </c>
      <c r="C5404" s="236">
        <v>1</v>
      </c>
      <c r="D5404" s="237">
        <f t="shared" si="612"/>
        <v>45505</v>
      </c>
      <c r="E5404" s="238">
        <f t="shared" si="615"/>
        <v>45505</v>
      </c>
      <c r="F5404" s="476" t="s">
        <v>1122</v>
      </c>
      <c r="G5404" s="239" t="s">
        <v>86</v>
      </c>
      <c r="H5404" s="239"/>
      <c r="I5404" s="240"/>
      <c r="J5404" s="241" t="s">
        <v>91</v>
      </c>
      <c r="K5404" s="242">
        <f>M5403</f>
        <v>3382.0052043680121</v>
      </c>
      <c r="L5404" s="242"/>
    </row>
    <row r="5405" spans="1:13" ht="11.25" customHeight="1" x14ac:dyDescent="0.2">
      <c r="A5405" s="243">
        <v>2024</v>
      </c>
      <c r="B5405" s="243">
        <v>8</v>
      </c>
      <c r="C5405" s="243">
        <v>1</v>
      </c>
      <c r="D5405" s="248">
        <f t="shared" si="612"/>
        <v>45505</v>
      </c>
      <c r="E5405" s="249">
        <f t="shared" si="615"/>
        <v>45505</v>
      </c>
      <c r="F5405" s="477"/>
      <c r="G5405" s="244" t="s">
        <v>86</v>
      </c>
      <c r="H5405" s="244"/>
      <c r="I5405" s="245"/>
      <c r="J5405" s="246" t="s">
        <v>51</v>
      </c>
      <c r="K5405" s="247"/>
      <c r="L5405" s="247">
        <f>K5404</f>
        <v>3382.0052043680121</v>
      </c>
    </row>
    <row r="5406" spans="1:13" ht="11.25" customHeight="1" x14ac:dyDescent="0.2">
      <c r="A5406" s="221">
        <v>2024</v>
      </c>
      <c r="B5406" s="221">
        <v>8</v>
      </c>
      <c r="C5406" s="221">
        <v>7</v>
      </c>
      <c r="D5406" s="221">
        <f t="shared" si="612"/>
        <v>45511</v>
      </c>
      <c r="E5406" s="233">
        <f t="shared" si="615"/>
        <v>45511</v>
      </c>
      <c r="F5406" s="478" t="s">
        <v>1769</v>
      </c>
      <c r="G5406" s="222" t="s">
        <v>86</v>
      </c>
      <c r="H5406" s="222"/>
      <c r="I5406" s="223"/>
      <c r="J5406" s="224" t="s">
        <v>80</v>
      </c>
      <c r="K5406" s="225">
        <v>1166160</v>
      </c>
      <c r="L5406" s="225"/>
    </row>
    <row r="5407" spans="1:13" ht="11.25" customHeight="1" x14ac:dyDescent="0.2">
      <c r="A5407" s="164">
        <v>2024</v>
      </c>
      <c r="B5407" s="164">
        <v>8</v>
      </c>
      <c r="C5407" s="164">
        <v>7</v>
      </c>
      <c r="D5407" s="164">
        <f t="shared" si="612"/>
        <v>45511</v>
      </c>
      <c r="E5407" s="235">
        <f t="shared" si="615"/>
        <v>45511</v>
      </c>
      <c r="F5407" s="480"/>
      <c r="G5407" s="208" t="s">
        <v>86</v>
      </c>
      <c r="H5407" s="208"/>
      <c r="J5407" s="165" t="s">
        <v>960</v>
      </c>
      <c r="K5407" s="205">
        <v>11441.35</v>
      </c>
      <c r="L5407" s="205"/>
    </row>
    <row r="5408" spans="1:13" ht="11.25" customHeight="1" x14ac:dyDescent="0.2">
      <c r="A5408" s="164">
        <v>2024</v>
      </c>
      <c r="B5408" s="164">
        <v>8</v>
      </c>
      <c r="C5408" s="164">
        <v>7</v>
      </c>
      <c r="D5408" s="164">
        <f t="shared" si="612"/>
        <v>45511</v>
      </c>
      <c r="E5408" s="235">
        <f t="shared" si="615"/>
        <v>45511</v>
      </c>
      <c r="F5408" s="480"/>
      <c r="G5408" s="208" t="s">
        <v>86</v>
      </c>
      <c r="H5408" s="208"/>
      <c r="J5408" s="165" t="s">
        <v>199</v>
      </c>
      <c r="K5408" s="263">
        <v>4012541.45</v>
      </c>
      <c r="L5408" s="205"/>
    </row>
    <row r="5409" spans="1:12" ht="11.25" customHeight="1" x14ac:dyDescent="0.2">
      <c r="A5409" s="164">
        <v>2024</v>
      </c>
      <c r="B5409" s="164">
        <v>8</v>
      </c>
      <c r="C5409" s="164">
        <v>7</v>
      </c>
      <c r="D5409" s="164">
        <f t="shared" si="612"/>
        <v>45511</v>
      </c>
      <c r="E5409" s="235">
        <f t="shared" si="615"/>
        <v>45511</v>
      </c>
      <c r="F5409" s="480"/>
      <c r="G5409" s="208" t="s">
        <v>86</v>
      </c>
      <c r="H5409" s="208"/>
      <c r="J5409" s="165" t="s">
        <v>200</v>
      </c>
      <c r="K5409" s="263">
        <v>220366.7</v>
      </c>
      <c r="L5409" s="156"/>
    </row>
    <row r="5410" spans="1:12" ht="11.25" customHeight="1" x14ac:dyDescent="0.2">
      <c r="A5410" s="226">
        <v>2024</v>
      </c>
      <c r="B5410" s="226">
        <v>8</v>
      </c>
      <c r="C5410" s="226">
        <v>7</v>
      </c>
      <c r="D5410" s="226">
        <f t="shared" si="612"/>
        <v>45511</v>
      </c>
      <c r="E5410" s="234">
        <f t="shared" si="615"/>
        <v>45511</v>
      </c>
      <c r="F5410" s="479"/>
      <c r="G5410" s="227" t="s">
        <v>86</v>
      </c>
      <c r="H5410" s="228"/>
      <c r="I5410" s="228"/>
      <c r="J5410" s="229" t="s">
        <v>80</v>
      </c>
      <c r="K5410" s="230"/>
      <c r="L5410" s="230">
        <v>5410509.5</v>
      </c>
    </row>
    <row r="5411" spans="1:12" ht="11.25" customHeight="1" x14ac:dyDescent="0.2">
      <c r="A5411" s="221">
        <v>2024</v>
      </c>
      <c r="B5411" s="221">
        <v>8</v>
      </c>
      <c r="C5411" s="231">
        <v>7</v>
      </c>
      <c r="D5411" s="231">
        <f t="shared" si="612"/>
        <v>45511</v>
      </c>
      <c r="E5411" s="233">
        <f t="shared" si="615"/>
        <v>45511</v>
      </c>
      <c r="F5411" s="478" t="s">
        <v>1761</v>
      </c>
      <c r="G5411" s="222" t="s">
        <v>86</v>
      </c>
      <c r="H5411" s="222"/>
      <c r="I5411" s="223"/>
      <c r="J5411" s="224" t="s">
        <v>80</v>
      </c>
      <c r="K5411" s="225">
        <v>19581789.699999999</v>
      </c>
      <c r="L5411" s="225"/>
    </row>
    <row r="5412" spans="1:12" ht="11.25" customHeight="1" x14ac:dyDescent="0.2">
      <c r="A5412" s="164">
        <v>2024</v>
      </c>
      <c r="B5412" s="164">
        <v>8</v>
      </c>
      <c r="C5412" s="156">
        <v>7</v>
      </c>
      <c r="D5412" s="164">
        <f t="shared" si="612"/>
        <v>45511</v>
      </c>
      <c r="E5412" s="235">
        <f t="shared" si="615"/>
        <v>45511</v>
      </c>
      <c r="F5412" s="480"/>
      <c r="G5412" s="208" t="s">
        <v>86</v>
      </c>
      <c r="H5412" s="208"/>
      <c r="J5412" s="165" t="s">
        <v>960</v>
      </c>
      <c r="K5412" s="205">
        <v>35247.221599999997</v>
      </c>
      <c r="L5412" s="205"/>
    </row>
    <row r="5413" spans="1:12" ht="11.25" customHeight="1" x14ac:dyDescent="0.2">
      <c r="A5413" s="226">
        <v>2024</v>
      </c>
      <c r="B5413" s="226">
        <v>8</v>
      </c>
      <c r="C5413" s="232">
        <v>7</v>
      </c>
      <c r="D5413" s="226">
        <f t="shared" si="612"/>
        <v>45511</v>
      </c>
      <c r="E5413" s="234">
        <f t="shared" si="615"/>
        <v>45511</v>
      </c>
      <c r="F5413" s="479"/>
      <c r="G5413" s="227" t="s">
        <v>86</v>
      </c>
      <c r="H5413" s="227"/>
      <c r="I5413" s="228"/>
      <c r="J5413" s="229" t="s">
        <v>961</v>
      </c>
      <c r="K5413" s="294"/>
      <c r="L5413" s="230">
        <v>19617036.921599999</v>
      </c>
    </row>
    <row r="5414" spans="1:12" ht="11.25" customHeight="1" x14ac:dyDescent="0.2">
      <c r="A5414" s="221">
        <v>2024</v>
      </c>
      <c r="B5414" s="221">
        <v>8</v>
      </c>
      <c r="C5414" s="231">
        <v>7</v>
      </c>
      <c r="D5414" s="231">
        <f t="shared" si="612"/>
        <v>45511</v>
      </c>
      <c r="E5414" s="233">
        <f t="shared" ref="E5414:E5441" si="616">DATE(A5414,B5414,C5414)</f>
        <v>45511</v>
      </c>
      <c r="F5414" s="478" t="s">
        <v>1768</v>
      </c>
      <c r="G5414" s="222" t="s">
        <v>86</v>
      </c>
      <c r="H5414" s="222"/>
      <c r="I5414" s="223"/>
      <c r="J5414" s="224" t="s">
        <v>80</v>
      </c>
      <c r="K5414" s="225">
        <v>2500000</v>
      </c>
      <c r="L5414" s="225"/>
    </row>
    <row r="5415" spans="1:12" ht="11.25" customHeight="1" x14ac:dyDescent="0.2">
      <c r="A5415" s="226">
        <v>2024</v>
      </c>
      <c r="B5415" s="226">
        <v>8</v>
      </c>
      <c r="C5415" s="232">
        <v>7</v>
      </c>
      <c r="D5415" s="226">
        <f t="shared" si="612"/>
        <v>45511</v>
      </c>
      <c r="E5415" s="234">
        <f t="shared" si="616"/>
        <v>45511</v>
      </c>
      <c r="F5415" s="479"/>
      <c r="G5415" s="227" t="s">
        <v>86</v>
      </c>
      <c r="H5415" s="227"/>
      <c r="I5415" s="228"/>
      <c r="J5415" s="229" t="s">
        <v>55</v>
      </c>
      <c r="K5415" s="294"/>
      <c r="L5415" s="230">
        <v>2500000</v>
      </c>
    </row>
    <row r="5416" spans="1:12" ht="11.25" customHeight="1" x14ac:dyDescent="0.2">
      <c r="A5416" s="221">
        <v>2024</v>
      </c>
      <c r="B5416" s="221">
        <v>8</v>
      </c>
      <c r="C5416" s="221">
        <v>8</v>
      </c>
      <c r="D5416" s="221">
        <f t="shared" si="612"/>
        <v>45512</v>
      </c>
      <c r="E5416" s="233">
        <f t="shared" si="616"/>
        <v>45512</v>
      </c>
      <c r="F5416" s="478" t="s">
        <v>1770</v>
      </c>
      <c r="G5416" s="222" t="s">
        <v>86</v>
      </c>
      <c r="H5416" s="222"/>
      <c r="I5416" s="223"/>
      <c r="J5416" s="224" t="s">
        <v>80</v>
      </c>
      <c r="K5416" s="225">
        <v>25920128.199999999</v>
      </c>
      <c r="L5416" s="225"/>
    </row>
    <row r="5417" spans="1:12" ht="11.25" customHeight="1" x14ac:dyDescent="0.2">
      <c r="A5417" s="164">
        <v>2024</v>
      </c>
      <c r="B5417" s="164">
        <v>8</v>
      </c>
      <c r="C5417" s="164">
        <v>8</v>
      </c>
      <c r="D5417" s="164">
        <f t="shared" si="612"/>
        <v>45512</v>
      </c>
      <c r="E5417" s="235">
        <f t="shared" si="616"/>
        <v>45512</v>
      </c>
      <c r="F5417" s="480"/>
      <c r="G5417" s="208" t="s">
        <v>86</v>
      </c>
      <c r="H5417" s="208"/>
      <c r="J5417" s="165" t="s">
        <v>960</v>
      </c>
      <c r="K5417" s="205">
        <v>50455.130899999996</v>
      </c>
      <c r="L5417" s="205"/>
    </row>
    <row r="5418" spans="1:12" ht="11.25" customHeight="1" x14ac:dyDescent="0.2">
      <c r="A5418" s="164">
        <v>2024</v>
      </c>
      <c r="B5418" s="164">
        <v>8</v>
      </c>
      <c r="C5418" s="164">
        <v>8</v>
      </c>
      <c r="D5418" s="164">
        <f t="shared" si="612"/>
        <v>45512</v>
      </c>
      <c r="E5418" s="235">
        <f t="shared" si="616"/>
        <v>45512</v>
      </c>
      <c r="F5418" s="480"/>
      <c r="G5418" s="208" t="s">
        <v>86</v>
      </c>
      <c r="H5418" s="208"/>
      <c r="J5418" s="165" t="s">
        <v>961</v>
      </c>
      <c r="K5418" s="263"/>
      <c r="L5418" s="205">
        <v>23860083.329999998</v>
      </c>
    </row>
    <row r="5419" spans="1:12" ht="11.25" customHeight="1" x14ac:dyDescent="0.2">
      <c r="A5419" s="164">
        <v>2024</v>
      </c>
      <c r="B5419" s="164">
        <v>8</v>
      </c>
      <c r="C5419" s="164">
        <v>8</v>
      </c>
      <c r="D5419" s="164">
        <f t="shared" si="612"/>
        <v>45512</v>
      </c>
      <c r="E5419" s="235">
        <f t="shared" si="616"/>
        <v>45512</v>
      </c>
      <c r="F5419" s="480"/>
      <c r="G5419" s="208" t="s">
        <v>86</v>
      </c>
      <c r="H5419" s="208"/>
      <c r="J5419" s="165" t="s">
        <v>200</v>
      </c>
      <c r="K5419" s="263"/>
      <c r="L5419" s="263">
        <v>347464.49</v>
      </c>
    </row>
    <row r="5420" spans="1:12" ht="11.25" customHeight="1" x14ac:dyDescent="0.2">
      <c r="A5420" s="226">
        <v>2024</v>
      </c>
      <c r="B5420" s="226">
        <v>8</v>
      </c>
      <c r="C5420" s="226">
        <v>8</v>
      </c>
      <c r="D5420" s="226">
        <f t="shared" si="612"/>
        <v>45512</v>
      </c>
      <c r="E5420" s="234">
        <f t="shared" si="616"/>
        <v>45512</v>
      </c>
      <c r="F5420" s="479"/>
      <c r="G5420" s="227" t="s">
        <v>86</v>
      </c>
      <c r="H5420" s="228"/>
      <c r="I5420" s="228"/>
      <c r="J5420" s="229" t="s">
        <v>80</v>
      </c>
      <c r="K5420" s="230"/>
      <c r="L5420" s="230">
        <v>1763035.51</v>
      </c>
    </row>
    <row r="5421" spans="1:12" ht="11.25" customHeight="1" x14ac:dyDescent="0.2">
      <c r="A5421" s="221">
        <v>2024</v>
      </c>
      <c r="B5421" s="221">
        <v>8</v>
      </c>
      <c r="C5421" s="231">
        <v>8</v>
      </c>
      <c r="D5421" s="231">
        <f t="shared" si="612"/>
        <v>45512</v>
      </c>
      <c r="E5421" s="233">
        <f t="shared" ref="E5421:E5422" si="617">DATE(A5421,B5421,C5421)</f>
        <v>45512</v>
      </c>
      <c r="F5421" s="478" t="s">
        <v>1771</v>
      </c>
      <c r="G5421" s="222" t="s">
        <v>86</v>
      </c>
      <c r="H5421" s="222"/>
      <c r="I5421" s="223"/>
      <c r="J5421" s="224" t="s">
        <v>55</v>
      </c>
      <c r="K5421" s="225">
        <v>2500000</v>
      </c>
      <c r="L5421" s="225"/>
    </row>
    <row r="5422" spans="1:12" ht="11.25" customHeight="1" x14ac:dyDescent="0.2">
      <c r="A5422" s="226">
        <v>2024</v>
      </c>
      <c r="B5422" s="226">
        <v>8</v>
      </c>
      <c r="C5422" s="232">
        <v>8</v>
      </c>
      <c r="D5422" s="226">
        <f t="shared" si="612"/>
        <v>45512</v>
      </c>
      <c r="E5422" s="234">
        <f t="shared" si="617"/>
        <v>45512</v>
      </c>
      <c r="F5422" s="479"/>
      <c r="G5422" s="227" t="s">
        <v>86</v>
      </c>
      <c r="H5422" s="227"/>
      <c r="I5422" s="228"/>
      <c r="J5422" s="229" t="s">
        <v>80</v>
      </c>
      <c r="K5422" s="294"/>
      <c r="L5422" s="230">
        <v>2500000</v>
      </c>
    </row>
    <row r="5423" spans="1:12" ht="11.25" customHeight="1" x14ac:dyDescent="0.2">
      <c r="A5423" s="221">
        <v>2024</v>
      </c>
      <c r="B5423" s="221">
        <v>8</v>
      </c>
      <c r="C5423" s="231">
        <v>8</v>
      </c>
      <c r="D5423" s="231">
        <f t="shared" si="612"/>
        <v>45512</v>
      </c>
      <c r="E5423" s="233">
        <f t="shared" ref="E5423:E5426" si="618">DATE(A5423,B5423,C5423)</f>
        <v>45512</v>
      </c>
      <c r="F5423" s="478" t="s">
        <v>1772</v>
      </c>
      <c r="G5423" s="222" t="s">
        <v>86</v>
      </c>
      <c r="H5423" s="222"/>
      <c r="I5423" s="223"/>
      <c r="J5423" s="224" t="s">
        <v>80</v>
      </c>
      <c r="K5423" s="225">
        <v>2500000</v>
      </c>
      <c r="L5423" s="225"/>
    </row>
    <row r="5424" spans="1:12" ht="11.25" customHeight="1" x14ac:dyDescent="0.2">
      <c r="A5424" s="226">
        <v>2024</v>
      </c>
      <c r="B5424" s="226">
        <v>8</v>
      </c>
      <c r="C5424" s="232">
        <v>8</v>
      </c>
      <c r="D5424" s="226">
        <f t="shared" si="612"/>
        <v>45512</v>
      </c>
      <c r="E5424" s="234">
        <f t="shared" si="618"/>
        <v>45512</v>
      </c>
      <c r="F5424" s="479"/>
      <c r="G5424" s="227" t="s">
        <v>86</v>
      </c>
      <c r="H5424" s="227"/>
      <c r="I5424" s="228"/>
      <c r="J5424" s="229" t="s">
        <v>55</v>
      </c>
      <c r="K5424" s="294"/>
      <c r="L5424" s="230">
        <v>2500000</v>
      </c>
    </row>
    <row r="5425" spans="1:13" ht="11.25" customHeight="1" x14ac:dyDescent="0.2">
      <c r="A5425" s="221">
        <v>2024</v>
      </c>
      <c r="B5425" s="221">
        <v>8</v>
      </c>
      <c r="C5425" s="231">
        <v>8</v>
      </c>
      <c r="D5425" s="231">
        <f t="shared" si="612"/>
        <v>45512</v>
      </c>
      <c r="E5425" s="233">
        <f t="shared" si="618"/>
        <v>45512</v>
      </c>
      <c r="F5425" s="478" t="s">
        <v>1762</v>
      </c>
      <c r="G5425" s="222" t="s">
        <v>1111</v>
      </c>
      <c r="H5425" s="223"/>
      <c r="I5425" s="223"/>
      <c r="J5425" s="224" t="s">
        <v>961</v>
      </c>
      <c r="K5425" s="225">
        <v>19617036.920000002</v>
      </c>
      <c r="L5425" s="225"/>
    </row>
    <row r="5426" spans="1:13" ht="11.25" customHeight="1" x14ac:dyDescent="0.2">
      <c r="A5426" s="226">
        <v>2024</v>
      </c>
      <c r="B5426" s="226">
        <v>8</v>
      </c>
      <c r="C5426" s="232">
        <v>8</v>
      </c>
      <c r="D5426" s="232">
        <f t="shared" si="612"/>
        <v>45512</v>
      </c>
      <c r="E5426" s="234">
        <f t="shared" si="618"/>
        <v>45512</v>
      </c>
      <c r="F5426" s="479"/>
      <c r="G5426" s="227" t="s">
        <v>1111</v>
      </c>
      <c r="H5426" s="228"/>
      <c r="I5426" s="228"/>
      <c r="J5426" s="229" t="s">
        <v>55</v>
      </c>
      <c r="K5426" s="230"/>
      <c r="L5426" s="230">
        <v>19617036.920000002</v>
      </c>
    </row>
    <row r="5427" spans="1:13" ht="11.25" customHeight="1" x14ac:dyDescent="0.2">
      <c r="A5427" s="221">
        <v>2024</v>
      </c>
      <c r="B5427" s="221">
        <v>8</v>
      </c>
      <c r="C5427" s="231">
        <v>8</v>
      </c>
      <c r="D5427" s="231">
        <f t="shared" si="612"/>
        <v>45512</v>
      </c>
      <c r="E5427" s="233">
        <f t="shared" ref="E5427:E5435" si="619">DATE(A5427,B5427,C5427)</f>
        <v>45512</v>
      </c>
      <c r="F5427" s="478" t="s">
        <v>1760</v>
      </c>
      <c r="G5427" s="222" t="s">
        <v>1111</v>
      </c>
      <c r="H5427" s="223"/>
      <c r="I5427" s="223"/>
      <c r="J5427" s="224" t="s">
        <v>961</v>
      </c>
      <c r="K5427" s="225">
        <v>1308440.96</v>
      </c>
      <c r="L5427" s="225"/>
    </row>
    <row r="5428" spans="1:13" ht="11.25" customHeight="1" x14ac:dyDescent="0.2">
      <c r="A5428" s="226">
        <v>2024</v>
      </c>
      <c r="B5428" s="226">
        <v>8</v>
      </c>
      <c r="C5428" s="232">
        <v>8</v>
      </c>
      <c r="D5428" s="232">
        <f t="shared" si="612"/>
        <v>45512</v>
      </c>
      <c r="E5428" s="234">
        <f t="shared" si="619"/>
        <v>45512</v>
      </c>
      <c r="F5428" s="479"/>
      <c r="G5428" s="227" t="s">
        <v>1111</v>
      </c>
      <c r="H5428" s="228"/>
      <c r="I5428" s="228"/>
      <c r="J5428" s="229" t="s">
        <v>55</v>
      </c>
      <c r="K5428" s="230"/>
      <c r="L5428" s="230">
        <v>1308440.96</v>
      </c>
    </row>
    <row r="5429" spans="1:13" ht="11.25" customHeight="1" x14ac:dyDescent="0.2">
      <c r="A5429" s="221">
        <v>2024</v>
      </c>
      <c r="B5429" s="221">
        <v>8</v>
      </c>
      <c r="C5429" s="231">
        <v>8</v>
      </c>
      <c r="D5429" s="231">
        <f t="shared" si="612"/>
        <v>45512</v>
      </c>
      <c r="E5429" s="233">
        <f t="shared" si="619"/>
        <v>45512</v>
      </c>
      <c r="F5429" s="478" t="s">
        <v>1758</v>
      </c>
      <c r="G5429" s="222" t="s">
        <v>1111</v>
      </c>
      <c r="H5429" s="223"/>
      <c r="I5429" s="223"/>
      <c r="J5429" s="224" t="s">
        <v>55</v>
      </c>
      <c r="K5429" s="225">
        <v>4012541.45</v>
      </c>
      <c r="L5429" s="225"/>
    </row>
    <row r="5430" spans="1:13" ht="11.25" customHeight="1" x14ac:dyDescent="0.2">
      <c r="A5430" s="226">
        <v>2024</v>
      </c>
      <c r="B5430" s="226">
        <v>8</v>
      </c>
      <c r="C5430" s="232">
        <v>8</v>
      </c>
      <c r="D5430" s="232">
        <f t="shared" si="612"/>
        <v>45512</v>
      </c>
      <c r="E5430" s="234">
        <f t="shared" si="619"/>
        <v>45512</v>
      </c>
      <c r="F5430" s="479"/>
      <c r="G5430" s="227" t="s">
        <v>1111</v>
      </c>
      <c r="H5430" s="228"/>
      <c r="I5430" s="228"/>
      <c r="J5430" s="229" t="s">
        <v>199</v>
      </c>
      <c r="K5430" s="230"/>
      <c r="L5430" s="230">
        <v>4012541.45</v>
      </c>
    </row>
    <row r="5431" spans="1:13" ht="11.25" customHeight="1" x14ac:dyDescent="0.2">
      <c r="A5431" s="221">
        <v>2024</v>
      </c>
      <c r="B5431" s="221">
        <v>8</v>
      </c>
      <c r="C5431" s="231">
        <v>8</v>
      </c>
      <c r="D5431" s="231">
        <f t="shared" si="612"/>
        <v>45512</v>
      </c>
      <c r="E5431" s="233">
        <f t="shared" si="619"/>
        <v>45512</v>
      </c>
      <c r="F5431" s="478" t="s">
        <v>1670</v>
      </c>
      <c r="G5431" s="222" t="s">
        <v>1111</v>
      </c>
      <c r="H5431" s="223"/>
      <c r="I5431" s="223"/>
      <c r="J5431" s="224" t="s">
        <v>63</v>
      </c>
      <c r="K5431" s="225">
        <v>200</v>
      </c>
      <c r="L5431" s="225"/>
    </row>
    <row r="5432" spans="1:13" ht="11.25" customHeight="1" x14ac:dyDescent="0.2">
      <c r="A5432" s="226">
        <v>2024</v>
      </c>
      <c r="B5432" s="226">
        <v>8</v>
      </c>
      <c r="C5432" s="232">
        <v>8</v>
      </c>
      <c r="D5432" s="232">
        <f t="shared" si="612"/>
        <v>45512</v>
      </c>
      <c r="E5432" s="234">
        <f t="shared" si="619"/>
        <v>45512</v>
      </c>
      <c r="F5432" s="479"/>
      <c r="G5432" s="227" t="s">
        <v>1111</v>
      </c>
      <c r="H5432" s="228"/>
      <c r="I5432" s="228"/>
      <c r="J5432" s="229" t="s">
        <v>55</v>
      </c>
      <c r="K5432" s="230"/>
      <c r="L5432" s="230">
        <v>200</v>
      </c>
    </row>
    <row r="5433" spans="1:13" ht="11.25" customHeight="1" x14ac:dyDescent="0.2">
      <c r="A5433" s="221">
        <v>2024</v>
      </c>
      <c r="B5433" s="221">
        <v>8</v>
      </c>
      <c r="C5433" s="221">
        <v>8</v>
      </c>
      <c r="D5433" s="231">
        <f t="shared" si="612"/>
        <v>45512</v>
      </c>
      <c r="E5433" s="233">
        <f t="shared" si="619"/>
        <v>45512</v>
      </c>
      <c r="F5433" s="478" t="s">
        <v>1196</v>
      </c>
      <c r="G5433" s="222" t="s">
        <v>1111</v>
      </c>
      <c r="H5433" s="223"/>
      <c r="I5433" s="223"/>
      <c r="J5433" s="224" t="s">
        <v>95</v>
      </c>
      <c r="K5433" s="225">
        <v>847.25</v>
      </c>
      <c r="L5433" s="225"/>
      <c r="M5433" s="166"/>
    </row>
    <row r="5434" spans="1:13" ht="11.25" customHeight="1" x14ac:dyDescent="0.2">
      <c r="A5434" s="164">
        <v>2024</v>
      </c>
      <c r="B5434" s="164">
        <v>8</v>
      </c>
      <c r="C5434" s="164">
        <v>8</v>
      </c>
      <c r="D5434" s="156">
        <f t="shared" si="612"/>
        <v>45512</v>
      </c>
      <c r="E5434" s="235">
        <f t="shared" si="619"/>
        <v>45512</v>
      </c>
      <c r="F5434" s="480"/>
      <c r="G5434" s="208" t="s">
        <v>1111</v>
      </c>
      <c r="J5434" s="165" t="s">
        <v>478</v>
      </c>
      <c r="K5434" s="205"/>
      <c r="L5434" s="205">
        <v>84.73</v>
      </c>
    </row>
    <row r="5435" spans="1:13" ht="11.25" customHeight="1" x14ac:dyDescent="0.2">
      <c r="A5435" s="226">
        <v>2024</v>
      </c>
      <c r="B5435" s="226">
        <v>8</v>
      </c>
      <c r="C5435" s="226">
        <v>8</v>
      </c>
      <c r="D5435" s="232">
        <f t="shared" si="612"/>
        <v>45512</v>
      </c>
      <c r="E5435" s="234">
        <f t="shared" si="619"/>
        <v>45512</v>
      </c>
      <c r="F5435" s="479"/>
      <c r="G5435" s="227" t="s">
        <v>1111</v>
      </c>
      <c r="H5435" s="228"/>
      <c r="I5435" s="228"/>
      <c r="J5435" s="229" t="s">
        <v>55</v>
      </c>
      <c r="K5435" s="230"/>
      <c r="L5435" s="230">
        <v>762.52</v>
      </c>
    </row>
    <row r="5436" spans="1:13" ht="11.25" customHeight="1" x14ac:dyDescent="0.2">
      <c r="A5436" s="280">
        <v>2024</v>
      </c>
      <c r="B5436" s="280">
        <v>8</v>
      </c>
      <c r="C5436" s="280">
        <v>8</v>
      </c>
      <c r="D5436" s="281">
        <f t="shared" si="612"/>
        <v>45512</v>
      </c>
      <c r="E5436" s="282">
        <f t="shared" si="616"/>
        <v>45512</v>
      </c>
      <c r="F5436" s="472" t="s">
        <v>1744</v>
      </c>
      <c r="G5436" s="283" t="s">
        <v>86</v>
      </c>
      <c r="H5436" s="284"/>
      <c r="I5436" s="284"/>
      <c r="J5436" s="285" t="s">
        <v>131</v>
      </c>
      <c r="K5436" s="286">
        <v>19358.333333333332</v>
      </c>
      <c r="L5436" s="286"/>
    </row>
    <row r="5437" spans="1:13" ht="11.25" customHeight="1" x14ac:dyDescent="0.2">
      <c r="A5437" s="287">
        <v>2024</v>
      </c>
      <c r="B5437" s="287">
        <v>8</v>
      </c>
      <c r="C5437" s="287">
        <v>8</v>
      </c>
      <c r="D5437" s="288">
        <f t="shared" si="612"/>
        <v>45512</v>
      </c>
      <c r="E5437" s="289">
        <f t="shared" si="616"/>
        <v>45512</v>
      </c>
      <c r="F5437" s="473"/>
      <c r="G5437" s="290" t="s">
        <v>86</v>
      </c>
      <c r="H5437" s="291"/>
      <c r="I5437" s="291"/>
      <c r="J5437" s="292" t="s">
        <v>174</v>
      </c>
      <c r="K5437" s="293"/>
      <c r="L5437" s="293">
        <v>19358.333333333332</v>
      </c>
    </row>
    <row r="5438" spans="1:13" ht="11.25" customHeight="1" x14ac:dyDescent="0.2">
      <c r="A5438" s="280">
        <v>2024</v>
      </c>
      <c r="B5438" s="280">
        <v>8</v>
      </c>
      <c r="C5438" s="280">
        <v>8</v>
      </c>
      <c r="D5438" s="281">
        <f t="shared" si="612"/>
        <v>45512</v>
      </c>
      <c r="E5438" s="282">
        <f t="shared" si="616"/>
        <v>45512</v>
      </c>
      <c r="F5438" s="472" t="s">
        <v>1584</v>
      </c>
      <c r="G5438" s="283" t="s">
        <v>86</v>
      </c>
      <c r="H5438" s="284"/>
      <c r="I5438" s="284"/>
      <c r="J5438" s="285" t="s">
        <v>131</v>
      </c>
      <c r="K5438" s="286">
        <v>8653.8461538461543</v>
      </c>
      <c r="L5438" s="286"/>
    </row>
    <row r="5439" spans="1:13" ht="11.25" customHeight="1" x14ac:dyDescent="0.2">
      <c r="A5439" s="287">
        <v>2024</v>
      </c>
      <c r="B5439" s="287">
        <v>8</v>
      </c>
      <c r="C5439" s="287">
        <v>8</v>
      </c>
      <c r="D5439" s="288">
        <f t="shared" si="612"/>
        <v>45512</v>
      </c>
      <c r="E5439" s="289">
        <f t="shared" si="616"/>
        <v>45512</v>
      </c>
      <c r="F5439" s="473"/>
      <c r="G5439" s="290" t="s">
        <v>86</v>
      </c>
      <c r="H5439" s="291"/>
      <c r="I5439" s="291"/>
      <c r="J5439" s="292" t="s">
        <v>174</v>
      </c>
      <c r="K5439" s="293"/>
      <c r="L5439" s="293">
        <v>8653.8461538461543</v>
      </c>
    </row>
    <row r="5440" spans="1:13" ht="11.25" customHeight="1" x14ac:dyDescent="0.2">
      <c r="A5440" s="341">
        <v>2024</v>
      </c>
      <c r="B5440" s="341">
        <v>8</v>
      </c>
      <c r="C5440" s="341">
        <v>8</v>
      </c>
      <c r="D5440" s="328">
        <f t="shared" si="612"/>
        <v>45512</v>
      </c>
      <c r="E5440" s="329">
        <f t="shared" si="616"/>
        <v>45512</v>
      </c>
      <c r="F5440" s="474" t="s">
        <v>1767</v>
      </c>
      <c r="G5440" s="330" t="s">
        <v>86</v>
      </c>
      <c r="H5440" s="332"/>
      <c r="I5440" s="332"/>
      <c r="J5440" s="342" t="s">
        <v>67</v>
      </c>
      <c r="K5440" s="343">
        <v>78425.73</v>
      </c>
      <c r="L5440" s="343"/>
    </row>
    <row r="5441" spans="1:13" ht="11.25" customHeight="1" x14ac:dyDescent="0.2">
      <c r="A5441" s="344">
        <v>2024</v>
      </c>
      <c r="B5441" s="344">
        <v>8</v>
      </c>
      <c r="C5441" s="344">
        <v>8</v>
      </c>
      <c r="D5441" s="337">
        <f t="shared" si="612"/>
        <v>45512</v>
      </c>
      <c r="E5441" s="338">
        <f t="shared" si="616"/>
        <v>45512</v>
      </c>
      <c r="F5441" s="475"/>
      <c r="G5441" s="339" t="s">
        <v>86</v>
      </c>
      <c r="H5441" s="340"/>
      <c r="I5441" s="340"/>
      <c r="J5441" s="345" t="s">
        <v>174</v>
      </c>
      <c r="K5441" s="346"/>
      <c r="L5441" s="346">
        <f>K5440</f>
        <v>78425.73</v>
      </c>
    </row>
    <row r="5442" spans="1:13" ht="11.25" customHeight="1" x14ac:dyDescent="0.2">
      <c r="A5442" s="358">
        <v>2024</v>
      </c>
      <c r="B5442" s="358">
        <v>8</v>
      </c>
      <c r="C5442" s="358">
        <v>8</v>
      </c>
      <c r="D5442" s="312">
        <f t="shared" si="612"/>
        <v>45512</v>
      </c>
      <c r="E5442" s="313">
        <f>DATE(A5442,B5442,C5442)</f>
        <v>45512</v>
      </c>
      <c r="F5442" s="482" t="s">
        <v>1627</v>
      </c>
      <c r="G5442" s="314" t="s">
        <v>86</v>
      </c>
      <c r="H5442" s="324"/>
      <c r="I5442" s="324"/>
      <c r="J5442" s="364" t="s">
        <v>1621</v>
      </c>
      <c r="K5442" s="365">
        <v>32175</v>
      </c>
      <c r="L5442" s="365"/>
    </row>
    <row r="5443" spans="1:13" ht="11.25" customHeight="1" x14ac:dyDescent="0.2">
      <c r="A5443" s="320">
        <v>2024</v>
      </c>
      <c r="B5443" s="320">
        <v>8</v>
      </c>
      <c r="C5443" s="320">
        <v>8</v>
      </c>
      <c r="D5443" s="323">
        <f t="shared" si="612"/>
        <v>45512</v>
      </c>
      <c r="E5443" s="321">
        <f t="shared" ref="E5443" si="620">DATE(A5443,B5443,C5443)</f>
        <v>45512</v>
      </c>
      <c r="F5443" s="483"/>
      <c r="G5443" s="322" t="s">
        <v>86</v>
      </c>
      <c r="H5443" s="325"/>
      <c r="I5443" s="325"/>
      <c r="J5443" s="366" t="s">
        <v>1613</v>
      </c>
      <c r="K5443" s="367"/>
      <c r="L5443" s="367">
        <f>K5442</f>
        <v>32175</v>
      </c>
    </row>
    <row r="5444" spans="1:13" ht="11.25" customHeight="1" x14ac:dyDescent="0.2">
      <c r="A5444" s="358">
        <v>2024</v>
      </c>
      <c r="B5444" s="358">
        <v>8</v>
      </c>
      <c r="C5444" s="358">
        <v>8</v>
      </c>
      <c r="D5444" s="312">
        <f t="shared" si="612"/>
        <v>45512</v>
      </c>
      <c r="E5444" s="313">
        <f>DATE(A5444,B5444,C5444)</f>
        <v>45512</v>
      </c>
      <c r="F5444" s="482" t="s">
        <v>1713</v>
      </c>
      <c r="G5444" s="314" t="s">
        <v>86</v>
      </c>
      <c r="H5444" s="324"/>
      <c r="I5444" s="324"/>
      <c r="J5444" s="364" t="s">
        <v>1622</v>
      </c>
      <c r="K5444" s="365">
        <v>95075</v>
      </c>
      <c r="L5444" s="365"/>
    </row>
    <row r="5445" spans="1:13" ht="11.25" customHeight="1" x14ac:dyDescent="0.2">
      <c r="A5445" s="320">
        <v>2024</v>
      </c>
      <c r="B5445" s="320">
        <v>8</v>
      </c>
      <c r="C5445" s="320">
        <v>8</v>
      </c>
      <c r="D5445" s="323">
        <f t="shared" si="612"/>
        <v>45512</v>
      </c>
      <c r="E5445" s="321">
        <f t="shared" ref="E5445:E5464" si="621">DATE(A5445,B5445,C5445)</f>
        <v>45512</v>
      </c>
      <c r="F5445" s="483"/>
      <c r="G5445" s="322" t="s">
        <v>86</v>
      </c>
      <c r="H5445" s="325"/>
      <c r="I5445" s="325"/>
      <c r="J5445" s="366" t="s">
        <v>1614</v>
      </c>
      <c r="K5445" s="367"/>
      <c r="L5445" s="367">
        <f>K5444</f>
        <v>95075</v>
      </c>
    </row>
    <row r="5446" spans="1:13" ht="11.25" customHeight="1" x14ac:dyDescent="0.2">
      <c r="A5446" s="236">
        <v>2024</v>
      </c>
      <c r="B5446" s="236">
        <v>8</v>
      </c>
      <c r="C5446" s="236">
        <v>8</v>
      </c>
      <c r="D5446" s="237">
        <f t="shared" si="612"/>
        <v>45512</v>
      </c>
      <c r="E5446" s="238">
        <f t="shared" si="621"/>
        <v>45512</v>
      </c>
      <c r="F5446" s="476" t="s">
        <v>1118</v>
      </c>
      <c r="G5446" s="239" t="s">
        <v>86</v>
      </c>
      <c r="H5446" s="239"/>
      <c r="I5446" s="240"/>
      <c r="J5446" s="241" t="s">
        <v>98</v>
      </c>
      <c r="K5446" s="242">
        <v>9081136.9900000244</v>
      </c>
      <c r="L5446" s="242"/>
    </row>
    <row r="5447" spans="1:13" ht="11.25" customHeight="1" x14ac:dyDescent="0.2">
      <c r="A5447" s="243">
        <v>2024</v>
      </c>
      <c r="B5447" s="243">
        <v>8</v>
      </c>
      <c r="C5447" s="243">
        <v>8</v>
      </c>
      <c r="D5447" s="248">
        <f t="shared" si="612"/>
        <v>45512</v>
      </c>
      <c r="E5447" s="249">
        <f t="shared" si="621"/>
        <v>45512</v>
      </c>
      <c r="F5447" s="477"/>
      <c r="G5447" s="244" t="s">
        <v>86</v>
      </c>
      <c r="H5447" s="244"/>
      <c r="I5447" s="245"/>
      <c r="J5447" s="246" t="s">
        <v>82</v>
      </c>
      <c r="K5447" s="247"/>
      <c r="L5447" s="247">
        <f>K5446</f>
        <v>9081136.9900000244</v>
      </c>
    </row>
    <row r="5448" spans="1:13" ht="11.25" customHeight="1" x14ac:dyDescent="0.2">
      <c r="A5448" s="236">
        <v>2024</v>
      </c>
      <c r="B5448" s="236">
        <v>8</v>
      </c>
      <c r="C5448" s="236">
        <v>8</v>
      </c>
      <c r="D5448" s="237">
        <f t="shared" si="612"/>
        <v>45512</v>
      </c>
      <c r="E5448" s="238">
        <f t="shared" si="621"/>
        <v>45512</v>
      </c>
      <c r="F5448" s="476" t="s">
        <v>1120</v>
      </c>
      <c r="G5448" s="239" t="s">
        <v>86</v>
      </c>
      <c r="H5448" s="239"/>
      <c r="I5448" s="240"/>
      <c r="J5448" s="241" t="s">
        <v>87</v>
      </c>
      <c r="K5448" s="242">
        <v>2747.2527472527472</v>
      </c>
      <c r="L5448" s="242"/>
    </row>
    <row r="5449" spans="1:13" ht="11.25" customHeight="1" x14ac:dyDescent="0.2">
      <c r="A5449" s="243">
        <v>2024</v>
      </c>
      <c r="B5449" s="243">
        <v>8</v>
      </c>
      <c r="C5449" s="243">
        <v>8</v>
      </c>
      <c r="D5449" s="248">
        <f t="shared" ref="D5449:D5512" si="622">DATE(A5449,B5449,C5449)</f>
        <v>45512</v>
      </c>
      <c r="E5449" s="249">
        <f t="shared" si="621"/>
        <v>45512</v>
      </c>
      <c r="F5449" s="477"/>
      <c r="G5449" s="244" t="s">
        <v>86</v>
      </c>
      <c r="H5449" s="244"/>
      <c r="I5449" s="245"/>
      <c r="J5449" s="246" t="s">
        <v>64</v>
      </c>
      <c r="K5449" s="247"/>
      <c r="L5449" s="247">
        <v>2747.2527472527472</v>
      </c>
    </row>
    <row r="5450" spans="1:13" ht="11.25" customHeight="1" x14ac:dyDescent="0.2">
      <c r="A5450" s="236">
        <v>2024</v>
      </c>
      <c r="B5450" s="236">
        <v>8</v>
      </c>
      <c r="C5450" s="236">
        <v>8</v>
      </c>
      <c r="D5450" s="237">
        <f t="shared" si="622"/>
        <v>45512</v>
      </c>
      <c r="E5450" s="238">
        <f t="shared" si="621"/>
        <v>45512</v>
      </c>
      <c r="F5450" s="476" t="s">
        <v>1121</v>
      </c>
      <c r="G5450" s="239" t="s">
        <v>86</v>
      </c>
      <c r="H5450" s="239"/>
      <c r="I5450" s="240"/>
      <c r="J5450" s="241" t="s">
        <v>89</v>
      </c>
      <c r="K5450" s="242">
        <f>M5450</f>
        <v>76011.643403760434</v>
      </c>
      <c r="L5450" s="242"/>
      <c r="M5450" s="156">
        <v>76011.643403760434</v>
      </c>
    </row>
    <row r="5451" spans="1:13" ht="11.25" customHeight="1" x14ac:dyDescent="0.2">
      <c r="A5451" s="243">
        <v>2024</v>
      </c>
      <c r="B5451" s="243">
        <v>8</v>
      </c>
      <c r="C5451" s="243">
        <v>8</v>
      </c>
      <c r="D5451" s="248">
        <f t="shared" si="622"/>
        <v>45512</v>
      </c>
      <c r="E5451" s="249">
        <f t="shared" si="621"/>
        <v>45512</v>
      </c>
      <c r="F5451" s="477"/>
      <c r="G5451" s="244" t="s">
        <v>86</v>
      </c>
      <c r="H5451" s="244"/>
      <c r="I5451" s="245"/>
      <c r="J5451" s="246" t="s">
        <v>50</v>
      </c>
      <c r="K5451" s="247"/>
      <c r="L5451" s="247">
        <f>K5450</f>
        <v>76011.643403760434</v>
      </c>
      <c r="M5451" s="156">
        <v>3560.1975548034065</v>
      </c>
    </row>
    <row r="5452" spans="1:13" ht="11.25" customHeight="1" x14ac:dyDescent="0.2">
      <c r="A5452" s="236">
        <v>2024</v>
      </c>
      <c r="B5452" s="236">
        <v>8</v>
      </c>
      <c r="C5452" s="236">
        <v>8</v>
      </c>
      <c r="D5452" s="237">
        <f t="shared" si="622"/>
        <v>45512</v>
      </c>
      <c r="E5452" s="238">
        <f t="shared" si="621"/>
        <v>45512</v>
      </c>
      <c r="F5452" s="476" t="s">
        <v>1122</v>
      </c>
      <c r="G5452" s="239" t="s">
        <v>86</v>
      </c>
      <c r="H5452" s="239"/>
      <c r="I5452" s="240"/>
      <c r="J5452" s="241" t="s">
        <v>91</v>
      </c>
      <c r="K5452" s="242">
        <f>M5451</f>
        <v>3560.1975548034065</v>
      </c>
      <c r="L5452" s="242"/>
    </row>
    <row r="5453" spans="1:13" ht="11.25" customHeight="1" x14ac:dyDescent="0.2">
      <c r="A5453" s="243">
        <v>2024</v>
      </c>
      <c r="B5453" s="243">
        <v>8</v>
      </c>
      <c r="C5453" s="243">
        <v>8</v>
      </c>
      <c r="D5453" s="248">
        <f t="shared" si="622"/>
        <v>45512</v>
      </c>
      <c r="E5453" s="249">
        <f t="shared" si="621"/>
        <v>45512</v>
      </c>
      <c r="F5453" s="477"/>
      <c r="G5453" s="244" t="s">
        <v>86</v>
      </c>
      <c r="H5453" s="244"/>
      <c r="I5453" s="245"/>
      <c r="J5453" s="246" t="s">
        <v>51</v>
      </c>
      <c r="K5453" s="247"/>
      <c r="L5453" s="247">
        <f>K5452</f>
        <v>3560.1975548034065</v>
      </c>
    </row>
    <row r="5454" spans="1:13" ht="11.25" customHeight="1" x14ac:dyDescent="0.2">
      <c r="A5454" s="221">
        <v>2024</v>
      </c>
      <c r="B5454" s="221">
        <v>8</v>
      </c>
      <c r="C5454" s="231">
        <v>11</v>
      </c>
      <c r="D5454" s="231">
        <f t="shared" si="622"/>
        <v>45515</v>
      </c>
      <c r="E5454" s="233">
        <f t="shared" si="621"/>
        <v>45515</v>
      </c>
      <c r="F5454" s="478" t="s">
        <v>1762</v>
      </c>
      <c r="G5454" s="222" t="s">
        <v>1111</v>
      </c>
      <c r="H5454" s="223"/>
      <c r="I5454" s="223"/>
      <c r="J5454" s="224" t="s">
        <v>961</v>
      </c>
      <c r="K5454" s="225">
        <v>23860083.329999998</v>
      </c>
      <c r="L5454" s="225"/>
    </row>
    <row r="5455" spans="1:13" ht="11.25" customHeight="1" x14ac:dyDescent="0.2">
      <c r="A5455" s="226">
        <v>2024</v>
      </c>
      <c r="B5455" s="226">
        <v>8</v>
      </c>
      <c r="C5455" s="232">
        <v>11</v>
      </c>
      <c r="D5455" s="232">
        <f t="shared" si="622"/>
        <v>45515</v>
      </c>
      <c r="E5455" s="234">
        <f t="shared" si="621"/>
        <v>45515</v>
      </c>
      <c r="F5455" s="479"/>
      <c r="G5455" s="227" t="s">
        <v>1111</v>
      </c>
      <c r="H5455" s="228"/>
      <c r="I5455" s="228"/>
      <c r="J5455" s="229" t="s">
        <v>55</v>
      </c>
      <c r="K5455" s="230"/>
      <c r="L5455" s="230">
        <v>23860083.329999998</v>
      </c>
    </row>
    <row r="5456" spans="1:13" ht="11.25" customHeight="1" x14ac:dyDescent="0.2">
      <c r="A5456" s="221">
        <v>2024</v>
      </c>
      <c r="B5456" s="221">
        <v>8</v>
      </c>
      <c r="C5456" s="231">
        <v>11</v>
      </c>
      <c r="D5456" s="231">
        <f t="shared" si="622"/>
        <v>45515</v>
      </c>
      <c r="E5456" s="233">
        <f t="shared" si="621"/>
        <v>45515</v>
      </c>
      <c r="F5456" s="478" t="s">
        <v>1670</v>
      </c>
      <c r="G5456" s="222" t="s">
        <v>1111</v>
      </c>
      <c r="H5456" s="223"/>
      <c r="I5456" s="223"/>
      <c r="J5456" s="224" t="s">
        <v>63</v>
      </c>
      <c r="K5456" s="225">
        <v>100</v>
      </c>
      <c r="L5456" s="225"/>
    </row>
    <row r="5457" spans="1:12" ht="11.25" customHeight="1" x14ac:dyDescent="0.2">
      <c r="A5457" s="226">
        <v>2024</v>
      </c>
      <c r="B5457" s="226">
        <v>8</v>
      </c>
      <c r="C5457" s="232">
        <v>11</v>
      </c>
      <c r="D5457" s="232">
        <f t="shared" si="622"/>
        <v>45515</v>
      </c>
      <c r="E5457" s="234">
        <f t="shared" si="621"/>
        <v>45515</v>
      </c>
      <c r="F5457" s="479"/>
      <c r="G5457" s="227" t="s">
        <v>1111</v>
      </c>
      <c r="H5457" s="228"/>
      <c r="I5457" s="228"/>
      <c r="J5457" s="229" t="s">
        <v>55</v>
      </c>
      <c r="K5457" s="230"/>
      <c r="L5457" s="230">
        <v>100</v>
      </c>
    </row>
    <row r="5458" spans="1:12" ht="11.25" customHeight="1" x14ac:dyDescent="0.2">
      <c r="A5458" s="221">
        <v>2024</v>
      </c>
      <c r="B5458" s="221">
        <v>8</v>
      </c>
      <c r="C5458" s="221">
        <v>11</v>
      </c>
      <c r="D5458" s="221">
        <f t="shared" si="622"/>
        <v>45515</v>
      </c>
      <c r="E5458" s="233">
        <f t="shared" si="621"/>
        <v>45515</v>
      </c>
      <c r="F5458" s="478" t="s">
        <v>1770</v>
      </c>
      <c r="G5458" s="222" t="s">
        <v>86</v>
      </c>
      <c r="H5458" s="222"/>
      <c r="I5458" s="223"/>
      <c r="J5458" s="224" t="s">
        <v>80</v>
      </c>
      <c r="K5458" s="225">
        <v>5045566.5999999996</v>
      </c>
      <c r="L5458" s="225"/>
    </row>
    <row r="5459" spans="1:12" ht="11.25" customHeight="1" x14ac:dyDescent="0.2">
      <c r="A5459" s="164">
        <v>2024</v>
      </c>
      <c r="B5459" s="164">
        <v>8</v>
      </c>
      <c r="C5459" s="164">
        <v>11</v>
      </c>
      <c r="D5459" s="164">
        <f t="shared" si="622"/>
        <v>45515</v>
      </c>
      <c r="E5459" s="235">
        <f t="shared" si="621"/>
        <v>45515</v>
      </c>
      <c r="F5459" s="480"/>
      <c r="G5459" s="208" t="s">
        <v>86</v>
      </c>
      <c r="H5459" s="208"/>
      <c r="J5459" s="165" t="s">
        <v>960</v>
      </c>
      <c r="K5459" s="205">
        <v>19344.3</v>
      </c>
      <c r="L5459" s="205"/>
    </row>
    <row r="5460" spans="1:12" ht="11.25" customHeight="1" x14ac:dyDescent="0.2">
      <c r="A5460" s="164">
        <v>2024</v>
      </c>
      <c r="B5460" s="164">
        <v>8</v>
      </c>
      <c r="C5460" s="164">
        <v>11</v>
      </c>
      <c r="D5460" s="164">
        <f t="shared" si="622"/>
        <v>45515</v>
      </c>
      <c r="E5460" s="235">
        <f t="shared" si="621"/>
        <v>45515</v>
      </c>
      <c r="F5460" s="480"/>
      <c r="G5460" s="208" t="s">
        <v>86</v>
      </c>
      <c r="H5460" s="208"/>
      <c r="J5460" s="165" t="s">
        <v>199</v>
      </c>
      <c r="K5460" s="263">
        <v>636177</v>
      </c>
      <c r="L5460" s="205"/>
    </row>
    <row r="5461" spans="1:12" ht="11.25" customHeight="1" x14ac:dyDescent="0.2">
      <c r="A5461" s="164">
        <v>2024</v>
      </c>
      <c r="B5461" s="164">
        <v>8</v>
      </c>
      <c r="C5461" s="164">
        <v>11</v>
      </c>
      <c r="D5461" s="164">
        <f t="shared" si="622"/>
        <v>45515</v>
      </c>
      <c r="E5461" s="235">
        <f t="shared" si="621"/>
        <v>45515</v>
      </c>
      <c r="F5461" s="480"/>
      <c r="G5461" s="208" t="s">
        <v>86</v>
      </c>
      <c r="H5461" s="208"/>
      <c r="J5461" s="165" t="s">
        <v>200</v>
      </c>
      <c r="K5461" s="263"/>
      <c r="L5461" s="263">
        <v>1005389.86</v>
      </c>
    </row>
    <row r="5462" spans="1:12" ht="11.25" customHeight="1" x14ac:dyDescent="0.2">
      <c r="A5462" s="226">
        <v>2024</v>
      </c>
      <c r="B5462" s="226">
        <v>8</v>
      </c>
      <c r="C5462" s="226">
        <v>11</v>
      </c>
      <c r="D5462" s="226">
        <f t="shared" si="622"/>
        <v>45515</v>
      </c>
      <c r="E5462" s="234">
        <f t="shared" si="621"/>
        <v>45515</v>
      </c>
      <c r="F5462" s="479"/>
      <c r="G5462" s="227" t="s">
        <v>86</v>
      </c>
      <c r="H5462" s="228"/>
      <c r="I5462" s="228"/>
      <c r="J5462" s="229" t="s">
        <v>80</v>
      </c>
      <c r="K5462" s="230"/>
      <c r="L5462" s="230">
        <v>4695698.04</v>
      </c>
    </row>
    <row r="5463" spans="1:12" ht="11.25" customHeight="1" x14ac:dyDescent="0.2">
      <c r="A5463" s="221">
        <v>2024</v>
      </c>
      <c r="B5463" s="221">
        <v>8</v>
      </c>
      <c r="C5463" s="231">
        <v>11</v>
      </c>
      <c r="D5463" s="231">
        <f t="shared" si="622"/>
        <v>45515</v>
      </c>
      <c r="E5463" s="233">
        <f t="shared" si="621"/>
        <v>45515</v>
      </c>
      <c r="F5463" s="478" t="s">
        <v>1758</v>
      </c>
      <c r="G5463" s="222" t="s">
        <v>1111</v>
      </c>
      <c r="H5463" s="223"/>
      <c r="I5463" s="223"/>
      <c r="J5463" s="224" t="s">
        <v>55</v>
      </c>
      <c r="K5463" s="225">
        <v>1154718.45</v>
      </c>
      <c r="L5463" s="225"/>
    </row>
    <row r="5464" spans="1:12" ht="11.25" customHeight="1" x14ac:dyDescent="0.2">
      <c r="A5464" s="226">
        <v>2024</v>
      </c>
      <c r="B5464" s="226">
        <v>8</v>
      </c>
      <c r="C5464" s="232">
        <v>11</v>
      </c>
      <c r="D5464" s="232">
        <f t="shared" si="622"/>
        <v>45515</v>
      </c>
      <c r="E5464" s="234">
        <f t="shared" si="621"/>
        <v>45515</v>
      </c>
      <c r="F5464" s="479"/>
      <c r="G5464" s="227" t="s">
        <v>1111</v>
      </c>
      <c r="H5464" s="228"/>
      <c r="I5464" s="228"/>
      <c r="J5464" s="229" t="s">
        <v>199</v>
      </c>
      <c r="K5464" s="230"/>
      <c r="L5464" s="230">
        <v>1154718.45</v>
      </c>
    </row>
    <row r="5465" spans="1:12" ht="11.25" customHeight="1" x14ac:dyDescent="0.2">
      <c r="A5465" s="221">
        <v>2024</v>
      </c>
      <c r="B5465" s="221">
        <v>8</v>
      </c>
      <c r="C5465" s="221">
        <v>12</v>
      </c>
      <c r="D5465" s="221">
        <f t="shared" si="622"/>
        <v>45516</v>
      </c>
      <c r="E5465" s="233">
        <f t="shared" ref="E5465:E5473" si="623">DATE(A5465,B5465,C5465)</f>
        <v>45516</v>
      </c>
      <c r="F5465" s="478" t="s">
        <v>1770</v>
      </c>
      <c r="G5465" s="222" t="s">
        <v>86</v>
      </c>
      <c r="H5465" s="222"/>
      <c r="I5465" s="223"/>
      <c r="J5465" s="224" t="s">
        <v>80</v>
      </c>
      <c r="K5465" s="225">
        <v>1309975</v>
      </c>
      <c r="L5465" s="225"/>
    </row>
    <row r="5466" spans="1:12" ht="11.25" customHeight="1" x14ac:dyDescent="0.2">
      <c r="A5466" s="164">
        <v>2024</v>
      </c>
      <c r="B5466" s="164">
        <v>8</v>
      </c>
      <c r="C5466" s="164">
        <v>12</v>
      </c>
      <c r="D5466" s="164">
        <f t="shared" si="622"/>
        <v>45516</v>
      </c>
      <c r="E5466" s="235">
        <f t="shared" si="623"/>
        <v>45516</v>
      </c>
      <c r="F5466" s="480"/>
      <c r="G5466" s="208" t="s">
        <v>86</v>
      </c>
      <c r="H5466" s="208"/>
      <c r="J5466" s="165" t="s">
        <v>960</v>
      </c>
      <c r="K5466" s="205">
        <v>30180.2</v>
      </c>
      <c r="L5466" s="205"/>
    </row>
    <row r="5467" spans="1:12" ht="11.25" customHeight="1" x14ac:dyDescent="0.2">
      <c r="A5467" s="164">
        <v>2024</v>
      </c>
      <c r="B5467" s="164">
        <v>8</v>
      </c>
      <c r="C5467" s="164">
        <v>12</v>
      </c>
      <c r="D5467" s="164">
        <f t="shared" si="622"/>
        <v>45516</v>
      </c>
      <c r="E5467" s="235">
        <f t="shared" si="623"/>
        <v>45516</v>
      </c>
      <c r="F5467" s="480"/>
      <c r="G5467" s="208" t="s">
        <v>86</v>
      </c>
      <c r="H5467" s="208"/>
      <c r="J5467" s="165" t="s">
        <v>199</v>
      </c>
      <c r="K5467" s="263">
        <v>14116285</v>
      </c>
      <c r="L5467" s="205"/>
    </row>
    <row r="5468" spans="1:12" ht="11.25" customHeight="1" x14ac:dyDescent="0.2">
      <c r="A5468" s="164">
        <v>2024</v>
      </c>
      <c r="B5468" s="164">
        <v>8</v>
      </c>
      <c r="C5468" s="164">
        <v>12</v>
      </c>
      <c r="D5468" s="164">
        <f t="shared" si="622"/>
        <v>45516</v>
      </c>
      <c r="E5468" s="235">
        <f t="shared" si="623"/>
        <v>45516</v>
      </c>
      <c r="F5468" s="480"/>
      <c r="G5468" s="208" t="s">
        <v>86</v>
      </c>
      <c r="H5468" s="208"/>
      <c r="J5468" s="165" t="s">
        <v>200</v>
      </c>
      <c r="K5468" s="263"/>
      <c r="L5468" s="263">
        <v>1763769.38</v>
      </c>
    </row>
    <row r="5469" spans="1:12" ht="11.25" customHeight="1" x14ac:dyDescent="0.2">
      <c r="A5469" s="226">
        <v>2024</v>
      </c>
      <c r="B5469" s="226">
        <v>8</v>
      </c>
      <c r="C5469" s="226">
        <v>12</v>
      </c>
      <c r="D5469" s="226">
        <f t="shared" si="622"/>
        <v>45516</v>
      </c>
      <c r="E5469" s="234">
        <f t="shared" si="623"/>
        <v>45516</v>
      </c>
      <c r="F5469" s="479"/>
      <c r="G5469" s="227" t="s">
        <v>86</v>
      </c>
      <c r="H5469" s="228"/>
      <c r="I5469" s="228"/>
      <c r="J5469" s="229" t="s">
        <v>80</v>
      </c>
      <c r="K5469" s="230"/>
      <c r="L5469" s="230">
        <v>13692670.82</v>
      </c>
    </row>
    <row r="5470" spans="1:12" ht="11.25" customHeight="1" x14ac:dyDescent="0.2">
      <c r="A5470" s="221">
        <v>2024</v>
      </c>
      <c r="B5470" s="221">
        <v>8</v>
      </c>
      <c r="C5470" s="231">
        <v>12</v>
      </c>
      <c r="D5470" s="231">
        <f t="shared" si="622"/>
        <v>45516</v>
      </c>
      <c r="E5470" s="233">
        <f t="shared" si="623"/>
        <v>45516</v>
      </c>
      <c r="F5470" s="478" t="s">
        <v>1753</v>
      </c>
      <c r="G5470" s="222" t="s">
        <v>1111</v>
      </c>
      <c r="H5470" s="223"/>
      <c r="I5470" s="223"/>
      <c r="J5470" s="224" t="s">
        <v>63</v>
      </c>
      <c r="K5470" s="225">
        <v>100</v>
      </c>
      <c r="L5470" s="225"/>
    </row>
    <row r="5471" spans="1:12" ht="11.25" customHeight="1" x14ac:dyDescent="0.2">
      <c r="A5471" s="226">
        <v>2024</v>
      </c>
      <c r="B5471" s="226">
        <v>8</v>
      </c>
      <c r="C5471" s="232">
        <v>12</v>
      </c>
      <c r="D5471" s="232">
        <f t="shared" si="622"/>
        <v>45516</v>
      </c>
      <c r="E5471" s="234">
        <f t="shared" si="623"/>
        <v>45516</v>
      </c>
      <c r="F5471" s="479"/>
      <c r="G5471" s="227" t="s">
        <v>1111</v>
      </c>
      <c r="H5471" s="228"/>
      <c r="I5471" s="228"/>
      <c r="J5471" s="229" t="s">
        <v>55</v>
      </c>
      <c r="K5471" s="230"/>
      <c r="L5471" s="230">
        <v>100</v>
      </c>
    </row>
    <row r="5472" spans="1:12" ht="11.25" customHeight="1" x14ac:dyDescent="0.2">
      <c r="A5472" s="221">
        <v>2024</v>
      </c>
      <c r="B5472" s="221">
        <v>8</v>
      </c>
      <c r="C5472" s="231">
        <v>13</v>
      </c>
      <c r="D5472" s="231">
        <f t="shared" si="622"/>
        <v>45517</v>
      </c>
      <c r="E5472" s="233">
        <f t="shared" si="623"/>
        <v>45517</v>
      </c>
      <c r="F5472" s="478" t="s">
        <v>1754</v>
      </c>
      <c r="G5472" s="222" t="s">
        <v>1111</v>
      </c>
      <c r="H5472" s="223"/>
      <c r="I5472" s="223"/>
      <c r="J5472" s="224" t="s">
        <v>55</v>
      </c>
      <c r="K5472" s="225">
        <v>21874.81</v>
      </c>
      <c r="L5472" s="225"/>
    </row>
    <row r="5473" spans="1:12" ht="11.25" customHeight="1" x14ac:dyDescent="0.2">
      <c r="A5473" s="226">
        <v>2024</v>
      </c>
      <c r="B5473" s="226">
        <v>8</v>
      </c>
      <c r="C5473" s="232">
        <v>13</v>
      </c>
      <c r="D5473" s="232">
        <f t="shared" si="622"/>
        <v>45517</v>
      </c>
      <c r="E5473" s="234">
        <f t="shared" si="623"/>
        <v>45517</v>
      </c>
      <c r="F5473" s="479"/>
      <c r="G5473" s="227" t="s">
        <v>1111</v>
      </c>
      <c r="H5473" s="228"/>
      <c r="I5473" s="228"/>
      <c r="J5473" s="229" t="s">
        <v>174</v>
      </c>
      <c r="K5473" s="230"/>
      <c r="L5473" s="230">
        <v>21874.81</v>
      </c>
    </row>
    <row r="5474" spans="1:12" ht="11.25" customHeight="1" x14ac:dyDescent="0.2">
      <c r="A5474" s="221">
        <v>2024</v>
      </c>
      <c r="B5474" s="221">
        <v>8</v>
      </c>
      <c r="C5474" s="221">
        <v>13</v>
      </c>
      <c r="D5474" s="221">
        <f t="shared" si="622"/>
        <v>45517</v>
      </c>
      <c r="E5474" s="233">
        <f t="shared" ref="E5474:E5483" si="624">DATE(A5474,B5474,C5474)</f>
        <v>45517</v>
      </c>
      <c r="F5474" s="478" t="s">
        <v>1770</v>
      </c>
      <c r="G5474" s="222" t="s">
        <v>86</v>
      </c>
      <c r="H5474" s="222"/>
      <c r="I5474" s="223"/>
      <c r="J5474" s="224" t="s">
        <v>80</v>
      </c>
      <c r="K5474" s="225">
        <v>4655500</v>
      </c>
      <c r="L5474" s="225"/>
    </row>
    <row r="5475" spans="1:12" ht="11.25" customHeight="1" x14ac:dyDescent="0.2">
      <c r="A5475" s="164">
        <v>2024</v>
      </c>
      <c r="B5475" s="164">
        <v>8</v>
      </c>
      <c r="C5475" s="164">
        <v>13</v>
      </c>
      <c r="D5475" s="164">
        <f t="shared" si="622"/>
        <v>45517</v>
      </c>
      <c r="E5475" s="235">
        <f t="shared" si="624"/>
        <v>45517</v>
      </c>
      <c r="F5475" s="480"/>
      <c r="G5475" s="208" t="s">
        <v>86</v>
      </c>
      <c r="H5475" s="208"/>
      <c r="J5475" s="165" t="s">
        <v>960</v>
      </c>
      <c r="K5475" s="205">
        <v>24986.701300000001</v>
      </c>
      <c r="L5475" s="205"/>
    </row>
    <row r="5476" spans="1:12" ht="11.25" customHeight="1" x14ac:dyDescent="0.2">
      <c r="A5476" s="164">
        <v>2024</v>
      </c>
      <c r="B5476" s="164">
        <v>8</v>
      </c>
      <c r="C5476" s="164">
        <v>13</v>
      </c>
      <c r="D5476" s="164">
        <f t="shared" si="622"/>
        <v>45517</v>
      </c>
      <c r="E5476" s="235">
        <f t="shared" si="624"/>
        <v>45517</v>
      </c>
      <c r="F5476" s="480"/>
      <c r="G5476" s="208" t="s">
        <v>86</v>
      </c>
      <c r="H5476" s="208"/>
      <c r="J5476" s="165" t="s">
        <v>199</v>
      </c>
      <c r="K5476" s="263">
        <v>4545314</v>
      </c>
      <c r="L5476" s="205"/>
    </row>
    <row r="5477" spans="1:12" ht="11.25" customHeight="1" x14ac:dyDescent="0.2">
      <c r="A5477" s="164">
        <v>2024</v>
      </c>
      <c r="B5477" s="164">
        <v>8</v>
      </c>
      <c r="C5477" s="164">
        <v>13</v>
      </c>
      <c r="D5477" s="164">
        <f t="shared" si="622"/>
        <v>45517</v>
      </c>
      <c r="E5477" s="235">
        <f t="shared" si="624"/>
        <v>45517</v>
      </c>
      <c r="F5477" s="480"/>
      <c r="G5477" s="208" t="s">
        <v>86</v>
      </c>
      <c r="H5477" s="208"/>
      <c r="J5477" s="165" t="s">
        <v>200</v>
      </c>
      <c r="K5477" s="263"/>
      <c r="L5477" s="263">
        <v>85639.77</v>
      </c>
    </row>
    <row r="5478" spans="1:12" ht="11.25" customHeight="1" x14ac:dyDescent="0.2">
      <c r="A5478" s="226">
        <v>2024</v>
      </c>
      <c r="B5478" s="226">
        <v>8</v>
      </c>
      <c r="C5478" s="226">
        <v>13</v>
      </c>
      <c r="D5478" s="226">
        <f t="shared" si="622"/>
        <v>45517</v>
      </c>
      <c r="E5478" s="234">
        <f t="shared" si="624"/>
        <v>45517</v>
      </c>
      <c r="F5478" s="479"/>
      <c r="G5478" s="227" t="s">
        <v>86</v>
      </c>
      <c r="H5478" s="228"/>
      <c r="I5478" s="228"/>
      <c r="J5478" s="229" t="s">
        <v>80</v>
      </c>
      <c r="K5478" s="230"/>
      <c r="L5478" s="230">
        <v>9140160.9299999997</v>
      </c>
    </row>
    <row r="5479" spans="1:12" ht="11.25" customHeight="1" x14ac:dyDescent="0.2">
      <c r="A5479" s="221">
        <v>2024</v>
      </c>
      <c r="B5479" s="221">
        <v>8</v>
      </c>
      <c r="C5479" s="231">
        <v>13</v>
      </c>
      <c r="D5479" s="231">
        <f t="shared" si="622"/>
        <v>45517</v>
      </c>
      <c r="E5479" s="233">
        <f t="shared" si="624"/>
        <v>45517</v>
      </c>
      <c r="F5479" s="478" t="s">
        <v>1590</v>
      </c>
      <c r="G5479" s="222" t="s">
        <v>1111</v>
      </c>
      <c r="H5479" s="223"/>
      <c r="I5479" s="223"/>
      <c r="J5479" s="224" t="s">
        <v>55</v>
      </c>
      <c r="K5479" s="225">
        <v>636177</v>
      </c>
      <c r="L5479" s="225"/>
    </row>
    <row r="5480" spans="1:12" ht="11.25" customHeight="1" x14ac:dyDescent="0.2">
      <c r="A5480" s="226">
        <v>2024</v>
      </c>
      <c r="B5480" s="226">
        <v>8</v>
      </c>
      <c r="C5480" s="232">
        <v>13</v>
      </c>
      <c r="D5480" s="232">
        <f t="shared" si="622"/>
        <v>45517</v>
      </c>
      <c r="E5480" s="234">
        <f t="shared" si="624"/>
        <v>45517</v>
      </c>
      <c r="F5480" s="479"/>
      <c r="G5480" s="227" t="s">
        <v>1111</v>
      </c>
      <c r="H5480" s="228"/>
      <c r="I5480" s="228"/>
      <c r="J5480" s="229" t="s">
        <v>199</v>
      </c>
      <c r="K5480" s="230"/>
      <c r="L5480" s="230">
        <v>636177</v>
      </c>
    </row>
    <row r="5481" spans="1:12" ht="11.25" customHeight="1" x14ac:dyDescent="0.2">
      <c r="A5481" s="221">
        <v>2024</v>
      </c>
      <c r="B5481" s="221">
        <v>8</v>
      </c>
      <c r="C5481" s="231">
        <v>13</v>
      </c>
      <c r="D5481" s="231">
        <f t="shared" si="622"/>
        <v>45517</v>
      </c>
      <c r="E5481" s="233">
        <f t="shared" si="624"/>
        <v>45517</v>
      </c>
      <c r="F5481" s="478" t="s">
        <v>1115</v>
      </c>
      <c r="G5481" s="222" t="s">
        <v>1111</v>
      </c>
      <c r="H5481" s="223"/>
      <c r="I5481" s="223" t="s">
        <v>609</v>
      </c>
      <c r="J5481" s="224" t="s">
        <v>14</v>
      </c>
      <c r="K5481" s="167">
        <v>461470</v>
      </c>
      <c r="L5481" s="225"/>
    </row>
    <row r="5482" spans="1:12" ht="11.25" customHeight="1" x14ac:dyDescent="0.2">
      <c r="A5482" s="164">
        <v>2024</v>
      </c>
      <c r="B5482" s="164">
        <v>8</v>
      </c>
      <c r="C5482" s="156">
        <v>13</v>
      </c>
      <c r="D5482" s="156">
        <f t="shared" si="622"/>
        <v>45517</v>
      </c>
      <c r="E5482" s="235">
        <f t="shared" si="624"/>
        <v>45517</v>
      </c>
      <c r="F5482" s="480"/>
      <c r="G5482" s="208" t="s">
        <v>1111</v>
      </c>
      <c r="I5482" s="206" t="s">
        <v>609</v>
      </c>
      <c r="J5482" s="165" t="s">
        <v>1112</v>
      </c>
      <c r="K5482" s="205">
        <v>38530</v>
      </c>
      <c r="L5482" s="156"/>
    </row>
    <row r="5483" spans="1:12" ht="11.25" customHeight="1" x14ac:dyDescent="0.2">
      <c r="A5483" s="226">
        <v>2024</v>
      </c>
      <c r="B5483" s="226">
        <v>8</v>
      </c>
      <c r="C5483" s="232">
        <v>13</v>
      </c>
      <c r="D5483" s="232">
        <f t="shared" si="622"/>
        <v>45517</v>
      </c>
      <c r="E5483" s="234">
        <f t="shared" si="624"/>
        <v>45517</v>
      </c>
      <c r="F5483" s="479"/>
      <c r="G5483" s="227" t="s">
        <v>1111</v>
      </c>
      <c r="H5483" s="228"/>
      <c r="I5483" s="228" t="s">
        <v>609</v>
      </c>
      <c r="J5483" s="229" t="s">
        <v>55</v>
      </c>
      <c r="K5483" s="230"/>
      <c r="L5483" s="230">
        <v>500000</v>
      </c>
    </row>
    <row r="5484" spans="1:12" ht="11.25" customHeight="1" x14ac:dyDescent="0.2">
      <c r="A5484" s="221">
        <v>2024</v>
      </c>
      <c r="B5484" s="221">
        <v>8</v>
      </c>
      <c r="C5484" s="221">
        <v>14</v>
      </c>
      <c r="D5484" s="221">
        <f t="shared" si="622"/>
        <v>45518</v>
      </c>
      <c r="E5484" s="233">
        <f t="shared" ref="E5484:E5490" si="625">DATE(A5484,B5484,C5484)</f>
        <v>45518</v>
      </c>
      <c r="F5484" s="478" t="s">
        <v>1770</v>
      </c>
      <c r="G5484" s="222" t="s">
        <v>86</v>
      </c>
      <c r="H5484" s="222"/>
      <c r="I5484" s="223"/>
      <c r="J5484" s="224" t="s">
        <v>80</v>
      </c>
      <c r="K5484" s="225">
        <v>3695049.6</v>
      </c>
      <c r="L5484" s="225"/>
    </row>
    <row r="5485" spans="1:12" ht="11.25" customHeight="1" x14ac:dyDescent="0.2">
      <c r="A5485" s="164">
        <v>2024</v>
      </c>
      <c r="B5485" s="164">
        <v>8</v>
      </c>
      <c r="C5485" s="164">
        <v>14</v>
      </c>
      <c r="D5485" s="164">
        <f t="shared" si="622"/>
        <v>45518</v>
      </c>
      <c r="E5485" s="235">
        <f t="shared" si="625"/>
        <v>45518</v>
      </c>
      <c r="F5485" s="480"/>
      <c r="G5485" s="208" t="s">
        <v>86</v>
      </c>
      <c r="H5485" s="208"/>
      <c r="J5485" s="165" t="s">
        <v>960</v>
      </c>
      <c r="K5485" s="205">
        <v>9569.6761999999999</v>
      </c>
      <c r="L5485" s="205"/>
    </row>
    <row r="5486" spans="1:12" ht="11.25" customHeight="1" x14ac:dyDescent="0.2">
      <c r="A5486" s="164">
        <v>2024</v>
      </c>
      <c r="B5486" s="164">
        <v>8</v>
      </c>
      <c r="C5486" s="164">
        <v>14</v>
      </c>
      <c r="D5486" s="164">
        <f t="shared" si="622"/>
        <v>45518</v>
      </c>
      <c r="E5486" s="235">
        <f t="shared" si="625"/>
        <v>45518</v>
      </c>
      <c r="F5486" s="480"/>
      <c r="G5486" s="208" t="s">
        <v>86</v>
      </c>
      <c r="H5486" s="208"/>
      <c r="J5486" s="165" t="s">
        <v>961</v>
      </c>
      <c r="K5486" s="263"/>
      <c r="L5486" s="205">
        <v>2083182.08</v>
      </c>
    </row>
    <row r="5487" spans="1:12" ht="11.25" customHeight="1" x14ac:dyDescent="0.2">
      <c r="A5487" s="164">
        <v>2024</v>
      </c>
      <c r="B5487" s="164">
        <v>8</v>
      </c>
      <c r="C5487" s="164">
        <v>14</v>
      </c>
      <c r="D5487" s="164">
        <f t="shared" si="622"/>
        <v>45518</v>
      </c>
      <c r="E5487" s="235">
        <f t="shared" si="625"/>
        <v>45518</v>
      </c>
      <c r="F5487" s="480"/>
      <c r="G5487" s="208" t="s">
        <v>86</v>
      </c>
      <c r="H5487" s="208"/>
      <c r="J5487" s="165" t="s">
        <v>200</v>
      </c>
      <c r="K5487" s="263"/>
      <c r="L5487" s="263">
        <v>321445.48</v>
      </c>
    </row>
    <row r="5488" spans="1:12" ht="11.25" customHeight="1" x14ac:dyDescent="0.2">
      <c r="A5488" s="226">
        <v>2024</v>
      </c>
      <c r="B5488" s="226">
        <v>8</v>
      </c>
      <c r="C5488" s="226">
        <v>14</v>
      </c>
      <c r="D5488" s="226">
        <f t="shared" si="622"/>
        <v>45518</v>
      </c>
      <c r="E5488" s="234">
        <f t="shared" si="625"/>
        <v>45518</v>
      </c>
      <c r="F5488" s="479"/>
      <c r="G5488" s="227" t="s">
        <v>86</v>
      </c>
      <c r="H5488" s="228"/>
      <c r="I5488" s="228"/>
      <c r="J5488" s="229" t="s">
        <v>80</v>
      </c>
      <c r="K5488" s="230"/>
      <c r="L5488" s="230">
        <v>1299991.72</v>
      </c>
    </row>
    <row r="5489" spans="1:12" ht="11.25" customHeight="1" x14ac:dyDescent="0.2">
      <c r="A5489" s="221">
        <v>2024</v>
      </c>
      <c r="B5489" s="221">
        <v>8</v>
      </c>
      <c r="C5489" s="221">
        <v>14</v>
      </c>
      <c r="D5489" s="231">
        <f t="shared" si="622"/>
        <v>45518</v>
      </c>
      <c r="E5489" s="233">
        <f t="shared" si="625"/>
        <v>45518</v>
      </c>
      <c r="F5489" s="478" t="s">
        <v>1773</v>
      </c>
      <c r="G5489" s="222" t="s">
        <v>1111</v>
      </c>
      <c r="H5489" s="222"/>
      <c r="I5489" s="223"/>
      <c r="J5489" s="224" t="s">
        <v>1615</v>
      </c>
      <c r="K5489" s="357">
        <v>4756488.93</v>
      </c>
      <c r="L5489" s="225"/>
    </row>
    <row r="5490" spans="1:12" ht="11.25" customHeight="1" x14ac:dyDescent="0.2">
      <c r="A5490" s="226">
        <v>2024</v>
      </c>
      <c r="B5490" s="226">
        <v>8</v>
      </c>
      <c r="C5490" s="226">
        <v>14</v>
      </c>
      <c r="D5490" s="226">
        <f t="shared" si="622"/>
        <v>45518</v>
      </c>
      <c r="E5490" s="234">
        <f t="shared" si="625"/>
        <v>45518</v>
      </c>
      <c r="F5490" s="479"/>
      <c r="G5490" s="227" t="s">
        <v>1111</v>
      </c>
      <c r="H5490" s="227"/>
      <c r="I5490" s="228"/>
      <c r="J5490" s="229" t="s">
        <v>55</v>
      </c>
      <c r="K5490" s="294"/>
      <c r="L5490" s="230">
        <v>4756488.93</v>
      </c>
    </row>
    <row r="5491" spans="1:12" ht="11.25" customHeight="1" x14ac:dyDescent="0.2">
      <c r="A5491" s="221">
        <v>2024</v>
      </c>
      <c r="B5491" s="221">
        <v>8</v>
      </c>
      <c r="C5491" s="221">
        <v>14</v>
      </c>
      <c r="D5491" s="231">
        <f t="shared" si="622"/>
        <v>45518</v>
      </c>
      <c r="E5491" s="233">
        <f t="shared" ref="E5491:E5494" si="626">DATE(A5491,B5491,C5491)</f>
        <v>45518</v>
      </c>
      <c r="F5491" s="478" t="s">
        <v>1773</v>
      </c>
      <c r="G5491" s="222" t="s">
        <v>1111</v>
      </c>
      <c r="H5491" s="222"/>
      <c r="I5491" s="223"/>
      <c r="J5491" s="224" t="s">
        <v>1615</v>
      </c>
      <c r="K5491" s="357">
        <v>11415573.439999999</v>
      </c>
      <c r="L5491" s="225"/>
    </row>
    <row r="5492" spans="1:12" ht="11.25" customHeight="1" x14ac:dyDescent="0.2">
      <c r="A5492" s="226">
        <v>2024</v>
      </c>
      <c r="B5492" s="226">
        <v>8</v>
      </c>
      <c r="C5492" s="226">
        <v>14</v>
      </c>
      <c r="D5492" s="226">
        <f t="shared" si="622"/>
        <v>45518</v>
      </c>
      <c r="E5492" s="234">
        <f t="shared" si="626"/>
        <v>45518</v>
      </c>
      <c r="F5492" s="479"/>
      <c r="G5492" s="227" t="s">
        <v>1111</v>
      </c>
      <c r="H5492" s="227"/>
      <c r="I5492" s="228"/>
      <c r="J5492" s="229" t="s">
        <v>55</v>
      </c>
      <c r="K5492" s="294"/>
      <c r="L5492" s="230">
        <v>11415573.439999999</v>
      </c>
    </row>
    <row r="5493" spans="1:12" ht="11.25" customHeight="1" x14ac:dyDescent="0.2">
      <c r="A5493" s="221">
        <v>2024</v>
      </c>
      <c r="B5493" s="221">
        <v>8</v>
      </c>
      <c r="C5493" s="231">
        <v>14</v>
      </c>
      <c r="D5493" s="231">
        <f t="shared" si="622"/>
        <v>45518</v>
      </c>
      <c r="E5493" s="233">
        <f t="shared" si="626"/>
        <v>45518</v>
      </c>
      <c r="F5493" s="478" t="s">
        <v>1590</v>
      </c>
      <c r="G5493" s="222" t="s">
        <v>1111</v>
      </c>
      <c r="H5493" s="223"/>
      <c r="I5493" s="223"/>
      <c r="J5493" s="224" t="s">
        <v>55</v>
      </c>
      <c r="K5493" s="225">
        <v>14116285</v>
      </c>
      <c r="L5493" s="225"/>
    </row>
    <row r="5494" spans="1:12" ht="11.25" customHeight="1" x14ac:dyDescent="0.2">
      <c r="A5494" s="226">
        <v>2024</v>
      </c>
      <c r="B5494" s="226">
        <v>8</v>
      </c>
      <c r="C5494" s="232">
        <v>14</v>
      </c>
      <c r="D5494" s="232">
        <f t="shared" si="622"/>
        <v>45518</v>
      </c>
      <c r="E5494" s="234">
        <f t="shared" si="626"/>
        <v>45518</v>
      </c>
      <c r="F5494" s="479"/>
      <c r="G5494" s="227" t="s">
        <v>1111</v>
      </c>
      <c r="H5494" s="228"/>
      <c r="I5494" s="228"/>
      <c r="J5494" s="229" t="s">
        <v>199</v>
      </c>
      <c r="K5494" s="230"/>
      <c r="L5494" s="230">
        <v>14116285</v>
      </c>
    </row>
    <row r="5495" spans="1:12" ht="11.25" customHeight="1" x14ac:dyDescent="0.2">
      <c r="A5495" s="221">
        <v>2024</v>
      </c>
      <c r="B5495" s="221">
        <v>8</v>
      </c>
      <c r="C5495" s="231">
        <v>14</v>
      </c>
      <c r="D5495" s="231">
        <f t="shared" si="622"/>
        <v>45518</v>
      </c>
      <c r="E5495" s="233">
        <f>DATE(A5495,B5495,C5495)</f>
        <v>45518</v>
      </c>
      <c r="F5495" s="478" t="s">
        <v>1780</v>
      </c>
      <c r="G5495" s="222" t="s">
        <v>1111</v>
      </c>
      <c r="H5495" s="223"/>
      <c r="I5495" s="223"/>
      <c r="J5495" s="224" t="s">
        <v>1708</v>
      </c>
      <c r="K5495" s="225">
        <v>563.5</v>
      </c>
      <c r="L5495" s="225"/>
    </row>
    <row r="5496" spans="1:12" ht="11.25" customHeight="1" x14ac:dyDescent="0.2">
      <c r="A5496" s="164">
        <v>2024</v>
      </c>
      <c r="B5496" s="164">
        <v>8</v>
      </c>
      <c r="C5496" s="156">
        <v>14</v>
      </c>
      <c r="D5496" s="156">
        <f t="shared" si="622"/>
        <v>45518</v>
      </c>
      <c r="E5496" s="235">
        <f>DATE(A5496,B5496,C5496)</f>
        <v>45518</v>
      </c>
      <c r="F5496" s="480"/>
      <c r="G5496" s="208" t="s">
        <v>1111</v>
      </c>
      <c r="J5496" s="165" t="s">
        <v>1707</v>
      </c>
      <c r="K5496" s="205">
        <v>150</v>
      </c>
      <c r="L5496" s="205"/>
    </row>
    <row r="5497" spans="1:12" ht="11.25" customHeight="1" x14ac:dyDescent="0.2">
      <c r="A5497" s="226">
        <v>2024</v>
      </c>
      <c r="B5497" s="226">
        <v>8</v>
      </c>
      <c r="C5497" s="232">
        <v>14</v>
      </c>
      <c r="D5497" s="232">
        <f t="shared" si="622"/>
        <v>45518</v>
      </c>
      <c r="E5497" s="234">
        <f>DATE(A5497,B5497,C5497)</f>
        <v>45518</v>
      </c>
      <c r="F5497" s="479"/>
      <c r="G5497" s="227" t="s">
        <v>1111</v>
      </c>
      <c r="H5497" s="228"/>
      <c r="I5497" s="228"/>
      <c r="J5497" s="229" t="s">
        <v>55</v>
      </c>
      <c r="K5497" s="230"/>
      <c r="L5497" s="230">
        <v>713.5</v>
      </c>
    </row>
    <row r="5498" spans="1:12" ht="11.25" customHeight="1" x14ac:dyDescent="0.2">
      <c r="A5498" s="221">
        <v>2024</v>
      </c>
      <c r="B5498" s="221">
        <v>8</v>
      </c>
      <c r="C5498" s="231">
        <v>15</v>
      </c>
      <c r="D5498" s="231">
        <f t="shared" si="622"/>
        <v>45519</v>
      </c>
      <c r="E5498" s="233">
        <f t="shared" ref="E5498:E5510" si="627">DATE(A5498,B5498,C5498)</f>
        <v>45519</v>
      </c>
      <c r="F5498" s="478" t="s">
        <v>1115</v>
      </c>
      <c r="G5498" s="222" t="s">
        <v>1111</v>
      </c>
      <c r="H5498" s="223"/>
      <c r="I5498" s="223" t="s">
        <v>950</v>
      </c>
      <c r="J5498" s="224" t="s">
        <v>14</v>
      </c>
      <c r="K5498" s="167">
        <v>4020</v>
      </c>
      <c r="L5498" s="225"/>
    </row>
    <row r="5499" spans="1:12" ht="11.25" customHeight="1" x14ac:dyDescent="0.2">
      <c r="A5499" s="164">
        <v>2024</v>
      </c>
      <c r="B5499" s="164">
        <v>8</v>
      </c>
      <c r="C5499" s="156">
        <v>15</v>
      </c>
      <c r="D5499" s="156">
        <f t="shared" si="622"/>
        <v>45519</v>
      </c>
      <c r="E5499" s="235">
        <f t="shared" si="627"/>
        <v>45519</v>
      </c>
      <c r="F5499" s="480"/>
      <c r="G5499" s="208" t="s">
        <v>1111</v>
      </c>
      <c r="I5499" s="206" t="s">
        <v>950</v>
      </c>
      <c r="J5499" s="165" t="s">
        <v>1112</v>
      </c>
      <c r="K5499" s="205">
        <v>335.67000000000007</v>
      </c>
      <c r="L5499" s="156"/>
    </row>
    <row r="5500" spans="1:12" ht="11.25" customHeight="1" x14ac:dyDescent="0.2">
      <c r="A5500" s="226">
        <v>2024</v>
      </c>
      <c r="B5500" s="226">
        <v>8</v>
      </c>
      <c r="C5500" s="232">
        <v>15</v>
      </c>
      <c r="D5500" s="232">
        <f t="shared" si="622"/>
        <v>45519</v>
      </c>
      <c r="E5500" s="234">
        <f t="shared" si="627"/>
        <v>45519</v>
      </c>
      <c r="F5500" s="479"/>
      <c r="G5500" s="227" t="s">
        <v>1111</v>
      </c>
      <c r="H5500" s="228"/>
      <c r="I5500" s="228" t="s">
        <v>950</v>
      </c>
      <c r="J5500" s="229" t="s">
        <v>55</v>
      </c>
      <c r="K5500" s="230"/>
      <c r="L5500" s="230">
        <v>4355.67</v>
      </c>
    </row>
    <row r="5501" spans="1:12" ht="11.25" customHeight="1" x14ac:dyDescent="0.2">
      <c r="A5501" s="221">
        <v>2024</v>
      </c>
      <c r="B5501" s="221">
        <v>8</v>
      </c>
      <c r="C5501" s="231">
        <v>15</v>
      </c>
      <c r="D5501" s="231">
        <f t="shared" si="622"/>
        <v>45519</v>
      </c>
      <c r="E5501" s="233">
        <f t="shared" si="627"/>
        <v>45519</v>
      </c>
      <c r="F5501" s="478" t="s">
        <v>1132</v>
      </c>
      <c r="G5501" s="222" t="s">
        <v>1111</v>
      </c>
      <c r="H5501" s="223"/>
      <c r="I5501" s="223"/>
      <c r="J5501" s="224" t="s">
        <v>55</v>
      </c>
      <c r="K5501" s="167">
        <v>1000</v>
      </c>
      <c r="L5501" s="225"/>
    </row>
    <row r="5502" spans="1:12" ht="11.25" customHeight="1" x14ac:dyDescent="0.2">
      <c r="A5502" s="164">
        <v>2024</v>
      </c>
      <c r="B5502" s="164">
        <v>8</v>
      </c>
      <c r="C5502" s="156">
        <v>15</v>
      </c>
      <c r="D5502" s="156">
        <f t="shared" si="622"/>
        <v>45519</v>
      </c>
      <c r="E5502" s="235">
        <f t="shared" si="627"/>
        <v>45519</v>
      </c>
      <c r="F5502" s="480"/>
      <c r="G5502" s="208" t="s">
        <v>1111</v>
      </c>
      <c r="J5502" s="165" t="s">
        <v>14</v>
      </c>
      <c r="L5502" s="205">
        <v>920</v>
      </c>
    </row>
    <row r="5503" spans="1:12" ht="11.25" customHeight="1" x14ac:dyDescent="0.2">
      <c r="A5503" s="226">
        <v>2024</v>
      </c>
      <c r="B5503" s="226">
        <v>8</v>
      </c>
      <c r="C5503" s="232">
        <v>15</v>
      </c>
      <c r="D5503" s="232">
        <f t="shared" si="622"/>
        <v>45519</v>
      </c>
      <c r="E5503" s="234">
        <f t="shared" si="627"/>
        <v>45519</v>
      </c>
      <c r="F5503" s="479"/>
      <c r="G5503" s="227" t="s">
        <v>1111</v>
      </c>
      <c r="H5503" s="228"/>
      <c r="I5503" s="228"/>
      <c r="J5503" s="229" t="s">
        <v>1112</v>
      </c>
      <c r="K5503" s="230"/>
      <c r="L5503" s="230">
        <v>80</v>
      </c>
    </row>
    <row r="5504" spans="1:12" ht="11.25" customHeight="1" x14ac:dyDescent="0.2">
      <c r="A5504" s="221">
        <v>2024</v>
      </c>
      <c r="B5504" s="221">
        <v>8</v>
      </c>
      <c r="C5504" s="221">
        <v>15</v>
      </c>
      <c r="D5504" s="221">
        <f t="shared" si="622"/>
        <v>45519</v>
      </c>
      <c r="E5504" s="233">
        <f t="shared" si="627"/>
        <v>45519</v>
      </c>
      <c r="F5504" s="478" t="s">
        <v>1770</v>
      </c>
      <c r="G5504" s="222" t="s">
        <v>86</v>
      </c>
      <c r="H5504" s="222"/>
      <c r="I5504" s="223"/>
      <c r="J5504" s="224" t="s">
        <v>80</v>
      </c>
      <c r="K5504" s="225">
        <v>2645876.5</v>
      </c>
      <c r="L5504" s="225"/>
    </row>
    <row r="5505" spans="1:12" ht="11.25" customHeight="1" x14ac:dyDescent="0.2">
      <c r="A5505" s="164">
        <v>2024</v>
      </c>
      <c r="B5505" s="164">
        <v>8</v>
      </c>
      <c r="C5505" s="164">
        <v>15</v>
      </c>
      <c r="D5505" s="164">
        <f t="shared" si="622"/>
        <v>45519</v>
      </c>
      <c r="E5505" s="235">
        <f t="shared" si="627"/>
        <v>45519</v>
      </c>
      <c r="F5505" s="480"/>
      <c r="G5505" s="208" t="s">
        <v>86</v>
      </c>
      <c r="H5505" s="208"/>
      <c r="J5505" s="165" t="s">
        <v>960</v>
      </c>
      <c r="K5505" s="205">
        <v>5644.5776999999998</v>
      </c>
      <c r="L5505" s="205"/>
    </row>
    <row r="5506" spans="1:12" ht="11.25" customHeight="1" x14ac:dyDescent="0.2">
      <c r="A5506" s="164">
        <v>2024</v>
      </c>
      <c r="B5506" s="164">
        <v>8</v>
      </c>
      <c r="C5506" s="164">
        <v>15</v>
      </c>
      <c r="D5506" s="164">
        <f t="shared" si="622"/>
        <v>45519</v>
      </c>
      <c r="E5506" s="235">
        <f t="shared" si="627"/>
        <v>45519</v>
      </c>
      <c r="F5506" s="480"/>
      <c r="G5506" s="208" t="s">
        <v>86</v>
      </c>
      <c r="H5506" s="208"/>
      <c r="J5506" s="165" t="s">
        <v>961</v>
      </c>
      <c r="K5506" s="263"/>
      <c r="L5506" s="205">
        <v>2161521.08</v>
      </c>
    </row>
    <row r="5507" spans="1:12" ht="11.25" customHeight="1" x14ac:dyDescent="0.2">
      <c r="A5507" s="164">
        <v>2024</v>
      </c>
      <c r="B5507" s="164">
        <v>8</v>
      </c>
      <c r="C5507" s="164">
        <v>15</v>
      </c>
      <c r="D5507" s="164">
        <f t="shared" si="622"/>
        <v>45519</v>
      </c>
      <c r="E5507" s="235">
        <f t="shared" si="627"/>
        <v>45519</v>
      </c>
      <c r="F5507" s="480"/>
      <c r="G5507" s="208" t="s">
        <v>86</v>
      </c>
      <c r="H5507" s="208"/>
      <c r="J5507" s="165" t="s">
        <v>200</v>
      </c>
      <c r="K5507" s="263"/>
      <c r="L5507" s="263">
        <v>31261.86</v>
      </c>
    </row>
    <row r="5508" spans="1:12" ht="11.25" customHeight="1" x14ac:dyDescent="0.2">
      <c r="A5508" s="226">
        <v>2024</v>
      </c>
      <c r="B5508" s="226">
        <v>8</v>
      </c>
      <c r="C5508" s="226">
        <v>15</v>
      </c>
      <c r="D5508" s="226">
        <f t="shared" si="622"/>
        <v>45519</v>
      </c>
      <c r="E5508" s="234">
        <f t="shared" si="627"/>
        <v>45519</v>
      </c>
      <c r="F5508" s="479"/>
      <c r="G5508" s="227" t="s">
        <v>86</v>
      </c>
      <c r="H5508" s="228"/>
      <c r="I5508" s="228"/>
      <c r="J5508" s="229" t="s">
        <v>80</v>
      </c>
      <c r="K5508" s="230"/>
      <c r="L5508" s="230">
        <v>458738.14</v>
      </c>
    </row>
    <row r="5509" spans="1:12" ht="11.25" customHeight="1" x14ac:dyDescent="0.2">
      <c r="A5509" s="221">
        <v>2024</v>
      </c>
      <c r="B5509" s="221">
        <v>8</v>
      </c>
      <c r="C5509" s="231">
        <v>15</v>
      </c>
      <c r="D5509" s="231">
        <f t="shared" si="622"/>
        <v>45519</v>
      </c>
      <c r="E5509" s="233">
        <f t="shared" si="627"/>
        <v>45519</v>
      </c>
      <c r="F5509" s="478" t="s">
        <v>1590</v>
      </c>
      <c r="G5509" s="222" t="s">
        <v>1111</v>
      </c>
      <c r="H5509" s="223"/>
      <c r="I5509" s="223"/>
      <c r="J5509" s="224" t="s">
        <v>55</v>
      </c>
      <c r="K5509" s="225">
        <v>4545314</v>
      </c>
      <c r="L5509" s="225"/>
    </row>
    <row r="5510" spans="1:12" ht="11.25" customHeight="1" x14ac:dyDescent="0.2">
      <c r="A5510" s="226">
        <v>2024</v>
      </c>
      <c r="B5510" s="226">
        <v>8</v>
      </c>
      <c r="C5510" s="232">
        <v>15</v>
      </c>
      <c r="D5510" s="232">
        <f t="shared" si="622"/>
        <v>45519</v>
      </c>
      <c r="E5510" s="234">
        <f t="shared" si="627"/>
        <v>45519</v>
      </c>
      <c r="F5510" s="479"/>
      <c r="G5510" s="227" t="s">
        <v>1111</v>
      </c>
      <c r="H5510" s="228"/>
      <c r="I5510" s="228"/>
      <c r="J5510" s="229" t="s">
        <v>199</v>
      </c>
      <c r="K5510" s="230"/>
      <c r="L5510" s="230">
        <v>4545314</v>
      </c>
    </row>
    <row r="5511" spans="1:12" ht="11.25" customHeight="1" x14ac:dyDescent="0.2">
      <c r="A5511" s="280">
        <v>2024</v>
      </c>
      <c r="B5511" s="280">
        <v>8</v>
      </c>
      <c r="C5511" s="280">
        <v>15</v>
      </c>
      <c r="D5511" s="281">
        <f t="shared" si="622"/>
        <v>45519</v>
      </c>
      <c r="E5511" s="282">
        <f t="shared" ref="E5511:E5516" si="628">DATE(A5511,B5511,C5511)</f>
        <v>45519</v>
      </c>
      <c r="F5511" s="472" t="s">
        <v>1744</v>
      </c>
      <c r="G5511" s="283" t="s">
        <v>86</v>
      </c>
      <c r="H5511" s="284"/>
      <c r="I5511" s="284"/>
      <c r="J5511" s="285" t="s">
        <v>131</v>
      </c>
      <c r="K5511" s="286">
        <v>19358.333333333332</v>
      </c>
      <c r="L5511" s="286"/>
    </row>
    <row r="5512" spans="1:12" ht="11.25" customHeight="1" x14ac:dyDescent="0.2">
      <c r="A5512" s="287">
        <v>2024</v>
      </c>
      <c r="B5512" s="287">
        <v>8</v>
      </c>
      <c r="C5512" s="287">
        <v>15</v>
      </c>
      <c r="D5512" s="288">
        <f t="shared" si="622"/>
        <v>45519</v>
      </c>
      <c r="E5512" s="289">
        <f t="shared" si="628"/>
        <v>45519</v>
      </c>
      <c r="F5512" s="473"/>
      <c r="G5512" s="290" t="s">
        <v>86</v>
      </c>
      <c r="H5512" s="291"/>
      <c r="I5512" s="291"/>
      <c r="J5512" s="292" t="s">
        <v>174</v>
      </c>
      <c r="K5512" s="293"/>
      <c r="L5512" s="293">
        <v>19358.333333333332</v>
      </c>
    </row>
    <row r="5513" spans="1:12" ht="11.25" customHeight="1" x14ac:dyDescent="0.2">
      <c r="A5513" s="280">
        <v>2024</v>
      </c>
      <c r="B5513" s="280">
        <v>8</v>
      </c>
      <c r="C5513" s="280">
        <v>15</v>
      </c>
      <c r="D5513" s="281">
        <f t="shared" ref="D5513:D5576" si="629">DATE(A5513,B5513,C5513)</f>
        <v>45519</v>
      </c>
      <c r="E5513" s="282">
        <f t="shared" si="628"/>
        <v>45519</v>
      </c>
      <c r="F5513" s="472" t="s">
        <v>1584</v>
      </c>
      <c r="G5513" s="283" t="s">
        <v>86</v>
      </c>
      <c r="H5513" s="284"/>
      <c r="I5513" s="284"/>
      <c r="J5513" s="285" t="s">
        <v>131</v>
      </c>
      <c r="K5513" s="286">
        <v>8653.8461538461543</v>
      </c>
      <c r="L5513" s="286"/>
    </row>
    <row r="5514" spans="1:12" ht="11.25" customHeight="1" x14ac:dyDescent="0.2">
      <c r="A5514" s="287">
        <v>2024</v>
      </c>
      <c r="B5514" s="287">
        <v>8</v>
      </c>
      <c r="C5514" s="287">
        <v>15</v>
      </c>
      <c r="D5514" s="288">
        <f t="shared" si="629"/>
        <v>45519</v>
      </c>
      <c r="E5514" s="289">
        <f t="shared" si="628"/>
        <v>45519</v>
      </c>
      <c r="F5514" s="473"/>
      <c r="G5514" s="290" t="s">
        <v>86</v>
      </c>
      <c r="H5514" s="291"/>
      <c r="I5514" s="291"/>
      <c r="J5514" s="292" t="s">
        <v>174</v>
      </c>
      <c r="K5514" s="293"/>
      <c r="L5514" s="293">
        <v>8653.8461538461543</v>
      </c>
    </row>
    <row r="5515" spans="1:12" ht="11.25" customHeight="1" x14ac:dyDescent="0.2">
      <c r="A5515" s="341">
        <v>2024</v>
      </c>
      <c r="B5515" s="341">
        <v>8</v>
      </c>
      <c r="C5515" s="341">
        <v>15</v>
      </c>
      <c r="D5515" s="328">
        <f t="shared" si="629"/>
        <v>45519</v>
      </c>
      <c r="E5515" s="329">
        <f t="shared" si="628"/>
        <v>45519</v>
      </c>
      <c r="F5515" s="474" t="s">
        <v>1767</v>
      </c>
      <c r="G5515" s="330" t="s">
        <v>86</v>
      </c>
      <c r="H5515" s="332"/>
      <c r="I5515" s="332"/>
      <c r="J5515" s="342" t="s">
        <v>67</v>
      </c>
      <c r="K5515" s="343">
        <v>33955.82</v>
      </c>
      <c r="L5515" s="343"/>
    </row>
    <row r="5516" spans="1:12" ht="11.25" customHeight="1" x14ac:dyDescent="0.2">
      <c r="A5516" s="344">
        <v>2024</v>
      </c>
      <c r="B5516" s="344">
        <v>8</v>
      </c>
      <c r="C5516" s="344">
        <v>15</v>
      </c>
      <c r="D5516" s="337">
        <f t="shared" si="629"/>
        <v>45519</v>
      </c>
      <c r="E5516" s="338">
        <f t="shared" si="628"/>
        <v>45519</v>
      </c>
      <c r="F5516" s="475"/>
      <c r="G5516" s="339" t="s">
        <v>86</v>
      </c>
      <c r="H5516" s="340"/>
      <c r="I5516" s="340"/>
      <c r="J5516" s="345" t="s">
        <v>174</v>
      </c>
      <c r="K5516" s="346"/>
      <c r="L5516" s="346">
        <f>K5515</f>
        <v>33955.82</v>
      </c>
    </row>
    <row r="5517" spans="1:12" ht="11.25" customHeight="1" x14ac:dyDescent="0.2">
      <c r="A5517" s="358">
        <v>2024</v>
      </c>
      <c r="B5517" s="358">
        <v>8</v>
      </c>
      <c r="C5517" s="358">
        <v>15</v>
      </c>
      <c r="D5517" s="312">
        <f t="shared" si="629"/>
        <v>45519</v>
      </c>
      <c r="E5517" s="313">
        <f>DATE(A5517,B5517,C5517)</f>
        <v>45519</v>
      </c>
      <c r="F5517" s="482" t="s">
        <v>1627</v>
      </c>
      <c r="G5517" s="314" t="s">
        <v>86</v>
      </c>
      <c r="H5517" s="324"/>
      <c r="I5517" s="324"/>
      <c r="J5517" s="364" t="s">
        <v>1621</v>
      </c>
      <c r="K5517" s="365">
        <v>31545</v>
      </c>
      <c r="L5517" s="365"/>
    </row>
    <row r="5518" spans="1:12" ht="11.25" customHeight="1" x14ac:dyDescent="0.2">
      <c r="A5518" s="320">
        <v>2024</v>
      </c>
      <c r="B5518" s="320">
        <v>8</v>
      </c>
      <c r="C5518" s="320">
        <v>15</v>
      </c>
      <c r="D5518" s="323">
        <f t="shared" si="629"/>
        <v>45519</v>
      </c>
      <c r="E5518" s="321">
        <f t="shared" ref="E5518" si="630">DATE(A5518,B5518,C5518)</f>
        <v>45519</v>
      </c>
      <c r="F5518" s="483"/>
      <c r="G5518" s="322" t="s">
        <v>86</v>
      </c>
      <c r="H5518" s="325"/>
      <c r="I5518" s="325"/>
      <c r="J5518" s="366" t="s">
        <v>1613</v>
      </c>
      <c r="K5518" s="367"/>
      <c r="L5518" s="367">
        <f>K5517</f>
        <v>31545</v>
      </c>
    </row>
    <row r="5519" spans="1:12" ht="11.25" customHeight="1" x14ac:dyDescent="0.2">
      <c r="A5519" s="358">
        <v>2024</v>
      </c>
      <c r="B5519" s="358">
        <v>8</v>
      </c>
      <c r="C5519" s="358">
        <v>15</v>
      </c>
      <c r="D5519" s="312">
        <f t="shared" si="629"/>
        <v>45519</v>
      </c>
      <c r="E5519" s="313">
        <f>DATE(A5519,B5519,C5519)</f>
        <v>45519</v>
      </c>
      <c r="F5519" s="482" t="s">
        <v>1713</v>
      </c>
      <c r="G5519" s="314" t="s">
        <v>86</v>
      </c>
      <c r="H5519" s="324"/>
      <c r="I5519" s="324"/>
      <c r="J5519" s="364" t="s">
        <v>1622</v>
      </c>
      <c r="K5519" s="365">
        <v>102193.88000001013</v>
      </c>
      <c r="L5519" s="365"/>
    </row>
    <row r="5520" spans="1:12" ht="11.25" customHeight="1" x14ac:dyDescent="0.2">
      <c r="A5520" s="320">
        <v>2024</v>
      </c>
      <c r="B5520" s="320">
        <v>8</v>
      </c>
      <c r="C5520" s="320">
        <v>15</v>
      </c>
      <c r="D5520" s="323">
        <f t="shared" si="629"/>
        <v>45519</v>
      </c>
      <c r="E5520" s="321">
        <f t="shared" ref="E5520:E5544" si="631">DATE(A5520,B5520,C5520)</f>
        <v>45519</v>
      </c>
      <c r="F5520" s="483"/>
      <c r="G5520" s="322" t="s">
        <v>86</v>
      </c>
      <c r="H5520" s="325"/>
      <c r="I5520" s="325"/>
      <c r="J5520" s="366" t="s">
        <v>1614</v>
      </c>
      <c r="K5520" s="367"/>
      <c r="L5520" s="367">
        <f>K5519</f>
        <v>102193.88000001013</v>
      </c>
    </row>
    <row r="5521" spans="1:13" ht="11.25" customHeight="1" x14ac:dyDescent="0.2">
      <c r="A5521" s="236">
        <v>2024</v>
      </c>
      <c r="B5521" s="236">
        <v>8</v>
      </c>
      <c r="C5521" s="236">
        <v>15</v>
      </c>
      <c r="D5521" s="237">
        <f t="shared" si="629"/>
        <v>45519</v>
      </c>
      <c r="E5521" s="238">
        <f t="shared" si="631"/>
        <v>45519</v>
      </c>
      <c r="F5521" s="476" t="s">
        <v>1118</v>
      </c>
      <c r="G5521" s="239" t="s">
        <v>86</v>
      </c>
      <c r="H5521" s="239"/>
      <c r="I5521" s="240"/>
      <c r="J5521" s="241" t="s">
        <v>98</v>
      </c>
      <c r="K5521" s="242">
        <v>327053.18000000715</v>
      </c>
      <c r="L5521" s="242"/>
    </row>
    <row r="5522" spans="1:13" ht="11.25" customHeight="1" x14ac:dyDescent="0.2">
      <c r="A5522" s="243">
        <v>2024</v>
      </c>
      <c r="B5522" s="243">
        <v>8</v>
      </c>
      <c r="C5522" s="243">
        <v>15</v>
      </c>
      <c r="D5522" s="248">
        <f t="shared" si="629"/>
        <v>45519</v>
      </c>
      <c r="E5522" s="249">
        <f t="shared" si="631"/>
        <v>45519</v>
      </c>
      <c r="F5522" s="477"/>
      <c r="G5522" s="244" t="s">
        <v>86</v>
      </c>
      <c r="H5522" s="244"/>
      <c r="I5522" s="245"/>
      <c r="J5522" s="246" t="s">
        <v>82</v>
      </c>
      <c r="K5522" s="247"/>
      <c r="L5522" s="247">
        <f>K5521</f>
        <v>327053.18000000715</v>
      </c>
    </row>
    <row r="5523" spans="1:13" ht="11.25" customHeight="1" x14ac:dyDescent="0.2">
      <c r="A5523" s="236">
        <v>2024</v>
      </c>
      <c r="B5523" s="236">
        <v>8</v>
      </c>
      <c r="C5523" s="236">
        <v>15</v>
      </c>
      <c r="D5523" s="237">
        <f t="shared" si="629"/>
        <v>45519</v>
      </c>
      <c r="E5523" s="238">
        <f t="shared" si="631"/>
        <v>45519</v>
      </c>
      <c r="F5523" s="476" t="s">
        <v>1120</v>
      </c>
      <c r="G5523" s="239" t="s">
        <v>86</v>
      </c>
      <c r="H5523" s="239"/>
      <c r="I5523" s="240"/>
      <c r="J5523" s="241" t="s">
        <v>87</v>
      </c>
      <c r="K5523" s="242">
        <v>2747.2527472527472</v>
      </c>
      <c r="L5523" s="242"/>
    </row>
    <row r="5524" spans="1:13" ht="11.25" customHeight="1" x14ac:dyDescent="0.2">
      <c r="A5524" s="243">
        <v>2024</v>
      </c>
      <c r="B5524" s="243">
        <v>8</v>
      </c>
      <c r="C5524" s="243">
        <v>15</v>
      </c>
      <c r="D5524" s="248">
        <f t="shared" si="629"/>
        <v>45519</v>
      </c>
      <c r="E5524" s="249">
        <f t="shared" si="631"/>
        <v>45519</v>
      </c>
      <c r="F5524" s="477"/>
      <c r="G5524" s="244" t="s">
        <v>86</v>
      </c>
      <c r="H5524" s="244"/>
      <c r="I5524" s="245"/>
      <c r="J5524" s="246" t="s">
        <v>64</v>
      </c>
      <c r="K5524" s="247"/>
      <c r="L5524" s="247">
        <v>2747.2527472527472</v>
      </c>
    </row>
    <row r="5525" spans="1:13" ht="11.25" customHeight="1" x14ac:dyDescent="0.2">
      <c r="A5525" s="236">
        <v>2024</v>
      </c>
      <c r="B5525" s="236">
        <v>8</v>
      </c>
      <c r="C5525" s="236">
        <v>15</v>
      </c>
      <c r="D5525" s="237">
        <f t="shared" si="629"/>
        <v>45519</v>
      </c>
      <c r="E5525" s="238">
        <f t="shared" si="631"/>
        <v>45519</v>
      </c>
      <c r="F5525" s="476" t="s">
        <v>1121</v>
      </c>
      <c r="G5525" s="239" t="s">
        <v>86</v>
      </c>
      <c r="H5525" s="239"/>
      <c r="I5525" s="240"/>
      <c r="J5525" s="241" t="s">
        <v>89</v>
      </c>
      <c r="K5525" s="242">
        <f>M5525</f>
        <v>77188.426434753288</v>
      </c>
      <c r="L5525" s="242"/>
      <c r="M5525" s="156">
        <v>77188.426434753288</v>
      </c>
    </row>
    <row r="5526" spans="1:13" ht="11.25" customHeight="1" x14ac:dyDescent="0.2">
      <c r="A5526" s="243">
        <v>2024</v>
      </c>
      <c r="B5526" s="243">
        <v>8</v>
      </c>
      <c r="C5526" s="243">
        <v>15</v>
      </c>
      <c r="D5526" s="248">
        <f t="shared" si="629"/>
        <v>45519</v>
      </c>
      <c r="E5526" s="249">
        <f t="shared" si="631"/>
        <v>45519</v>
      </c>
      <c r="F5526" s="477"/>
      <c r="G5526" s="244" t="s">
        <v>86</v>
      </c>
      <c r="H5526" s="244"/>
      <c r="I5526" s="245"/>
      <c r="J5526" s="246" t="s">
        <v>50</v>
      </c>
      <c r="K5526" s="247"/>
      <c r="L5526" s="247">
        <f>K5525</f>
        <v>77188.426434753288</v>
      </c>
      <c r="M5526" s="156">
        <v>3619.0367063530493</v>
      </c>
    </row>
    <row r="5527" spans="1:13" ht="11.25" customHeight="1" x14ac:dyDescent="0.2">
      <c r="A5527" s="236">
        <v>2024</v>
      </c>
      <c r="B5527" s="236">
        <v>8</v>
      </c>
      <c r="C5527" s="236">
        <v>15</v>
      </c>
      <c r="D5527" s="237">
        <f t="shared" si="629"/>
        <v>45519</v>
      </c>
      <c r="E5527" s="238">
        <f t="shared" si="631"/>
        <v>45519</v>
      </c>
      <c r="F5527" s="476" t="s">
        <v>1122</v>
      </c>
      <c r="G5527" s="239" t="s">
        <v>86</v>
      </c>
      <c r="H5527" s="239"/>
      <c r="I5527" s="240"/>
      <c r="J5527" s="241" t="s">
        <v>91</v>
      </c>
      <c r="K5527" s="242">
        <f>M5526</f>
        <v>3619.0367063530493</v>
      </c>
      <c r="L5527" s="242"/>
    </row>
    <row r="5528" spans="1:13" ht="11.25" customHeight="1" x14ac:dyDescent="0.2">
      <c r="A5528" s="243">
        <v>2024</v>
      </c>
      <c r="B5528" s="243">
        <v>8</v>
      </c>
      <c r="C5528" s="243">
        <v>15</v>
      </c>
      <c r="D5528" s="248">
        <f t="shared" si="629"/>
        <v>45519</v>
      </c>
      <c r="E5528" s="249">
        <f t="shared" si="631"/>
        <v>45519</v>
      </c>
      <c r="F5528" s="477"/>
      <c r="G5528" s="244" t="s">
        <v>86</v>
      </c>
      <c r="H5528" s="244"/>
      <c r="I5528" s="245"/>
      <c r="J5528" s="246" t="s">
        <v>51</v>
      </c>
      <c r="K5528" s="247"/>
      <c r="L5528" s="247">
        <f>K5527</f>
        <v>3619.0367063530493</v>
      </c>
    </row>
    <row r="5529" spans="1:13" ht="11.25" customHeight="1" x14ac:dyDescent="0.2">
      <c r="A5529" s="221">
        <v>2024</v>
      </c>
      <c r="B5529" s="221">
        <v>8</v>
      </c>
      <c r="C5529" s="231">
        <v>18</v>
      </c>
      <c r="D5529" s="231">
        <f t="shared" si="629"/>
        <v>45522</v>
      </c>
      <c r="E5529" s="233">
        <f t="shared" si="631"/>
        <v>45522</v>
      </c>
      <c r="F5529" s="478" t="s">
        <v>1309</v>
      </c>
      <c r="G5529" s="222" t="s">
        <v>1111</v>
      </c>
      <c r="H5529" s="223"/>
      <c r="I5529" s="223" t="s">
        <v>950</v>
      </c>
      <c r="J5529" s="224" t="s">
        <v>14</v>
      </c>
      <c r="K5529" s="167">
        <v>920</v>
      </c>
      <c r="L5529" s="225"/>
    </row>
    <row r="5530" spans="1:13" ht="11.25" customHeight="1" x14ac:dyDescent="0.2">
      <c r="A5530" s="164">
        <v>2024</v>
      </c>
      <c r="B5530" s="164">
        <v>8</v>
      </c>
      <c r="C5530" s="156">
        <v>18</v>
      </c>
      <c r="D5530" s="156">
        <f t="shared" si="629"/>
        <v>45522</v>
      </c>
      <c r="E5530" s="235">
        <f t="shared" si="631"/>
        <v>45522</v>
      </c>
      <c r="F5530" s="480"/>
      <c r="G5530" s="208" t="s">
        <v>1111</v>
      </c>
      <c r="I5530" s="206" t="s">
        <v>950</v>
      </c>
      <c r="J5530" s="165" t="s">
        <v>1112</v>
      </c>
      <c r="K5530" s="205">
        <v>96.05</v>
      </c>
      <c r="L5530" s="156"/>
    </row>
    <row r="5531" spans="1:13" ht="11.25" customHeight="1" x14ac:dyDescent="0.2">
      <c r="A5531" s="226">
        <v>2024</v>
      </c>
      <c r="B5531" s="226">
        <v>8</v>
      </c>
      <c r="C5531" s="232">
        <v>18</v>
      </c>
      <c r="D5531" s="232">
        <f t="shared" si="629"/>
        <v>45522</v>
      </c>
      <c r="E5531" s="234">
        <f t="shared" si="631"/>
        <v>45522</v>
      </c>
      <c r="F5531" s="479"/>
      <c r="G5531" s="227" t="s">
        <v>1111</v>
      </c>
      <c r="H5531" s="228"/>
      <c r="I5531" s="228" t="s">
        <v>950</v>
      </c>
      <c r="J5531" s="229" t="s">
        <v>55</v>
      </c>
      <c r="K5531" s="230"/>
      <c r="L5531" s="230">
        <v>1016.05</v>
      </c>
    </row>
    <row r="5532" spans="1:13" ht="11.25" customHeight="1" x14ac:dyDescent="0.2">
      <c r="A5532" s="221">
        <v>2024</v>
      </c>
      <c r="B5532" s="221">
        <v>8</v>
      </c>
      <c r="C5532" s="231">
        <v>18</v>
      </c>
      <c r="D5532" s="231">
        <f t="shared" si="629"/>
        <v>45522</v>
      </c>
      <c r="E5532" s="233">
        <f t="shared" si="631"/>
        <v>45522</v>
      </c>
      <c r="F5532" s="478" t="s">
        <v>1762</v>
      </c>
      <c r="G5532" s="222" t="s">
        <v>1111</v>
      </c>
      <c r="H5532" s="223"/>
      <c r="I5532" s="223"/>
      <c r="J5532" s="224" t="s">
        <v>961</v>
      </c>
      <c r="K5532" s="225">
        <v>2083182.08</v>
      </c>
      <c r="L5532" s="225"/>
    </row>
    <row r="5533" spans="1:13" ht="11.25" customHeight="1" x14ac:dyDescent="0.2">
      <c r="A5533" s="226">
        <v>2024</v>
      </c>
      <c r="B5533" s="226">
        <v>8</v>
      </c>
      <c r="C5533" s="232">
        <v>18</v>
      </c>
      <c r="D5533" s="232">
        <f t="shared" si="629"/>
        <v>45522</v>
      </c>
      <c r="E5533" s="234">
        <f t="shared" si="631"/>
        <v>45522</v>
      </c>
      <c r="F5533" s="479"/>
      <c r="G5533" s="227" t="s">
        <v>1111</v>
      </c>
      <c r="H5533" s="228"/>
      <c r="I5533" s="228"/>
      <c r="J5533" s="229" t="s">
        <v>55</v>
      </c>
      <c r="K5533" s="230"/>
      <c r="L5533" s="230">
        <v>2083182.08</v>
      </c>
    </row>
    <row r="5534" spans="1:13" ht="11.25" customHeight="1" x14ac:dyDescent="0.2">
      <c r="A5534" s="221">
        <v>2024</v>
      </c>
      <c r="B5534" s="221">
        <v>8</v>
      </c>
      <c r="C5534" s="231">
        <v>18</v>
      </c>
      <c r="D5534" s="231">
        <f t="shared" si="629"/>
        <v>45522</v>
      </c>
      <c r="E5534" s="233">
        <f t="shared" ref="E5534:E5542" si="632">DATE(A5534,B5534,C5534)</f>
        <v>45522</v>
      </c>
      <c r="F5534" s="478" t="s">
        <v>1762</v>
      </c>
      <c r="G5534" s="222" t="s">
        <v>1111</v>
      </c>
      <c r="H5534" s="223"/>
      <c r="I5534" s="223"/>
      <c r="J5534" s="224" t="s">
        <v>961</v>
      </c>
      <c r="K5534" s="225">
        <v>2161521.08</v>
      </c>
      <c r="L5534" s="225"/>
    </row>
    <row r="5535" spans="1:13" ht="11.25" customHeight="1" x14ac:dyDescent="0.2">
      <c r="A5535" s="226">
        <v>2024</v>
      </c>
      <c r="B5535" s="226">
        <v>8</v>
      </c>
      <c r="C5535" s="232">
        <v>18</v>
      </c>
      <c r="D5535" s="232">
        <f t="shared" si="629"/>
        <v>45522</v>
      </c>
      <c r="E5535" s="234">
        <f t="shared" si="632"/>
        <v>45522</v>
      </c>
      <c r="F5535" s="479"/>
      <c r="G5535" s="227" t="s">
        <v>1111</v>
      </c>
      <c r="H5535" s="228"/>
      <c r="I5535" s="228"/>
      <c r="J5535" s="229" t="s">
        <v>55</v>
      </c>
      <c r="K5535" s="230"/>
      <c r="L5535" s="230">
        <v>2161521.08</v>
      </c>
    </row>
    <row r="5536" spans="1:13" ht="11.25" customHeight="1" x14ac:dyDescent="0.2">
      <c r="A5536" s="221">
        <v>2024</v>
      </c>
      <c r="B5536" s="221">
        <v>8</v>
      </c>
      <c r="C5536" s="231">
        <v>18</v>
      </c>
      <c r="D5536" s="231">
        <f t="shared" si="629"/>
        <v>45522</v>
      </c>
      <c r="E5536" s="233">
        <f t="shared" si="632"/>
        <v>45522</v>
      </c>
      <c r="F5536" s="478" t="s">
        <v>1670</v>
      </c>
      <c r="G5536" s="222" t="s">
        <v>1111</v>
      </c>
      <c r="H5536" s="223"/>
      <c r="I5536" s="223"/>
      <c r="J5536" s="224" t="s">
        <v>63</v>
      </c>
      <c r="K5536" s="225">
        <v>200</v>
      </c>
      <c r="L5536" s="225"/>
    </row>
    <row r="5537" spans="1:12" ht="11.25" customHeight="1" x14ac:dyDescent="0.2">
      <c r="A5537" s="226">
        <v>2024</v>
      </c>
      <c r="B5537" s="226">
        <v>8</v>
      </c>
      <c r="C5537" s="232">
        <v>18</v>
      </c>
      <c r="D5537" s="232">
        <f t="shared" si="629"/>
        <v>45522</v>
      </c>
      <c r="E5537" s="234">
        <f t="shared" si="632"/>
        <v>45522</v>
      </c>
      <c r="F5537" s="479"/>
      <c r="G5537" s="227" t="s">
        <v>1111</v>
      </c>
      <c r="H5537" s="228"/>
      <c r="I5537" s="228"/>
      <c r="J5537" s="229" t="s">
        <v>55</v>
      </c>
      <c r="K5537" s="230"/>
      <c r="L5537" s="230">
        <v>200</v>
      </c>
    </row>
    <row r="5538" spans="1:12" ht="11.25" customHeight="1" x14ac:dyDescent="0.2">
      <c r="A5538" s="221">
        <v>2024</v>
      </c>
      <c r="B5538" s="221">
        <v>8</v>
      </c>
      <c r="C5538" s="221">
        <v>18</v>
      </c>
      <c r="D5538" s="221">
        <f t="shared" si="629"/>
        <v>45522</v>
      </c>
      <c r="E5538" s="233">
        <f t="shared" si="632"/>
        <v>45522</v>
      </c>
      <c r="F5538" s="478" t="s">
        <v>1770</v>
      </c>
      <c r="G5538" s="222" t="s">
        <v>86</v>
      </c>
      <c r="H5538" s="222"/>
      <c r="I5538" s="223"/>
      <c r="J5538" s="224" t="s">
        <v>80</v>
      </c>
      <c r="K5538" s="225">
        <v>1299974.8999999999</v>
      </c>
      <c r="L5538" s="225"/>
    </row>
    <row r="5539" spans="1:12" ht="11.25" customHeight="1" x14ac:dyDescent="0.2">
      <c r="A5539" s="164">
        <v>2024</v>
      </c>
      <c r="B5539" s="164">
        <v>8</v>
      </c>
      <c r="C5539" s="164">
        <v>18</v>
      </c>
      <c r="D5539" s="164">
        <f t="shared" si="629"/>
        <v>45522</v>
      </c>
      <c r="E5539" s="235">
        <f t="shared" si="632"/>
        <v>45522</v>
      </c>
      <c r="F5539" s="480"/>
      <c r="G5539" s="208" t="s">
        <v>86</v>
      </c>
      <c r="H5539" s="208"/>
      <c r="J5539" s="165" t="s">
        <v>960</v>
      </c>
      <c r="K5539" s="205">
        <v>4578.8487999999998</v>
      </c>
      <c r="L5539" s="205"/>
    </row>
    <row r="5540" spans="1:12" ht="11.25" customHeight="1" x14ac:dyDescent="0.2">
      <c r="A5540" s="164">
        <v>2024</v>
      </c>
      <c r="B5540" s="164">
        <v>8</v>
      </c>
      <c r="C5540" s="164">
        <v>18</v>
      </c>
      <c r="D5540" s="164">
        <f t="shared" si="629"/>
        <v>45522</v>
      </c>
      <c r="E5540" s="235">
        <f t="shared" si="632"/>
        <v>45522</v>
      </c>
      <c r="F5540" s="480"/>
      <c r="G5540" s="208" t="s">
        <v>86</v>
      </c>
      <c r="H5540" s="208"/>
      <c r="J5540" s="165" t="s">
        <v>961</v>
      </c>
      <c r="K5540" s="263"/>
      <c r="L5540" s="205">
        <v>60723.75</v>
      </c>
    </row>
    <row r="5541" spans="1:12" ht="11.25" customHeight="1" x14ac:dyDescent="0.2">
      <c r="A5541" s="164">
        <v>2024</v>
      </c>
      <c r="B5541" s="164">
        <v>8</v>
      </c>
      <c r="C5541" s="164">
        <v>18</v>
      </c>
      <c r="D5541" s="164">
        <f t="shared" si="629"/>
        <v>45522</v>
      </c>
      <c r="E5541" s="235">
        <f t="shared" si="632"/>
        <v>45522</v>
      </c>
      <c r="F5541" s="480"/>
      <c r="G5541" s="208" t="s">
        <v>86</v>
      </c>
      <c r="H5541" s="208"/>
      <c r="J5541" s="165" t="s">
        <v>200</v>
      </c>
      <c r="K5541" s="263"/>
      <c r="L5541" s="205">
        <v>200077.03</v>
      </c>
    </row>
    <row r="5542" spans="1:12" ht="11.25" customHeight="1" x14ac:dyDescent="0.2">
      <c r="A5542" s="226">
        <v>2024</v>
      </c>
      <c r="B5542" s="226">
        <v>8</v>
      </c>
      <c r="C5542" s="226">
        <v>18</v>
      </c>
      <c r="D5542" s="226">
        <f t="shared" si="629"/>
        <v>45522</v>
      </c>
      <c r="E5542" s="234">
        <f t="shared" si="632"/>
        <v>45522</v>
      </c>
      <c r="F5542" s="479"/>
      <c r="G5542" s="227" t="s">
        <v>86</v>
      </c>
      <c r="H5542" s="228"/>
      <c r="I5542" s="228"/>
      <c r="J5542" s="229" t="s">
        <v>80</v>
      </c>
      <c r="K5542" s="230"/>
      <c r="L5542" s="230">
        <v>1043752.97</v>
      </c>
    </row>
    <row r="5543" spans="1:12" ht="11.25" customHeight="1" x14ac:dyDescent="0.2">
      <c r="A5543" s="164">
        <v>2024</v>
      </c>
      <c r="B5543" s="164">
        <v>8</v>
      </c>
      <c r="C5543" s="164">
        <v>19</v>
      </c>
      <c r="D5543" s="156">
        <f t="shared" si="629"/>
        <v>45523</v>
      </c>
      <c r="E5543" s="235">
        <f t="shared" si="631"/>
        <v>45523</v>
      </c>
      <c r="F5543" s="478" t="s">
        <v>1732</v>
      </c>
      <c r="G5543" s="208" t="s">
        <v>1111</v>
      </c>
      <c r="J5543" s="165" t="s">
        <v>478</v>
      </c>
      <c r="K5543" s="205">
        <v>210.73</v>
      </c>
      <c r="L5543" s="205"/>
    </row>
    <row r="5544" spans="1:12" ht="11.25" customHeight="1" x14ac:dyDescent="0.2">
      <c r="A5544" s="226">
        <v>2024</v>
      </c>
      <c r="B5544" s="226">
        <v>8</v>
      </c>
      <c r="C5544" s="226">
        <v>19</v>
      </c>
      <c r="D5544" s="232">
        <f t="shared" si="629"/>
        <v>45523</v>
      </c>
      <c r="E5544" s="234">
        <f t="shared" si="631"/>
        <v>45523</v>
      </c>
      <c r="F5544" s="479"/>
      <c r="G5544" s="227" t="s">
        <v>1111</v>
      </c>
      <c r="H5544" s="228"/>
      <c r="I5544" s="228"/>
      <c r="J5544" s="229" t="s">
        <v>55</v>
      </c>
      <c r="K5544" s="230"/>
      <c r="L5544" s="230">
        <v>210.73</v>
      </c>
    </row>
    <row r="5545" spans="1:12" ht="11.25" customHeight="1" x14ac:dyDescent="0.2">
      <c r="A5545" s="221">
        <v>2024</v>
      </c>
      <c r="B5545" s="221">
        <v>8</v>
      </c>
      <c r="C5545" s="231">
        <v>20</v>
      </c>
      <c r="D5545" s="231">
        <f t="shared" si="629"/>
        <v>45524</v>
      </c>
      <c r="E5545" s="233">
        <f t="shared" ref="E5545:E5559" si="633">DATE(A5545,B5545,C5545)</f>
        <v>45524</v>
      </c>
      <c r="F5545" s="478" t="s">
        <v>1309</v>
      </c>
      <c r="G5545" s="222" t="s">
        <v>1111</v>
      </c>
      <c r="H5545" s="223"/>
      <c r="I5545" s="223" t="s">
        <v>950</v>
      </c>
      <c r="J5545" s="224" t="s">
        <v>14</v>
      </c>
      <c r="K5545" s="167">
        <v>581880</v>
      </c>
      <c r="L5545" s="225"/>
    </row>
    <row r="5546" spans="1:12" ht="11.25" customHeight="1" x14ac:dyDescent="0.2">
      <c r="A5546" s="164">
        <v>2024</v>
      </c>
      <c r="B5546" s="164">
        <v>8</v>
      </c>
      <c r="C5546" s="156">
        <v>20</v>
      </c>
      <c r="D5546" s="156">
        <f t="shared" si="629"/>
        <v>45524</v>
      </c>
      <c r="E5546" s="235">
        <f t="shared" si="633"/>
        <v>45524</v>
      </c>
      <c r="F5546" s="480"/>
      <c r="G5546" s="208" t="s">
        <v>1111</v>
      </c>
      <c r="I5546" s="206" t="s">
        <v>950</v>
      </c>
      <c r="J5546" s="165" t="s">
        <v>1112</v>
      </c>
      <c r="K5546" s="205">
        <v>60748.270000000019</v>
      </c>
      <c r="L5546" s="156"/>
    </row>
    <row r="5547" spans="1:12" ht="11.25" customHeight="1" x14ac:dyDescent="0.2">
      <c r="A5547" s="226">
        <v>2024</v>
      </c>
      <c r="B5547" s="226">
        <v>8</v>
      </c>
      <c r="C5547" s="232">
        <v>20</v>
      </c>
      <c r="D5547" s="232">
        <f t="shared" si="629"/>
        <v>45524</v>
      </c>
      <c r="E5547" s="234">
        <f t="shared" si="633"/>
        <v>45524</v>
      </c>
      <c r="F5547" s="479"/>
      <c r="G5547" s="227" t="s">
        <v>1111</v>
      </c>
      <c r="H5547" s="228"/>
      <c r="I5547" s="228" t="s">
        <v>950</v>
      </c>
      <c r="J5547" s="229" t="s">
        <v>55</v>
      </c>
      <c r="K5547" s="230"/>
      <c r="L5547" s="230">
        <v>642628.27</v>
      </c>
    </row>
    <row r="5548" spans="1:12" ht="11.25" customHeight="1" x14ac:dyDescent="0.2">
      <c r="A5548" s="221">
        <v>2024</v>
      </c>
      <c r="B5548" s="221">
        <v>8</v>
      </c>
      <c r="C5548" s="231">
        <v>20</v>
      </c>
      <c r="D5548" s="231">
        <f t="shared" si="629"/>
        <v>45524</v>
      </c>
      <c r="E5548" s="233">
        <f t="shared" si="633"/>
        <v>45524</v>
      </c>
      <c r="F5548" s="478" t="s">
        <v>1774</v>
      </c>
      <c r="G5548" s="222" t="s">
        <v>1111</v>
      </c>
      <c r="H5548" s="222"/>
      <c r="I5548" s="223"/>
      <c r="J5548" s="224" t="s">
        <v>55</v>
      </c>
      <c r="K5548" s="357">
        <v>30905800.16</v>
      </c>
      <c r="L5548" s="225"/>
    </row>
    <row r="5549" spans="1:12" ht="11.25" customHeight="1" x14ac:dyDescent="0.2">
      <c r="A5549" s="164">
        <v>2024</v>
      </c>
      <c r="B5549" s="164">
        <v>8</v>
      </c>
      <c r="C5549" s="156">
        <v>20</v>
      </c>
      <c r="D5549" s="156">
        <f t="shared" si="629"/>
        <v>45524</v>
      </c>
      <c r="E5549" s="235">
        <f t="shared" si="633"/>
        <v>45524</v>
      </c>
      <c r="F5549" s="480"/>
      <c r="G5549" s="208" t="s">
        <v>1111</v>
      </c>
      <c r="H5549" s="208"/>
      <c r="J5549" s="165" t="s">
        <v>1618</v>
      </c>
      <c r="K5549" s="263"/>
      <c r="L5549" s="205">
        <v>859270.76</v>
      </c>
    </row>
    <row r="5550" spans="1:12" ht="11.25" customHeight="1" x14ac:dyDescent="0.2">
      <c r="A5550" s="226">
        <v>2024</v>
      </c>
      <c r="B5550" s="226">
        <v>8</v>
      </c>
      <c r="C5550" s="232">
        <v>20</v>
      </c>
      <c r="D5550" s="232">
        <f t="shared" si="629"/>
        <v>45524</v>
      </c>
      <c r="E5550" s="234">
        <f t="shared" si="633"/>
        <v>45524</v>
      </c>
      <c r="F5550" s="479"/>
      <c r="G5550" s="227" t="s">
        <v>1111</v>
      </c>
      <c r="H5550" s="227"/>
      <c r="I5550" s="228"/>
      <c r="J5550" s="229" t="s">
        <v>1615</v>
      </c>
      <c r="K5550" s="294"/>
      <c r="L5550" s="230">
        <v>30046529.399999999</v>
      </c>
    </row>
    <row r="5551" spans="1:12" ht="11.25" customHeight="1" x14ac:dyDescent="0.2">
      <c r="A5551" s="221">
        <v>2024</v>
      </c>
      <c r="B5551" s="221">
        <v>8</v>
      </c>
      <c r="C5551" s="221">
        <v>22</v>
      </c>
      <c r="D5551" s="221">
        <f t="shared" si="629"/>
        <v>45526</v>
      </c>
      <c r="E5551" s="233">
        <f t="shared" si="633"/>
        <v>45526</v>
      </c>
      <c r="F5551" s="478" t="s">
        <v>1759</v>
      </c>
      <c r="G5551" s="222" t="s">
        <v>86</v>
      </c>
      <c r="H5551" s="222"/>
      <c r="I5551" s="223"/>
      <c r="J5551" s="224" t="s">
        <v>80</v>
      </c>
      <c r="K5551" s="225">
        <v>3410318</v>
      </c>
      <c r="L5551" s="225"/>
    </row>
    <row r="5552" spans="1:12" ht="11.25" customHeight="1" x14ac:dyDescent="0.2">
      <c r="A5552" s="164">
        <v>2024</v>
      </c>
      <c r="B5552" s="164">
        <v>8</v>
      </c>
      <c r="C5552" s="164">
        <v>22</v>
      </c>
      <c r="D5552" s="164">
        <f t="shared" si="629"/>
        <v>45526</v>
      </c>
      <c r="E5552" s="235">
        <f t="shared" si="633"/>
        <v>45526</v>
      </c>
      <c r="F5552" s="480"/>
      <c r="G5552" s="208" t="s">
        <v>86</v>
      </c>
      <c r="H5552" s="208"/>
      <c r="J5552" s="165" t="s">
        <v>960</v>
      </c>
      <c r="K5552" s="205">
        <v>6138.5724</v>
      </c>
      <c r="L5552" s="205"/>
    </row>
    <row r="5553" spans="1:13" ht="11.25" customHeight="1" x14ac:dyDescent="0.2">
      <c r="A5553" s="226">
        <v>2024</v>
      </c>
      <c r="B5553" s="226">
        <v>8</v>
      </c>
      <c r="C5553" s="226">
        <v>22</v>
      </c>
      <c r="D5553" s="226">
        <f t="shared" si="629"/>
        <v>45526</v>
      </c>
      <c r="E5553" s="234">
        <f t="shared" si="633"/>
        <v>45526</v>
      </c>
      <c r="F5553" s="479"/>
      <c r="G5553" s="227" t="s">
        <v>86</v>
      </c>
      <c r="H5553" s="227"/>
      <c r="I5553" s="228"/>
      <c r="J5553" s="229" t="s">
        <v>961</v>
      </c>
      <c r="K5553" s="294"/>
      <c r="L5553" s="230">
        <v>3416456.57</v>
      </c>
    </row>
    <row r="5554" spans="1:13" ht="11.25" customHeight="1" x14ac:dyDescent="0.2">
      <c r="A5554" s="280">
        <v>2024</v>
      </c>
      <c r="B5554" s="280">
        <v>8</v>
      </c>
      <c r="C5554" s="280">
        <v>22</v>
      </c>
      <c r="D5554" s="281">
        <f t="shared" si="629"/>
        <v>45526</v>
      </c>
      <c r="E5554" s="282">
        <f t="shared" si="633"/>
        <v>45526</v>
      </c>
      <c r="F5554" s="472" t="s">
        <v>1744</v>
      </c>
      <c r="G5554" s="283" t="s">
        <v>86</v>
      </c>
      <c r="H5554" s="284"/>
      <c r="I5554" s="284"/>
      <c r="J5554" s="285" t="s">
        <v>131</v>
      </c>
      <c r="K5554" s="286">
        <v>19358.333333333332</v>
      </c>
      <c r="L5554" s="286"/>
    </row>
    <row r="5555" spans="1:13" ht="11.25" customHeight="1" x14ac:dyDescent="0.2">
      <c r="A5555" s="287">
        <v>2024</v>
      </c>
      <c r="B5555" s="287">
        <v>8</v>
      </c>
      <c r="C5555" s="287">
        <v>22</v>
      </c>
      <c r="D5555" s="288">
        <f t="shared" si="629"/>
        <v>45526</v>
      </c>
      <c r="E5555" s="289">
        <f t="shared" si="633"/>
        <v>45526</v>
      </c>
      <c r="F5555" s="473"/>
      <c r="G5555" s="290" t="s">
        <v>86</v>
      </c>
      <c r="H5555" s="291"/>
      <c r="I5555" s="291"/>
      <c r="J5555" s="292" t="s">
        <v>174</v>
      </c>
      <c r="K5555" s="293"/>
      <c r="L5555" s="293">
        <v>19358.333333333332</v>
      </c>
    </row>
    <row r="5556" spans="1:13" ht="11.25" customHeight="1" x14ac:dyDescent="0.2">
      <c r="A5556" s="280">
        <v>2024</v>
      </c>
      <c r="B5556" s="280">
        <v>8</v>
      </c>
      <c r="C5556" s="280">
        <v>22</v>
      </c>
      <c r="D5556" s="281">
        <f t="shared" si="629"/>
        <v>45526</v>
      </c>
      <c r="E5556" s="282">
        <f t="shared" si="633"/>
        <v>45526</v>
      </c>
      <c r="F5556" s="472" t="s">
        <v>1584</v>
      </c>
      <c r="G5556" s="283" t="s">
        <v>86</v>
      </c>
      <c r="H5556" s="284"/>
      <c r="I5556" s="284"/>
      <c r="J5556" s="285" t="s">
        <v>131</v>
      </c>
      <c r="K5556" s="286">
        <v>8653.8461538461543</v>
      </c>
      <c r="L5556" s="286"/>
    </row>
    <row r="5557" spans="1:13" ht="11.25" customHeight="1" x14ac:dyDescent="0.2">
      <c r="A5557" s="287">
        <v>2024</v>
      </c>
      <c r="B5557" s="287">
        <v>8</v>
      </c>
      <c r="C5557" s="287">
        <v>22</v>
      </c>
      <c r="D5557" s="288">
        <f t="shared" si="629"/>
        <v>45526</v>
      </c>
      <c r="E5557" s="289">
        <f t="shared" si="633"/>
        <v>45526</v>
      </c>
      <c r="F5557" s="473"/>
      <c r="G5557" s="290" t="s">
        <v>86</v>
      </c>
      <c r="H5557" s="291"/>
      <c r="I5557" s="291"/>
      <c r="J5557" s="292" t="s">
        <v>174</v>
      </c>
      <c r="K5557" s="293"/>
      <c r="L5557" s="293">
        <v>8653.8461538461543</v>
      </c>
    </row>
    <row r="5558" spans="1:13" ht="11.25" customHeight="1" x14ac:dyDescent="0.2">
      <c r="A5558" s="341">
        <v>2024</v>
      </c>
      <c r="B5558" s="341">
        <v>8</v>
      </c>
      <c r="C5558" s="341">
        <v>22</v>
      </c>
      <c r="D5558" s="328">
        <f t="shared" si="629"/>
        <v>45526</v>
      </c>
      <c r="E5558" s="329">
        <f t="shared" si="633"/>
        <v>45526</v>
      </c>
      <c r="F5558" s="474" t="s">
        <v>1767</v>
      </c>
      <c r="G5558" s="330" t="s">
        <v>86</v>
      </c>
      <c r="H5558" s="332"/>
      <c r="I5558" s="332"/>
      <c r="J5558" s="342" t="s">
        <v>67</v>
      </c>
      <c r="K5558" s="343">
        <v>58130.48</v>
      </c>
      <c r="L5558" s="343"/>
    </row>
    <row r="5559" spans="1:13" ht="11.25" customHeight="1" x14ac:dyDescent="0.2">
      <c r="A5559" s="344">
        <v>2024</v>
      </c>
      <c r="B5559" s="344">
        <v>8</v>
      </c>
      <c r="C5559" s="344">
        <v>22</v>
      </c>
      <c r="D5559" s="337">
        <f t="shared" si="629"/>
        <v>45526</v>
      </c>
      <c r="E5559" s="338">
        <f t="shared" si="633"/>
        <v>45526</v>
      </c>
      <c r="F5559" s="475"/>
      <c r="G5559" s="339" t="s">
        <v>86</v>
      </c>
      <c r="H5559" s="340"/>
      <c r="I5559" s="340"/>
      <c r="J5559" s="345" t="s">
        <v>174</v>
      </c>
      <c r="K5559" s="346"/>
      <c r="L5559" s="346">
        <f>K5558</f>
        <v>58130.48</v>
      </c>
    </row>
    <row r="5560" spans="1:13" ht="11.25" customHeight="1" x14ac:dyDescent="0.2">
      <c r="A5560" s="358">
        <v>2024</v>
      </c>
      <c r="B5560" s="358">
        <v>8</v>
      </c>
      <c r="C5560" s="358">
        <v>22</v>
      </c>
      <c r="D5560" s="312">
        <f t="shared" si="629"/>
        <v>45526</v>
      </c>
      <c r="E5560" s="313">
        <f>DATE(A5560,B5560,C5560)</f>
        <v>45526</v>
      </c>
      <c r="F5560" s="482" t="s">
        <v>1627</v>
      </c>
      <c r="G5560" s="314" t="s">
        <v>86</v>
      </c>
      <c r="H5560" s="324"/>
      <c r="I5560" s="324"/>
      <c r="J5560" s="364" t="s">
        <v>1621</v>
      </c>
      <c r="K5560" s="365">
        <v>30909.999999998137</v>
      </c>
      <c r="L5560" s="365"/>
    </row>
    <row r="5561" spans="1:13" ht="11.25" customHeight="1" x14ac:dyDescent="0.2">
      <c r="A5561" s="320">
        <v>2024</v>
      </c>
      <c r="B5561" s="320">
        <v>8</v>
      </c>
      <c r="C5561" s="320">
        <v>22</v>
      </c>
      <c r="D5561" s="323">
        <f t="shared" si="629"/>
        <v>45526</v>
      </c>
      <c r="E5561" s="321">
        <f t="shared" ref="E5561" si="634">DATE(A5561,B5561,C5561)</f>
        <v>45526</v>
      </c>
      <c r="F5561" s="483"/>
      <c r="G5561" s="322" t="s">
        <v>86</v>
      </c>
      <c r="H5561" s="325"/>
      <c r="I5561" s="325"/>
      <c r="J5561" s="366" t="s">
        <v>1613</v>
      </c>
      <c r="K5561" s="367"/>
      <c r="L5561" s="367">
        <f>K5560</f>
        <v>30909.999999998137</v>
      </c>
    </row>
    <row r="5562" spans="1:13" ht="11.25" customHeight="1" x14ac:dyDescent="0.2">
      <c r="A5562" s="358">
        <v>2024</v>
      </c>
      <c r="B5562" s="358">
        <v>8</v>
      </c>
      <c r="C5562" s="358">
        <v>22</v>
      </c>
      <c r="D5562" s="312">
        <f t="shared" si="629"/>
        <v>45526</v>
      </c>
      <c r="E5562" s="313">
        <f>DATE(A5562,B5562,C5562)</f>
        <v>45526</v>
      </c>
      <c r="F5562" s="482" t="s">
        <v>1713</v>
      </c>
      <c r="G5562" s="314" t="s">
        <v>86</v>
      </c>
      <c r="H5562" s="324"/>
      <c r="I5562" s="324"/>
      <c r="J5562" s="364" t="s">
        <v>1614</v>
      </c>
      <c r="K5562" s="365">
        <v>762067.83000000566</v>
      </c>
      <c r="L5562" s="365"/>
    </row>
    <row r="5563" spans="1:13" ht="11.25" customHeight="1" x14ac:dyDescent="0.2">
      <c r="A5563" s="320">
        <v>2024</v>
      </c>
      <c r="B5563" s="320">
        <v>8</v>
      </c>
      <c r="C5563" s="320">
        <v>22</v>
      </c>
      <c r="D5563" s="323">
        <f t="shared" si="629"/>
        <v>45526</v>
      </c>
      <c r="E5563" s="321">
        <f t="shared" ref="E5563:E5598" si="635">DATE(A5563,B5563,C5563)</f>
        <v>45526</v>
      </c>
      <c r="F5563" s="483"/>
      <c r="G5563" s="322" t="s">
        <v>86</v>
      </c>
      <c r="H5563" s="325"/>
      <c r="I5563" s="325"/>
      <c r="J5563" s="366" t="s">
        <v>1622</v>
      </c>
      <c r="K5563" s="367"/>
      <c r="L5563" s="367">
        <f>K5562</f>
        <v>762067.83000000566</v>
      </c>
    </row>
    <row r="5564" spans="1:13" ht="11.25" customHeight="1" x14ac:dyDescent="0.2">
      <c r="A5564" s="236">
        <v>2024</v>
      </c>
      <c r="B5564" s="236">
        <v>8</v>
      </c>
      <c r="C5564" s="236">
        <v>22</v>
      </c>
      <c r="D5564" s="237">
        <f t="shared" si="629"/>
        <v>45526</v>
      </c>
      <c r="E5564" s="238">
        <f t="shared" si="635"/>
        <v>45526</v>
      </c>
      <c r="F5564" s="476" t="s">
        <v>1118</v>
      </c>
      <c r="G5564" s="239" t="s">
        <v>86</v>
      </c>
      <c r="H5564" s="239"/>
      <c r="I5564" s="240"/>
      <c r="J5564" s="241" t="s">
        <v>82</v>
      </c>
      <c r="K5564" s="242">
        <v>356656.26000000536</v>
      </c>
      <c r="L5564" s="242"/>
    </row>
    <row r="5565" spans="1:13" ht="11.25" customHeight="1" x14ac:dyDescent="0.2">
      <c r="A5565" s="243">
        <v>2024</v>
      </c>
      <c r="B5565" s="243">
        <v>8</v>
      </c>
      <c r="C5565" s="243">
        <v>22</v>
      </c>
      <c r="D5565" s="248">
        <f t="shared" si="629"/>
        <v>45526</v>
      </c>
      <c r="E5565" s="249">
        <f t="shared" si="635"/>
        <v>45526</v>
      </c>
      <c r="F5565" s="477"/>
      <c r="G5565" s="244" t="s">
        <v>86</v>
      </c>
      <c r="H5565" s="244"/>
      <c r="I5565" s="245"/>
      <c r="J5565" s="246" t="s">
        <v>98</v>
      </c>
      <c r="K5565" s="247"/>
      <c r="L5565" s="247">
        <f>K5564</f>
        <v>356656.26000000536</v>
      </c>
    </row>
    <row r="5566" spans="1:13" ht="11.25" customHeight="1" x14ac:dyDescent="0.2">
      <c r="A5566" s="236">
        <v>2024</v>
      </c>
      <c r="B5566" s="236">
        <v>8</v>
      </c>
      <c r="C5566" s="236">
        <v>22</v>
      </c>
      <c r="D5566" s="237">
        <f t="shared" si="629"/>
        <v>45526</v>
      </c>
      <c r="E5566" s="238">
        <f t="shared" si="635"/>
        <v>45526</v>
      </c>
      <c r="F5566" s="476" t="s">
        <v>1120</v>
      </c>
      <c r="G5566" s="239" t="s">
        <v>86</v>
      </c>
      <c r="H5566" s="239"/>
      <c r="I5566" s="240"/>
      <c r="J5566" s="241" t="s">
        <v>87</v>
      </c>
      <c r="K5566" s="242">
        <v>2747.2527472527472</v>
      </c>
      <c r="L5566" s="242"/>
    </row>
    <row r="5567" spans="1:13" ht="11.25" customHeight="1" x14ac:dyDescent="0.2">
      <c r="A5567" s="243">
        <v>2024</v>
      </c>
      <c r="B5567" s="243">
        <v>8</v>
      </c>
      <c r="C5567" s="243">
        <v>22</v>
      </c>
      <c r="D5567" s="248">
        <f t="shared" si="629"/>
        <v>45526</v>
      </c>
      <c r="E5567" s="249">
        <f t="shared" si="635"/>
        <v>45526</v>
      </c>
      <c r="F5567" s="477"/>
      <c r="G5567" s="244" t="s">
        <v>86</v>
      </c>
      <c r="H5567" s="244"/>
      <c r="I5567" s="245"/>
      <c r="J5567" s="246" t="s">
        <v>64</v>
      </c>
      <c r="K5567" s="247"/>
      <c r="L5567" s="247">
        <v>2747.2527472527472</v>
      </c>
    </row>
    <row r="5568" spans="1:13" ht="11.25" customHeight="1" x14ac:dyDescent="0.2">
      <c r="A5568" s="236">
        <v>2024</v>
      </c>
      <c r="B5568" s="236">
        <v>8</v>
      </c>
      <c r="C5568" s="236">
        <v>22</v>
      </c>
      <c r="D5568" s="237">
        <f t="shared" si="629"/>
        <v>45526</v>
      </c>
      <c r="E5568" s="238">
        <f t="shared" si="635"/>
        <v>45526</v>
      </c>
      <c r="F5568" s="476" t="s">
        <v>1121</v>
      </c>
      <c r="G5568" s="239" t="s">
        <v>86</v>
      </c>
      <c r="H5568" s="239"/>
      <c r="I5568" s="240"/>
      <c r="J5568" s="241" t="s">
        <v>89</v>
      </c>
      <c r="K5568" s="242">
        <f>M5568</f>
        <v>76930.906739522048</v>
      </c>
      <c r="L5568" s="242"/>
      <c r="M5568" s="156">
        <v>76930.906739522048</v>
      </c>
    </row>
    <row r="5569" spans="1:13" ht="11.25" customHeight="1" x14ac:dyDescent="0.2">
      <c r="A5569" s="243">
        <v>2024</v>
      </c>
      <c r="B5569" s="243">
        <v>8</v>
      </c>
      <c r="C5569" s="243">
        <v>22</v>
      </c>
      <c r="D5569" s="248">
        <f t="shared" si="629"/>
        <v>45526</v>
      </c>
      <c r="E5569" s="249">
        <f t="shared" si="635"/>
        <v>45526</v>
      </c>
      <c r="F5569" s="477"/>
      <c r="G5569" s="244" t="s">
        <v>86</v>
      </c>
      <c r="H5569" s="244"/>
      <c r="I5569" s="245"/>
      <c r="J5569" s="246" t="s">
        <v>50</v>
      </c>
      <c r="K5569" s="247"/>
      <c r="L5569" s="247">
        <f>K5568</f>
        <v>76930.906739522048</v>
      </c>
      <c r="M5569" s="156">
        <v>3606.1607215914869</v>
      </c>
    </row>
    <row r="5570" spans="1:13" ht="11.25" customHeight="1" x14ac:dyDescent="0.2">
      <c r="A5570" s="236">
        <v>2024</v>
      </c>
      <c r="B5570" s="236">
        <v>8</v>
      </c>
      <c r="C5570" s="236">
        <v>22</v>
      </c>
      <c r="D5570" s="237">
        <f t="shared" si="629"/>
        <v>45526</v>
      </c>
      <c r="E5570" s="238">
        <f t="shared" si="635"/>
        <v>45526</v>
      </c>
      <c r="F5570" s="476" t="s">
        <v>1122</v>
      </c>
      <c r="G5570" s="239" t="s">
        <v>86</v>
      </c>
      <c r="H5570" s="239"/>
      <c r="I5570" s="240"/>
      <c r="J5570" s="241" t="s">
        <v>91</v>
      </c>
      <c r="K5570" s="242">
        <f>M5569</f>
        <v>3606.1607215914869</v>
      </c>
      <c r="L5570" s="242"/>
    </row>
    <row r="5571" spans="1:13" ht="11.25" customHeight="1" x14ac:dyDescent="0.2">
      <c r="A5571" s="243">
        <v>2024</v>
      </c>
      <c r="B5571" s="243">
        <v>8</v>
      </c>
      <c r="C5571" s="243">
        <v>22</v>
      </c>
      <c r="D5571" s="248">
        <f t="shared" si="629"/>
        <v>45526</v>
      </c>
      <c r="E5571" s="249">
        <f t="shared" si="635"/>
        <v>45526</v>
      </c>
      <c r="F5571" s="477"/>
      <c r="G5571" s="244" t="s">
        <v>86</v>
      </c>
      <c r="H5571" s="244"/>
      <c r="I5571" s="245"/>
      <c r="J5571" s="246" t="s">
        <v>51</v>
      </c>
      <c r="K5571" s="247"/>
      <c r="L5571" s="247">
        <f>K5570</f>
        <v>3606.1607215914869</v>
      </c>
    </row>
    <row r="5572" spans="1:13" ht="11.25" customHeight="1" x14ac:dyDescent="0.2">
      <c r="A5572" s="164">
        <v>2024</v>
      </c>
      <c r="B5572" s="164">
        <v>8</v>
      </c>
      <c r="C5572" s="164">
        <v>25</v>
      </c>
      <c r="D5572" s="164">
        <f t="shared" si="629"/>
        <v>45529</v>
      </c>
      <c r="E5572" s="235">
        <f t="shared" si="635"/>
        <v>45529</v>
      </c>
      <c r="F5572" s="480" t="s">
        <v>1777</v>
      </c>
      <c r="G5572" s="208" t="s">
        <v>86</v>
      </c>
      <c r="H5572" s="208"/>
      <c r="J5572" s="165" t="s">
        <v>960</v>
      </c>
      <c r="K5572" s="205">
        <v>1665</v>
      </c>
      <c r="L5572" s="205"/>
    </row>
    <row r="5573" spans="1:13" ht="11.25" customHeight="1" x14ac:dyDescent="0.2">
      <c r="A5573" s="164">
        <v>2024</v>
      </c>
      <c r="B5573" s="164">
        <v>8</v>
      </c>
      <c r="C5573" s="164">
        <v>25</v>
      </c>
      <c r="D5573" s="164">
        <f t="shared" si="629"/>
        <v>45529</v>
      </c>
      <c r="E5573" s="235">
        <f t="shared" si="635"/>
        <v>45529</v>
      </c>
      <c r="F5573" s="480"/>
      <c r="G5573" s="208" t="s">
        <v>86</v>
      </c>
      <c r="H5573" s="208"/>
      <c r="J5573" s="165" t="s">
        <v>199</v>
      </c>
      <c r="K5573" s="263">
        <v>923335</v>
      </c>
      <c r="L5573" s="205"/>
    </row>
    <row r="5574" spans="1:13" ht="11.25" customHeight="1" x14ac:dyDescent="0.2">
      <c r="A5574" s="164">
        <v>2024</v>
      </c>
      <c r="B5574" s="164">
        <v>8</v>
      </c>
      <c r="C5574" s="164">
        <v>25</v>
      </c>
      <c r="D5574" s="164">
        <f t="shared" si="629"/>
        <v>45529</v>
      </c>
      <c r="E5574" s="235">
        <f t="shared" si="635"/>
        <v>45529</v>
      </c>
      <c r="F5574" s="480"/>
      <c r="G5574" s="208" t="s">
        <v>86</v>
      </c>
      <c r="H5574" s="208"/>
      <c r="J5574" s="165" t="s">
        <v>200</v>
      </c>
      <c r="K5574" s="263"/>
      <c r="L5574" s="263">
        <v>181761.84</v>
      </c>
    </row>
    <row r="5575" spans="1:13" ht="11.25" customHeight="1" x14ac:dyDescent="0.2">
      <c r="A5575" s="226">
        <v>2024</v>
      </c>
      <c r="B5575" s="226">
        <v>8</v>
      </c>
      <c r="C5575" s="226">
        <v>25</v>
      </c>
      <c r="D5575" s="226">
        <f t="shared" si="629"/>
        <v>45529</v>
      </c>
      <c r="E5575" s="234">
        <f t="shared" si="635"/>
        <v>45529</v>
      </c>
      <c r="F5575" s="479"/>
      <c r="G5575" s="227" t="s">
        <v>86</v>
      </c>
      <c r="H5575" s="228"/>
      <c r="I5575" s="228"/>
      <c r="J5575" s="229" t="s">
        <v>80</v>
      </c>
      <c r="K5575" s="230"/>
      <c r="L5575" s="230">
        <v>743238.16</v>
      </c>
    </row>
    <row r="5576" spans="1:13" ht="11.25" customHeight="1" x14ac:dyDescent="0.2">
      <c r="A5576" s="221">
        <v>2024</v>
      </c>
      <c r="B5576" s="221">
        <v>8</v>
      </c>
      <c r="C5576" s="221">
        <v>25</v>
      </c>
      <c r="D5576" s="231">
        <f t="shared" si="629"/>
        <v>45529</v>
      </c>
      <c r="E5576" s="233">
        <f t="shared" si="635"/>
        <v>45529</v>
      </c>
      <c r="F5576" s="478" t="s">
        <v>1776</v>
      </c>
      <c r="G5576" s="222" t="s">
        <v>86</v>
      </c>
      <c r="H5576" s="223"/>
      <c r="I5576" s="223"/>
      <c r="J5576" s="224" t="s">
        <v>192</v>
      </c>
      <c r="K5576" s="225">
        <v>553100</v>
      </c>
      <c r="L5576" s="225"/>
    </row>
    <row r="5577" spans="1:13" ht="11.25" customHeight="1" x14ac:dyDescent="0.2">
      <c r="A5577" s="226">
        <v>2024</v>
      </c>
      <c r="B5577" s="226">
        <v>8</v>
      </c>
      <c r="C5577" s="226">
        <v>25</v>
      </c>
      <c r="D5577" s="232">
        <f t="shared" ref="D5577:D5640" si="636">DATE(A5577,B5577,C5577)</f>
        <v>45529</v>
      </c>
      <c r="E5577" s="234">
        <f t="shared" si="635"/>
        <v>45529</v>
      </c>
      <c r="F5577" s="479"/>
      <c r="G5577" s="227" t="s">
        <v>86</v>
      </c>
      <c r="H5577" s="228"/>
      <c r="I5577" s="228"/>
      <c r="J5577" s="229" t="s">
        <v>191</v>
      </c>
      <c r="K5577" s="230"/>
      <c r="L5577" s="230">
        <v>553100</v>
      </c>
    </row>
    <row r="5578" spans="1:13" ht="11.25" customHeight="1" x14ac:dyDescent="0.2">
      <c r="A5578" s="221">
        <v>2024</v>
      </c>
      <c r="B5578" s="221">
        <v>8</v>
      </c>
      <c r="C5578" s="221">
        <v>25</v>
      </c>
      <c r="D5578" s="231">
        <f t="shared" si="636"/>
        <v>45529</v>
      </c>
      <c r="E5578" s="233">
        <f t="shared" si="635"/>
        <v>45529</v>
      </c>
      <c r="F5578" s="478" t="s">
        <v>1196</v>
      </c>
      <c r="G5578" s="222" t="s">
        <v>1111</v>
      </c>
      <c r="H5578" s="223"/>
      <c r="I5578" s="223"/>
      <c r="J5578" s="224" t="s">
        <v>95</v>
      </c>
      <c r="K5578" s="225">
        <v>2107.27</v>
      </c>
      <c r="L5578" s="225"/>
      <c r="M5578" s="166"/>
    </row>
    <row r="5579" spans="1:13" ht="11.25" customHeight="1" x14ac:dyDescent="0.2">
      <c r="A5579" s="164">
        <v>2024</v>
      </c>
      <c r="B5579" s="164">
        <v>8</v>
      </c>
      <c r="C5579" s="164">
        <v>25</v>
      </c>
      <c r="D5579" s="156">
        <f t="shared" si="636"/>
        <v>45529</v>
      </c>
      <c r="E5579" s="235">
        <f t="shared" si="635"/>
        <v>45529</v>
      </c>
      <c r="F5579" s="480"/>
      <c r="G5579" s="208" t="s">
        <v>1111</v>
      </c>
      <c r="J5579" s="165" t="s">
        <v>478</v>
      </c>
      <c r="K5579" s="205"/>
      <c r="L5579" s="205">
        <v>210.73</v>
      </c>
    </row>
    <row r="5580" spans="1:13" ht="11.25" customHeight="1" x14ac:dyDescent="0.2">
      <c r="A5580" s="226">
        <v>2024</v>
      </c>
      <c r="B5580" s="226">
        <v>8</v>
      </c>
      <c r="C5580" s="226">
        <v>25</v>
      </c>
      <c r="D5580" s="232">
        <f t="shared" si="636"/>
        <v>45529</v>
      </c>
      <c r="E5580" s="234">
        <f t="shared" si="635"/>
        <v>45529</v>
      </c>
      <c r="F5580" s="479"/>
      <c r="G5580" s="227" t="s">
        <v>1111</v>
      </c>
      <c r="H5580" s="228"/>
      <c r="I5580" s="228"/>
      <c r="J5580" s="229" t="s">
        <v>55</v>
      </c>
      <c r="K5580" s="230"/>
      <c r="L5580" s="230">
        <v>1896.54</v>
      </c>
    </row>
    <row r="5581" spans="1:13" ht="11.25" customHeight="1" x14ac:dyDescent="0.2">
      <c r="A5581" s="221">
        <v>2024</v>
      </c>
      <c r="B5581" s="221">
        <v>8</v>
      </c>
      <c r="C5581" s="231">
        <v>25</v>
      </c>
      <c r="D5581" s="231">
        <f t="shared" si="636"/>
        <v>45529</v>
      </c>
      <c r="E5581" s="233">
        <f t="shared" si="635"/>
        <v>45529</v>
      </c>
      <c r="F5581" s="478" t="s">
        <v>1762</v>
      </c>
      <c r="G5581" s="222" t="s">
        <v>1111</v>
      </c>
      <c r="H5581" s="223"/>
      <c r="I5581" s="223"/>
      <c r="J5581" s="224" t="s">
        <v>961</v>
      </c>
      <c r="K5581" s="225">
        <v>60723.75</v>
      </c>
      <c r="L5581" s="225"/>
    </row>
    <row r="5582" spans="1:13" ht="11.25" customHeight="1" x14ac:dyDescent="0.2">
      <c r="A5582" s="226">
        <v>2024</v>
      </c>
      <c r="B5582" s="226">
        <v>8</v>
      </c>
      <c r="C5582" s="232">
        <v>25</v>
      </c>
      <c r="D5582" s="232">
        <f t="shared" si="636"/>
        <v>45529</v>
      </c>
      <c r="E5582" s="234">
        <f t="shared" si="635"/>
        <v>45529</v>
      </c>
      <c r="F5582" s="479"/>
      <c r="G5582" s="227" t="s">
        <v>1111</v>
      </c>
      <c r="H5582" s="228"/>
      <c r="I5582" s="228"/>
      <c r="J5582" s="229" t="s">
        <v>55</v>
      </c>
      <c r="K5582" s="230"/>
      <c r="L5582" s="230">
        <v>60723.75</v>
      </c>
    </row>
    <row r="5583" spans="1:13" ht="11.25" customHeight="1" x14ac:dyDescent="0.2">
      <c r="A5583" s="221">
        <v>2024</v>
      </c>
      <c r="B5583" s="221">
        <v>8</v>
      </c>
      <c r="C5583" s="231">
        <v>25</v>
      </c>
      <c r="D5583" s="231">
        <f t="shared" si="636"/>
        <v>45529</v>
      </c>
      <c r="E5583" s="233">
        <f t="shared" ref="E5583:E5586" si="637">DATE(A5583,B5583,C5583)</f>
        <v>45529</v>
      </c>
      <c r="F5583" s="478" t="s">
        <v>1760</v>
      </c>
      <c r="G5583" s="222" t="s">
        <v>1111</v>
      </c>
      <c r="H5583" s="223"/>
      <c r="I5583" s="223"/>
      <c r="J5583" s="224" t="s">
        <v>961</v>
      </c>
      <c r="K5583" s="225">
        <v>3416456.57</v>
      </c>
      <c r="L5583" s="225"/>
    </row>
    <row r="5584" spans="1:13" ht="11.25" customHeight="1" x14ac:dyDescent="0.2">
      <c r="A5584" s="226">
        <v>2024</v>
      </c>
      <c r="B5584" s="226">
        <v>8</v>
      </c>
      <c r="C5584" s="232">
        <v>25</v>
      </c>
      <c r="D5584" s="232">
        <f t="shared" si="636"/>
        <v>45529</v>
      </c>
      <c r="E5584" s="234">
        <f t="shared" si="637"/>
        <v>45529</v>
      </c>
      <c r="F5584" s="479"/>
      <c r="G5584" s="227" t="s">
        <v>1111</v>
      </c>
      <c r="H5584" s="228"/>
      <c r="I5584" s="228"/>
      <c r="J5584" s="229" t="s">
        <v>55</v>
      </c>
      <c r="K5584" s="230"/>
      <c r="L5584" s="230">
        <v>3416456.57</v>
      </c>
    </row>
    <row r="5585" spans="1:12" ht="11.25" customHeight="1" x14ac:dyDescent="0.2">
      <c r="A5585" s="221">
        <v>2024</v>
      </c>
      <c r="B5585" s="221">
        <v>8</v>
      </c>
      <c r="C5585" s="231">
        <v>25</v>
      </c>
      <c r="D5585" s="231">
        <f t="shared" si="636"/>
        <v>45529</v>
      </c>
      <c r="E5585" s="233">
        <f t="shared" si="637"/>
        <v>45529</v>
      </c>
      <c r="F5585" s="478" t="s">
        <v>1670</v>
      </c>
      <c r="G5585" s="222" t="s">
        <v>1111</v>
      </c>
      <c r="H5585" s="223"/>
      <c r="I5585" s="223"/>
      <c r="J5585" s="224" t="s">
        <v>63</v>
      </c>
      <c r="K5585" s="225">
        <v>200</v>
      </c>
      <c r="L5585" s="225"/>
    </row>
    <row r="5586" spans="1:12" ht="11.25" customHeight="1" x14ac:dyDescent="0.2">
      <c r="A5586" s="226">
        <v>2024</v>
      </c>
      <c r="B5586" s="226">
        <v>8</v>
      </c>
      <c r="C5586" s="232">
        <v>25</v>
      </c>
      <c r="D5586" s="232">
        <f t="shared" si="636"/>
        <v>45529</v>
      </c>
      <c r="E5586" s="234">
        <f t="shared" si="637"/>
        <v>45529</v>
      </c>
      <c r="F5586" s="479"/>
      <c r="G5586" s="227" t="s">
        <v>1111</v>
      </c>
      <c r="H5586" s="228"/>
      <c r="I5586" s="228"/>
      <c r="J5586" s="229" t="s">
        <v>55</v>
      </c>
      <c r="K5586" s="230"/>
      <c r="L5586" s="230">
        <v>200</v>
      </c>
    </row>
    <row r="5587" spans="1:12" ht="11.25" customHeight="1" x14ac:dyDescent="0.2">
      <c r="A5587" s="221">
        <v>2024</v>
      </c>
      <c r="B5587" s="221">
        <v>8</v>
      </c>
      <c r="C5587" s="231">
        <v>25</v>
      </c>
      <c r="D5587" s="231">
        <f t="shared" si="636"/>
        <v>45529</v>
      </c>
      <c r="E5587" s="233">
        <f t="shared" ref="E5587:E5592" si="638">DATE(A5587,B5587,C5587)</f>
        <v>45529</v>
      </c>
      <c r="F5587" s="478" t="s">
        <v>802</v>
      </c>
      <c r="G5587" s="222" t="s">
        <v>1111</v>
      </c>
      <c r="H5587" s="223"/>
      <c r="I5587" s="223" t="s">
        <v>320</v>
      </c>
      <c r="J5587" s="224" t="s">
        <v>55</v>
      </c>
      <c r="K5587" s="167">
        <v>600000</v>
      </c>
      <c r="L5587" s="225"/>
    </row>
    <row r="5588" spans="1:12" ht="11.25" customHeight="1" x14ac:dyDescent="0.2">
      <c r="A5588" s="164">
        <v>2024</v>
      </c>
      <c r="B5588" s="164">
        <v>8</v>
      </c>
      <c r="C5588" s="156">
        <v>25</v>
      </c>
      <c r="D5588" s="156">
        <f t="shared" si="636"/>
        <v>45529</v>
      </c>
      <c r="E5588" s="235">
        <f t="shared" si="638"/>
        <v>45529</v>
      </c>
      <c r="F5588" s="480"/>
      <c r="G5588" s="208" t="s">
        <v>1111</v>
      </c>
      <c r="I5588" s="206" t="s">
        <v>320</v>
      </c>
      <c r="J5588" s="165" t="s">
        <v>14</v>
      </c>
      <c r="L5588" s="418">
        <v>543380</v>
      </c>
    </row>
    <row r="5589" spans="1:12" ht="11.25" customHeight="1" x14ac:dyDescent="0.2">
      <c r="A5589" s="226">
        <v>2024</v>
      </c>
      <c r="B5589" s="226">
        <v>8</v>
      </c>
      <c r="C5589" s="232">
        <v>25</v>
      </c>
      <c r="D5589" s="232">
        <f t="shared" si="636"/>
        <v>45529</v>
      </c>
      <c r="E5589" s="234">
        <f t="shared" si="638"/>
        <v>45529</v>
      </c>
      <c r="F5589" s="479"/>
      <c r="G5589" s="227" t="s">
        <v>1111</v>
      </c>
      <c r="H5589" s="228"/>
      <c r="I5589" s="228" t="s">
        <v>320</v>
      </c>
      <c r="J5589" s="229" t="s">
        <v>1112</v>
      </c>
      <c r="K5589" s="230"/>
      <c r="L5589" s="230">
        <v>56620</v>
      </c>
    </row>
    <row r="5590" spans="1:12" ht="11.25" customHeight="1" x14ac:dyDescent="0.2">
      <c r="A5590" s="221">
        <v>2024</v>
      </c>
      <c r="B5590" s="221">
        <v>8</v>
      </c>
      <c r="C5590" s="231">
        <v>25</v>
      </c>
      <c r="D5590" s="231">
        <f t="shared" si="636"/>
        <v>45529</v>
      </c>
      <c r="E5590" s="233">
        <f t="shared" si="638"/>
        <v>45529</v>
      </c>
      <c r="F5590" s="478" t="s">
        <v>1142</v>
      </c>
      <c r="G5590" s="222" t="s">
        <v>1111</v>
      </c>
      <c r="H5590" s="223"/>
      <c r="I5590" s="223"/>
      <c r="J5590" s="224" t="s">
        <v>189</v>
      </c>
      <c r="K5590" s="225">
        <v>1575</v>
      </c>
      <c r="L5590" s="225"/>
    </row>
    <row r="5591" spans="1:12" ht="11.25" customHeight="1" x14ac:dyDescent="0.2">
      <c r="A5591" s="164">
        <v>2024</v>
      </c>
      <c r="B5591" s="164">
        <v>8</v>
      </c>
      <c r="C5591" s="156">
        <v>25</v>
      </c>
      <c r="D5591" s="156">
        <f t="shared" si="636"/>
        <v>45529</v>
      </c>
      <c r="E5591" s="235">
        <f t="shared" si="638"/>
        <v>45529</v>
      </c>
      <c r="F5591" s="480"/>
      <c r="G5591" s="208" t="s">
        <v>1111</v>
      </c>
      <c r="J5591" s="165" t="s">
        <v>1707</v>
      </c>
      <c r="K5591" s="205"/>
      <c r="L5591" s="205">
        <v>150</v>
      </c>
    </row>
    <row r="5592" spans="1:12" ht="11.25" customHeight="1" x14ac:dyDescent="0.2">
      <c r="A5592" s="226">
        <v>2024</v>
      </c>
      <c r="B5592" s="226">
        <v>8</v>
      </c>
      <c r="C5592" s="232">
        <v>25</v>
      </c>
      <c r="D5592" s="232">
        <f t="shared" si="636"/>
        <v>45529</v>
      </c>
      <c r="E5592" s="234">
        <f t="shared" si="638"/>
        <v>45529</v>
      </c>
      <c r="F5592" s="479"/>
      <c r="G5592" s="227" t="s">
        <v>1111</v>
      </c>
      <c r="H5592" s="228"/>
      <c r="I5592" s="228"/>
      <c r="J5592" s="229" t="s">
        <v>55</v>
      </c>
      <c r="K5592" s="230"/>
      <c r="L5592" s="230">
        <v>1425</v>
      </c>
    </row>
    <row r="5593" spans="1:12" ht="11.25" customHeight="1" x14ac:dyDescent="0.2">
      <c r="A5593" s="221">
        <v>2024</v>
      </c>
      <c r="B5593" s="221">
        <v>8</v>
      </c>
      <c r="C5593" s="231">
        <v>27</v>
      </c>
      <c r="D5593" s="231">
        <f t="shared" si="636"/>
        <v>45531</v>
      </c>
      <c r="E5593" s="233">
        <f t="shared" si="635"/>
        <v>45531</v>
      </c>
      <c r="F5593" s="478" t="s">
        <v>1132</v>
      </c>
      <c r="G5593" s="222" t="s">
        <v>1111</v>
      </c>
      <c r="H5593" s="223"/>
      <c r="I5593" s="223"/>
      <c r="J5593" s="224" t="s">
        <v>55</v>
      </c>
      <c r="K5593" s="167">
        <v>19000</v>
      </c>
      <c r="L5593" s="225"/>
    </row>
    <row r="5594" spans="1:12" ht="11.25" customHeight="1" x14ac:dyDescent="0.2">
      <c r="A5594" s="164">
        <v>2024</v>
      </c>
      <c r="B5594" s="164">
        <v>8</v>
      </c>
      <c r="C5594" s="156">
        <v>27</v>
      </c>
      <c r="D5594" s="156">
        <f t="shared" si="636"/>
        <v>45531</v>
      </c>
      <c r="E5594" s="235">
        <f t="shared" si="635"/>
        <v>45531</v>
      </c>
      <c r="F5594" s="480"/>
      <c r="G5594" s="208" t="s">
        <v>1111</v>
      </c>
      <c r="J5594" s="165" t="s">
        <v>14</v>
      </c>
      <c r="L5594" s="205">
        <v>17210</v>
      </c>
    </row>
    <row r="5595" spans="1:12" ht="11.25" customHeight="1" x14ac:dyDescent="0.2">
      <c r="A5595" s="226">
        <v>2024</v>
      </c>
      <c r="B5595" s="226">
        <v>8</v>
      </c>
      <c r="C5595" s="232">
        <v>27</v>
      </c>
      <c r="D5595" s="232">
        <f t="shared" si="636"/>
        <v>45531</v>
      </c>
      <c r="E5595" s="234">
        <f t="shared" si="635"/>
        <v>45531</v>
      </c>
      <c r="F5595" s="479"/>
      <c r="G5595" s="227" t="s">
        <v>1111</v>
      </c>
      <c r="H5595" s="228"/>
      <c r="I5595" s="228"/>
      <c r="J5595" s="229" t="s">
        <v>1112</v>
      </c>
      <c r="K5595" s="230"/>
      <c r="L5595" s="230">
        <v>1790</v>
      </c>
    </row>
    <row r="5596" spans="1:12" ht="11.25" customHeight="1" x14ac:dyDescent="0.2">
      <c r="A5596" s="221">
        <v>2024</v>
      </c>
      <c r="B5596" s="221">
        <v>8</v>
      </c>
      <c r="C5596" s="231">
        <v>27</v>
      </c>
      <c r="D5596" s="231">
        <f t="shared" si="636"/>
        <v>45531</v>
      </c>
      <c r="E5596" s="233">
        <f t="shared" si="635"/>
        <v>45531</v>
      </c>
      <c r="F5596" s="478" t="s">
        <v>1115</v>
      </c>
      <c r="G5596" s="222" t="s">
        <v>1111</v>
      </c>
      <c r="H5596" s="223"/>
      <c r="I5596" s="223" t="s">
        <v>391</v>
      </c>
      <c r="J5596" s="224" t="s">
        <v>14</v>
      </c>
      <c r="K5596" s="167">
        <v>4075350</v>
      </c>
      <c r="L5596" s="225"/>
    </row>
    <row r="5597" spans="1:12" ht="11.25" customHeight="1" x14ac:dyDescent="0.2">
      <c r="A5597" s="164">
        <v>2024</v>
      </c>
      <c r="B5597" s="164">
        <v>8</v>
      </c>
      <c r="C5597" s="156">
        <v>27</v>
      </c>
      <c r="D5597" s="156">
        <f t="shared" si="636"/>
        <v>45531</v>
      </c>
      <c r="E5597" s="235">
        <f t="shared" si="635"/>
        <v>45531</v>
      </c>
      <c r="F5597" s="480"/>
      <c r="G5597" s="208" t="s">
        <v>1111</v>
      </c>
      <c r="I5597" s="206" t="s">
        <v>391</v>
      </c>
      <c r="J5597" s="165" t="s">
        <v>1112</v>
      </c>
      <c r="K5597" s="205">
        <v>424650</v>
      </c>
      <c r="L5597" s="156"/>
    </row>
    <row r="5598" spans="1:12" ht="11.25" customHeight="1" x14ac:dyDescent="0.2">
      <c r="A5598" s="226">
        <v>2024</v>
      </c>
      <c r="B5598" s="226">
        <v>8</v>
      </c>
      <c r="C5598" s="232">
        <v>27</v>
      </c>
      <c r="D5598" s="232">
        <f t="shared" si="636"/>
        <v>45531</v>
      </c>
      <c r="E5598" s="234">
        <f t="shared" si="635"/>
        <v>45531</v>
      </c>
      <c r="F5598" s="479"/>
      <c r="G5598" s="227" t="s">
        <v>1111</v>
      </c>
      <c r="H5598" s="228"/>
      <c r="I5598" s="228" t="s">
        <v>391</v>
      </c>
      <c r="J5598" s="229" t="s">
        <v>55</v>
      </c>
      <c r="K5598" s="230"/>
      <c r="L5598" s="230">
        <v>4500000</v>
      </c>
    </row>
    <row r="5599" spans="1:12" ht="11.25" customHeight="1" x14ac:dyDescent="0.2">
      <c r="A5599" s="221">
        <v>2024</v>
      </c>
      <c r="B5599" s="221">
        <v>8</v>
      </c>
      <c r="C5599" s="231">
        <v>27</v>
      </c>
      <c r="D5599" s="231">
        <f t="shared" si="636"/>
        <v>45531</v>
      </c>
      <c r="E5599" s="233">
        <f t="shared" ref="E5599:E5601" si="639">DATE(A5599,B5599,C5599)</f>
        <v>45531</v>
      </c>
      <c r="F5599" s="478" t="s">
        <v>1115</v>
      </c>
      <c r="G5599" s="222" t="s">
        <v>1111</v>
      </c>
      <c r="H5599" s="223"/>
      <c r="I5599" s="223" t="s">
        <v>391</v>
      </c>
      <c r="J5599" s="224" t="s">
        <v>14</v>
      </c>
      <c r="K5599" s="167">
        <v>1811270</v>
      </c>
      <c r="L5599" s="225"/>
    </row>
    <row r="5600" spans="1:12" ht="11.25" customHeight="1" x14ac:dyDescent="0.2">
      <c r="A5600" s="164">
        <v>2024</v>
      </c>
      <c r="B5600" s="164">
        <v>8</v>
      </c>
      <c r="C5600" s="156">
        <v>27</v>
      </c>
      <c r="D5600" s="156">
        <f t="shared" si="636"/>
        <v>45531</v>
      </c>
      <c r="E5600" s="235">
        <f t="shared" si="639"/>
        <v>45531</v>
      </c>
      <c r="F5600" s="480"/>
      <c r="G5600" s="208" t="s">
        <v>1111</v>
      </c>
      <c r="I5600" s="206" t="s">
        <v>391</v>
      </c>
      <c r="J5600" s="165" t="s">
        <v>1112</v>
      </c>
      <c r="K5600" s="205">
        <v>188730</v>
      </c>
      <c r="L5600" s="156"/>
    </row>
    <row r="5601" spans="1:12" ht="11.25" customHeight="1" x14ac:dyDescent="0.2">
      <c r="A5601" s="226">
        <v>2024</v>
      </c>
      <c r="B5601" s="226">
        <v>8</v>
      </c>
      <c r="C5601" s="232">
        <v>27</v>
      </c>
      <c r="D5601" s="232">
        <f t="shared" si="636"/>
        <v>45531</v>
      </c>
      <c r="E5601" s="234">
        <f t="shared" si="639"/>
        <v>45531</v>
      </c>
      <c r="F5601" s="479"/>
      <c r="G5601" s="227" t="s">
        <v>1111</v>
      </c>
      <c r="H5601" s="228"/>
      <c r="I5601" s="228" t="s">
        <v>391</v>
      </c>
      <c r="J5601" s="229" t="s">
        <v>55</v>
      </c>
      <c r="K5601" s="230"/>
      <c r="L5601" s="230">
        <v>2000000</v>
      </c>
    </row>
    <row r="5602" spans="1:12" ht="11.25" customHeight="1" x14ac:dyDescent="0.2">
      <c r="A5602" s="221">
        <v>2024</v>
      </c>
      <c r="B5602" s="221">
        <v>8</v>
      </c>
      <c r="C5602" s="231">
        <v>27</v>
      </c>
      <c r="D5602" s="231">
        <f t="shared" si="636"/>
        <v>45531</v>
      </c>
      <c r="E5602" s="233">
        <f t="shared" ref="E5602:E5608" si="640">DATE(A5602,B5602,C5602)</f>
        <v>45531</v>
      </c>
      <c r="F5602" s="478" t="s">
        <v>1115</v>
      </c>
      <c r="G5602" s="222" t="s">
        <v>1111</v>
      </c>
      <c r="H5602" s="223"/>
      <c r="I5602" s="223" t="s">
        <v>391</v>
      </c>
      <c r="J5602" s="224" t="s">
        <v>14</v>
      </c>
      <c r="K5602" s="167">
        <v>4035990</v>
      </c>
      <c r="L5602" s="225"/>
    </row>
    <row r="5603" spans="1:12" ht="11.25" customHeight="1" x14ac:dyDescent="0.2">
      <c r="A5603" s="164">
        <v>2024</v>
      </c>
      <c r="B5603" s="164">
        <v>8</v>
      </c>
      <c r="C5603" s="156">
        <v>27</v>
      </c>
      <c r="D5603" s="156">
        <f t="shared" si="636"/>
        <v>45531</v>
      </c>
      <c r="E5603" s="235">
        <f t="shared" si="640"/>
        <v>45531</v>
      </c>
      <c r="F5603" s="480"/>
      <c r="G5603" s="208" t="s">
        <v>1111</v>
      </c>
      <c r="I5603" s="206" t="s">
        <v>391</v>
      </c>
      <c r="J5603" s="165" t="s">
        <v>1112</v>
      </c>
      <c r="K5603" s="205">
        <v>420555.96</v>
      </c>
      <c r="L5603" s="156"/>
    </row>
    <row r="5604" spans="1:12" ht="11.25" customHeight="1" x14ac:dyDescent="0.2">
      <c r="A5604" s="226">
        <v>2024</v>
      </c>
      <c r="B5604" s="226">
        <v>8</v>
      </c>
      <c r="C5604" s="232">
        <v>27</v>
      </c>
      <c r="D5604" s="232">
        <f t="shared" si="636"/>
        <v>45531</v>
      </c>
      <c r="E5604" s="234">
        <f t="shared" si="640"/>
        <v>45531</v>
      </c>
      <c r="F5604" s="479"/>
      <c r="G5604" s="227" t="s">
        <v>1111</v>
      </c>
      <c r="H5604" s="228"/>
      <c r="I5604" s="228" t="s">
        <v>391</v>
      </c>
      <c r="J5604" s="229" t="s">
        <v>55</v>
      </c>
      <c r="K5604" s="230"/>
      <c r="L5604" s="230">
        <v>4456545.96</v>
      </c>
    </row>
    <row r="5605" spans="1:12" ht="11.25" customHeight="1" x14ac:dyDescent="0.2">
      <c r="A5605" s="221">
        <v>2024</v>
      </c>
      <c r="B5605" s="221">
        <v>8</v>
      </c>
      <c r="C5605" s="231">
        <v>27</v>
      </c>
      <c r="D5605" s="231">
        <f t="shared" si="636"/>
        <v>45531</v>
      </c>
      <c r="E5605" s="233">
        <f t="shared" si="640"/>
        <v>45531</v>
      </c>
      <c r="F5605" s="478" t="s">
        <v>1670</v>
      </c>
      <c r="G5605" s="222" t="s">
        <v>1111</v>
      </c>
      <c r="H5605" s="223"/>
      <c r="I5605" s="223"/>
      <c r="J5605" s="224" t="s">
        <v>63</v>
      </c>
      <c r="K5605" s="225">
        <v>300</v>
      </c>
      <c r="L5605" s="225"/>
    </row>
    <row r="5606" spans="1:12" ht="11.25" customHeight="1" x14ac:dyDescent="0.2">
      <c r="A5606" s="226">
        <v>2024</v>
      </c>
      <c r="B5606" s="226">
        <v>8</v>
      </c>
      <c r="C5606" s="232">
        <v>27</v>
      </c>
      <c r="D5606" s="232">
        <f t="shared" si="636"/>
        <v>45531</v>
      </c>
      <c r="E5606" s="234">
        <f t="shared" si="640"/>
        <v>45531</v>
      </c>
      <c r="F5606" s="479"/>
      <c r="G5606" s="227" t="s">
        <v>1111</v>
      </c>
      <c r="H5606" s="228"/>
      <c r="I5606" s="228"/>
      <c r="J5606" s="229" t="s">
        <v>55</v>
      </c>
      <c r="K5606" s="230"/>
      <c r="L5606" s="230">
        <v>300</v>
      </c>
    </row>
    <row r="5607" spans="1:12" ht="11.25" customHeight="1" x14ac:dyDescent="0.2">
      <c r="A5607" s="221">
        <v>2024</v>
      </c>
      <c r="B5607" s="221">
        <v>8</v>
      </c>
      <c r="C5607" s="231">
        <v>27</v>
      </c>
      <c r="D5607" s="231">
        <f t="shared" si="636"/>
        <v>45531</v>
      </c>
      <c r="E5607" s="233">
        <f t="shared" si="640"/>
        <v>45531</v>
      </c>
      <c r="F5607" s="478" t="s">
        <v>1775</v>
      </c>
      <c r="G5607" s="222" t="s">
        <v>1111</v>
      </c>
      <c r="H5607" s="222"/>
      <c r="I5607" s="223"/>
      <c r="J5607" s="224" t="s">
        <v>1465</v>
      </c>
      <c r="K5607" s="357">
        <v>4860170</v>
      </c>
      <c r="L5607" s="225"/>
    </row>
    <row r="5608" spans="1:12" ht="11.25" customHeight="1" x14ac:dyDescent="0.2">
      <c r="A5608" s="226">
        <v>2024</v>
      </c>
      <c r="B5608" s="226">
        <v>8</v>
      </c>
      <c r="C5608" s="232">
        <v>27</v>
      </c>
      <c r="D5608" s="226">
        <f t="shared" si="636"/>
        <v>45531</v>
      </c>
      <c r="E5608" s="234">
        <f t="shared" si="640"/>
        <v>45531</v>
      </c>
      <c r="F5608" s="479"/>
      <c r="G5608" s="227" t="s">
        <v>1111</v>
      </c>
      <c r="H5608" s="227"/>
      <c r="I5608" s="228"/>
      <c r="J5608" s="229" t="s">
        <v>55</v>
      </c>
      <c r="K5608" s="294"/>
      <c r="L5608" s="230">
        <v>4860170</v>
      </c>
    </row>
    <row r="5609" spans="1:12" ht="11.25" customHeight="1" x14ac:dyDescent="0.2">
      <c r="A5609" s="221">
        <v>2024</v>
      </c>
      <c r="B5609" s="221">
        <v>8</v>
      </c>
      <c r="C5609" s="221">
        <v>28</v>
      </c>
      <c r="D5609" s="221">
        <f t="shared" si="636"/>
        <v>45532</v>
      </c>
      <c r="E5609" s="233">
        <f>DATE(A5609,B5609,C5609)</f>
        <v>45532</v>
      </c>
      <c r="F5609" s="478" t="s">
        <v>1770</v>
      </c>
      <c r="G5609" s="222" t="s">
        <v>86</v>
      </c>
      <c r="H5609" s="222"/>
      <c r="I5609" s="223"/>
      <c r="J5609" s="224" t="s">
        <v>80</v>
      </c>
      <c r="K5609" s="225">
        <v>1260473</v>
      </c>
      <c r="L5609" s="225"/>
    </row>
    <row r="5610" spans="1:12" ht="11.25" customHeight="1" x14ac:dyDescent="0.2">
      <c r="A5610" s="164">
        <v>2024</v>
      </c>
      <c r="B5610" s="164">
        <v>8</v>
      </c>
      <c r="C5610" s="164">
        <v>28</v>
      </c>
      <c r="D5610" s="164">
        <f t="shared" si="636"/>
        <v>45532</v>
      </c>
      <c r="E5610" s="235">
        <f>DATE(A5610,B5610,C5610)</f>
        <v>45532</v>
      </c>
      <c r="F5610" s="480"/>
      <c r="G5610" s="208" t="s">
        <v>86</v>
      </c>
      <c r="H5610" s="208"/>
      <c r="J5610" s="165" t="s">
        <v>960</v>
      </c>
      <c r="K5610" s="205">
        <v>4370.8315000000002</v>
      </c>
      <c r="L5610" s="205"/>
    </row>
    <row r="5611" spans="1:12" ht="11.25" customHeight="1" x14ac:dyDescent="0.2">
      <c r="A5611" s="164">
        <v>2024</v>
      </c>
      <c r="B5611" s="164">
        <v>8</v>
      </c>
      <c r="C5611" s="164">
        <v>28</v>
      </c>
      <c r="D5611" s="164">
        <f t="shared" si="636"/>
        <v>45532</v>
      </c>
      <c r="E5611" s="235">
        <f>DATE(A5611,B5611,C5611)</f>
        <v>45532</v>
      </c>
      <c r="F5611" s="480"/>
      <c r="G5611" s="208" t="s">
        <v>86</v>
      </c>
      <c r="H5611" s="208"/>
      <c r="J5611" s="165" t="s">
        <v>961</v>
      </c>
      <c r="K5611" s="263"/>
      <c r="L5611" s="205">
        <v>97077.13</v>
      </c>
    </row>
    <row r="5612" spans="1:12" ht="11.25" customHeight="1" x14ac:dyDescent="0.2">
      <c r="A5612" s="164">
        <v>2024</v>
      </c>
      <c r="B5612" s="164">
        <v>8</v>
      </c>
      <c r="C5612" s="164">
        <v>28</v>
      </c>
      <c r="D5612" s="164">
        <f t="shared" si="636"/>
        <v>45532</v>
      </c>
      <c r="E5612" s="235">
        <f>DATE(A5612,B5612,C5612)</f>
        <v>45532</v>
      </c>
      <c r="F5612" s="480"/>
      <c r="G5612" s="208" t="s">
        <v>86</v>
      </c>
      <c r="H5612" s="208"/>
      <c r="J5612" s="165" t="s">
        <v>200</v>
      </c>
      <c r="K5612" s="263"/>
      <c r="L5612" s="205">
        <v>218948.86</v>
      </c>
    </row>
    <row r="5613" spans="1:12" ht="11.25" customHeight="1" x14ac:dyDescent="0.2">
      <c r="A5613" s="226">
        <v>2024</v>
      </c>
      <c r="B5613" s="226">
        <v>8</v>
      </c>
      <c r="C5613" s="226">
        <v>28</v>
      </c>
      <c r="D5613" s="226">
        <f t="shared" si="636"/>
        <v>45532</v>
      </c>
      <c r="E5613" s="234">
        <f>DATE(A5613,B5613,C5613)</f>
        <v>45532</v>
      </c>
      <c r="F5613" s="479"/>
      <c r="G5613" s="227" t="s">
        <v>86</v>
      </c>
      <c r="H5613" s="228"/>
      <c r="I5613" s="228"/>
      <c r="J5613" s="229" t="s">
        <v>80</v>
      </c>
      <c r="K5613" s="230"/>
      <c r="L5613" s="230">
        <v>948817.84</v>
      </c>
    </row>
    <row r="5614" spans="1:12" ht="11.25" customHeight="1" x14ac:dyDescent="0.2">
      <c r="A5614" s="221">
        <v>2024</v>
      </c>
      <c r="B5614" s="221">
        <v>8</v>
      </c>
      <c r="C5614" s="221">
        <v>29</v>
      </c>
      <c r="D5614" s="221">
        <f t="shared" si="636"/>
        <v>45533</v>
      </c>
      <c r="E5614" s="233">
        <f t="shared" ref="E5614:E5628" si="641">DATE(A5614,B5614,C5614)</f>
        <v>45533</v>
      </c>
      <c r="F5614" s="478" t="s">
        <v>1759</v>
      </c>
      <c r="G5614" s="222" t="s">
        <v>86</v>
      </c>
      <c r="H5614" s="222"/>
      <c r="I5614" s="223"/>
      <c r="J5614" s="224" t="s">
        <v>80</v>
      </c>
      <c r="K5614" s="225">
        <v>2709045</v>
      </c>
      <c r="L5614" s="225"/>
    </row>
    <row r="5615" spans="1:12" ht="11.25" customHeight="1" x14ac:dyDescent="0.2">
      <c r="A5615" s="164">
        <v>2024</v>
      </c>
      <c r="B5615" s="164">
        <v>8</v>
      </c>
      <c r="C5615" s="164">
        <v>29</v>
      </c>
      <c r="D5615" s="164">
        <f t="shared" si="636"/>
        <v>45533</v>
      </c>
      <c r="E5615" s="235">
        <f t="shared" si="641"/>
        <v>45533</v>
      </c>
      <c r="F5615" s="480"/>
      <c r="G5615" s="208" t="s">
        <v>86</v>
      </c>
      <c r="H5615" s="208"/>
      <c r="J5615" s="165" t="s">
        <v>960</v>
      </c>
      <c r="K5615" s="205">
        <v>4876.2809999999999</v>
      </c>
      <c r="L5615" s="205"/>
    </row>
    <row r="5616" spans="1:12" ht="11.25" customHeight="1" x14ac:dyDescent="0.2">
      <c r="A5616" s="226">
        <v>2024</v>
      </c>
      <c r="B5616" s="226">
        <v>8</v>
      </c>
      <c r="C5616" s="226">
        <v>29</v>
      </c>
      <c r="D5616" s="226">
        <f t="shared" si="636"/>
        <v>45533</v>
      </c>
      <c r="E5616" s="234">
        <f t="shared" si="641"/>
        <v>45533</v>
      </c>
      <c r="F5616" s="479"/>
      <c r="G5616" s="227" t="s">
        <v>86</v>
      </c>
      <c r="H5616" s="227"/>
      <c r="I5616" s="228"/>
      <c r="J5616" s="229" t="s">
        <v>961</v>
      </c>
      <c r="K5616" s="294"/>
      <c r="L5616" s="230">
        <v>2713921.28</v>
      </c>
    </row>
    <row r="5617" spans="1:12" ht="11.25" customHeight="1" x14ac:dyDescent="0.2">
      <c r="A5617" s="221">
        <v>2024</v>
      </c>
      <c r="B5617" s="221">
        <v>8</v>
      </c>
      <c r="C5617" s="221">
        <v>29</v>
      </c>
      <c r="D5617" s="231">
        <f t="shared" si="636"/>
        <v>45533</v>
      </c>
      <c r="E5617" s="233">
        <f t="shared" si="641"/>
        <v>45533</v>
      </c>
      <c r="F5617" s="478" t="s">
        <v>1829</v>
      </c>
      <c r="G5617" s="222" t="s">
        <v>1111</v>
      </c>
      <c r="H5617" s="223"/>
      <c r="I5617" s="223"/>
      <c r="J5617" s="224" t="s">
        <v>88</v>
      </c>
      <c r="K5617" s="225">
        <v>2000000</v>
      </c>
      <c r="L5617" s="225"/>
    </row>
    <row r="5618" spans="1:12" ht="11.25" customHeight="1" x14ac:dyDescent="0.2">
      <c r="A5618" s="226">
        <v>2024</v>
      </c>
      <c r="B5618" s="226">
        <v>8</v>
      </c>
      <c r="C5618" s="226">
        <v>29</v>
      </c>
      <c r="D5618" s="232">
        <f t="shared" si="636"/>
        <v>45533</v>
      </c>
      <c r="E5618" s="234">
        <f t="shared" si="641"/>
        <v>45533</v>
      </c>
      <c r="F5618" s="479"/>
      <c r="G5618" s="227" t="s">
        <v>1111</v>
      </c>
      <c r="H5618" s="228"/>
      <c r="I5618" s="228"/>
      <c r="J5618" s="229" t="s">
        <v>55</v>
      </c>
      <c r="K5618" s="230"/>
      <c r="L5618" s="230">
        <v>2000000</v>
      </c>
    </row>
    <row r="5619" spans="1:12" ht="11.25" customHeight="1" x14ac:dyDescent="0.2">
      <c r="A5619" s="164">
        <v>2024</v>
      </c>
      <c r="B5619" s="164">
        <v>8</v>
      </c>
      <c r="C5619" s="164">
        <v>29</v>
      </c>
      <c r="D5619" s="156">
        <f t="shared" si="636"/>
        <v>45533</v>
      </c>
      <c r="E5619" s="235">
        <f t="shared" si="641"/>
        <v>45533</v>
      </c>
      <c r="F5619" s="478" t="s">
        <v>1732</v>
      </c>
      <c r="G5619" s="208" t="s">
        <v>1111</v>
      </c>
      <c r="J5619" s="165" t="s">
        <v>1707</v>
      </c>
      <c r="K5619" s="205">
        <v>150</v>
      </c>
      <c r="L5619" s="205"/>
    </row>
    <row r="5620" spans="1:12" ht="11.25" customHeight="1" x14ac:dyDescent="0.2">
      <c r="A5620" s="226">
        <v>2024</v>
      </c>
      <c r="B5620" s="226">
        <v>8</v>
      </c>
      <c r="C5620" s="226">
        <v>29</v>
      </c>
      <c r="D5620" s="232">
        <f t="shared" si="636"/>
        <v>45533</v>
      </c>
      <c r="E5620" s="234">
        <f t="shared" si="641"/>
        <v>45533</v>
      </c>
      <c r="F5620" s="479"/>
      <c r="G5620" s="227" t="s">
        <v>1111</v>
      </c>
      <c r="H5620" s="228"/>
      <c r="I5620" s="228"/>
      <c r="J5620" s="229" t="s">
        <v>55</v>
      </c>
      <c r="K5620" s="230"/>
      <c r="L5620" s="230">
        <v>150</v>
      </c>
    </row>
    <row r="5621" spans="1:12" ht="11.25" customHeight="1" x14ac:dyDescent="0.2">
      <c r="A5621" s="280">
        <v>2024</v>
      </c>
      <c r="B5621" s="280">
        <v>8</v>
      </c>
      <c r="C5621" s="280">
        <v>29</v>
      </c>
      <c r="D5621" s="281">
        <f t="shared" si="636"/>
        <v>45533</v>
      </c>
      <c r="E5621" s="282">
        <f t="shared" si="641"/>
        <v>45533</v>
      </c>
      <c r="F5621" s="472" t="s">
        <v>1744</v>
      </c>
      <c r="G5621" s="283" t="s">
        <v>86</v>
      </c>
      <c r="H5621" s="284"/>
      <c r="I5621" s="284"/>
      <c r="J5621" s="285" t="s">
        <v>131</v>
      </c>
      <c r="K5621" s="286">
        <v>19358.333333333332</v>
      </c>
      <c r="L5621" s="286"/>
    </row>
    <row r="5622" spans="1:12" ht="11.25" customHeight="1" x14ac:dyDescent="0.2">
      <c r="A5622" s="287">
        <v>2024</v>
      </c>
      <c r="B5622" s="287">
        <v>8</v>
      </c>
      <c r="C5622" s="287">
        <v>29</v>
      </c>
      <c r="D5622" s="288">
        <f t="shared" si="636"/>
        <v>45533</v>
      </c>
      <c r="E5622" s="289">
        <f t="shared" si="641"/>
        <v>45533</v>
      </c>
      <c r="F5622" s="473"/>
      <c r="G5622" s="290" t="s">
        <v>86</v>
      </c>
      <c r="H5622" s="291"/>
      <c r="I5622" s="291"/>
      <c r="J5622" s="292" t="s">
        <v>174</v>
      </c>
      <c r="K5622" s="293"/>
      <c r="L5622" s="293">
        <v>19358.333333333332</v>
      </c>
    </row>
    <row r="5623" spans="1:12" ht="11.25" customHeight="1" x14ac:dyDescent="0.2">
      <c r="A5623" s="280">
        <v>2024</v>
      </c>
      <c r="B5623" s="280">
        <v>8</v>
      </c>
      <c r="C5623" s="280">
        <v>29</v>
      </c>
      <c r="D5623" s="281">
        <f t="shared" si="636"/>
        <v>45533</v>
      </c>
      <c r="E5623" s="282">
        <f t="shared" si="641"/>
        <v>45533</v>
      </c>
      <c r="F5623" s="472" t="s">
        <v>1584</v>
      </c>
      <c r="G5623" s="283" t="s">
        <v>86</v>
      </c>
      <c r="H5623" s="284"/>
      <c r="I5623" s="284"/>
      <c r="J5623" s="285" t="s">
        <v>131</v>
      </c>
      <c r="K5623" s="286">
        <v>8653.8461538461543</v>
      </c>
      <c r="L5623" s="286"/>
    </row>
    <row r="5624" spans="1:12" ht="11.25" customHeight="1" x14ac:dyDescent="0.2">
      <c r="A5624" s="287">
        <v>2024</v>
      </c>
      <c r="B5624" s="287">
        <v>8</v>
      </c>
      <c r="C5624" s="287">
        <v>29</v>
      </c>
      <c r="D5624" s="288">
        <f t="shared" si="636"/>
        <v>45533</v>
      </c>
      <c r="E5624" s="289">
        <f t="shared" si="641"/>
        <v>45533</v>
      </c>
      <c r="F5624" s="473"/>
      <c r="G5624" s="290" t="s">
        <v>86</v>
      </c>
      <c r="H5624" s="291"/>
      <c r="I5624" s="291"/>
      <c r="J5624" s="292" t="s">
        <v>174</v>
      </c>
      <c r="K5624" s="293"/>
      <c r="L5624" s="293">
        <v>8653.8461538461543</v>
      </c>
    </row>
    <row r="5625" spans="1:12" ht="11.25" customHeight="1" x14ac:dyDescent="0.2">
      <c r="A5625" s="280">
        <v>2024</v>
      </c>
      <c r="B5625" s="280">
        <v>8</v>
      </c>
      <c r="C5625" s="280">
        <v>29</v>
      </c>
      <c r="D5625" s="281">
        <f t="shared" si="636"/>
        <v>45533</v>
      </c>
      <c r="E5625" s="282">
        <f t="shared" ref="E5625:E5626" si="642">DATE(A5625,B5625,C5625)</f>
        <v>45533</v>
      </c>
      <c r="F5625" s="472" t="s">
        <v>1830</v>
      </c>
      <c r="G5625" s="283" t="s">
        <v>86</v>
      </c>
      <c r="H5625" s="284"/>
      <c r="I5625" s="284"/>
      <c r="J5625" s="285" t="s">
        <v>131</v>
      </c>
      <c r="K5625" s="286">
        <v>4653.8461538461543</v>
      </c>
      <c r="L5625" s="286"/>
    </row>
    <row r="5626" spans="1:12" ht="11.25" customHeight="1" x14ac:dyDescent="0.2">
      <c r="A5626" s="287">
        <v>2024</v>
      </c>
      <c r="B5626" s="287">
        <v>8</v>
      </c>
      <c r="C5626" s="287">
        <v>29</v>
      </c>
      <c r="D5626" s="288">
        <f t="shared" si="636"/>
        <v>45533</v>
      </c>
      <c r="E5626" s="289">
        <f t="shared" si="642"/>
        <v>45533</v>
      </c>
      <c r="F5626" s="473"/>
      <c r="G5626" s="290" t="s">
        <v>86</v>
      </c>
      <c r="H5626" s="291"/>
      <c r="I5626" s="291"/>
      <c r="J5626" s="292" t="s">
        <v>174</v>
      </c>
      <c r="K5626" s="293"/>
      <c r="L5626" s="293">
        <v>4653.8461538461543</v>
      </c>
    </row>
    <row r="5627" spans="1:12" ht="11.25" customHeight="1" x14ac:dyDescent="0.2">
      <c r="A5627" s="341">
        <v>2024</v>
      </c>
      <c r="B5627" s="341">
        <v>8</v>
      </c>
      <c r="C5627" s="341">
        <v>29</v>
      </c>
      <c r="D5627" s="328">
        <f t="shared" si="636"/>
        <v>45533</v>
      </c>
      <c r="E5627" s="329">
        <f t="shared" si="641"/>
        <v>45533</v>
      </c>
      <c r="F5627" s="474" t="s">
        <v>1767</v>
      </c>
      <c r="G5627" s="330" t="s">
        <v>86</v>
      </c>
      <c r="H5627" s="332"/>
      <c r="I5627" s="332"/>
      <c r="J5627" s="342" t="s">
        <v>67</v>
      </c>
      <c r="K5627" s="343">
        <v>49506.44</v>
      </c>
      <c r="L5627" s="343"/>
    </row>
    <row r="5628" spans="1:12" ht="11.25" customHeight="1" x14ac:dyDescent="0.2">
      <c r="A5628" s="344">
        <v>2024</v>
      </c>
      <c r="B5628" s="344">
        <v>8</v>
      </c>
      <c r="C5628" s="344">
        <v>29</v>
      </c>
      <c r="D5628" s="337">
        <f t="shared" si="636"/>
        <v>45533</v>
      </c>
      <c r="E5628" s="338">
        <f t="shared" si="641"/>
        <v>45533</v>
      </c>
      <c r="F5628" s="475"/>
      <c r="G5628" s="339" t="s">
        <v>86</v>
      </c>
      <c r="H5628" s="340"/>
      <c r="I5628" s="340"/>
      <c r="J5628" s="345" t="s">
        <v>174</v>
      </c>
      <c r="K5628" s="346"/>
      <c r="L5628" s="346">
        <f>K5627</f>
        <v>49506.44</v>
      </c>
    </row>
    <row r="5629" spans="1:12" ht="11.25" customHeight="1" x14ac:dyDescent="0.2">
      <c r="A5629" s="358">
        <v>2024</v>
      </c>
      <c r="B5629" s="358">
        <v>8</v>
      </c>
      <c r="C5629" s="358">
        <v>29</v>
      </c>
      <c r="D5629" s="312">
        <f t="shared" si="636"/>
        <v>45533</v>
      </c>
      <c r="E5629" s="313">
        <f>DATE(A5629,B5629,C5629)</f>
        <v>45533</v>
      </c>
      <c r="F5629" s="482" t="s">
        <v>1627</v>
      </c>
      <c r="G5629" s="314" t="s">
        <v>86</v>
      </c>
      <c r="H5629" s="324"/>
      <c r="I5629" s="324"/>
      <c r="J5629" s="364" t="s">
        <v>1621</v>
      </c>
      <c r="K5629" s="365">
        <v>36555.000000001863</v>
      </c>
      <c r="L5629" s="365"/>
    </row>
    <row r="5630" spans="1:12" ht="11.25" customHeight="1" x14ac:dyDescent="0.2">
      <c r="A5630" s="320">
        <v>2024</v>
      </c>
      <c r="B5630" s="320">
        <v>8</v>
      </c>
      <c r="C5630" s="320">
        <v>29</v>
      </c>
      <c r="D5630" s="323">
        <f t="shared" si="636"/>
        <v>45533</v>
      </c>
      <c r="E5630" s="321">
        <f t="shared" ref="E5630" si="643">DATE(A5630,B5630,C5630)</f>
        <v>45533</v>
      </c>
      <c r="F5630" s="483"/>
      <c r="G5630" s="322" t="s">
        <v>86</v>
      </c>
      <c r="H5630" s="325"/>
      <c r="I5630" s="325"/>
      <c r="J5630" s="366" t="s">
        <v>1613</v>
      </c>
      <c r="K5630" s="367"/>
      <c r="L5630" s="367">
        <f>K5629</f>
        <v>36555.000000001863</v>
      </c>
    </row>
    <row r="5631" spans="1:12" ht="11.25" customHeight="1" x14ac:dyDescent="0.2">
      <c r="A5631" s="358">
        <v>2024</v>
      </c>
      <c r="B5631" s="358">
        <v>8</v>
      </c>
      <c r="C5631" s="358">
        <v>29</v>
      </c>
      <c r="D5631" s="312">
        <f t="shared" si="636"/>
        <v>45533</v>
      </c>
      <c r="E5631" s="313">
        <f>DATE(A5631,B5631,C5631)</f>
        <v>45533</v>
      </c>
      <c r="F5631" s="482" t="s">
        <v>1713</v>
      </c>
      <c r="G5631" s="314" t="s">
        <v>86</v>
      </c>
      <c r="H5631" s="324"/>
      <c r="I5631" s="324"/>
      <c r="J5631" s="364" t="s">
        <v>1622</v>
      </c>
      <c r="K5631" s="365">
        <v>75783.300000000745</v>
      </c>
      <c r="L5631" s="365"/>
    </row>
    <row r="5632" spans="1:12" ht="11.25" customHeight="1" x14ac:dyDescent="0.2">
      <c r="A5632" s="320">
        <v>2024</v>
      </c>
      <c r="B5632" s="320">
        <v>8</v>
      </c>
      <c r="C5632" s="320">
        <v>29</v>
      </c>
      <c r="D5632" s="323">
        <f t="shared" si="636"/>
        <v>45533</v>
      </c>
      <c r="E5632" s="321">
        <f t="shared" ref="E5632:E5673" si="644">DATE(A5632,B5632,C5632)</f>
        <v>45533</v>
      </c>
      <c r="F5632" s="483"/>
      <c r="G5632" s="322" t="s">
        <v>86</v>
      </c>
      <c r="H5632" s="325"/>
      <c r="I5632" s="325"/>
      <c r="J5632" s="366" t="s">
        <v>1614</v>
      </c>
      <c r="K5632" s="367"/>
      <c r="L5632" s="367">
        <f>K5631</f>
        <v>75783.300000000745</v>
      </c>
    </row>
    <row r="5633" spans="1:13" ht="11.25" customHeight="1" x14ac:dyDescent="0.2">
      <c r="A5633" s="236">
        <v>2024</v>
      </c>
      <c r="B5633" s="236">
        <v>8</v>
      </c>
      <c r="C5633" s="236">
        <v>29</v>
      </c>
      <c r="D5633" s="237">
        <f t="shared" si="636"/>
        <v>45533</v>
      </c>
      <c r="E5633" s="238">
        <f t="shared" si="644"/>
        <v>45533</v>
      </c>
      <c r="F5633" s="476" t="s">
        <v>1118</v>
      </c>
      <c r="G5633" s="239" t="s">
        <v>86</v>
      </c>
      <c r="H5633" s="239"/>
      <c r="I5633" s="240"/>
      <c r="J5633" s="241" t="s">
        <v>82</v>
      </c>
      <c r="K5633" s="242">
        <v>1729998.8599999994</v>
      </c>
      <c r="L5633" s="242"/>
    </row>
    <row r="5634" spans="1:13" ht="11.25" customHeight="1" x14ac:dyDescent="0.2">
      <c r="A5634" s="243">
        <v>2024</v>
      </c>
      <c r="B5634" s="243">
        <v>8</v>
      </c>
      <c r="C5634" s="243">
        <v>29</v>
      </c>
      <c r="D5634" s="248">
        <f t="shared" si="636"/>
        <v>45533</v>
      </c>
      <c r="E5634" s="249">
        <f t="shared" si="644"/>
        <v>45533</v>
      </c>
      <c r="F5634" s="477"/>
      <c r="G5634" s="244" t="s">
        <v>86</v>
      </c>
      <c r="H5634" s="244"/>
      <c r="I5634" s="245"/>
      <c r="J5634" s="246" t="s">
        <v>98</v>
      </c>
      <c r="K5634" s="247"/>
      <c r="L5634" s="247">
        <f>K5633</f>
        <v>1729998.8599999994</v>
      </c>
    </row>
    <row r="5635" spans="1:13" ht="11.25" customHeight="1" x14ac:dyDescent="0.2">
      <c r="A5635" s="236">
        <v>2024</v>
      </c>
      <c r="B5635" s="236">
        <v>8</v>
      </c>
      <c r="C5635" s="236">
        <v>29</v>
      </c>
      <c r="D5635" s="237">
        <f t="shared" si="636"/>
        <v>45533</v>
      </c>
      <c r="E5635" s="238">
        <f t="shared" si="644"/>
        <v>45533</v>
      </c>
      <c r="F5635" s="476" t="s">
        <v>1120</v>
      </c>
      <c r="G5635" s="239" t="s">
        <v>86</v>
      </c>
      <c r="H5635" s="239"/>
      <c r="I5635" s="240"/>
      <c r="J5635" s="241" t="s">
        <v>87</v>
      </c>
      <c r="K5635" s="242">
        <v>2747.2527472527472</v>
      </c>
      <c r="L5635" s="242"/>
    </row>
    <row r="5636" spans="1:13" ht="11.25" customHeight="1" x14ac:dyDescent="0.2">
      <c r="A5636" s="243">
        <v>2024</v>
      </c>
      <c r="B5636" s="243">
        <v>8</v>
      </c>
      <c r="C5636" s="243">
        <v>29</v>
      </c>
      <c r="D5636" s="248">
        <f t="shared" si="636"/>
        <v>45533</v>
      </c>
      <c r="E5636" s="249">
        <f t="shared" si="644"/>
        <v>45533</v>
      </c>
      <c r="F5636" s="477"/>
      <c r="G5636" s="244" t="s">
        <v>86</v>
      </c>
      <c r="H5636" s="244"/>
      <c r="I5636" s="245"/>
      <c r="J5636" s="246" t="s">
        <v>64</v>
      </c>
      <c r="K5636" s="247"/>
      <c r="L5636" s="247">
        <v>2747.2527472527472</v>
      </c>
    </row>
    <row r="5637" spans="1:13" ht="11.25" customHeight="1" x14ac:dyDescent="0.2">
      <c r="A5637" s="236">
        <v>2024</v>
      </c>
      <c r="B5637" s="236">
        <v>8</v>
      </c>
      <c r="C5637" s="236">
        <v>29</v>
      </c>
      <c r="D5637" s="237">
        <f t="shared" si="636"/>
        <v>45533</v>
      </c>
      <c r="E5637" s="238">
        <f t="shared" si="644"/>
        <v>45533</v>
      </c>
      <c r="F5637" s="476" t="s">
        <v>1121</v>
      </c>
      <c r="G5637" s="239" t="s">
        <v>86</v>
      </c>
      <c r="H5637" s="239"/>
      <c r="I5637" s="240"/>
      <c r="J5637" s="241" t="s">
        <v>89</v>
      </c>
      <c r="K5637" s="242">
        <f>M5637</f>
        <v>72682.792486803854</v>
      </c>
      <c r="L5637" s="242"/>
      <c r="M5637" s="156">
        <v>72682.792486803854</v>
      </c>
    </row>
    <row r="5638" spans="1:13" ht="11.25" customHeight="1" x14ac:dyDescent="0.2">
      <c r="A5638" s="243">
        <v>2024</v>
      </c>
      <c r="B5638" s="243">
        <v>8</v>
      </c>
      <c r="C5638" s="243">
        <v>29</v>
      </c>
      <c r="D5638" s="248">
        <f t="shared" si="636"/>
        <v>45533</v>
      </c>
      <c r="E5638" s="249">
        <f t="shared" si="644"/>
        <v>45533</v>
      </c>
      <c r="F5638" s="477"/>
      <c r="G5638" s="244" t="s">
        <v>86</v>
      </c>
      <c r="H5638" s="244"/>
      <c r="I5638" s="245"/>
      <c r="J5638" s="246" t="s">
        <v>50</v>
      </c>
      <c r="K5638" s="247"/>
      <c r="L5638" s="247">
        <f>K5637</f>
        <v>72682.792486803854</v>
      </c>
      <c r="M5638" s="156">
        <v>3393.7550089555775</v>
      </c>
    </row>
    <row r="5639" spans="1:13" ht="11.25" customHeight="1" x14ac:dyDescent="0.2">
      <c r="A5639" s="236">
        <v>2024</v>
      </c>
      <c r="B5639" s="236">
        <v>8</v>
      </c>
      <c r="C5639" s="236">
        <v>29</v>
      </c>
      <c r="D5639" s="237">
        <f t="shared" si="636"/>
        <v>45533</v>
      </c>
      <c r="E5639" s="238">
        <f t="shared" si="644"/>
        <v>45533</v>
      </c>
      <c r="F5639" s="476" t="s">
        <v>1122</v>
      </c>
      <c r="G5639" s="239" t="s">
        <v>86</v>
      </c>
      <c r="H5639" s="239"/>
      <c r="I5639" s="240"/>
      <c r="J5639" s="241" t="s">
        <v>91</v>
      </c>
      <c r="K5639" s="242">
        <f>M5638</f>
        <v>3393.7550089555775</v>
      </c>
      <c r="L5639" s="242"/>
    </row>
    <row r="5640" spans="1:13" ht="11.25" customHeight="1" x14ac:dyDescent="0.2">
      <c r="A5640" s="243">
        <v>2024</v>
      </c>
      <c r="B5640" s="243">
        <v>8</v>
      </c>
      <c r="C5640" s="243">
        <v>29</v>
      </c>
      <c r="D5640" s="248">
        <f t="shared" si="636"/>
        <v>45533</v>
      </c>
      <c r="E5640" s="249">
        <f t="shared" si="644"/>
        <v>45533</v>
      </c>
      <c r="F5640" s="477"/>
      <c r="G5640" s="244" t="s">
        <v>86</v>
      </c>
      <c r="H5640" s="244"/>
      <c r="I5640" s="245"/>
      <c r="J5640" s="246" t="s">
        <v>51</v>
      </c>
      <c r="K5640" s="247"/>
      <c r="L5640" s="247">
        <f>K5639</f>
        <v>3393.7550089555775</v>
      </c>
    </row>
    <row r="5641" spans="1:13" ht="11.25" customHeight="1" x14ac:dyDescent="0.2">
      <c r="A5641" s="221">
        <v>2024</v>
      </c>
      <c r="B5641" s="221">
        <v>9</v>
      </c>
      <c r="C5641" s="231">
        <v>1</v>
      </c>
      <c r="D5641" s="231">
        <f t="shared" ref="D5641:D5704" si="645">DATE(A5641,B5641,C5641)</f>
        <v>45536</v>
      </c>
      <c r="E5641" s="233">
        <f t="shared" ref="E5641:E5644" si="646">DATE(A5641,B5641,C5641)</f>
        <v>45536</v>
      </c>
      <c r="F5641" s="478" t="s">
        <v>1760</v>
      </c>
      <c r="G5641" s="222" t="s">
        <v>1111</v>
      </c>
      <c r="H5641" s="223"/>
      <c r="I5641" s="223"/>
      <c r="J5641" s="224" t="s">
        <v>961</v>
      </c>
      <c r="K5641" s="225">
        <v>2713921.28</v>
      </c>
      <c r="L5641" s="225"/>
    </row>
    <row r="5642" spans="1:13" ht="11.25" customHeight="1" x14ac:dyDescent="0.2">
      <c r="A5642" s="226">
        <v>2024</v>
      </c>
      <c r="B5642" s="226">
        <v>9</v>
      </c>
      <c r="C5642" s="232">
        <v>1</v>
      </c>
      <c r="D5642" s="232">
        <f t="shared" si="645"/>
        <v>45536</v>
      </c>
      <c r="E5642" s="234">
        <f t="shared" si="646"/>
        <v>45536</v>
      </c>
      <c r="F5642" s="479"/>
      <c r="G5642" s="227" t="s">
        <v>1111</v>
      </c>
      <c r="H5642" s="228"/>
      <c r="I5642" s="228"/>
      <c r="J5642" s="229" t="s">
        <v>55</v>
      </c>
      <c r="K5642" s="230"/>
      <c r="L5642" s="230">
        <v>2713921.28</v>
      </c>
    </row>
    <row r="5643" spans="1:13" ht="11.25" customHeight="1" x14ac:dyDescent="0.2">
      <c r="A5643" s="221">
        <v>2024</v>
      </c>
      <c r="B5643" s="221">
        <v>9</v>
      </c>
      <c r="C5643" s="231">
        <v>1</v>
      </c>
      <c r="D5643" s="231">
        <f t="shared" si="645"/>
        <v>45536</v>
      </c>
      <c r="E5643" s="233">
        <f t="shared" si="646"/>
        <v>45536</v>
      </c>
      <c r="F5643" s="478" t="s">
        <v>1670</v>
      </c>
      <c r="G5643" s="222" t="s">
        <v>1111</v>
      </c>
      <c r="H5643" s="223"/>
      <c r="I5643" s="223"/>
      <c r="J5643" s="224" t="s">
        <v>63</v>
      </c>
      <c r="K5643" s="225">
        <v>100</v>
      </c>
      <c r="L5643" s="225"/>
    </row>
    <row r="5644" spans="1:13" ht="11.25" customHeight="1" x14ac:dyDescent="0.2">
      <c r="A5644" s="226">
        <v>2024</v>
      </c>
      <c r="B5644" s="226">
        <v>9</v>
      </c>
      <c r="C5644" s="232">
        <v>1</v>
      </c>
      <c r="D5644" s="232">
        <f t="shared" si="645"/>
        <v>45536</v>
      </c>
      <c r="E5644" s="234">
        <f t="shared" si="646"/>
        <v>45536</v>
      </c>
      <c r="F5644" s="479"/>
      <c r="G5644" s="227" t="s">
        <v>1111</v>
      </c>
      <c r="H5644" s="228"/>
      <c r="I5644" s="228"/>
      <c r="J5644" s="229" t="s">
        <v>55</v>
      </c>
      <c r="K5644" s="230"/>
      <c r="L5644" s="230">
        <v>100</v>
      </c>
    </row>
    <row r="5645" spans="1:13" ht="11.25" customHeight="1" x14ac:dyDescent="0.2">
      <c r="A5645" s="221">
        <v>2024</v>
      </c>
      <c r="B5645" s="221">
        <v>9</v>
      </c>
      <c r="C5645" s="221">
        <v>2</v>
      </c>
      <c r="D5645" s="221">
        <f t="shared" si="645"/>
        <v>45537</v>
      </c>
      <c r="E5645" s="233">
        <f t="shared" si="644"/>
        <v>45537</v>
      </c>
      <c r="F5645" s="478" t="s">
        <v>1759</v>
      </c>
      <c r="G5645" s="222" t="s">
        <v>86</v>
      </c>
      <c r="H5645" s="222"/>
      <c r="I5645" s="223"/>
      <c r="J5645" s="224" t="s">
        <v>80</v>
      </c>
      <c r="K5645" s="225">
        <v>347000</v>
      </c>
      <c r="L5645" s="225"/>
    </row>
    <row r="5646" spans="1:13" ht="11.25" customHeight="1" x14ac:dyDescent="0.2">
      <c r="A5646" s="164">
        <v>2024</v>
      </c>
      <c r="B5646" s="164">
        <v>9</v>
      </c>
      <c r="C5646" s="164">
        <v>2</v>
      </c>
      <c r="D5646" s="164">
        <f t="shared" si="645"/>
        <v>45537</v>
      </c>
      <c r="E5646" s="235">
        <f t="shared" si="644"/>
        <v>45537</v>
      </c>
      <c r="F5646" s="480"/>
      <c r="G5646" s="208" t="s">
        <v>86</v>
      </c>
      <c r="H5646" s="208"/>
      <c r="J5646" s="165" t="s">
        <v>960</v>
      </c>
      <c r="K5646" s="205">
        <v>624.6</v>
      </c>
      <c r="L5646" s="205"/>
    </row>
    <row r="5647" spans="1:13" ht="11.25" customHeight="1" x14ac:dyDescent="0.2">
      <c r="A5647" s="226">
        <v>2024</v>
      </c>
      <c r="B5647" s="226">
        <v>9</v>
      </c>
      <c r="C5647" s="226">
        <v>2</v>
      </c>
      <c r="D5647" s="226">
        <f t="shared" si="645"/>
        <v>45537</v>
      </c>
      <c r="E5647" s="234">
        <f t="shared" si="644"/>
        <v>45537</v>
      </c>
      <c r="F5647" s="479"/>
      <c r="G5647" s="227" t="s">
        <v>86</v>
      </c>
      <c r="H5647" s="227"/>
      <c r="I5647" s="228"/>
      <c r="J5647" s="229" t="s">
        <v>961</v>
      </c>
      <c r="K5647" s="294"/>
      <c r="L5647" s="230">
        <v>347624.6</v>
      </c>
    </row>
    <row r="5648" spans="1:13" ht="11.25" customHeight="1" x14ac:dyDescent="0.2">
      <c r="A5648" s="221">
        <v>2024</v>
      </c>
      <c r="B5648" s="221">
        <v>9</v>
      </c>
      <c r="C5648" s="221">
        <v>2</v>
      </c>
      <c r="D5648" s="231">
        <f t="shared" si="645"/>
        <v>45537</v>
      </c>
      <c r="E5648" s="233">
        <f t="shared" si="644"/>
        <v>45537</v>
      </c>
      <c r="F5648" s="478" t="s">
        <v>1731</v>
      </c>
      <c r="G5648" s="222" t="s">
        <v>86</v>
      </c>
      <c r="H5648" s="223"/>
      <c r="I5648" s="223"/>
      <c r="J5648" s="224" t="s">
        <v>192</v>
      </c>
      <c r="K5648" s="225">
        <v>3.32</v>
      </c>
      <c r="L5648" s="225"/>
    </row>
    <row r="5649" spans="1:12" ht="11.25" customHeight="1" x14ac:dyDescent="0.2">
      <c r="A5649" s="164">
        <v>2024</v>
      </c>
      <c r="B5649" s="164">
        <v>9</v>
      </c>
      <c r="C5649" s="164">
        <v>2</v>
      </c>
      <c r="D5649" s="156">
        <f t="shared" si="645"/>
        <v>45537</v>
      </c>
      <c r="E5649" s="235">
        <f t="shared" si="644"/>
        <v>45537</v>
      </c>
      <c r="F5649" s="480"/>
      <c r="G5649" s="208" t="s">
        <v>86</v>
      </c>
      <c r="J5649" s="165" t="s">
        <v>191</v>
      </c>
      <c r="K5649" s="205"/>
      <c r="L5649" s="205">
        <v>3.32</v>
      </c>
    </row>
    <row r="5650" spans="1:12" ht="11.25" customHeight="1" x14ac:dyDescent="0.2">
      <c r="A5650" s="164">
        <v>2024</v>
      </c>
      <c r="B5650" s="164">
        <v>9</v>
      </c>
      <c r="C5650" s="164">
        <v>2</v>
      </c>
      <c r="D5650" s="156">
        <f t="shared" si="645"/>
        <v>45537</v>
      </c>
      <c r="E5650" s="235">
        <f t="shared" ref="E5650" si="647">DATE(A5650,B5650,C5650)</f>
        <v>45537</v>
      </c>
      <c r="F5650" s="480"/>
      <c r="G5650" s="208" t="s">
        <v>86</v>
      </c>
      <c r="J5650" s="165" t="s">
        <v>55</v>
      </c>
      <c r="K5650" s="205">
        <v>3.32</v>
      </c>
      <c r="L5650" s="205"/>
    </row>
    <row r="5651" spans="1:12" ht="11.25" customHeight="1" x14ac:dyDescent="0.2">
      <c r="A5651" s="226">
        <v>2024</v>
      </c>
      <c r="B5651" s="226">
        <v>9</v>
      </c>
      <c r="C5651" s="226">
        <v>2</v>
      </c>
      <c r="D5651" s="232">
        <f t="shared" si="645"/>
        <v>45537</v>
      </c>
      <c r="E5651" s="234">
        <f t="shared" si="644"/>
        <v>45537</v>
      </c>
      <c r="F5651" s="479"/>
      <c r="G5651" s="227" t="s">
        <v>86</v>
      </c>
      <c r="H5651" s="228"/>
      <c r="I5651" s="228"/>
      <c r="J5651" s="229" t="s">
        <v>192</v>
      </c>
      <c r="K5651" s="230"/>
      <c r="L5651" s="230">
        <v>3.32</v>
      </c>
    </row>
    <row r="5652" spans="1:12" ht="11.25" customHeight="1" x14ac:dyDescent="0.2">
      <c r="A5652" s="221">
        <v>2024</v>
      </c>
      <c r="B5652" s="221">
        <v>9</v>
      </c>
      <c r="C5652" s="221">
        <v>2</v>
      </c>
      <c r="D5652" s="231">
        <f t="shared" si="645"/>
        <v>45537</v>
      </c>
      <c r="E5652" s="233">
        <f t="shared" si="644"/>
        <v>45537</v>
      </c>
      <c r="F5652" s="478" t="s">
        <v>1778</v>
      </c>
      <c r="G5652" s="222" t="s">
        <v>1111</v>
      </c>
      <c r="H5652" s="222"/>
      <c r="I5652" s="223"/>
      <c r="J5652" s="224" t="s">
        <v>55</v>
      </c>
      <c r="K5652" s="357">
        <v>5000000</v>
      </c>
      <c r="L5652" s="225"/>
    </row>
    <row r="5653" spans="1:12" ht="11.25" customHeight="1" x14ac:dyDescent="0.2">
      <c r="A5653" s="164">
        <v>2024</v>
      </c>
      <c r="B5653" s="164">
        <v>9</v>
      </c>
      <c r="C5653" s="164">
        <v>2</v>
      </c>
      <c r="D5653" s="156">
        <f t="shared" si="645"/>
        <v>45537</v>
      </c>
      <c r="E5653" s="235">
        <f t="shared" si="644"/>
        <v>45537</v>
      </c>
      <c r="F5653" s="480"/>
      <c r="G5653" s="208" t="s">
        <v>1111</v>
      </c>
      <c r="H5653" s="208"/>
      <c r="J5653" s="165" t="s">
        <v>1617</v>
      </c>
      <c r="K5653" s="263"/>
      <c r="L5653" s="205">
        <v>140885</v>
      </c>
    </row>
    <row r="5654" spans="1:12" ht="11.25" customHeight="1" x14ac:dyDescent="0.2">
      <c r="A5654" s="226">
        <v>2024</v>
      </c>
      <c r="B5654" s="226">
        <v>9</v>
      </c>
      <c r="C5654" s="226">
        <v>2</v>
      </c>
      <c r="D5654" s="232">
        <f t="shared" si="645"/>
        <v>45537</v>
      </c>
      <c r="E5654" s="234">
        <f t="shared" si="644"/>
        <v>45537</v>
      </c>
      <c r="F5654" s="479"/>
      <c r="G5654" s="227" t="s">
        <v>1111</v>
      </c>
      <c r="H5654" s="227"/>
      <c r="I5654" s="228"/>
      <c r="J5654" s="229" t="s">
        <v>1465</v>
      </c>
      <c r="K5654" s="294"/>
      <c r="L5654" s="230">
        <v>4859115</v>
      </c>
    </row>
    <row r="5655" spans="1:12" ht="11.25" customHeight="1" x14ac:dyDescent="0.2">
      <c r="A5655" s="221">
        <v>2024</v>
      </c>
      <c r="B5655" s="221">
        <v>9</v>
      </c>
      <c r="C5655" s="231">
        <v>2</v>
      </c>
      <c r="D5655" s="231">
        <f t="shared" si="645"/>
        <v>45537</v>
      </c>
      <c r="E5655" s="233">
        <f t="shared" ref="E5655:E5661" si="648">DATE(A5655,B5655,C5655)</f>
        <v>45537</v>
      </c>
      <c r="F5655" s="478" t="s">
        <v>1590</v>
      </c>
      <c r="G5655" s="222" t="s">
        <v>1111</v>
      </c>
      <c r="H5655" s="223"/>
      <c r="I5655" s="223"/>
      <c r="J5655" s="224" t="s">
        <v>55</v>
      </c>
      <c r="K5655" s="225">
        <v>923335</v>
      </c>
      <c r="L5655" s="225"/>
    </row>
    <row r="5656" spans="1:12" ht="11.25" customHeight="1" x14ac:dyDescent="0.2">
      <c r="A5656" s="226">
        <v>2024</v>
      </c>
      <c r="B5656" s="226">
        <v>9</v>
      </c>
      <c r="C5656" s="232">
        <v>2</v>
      </c>
      <c r="D5656" s="232">
        <f t="shared" si="645"/>
        <v>45537</v>
      </c>
      <c r="E5656" s="234">
        <f t="shared" si="648"/>
        <v>45537</v>
      </c>
      <c r="F5656" s="479"/>
      <c r="G5656" s="227" t="s">
        <v>1111</v>
      </c>
      <c r="H5656" s="228"/>
      <c r="I5656" s="228"/>
      <c r="J5656" s="229" t="s">
        <v>199</v>
      </c>
      <c r="K5656" s="230"/>
      <c r="L5656" s="230">
        <v>923335</v>
      </c>
    </row>
    <row r="5657" spans="1:12" ht="11.25" customHeight="1" x14ac:dyDescent="0.2">
      <c r="A5657" s="221">
        <v>2024</v>
      </c>
      <c r="B5657" s="221">
        <v>9</v>
      </c>
      <c r="C5657" s="231">
        <v>2</v>
      </c>
      <c r="D5657" s="231">
        <f t="shared" si="645"/>
        <v>45537</v>
      </c>
      <c r="E5657" s="233">
        <f t="shared" si="648"/>
        <v>45537</v>
      </c>
      <c r="F5657" s="478" t="s">
        <v>1779</v>
      </c>
      <c r="G5657" s="222" t="s">
        <v>1111</v>
      </c>
      <c r="H5657" s="222"/>
      <c r="I5657" s="223"/>
      <c r="J5657" s="224" t="s">
        <v>1465</v>
      </c>
      <c r="K5657" s="357">
        <v>14579925</v>
      </c>
      <c r="L5657" s="225"/>
    </row>
    <row r="5658" spans="1:12" ht="11.25" customHeight="1" x14ac:dyDescent="0.2">
      <c r="A5658" s="226">
        <v>2024</v>
      </c>
      <c r="B5658" s="226">
        <v>9</v>
      </c>
      <c r="C5658" s="232">
        <v>2</v>
      </c>
      <c r="D5658" s="226">
        <f t="shared" si="645"/>
        <v>45537</v>
      </c>
      <c r="E5658" s="234">
        <f t="shared" si="648"/>
        <v>45537</v>
      </c>
      <c r="F5658" s="479"/>
      <c r="G5658" s="227" t="s">
        <v>1111</v>
      </c>
      <c r="H5658" s="227"/>
      <c r="I5658" s="228"/>
      <c r="J5658" s="229" t="s">
        <v>55</v>
      </c>
      <c r="K5658" s="294"/>
      <c r="L5658" s="230">
        <v>14579925</v>
      </c>
    </row>
    <row r="5659" spans="1:12" ht="11.25" customHeight="1" x14ac:dyDescent="0.2">
      <c r="A5659" s="221">
        <v>2024</v>
      </c>
      <c r="B5659" s="221">
        <v>9</v>
      </c>
      <c r="C5659" s="221">
        <v>3</v>
      </c>
      <c r="D5659" s="231">
        <f t="shared" si="645"/>
        <v>45538</v>
      </c>
      <c r="E5659" s="233">
        <f t="shared" si="648"/>
        <v>45538</v>
      </c>
      <c r="F5659" s="478" t="s">
        <v>802</v>
      </c>
      <c r="G5659" s="222" t="s">
        <v>1111</v>
      </c>
      <c r="H5659" s="223"/>
      <c r="I5659" s="223"/>
      <c r="J5659" s="224" t="s">
        <v>55</v>
      </c>
      <c r="K5659" s="167">
        <v>500</v>
      </c>
      <c r="L5659" s="225"/>
    </row>
    <row r="5660" spans="1:12" ht="11.25" customHeight="1" x14ac:dyDescent="0.2">
      <c r="A5660" s="164">
        <v>2024</v>
      </c>
      <c r="B5660" s="164">
        <v>9</v>
      </c>
      <c r="C5660" s="164">
        <v>3</v>
      </c>
      <c r="D5660" s="156">
        <f t="shared" si="645"/>
        <v>45538</v>
      </c>
      <c r="E5660" s="235">
        <f t="shared" si="648"/>
        <v>45538</v>
      </c>
      <c r="F5660" s="480"/>
      <c r="G5660" s="208" t="s">
        <v>1111</v>
      </c>
      <c r="J5660" s="165" t="s">
        <v>14</v>
      </c>
      <c r="L5660" s="205">
        <v>450</v>
      </c>
    </row>
    <row r="5661" spans="1:12" ht="11.25" customHeight="1" x14ac:dyDescent="0.2">
      <c r="A5661" s="226">
        <v>2024</v>
      </c>
      <c r="B5661" s="226">
        <v>9</v>
      </c>
      <c r="C5661" s="226">
        <v>3</v>
      </c>
      <c r="D5661" s="232">
        <f t="shared" si="645"/>
        <v>45538</v>
      </c>
      <c r="E5661" s="234">
        <f t="shared" si="648"/>
        <v>45538</v>
      </c>
      <c r="F5661" s="479"/>
      <c r="G5661" s="227" t="s">
        <v>1111</v>
      </c>
      <c r="H5661" s="228"/>
      <c r="I5661" s="228"/>
      <c r="J5661" s="229" t="s">
        <v>1112</v>
      </c>
      <c r="K5661" s="230"/>
      <c r="L5661" s="230">
        <v>50</v>
      </c>
    </row>
    <row r="5662" spans="1:12" ht="11.25" customHeight="1" x14ac:dyDescent="0.2">
      <c r="A5662" s="221">
        <v>2024</v>
      </c>
      <c r="B5662" s="221">
        <v>9</v>
      </c>
      <c r="C5662" s="231">
        <v>3</v>
      </c>
      <c r="D5662" s="231">
        <f t="shared" si="645"/>
        <v>45538</v>
      </c>
      <c r="E5662" s="233">
        <f t="shared" si="644"/>
        <v>45538</v>
      </c>
      <c r="F5662" s="478" t="s">
        <v>1594</v>
      </c>
      <c r="G5662" s="222" t="s">
        <v>1111</v>
      </c>
      <c r="H5662" s="223"/>
      <c r="I5662" s="223"/>
      <c r="J5662" s="224" t="s">
        <v>961</v>
      </c>
      <c r="K5662" s="225">
        <v>97077.13</v>
      </c>
      <c r="L5662" s="225"/>
    </row>
    <row r="5663" spans="1:12" ht="11.25" customHeight="1" x14ac:dyDescent="0.2">
      <c r="A5663" s="226">
        <v>2024</v>
      </c>
      <c r="B5663" s="226">
        <v>9</v>
      </c>
      <c r="C5663" s="232">
        <v>3</v>
      </c>
      <c r="D5663" s="232">
        <f t="shared" si="645"/>
        <v>45538</v>
      </c>
      <c r="E5663" s="234">
        <f t="shared" si="644"/>
        <v>45538</v>
      </c>
      <c r="F5663" s="479"/>
      <c r="G5663" s="227" t="s">
        <v>1111</v>
      </c>
      <c r="H5663" s="228"/>
      <c r="I5663" s="228"/>
      <c r="J5663" s="229" t="s">
        <v>55</v>
      </c>
      <c r="K5663" s="230"/>
      <c r="L5663" s="230">
        <v>97077.13</v>
      </c>
    </row>
    <row r="5664" spans="1:12" ht="11.25" customHeight="1" x14ac:dyDescent="0.2">
      <c r="A5664" s="221">
        <v>2024</v>
      </c>
      <c r="B5664" s="221">
        <v>9</v>
      </c>
      <c r="C5664" s="221">
        <v>3</v>
      </c>
      <c r="D5664" s="221">
        <f t="shared" si="645"/>
        <v>45538</v>
      </c>
      <c r="E5664" s="233">
        <f t="shared" ref="E5664:E5666" si="649">DATE(A5664,B5664,C5664)</f>
        <v>45538</v>
      </c>
      <c r="F5664" s="478" t="s">
        <v>1593</v>
      </c>
      <c r="G5664" s="222" t="s">
        <v>86</v>
      </c>
      <c r="H5664" s="222"/>
      <c r="I5664" s="223"/>
      <c r="J5664" s="224" t="s">
        <v>80</v>
      </c>
      <c r="K5664" s="225">
        <v>2253837</v>
      </c>
      <c r="L5664" s="225"/>
    </row>
    <row r="5665" spans="1:12" ht="11.25" customHeight="1" x14ac:dyDescent="0.2">
      <c r="A5665" s="164">
        <v>2024</v>
      </c>
      <c r="B5665" s="164">
        <v>9</v>
      </c>
      <c r="C5665" s="164">
        <v>3</v>
      </c>
      <c r="D5665" s="164">
        <f t="shared" si="645"/>
        <v>45538</v>
      </c>
      <c r="E5665" s="235">
        <f t="shared" si="649"/>
        <v>45538</v>
      </c>
      <c r="F5665" s="480"/>
      <c r="G5665" s="208" t="s">
        <v>86</v>
      </c>
      <c r="H5665" s="208"/>
      <c r="J5665" s="165" t="s">
        <v>960</v>
      </c>
      <c r="K5665" s="205">
        <v>4056.9065999999998</v>
      </c>
      <c r="L5665" s="205"/>
    </row>
    <row r="5666" spans="1:12" ht="11.25" customHeight="1" x14ac:dyDescent="0.2">
      <c r="A5666" s="226">
        <v>2024</v>
      </c>
      <c r="B5666" s="226">
        <v>9</v>
      </c>
      <c r="C5666" s="226">
        <v>3</v>
      </c>
      <c r="D5666" s="226">
        <f t="shared" si="645"/>
        <v>45538</v>
      </c>
      <c r="E5666" s="234">
        <f t="shared" si="649"/>
        <v>45538</v>
      </c>
      <c r="F5666" s="479"/>
      <c r="G5666" s="227" t="s">
        <v>86</v>
      </c>
      <c r="H5666" s="227"/>
      <c r="I5666" s="228"/>
      <c r="J5666" s="229" t="s">
        <v>961</v>
      </c>
      <c r="K5666" s="294"/>
      <c r="L5666" s="230">
        <v>2257893.9065999999</v>
      </c>
    </row>
    <row r="5667" spans="1:12" ht="11.25" customHeight="1" x14ac:dyDescent="0.2">
      <c r="A5667" s="221">
        <v>2024</v>
      </c>
      <c r="B5667" s="221">
        <v>9</v>
      </c>
      <c r="C5667" s="231">
        <v>4</v>
      </c>
      <c r="D5667" s="231">
        <f t="shared" si="645"/>
        <v>45539</v>
      </c>
      <c r="E5667" s="233">
        <f t="shared" ref="E5667:E5668" si="650">DATE(A5667,B5667,C5667)</f>
        <v>45539</v>
      </c>
      <c r="F5667" s="478" t="s">
        <v>1594</v>
      </c>
      <c r="G5667" s="222" t="s">
        <v>1111</v>
      </c>
      <c r="H5667" s="223"/>
      <c r="I5667" s="223"/>
      <c r="J5667" s="224" t="s">
        <v>961</v>
      </c>
      <c r="K5667" s="225">
        <v>2257893.91</v>
      </c>
      <c r="L5667" s="225"/>
    </row>
    <row r="5668" spans="1:12" ht="11.25" customHeight="1" x14ac:dyDescent="0.2">
      <c r="A5668" s="226">
        <v>2024</v>
      </c>
      <c r="B5668" s="226">
        <v>9</v>
      </c>
      <c r="C5668" s="232">
        <v>4</v>
      </c>
      <c r="D5668" s="232">
        <f t="shared" si="645"/>
        <v>45539</v>
      </c>
      <c r="E5668" s="234">
        <f t="shared" si="650"/>
        <v>45539</v>
      </c>
      <c r="F5668" s="479"/>
      <c r="G5668" s="227" t="s">
        <v>1111</v>
      </c>
      <c r="H5668" s="228"/>
      <c r="I5668" s="228"/>
      <c r="J5668" s="229" t="s">
        <v>55</v>
      </c>
      <c r="K5668" s="230"/>
      <c r="L5668" s="230">
        <v>2257893.91</v>
      </c>
    </row>
    <row r="5669" spans="1:12" ht="11.25" customHeight="1" x14ac:dyDescent="0.2">
      <c r="A5669" s="221">
        <v>2024</v>
      </c>
      <c r="B5669" s="221">
        <v>9</v>
      </c>
      <c r="C5669" s="231">
        <v>4</v>
      </c>
      <c r="D5669" s="231">
        <f t="shared" si="645"/>
        <v>45539</v>
      </c>
      <c r="E5669" s="233">
        <f t="shared" ref="E5669:E5670" si="651">DATE(A5669,B5669,C5669)</f>
        <v>45539</v>
      </c>
      <c r="F5669" s="478" t="s">
        <v>1760</v>
      </c>
      <c r="G5669" s="222" t="s">
        <v>1111</v>
      </c>
      <c r="H5669" s="223"/>
      <c r="I5669" s="223"/>
      <c r="J5669" s="224" t="s">
        <v>961</v>
      </c>
      <c r="K5669" s="225">
        <v>347624.6</v>
      </c>
      <c r="L5669" s="225"/>
    </row>
    <row r="5670" spans="1:12" ht="11.25" customHeight="1" x14ac:dyDescent="0.2">
      <c r="A5670" s="226">
        <v>2024</v>
      </c>
      <c r="B5670" s="226">
        <v>9</v>
      </c>
      <c r="C5670" s="232">
        <v>4</v>
      </c>
      <c r="D5670" s="232">
        <f t="shared" si="645"/>
        <v>45539</v>
      </c>
      <c r="E5670" s="234">
        <f t="shared" si="651"/>
        <v>45539</v>
      </c>
      <c r="F5670" s="479"/>
      <c r="G5670" s="227" t="s">
        <v>1111</v>
      </c>
      <c r="H5670" s="228"/>
      <c r="I5670" s="228"/>
      <c r="J5670" s="229" t="s">
        <v>55</v>
      </c>
      <c r="K5670" s="230"/>
      <c r="L5670" s="230">
        <v>347624.6</v>
      </c>
    </row>
    <row r="5671" spans="1:12" ht="11.25" customHeight="1" x14ac:dyDescent="0.2">
      <c r="A5671" s="221">
        <v>2024</v>
      </c>
      <c r="B5671" s="221">
        <v>9</v>
      </c>
      <c r="C5671" s="231">
        <v>4</v>
      </c>
      <c r="D5671" s="231">
        <f t="shared" si="645"/>
        <v>45539</v>
      </c>
      <c r="E5671" s="233">
        <f t="shared" si="644"/>
        <v>45539</v>
      </c>
      <c r="F5671" s="478" t="s">
        <v>1115</v>
      </c>
      <c r="G5671" s="222" t="s">
        <v>1111</v>
      </c>
      <c r="H5671" s="223"/>
      <c r="I5671" s="223" t="s">
        <v>320</v>
      </c>
      <c r="J5671" s="224" t="s">
        <v>14</v>
      </c>
      <c r="K5671" s="167">
        <v>999640</v>
      </c>
      <c r="L5671" s="225"/>
    </row>
    <row r="5672" spans="1:12" ht="11.25" customHeight="1" x14ac:dyDescent="0.2">
      <c r="A5672" s="164">
        <v>2024</v>
      </c>
      <c r="B5672" s="164">
        <v>9</v>
      </c>
      <c r="C5672" s="156">
        <v>4</v>
      </c>
      <c r="D5672" s="156">
        <f t="shared" si="645"/>
        <v>45539</v>
      </c>
      <c r="E5672" s="235">
        <f t="shared" si="644"/>
        <v>45539</v>
      </c>
      <c r="F5672" s="480"/>
      <c r="G5672" s="208" t="s">
        <v>1111</v>
      </c>
      <c r="I5672" s="206" t="s">
        <v>320</v>
      </c>
      <c r="J5672" s="165" t="s">
        <v>1112</v>
      </c>
      <c r="K5672" s="205">
        <v>100360</v>
      </c>
      <c r="L5672" s="156"/>
    </row>
    <row r="5673" spans="1:12" ht="11.25" customHeight="1" x14ac:dyDescent="0.2">
      <c r="A5673" s="226">
        <v>2024</v>
      </c>
      <c r="B5673" s="226">
        <v>9</v>
      </c>
      <c r="C5673" s="232">
        <v>4</v>
      </c>
      <c r="D5673" s="232">
        <f t="shared" si="645"/>
        <v>45539</v>
      </c>
      <c r="E5673" s="234">
        <f t="shared" si="644"/>
        <v>45539</v>
      </c>
      <c r="F5673" s="479"/>
      <c r="G5673" s="227" t="s">
        <v>1111</v>
      </c>
      <c r="H5673" s="228"/>
      <c r="I5673" s="228" t="s">
        <v>320</v>
      </c>
      <c r="J5673" s="229" t="s">
        <v>55</v>
      </c>
      <c r="K5673" s="230"/>
      <c r="L5673" s="230">
        <v>1100000</v>
      </c>
    </row>
    <row r="5674" spans="1:12" ht="11.25" customHeight="1" x14ac:dyDescent="0.2">
      <c r="A5674" s="221">
        <v>2024</v>
      </c>
      <c r="B5674" s="221">
        <v>9</v>
      </c>
      <c r="C5674" s="231">
        <v>4</v>
      </c>
      <c r="D5674" s="231">
        <f t="shared" si="645"/>
        <v>45539</v>
      </c>
      <c r="E5674" s="233">
        <f t="shared" ref="E5674:E5689" si="652">DATE(A5674,B5674,C5674)</f>
        <v>45539</v>
      </c>
      <c r="F5674" s="478" t="s">
        <v>1115</v>
      </c>
      <c r="G5674" s="222" t="s">
        <v>1111</v>
      </c>
      <c r="H5674" s="223"/>
      <c r="I5674" s="223" t="s">
        <v>320</v>
      </c>
      <c r="J5674" s="224" t="s">
        <v>14</v>
      </c>
      <c r="K5674" s="167">
        <v>363500</v>
      </c>
      <c r="L5674" s="225"/>
    </row>
    <row r="5675" spans="1:12" ht="11.25" customHeight="1" x14ac:dyDescent="0.2">
      <c r="A5675" s="164">
        <v>2024</v>
      </c>
      <c r="B5675" s="164">
        <v>9</v>
      </c>
      <c r="C5675" s="156">
        <v>4</v>
      </c>
      <c r="D5675" s="156">
        <f t="shared" si="645"/>
        <v>45539</v>
      </c>
      <c r="E5675" s="235">
        <f t="shared" si="652"/>
        <v>45539</v>
      </c>
      <c r="F5675" s="480"/>
      <c r="G5675" s="208" t="s">
        <v>1111</v>
      </c>
      <c r="I5675" s="206" t="s">
        <v>320</v>
      </c>
      <c r="J5675" s="165" t="s">
        <v>1112</v>
      </c>
      <c r="K5675" s="205">
        <v>36500</v>
      </c>
      <c r="L5675" s="156"/>
    </row>
    <row r="5676" spans="1:12" ht="11.25" customHeight="1" x14ac:dyDescent="0.2">
      <c r="A5676" s="226">
        <v>2024</v>
      </c>
      <c r="B5676" s="226">
        <v>9</v>
      </c>
      <c r="C5676" s="232">
        <v>4</v>
      </c>
      <c r="D5676" s="232">
        <f t="shared" si="645"/>
        <v>45539</v>
      </c>
      <c r="E5676" s="234">
        <f t="shared" si="652"/>
        <v>45539</v>
      </c>
      <c r="F5676" s="479"/>
      <c r="G5676" s="227" t="s">
        <v>1111</v>
      </c>
      <c r="H5676" s="228"/>
      <c r="I5676" s="228" t="s">
        <v>320</v>
      </c>
      <c r="J5676" s="229" t="s">
        <v>55</v>
      </c>
      <c r="K5676" s="230"/>
      <c r="L5676" s="230">
        <v>400000</v>
      </c>
    </row>
    <row r="5677" spans="1:12" ht="11.25" customHeight="1" x14ac:dyDescent="0.2">
      <c r="A5677" s="221">
        <v>2024</v>
      </c>
      <c r="B5677" s="221">
        <v>9</v>
      </c>
      <c r="C5677" s="231">
        <v>4</v>
      </c>
      <c r="D5677" s="231">
        <f t="shared" si="645"/>
        <v>45539</v>
      </c>
      <c r="E5677" s="233">
        <f t="shared" si="652"/>
        <v>45539</v>
      </c>
      <c r="F5677" s="478" t="s">
        <v>1670</v>
      </c>
      <c r="G5677" s="222" t="s">
        <v>1111</v>
      </c>
      <c r="H5677" s="223"/>
      <c r="I5677" s="223"/>
      <c r="J5677" s="224" t="s">
        <v>63</v>
      </c>
      <c r="K5677" s="225">
        <v>158</v>
      </c>
      <c r="L5677" s="225"/>
    </row>
    <row r="5678" spans="1:12" ht="11.25" customHeight="1" x14ac:dyDescent="0.2">
      <c r="A5678" s="226">
        <v>2024</v>
      </c>
      <c r="B5678" s="226">
        <v>9</v>
      </c>
      <c r="C5678" s="232">
        <v>4</v>
      </c>
      <c r="D5678" s="232">
        <f t="shared" si="645"/>
        <v>45539</v>
      </c>
      <c r="E5678" s="234">
        <f t="shared" si="652"/>
        <v>45539</v>
      </c>
      <c r="F5678" s="479"/>
      <c r="G5678" s="227" t="s">
        <v>1111</v>
      </c>
      <c r="H5678" s="228"/>
      <c r="I5678" s="228"/>
      <c r="J5678" s="229" t="s">
        <v>55</v>
      </c>
      <c r="K5678" s="230"/>
      <c r="L5678" s="230">
        <v>158</v>
      </c>
    </row>
    <row r="5679" spans="1:12" ht="11.25" customHeight="1" x14ac:dyDescent="0.2">
      <c r="A5679" s="221">
        <v>2024</v>
      </c>
      <c r="B5679" s="221">
        <v>9</v>
      </c>
      <c r="C5679" s="231">
        <v>5</v>
      </c>
      <c r="D5679" s="231">
        <f t="shared" si="645"/>
        <v>45540</v>
      </c>
      <c r="E5679" s="233">
        <f>DATE(A5679,B5679,C5679)</f>
        <v>45540</v>
      </c>
      <c r="F5679" s="478" t="s">
        <v>1178</v>
      </c>
      <c r="G5679" s="222" t="s">
        <v>1111</v>
      </c>
      <c r="H5679" s="223"/>
      <c r="I5679" s="223"/>
      <c r="J5679" s="224" t="s">
        <v>189</v>
      </c>
      <c r="K5679" s="225">
        <v>2875</v>
      </c>
      <c r="L5679" s="225"/>
    </row>
    <row r="5680" spans="1:12" ht="11.25" customHeight="1" x14ac:dyDescent="0.2">
      <c r="A5680" s="164">
        <v>2024</v>
      </c>
      <c r="B5680" s="164">
        <v>9</v>
      </c>
      <c r="C5680" s="156">
        <v>5</v>
      </c>
      <c r="D5680" s="156">
        <f t="shared" si="645"/>
        <v>45540</v>
      </c>
      <c r="E5680" s="235">
        <f>DATE(A5680,B5680,C5680)</f>
        <v>45540</v>
      </c>
      <c r="F5680" s="480"/>
      <c r="G5680" s="208" t="s">
        <v>1111</v>
      </c>
      <c r="J5680" s="165" t="s">
        <v>1708</v>
      </c>
      <c r="K5680" s="205"/>
      <c r="L5680" s="205">
        <v>125</v>
      </c>
    </row>
    <row r="5681" spans="1:12" ht="11.25" customHeight="1" x14ac:dyDescent="0.2">
      <c r="A5681" s="226">
        <v>2024</v>
      </c>
      <c r="B5681" s="226">
        <v>9</v>
      </c>
      <c r="C5681" s="232">
        <v>5</v>
      </c>
      <c r="D5681" s="232">
        <f t="shared" si="645"/>
        <v>45540</v>
      </c>
      <c r="E5681" s="234">
        <f>DATE(A5681,B5681,C5681)</f>
        <v>45540</v>
      </c>
      <c r="F5681" s="479"/>
      <c r="G5681" s="227" t="s">
        <v>1111</v>
      </c>
      <c r="H5681" s="228"/>
      <c r="I5681" s="228"/>
      <c r="J5681" s="229" t="s">
        <v>55</v>
      </c>
      <c r="K5681" s="230"/>
      <c r="L5681" s="230">
        <v>2750</v>
      </c>
    </row>
    <row r="5682" spans="1:12" ht="11.25" customHeight="1" x14ac:dyDescent="0.2">
      <c r="A5682" s="280">
        <v>2024</v>
      </c>
      <c r="B5682" s="280">
        <v>9</v>
      </c>
      <c r="C5682" s="280">
        <v>5</v>
      </c>
      <c r="D5682" s="281">
        <f t="shared" si="645"/>
        <v>45540</v>
      </c>
      <c r="E5682" s="282">
        <f t="shared" si="652"/>
        <v>45540</v>
      </c>
      <c r="F5682" s="472" t="s">
        <v>1744</v>
      </c>
      <c r="G5682" s="283" t="s">
        <v>86</v>
      </c>
      <c r="H5682" s="284"/>
      <c r="I5682" s="284"/>
      <c r="J5682" s="285" t="s">
        <v>131</v>
      </c>
      <c r="K5682" s="286">
        <v>19358.333333333332</v>
      </c>
      <c r="L5682" s="286"/>
    </row>
    <row r="5683" spans="1:12" ht="11.25" customHeight="1" x14ac:dyDescent="0.2">
      <c r="A5683" s="287">
        <v>2024</v>
      </c>
      <c r="B5683" s="287">
        <v>9</v>
      </c>
      <c r="C5683" s="287">
        <v>5</v>
      </c>
      <c r="D5683" s="288">
        <f t="shared" si="645"/>
        <v>45540</v>
      </c>
      <c r="E5683" s="289">
        <f t="shared" si="652"/>
        <v>45540</v>
      </c>
      <c r="F5683" s="473"/>
      <c r="G5683" s="290" t="s">
        <v>86</v>
      </c>
      <c r="H5683" s="291"/>
      <c r="I5683" s="291"/>
      <c r="J5683" s="292" t="s">
        <v>174</v>
      </c>
      <c r="K5683" s="293"/>
      <c r="L5683" s="293">
        <v>19358.333333333332</v>
      </c>
    </row>
    <row r="5684" spans="1:12" ht="11.25" customHeight="1" x14ac:dyDescent="0.2">
      <c r="A5684" s="280">
        <v>2024</v>
      </c>
      <c r="B5684" s="280">
        <v>9</v>
      </c>
      <c r="C5684" s="280">
        <v>5</v>
      </c>
      <c r="D5684" s="281">
        <f t="shared" si="645"/>
        <v>45540</v>
      </c>
      <c r="E5684" s="282">
        <f t="shared" si="652"/>
        <v>45540</v>
      </c>
      <c r="F5684" s="472" t="s">
        <v>1584</v>
      </c>
      <c r="G5684" s="283" t="s">
        <v>86</v>
      </c>
      <c r="H5684" s="284"/>
      <c r="I5684" s="284"/>
      <c r="J5684" s="285" t="s">
        <v>131</v>
      </c>
      <c r="K5684" s="286">
        <v>8653.8461538461543</v>
      </c>
      <c r="L5684" s="286"/>
    </row>
    <row r="5685" spans="1:12" ht="11.25" customHeight="1" x14ac:dyDescent="0.2">
      <c r="A5685" s="287">
        <v>2024</v>
      </c>
      <c r="B5685" s="287">
        <v>9</v>
      </c>
      <c r="C5685" s="287">
        <v>5</v>
      </c>
      <c r="D5685" s="288">
        <f t="shared" si="645"/>
        <v>45540</v>
      </c>
      <c r="E5685" s="289">
        <f t="shared" si="652"/>
        <v>45540</v>
      </c>
      <c r="F5685" s="473"/>
      <c r="G5685" s="290" t="s">
        <v>86</v>
      </c>
      <c r="H5685" s="291"/>
      <c r="I5685" s="291"/>
      <c r="J5685" s="292" t="s">
        <v>174</v>
      </c>
      <c r="K5685" s="293"/>
      <c r="L5685" s="293">
        <v>8653.8461538461543</v>
      </c>
    </row>
    <row r="5686" spans="1:12" ht="11.25" customHeight="1" x14ac:dyDescent="0.2">
      <c r="A5686" s="280">
        <v>2024</v>
      </c>
      <c r="B5686" s="280">
        <v>9</v>
      </c>
      <c r="C5686" s="280">
        <v>5</v>
      </c>
      <c r="D5686" s="281">
        <f t="shared" si="645"/>
        <v>45540</v>
      </c>
      <c r="E5686" s="282">
        <f t="shared" si="652"/>
        <v>45540</v>
      </c>
      <c r="F5686" s="472" t="s">
        <v>1830</v>
      </c>
      <c r="G5686" s="283" t="s">
        <v>86</v>
      </c>
      <c r="H5686" s="284"/>
      <c r="I5686" s="284"/>
      <c r="J5686" s="285" t="s">
        <v>131</v>
      </c>
      <c r="K5686" s="286">
        <v>4653.8461538461543</v>
      </c>
      <c r="L5686" s="286"/>
    </row>
    <row r="5687" spans="1:12" ht="11.25" customHeight="1" x14ac:dyDescent="0.2">
      <c r="A5687" s="287">
        <v>2024</v>
      </c>
      <c r="B5687" s="287">
        <v>9</v>
      </c>
      <c r="C5687" s="287">
        <v>5</v>
      </c>
      <c r="D5687" s="288">
        <f t="shared" si="645"/>
        <v>45540</v>
      </c>
      <c r="E5687" s="289">
        <f t="shared" si="652"/>
        <v>45540</v>
      </c>
      <c r="F5687" s="473"/>
      <c r="G5687" s="290" t="s">
        <v>86</v>
      </c>
      <c r="H5687" s="291"/>
      <c r="I5687" s="291"/>
      <c r="J5687" s="292" t="s">
        <v>174</v>
      </c>
      <c r="K5687" s="293"/>
      <c r="L5687" s="293">
        <v>4653.8461538461543</v>
      </c>
    </row>
    <row r="5688" spans="1:12" ht="11.25" customHeight="1" x14ac:dyDescent="0.2">
      <c r="A5688" s="341">
        <v>2024</v>
      </c>
      <c r="B5688" s="341">
        <v>9</v>
      </c>
      <c r="C5688" s="341">
        <v>5</v>
      </c>
      <c r="D5688" s="328">
        <f t="shared" si="645"/>
        <v>45540</v>
      </c>
      <c r="E5688" s="329">
        <f t="shared" si="652"/>
        <v>45540</v>
      </c>
      <c r="F5688" s="474" t="s">
        <v>1767</v>
      </c>
      <c r="G5688" s="330" t="s">
        <v>86</v>
      </c>
      <c r="H5688" s="332"/>
      <c r="I5688" s="332"/>
      <c r="J5688" s="342" t="s">
        <v>67</v>
      </c>
      <c r="K5688" s="343">
        <v>22951.58</v>
      </c>
      <c r="L5688" s="343"/>
    </row>
    <row r="5689" spans="1:12" ht="11.25" customHeight="1" x14ac:dyDescent="0.2">
      <c r="A5689" s="344">
        <v>2024</v>
      </c>
      <c r="B5689" s="344">
        <v>9</v>
      </c>
      <c r="C5689" s="344">
        <v>5</v>
      </c>
      <c r="D5689" s="337">
        <f t="shared" si="645"/>
        <v>45540</v>
      </c>
      <c r="E5689" s="338">
        <f t="shared" si="652"/>
        <v>45540</v>
      </c>
      <c r="F5689" s="475"/>
      <c r="G5689" s="339" t="s">
        <v>86</v>
      </c>
      <c r="H5689" s="340"/>
      <c r="I5689" s="340"/>
      <c r="J5689" s="345" t="s">
        <v>174</v>
      </c>
      <c r="K5689" s="346"/>
      <c r="L5689" s="346">
        <f>K5688</f>
        <v>22951.58</v>
      </c>
    </row>
    <row r="5690" spans="1:12" ht="11.25" customHeight="1" x14ac:dyDescent="0.2">
      <c r="A5690" s="358">
        <v>2024</v>
      </c>
      <c r="B5690" s="358">
        <v>9</v>
      </c>
      <c r="C5690" s="358">
        <v>5</v>
      </c>
      <c r="D5690" s="312">
        <f t="shared" si="645"/>
        <v>45540</v>
      </c>
      <c r="E5690" s="313">
        <f>DATE(A5690,B5690,C5690)</f>
        <v>45540</v>
      </c>
      <c r="F5690" s="482" t="s">
        <v>1627</v>
      </c>
      <c r="G5690" s="314" t="s">
        <v>86</v>
      </c>
      <c r="H5690" s="324"/>
      <c r="I5690" s="324"/>
      <c r="J5690" s="364" t="s">
        <v>1613</v>
      </c>
      <c r="K5690" s="365">
        <v>81695</v>
      </c>
      <c r="L5690" s="365"/>
    </row>
    <row r="5691" spans="1:12" ht="11.25" customHeight="1" x14ac:dyDescent="0.2">
      <c r="A5691" s="320">
        <v>2024</v>
      </c>
      <c r="B5691" s="320">
        <v>9</v>
      </c>
      <c r="C5691" s="320">
        <v>5</v>
      </c>
      <c r="D5691" s="323">
        <f t="shared" si="645"/>
        <v>45540</v>
      </c>
      <c r="E5691" s="321">
        <f t="shared" ref="E5691" si="653">DATE(A5691,B5691,C5691)</f>
        <v>45540</v>
      </c>
      <c r="F5691" s="483"/>
      <c r="G5691" s="322" t="s">
        <v>86</v>
      </c>
      <c r="H5691" s="325"/>
      <c r="I5691" s="325"/>
      <c r="J5691" s="366" t="s">
        <v>1621</v>
      </c>
      <c r="K5691" s="367"/>
      <c r="L5691" s="367">
        <f>K5690</f>
        <v>81695</v>
      </c>
    </row>
    <row r="5692" spans="1:12" ht="11.25" customHeight="1" x14ac:dyDescent="0.2">
      <c r="A5692" s="358">
        <v>2024</v>
      </c>
      <c r="B5692" s="358">
        <v>9</v>
      </c>
      <c r="C5692" s="358">
        <v>5</v>
      </c>
      <c r="D5692" s="312">
        <f t="shared" si="645"/>
        <v>45540</v>
      </c>
      <c r="E5692" s="313">
        <f>DATE(A5692,B5692,C5692)</f>
        <v>45540</v>
      </c>
      <c r="F5692" s="482" t="s">
        <v>1713</v>
      </c>
      <c r="G5692" s="314" t="s">
        <v>86</v>
      </c>
      <c r="H5692" s="324"/>
      <c r="I5692" s="324"/>
      <c r="J5692" s="364" t="s">
        <v>1622</v>
      </c>
      <c r="K5692" s="365">
        <v>61785.470000002533</v>
      </c>
      <c r="L5692" s="365"/>
    </row>
    <row r="5693" spans="1:12" ht="11.25" customHeight="1" x14ac:dyDescent="0.2">
      <c r="A5693" s="320">
        <v>2024</v>
      </c>
      <c r="B5693" s="320">
        <v>9</v>
      </c>
      <c r="C5693" s="320">
        <v>5</v>
      </c>
      <c r="D5693" s="323">
        <f t="shared" si="645"/>
        <v>45540</v>
      </c>
      <c r="E5693" s="321">
        <f t="shared" ref="E5693:E5708" si="654">DATE(A5693,B5693,C5693)</f>
        <v>45540</v>
      </c>
      <c r="F5693" s="483"/>
      <c r="G5693" s="322" t="s">
        <v>86</v>
      </c>
      <c r="H5693" s="325"/>
      <c r="I5693" s="325"/>
      <c r="J5693" s="366" t="s">
        <v>1614</v>
      </c>
      <c r="K5693" s="367"/>
      <c r="L5693" s="367">
        <f>K5692</f>
        <v>61785.470000002533</v>
      </c>
    </row>
    <row r="5694" spans="1:12" ht="11.25" customHeight="1" x14ac:dyDescent="0.2">
      <c r="A5694" s="236">
        <v>2024</v>
      </c>
      <c r="B5694" s="236">
        <v>9</v>
      </c>
      <c r="C5694" s="236">
        <v>5</v>
      </c>
      <c r="D5694" s="237">
        <f t="shared" si="645"/>
        <v>45540</v>
      </c>
      <c r="E5694" s="238">
        <f t="shared" si="654"/>
        <v>45540</v>
      </c>
      <c r="F5694" s="476" t="s">
        <v>1118</v>
      </c>
      <c r="G5694" s="239" t="s">
        <v>86</v>
      </c>
      <c r="H5694" s="239"/>
      <c r="I5694" s="240"/>
      <c r="J5694" s="241" t="s">
        <v>98</v>
      </c>
      <c r="K5694" s="242">
        <v>985649.47999997437</v>
      </c>
      <c r="L5694" s="242"/>
    </row>
    <row r="5695" spans="1:12" ht="11.25" customHeight="1" x14ac:dyDescent="0.2">
      <c r="A5695" s="243">
        <v>2024</v>
      </c>
      <c r="B5695" s="243">
        <v>9</v>
      </c>
      <c r="C5695" s="243">
        <v>5</v>
      </c>
      <c r="D5695" s="248">
        <f t="shared" si="645"/>
        <v>45540</v>
      </c>
      <c r="E5695" s="249">
        <f t="shared" si="654"/>
        <v>45540</v>
      </c>
      <c r="F5695" s="477"/>
      <c r="G5695" s="244" t="s">
        <v>86</v>
      </c>
      <c r="H5695" s="244"/>
      <c r="I5695" s="245"/>
      <c r="J5695" s="246" t="s">
        <v>82</v>
      </c>
      <c r="K5695" s="247"/>
      <c r="L5695" s="247">
        <f>K5694</f>
        <v>985649.47999997437</v>
      </c>
    </row>
    <row r="5696" spans="1:12" ht="11.25" customHeight="1" x14ac:dyDescent="0.2">
      <c r="A5696" s="236">
        <v>2024</v>
      </c>
      <c r="B5696" s="236">
        <v>9</v>
      </c>
      <c r="C5696" s="236">
        <v>5</v>
      </c>
      <c r="D5696" s="237">
        <f t="shared" si="645"/>
        <v>45540</v>
      </c>
      <c r="E5696" s="238">
        <f t="shared" si="654"/>
        <v>45540</v>
      </c>
      <c r="F5696" s="476" t="s">
        <v>1120</v>
      </c>
      <c r="G5696" s="239" t="s">
        <v>86</v>
      </c>
      <c r="H5696" s="239"/>
      <c r="I5696" s="240"/>
      <c r="J5696" s="241" t="s">
        <v>87</v>
      </c>
      <c r="K5696" s="242">
        <v>2747.2527472527472</v>
      </c>
      <c r="L5696" s="242"/>
    </row>
    <row r="5697" spans="1:13" ht="11.25" customHeight="1" x14ac:dyDescent="0.2">
      <c r="A5697" s="243">
        <v>2024</v>
      </c>
      <c r="B5697" s="243">
        <v>9</v>
      </c>
      <c r="C5697" s="243">
        <v>5</v>
      </c>
      <c r="D5697" s="248">
        <f t="shared" si="645"/>
        <v>45540</v>
      </c>
      <c r="E5697" s="249">
        <f t="shared" si="654"/>
        <v>45540</v>
      </c>
      <c r="F5697" s="477"/>
      <c r="G5697" s="244" t="s">
        <v>86</v>
      </c>
      <c r="H5697" s="244"/>
      <c r="I5697" s="245"/>
      <c r="J5697" s="246" t="s">
        <v>64</v>
      </c>
      <c r="K5697" s="247"/>
      <c r="L5697" s="247">
        <v>2747.2527472527472</v>
      </c>
    </row>
    <row r="5698" spans="1:13" ht="11.25" customHeight="1" x14ac:dyDescent="0.2">
      <c r="A5698" s="236">
        <v>2024</v>
      </c>
      <c r="B5698" s="236">
        <v>9</v>
      </c>
      <c r="C5698" s="236">
        <v>5</v>
      </c>
      <c r="D5698" s="237">
        <f t="shared" si="645"/>
        <v>45540</v>
      </c>
      <c r="E5698" s="238">
        <f t="shared" si="654"/>
        <v>45540</v>
      </c>
      <c r="F5698" s="476" t="s">
        <v>1121</v>
      </c>
      <c r="G5698" s="239" t="s">
        <v>86</v>
      </c>
      <c r="H5698" s="239"/>
      <c r="I5698" s="240"/>
      <c r="J5698" s="241" t="s">
        <v>89</v>
      </c>
      <c r="K5698" s="242">
        <f>M5698</f>
        <v>72516.675336341534</v>
      </c>
      <c r="L5698" s="242"/>
      <c r="M5698" s="156">
        <v>72516.675336341534</v>
      </c>
    </row>
    <row r="5699" spans="1:13" ht="11.25" customHeight="1" x14ac:dyDescent="0.2">
      <c r="A5699" s="243">
        <v>2024</v>
      </c>
      <c r="B5699" s="243">
        <v>9</v>
      </c>
      <c r="C5699" s="243">
        <v>5</v>
      </c>
      <c r="D5699" s="248">
        <f t="shared" si="645"/>
        <v>45540</v>
      </c>
      <c r="E5699" s="249">
        <f t="shared" si="654"/>
        <v>45540</v>
      </c>
      <c r="F5699" s="477"/>
      <c r="G5699" s="244" t="s">
        <v>86</v>
      </c>
      <c r="H5699" s="244"/>
      <c r="I5699" s="245"/>
      <c r="J5699" s="246" t="s">
        <v>50</v>
      </c>
      <c r="K5699" s="247"/>
      <c r="L5699" s="247">
        <f>K5698</f>
        <v>72516.675336341534</v>
      </c>
      <c r="M5699" s="156">
        <v>3385.4491514324618</v>
      </c>
    </row>
    <row r="5700" spans="1:13" ht="11.25" customHeight="1" x14ac:dyDescent="0.2">
      <c r="A5700" s="236">
        <v>2024</v>
      </c>
      <c r="B5700" s="236">
        <v>9</v>
      </c>
      <c r="C5700" s="236">
        <v>5</v>
      </c>
      <c r="D5700" s="237">
        <f t="shared" si="645"/>
        <v>45540</v>
      </c>
      <c r="E5700" s="238">
        <f t="shared" si="654"/>
        <v>45540</v>
      </c>
      <c r="F5700" s="476" t="s">
        <v>1122</v>
      </c>
      <c r="G5700" s="239" t="s">
        <v>86</v>
      </c>
      <c r="H5700" s="239"/>
      <c r="I5700" s="240"/>
      <c r="J5700" s="241" t="s">
        <v>91</v>
      </c>
      <c r="K5700" s="242">
        <f>M5699</f>
        <v>3385.4491514324618</v>
      </c>
      <c r="L5700" s="242"/>
    </row>
    <row r="5701" spans="1:13" ht="11.25" customHeight="1" x14ac:dyDescent="0.2">
      <c r="A5701" s="243">
        <v>2024</v>
      </c>
      <c r="B5701" s="243">
        <v>9</v>
      </c>
      <c r="C5701" s="243">
        <v>5</v>
      </c>
      <c r="D5701" s="248">
        <f t="shared" si="645"/>
        <v>45540</v>
      </c>
      <c r="E5701" s="249">
        <f t="shared" si="654"/>
        <v>45540</v>
      </c>
      <c r="F5701" s="477"/>
      <c r="G5701" s="244" t="s">
        <v>86</v>
      </c>
      <c r="H5701" s="244"/>
      <c r="I5701" s="245"/>
      <c r="J5701" s="246" t="s">
        <v>51</v>
      </c>
      <c r="K5701" s="247"/>
      <c r="L5701" s="247">
        <f>K5700</f>
        <v>3385.4491514324618</v>
      </c>
    </row>
    <row r="5702" spans="1:13" ht="11.25" customHeight="1" x14ac:dyDescent="0.2">
      <c r="A5702" s="221">
        <v>2024</v>
      </c>
      <c r="B5702" s="221">
        <v>9</v>
      </c>
      <c r="C5702" s="221">
        <v>8</v>
      </c>
      <c r="D5702" s="221">
        <f t="shared" si="645"/>
        <v>45543</v>
      </c>
      <c r="E5702" s="233">
        <f t="shared" si="654"/>
        <v>45543</v>
      </c>
      <c r="F5702" s="478" t="s">
        <v>1759</v>
      </c>
      <c r="G5702" s="222" t="s">
        <v>86</v>
      </c>
      <c r="H5702" s="222"/>
      <c r="I5702" s="223"/>
      <c r="J5702" s="224" t="s">
        <v>80</v>
      </c>
      <c r="K5702" s="225">
        <v>3998963</v>
      </c>
      <c r="L5702" s="225"/>
    </row>
    <row r="5703" spans="1:13" ht="11.25" customHeight="1" x14ac:dyDescent="0.2">
      <c r="A5703" s="164">
        <v>2024</v>
      </c>
      <c r="B5703" s="164">
        <v>9</v>
      </c>
      <c r="C5703" s="164">
        <v>8</v>
      </c>
      <c r="D5703" s="164">
        <f t="shared" si="645"/>
        <v>45543</v>
      </c>
      <c r="E5703" s="235">
        <f t="shared" si="654"/>
        <v>45543</v>
      </c>
      <c r="F5703" s="480"/>
      <c r="G5703" s="208" t="s">
        <v>86</v>
      </c>
      <c r="H5703" s="208"/>
      <c r="J5703" s="165" t="s">
        <v>960</v>
      </c>
      <c r="K5703" s="205">
        <v>7198.1332000000002</v>
      </c>
      <c r="L5703" s="205"/>
    </row>
    <row r="5704" spans="1:13" ht="11.25" customHeight="1" x14ac:dyDescent="0.2">
      <c r="A5704" s="226">
        <v>2024</v>
      </c>
      <c r="B5704" s="226">
        <v>9</v>
      </c>
      <c r="C5704" s="226">
        <v>8</v>
      </c>
      <c r="D5704" s="226">
        <f t="shared" si="645"/>
        <v>45543</v>
      </c>
      <c r="E5704" s="234">
        <f t="shared" si="654"/>
        <v>45543</v>
      </c>
      <c r="F5704" s="479"/>
      <c r="G5704" s="227" t="s">
        <v>86</v>
      </c>
      <c r="H5704" s="227"/>
      <c r="I5704" s="228"/>
      <c r="J5704" s="229" t="s">
        <v>961</v>
      </c>
      <c r="K5704" s="294"/>
      <c r="L5704" s="230">
        <v>4006161.1332</v>
      </c>
    </row>
    <row r="5705" spans="1:13" ht="11.25" customHeight="1" x14ac:dyDescent="0.2">
      <c r="A5705" s="221">
        <v>2024</v>
      </c>
      <c r="B5705" s="221">
        <v>9</v>
      </c>
      <c r="C5705" s="231">
        <v>9</v>
      </c>
      <c r="D5705" s="231">
        <f t="shared" ref="D5705:D5768" si="655">DATE(A5705,B5705,C5705)</f>
        <v>45544</v>
      </c>
      <c r="E5705" s="233">
        <f t="shared" si="654"/>
        <v>45544</v>
      </c>
      <c r="F5705" s="478" t="s">
        <v>1760</v>
      </c>
      <c r="G5705" s="222" t="s">
        <v>1111</v>
      </c>
      <c r="H5705" s="223"/>
      <c r="I5705" s="223"/>
      <c r="J5705" s="224" t="s">
        <v>961</v>
      </c>
      <c r="K5705" s="225">
        <v>4006161.13</v>
      </c>
      <c r="L5705" s="225"/>
    </row>
    <row r="5706" spans="1:13" ht="11.25" customHeight="1" x14ac:dyDescent="0.2">
      <c r="A5706" s="226">
        <v>2024</v>
      </c>
      <c r="B5706" s="226">
        <v>9</v>
      </c>
      <c r="C5706" s="232">
        <v>9</v>
      </c>
      <c r="D5706" s="232">
        <f t="shared" si="655"/>
        <v>45544</v>
      </c>
      <c r="E5706" s="234">
        <f t="shared" si="654"/>
        <v>45544</v>
      </c>
      <c r="F5706" s="479"/>
      <c r="G5706" s="227" t="s">
        <v>1111</v>
      </c>
      <c r="H5706" s="228"/>
      <c r="I5706" s="228"/>
      <c r="J5706" s="229" t="s">
        <v>55</v>
      </c>
      <c r="K5706" s="230"/>
      <c r="L5706" s="230">
        <v>4006161.13</v>
      </c>
    </row>
    <row r="5707" spans="1:13" ht="11.25" customHeight="1" x14ac:dyDescent="0.2">
      <c r="A5707" s="221">
        <v>2024</v>
      </c>
      <c r="B5707" s="221">
        <v>9</v>
      </c>
      <c r="C5707" s="231">
        <v>9</v>
      </c>
      <c r="D5707" s="231">
        <f t="shared" si="655"/>
        <v>45544</v>
      </c>
      <c r="E5707" s="233">
        <f t="shared" si="654"/>
        <v>45544</v>
      </c>
      <c r="F5707" s="478" t="s">
        <v>1670</v>
      </c>
      <c r="G5707" s="222" t="s">
        <v>1111</v>
      </c>
      <c r="H5707" s="223"/>
      <c r="I5707" s="223"/>
      <c r="J5707" s="224" t="s">
        <v>63</v>
      </c>
      <c r="K5707" s="225">
        <v>100</v>
      </c>
      <c r="L5707" s="225"/>
    </row>
    <row r="5708" spans="1:13" ht="11.25" customHeight="1" x14ac:dyDescent="0.2">
      <c r="A5708" s="226">
        <v>2024</v>
      </c>
      <c r="B5708" s="226">
        <v>9</v>
      </c>
      <c r="C5708" s="232">
        <v>9</v>
      </c>
      <c r="D5708" s="232">
        <f t="shared" si="655"/>
        <v>45544</v>
      </c>
      <c r="E5708" s="234">
        <f t="shared" si="654"/>
        <v>45544</v>
      </c>
      <c r="F5708" s="479"/>
      <c r="G5708" s="227" t="s">
        <v>1111</v>
      </c>
      <c r="H5708" s="228"/>
      <c r="I5708" s="228"/>
      <c r="J5708" s="229" t="s">
        <v>55</v>
      </c>
      <c r="K5708" s="230"/>
      <c r="L5708" s="230">
        <v>100</v>
      </c>
    </row>
    <row r="5709" spans="1:13" ht="11.25" customHeight="1" x14ac:dyDescent="0.2">
      <c r="A5709" s="221">
        <v>2024</v>
      </c>
      <c r="B5709" s="221">
        <v>9</v>
      </c>
      <c r="C5709" s="221">
        <v>9</v>
      </c>
      <c r="D5709" s="221">
        <f t="shared" si="655"/>
        <v>45544</v>
      </c>
      <c r="E5709" s="233">
        <f t="shared" ref="E5709:E5728" si="656">DATE(A5709,B5709,C5709)</f>
        <v>45544</v>
      </c>
      <c r="F5709" s="478" t="s">
        <v>1759</v>
      </c>
      <c r="G5709" s="222" t="s">
        <v>86</v>
      </c>
      <c r="H5709" s="222"/>
      <c r="I5709" s="223"/>
      <c r="J5709" s="224" t="s">
        <v>80</v>
      </c>
      <c r="K5709" s="225">
        <v>403154.1</v>
      </c>
      <c r="L5709" s="225"/>
    </row>
    <row r="5710" spans="1:13" ht="11.25" customHeight="1" x14ac:dyDescent="0.2">
      <c r="A5710" s="164">
        <v>2024</v>
      </c>
      <c r="B5710" s="164">
        <v>9</v>
      </c>
      <c r="C5710" s="164">
        <v>9</v>
      </c>
      <c r="D5710" s="164">
        <f t="shared" si="655"/>
        <v>45544</v>
      </c>
      <c r="E5710" s="235">
        <f t="shared" si="656"/>
        <v>45544</v>
      </c>
      <c r="F5710" s="480"/>
      <c r="G5710" s="208" t="s">
        <v>86</v>
      </c>
      <c r="H5710" s="208"/>
      <c r="J5710" s="165" t="s">
        <v>960</v>
      </c>
      <c r="K5710" s="205">
        <v>725.67740000000003</v>
      </c>
      <c r="L5710" s="205"/>
    </row>
    <row r="5711" spans="1:13" ht="11.25" customHeight="1" x14ac:dyDescent="0.2">
      <c r="A5711" s="226">
        <v>2024</v>
      </c>
      <c r="B5711" s="226">
        <v>9</v>
      </c>
      <c r="C5711" s="226">
        <v>9</v>
      </c>
      <c r="D5711" s="226">
        <f t="shared" si="655"/>
        <v>45544</v>
      </c>
      <c r="E5711" s="234">
        <f t="shared" si="656"/>
        <v>45544</v>
      </c>
      <c r="F5711" s="479"/>
      <c r="G5711" s="227" t="s">
        <v>86</v>
      </c>
      <c r="H5711" s="227"/>
      <c r="I5711" s="228"/>
      <c r="J5711" s="229" t="s">
        <v>961</v>
      </c>
      <c r="K5711" s="294"/>
      <c r="L5711" s="230">
        <v>403879.77740000002</v>
      </c>
    </row>
    <row r="5712" spans="1:13" ht="11.25" customHeight="1" x14ac:dyDescent="0.2">
      <c r="A5712" s="221">
        <v>2024</v>
      </c>
      <c r="B5712" s="221">
        <v>9</v>
      </c>
      <c r="C5712" s="231">
        <v>11</v>
      </c>
      <c r="D5712" s="231">
        <f t="shared" si="655"/>
        <v>45546</v>
      </c>
      <c r="E5712" s="233">
        <f t="shared" si="656"/>
        <v>45546</v>
      </c>
      <c r="F5712" s="478" t="s">
        <v>1115</v>
      </c>
      <c r="G5712" s="222" t="s">
        <v>1111</v>
      </c>
      <c r="H5712" s="223"/>
      <c r="I5712" s="223" t="s">
        <v>432</v>
      </c>
      <c r="J5712" s="224" t="s">
        <v>14</v>
      </c>
      <c r="K5712" s="167">
        <v>168420</v>
      </c>
      <c r="L5712" s="225"/>
    </row>
    <row r="5713" spans="1:12" ht="11.25" customHeight="1" x14ac:dyDescent="0.2">
      <c r="A5713" s="164">
        <v>2024</v>
      </c>
      <c r="B5713" s="164">
        <v>9</v>
      </c>
      <c r="C5713" s="156">
        <v>11</v>
      </c>
      <c r="D5713" s="156">
        <f t="shared" si="655"/>
        <v>45546</v>
      </c>
      <c r="E5713" s="235">
        <f t="shared" si="656"/>
        <v>45546</v>
      </c>
      <c r="F5713" s="480"/>
      <c r="G5713" s="208" t="s">
        <v>1111</v>
      </c>
      <c r="I5713" s="206" t="s">
        <v>432</v>
      </c>
      <c r="J5713" s="165" t="s">
        <v>1112</v>
      </c>
      <c r="K5713" s="205">
        <v>17950.8</v>
      </c>
      <c r="L5713" s="156"/>
    </row>
    <row r="5714" spans="1:12" ht="11.25" customHeight="1" x14ac:dyDescent="0.2">
      <c r="A5714" s="226">
        <v>2024</v>
      </c>
      <c r="B5714" s="226">
        <v>9</v>
      </c>
      <c r="C5714" s="232">
        <v>11</v>
      </c>
      <c r="D5714" s="232">
        <f t="shared" si="655"/>
        <v>45546</v>
      </c>
      <c r="E5714" s="234">
        <f t="shared" si="656"/>
        <v>45546</v>
      </c>
      <c r="F5714" s="479"/>
      <c r="G5714" s="227" t="s">
        <v>1111</v>
      </c>
      <c r="H5714" s="228"/>
      <c r="I5714" s="228" t="s">
        <v>432</v>
      </c>
      <c r="J5714" s="229" t="s">
        <v>55</v>
      </c>
      <c r="K5714" s="230"/>
      <c r="L5714" s="230">
        <v>186370.8</v>
      </c>
    </row>
    <row r="5715" spans="1:12" ht="11.25" customHeight="1" x14ac:dyDescent="0.2">
      <c r="A5715" s="221">
        <v>2024</v>
      </c>
      <c r="B5715" s="221">
        <v>9</v>
      </c>
      <c r="C5715" s="231">
        <v>12</v>
      </c>
      <c r="D5715" s="231">
        <f t="shared" si="655"/>
        <v>45547</v>
      </c>
      <c r="E5715" s="233">
        <f t="shared" si="656"/>
        <v>45547</v>
      </c>
      <c r="F5715" s="478" t="s">
        <v>1760</v>
      </c>
      <c r="G5715" s="222" t="s">
        <v>1111</v>
      </c>
      <c r="H5715" s="223"/>
      <c r="I5715" s="223"/>
      <c r="J5715" s="224" t="s">
        <v>961</v>
      </c>
      <c r="K5715" s="225">
        <v>403879.78</v>
      </c>
      <c r="L5715" s="225"/>
    </row>
    <row r="5716" spans="1:12" ht="11.25" customHeight="1" x14ac:dyDescent="0.2">
      <c r="A5716" s="226">
        <v>2024</v>
      </c>
      <c r="B5716" s="226">
        <v>9</v>
      </c>
      <c r="C5716" s="232">
        <v>12</v>
      </c>
      <c r="D5716" s="232">
        <f t="shared" si="655"/>
        <v>45547</v>
      </c>
      <c r="E5716" s="234">
        <f t="shared" si="656"/>
        <v>45547</v>
      </c>
      <c r="F5716" s="479"/>
      <c r="G5716" s="227" t="s">
        <v>1111</v>
      </c>
      <c r="H5716" s="228"/>
      <c r="I5716" s="228"/>
      <c r="J5716" s="229" t="s">
        <v>55</v>
      </c>
      <c r="K5716" s="230"/>
      <c r="L5716" s="230">
        <v>403879.78</v>
      </c>
    </row>
    <row r="5717" spans="1:12" ht="11.25" customHeight="1" x14ac:dyDescent="0.2">
      <c r="A5717" s="221">
        <v>2024</v>
      </c>
      <c r="B5717" s="221">
        <v>9</v>
      </c>
      <c r="C5717" s="231">
        <v>12</v>
      </c>
      <c r="D5717" s="231">
        <f t="shared" si="655"/>
        <v>45547</v>
      </c>
      <c r="E5717" s="233">
        <f t="shared" si="656"/>
        <v>45547</v>
      </c>
      <c r="F5717" s="478" t="s">
        <v>1670</v>
      </c>
      <c r="G5717" s="222" t="s">
        <v>1111</v>
      </c>
      <c r="H5717" s="223"/>
      <c r="I5717" s="223"/>
      <c r="J5717" s="224" t="s">
        <v>63</v>
      </c>
      <c r="K5717" s="225">
        <v>58</v>
      </c>
      <c r="L5717" s="225"/>
    </row>
    <row r="5718" spans="1:12" ht="11.25" customHeight="1" x14ac:dyDescent="0.2">
      <c r="A5718" s="226">
        <v>2024</v>
      </c>
      <c r="B5718" s="226">
        <v>9</v>
      </c>
      <c r="C5718" s="232">
        <v>12</v>
      </c>
      <c r="D5718" s="232">
        <f t="shared" si="655"/>
        <v>45547</v>
      </c>
      <c r="E5718" s="234">
        <f t="shared" si="656"/>
        <v>45547</v>
      </c>
      <c r="F5718" s="479"/>
      <c r="G5718" s="227" t="s">
        <v>1111</v>
      </c>
      <c r="H5718" s="228"/>
      <c r="I5718" s="228"/>
      <c r="J5718" s="229" t="s">
        <v>55</v>
      </c>
      <c r="K5718" s="230"/>
      <c r="L5718" s="230">
        <v>58</v>
      </c>
    </row>
    <row r="5719" spans="1:12" ht="11.25" customHeight="1" x14ac:dyDescent="0.2">
      <c r="A5719" s="221">
        <v>2024</v>
      </c>
      <c r="B5719" s="221">
        <v>9</v>
      </c>
      <c r="C5719" s="231">
        <v>12</v>
      </c>
      <c r="D5719" s="231">
        <f t="shared" si="655"/>
        <v>45547</v>
      </c>
      <c r="E5719" s="233">
        <f t="shared" si="656"/>
        <v>45547</v>
      </c>
      <c r="F5719" s="478" t="s">
        <v>1753</v>
      </c>
      <c r="G5719" s="222" t="s">
        <v>1111</v>
      </c>
      <c r="H5719" s="223"/>
      <c r="I5719" s="223"/>
      <c r="J5719" s="224" t="s">
        <v>63</v>
      </c>
      <c r="K5719" s="225">
        <v>100</v>
      </c>
      <c r="L5719" s="225"/>
    </row>
    <row r="5720" spans="1:12" ht="11.25" customHeight="1" x14ac:dyDescent="0.2">
      <c r="A5720" s="226">
        <v>2024</v>
      </c>
      <c r="B5720" s="226">
        <v>9</v>
      </c>
      <c r="C5720" s="232">
        <v>12</v>
      </c>
      <c r="D5720" s="232">
        <f t="shared" si="655"/>
        <v>45547</v>
      </c>
      <c r="E5720" s="234">
        <f t="shared" si="656"/>
        <v>45547</v>
      </c>
      <c r="F5720" s="479"/>
      <c r="G5720" s="227" t="s">
        <v>1111</v>
      </c>
      <c r="H5720" s="228"/>
      <c r="I5720" s="228"/>
      <c r="J5720" s="229" t="s">
        <v>55</v>
      </c>
      <c r="K5720" s="230"/>
      <c r="L5720" s="230">
        <v>100</v>
      </c>
    </row>
    <row r="5721" spans="1:12" ht="11.25" customHeight="1" x14ac:dyDescent="0.2">
      <c r="A5721" s="280">
        <v>2024</v>
      </c>
      <c r="B5721" s="280">
        <v>9</v>
      </c>
      <c r="C5721" s="280">
        <v>12</v>
      </c>
      <c r="D5721" s="281">
        <f t="shared" si="655"/>
        <v>45547</v>
      </c>
      <c r="E5721" s="282">
        <f t="shared" si="656"/>
        <v>45547</v>
      </c>
      <c r="F5721" s="472" t="s">
        <v>1744</v>
      </c>
      <c r="G5721" s="283" t="s">
        <v>86</v>
      </c>
      <c r="H5721" s="284"/>
      <c r="I5721" s="284"/>
      <c r="J5721" s="285" t="s">
        <v>131</v>
      </c>
      <c r="K5721" s="286">
        <v>19358.333333333332</v>
      </c>
      <c r="L5721" s="286"/>
    </row>
    <row r="5722" spans="1:12" ht="11.25" customHeight="1" x14ac:dyDescent="0.2">
      <c r="A5722" s="287">
        <v>2024</v>
      </c>
      <c r="B5722" s="287">
        <v>9</v>
      </c>
      <c r="C5722" s="287">
        <v>12</v>
      </c>
      <c r="D5722" s="288">
        <f t="shared" si="655"/>
        <v>45547</v>
      </c>
      <c r="E5722" s="289">
        <f t="shared" si="656"/>
        <v>45547</v>
      </c>
      <c r="F5722" s="473"/>
      <c r="G5722" s="290" t="s">
        <v>86</v>
      </c>
      <c r="H5722" s="291"/>
      <c r="I5722" s="291"/>
      <c r="J5722" s="292" t="s">
        <v>174</v>
      </c>
      <c r="K5722" s="293"/>
      <c r="L5722" s="293">
        <v>19358.333333333332</v>
      </c>
    </row>
    <row r="5723" spans="1:12" ht="11.25" customHeight="1" x14ac:dyDescent="0.2">
      <c r="A5723" s="280">
        <v>2024</v>
      </c>
      <c r="B5723" s="280">
        <v>9</v>
      </c>
      <c r="C5723" s="280">
        <v>12</v>
      </c>
      <c r="D5723" s="281">
        <f t="shared" si="655"/>
        <v>45547</v>
      </c>
      <c r="E5723" s="282">
        <f t="shared" si="656"/>
        <v>45547</v>
      </c>
      <c r="F5723" s="472" t="s">
        <v>1584</v>
      </c>
      <c r="G5723" s="283" t="s">
        <v>86</v>
      </c>
      <c r="H5723" s="284"/>
      <c r="I5723" s="284"/>
      <c r="J5723" s="285" t="s">
        <v>131</v>
      </c>
      <c r="K5723" s="286">
        <v>8653.8461538461543</v>
      </c>
      <c r="L5723" s="286"/>
    </row>
    <row r="5724" spans="1:12" ht="11.25" customHeight="1" x14ac:dyDescent="0.2">
      <c r="A5724" s="287">
        <v>2024</v>
      </c>
      <c r="B5724" s="287">
        <v>9</v>
      </c>
      <c r="C5724" s="287">
        <v>12</v>
      </c>
      <c r="D5724" s="288">
        <f t="shared" si="655"/>
        <v>45547</v>
      </c>
      <c r="E5724" s="289">
        <f t="shared" si="656"/>
        <v>45547</v>
      </c>
      <c r="F5724" s="473"/>
      <c r="G5724" s="290" t="s">
        <v>86</v>
      </c>
      <c r="H5724" s="291"/>
      <c r="I5724" s="291"/>
      <c r="J5724" s="292" t="s">
        <v>174</v>
      </c>
      <c r="K5724" s="293"/>
      <c r="L5724" s="293">
        <v>8653.8461538461543</v>
      </c>
    </row>
    <row r="5725" spans="1:12" ht="11.25" customHeight="1" x14ac:dyDescent="0.2">
      <c r="A5725" s="280">
        <v>2024</v>
      </c>
      <c r="B5725" s="280">
        <v>9</v>
      </c>
      <c r="C5725" s="280">
        <v>12</v>
      </c>
      <c r="D5725" s="281">
        <f t="shared" si="655"/>
        <v>45547</v>
      </c>
      <c r="E5725" s="282">
        <f t="shared" si="656"/>
        <v>45547</v>
      </c>
      <c r="F5725" s="472" t="s">
        <v>1830</v>
      </c>
      <c r="G5725" s="283" t="s">
        <v>86</v>
      </c>
      <c r="H5725" s="284"/>
      <c r="I5725" s="284"/>
      <c r="J5725" s="285" t="s">
        <v>131</v>
      </c>
      <c r="K5725" s="286">
        <v>4653.8461538461543</v>
      </c>
      <c r="L5725" s="286"/>
    </row>
    <row r="5726" spans="1:12" ht="11.25" customHeight="1" x14ac:dyDescent="0.2">
      <c r="A5726" s="287">
        <v>2024</v>
      </c>
      <c r="B5726" s="287">
        <v>9</v>
      </c>
      <c r="C5726" s="287">
        <v>12</v>
      </c>
      <c r="D5726" s="288">
        <f t="shared" si="655"/>
        <v>45547</v>
      </c>
      <c r="E5726" s="289">
        <f t="shared" si="656"/>
        <v>45547</v>
      </c>
      <c r="F5726" s="473"/>
      <c r="G5726" s="290" t="s">
        <v>86</v>
      </c>
      <c r="H5726" s="291"/>
      <c r="I5726" s="291"/>
      <c r="J5726" s="292" t="s">
        <v>174</v>
      </c>
      <c r="K5726" s="293"/>
      <c r="L5726" s="293">
        <v>4653.8461538461543</v>
      </c>
    </row>
    <row r="5727" spans="1:12" ht="11.25" customHeight="1" x14ac:dyDescent="0.2">
      <c r="A5727" s="341">
        <v>2024</v>
      </c>
      <c r="B5727" s="341">
        <v>9</v>
      </c>
      <c r="C5727" s="341">
        <v>12</v>
      </c>
      <c r="D5727" s="328">
        <f t="shared" si="655"/>
        <v>45547</v>
      </c>
      <c r="E5727" s="329">
        <f t="shared" si="656"/>
        <v>45547</v>
      </c>
      <c r="F5727" s="474" t="s">
        <v>1767</v>
      </c>
      <c r="G5727" s="330" t="s">
        <v>86</v>
      </c>
      <c r="H5727" s="332"/>
      <c r="I5727" s="332"/>
      <c r="J5727" s="342" t="s">
        <v>67</v>
      </c>
      <c r="K5727" s="343">
        <v>12936.44</v>
      </c>
      <c r="L5727" s="343"/>
    </row>
    <row r="5728" spans="1:12" ht="11.25" customHeight="1" x14ac:dyDescent="0.2">
      <c r="A5728" s="344">
        <v>2024</v>
      </c>
      <c r="B5728" s="344">
        <v>9</v>
      </c>
      <c r="C5728" s="344">
        <v>12</v>
      </c>
      <c r="D5728" s="337">
        <f t="shared" si="655"/>
        <v>45547</v>
      </c>
      <c r="E5728" s="338">
        <f t="shared" si="656"/>
        <v>45547</v>
      </c>
      <c r="F5728" s="475"/>
      <c r="G5728" s="339" t="s">
        <v>86</v>
      </c>
      <c r="H5728" s="340"/>
      <c r="I5728" s="340"/>
      <c r="J5728" s="345" t="s">
        <v>174</v>
      </c>
      <c r="K5728" s="346"/>
      <c r="L5728" s="346">
        <f>K5727</f>
        <v>12936.44</v>
      </c>
    </row>
    <row r="5729" spans="1:13" ht="11.25" customHeight="1" x14ac:dyDescent="0.2">
      <c r="A5729" s="358">
        <v>2024</v>
      </c>
      <c r="B5729" s="358">
        <v>9</v>
      </c>
      <c r="C5729" s="358">
        <v>12</v>
      </c>
      <c r="D5729" s="312">
        <f t="shared" si="655"/>
        <v>45547</v>
      </c>
      <c r="E5729" s="313">
        <f>DATE(A5729,B5729,C5729)</f>
        <v>45547</v>
      </c>
      <c r="F5729" s="482" t="s">
        <v>1627</v>
      </c>
      <c r="G5729" s="314" t="s">
        <v>86</v>
      </c>
      <c r="H5729" s="324"/>
      <c r="I5729" s="324"/>
      <c r="J5729" s="364" t="s">
        <v>1621</v>
      </c>
      <c r="K5729" s="365">
        <v>68850</v>
      </c>
      <c r="L5729" s="365"/>
    </row>
    <row r="5730" spans="1:13" ht="11.25" customHeight="1" x14ac:dyDescent="0.2">
      <c r="A5730" s="320">
        <v>2024</v>
      </c>
      <c r="B5730" s="320">
        <v>9</v>
      </c>
      <c r="C5730" s="320">
        <v>12</v>
      </c>
      <c r="D5730" s="323">
        <f t="shared" si="655"/>
        <v>45547</v>
      </c>
      <c r="E5730" s="321">
        <f t="shared" ref="E5730" si="657">DATE(A5730,B5730,C5730)</f>
        <v>45547</v>
      </c>
      <c r="F5730" s="483"/>
      <c r="G5730" s="322" t="s">
        <v>86</v>
      </c>
      <c r="H5730" s="325"/>
      <c r="I5730" s="325"/>
      <c r="J5730" s="366" t="s">
        <v>1613</v>
      </c>
      <c r="K5730" s="367"/>
      <c r="L5730" s="367">
        <f>K5729</f>
        <v>68850</v>
      </c>
    </row>
    <row r="5731" spans="1:13" ht="11.25" customHeight="1" x14ac:dyDescent="0.2">
      <c r="A5731" s="358">
        <v>2024</v>
      </c>
      <c r="B5731" s="358">
        <v>9</v>
      </c>
      <c r="C5731" s="358">
        <v>12</v>
      </c>
      <c r="D5731" s="312">
        <f t="shared" si="655"/>
        <v>45547</v>
      </c>
      <c r="E5731" s="313">
        <f>DATE(A5731,B5731,C5731)</f>
        <v>45547</v>
      </c>
      <c r="F5731" s="482" t="s">
        <v>1713</v>
      </c>
      <c r="G5731" s="314" t="s">
        <v>86</v>
      </c>
      <c r="H5731" s="324"/>
      <c r="I5731" s="324"/>
      <c r="J5731" s="364" t="s">
        <v>1622</v>
      </c>
      <c r="K5731" s="365">
        <v>75977.469999998808</v>
      </c>
      <c r="L5731" s="365"/>
    </row>
    <row r="5732" spans="1:13" ht="11.25" customHeight="1" x14ac:dyDescent="0.2">
      <c r="A5732" s="320">
        <v>2024</v>
      </c>
      <c r="B5732" s="320">
        <v>9</v>
      </c>
      <c r="C5732" s="320">
        <v>12</v>
      </c>
      <c r="D5732" s="323">
        <f t="shared" si="655"/>
        <v>45547</v>
      </c>
      <c r="E5732" s="321">
        <f t="shared" ref="E5732:E5807" si="658">DATE(A5732,B5732,C5732)</f>
        <v>45547</v>
      </c>
      <c r="F5732" s="483"/>
      <c r="G5732" s="322" t="s">
        <v>86</v>
      </c>
      <c r="H5732" s="325"/>
      <c r="I5732" s="325"/>
      <c r="J5732" s="366" t="s">
        <v>1614</v>
      </c>
      <c r="K5732" s="367"/>
      <c r="L5732" s="367">
        <f>K5731</f>
        <v>75977.469999998808</v>
      </c>
    </row>
    <row r="5733" spans="1:13" ht="11.25" customHeight="1" x14ac:dyDescent="0.2">
      <c r="A5733" s="236">
        <v>2024</v>
      </c>
      <c r="B5733" s="236">
        <v>9</v>
      </c>
      <c r="C5733" s="236">
        <v>12</v>
      </c>
      <c r="D5733" s="237">
        <f t="shared" si="655"/>
        <v>45547</v>
      </c>
      <c r="E5733" s="238">
        <f t="shared" si="658"/>
        <v>45547</v>
      </c>
      <c r="F5733" s="476" t="s">
        <v>1118</v>
      </c>
      <c r="G5733" s="239" t="s">
        <v>86</v>
      </c>
      <c r="H5733" s="239"/>
      <c r="I5733" s="240"/>
      <c r="J5733" s="241" t="s">
        <v>82</v>
      </c>
      <c r="K5733" s="242">
        <v>993843.91999998689</v>
      </c>
      <c r="L5733" s="242"/>
    </row>
    <row r="5734" spans="1:13" ht="11.25" customHeight="1" x14ac:dyDescent="0.2">
      <c r="A5734" s="243">
        <v>2024</v>
      </c>
      <c r="B5734" s="243">
        <v>9</v>
      </c>
      <c r="C5734" s="243">
        <v>12</v>
      </c>
      <c r="D5734" s="248">
        <f t="shared" si="655"/>
        <v>45547</v>
      </c>
      <c r="E5734" s="249">
        <f t="shared" si="658"/>
        <v>45547</v>
      </c>
      <c r="F5734" s="477"/>
      <c r="G5734" s="244" t="s">
        <v>86</v>
      </c>
      <c r="H5734" s="244"/>
      <c r="I5734" s="245"/>
      <c r="J5734" s="246" t="s">
        <v>98</v>
      </c>
      <c r="K5734" s="247"/>
      <c r="L5734" s="247">
        <f>K5733</f>
        <v>993843.91999998689</v>
      </c>
    </row>
    <row r="5735" spans="1:13" ht="11.25" customHeight="1" x14ac:dyDescent="0.2">
      <c r="A5735" s="236">
        <v>2024</v>
      </c>
      <c r="B5735" s="236">
        <v>9</v>
      </c>
      <c r="C5735" s="236">
        <v>12</v>
      </c>
      <c r="D5735" s="237">
        <f t="shared" si="655"/>
        <v>45547</v>
      </c>
      <c r="E5735" s="238">
        <f t="shared" si="658"/>
        <v>45547</v>
      </c>
      <c r="F5735" s="476" t="s">
        <v>1120</v>
      </c>
      <c r="G5735" s="239" t="s">
        <v>86</v>
      </c>
      <c r="H5735" s="239"/>
      <c r="I5735" s="240"/>
      <c r="J5735" s="241" t="s">
        <v>87</v>
      </c>
      <c r="K5735" s="242">
        <v>2747.2527472527472</v>
      </c>
      <c r="L5735" s="242"/>
    </row>
    <row r="5736" spans="1:13" ht="11.25" customHeight="1" x14ac:dyDescent="0.2">
      <c r="A5736" s="243">
        <v>2024</v>
      </c>
      <c r="B5736" s="243">
        <v>9</v>
      </c>
      <c r="C5736" s="243">
        <v>12</v>
      </c>
      <c r="D5736" s="248">
        <f t="shared" si="655"/>
        <v>45547</v>
      </c>
      <c r="E5736" s="249">
        <f t="shared" si="658"/>
        <v>45547</v>
      </c>
      <c r="F5736" s="477"/>
      <c r="G5736" s="244" t="s">
        <v>86</v>
      </c>
      <c r="H5736" s="244"/>
      <c r="I5736" s="245"/>
      <c r="J5736" s="246" t="s">
        <v>64</v>
      </c>
      <c r="K5736" s="247"/>
      <c r="L5736" s="247">
        <v>2747.2527472527472</v>
      </c>
    </row>
    <row r="5737" spans="1:13" ht="11.25" customHeight="1" x14ac:dyDescent="0.2">
      <c r="A5737" s="236">
        <v>2024</v>
      </c>
      <c r="B5737" s="236">
        <v>9</v>
      </c>
      <c r="C5737" s="236">
        <v>12</v>
      </c>
      <c r="D5737" s="237">
        <f t="shared" si="655"/>
        <v>45547</v>
      </c>
      <c r="E5737" s="238">
        <f t="shared" si="658"/>
        <v>45547</v>
      </c>
      <c r="F5737" s="476" t="s">
        <v>1121</v>
      </c>
      <c r="G5737" s="239" t="s">
        <v>86</v>
      </c>
      <c r="H5737" s="239"/>
      <c r="I5737" s="240"/>
      <c r="J5737" s="241" t="s">
        <v>89</v>
      </c>
      <c r="K5737" s="242">
        <f>M5737</f>
        <v>72181.581439343849</v>
      </c>
      <c r="L5737" s="242"/>
      <c r="M5737" s="156">
        <v>72181.581439343849</v>
      </c>
    </row>
    <row r="5738" spans="1:13" ht="11.25" customHeight="1" x14ac:dyDescent="0.2">
      <c r="A5738" s="243">
        <v>2024</v>
      </c>
      <c r="B5738" s="243">
        <v>9</v>
      </c>
      <c r="C5738" s="243">
        <v>12</v>
      </c>
      <c r="D5738" s="248">
        <f t="shared" si="655"/>
        <v>45547</v>
      </c>
      <c r="E5738" s="249">
        <f t="shared" si="658"/>
        <v>45547</v>
      </c>
      <c r="F5738" s="477"/>
      <c r="G5738" s="244" t="s">
        <v>86</v>
      </c>
      <c r="H5738" s="244"/>
      <c r="I5738" s="245"/>
      <c r="J5738" s="246" t="s">
        <v>50</v>
      </c>
      <c r="K5738" s="247"/>
      <c r="L5738" s="247">
        <f>K5737</f>
        <v>72181.581439343849</v>
      </c>
      <c r="M5738" s="156">
        <v>3368.694456582577</v>
      </c>
    </row>
    <row r="5739" spans="1:13" ht="11.25" customHeight="1" x14ac:dyDescent="0.2">
      <c r="A5739" s="236">
        <v>2024</v>
      </c>
      <c r="B5739" s="236">
        <v>9</v>
      </c>
      <c r="C5739" s="236">
        <v>12</v>
      </c>
      <c r="D5739" s="237">
        <f t="shared" si="655"/>
        <v>45547</v>
      </c>
      <c r="E5739" s="238">
        <f t="shared" si="658"/>
        <v>45547</v>
      </c>
      <c r="F5739" s="476" t="s">
        <v>1122</v>
      </c>
      <c r="G5739" s="239" t="s">
        <v>86</v>
      </c>
      <c r="H5739" s="239"/>
      <c r="I5739" s="240"/>
      <c r="J5739" s="241" t="s">
        <v>91</v>
      </c>
      <c r="K5739" s="242">
        <f>M5738</f>
        <v>3368.694456582577</v>
      </c>
      <c r="L5739" s="242"/>
    </row>
    <row r="5740" spans="1:13" ht="11.25" customHeight="1" x14ac:dyDescent="0.2">
      <c r="A5740" s="243">
        <v>2024</v>
      </c>
      <c r="B5740" s="243">
        <v>9</v>
      </c>
      <c r="C5740" s="243">
        <v>12</v>
      </c>
      <c r="D5740" s="248">
        <f t="shared" si="655"/>
        <v>45547</v>
      </c>
      <c r="E5740" s="249">
        <f t="shared" si="658"/>
        <v>45547</v>
      </c>
      <c r="F5740" s="477"/>
      <c r="G5740" s="244" t="s">
        <v>86</v>
      </c>
      <c r="H5740" s="244"/>
      <c r="I5740" s="245"/>
      <c r="J5740" s="246" t="s">
        <v>51</v>
      </c>
      <c r="K5740" s="247"/>
      <c r="L5740" s="247">
        <f>K5739</f>
        <v>3368.694456582577</v>
      </c>
    </row>
    <row r="5741" spans="1:13" ht="11.25" customHeight="1" x14ac:dyDescent="0.2">
      <c r="A5741" s="221">
        <v>2024</v>
      </c>
      <c r="B5741" s="221">
        <v>9</v>
      </c>
      <c r="C5741" s="221">
        <v>17</v>
      </c>
      <c r="D5741" s="221">
        <f t="shared" si="655"/>
        <v>45552</v>
      </c>
      <c r="E5741" s="233">
        <f t="shared" si="658"/>
        <v>45552</v>
      </c>
      <c r="F5741" s="478" t="s">
        <v>1782</v>
      </c>
      <c r="G5741" s="222" t="s">
        <v>86</v>
      </c>
      <c r="H5741" s="222"/>
      <c r="I5741" s="223"/>
      <c r="J5741" s="224" t="s">
        <v>1615</v>
      </c>
      <c r="K5741" s="225">
        <v>3966954.59</v>
      </c>
      <c r="L5741" s="225"/>
    </row>
    <row r="5742" spans="1:13" ht="11.25" customHeight="1" x14ac:dyDescent="0.2">
      <c r="A5742" s="226">
        <v>2024</v>
      </c>
      <c r="B5742" s="226">
        <v>9</v>
      </c>
      <c r="C5742" s="226">
        <v>17</v>
      </c>
      <c r="D5742" s="226">
        <f t="shared" si="655"/>
        <v>45552</v>
      </c>
      <c r="E5742" s="234">
        <f t="shared" si="658"/>
        <v>45552</v>
      </c>
      <c r="F5742" s="479"/>
      <c r="G5742" s="227" t="s">
        <v>86</v>
      </c>
      <c r="H5742" s="227"/>
      <c r="I5742" s="228"/>
      <c r="J5742" s="229" t="s">
        <v>55</v>
      </c>
      <c r="K5742" s="294"/>
      <c r="L5742" s="230">
        <v>3966954.59</v>
      </c>
    </row>
    <row r="5743" spans="1:13" ht="11.25" customHeight="1" x14ac:dyDescent="0.2">
      <c r="A5743" s="221">
        <v>2024</v>
      </c>
      <c r="B5743" s="221">
        <v>9</v>
      </c>
      <c r="C5743" s="231">
        <v>17</v>
      </c>
      <c r="D5743" s="231">
        <f t="shared" si="655"/>
        <v>45552</v>
      </c>
      <c r="E5743" s="233">
        <f t="shared" si="658"/>
        <v>45552</v>
      </c>
      <c r="F5743" s="478" t="s">
        <v>1753</v>
      </c>
      <c r="G5743" s="222" t="s">
        <v>1111</v>
      </c>
      <c r="H5743" s="223"/>
      <c r="I5743" s="223"/>
      <c r="J5743" s="224" t="s">
        <v>63</v>
      </c>
      <c r="K5743" s="225">
        <v>100</v>
      </c>
      <c r="L5743" s="225"/>
    </row>
    <row r="5744" spans="1:13" ht="11.25" customHeight="1" x14ac:dyDescent="0.2">
      <c r="A5744" s="226">
        <v>2024</v>
      </c>
      <c r="B5744" s="226">
        <v>9</v>
      </c>
      <c r="C5744" s="232">
        <v>17</v>
      </c>
      <c r="D5744" s="232">
        <f t="shared" si="655"/>
        <v>45552</v>
      </c>
      <c r="E5744" s="234">
        <f t="shared" si="658"/>
        <v>45552</v>
      </c>
      <c r="F5744" s="479"/>
      <c r="G5744" s="227" t="s">
        <v>1111</v>
      </c>
      <c r="H5744" s="228"/>
      <c r="I5744" s="228"/>
      <c r="J5744" s="229" t="s">
        <v>55</v>
      </c>
      <c r="K5744" s="230"/>
      <c r="L5744" s="230">
        <v>100</v>
      </c>
    </row>
    <row r="5745" spans="1:12" ht="11.25" customHeight="1" x14ac:dyDescent="0.2">
      <c r="A5745" s="221">
        <v>2024</v>
      </c>
      <c r="B5745" s="221">
        <v>9</v>
      </c>
      <c r="C5745" s="231">
        <v>18</v>
      </c>
      <c r="D5745" s="231">
        <f t="shared" si="655"/>
        <v>45553</v>
      </c>
      <c r="E5745" s="233">
        <f t="shared" si="658"/>
        <v>45553</v>
      </c>
      <c r="F5745" s="478" t="s">
        <v>1781</v>
      </c>
      <c r="G5745" s="222" t="s">
        <v>1111</v>
      </c>
      <c r="H5745" s="222"/>
      <c r="I5745" s="223"/>
      <c r="J5745" s="224" t="s">
        <v>1615</v>
      </c>
      <c r="K5745" s="357">
        <v>2074795.21</v>
      </c>
      <c r="L5745" s="225"/>
    </row>
    <row r="5746" spans="1:12" ht="11.25" customHeight="1" x14ac:dyDescent="0.2">
      <c r="A5746" s="226">
        <v>2024</v>
      </c>
      <c r="B5746" s="226">
        <v>9</v>
      </c>
      <c r="C5746" s="232">
        <v>18</v>
      </c>
      <c r="D5746" s="226">
        <f t="shared" si="655"/>
        <v>45553</v>
      </c>
      <c r="E5746" s="234">
        <f t="shared" si="658"/>
        <v>45553</v>
      </c>
      <c r="F5746" s="479"/>
      <c r="G5746" s="227" t="s">
        <v>1111</v>
      </c>
      <c r="H5746" s="227"/>
      <c r="I5746" s="228"/>
      <c r="J5746" s="229" t="s">
        <v>55</v>
      </c>
      <c r="K5746" s="294"/>
      <c r="L5746" s="230">
        <v>2074795.21</v>
      </c>
    </row>
    <row r="5747" spans="1:12" ht="11.25" customHeight="1" x14ac:dyDescent="0.2">
      <c r="A5747" s="221">
        <v>2024</v>
      </c>
      <c r="B5747" s="221">
        <v>9</v>
      </c>
      <c r="C5747" s="231">
        <v>18</v>
      </c>
      <c r="D5747" s="231">
        <f t="shared" si="655"/>
        <v>45553</v>
      </c>
      <c r="E5747" s="233">
        <f t="shared" ref="E5747:E5762" si="659">DATE(A5747,B5747,C5747)</f>
        <v>45553</v>
      </c>
      <c r="F5747" s="478" t="s">
        <v>1115</v>
      </c>
      <c r="G5747" s="222" t="s">
        <v>1111</v>
      </c>
      <c r="H5747" s="223"/>
      <c r="I5747" s="223" t="s">
        <v>425</v>
      </c>
      <c r="J5747" s="224" t="s">
        <v>14</v>
      </c>
      <c r="K5747" s="167">
        <v>153430</v>
      </c>
      <c r="L5747" s="225"/>
    </row>
    <row r="5748" spans="1:12" ht="11.25" customHeight="1" x14ac:dyDescent="0.2">
      <c r="A5748" s="164">
        <v>2024</v>
      </c>
      <c r="B5748" s="164">
        <v>9</v>
      </c>
      <c r="C5748" s="156">
        <v>18</v>
      </c>
      <c r="D5748" s="156">
        <f t="shared" si="655"/>
        <v>45553</v>
      </c>
      <c r="E5748" s="235">
        <f t="shared" si="659"/>
        <v>45553</v>
      </c>
      <c r="F5748" s="480"/>
      <c r="G5748" s="208" t="s">
        <v>1111</v>
      </c>
      <c r="I5748" s="206" t="s">
        <v>425</v>
      </c>
      <c r="J5748" s="165" t="s">
        <v>1112</v>
      </c>
      <c r="K5748" s="205">
        <v>15511.77</v>
      </c>
      <c r="L5748" s="156"/>
    </row>
    <row r="5749" spans="1:12" ht="11.25" customHeight="1" x14ac:dyDescent="0.2">
      <c r="A5749" s="226">
        <v>2024</v>
      </c>
      <c r="B5749" s="226">
        <v>9</v>
      </c>
      <c r="C5749" s="232">
        <v>18</v>
      </c>
      <c r="D5749" s="232">
        <f t="shared" si="655"/>
        <v>45553</v>
      </c>
      <c r="E5749" s="234">
        <f t="shared" si="659"/>
        <v>45553</v>
      </c>
      <c r="F5749" s="479"/>
      <c r="G5749" s="227" t="s">
        <v>1111</v>
      </c>
      <c r="H5749" s="228"/>
      <c r="I5749" s="228" t="s">
        <v>425</v>
      </c>
      <c r="J5749" s="229" t="s">
        <v>55</v>
      </c>
      <c r="K5749" s="230"/>
      <c r="L5749" s="230">
        <v>168941.77</v>
      </c>
    </row>
    <row r="5750" spans="1:12" ht="11.25" customHeight="1" x14ac:dyDescent="0.2">
      <c r="A5750" s="164">
        <v>2024</v>
      </c>
      <c r="B5750" s="164">
        <v>9</v>
      </c>
      <c r="C5750" s="164">
        <v>18</v>
      </c>
      <c r="D5750" s="156">
        <f t="shared" si="655"/>
        <v>45553</v>
      </c>
      <c r="E5750" s="235">
        <f t="shared" si="659"/>
        <v>45553</v>
      </c>
      <c r="F5750" s="478" t="s">
        <v>1732</v>
      </c>
      <c r="G5750" s="208" t="s">
        <v>1111</v>
      </c>
      <c r="J5750" s="165" t="s">
        <v>478</v>
      </c>
      <c r="K5750" s="205">
        <v>4858.1099999999997</v>
      </c>
      <c r="L5750" s="205"/>
    </row>
    <row r="5751" spans="1:12" ht="11.25" customHeight="1" x14ac:dyDescent="0.2">
      <c r="A5751" s="164">
        <v>2024</v>
      </c>
      <c r="B5751" s="164">
        <v>9</v>
      </c>
      <c r="C5751" s="164">
        <v>18</v>
      </c>
      <c r="D5751" s="156">
        <f t="shared" si="655"/>
        <v>45553</v>
      </c>
      <c r="E5751" s="235">
        <f t="shared" si="659"/>
        <v>45553</v>
      </c>
      <c r="F5751" s="480"/>
      <c r="G5751" s="208" t="s">
        <v>1111</v>
      </c>
      <c r="J5751" s="165" t="s">
        <v>1708</v>
      </c>
      <c r="K5751" s="205">
        <v>375</v>
      </c>
      <c r="L5751" s="205"/>
    </row>
    <row r="5752" spans="1:12" ht="11.25" customHeight="1" x14ac:dyDescent="0.2">
      <c r="A5752" s="164">
        <v>2024</v>
      </c>
      <c r="B5752" s="164">
        <v>9</v>
      </c>
      <c r="C5752" s="164">
        <v>18</v>
      </c>
      <c r="D5752" s="156">
        <f t="shared" si="655"/>
        <v>45553</v>
      </c>
      <c r="E5752" s="235">
        <f t="shared" ref="E5752" si="660">DATE(A5752,B5752,C5752)</f>
        <v>45553</v>
      </c>
      <c r="F5752" s="480"/>
      <c r="G5752" s="208" t="s">
        <v>1111</v>
      </c>
      <c r="J5752" s="165" t="s">
        <v>1707</v>
      </c>
      <c r="K5752" s="205">
        <v>150</v>
      </c>
      <c r="L5752" s="205"/>
    </row>
    <row r="5753" spans="1:12" ht="11.25" customHeight="1" x14ac:dyDescent="0.2">
      <c r="A5753" s="164">
        <v>2024</v>
      </c>
      <c r="B5753" s="164">
        <v>9</v>
      </c>
      <c r="C5753" s="164">
        <v>18</v>
      </c>
      <c r="D5753" s="156">
        <f t="shared" si="655"/>
        <v>45553</v>
      </c>
      <c r="E5753" s="235">
        <f t="shared" si="659"/>
        <v>45553</v>
      </c>
      <c r="F5753" s="480"/>
      <c r="G5753" s="208" t="s">
        <v>1111</v>
      </c>
      <c r="J5753" s="165" t="s">
        <v>478</v>
      </c>
      <c r="K5753" s="205">
        <v>1443.67</v>
      </c>
      <c r="L5753" s="205"/>
    </row>
    <row r="5754" spans="1:12" ht="11.25" customHeight="1" x14ac:dyDescent="0.2">
      <c r="A5754" s="226">
        <v>2024</v>
      </c>
      <c r="B5754" s="226">
        <v>9</v>
      </c>
      <c r="C5754" s="226">
        <v>18</v>
      </c>
      <c r="D5754" s="232">
        <f t="shared" si="655"/>
        <v>45553</v>
      </c>
      <c r="E5754" s="234">
        <f t="shared" si="659"/>
        <v>45553</v>
      </c>
      <c r="F5754" s="479"/>
      <c r="G5754" s="227" t="s">
        <v>1111</v>
      </c>
      <c r="H5754" s="228"/>
      <c r="I5754" s="228"/>
      <c r="J5754" s="229" t="s">
        <v>55</v>
      </c>
      <c r="K5754" s="230"/>
      <c r="L5754" s="230">
        <v>6826.78</v>
      </c>
    </row>
    <row r="5755" spans="1:12" ht="11.25" customHeight="1" x14ac:dyDescent="0.2">
      <c r="A5755" s="280">
        <v>2024</v>
      </c>
      <c r="B5755" s="280">
        <v>9</v>
      </c>
      <c r="C5755" s="280">
        <v>19</v>
      </c>
      <c r="D5755" s="281">
        <f t="shared" si="655"/>
        <v>45554</v>
      </c>
      <c r="E5755" s="282">
        <f t="shared" si="659"/>
        <v>45554</v>
      </c>
      <c r="F5755" s="472" t="s">
        <v>1744</v>
      </c>
      <c r="G5755" s="283" t="s">
        <v>86</v>
      </c>
      <c r="H5755" s="284"/>
      <c r="I5755" s="284"/>
      <c r="J5755" s="285" t="s">
        <v>131</v>
      </c>
      <c r="K5755" s="286">
        <v>19358.333333333332</v>
      </c>
      <c r="L5755" s="286"/>
    </row>
    <row r="5756" spans="1:12" ht="11.25" customHeight="1" x14ac:dyDescent="0.2">
      <c r="A5756" s="287">
        <v>2024</v>
      </c>
      <c r="B5756" s="287">
        <v>9</v>
      </c>
      <c r="C5756" s="287">
        <v>19</v>
      </c>
      <c r="D5756" s="288">
        <f t="shared" si="655"/>
        <v>45554</v>
      </c>
      <c r="E5756" s="289">
        <f t="shared" si="659"/>
        <v>45554</v>
      </c>
      <c r="F5756" s="473"/>
      <c r="G5756" s="290" t="s">
        <v>86</v>
      </c>
      <c r="H5756" s="291"/>
      <c r="I5756" s="291"/>
      <c r="J5756" s="292" t="s">
        <v>174</v>
      </c>
      <c r="K5756" s="293"/>
      <c r="L5756" s="293">
        <v>19358.333333333332</v>
      </c>
    </row>
    <row r="5757" spans="1:12" ht="11.25" customHeight="1" x14ac:dyDescent="0.2">
      <c r="A5757" s="280">
        <v>2024</v>
      </c>
      <c r="B5757" s="280">
        <v>9</v>
      </c>
      <c r="C5757" s="280">
        <v>19</v>
      </c>
      <c r="D5757" s="281">
        <f t="shared" si="655"/>
        <v>45554</v>
      </c>
      <c r="E5757" s="282">
        <f t="shared" si="659"/>
        <v>45554</v>
      </c>
      <c r="F5757" s="472" t="s">
        <v>1584</v>
      </c>
      <c r="G5757" s="283" t="s">
        <v>86</v>
      </c>
      <c r="H5757" s="284"/>
      <c r="I5757" s="284"/>
      <c r="J5757" s="285" t="s">
        <v>131</v>
      </c>
      <c r="K5757" s="286">
        <v>8653.8461538461543</v>
      </c>
      <c r="L5757" s="286"/>
    </row>
    <row r="5758" spans="1:12" ht="11.25" customHeight="1" x14ac:dyDescent="0.2">
      <c r="A5758" s="287">
        <v>2024</v>
      </c>
      <c r="B5758" s="287">
        <v>9</v>
      </c>
      <c r="C5758" s="287">
        <v>19</v>
      </c>
      <c r="D5758" s="288">
        <f t="shared" si="655"/>
        <v>45554</v>
      </c>
      <c r="E5758" s="289">
        <f t="shared" si="659"/>
        <v>45554</v>
      </c>
      <c r="F5758" s="473"/>
      <c r="G5758" s="290" t="s">
        <v>86</v>
      </c>
      <c r="H5758" s="291"/>
      <c r="I5758" s="291"/>
      <c r="J5758" s="292" t="s">
        <v>174</v>
      </c>
      <c r="K5758" s="293"/>
      <c r="L5758" s="293">
        <v>8653.8461538461543</v>
      </c>
    </row>
    <row r="5759" spans="1:12" ht="11.25" customHeight="1" x14ac:dyDescent="0.2">
      <c r="A5759" s="280">
        <v>2024</v>
      </c>
      <c r="B5759" s="280">
        <v>9</v>
      </c>
      <c r="C5759" s="280">
        <v>19</v>
      </c>
      <c r="D5759" s="281">
        <f t="shared" si="655"/>
        <v>45554</v>
      </c>
      <c r="E5759" s="282">
        <f t="shared" si="659"/>
        <v>45554</v>
      </c>
      <c r="F5759" s="472" t="s">
        <v>1830</v>
      </c>
      <c r="G5759" s="283" t="s">
        <v>86</v>
      </c>
      <c r="H5759" s="284"/>
      <c r="I5759" s="284"/>
      <c r="J5759" s="285" t="s">
        <v>131</v>
      </c>
      <c r="K5759" s="286">
        <v>4653.8461538461543</v>
      </c>
      <c r="L5759" s="286"/>
    </row>
    <row r="5760" spans="1:12" ht="11.25" customHeight="1" x14ac:dyDescent="0.2">
      <c r="A5760" s="287">
        <v>2024</v>
      </c>
      <c r="B5760" s="287">
        <v>9</v>
      </c>
      <c r="C5760" s="287">
        <v>19</v>
      </c>
      <c r="D5760" s="288">
        <f t="shared" si="655"/>
        <v>45554</v>
      </c>
      <c r="E5760" s="289">
        <f t="shared" si="659"/>
        <v>45554</v>
      </c>
      <c r="F5760" s="473"/>
      <c r="G5760" s="290" t="s">
        <v>86</v>
      </c>
      <c r="H5760" s="291"/>
      <c r="I5760" s="291"/>
      <c r="J5760" s="292" t="s">
        <v>174</v>
      </c>
      <c r="K5760" s="293"/>
      <c r="L5760" s="293">
        <v>4653.8461538461543</v>
      </c>
    </row>
    <row r="5761" spans="1:13" ht="11.25" customHeight="1" x14ac:dyDescent="0.2">
      <c r="A5761" s="341">
        <v>2024</v>
      </c>
      <c r="B5761" s="341">
        <v>9</v>
      </c>
      <c r="C5761" s="341">
        <v>19</v>
      </c>
      <c r="D5761" s="328">
        <f t="shared" si="655"/>
        <v>45554</v>
      </c>
      <c r="E5761" s="329">
        <f t="shared" si="659"/>
        <v>45554</v>
      </c>
      <c r="F5761" s="474" t="s">
        <v>1767</v>
      </c>
      <c r="G5761" s="330" t="s">
        <v>86</v>
      </c>
      <c r="H5761" s="332"/>
      <c r="I5761" s="332"/>
      <c r="J5761" s="342" t="s">
        <v>67</v>
      </c>
      <c r="K5761" s="343">
        <v>5182.66</v>
      </c>
      <c r="L5761" s="343"/>
    </row>
    <row r="5762" spans="1:13" ht="11.25" customHeight="1" x14ac:dyDescent="0.2">
      <c r="A5762" s="344">
        <v>2024</v>
      </c>
      <c r="B5762" s="344">
        <v>9</v>
      </c>
      <c r="C5762" s="344">
        <v>19</v>
      </c>
      <c r="D5762" s="337">
        <f t="shared" si="655"/>
        <v>45554</v>
      </c>
      <c r="E5762" s="338">
        <f t="shared" si="659"/>
        <v>45554</v>
      </c>
      <c r="F5762" s="475"/>
      <c r="G5762" s="339" t="s">
        <v>86</v>
      </c>
      <c r="H5762" s="340"/>
      <c r="I5762" s="340"/>
      <c r="J5762" s="345" t="s">
        <v>174</v>
      </c>
      <c r="K5762" s="346"/>
      <c r="L5762" s="346">
        <f>K5761</f>
        <v>5182.66</v>
      </c>
    </row>
    <row r="5763" spans="1:13" ht="11.25" customHeight="1" x14ac:dyDescent="0.2">
      <c r="A5763" s="358">
        <v>2024</v>
      </c>
      <c r="B5763" s="358">
        <v>9</v>
      </c>
      <c r="C5763" s="358">
        <v>19</v>
      </c>
      <c r="D5763" s="312">
        <f t="shared" si="655"/>
        <v>45554</v>
      </c>
      <c r="E5763" s="313">
        <f>DATE(A5763,B5763,C5763)</f>
        <v>45554</v>
      </c>
      <c r="F5763" s="482" t="s">
        <v>1627</v>
      </c>
      <c r="G5763" s="314" t="s">
        <v>86</v>
      </c>
      <c r="H5763" s="324"/>
      <c r="I5763" s="324"/>
      <c r="J5763" s="364" t="s">
        <v>1621</v>
      </c>
      <c r="K5763" s="365">
        <v>65875</v>
      </c>
      <c r="L5763" s="365"/>
    </row>
    <row r="5764" spans="1:13" ht="11.25" customHeight="1" x14ac:dyDescent="0.2">
      <c r="A5764" s="320">
        <v>2024</v>
      </c>
      <c r="B5764" s="320">
        <v>9</v>
      </c>
      <c r="C5764" s="320">
        <v>19</v>
      </c>
      <c r="D5764" s="323">
        <f t="shared" si="655"/>
        <v>45554</v>
      </c>
      <c r="E5764" s="321">
        <f t="shared" ref="E5764" si="661">DATE(A5764,B5764,C5764)</f>
        <v>45554</v>
      </c>
      <c r="F5764" s="483"/>
      <c r="G5764" s="322" t="s">
        <v>86</v>
      </c>
      <c r="H5764" s="325"/>
      <c r="I5764" s="325"/>
      <c r="J5764" s="366" t="s">
        <v>1613</v>
      </c>
      <c r="K5764" s="367"/>
      <c r="L5764" s="367">
        <f>K5763</f>
        <v>65875</v>
      </c>
    </row>
    <row r="5765" spans="1:13" ht="11.25" customHeight="1" x14ac:dyDescent="0.2">
      <c r="A5765" s="358">
        <v>2024</v>
      </c>
      <c r="B5765" s="358">
        <v>9</v>
      </c>
      <c r="C5765" s="358">
        <v>19</v>
      </c>
      <c r="D5765" s="312">
        <f t="shared" si="655"/>
        <v>45554</v>
      </c>
      <c r="E5765" s="313">
        <f>DATE(A5765,B5765,C5765)</f>
        <v>45554</v>
      </c>
      <c r="F5765" s="482" t="s">
        <v>1713</v>
      </c>
      <c r="G5765" s="314" t="s">
        <v>86</v>
      </c>
      <c r="H5765" s="324"/>
      <c r="I5765" s="324"/>
      <c r="J5765" s="364" t="s">
        <v>1622</v>
      </c>
      <c r="K5765" s="365">
        <v>83984.150000009686</v>
      </c>
      <c r="L5765" s="365"/>
    </row>
    <row r="5766" spans="1:13" ht="11.25" customHeight="1" x14ac:dyDescent="0.2">
      <c r="A5766" s="320">
        <v>2024</v>
      </c>
      <c r="B5766" s="320">
        <v>9</v>
      </c>
      <c r="C5766" s="320">
        <v>19</v>
      </c>
      <c r="D5766" s="323">
        <f t="shared" si="655"/>
        <v>45554</v>
      </c>
      <c r="E5766" s="321">
        <f t="shared" ref="E5766:E5780" si="662">DATE(A5766,B5766,C5766)</f>
        <v>45554</v>
      </c>
      <c r="F5766" s="483"/>
      <c r="G5766" s="322" t="s">
        <v>86</v>
      </c>
      <c r="H5766" s="325"/>
      <c r="I5766" s="325"/>
      <c r="J5766" s="366" t="s">
        <v>1614</v>
      </c>
      <c r="K5766" s="367"/>
      <c r="L5766" s="367">
        <f>K5765</f>
        <v>83984.150000009686</v>
      </c>
    </row>
    <row r="5767" spans="1:13" ht="11.25" customHeight="1" x14ac:dyDescent="0.2">
      <c r="A5767" s="236">
        <v>2024</v>
      </c>
      <c r="B5767" s="236">
        <v>9</v>
      </c>
      <c r="C5767" s="236">
        <v>19</v>
      </c>
      <c r="D5767" s="237">
        <f t="shared" si="655"/>
        <v>45554</v>
      </c>
      <c r="E5767" s="238">
        <f t="shared" si="662"/>
        <v>45554</v>
      </c>
      <c r="F5767" s="476" t="s">
        <v>1118</v>
      </c>
      <c r="G5767" s="239" t="s">
        <v>86</v>
      </c>
      <c r="H5767" s="239"/>
      <c r="I5767" s="240"/>
      <c r="J5767" s="241" t="s">
        <v>82</v>
      </c>
      <c r="K5767" s="242">
        <v>745595.59999996424</v>
      </c>
      <c r="L5767" s="242"/>
    </row>
    <row r="5768" spans="1:13" ht="11.25" customHeight="1" x14ac:dyDescent="0.2">
      <c r="A5768" s="243">
        <v>2024</v>
      </c>
      <c r="B5768" s="243">
        <v>9</v>
      </c>
      <c r="C5768" s="243">
        <v>19</v>
      </c>
      <c r="D5768" s="248">
        <f t="shared" si="655"/>
        <v>45554</v>
      </c>
      <c r="E5768" s="249">
        <f t="shared" si="662"/>
        <v>45554</v>
      </c>
      <c r="F5768" s="477"/>
      <c r="G5768" s="244" t="s">
        <v>86</v>
      </c>
      <c r="H5768" s="244"/>
      <c r="I5768" s="245"/>
      <c r="J5768" s="246" t="s">
        <v>98</v>
      </c>
      <c r="K5768" s="247"/>
      <c r="L5768" s="247">
        <f>K5767</f>
        <v>745595.59999996424</v>
      </c>
    </row>
    <row r="5769" spans="1:13" ht="11.25" customHeight="1" x14ac:dyDescent="0.2">
      <c r="A5769" s="236">
        <v>2024</v>
      </c>
      <c r="B5769" s="236">
        <v>9</v>
      </c>
      <c r="C5769" s="236">
        <v>19</v>
      </c>
      <c r="D5769" s="237">
        <f t="shared" ref="D5769:D5832" si="663">DATE(A5769,B5769,C5769)</f>
        <v>45554</v>
      </c>
      <c r="E5769" s="238">
        <f t="shared" si="662"/>
        <v>45554</v>
      </c>
      <c r="F5769" s="476" t="s">
        <v>1120</v>
      </c>
      <c r="G5769" s="239" t="s">
        <v>86</v>
      </c>
      <c r="H5769" s="239"/>
      <c r="I5769" s="240"/>
      <c r="J5769" s="241" t="s">
        <v>87</v>
      </c>
      <c r="K5769" s="242">
        <v>2747.2527472527472</v>
      </c>
      <c r="L5769" s="242"/>
    </row>
    <row r="5770" spans="1:13" ht="11.25" customHeight="1" x14ac:dyDescent="0.2">
      <c r="A5770" s="243">
        <v>2024</v>
      </c>
      <c r="B5770" s="243">
        <v>9</v>
      </c>
      <c r="C5770" s="243">
        <v>19</v>
      </c>
      <c r="D5770" s="248">
        <f t="shared" si="663"/>
        <v>45554</v>
      </c>
      <c r="E5770" s="249">
        <f t="shared" si="662"/>
        <v>45554</v>
      </c>
      <c r="F5770" s="477"/>
      <c r="G5770" s="244" t="s">
        <v>86</v>
      </c>
      <c r="H5770" s="244"/>
      <c r="I5770" s="245"/>
      <c r="J5770" s="246" t="s">
        <v>64</v>
      </c>
      <c r="K5770" s="247"/>
      <c r="L5770" s="247">
        <v>2747.2527472527472</v>
      </c>
    </row>
    <row r="5771" spans="1:13" ht="11.25" customHeight="1" x14ac:dyDescent="0.2">
      <c r="A5771" s="236">
        <v>2024</v>
      </c>
      <c r="B5771" s="236">
        <v>9</v>
      </c>
      <c r="C5771" s="236">
        <v>19</v>
      </c>
      <c r="D5771" s="237">
        <f t="shared" si="663"/>
        <v>45554</v>
      </c>
      <c r="E5771" s="238">
        <f t="shared" si="662"/>
        <v>45554</v>
      </c>
      <c r="F5771" s="476" t="s">
        <v>1121</v>
      </c>
      <c r="G5771" s="239" t="s">
        <v>86</v>
      </c>
      <c r="H5771" s="239"/>
      <c r="I5771" s="240"/>
      <c r="J5771" s="241" t="s">
        <v>89</v>
      </c>
      <c r="K5771" s="242">
        <f>M5771</f>
        <v>71800.236107419958</v>
      </c>
      <c r="L5771" s="242"/>
      <c r="M5771" s="156">
        <v>71800.236107419958</v>
      </c>
    </row>
    <row r="5772" spans="1:13" ht="11.25" customHeight="1" x14ac:dyDescent="0.2">
      <c r="A5772" s="243">
        <v>2024</v>
      </c>
      <c r="B5772" s="243">
        <v>9</v>
      </c>
      <c r="C5772" s="243">
        <v>19</v>
      </c>
      <c r="D5772" s="248">
        <f t="shared" si="663"/>
        <v>45554</v>
      </c>
      <c r="E5772" s="249">
        <f t="shared" si="662"/>
        <v>45554</v>
      </c>
      <c r="F5772" s="477"/>
      <c r="G5772" s="244" t="s">
        <v>86</v>
      </c>
      <c r="H5772" s="244"/>
      <c r="I5772" s="245"/>
      <c r="J5772" s="246" t="s">
        <v>50</v>
      </c>
      <c r="K5772" s="247"/>
      <c r="L5772" s="247">
        <f>K5771</f>
        <v>71800.236107419958</v>
      </c>
      <c r="M5772" s="156">
        <v>3349.6271899863818</v>
      </c>
    </row>
    <row r="5773" spans="1:13" ht="11.25" customHeight="1" x14ac:dyDescent="0.2">
      <c r="A5773" s="236">
        <v>2024</v>
      </c>
      <c r="B5773" s="236">
        <v>9</v>
      </c>
      <c r="C5773" s="236">
        <v>19</v>
      </c>
      <c r="D5773" s="237">
        <f t="shared" si="663"/>
        <v>45554</v>
      </c>
      <c r="E5773" s="238">
        <f t="shared" si="662"/>
        <v>45554</v>
      </c>
      <c r="F5773" s="476" t="s">
        <v>1122</v>
      </c>
      <c r="G5773" s="239" t="s">
        <v>86</v>
      </c>
      <c r="H5773" s="239"/>
      <c r="I5773" s="240"/>
      <c r="J5773" s="241" t="s">
        <v>91</v>
      </c>
      <c r="K5773" s="242">
        <f>M5772</f>
        <v>3349.6271899863818</v>
      </c>
      <c r="L5773" s="242"/>
    </row>
    <row r="5774" spans="1:13" ht="11.25" customHeight="1" x14ac:dyDescent="0.2">
      <c r="A5774" s="243">
        <v>2024</v>
      </c>
      <c r="B5774" s="243">
        <v>9</v>
      </c>
      <c r="C5774" s="243">
        <v>19</v>
      </c>
      <c r="D5774" s="248">
        <f t="shared" si="663"/>
        <v>45554</v>
      </c>
      <c r="E5774" s="249">
        <f t="shared" si="662"/>
        <v>45554</v>
      </c>
      <c r="F5774" s="477"/>
      <c r="G5774" s="244" t="s">
        <v>86</v>
      </c>
      <c r="H5774" s="244"/>
      <c r="I5774" s="245"/>
      <c r="J5774" s="246" t="s">
        <v>51</v>
      </c>
      <c r="K5774" s="247"/>
      <c r="L5774" s="247">
        <f>K5773</f>
        <v>3349.6271899863818</v>
      </c>
    </row>
    <row r="5775" spans="1:13" ht="11.25" customHeight="1" x14ac:dyDescent="0.2">
      <c r="A5775" s="280">
        <v>2024</v>
      </c>
      <c r="B5775" s="280">
        <v>9</v>
      </c>
      <c r="C5775" s="280">
        <v>21</v>
      </c>
      <c r="D5775" s="281">
        <f t="shared" si="663"/>
        <v>45556</v>
      </c>
      <c r="E5775" s="282">
        <f t="shared" si="662"/>
        <v>45556</v>
      </c>
      <c r="F5775" s="472" t="s">
        <v>1832</v>
      </c>
      <c r="G5775" s="283" t="s">
        <v>86</v>
      </c>
      <c r="H5775" s="284"/>
      <c r="I5775" s="284"/>
      <c r="J5775" s="285" t="s">
        <v>62</v>
      </c>
      <c r="K5775" s="286">
        <v>14518.75</v>
      </c>
      <c r="L5775" s="286"/>
    </row>
    <row r="5776" spans="1:13" ht="11.25" customHeight="1" x14ac:dyDescent="0.2">
      <c r="A5776" s="287">
        <v>2024</v>
      </c>
      <c r="B5776" s="287">
        <v>9</v>
      </c>
      <c r="C5776" s="287">
        <v>21</v>
      </c>
      <c r="D5776" s="288">
        <f t="shared" si="663"/>
        <v>45556</v>
      </c>
      <c r="E5776" s="289">
        <f t="shared" si="662"/>
        <v>45556</v>
      </c>
      <c r="F5776" s="473"/>
      <c r="G5776" s="290" t="s">
        <v>86</v>
      </c>
      <c r="H5776" s="291"/>
      <c r="I5776" s="291"/>
      <c r="J5776" s="292" t="s">
        <v>131</v>
      </c>
      <c r="K5776" s="293"/>
      <c r="L5776" s="293">
        <v>14518.75</v>
      </c>
    </row>
    <row r="5777" spans="1:12" ht="11.25" customHeight="1" x14ac:dyDescent="0.2">
      <c r="A5777" s="221">
        <v>2024</v>
      </c>
      <c r="B5777" s="221">
        <v>9</v>
      </c>
      <c r="C5777" s="231">
        <v>22</v>
      </c>
      <c r="D5777" s="231">
        <f t="shared" si="663"/>
        <v>45557</v>
      </c>
      <c r="E5777" s="233">
        <f t="shared" si="662"/>
        <v>45557</v>
      </c>
      <c r="F5777" s="478" t="s">
        <v>1821</v>
      </c>
      <c r="G5777" s="222" t="s">
        <v>1111</v>
      </c>
      <c r="H5777" s="223"/>
      <c r="I5777" s="223"/>
      <c r="J5777" s="165" t="s">
        <v>55</v>
      </c>
      <c r="K5777" s="225">
        <v>137928.12</v>
      </c>
      <c r="L5777" s="225"/>
    </row>
    <row r="5778" spans="1:12" ht="11.25" customHeight="1" x14ac:dyDescent="0.2">
      <c r="A5778" s="226">
        <v>2024</v>
      </c>
      <c r="B5778" s="226">
        <v>9</v>
      </c>
      <c r="C5778" s="232">
        <v>22</v>
      </c>
      <c r="D5778" s="232">
        <f t="shared" si="663"/>
        <v>45557</v>
      </c>
      <c r="E5778" s="234">
        <f t="shared" si="662"/>
        <v>45557</v>
      </c>
      <c r="F5778" s="479"/>
      <c r="G5778" s="227" t="s">
        <v>1111</v>
      </c>
      <c r="H5778" s="228"/>
      <c r="I5778" s="228"/>
      <c r="J5778" s="229" t="s">
        <v>131</v>
      </c>
      <c r="K5778" s="230"/>
      <c r="L5778" s="230">
        <v>137928.12</v>
      </c>
    </row>
    <row r="5779" spans="1:12" ht="11.25" customHeight="1" x14ac:dyDescent="0.2">
      <c r="A5779" s="221">
        <v>2024</v>
      </c>
      <c r="B5779" s="221">
        <v>9</v>
      </c>
      <c r="C5779" s="231">
        <v>22</v>
      </c>
      <c r="D5779" s="231">
        <f t="shared" si="663"/>
        <v>45557</v>
      </c>
      <c r="E5779" s="233">
        <f t="shared" si="662"/>
        <v>45557</v>
      </c>
      <c r="F5779" s="478" t="s">
        <v>1821</v>
      </c>
      <c r="G5779" s="222" t="s">
        <v>1111</v>
      </c>
      <c r="H5779" s="223"/>
      <c r="I5779" s="223"/>
      <c r="J5779" s="165" t="s">
        <v>55</v>
      </c>
      <c r="K5779" s="225">
        <v>137928.12</v>
      </c>
      <c r="L5779" s="225"/>
    </row>
    <row r="5780" spans="1:12" ht="11.25" customHeight="1" x14ac:dyDescent="0.2">
      <c r="A5780" s="226">
        <v>2024</v>
      </c>
      <c r="B5780" s="226">
        <v>9</v>
      </c>
      <c r="C5780" s="232">
        <v>22</v>
      </c>
      <c r="D5780" s="232">
        <f t="shared" si="663"/>
        <v>45557</v>
      </c>
      <c r="E5780" s="234">
        <f t="shared" si="662"/>
        <v>45557</v>
      </c>
      <c r="F5780" s="479"/>
      <c r="G5780" s="227" t="s">
        <v>1111</v>
      </c>
      <c r="H5780" s="228"/>
      <c r="I5780" s="228"/>
      <c r="J5780" s="229" t="s">
        <v>131</v>
      </c>
      <c r="K5780" s="230"/>
      <c r="L5780" s="230">
        <v>137928.12</v>
      </c>
    </row>
    <row r="5781" spans="1:12" ht="11.25" customHeight="1" x14ac:dyDescent="0.2">
      <c r="A5781" s="221">
        <v>2024</v>
      </c>
      <c r="B5781" s="221">
        <v>9</v>
      </c>
      <c r="C5781" s="231">
        <v>23</v>
      </c>
      <c r="D5781" s="231">
        <f t="shared" si="663"/>
        <v>45558</v>
      </c>
      <c r="E5781" s="233">
        <f t="shared" si="658"/>
        <v>45558</v>
      </c>
      <c r="F5781" s="478" t="s">
        <v>802</v>
      </c>
      <c r="G5781" s="222" t="s">
        <v>1111</v>
      </c>
      <c r="H5781" s="223"/>
      <c r="I5781" s="223"/>
      <c r="J5781" s="224" t="s">
        <v>55</v>
      </c>
      <c r="K5781" s="167">
        <v>71383</v>
      </c>
      <c r="L5781" s="225"/>
    </row>
    <row r="5782" spans="1:12" ht="11.25" customHeight="1" x14ac:dyDescent="0.2">
      <c r="A5782" s="164">
        <v>2024</v>
      </c>
      <c r="B5782" s="164">
        <v>9</v>
      </c>
      <c r="C5782" s="156">
        <v>23</v>
      </c>
      <c r="D5782" s="156">
        <f t="shared" si="663"/>
        <v>45558</v>
      </c>
      <c r="E5782" s="235">
        <f t="shared" si="658"/>
        <v>45558</v>
      </c>
      <c r="F5782" s="480"/>
      <c r="G5782" s="208" t="s">
        <v>1111</v>
      </c>
      <c r="J5782" s="165" t="s">
        <v>14</v>
      </c>
      <c r="L5782" s="418">
        <v>63990</v>
      </c>
    </row>
    <row r="5783" spans="1:12" ht="11.25" customHeight="1" x14ac:dyDescent="0.2">
      <c r="A5783" s="226">
        <v>2024</v>
      </c>
      <c r="B5783" s="226">
        <v>9</v>
      </c>
      <c r="C5783" s="232">
        <v>23</v>
      </c>
      <c r="D5783" s="232">
        <f t="shared" si="663"/>
        <v>45558</v>
      </c>
      <c r="E5783" s="234">
        <f t="shared" si="658"/>
        <v>45558</v>
      </c>
      <c r="F5783" s="479"/>
      <c r="G5783" s="227" t="s">
        <v>1111</v>
      </c>
      <c r="H5783" s="228"/>
      <c r="I5783" s="228"/>
      <c r="J5783" s="229" t="s">
        <v>1112</v>
      </c>
      <c r="K5783" s="230"/>
      <c r="L5783" s="230">
        <v>7393</v>
      </c>
    </row>
    <row r="5784" spans="1:12" ht="11.25" customHeight="1" x14ac:dyDescent="0.2">
      <c r="A5784" s="221">
        <v>2024</v>
      </c>
      <c r="B5784" s="221">
        <v>9</v>
      </c>
      <c r="C5784" s="231">
        <v>23</v>
      </c>
      <c r="D5784" s="231">
        <f t="shared" si="663"/>
        <v>45558</v>
      </c>
      <c r="E5784" s="233">
        <f t="shared" si="658"/>
        <v>45558</v>
      </c>
      <c r="F5784" s="478" t="s">
        <v>1670</v>
      </c>
      <c r="G5784" s="222" t="s">
        <v>1111</v>
      </c>
      <c r="H5784" s="223"/>
      <c r="I5784" s="223"/>
      <c r="J5784" s="224" t="s">
        <v>63</v>
      </c>
      <c r="K5784" s="225">
        <v>100</v>
      </c>
      <c r="L5784" s="225"/>
    </row>
    <row r="5785" spans="1:12" ht="11.25" customHeight="1" x14ac:dyDescent="0.2">
      <c r="A5785" s="226">
        <v>2024</v>
      </c>
      <c r="B5785" s="226">
        <v>9</v>
      </c>
      <c r="C5785" s="232">
        <v>23</v>
      </c>
      <c r="D5785" s="232">
        <f t="shared" si="663"/>
        <v>45558</v>
      </c>
      <c r="E5785" s="234">
        <f t="shared" si="658"/>
        <v>45558</v>
      </c>
      <c r="F5785" s="479"/>
      <c r="G5785" s="227" t="s">
        <v>1111</v>
      </c>
      <c r="H5785" s="228"/>
      <c r="I5785" s="228"/>
      <c r="J5785" s="229" t="s">
        <v>55</v>
      </c>
      <c r="K5785" s="230"/>
      <c r="L5785" s="230">
        <v>100</v>
      </c>
    </row>
    <row r="5786" spans="1:12" ht="11.25" customHeight="1" x14ac:dyDescent="0.2">
      <c r="A5786" s="221">
        <v>2024</v>
      </c>
      <c r="B5786" s="221">
        <v>9</v>
      </c>
      <c r="C5786" s="221">
        <v>23</v>
      </c>
      <c r="D5786" s="231">
        <f t="shared" si="663"/>
        <v>45558</v>
      </c>
      <c r="E5786" s="233">
        <f t="shared" si="658"/>
        <v>45558</v>
      </c>
      <c r="F5786" s="478" t="s">
        <v>1783</v>
      </c>
      <c r="G5786" s="222" t="s">
        <v>86</v>
      </c>
      <c r="H5786" s="223"/>
      <c r="I5786" s="223"/>
      <c r="J5786" s="224" t="s">
        <v>55</v>
      </c>
      <c r="K5786" s="225">
        <v>553100</v>
      </c>
      <c r="L5786" s="225"/>
    </row>
    <row r="5787" spans="1:12" ht="11.25" customHeight="1" x14ac:dyDescent="0.2">
      <c r="A5787" s="226">
        <v>2024</v>
      </c>
      <c r="B5787" s="226">
        <v>9</v>
      </c>
      <c r="C5787" s="226">
        <v>23</v>
      </c>
      <c r="D5787" s="232">
        <f t="shared" si="663"/>
        <v>45558</v>
      </c>
      <c r="E5787" s="234">
        <f t="shared" si="658"/>
        <v>45558</v>
      </c>
      <c r="F5787" s="479"/>
      <c r="G5787" s="227" t="s">
        <v>86</v>
      </c>
      <c r="H5787" s="228"/>
      <c r="I5787" s="228"/>
      <c r="J5787" s="229" t="s">
        <v>192</v>
      </c>
      <c r="K5787" s="230"/>
      <c r="L5787" s="230">
        <v>553100</v>
      </c>
    </row>
    <row r="5788" spans="1:12" ht="11.25" customHeight="1" x14ac:dyDescent="0.2">
      <c r="A5788" s="221">
        <v>2024</v>
      </c>
      <c r="B5788" s="221">
        <v>9</v>
      </c>
      <c r="C5788" s="231">
        <v>23</v>
      </c>
      <c r="D5788" s="231">
        <f t="shared" si="663"/>
        <v>45558</v>
      </c>
      <c r="E5788" s="233">
        <f t="shared" si="658"/>
        <v>45558</v>
      </c>
      <c r="F5788" s="478" t="s">
        <v>1142</v>
      </c>
      <c r="G5788" s="222" t="s">
        <v>1111</v>
      </c>
      <c r="H5788" s="223"/>
      <c r="I5788" s="223"/>
      <c r="J5788" s="224" t="s">
        <v>189</v>
      </c>
      <c r="K5788" s="225">
        <v>1575</v>
      </c>
      <c r="L5788" s="225"/>
    </row>
    <row r="5789" spans="1:12" ht="11.25" customHeight="1" x14ac:dyDescent="0.2">
      <c r="A5789" s="164">
        <v>2024</v>
      </c>
      <c r="B5789" s="164">
        <v>9</v>
      </c>
      <c r="C5789" s="156">
        <v>23</v>
      </c>
      <c r="D5789" s="156">
        <f t="shared" si="663"/>
        <v>45558</v>
      </c>
      <c r="E5789" s="235">
        <f t="shared" si="658"/>
        <v>45558</v>
      </c>
      <c r="F5789" s="480"/>
      <c r="G5789" s="208" t="s">
        <v>1111</v>
      </c>
      <c r="J5789" s="165" t="s">
        <v>1707</v>
      </c>
      <c r="K5789" s="205"/>
      <c r="L5789" s="205">
        <v>150</v>
      </c>
    </row>
    <row r="5790" spans="1:12" ht="11.25" customHeight="1" x14ac:dyDescent="0.2">
      <c r="A5790" s="226">
        <v>2024</v>
      </c>
      <c r="B5790" s="226">
        <v>9</v>
      </c>
      <c r="C5790" s="232">
        <v>23</v>
      </c>
      <c r="D5790" s="232">
        <f t="shared" si="663"/>
        <v>45558</v>
      </c>
      <c r="E5790" s="234">
        <f t="shared" si="658"/>
        <v>45558</v>
      </c>
      <c r="F5790" s="479"/>
      <c r="G5790" s="227" t="s">
        <v>1111</v>
      </c>
      <c r="H5790" s="228"/>
      <c r="I5790" s="228"/>
      <c r="J5790" s="229" t="s">
        <v>55</v>
      </c>
      <c r="K5790" s="230"/>
      <c r="L5790" s="230">
        <v>1425</v>
      </c>
    </row>
    <row r="5791" spans="1:12" ht="11.25" customHeight="1" x14ac:dyDescent="0.2">
      <c r="A5791" s="221">
        <v>2024</v>
      </c>
      <c r="B5791" s="221">
        <v>9</v>
      </c>
      <c r="C5791" s="231">
        <v>23</v>
      </c>
      <c r="D5791" s="231">
        <f t="shared" si="663"/>
        <v>45558</v>
      </c>
      <c r="E5791" s="233">
        <f t="shared" si="658"/>
        <v>45558</v>
      </c>
      <c r="F5791" s="478" t="s">
        <v>1785</v>
      </c>
      <c r="G5791" s="222" t="s">
        <v>1111</v>
      </c>
      <c r="H5791" s="222"/>
      <c r="I5791" s="223"/>
      <c r="J5791" s="224" t="s">
        <v>55</v>
      </c>
      <c r="K5791" s="357">
        <v>10000000</v>
      </c>
      <c r="L5791" s="225"/>
    </row>
    <row r="5792" spans="1:12" ht="11.25" customHeight="1" x14ac:dyDescent="0.2">
      <c r="A5792" s="164">
        <v>2024</v>
      </c>
      <c r="B5792" s="164">
        <v>9</v>
      </c>
      <c r="C5792" s="156">
        <v>23</v>
      </c>
      <c r="D5792" s="156">
        <f t="shared" si="663"/>
        <v>45558</v>
      </c>
      <c r="E5792" s="235">
        <f t="shared" si="658"/>
        <v>45558</v>
      </c>
      <c r="F5792" s="480"/>
      <c r="G5792" s="208" t="s">
        <v>1111</v>
      </c>
      <c r="H5792" s="208"/>
      <c r="J5792" s="165" t="s">
        <v>1617</v>
      </c>
      <c r="K5792" s="263"/>
      <c r="L5792" s="205">
        <v>282250</v>
      </c>
    </row>
    <row r="5793" spans="1:13" ht="11.25" customHeight="1" x14ac:dyDescent="0.2">
      <c r="A5793" s="226">
        <v>2024</v>
      </c>
      <c r="B5793" s="226">
        <v>9</v>
      </c>
      <c r="C5793" s="232">
        <v>23</v>
      </c>
      <c r="D5793" s="232">
        <f t="shared" si="663"/>
        <v>45558</v>
      </c>
      <c r="E5793" s="234">
        <f t="shared" si="658"/>
        <v>45558</v>
      </c>
      <c r="F5793" s="479"/>
      <c r="G5793" s="227" t="s">
        <v>1111</v>
      </c>
      <c r="H5793" s="227"/>
      <c r="I5793" s="228"/>
      <c r="J5793" s="229" t="s">
        <v>1465</v>
      </c>
      <c r="K5793" s="294"/>
      <c r="L5793" s="230">
        <v>9717750</v>
      </c>
    </row>
    <row r="5794" spans="1:13" ht="11.25" customHeight="1" x14ac:dyDescent="0.2">
      <c r="A5794" s="221">
        <v>2024</v>
      </c>
      <c r="B5794" s="221">
        <v>9</v>
      </c>
      <c r="C5794" s="231">
        <v>23</v>
      </c>
      <c r="D5794" s="231">
        <f t="shared" si="663"/>
        <v>45558</v>
      </c>
      <c r="E5794" s="233">
        <f t="shared" si="658"/>
        <v>45558</v>
      </c>
      <c r="F5794" s="478" t="s">
        <v>1196</v>
      </c>
      <c r="G5794" s="222" t="s">
        <v>1111</v>
      </c>
      <c r="H5794" s="223"/>
      <c r="I5794" s="223"/>
      <c r="J5794" s="224" t="s">
        <v>95</v>
      </c>
      <c r="K5794" s="225">
        <v>14436.73</v>
      </c>
      <c r="L5794" s="225"/>
      <c r="M5794" s="166"/>
    </row>
    <row r="5795" spans="1:13" ht="11.25" customHeight="1" x14ac:dyDescent="0.2">
      <c r="A5795" s="164">
        <v>2024</v>
      </c>
      <c r="B5795" s="164">
        <v>9</v>
      </c>
      <c r="C5795" s="156">
        <v>23</v>
      </c>
      <c r="D5795" s="156">
        <f t="shared" si="663"/>
        <v>45558</v>
      </c>
      <c r="E5795" s="235">
        <f t="shared" si="658"/>
        <v>45558</v>
      </c>
      <c r="F5795" s="480"/>
      <c r="G5795" s="208" t="s">
        <v>1111</v>
      </c>
      <c r="J5795" s="165" t="s">
        <v>478</v>
      </c>
      <c r="K5795" s="205"/>
      <c r="L5795" s="205">
        <v>1443.67</v>
      </c>
    </row>
    <row r="5796" spans="1:13" ht="11.25" customHeight="1" x14ac:dyDescent="0.2">
      <c r="A5796" s="226">
        <v>2024</v>
      </c>
      <c r="B5796" s="226">
        <v>9</v>
      </c>
      <c r="C5796" s="232">
        <v>23</v>
      </c>
      <c r="D5796" s="232">
        <f t="shared" si="663"/>
        <v>45558</v>
      </c>
      <c r="E5796" s="234">
        <f t="shared" si="658"/>
        <v>45558</v>
      </c>
      <c r="F5796" s="479"/>
      <c r="G5796" s="227" t="s">
        <v>1111</v>
      </c>
      <c r="H5796" s="228"/>
      <c r="I5796" s="228"/>
      <c r="J5796" s="229" t="s">
        <v>55</v>
      </c>
      <c r="K5796" s="230"/>
      <c r="L5796" s="230">
        <v>12993.06</v>
      </c>
    </row>
    <row r="5797" spans="1:13" ht="11.25" customHeight="1" x14ac:dyDescent="0.2">
      <c r="A5797" s="221">
        <v>2024</v>
      </c>
      <c r="B5797" s="221">
        <v>9</v>
      </c>
      <c r="C5797" s="231">
        <v>23</v>
      </c>
      <c r="D5797" s="231">
        <f t="shared" si="663"/>
        <v>45558</v>
      </c>
      <c r="E5797" s="233">
        <f t="shared" si="658"/>
        <v>45558</v>
      </c>
      <c r="F5797" s="478" t="s">
        <v>1792</v>
      </c>
      <c r="G5797" s="222" t="s">
        <v>1111</v>
      </c>
      <c r="H5797" s="223"/>
      <c r="I5797" s="223"/>
      <c r="J5797" s="224" t="s">
        <v>194</v>
      </c>
      <c r="K5797" s="225">
        <v>55868.29</v>
      </c>
      <c r="L5797" s="225"/>
    </row>
    <row r="5798" spans="1:13" ht="11.25" customHeight="1" x14ac:dyDescent="0.2">
      <c r="A5798" s="164">
        <v>2024</v>
      </c>
      <c r="B5798" s="164">
        <v>9</v>
      </c>
      <c r="C5798" s="156">
        <v>23</v>
      </c>
      <c r="D5798" s="156">
        <f t="shared" si="663"/>
        <v>45558</v>
      </c>
      <c r="E5798" s="235">
        <f t="shared" si="658"/>
        <v>45558</v>
      </c>
      <c r="F5798" s="480"/>
      <c r="G5798" s="208" t="s">
        <v>1111</v>
      </c>
      <c r="J5798" s="165" t="s">
        <v>478</v>
      </c>
      <c r="K5798" s="205"/>
      <c r="L5798" s="205">
        <v>4858.1099999999997</v>
      </c>
    </row>
    <row r="5799" spans="1:13" ht="11.25" customHeight="1" x14ac:dyDescent="0.2">
      <c r="A5799" s="226">
        <v>2024</v>
      </c>
      <c r="B5799" s="226">
        <v>9</v>
      </c>
      <c r="C5799" s="232">
        <v>23</v>
      </c>
      <c r="D5799" s="232">
        <f t="shared" si="663"/>
        <v>45558</v>
      </c>
      <c r="E5799" s="234">
        <f t="shared" si="658"/>
        <v>45558</v>
      </c>
      <c r="F5799" s="479"/>
      <c r="G5799" s="227" t="s">
        <v>1111</v>
      </c>
      <c r="H5799" s="228"/>
      <c r="I5799" s="228"/>
      <c r="J5799" s="229" t="s">
        <v>55</v>
      </c>
      <c r="K5799" s="230"/>
      <c r="L5799" s="230">
        <v>51010.18</v>
      </c>
    </row>
    <row r="5800" spans="1:13" ht="11.25" customHeight="1" x14ac:dyDescent="0.2">
      <c r="A5800" s="221">
        <v>2024</v>
      </c>
      <c r="B5800" s="221">
        <v>9</v>
      </c>
      <c r="C5800" s="221">
        <v>24</v>
      </c>
      <c r="D5800" s="221">
        <f t="shared" si="663"/>
        <v>45559</v>
      </c>
      <c r="E5800" s="233">
        <f t="shared" ref="E5800:E5802" si="664">DATE(A5800,B5800,C5800)</f>
        <v>45559</v>
      </c>
      <c r="F5800" s="478" t="s">
        <v>1784</v>
      </c>
      <c r="G5800" s="222" t="s">
        <v>86</v>
      </c>
      <c r="H5800" s="222"/>
      <c r="I5800" s="223"/>
      <c r="J5800" s="224" t="s">
        <v>80</v>
      </c>
      <c r="K5800" s="225">
        <v>995816.8</v>
      </c>
      <c r="L5800" s="225"/>
    </row>
    <row r="5801" spans="1:13" ht="11.25" customHeight="1" x14ac:dyDescent="0.2">
      <c r="A5801" s="164">
        <v>2024</v>
      </c>
      <c r="B5801" s="164">
        <v>9</v>
      </c>
      <c r="C5801" s="164">
        <v>24</v>
      </c>
      <c r="D5801" s="164">
        <f t="shared" si="663"/>
        <v>45559</v>
      </c>
      <c r="E5801" s="235">
        <f t="shared" si="664"/>
        <v>45559</v>
      </c>
      <c r="F5801" s="480"/>
      <c r="G5801" s="208" t="s">
        <v>86</v>
      </c>
      <c r="H5801" s="208"/>
      <c r="J5801" s="165" t="s">
        <v>960</v>
      </c>
      <c r="K5801" s="205">
        <v>1792.47</v>
      </c>
      <c r="L5801" s="205"/>
    </row>
    <row r="5802" spans="1:13" ht="11.25" customHeight="1" x14ac:dyDescent="0.2">
      <c r="A5802" s="226">
        <v>2024</v>
      </c>
      <c r="B5802" s="226">
        <v>9</v>
      </c>
      <c r="C5802" s="226">
        <v>24</v>
      </c>
      <c r="D5802" s="226">
        <f t="shared" si="663"/>
        <v>45559</v>
      </c>
      <c r="E5802" s="234">
        <f t="shared" si="664"/>
        <v>45559</v>
      </c>
      <c r="F5802" s="479"/>
      <c r="G5802" s="227" t="s">
        <v>86</v>
      </c>
      <c r="H5802" s="227"/>
      <c r="I5802" s="228"/>
      <c r="J5802" s="229" t="s">
        <v>961</v>
      </c>
      <c r="K5802" s="294"/>
      <c r="L5802" s="230">
        <v>997609.27</v>
      </c>
    </row>
    <row r="5803" spans="1:13" ht="11.25" customHeight="1" x14ac:dyDescent="0.2">
      <c r="A5803" s="221">
        <v>2024</v>
      </c>
      <c r="B5803" s="221">
        <v>9</v>
      </c>
      <c r="C5803" s="221">
        <v>24</v>
      </c>
      <c r="D5803" s="221">
        <f t="shared" si="663"/>
        <v>45559</v>
      </c>
      <c r="E5803" s="233">
        <f t="shared" si="658"/>
        <v>45559</v>
      </c>
      <c r="F5803" s="478" t="s">
        <v>1759</v>
      </c>
      <c r="G5803" s="222" t="s">
        <v>86</v>
      </c>
      <c r="H5803" s="222"/>
      <c r="I5803" s="223"/>
      <c r="J5803" s="224" t="s">
        <v>80</v>
      </c>
      <c r="K5803" s="225">
        <v>793480</v>
      </c>
      <c r="L5803" s="225"/>
    </row>
    <row r="5804" spans="1:13" ht="11.25" customHeight="1" x14ac:dyDescent="0.2">
      <c r="A5804" s="164">
        <v>2024</v>
      </c>
      <c r="B5804" s="164">
        <v>9</v>
      </c>
      <c r="C5804" s="164">
        <v>24</v>
      </c>
      <c r="D5804" s="164">
        <f t="shared" si="663"/>
        <v>45559</v>
      </c>
      <c r="E5804" s="235">
        <f t="shared" si="658"/>
        <v>45559</v>
      </c>
      <c r="F5804" s="480"/>
      <c r="G5804" s="208" t="s">
        <v>86</v>
      </c>
      <c r="H5804" s="208"/>
      <c r="J5804" s="165" t="s">
        <v>960</v>
      </c>
      <c r="K5804" s="205">
        <v>1428.26</v>
      </c>
      <c r="L5804" s="205"/>
    </row>
    <row r="5805" spans="1:13" ht="11.25" customHeight="1" x14ac:dyDescent="0.2">
      <c r="A5805" s="226">
        <v>2024</v>
      </c>
      <c r="B5805" s="226">
        <v>9</v>
      </c>
      <c r="C5805" s="226">
        <v>24</v>
      </c>
      <c r="D5805" s="226">
        <f t="shared" si="663"/>
        <v>45559</v>
      </c>
      <c r="E5805" s="234">
        <f t="shared" si="658"/>
        <v>45559</v>
      </c>
      <c r="F5805" s="479"/>
      <c r="G5805" s="227" t="s">
        <v>86</v>
      </c>
      <c r="H5805" s="227"/>
      <c r="I5805" s="228"/>
      <c r="J5805" s="229" t="s">
        <v>961</v>
      </c>
      <c r="K5805" s="294"/>
      <c r="L5805" s="230">
        <v>794908.26</v>
      </c>
    </row>
    <row r="5806" spans="1:13" ht="11.25" customHeight="1" x14ac:dyDescent="0.2">
      <c r="A5806" s="221">
        <v>2024</v>
      </c>
      <c r="B5806" s="221">
        <v>9</v>
      </c>
      <c r="C5806" s="231">
        <v>24</v>
      </c>
      <c r="D5806" s="231">
        <f t="shared" si="663"/>
        <v>45559</v>
      </c>
      <c r="E5806" s="233">
        <f t="shared" si="658"/>
        <v>45559</v>
      </c>
      <c r="F5806" s="478" t="s">
        <v>1786</v>
      </c>
      <c r="G5806" s="222" t="s">
        <v>1111</v>
      </c>
      <c r="H5806" s="223"/>
      <c r="I5806" s="223"/>
      <c r="J5806" s="224" t="s">
        <v>961</v>
      </c>
      <c r="K5806" s="225">
        <v>997609.27</v>
      </c>
      <c r="L5806" s="225"/>
    </row>
    <row r="5807" spans="1:13" ht="11.25" customHeight="1" x14ac:dyDescent="0.2">
      <c r="A5807" s="226">
        <v>2024</v>
      </c>
      <c r="B5807" s="226">
        <v>9</v>
      </c>
      <c r="C5807" s="232">
        <v>24</v>
      </c>
      <c r="D5807" s="232">
        <f t="shared" si="663"/>
        <v>45559</v>
      </c>
      <c r="E5807" s="234">
        <f t="shared" si="658"/>
        <v>45559</v>
      </c>
      <c r="F5807" s="479"/>
      <c r="G5807" s="227" t="s">
        <v>1111</v>
      </c>
      <c r="H5807" s="228"/>
      <c r="I5807" s="228"/>
      <c r="J5807" s="229" t="s">
        <v>55</v>
      </c>
      <c r="K5807" s="230"/>
      <c r="L5807" s="230">
        <v>997609.27</v>
      </c>
    </row>
    <row r="5808" spans="1:13" ht="11.25" customHeight="1" x14ac:dyDescent="0.2">
      <c r="A5808" s="221">
        <v>2024</v>
      </c>
      <c r="B5808" s="221">
        <v>9</v>
      </c>
      <c r="C5808" s="231">
        <v>24</v>
      </c>
      <c r="D5808" s="231">
        <f t="shared" si="663"/>
        <v>45559</v>
      </c>
      <c r="E5808" s="233">
        <f t="shared" ref="E5808:E5814" si="665">DATE(A5808,B5808,C5808)</f>
        <v>45559</v>
      </c>
      <c r="F5808" s="478" t="s">
        <v>1760</v>
      </c>
      <c r="G5808" s="222" t="s">
        <v>1111</v>
      </c>
      <c r="H5808" s="223"/>
      <c r="I5808" s="223"/>
      <c r="J5808" s="224" t="s">
        <v>961</v>
      </c>
      <c r="K5808" s="225">
        <v>794908.26</v>
      </c>
      <c r="L5808" s="225"/>
    </row>
    <row r="5809" spans="1:12" ht="11.25" customHeight="1" x14ac:dyDescent="0.2">
      <c r="A5809" s="226">
        <v>2024</v>
      </c>
      <c r="B5809" s="226">
        <v>9</v>
      </c>
      <c r="C5809" s="232">
        <v>24</v>
      </c>
      <c r="D5809" s="232">
        <f t="shared" si="663"/>
        <v>45559</v>
      </c>
      <c r="E5809" s="234">
        <f t="shared" si="665"/>
        <v>45559</v>
      </c>
      <c r="F5809" s="479"/>
      <c r="G5809" s="227" t="s">
        <v>1111</v>
      </c>
      <c r="H5809" s="228"/>
      <c r="I5809" s="228"/>
      <c r="J5809" s="229" t="s">
        <v>55</v>
      </c>
      <c r="K5809" s="230"/>
      <c r="L5809" s="230">
        <v>794908.26</v>
      </c>
    </row>
    <row r="5810" spans="1:12" ht="11.25" customHeight="1" x14ac:dyDescent="0.2">
      <c r="A5810" s="221">
        <v>2024</v>
      </c>
      <c r="B5810" s="221">
        <v>9</v>
      </c>
      <c r="C5810" s="221">
        <v>25</v>
      </c>
      <c r="D5810" s="221">
        <f t="shared" si="663"/>
        <v>45560</v>
      </c>
      <c r="E5810" s="233">
        <f t="shared" si="665"/>
        <v>45560</v>
      </c>
      <c r="F5810" s="478" t="s">
        <v>1791</v>
      </c>
      <c r="G5810" s="222" t="s">
        <v>86</v>
      </c>
      <c r="H5810" s="222"/>
      <c r="I5810" s="223"/>
      <c r="J5810" s="224" t="s">
        <v>80</v>
      </c>
      <c r="K5810" s="225">
        <v>365000</v>
      </c>
      <c r="L5810" s="225"/>
    </row>
    <row r="5811" spans="1:12" ht="11.25" customHeight="1" x14ac:dyDescent="0.2">
      <c r="A5811" s="164">
        <v>2024</v>
      </c>
      <c r="B5811" s="164">
        <v>9</v>
      </c>
      <c r="C5811" s="164">
        <v>25</v>
      </c>
      <c r="D5811" s="164">
        <f t="shared" si="663"/>
        <v>45560</v>
      </c>
      <c r="E5811" s="235">
        <f t="shared" si="665"/>
        <v>45560</v>
      </c>
      <c r="F5811" s="480"/>
      <c r="G5811" s="208" t="s">
        <v>86</v>
      </c>
      <c r="H5811" s="208"/>
      <c r="J5811" s="165" t="s">
        <v>960</v>
      </c>
      <c r="K5811" s="205">
        <v>2278.87</v>
      </c>
      <c r="L5811" s="205"/>
    </row>
    <row r="5812" spans="1:12" ht="11.25" customHeight="1" x14ac:dyDescent="0.2">
      <c r="A5812" s="164">
        <v>2024</v>
      </c>
      <c r="B5812" s="164">
        <v>9</v>
      </c>
      <c r="C5812" s="164">
        <v>25</v>
      </c>
      <c r="D5812" s="164">
        <f t="shared" si="663"/>
        <v>45560</v>
      </c>
      <c r="E5812" s="235">
        <f t="shared" si="665"/>
        <v>45560</v>
      </c>
      <c r="F5812" s="480"/>
      <c r="G5812" s="208" t="s">
        <v>86</v>
      </c>
      <c r="H5812" s="208"/>
      <c r="J5812" s="165" t="s">
        <v>199</v>
      </c>
      <c r="K5812" s="205">
        <v>533760.31999999995</v>
      </c>
      <c r="L5812" s="205"/>
    </row>
    <row r="5813" spans="1:12" ht="11.25" customHeight="1" x14ac:dyDescent="0.2">
      <c r="A5813" s="164">
        <v>2024</v>
      </c>
      <c r="B5813" s="164">
        <v>9</v>
      </c>
      <c r="C5813" s="164">
        <v>25</v>
      </c>
      <c r="D5813" s="164">
        <f t="shared" si="663"/>
        <v>45560</v>
      </c>
      <c r="E5813" s="235">
        <f t="shared" si="665"/>
        <v>45560</v>
      </c>
      <c r="F5813" s="480"/>
      <c r="G5813" s="208" t="s">
        <v>86</v>
      </c>
      <c r="H5813" s="208"/>
      <c r="J5813" s="165" t="s">
        <v>200</v>
      </c>
      <c r="K5813" s="263">
        <v>69358.929999999993</v>
      </c>
      <c r="L5813" s="205"/>
    </row>
    <row r="5814" spans="1:12" ht="11.25" customHeight="1" x14ac:dyDescent="0.2">
      <c r="A5814" s="226">
        <v>2024</v>
      </c>
      <c r="B5814" s="226">
        <v>9</v>
      </c>
      <c r="C5814" s="226">
        <v>25</v>
      </c>
      <c r="D5814" s="226">
        <f t="shared" si="663"/>
        <v>45560</v>
      </c>
      <c r="E5814" s="234">
        <f t="shared" si="665"/>
        <v>45560</v>
      </c>
      <c r="F5814" s="479"/>
      <c r="G5814" s="227" t="s">
        <v>86</v>
      </c>
      <c r="H5814" s="228"/>
      <c r="I5814" s="228"/>
      <c r="J5814" s="229" t="s">
        <v>80</v>
      </c>
      <c r="K5814" s="230"/>
      <c r="L5814" s="230">
        <v>970398.12</v>
      </c>
    </row>
    <row r="5815" spans="1:12" ht="11.25" customHeight="1" x14ac:dyDescent="0.2">
      <c r="A5815" s="221">
        <v>2024</v>
      </c>
      <c r="B5815" s="221">
        <v>9</v>
      </c>
      <c r="C5815" s="231">
        <v>25</v>
      </c>
      <c r="D5815" s="231">
        <f t="shared" si="663"/>
        <v>45560</v>
      </c>
      <c r="E5815" s="233">
        <f>DATE(A5815,B5815,C5815)</f>
        <v>45560</v>
      </c>
      <c r="F5815" s="478" t="s">
        <v>1178</v>
      </c>
      <c r="G5815" s="222" t="s">
        <v>1111</v>
      </c>
      <c r="H5815" s="223"/>
      <c r="I5815" s="223"/>
      <c r="J5815" s="224" t="s">
        <v>189</v>
      </c>
      <c r="K5815" s="225">
        <v>5750</v>
      </c>
      <c r="L5815" s="225"/>
    </row>
    <row r="5816" spans="1:12" ht="11.25" customHeight="1" x14ac:dyDescent="0.2">
      <c r="A5816" s="164">
        <v>2024</v>
      </c>
      <c r="B5816" s="164">
        <v>9</v>
      </c>
      <c r="C5816" s="156">
        <v>25</v>
      </c>
      <c r="D5816" s="156">
        <f t="shared" si="663"/>
        <v>45560</v>
      </c>
      <c r="E5816" s="235">
        <f>DATE(A5816,B5816,C5816)</f>
        <v>45560</v>
      </c>
      <c r="F5816" s="480"/>
      <c r="G5816" s="208" t="s">
        <v>1111</v>
      </c>
      <c r="J5816" s="165" t="s">
        <v>1708</v>
      </c>
      <c r="K5816" s="205"/>
      <c r="L5816" s="205">
        <v>250</v>
      </c>
    </row>
    <row r="5817" spans="1:12" ht="11.25" customHeight="1" x14ac:dyDescent="0.2">
      <c r="A5817" s="226">
        <v>2024</v>
      </c>
      <c r="B5817" s="226">
        <v>9</v>
      </c>
      <c r="C5817" s="232">
        <v>25</v>
      </c>
      <c r="D5817" s="232">
        <f t="shared" si="663"/>
        <v>45560</v>
      </c>
      <c r="E5817" s="234">
        <f>DATE(A5817,B5817,C5817)</f>
        <v>45560</v>
      </c>
      <c r="F5817" s="479"/>
      <c r="G5817" s="227" t="s">
        <v>1111</v>
      </c>
      <c r="H5817" s="228"/>
      <c r="I5817" s="228"/>
      <c r="J5817" s="229" t="s">
        <v>55</v>
      </c>
      <c r="K5817" s="230"/>
      <c r="L5817" s="230">
        <v>5500</v>
      </c>
    </row>
    <row r="5818" spans="1:12" ht="11.25" customHeight="1" x14ac:dyDescent="0.2">
      <c r="A5818" s="221">
        <v>2024</v>
      </c>
      <c r="B5818" s="221">
        <v>9</v>
      </c>
      <c r="C5818" s="231">
        <v>25</v>
      </c>
      <c r="D5818" s="231">
        <f t="shared" si="663"/>
        <v>45560</v>
      </c>
      <c r="E5818" s="233">
        <f t="shared" ref="E5818:E5819" si="666">DATE(A5818,B5818,C5818)</f>
        <v>45560</v>
      </c>
      <c r="F5818" s="478" t="s">
        <v>1789</v>
      </c>
      <c r="G5818" s="222" t="s">
        <v>1111</v>
      </c>
      <c r="H5818" s="222"/>
      <c r="I5818" s="223"/>
      <c r="J5818" s="224" t="s">
        <v>1615</v>
      </c>
      <c r="K5818" s="357">
        <v>1544280.75</v>
      </c>
      <c r="L5818" s="225"/>
    </row>
    <row r="5819" spans="1:12" ht="11.25" customHeight="1" x14ac:dyDescent="0.2">
      <c r="A5819" s="226">
        <v>2024</v>
      </c>
      <c r="B5819" s="226">
        <v>9</v>
      </c>
      <c r="C5819" s="232">
        <v>25</v>
      </c>
      <c r="D5819" s="226">
        <f t="shared" si="663"/>
        <v>45560</v>
      </c>
      <c r="E5819" s="234">
        <f t="shared" si="666"/>
        <v>45560</v>
      </c>
      <c r="F5819" s="479"/>
      <c r="G5819" s="227" t="s">
        <v>1111</v>
      </c>
      <c r="H5819" s="227"/>
      <c r="I5819" s="228"/>
      <c r="J5819" s="229" t="s">
        <v>55</v>
      </c>
      <c r="K5819" s="294"/>
      <c r="L5819" s="230">
        <v>1544280.75</v>
      </c>
    </row>
    <row r="5820" spans="1:12" ht="11.25" customHeight="1" x14ac:dyDescent="0.2">
      <c r="A5820" s="221">
        <v>2024</v>
      </c>
      <c r="B5820" s="221">
        <v>9</v>
      </c>
      <c r="C5820" s="231">
        <v>25</v>
      </c>
      <c r="D5820" s="231">
        <f t="shared" si="663"/>
        <v>45560</v>
      </c>
      <c r="E5820" s="233">
        <f t="shared" ref="E5820:E5821" si="667">DATE(A5820,B5820,C5820)</f>
        <v>45560</v>
      </c>
      <c r="F5820" s="478" t="s">
        <v>1790</v>
      </c>
      <c r="G5820" s="222" t="s">
        <v>1111</v>
      </c>
      <c r="H5820" s="222"/>
      <c r="I5820" s="223"/>
      <c r="J5820" s="224" t="s">
        <v>1615</v>
      </c>
      <c r="K5820" s="357">
        <v>2055653.15</v>
      </c>
      <c r="L5820" s="225"/>
    </row>
    <row r="5821" spans="1:12" ht="11.25" customHeight="1" x14ac:dyDescent="0.2">
      <c r="A5821" s="226">
        <v>2024</v>
      </c>
      <c r="B5821" s="226">
        <v>9</v>
      </c>
      <c r="C5821" s="232">
        <v>25</v>
      </c>
      <c r="D5821" s="226">
        <f t="shared" si="663"/>
        <v>45560</v>
      </c>
      <c r="E5821" s="234">
        <f t="shared" si="667"/>
        <v>45560</v>
      </c>
      <c r="F5821" s="479"/>
      <c r="G5821" s="227" t="s">
        <v>1111</v>
      </c>
      <c r="H5821" s="227"/>
      <c r="I5821" s="228"/>
      <c r="J5821" s="229" t="s">
        <v>55</v>
      </c>
      <c r="K5821" s="294"/>
      <c r="L5821" s="230">
        <v>2055653.15</v>
      </c>
    </row>
    <row r="5822" spans="1:12" ht="11.25" customHeight="1" x14ac:dyDescent="0.2">
      <c r="A5822" s="221">
        <v>2024</v>
      </c>
      <c r="B5822" s="221">
        <v>9</v>
      </c>
      <c r="C5822" s="221">
        <v>26</v>
      </c>
      <c r="D5822" s="231">
        <f t="shared" si="663"/>
        <v>45561</v>
      </c>
      <c r="E5822" s="233">
        <f t="shared" ref="E5822:E5824" si="668">DATE(A5822,B5822,C5822)</f>
        <v>45561</v>
      </c>
      <c r="F5822" s="478" t="s">
        <v>1787</v>
      </c>
      <c r="G5822" s="222" t="s">
        <v>1111</v>
      </c>
      <c r="H5822" s="222"/>
      <c r="I5822" s="223"/>
      <c r="J5822" s="224" t="s">
        <v>55</v>
      </c>
      <c r="K5822" s="357">
        <v>4003246.3</v>
      </c>
      <c r="L5822" s="225"/>
    </row>
    <row r="5823" spans="1:12" ht="11.25" customHeight="1" x14ac:dyDescent="0.2">
      <c r="A5823" s="164">
        <v>2024</v>
      </c>
      <c r="B5823" s="164">
        <v>9</v>
      </c>
      <c r="C5823" s="164">
        <v>26</v>
      </c>
      <c r="D5823" s="156">
        <f t="shared" si="663"/>
        <v>45561</v>
      </c>
      <c r="E5823" s="235">
        <f t="shared" si="668"/>
        <v>45561</v>
      </c>
      <c r="F5823" s="480"/>
      <c r="G5823" s="208" t="s">
        <v>1111</v>
      </c>
      <c r="H5823" s="208"/>
      <c r="J5823" s="165" t="s">
        <v>1618</v>
      </c>
      <c r="K5823" s="263"/>
      <c r="L5823" s="205">
        <v>36291.709999999963</v>
      </c>
    </row>
    <row r="5824" spans="1:12" ht="11.25" customHeight="1" x14ac:dyDescent="0.2">
      <c r="A5824" s="226">
        <v>2024</v>
      </c>
      <c r="B5824" s="226">
        <v>9</v>
      </c>
      <c r="C5824" s="226">
        <v>26</v>
      </c>
      <c r="D5824" s="232">
        <f t="shared" si="663"/>
        <v>45561</v>
      </c>
      <c r="E5824" s="234">
        <f t="shared" si="668"/>
        <v>45561</v>
      </c>
      <c r="F5824" s="479"/>
      <c r="G5824" s="227" t="s">
        <v>1111</v>
      </c>
      <c r="H5824" s="227"/>
      <c r="I5824" s="228"/>
      <c r="J5824" s="229" t="s">
        <v>1615</v>
      </c>
      <c r="K5824" s="294"/>
      <c r="L5824" s="230">
        <v>3966954.59</v>
      </c>
    </row>
    <row r="5825" spans="1:12" ht="11.25" customHeight="1" x14ac:dyDescent="0.2">
      <c r="A5825" s="221">
        <v>2024</v>
      </c>
      <c r="B5825" s="221">
        <v>9</v>
      </c>
      <c r="C5825" s="221">
        <v>26</v>
      </c>
      <c r="D5825" s="231">
        <f t="shared" si="663"/>
        <v>45561</v>
      </c>
      <c r="E5825" s="233">
        <f t="shared" ref="E5825:E5838" si="669">DATE(A5825,B5825,C5825)</f>
        <v>45561</v>
      </c>
      <c r="F5825" s="478" t="s">
        <v>1788</v>
      </c>
      <c r="G5825" s="222" t="s">
        <v>1111</v>
      </c>
      <c r="H5825" s="222"/>
      <c r="I5825" s="223"/>
      <c r="J5825" s="224" t="s">
        <v>55</v>
      </c>
      <c r="K5825" s="357">
        <v>2078387.4</v>
      </c>
      <c r="L5825" s="225"/>
    </row>
    <row r="5826" spans="1:12" ht="11.25" customHeight="1" x14ac:dyDescent="0.2">
      <c r="A5826" s="164">
        <v>2024</v>
      </c>
      <c r="B5826" s="164">
        <v>9</v>
      </c>
      <c r="C5826" s="164">
        <v>26</v>
      </c>
      <c r="D5826" s="156">
        <f t="shared" si="663"/>
        <v>45561</v>
      </c>
      <c r="E5826" s="235">
        <f t="shared" si="669"/>
        <v>45561</v>
      </c>
      <c r="F5826" s="480"/>
      <c r="G5826" s="208" t="s">
        <v>1111</v>
      </c>
      <c r="H5826" s="208"/>
      <c r="J5826" s="165" t="s">
        <v>1618</v>
      </c>
      <c r="K5826" s="263"/>
      <c r="L5826" s="205">
        <v>3592.19</v>
      </c>
    </row>
    <row r="5827" spans="1:12" ht="11.25" customHeight="1" x14ac:dyDescent="0.2">
      <c r="A5827" s="226">
        <v>2024</v>
      </c>
      <c r="B5827" s="226">
        <v>9</v>
      </c>
      <c r="C5827" s="226">
        <v>26</v>
      </c>
      <c r="D5827" s="232">
        <f t="shared" si="663"/>
        <v>45561</v>
      </c>
      <c r="E5827" s="234">
        <f t="shared" si="669"/>
        <v>45561</v>
      </c>
      <c r="F5827" s="479"/>
      <c r="G5827" s="227" t="s">
        <v>1111</v>
      </c>
      <c r="H5827" s="227"/>
      <c r="I5827" s="228"/>
      <c r="J5827" s="229" t="s">
        <v>1615</v>
      </c>
      <c r="K5827" s="294"/>
      <c r="L5827" s="230">
        <v>2074795.21</v>
      </c>
    </row>
    <row r="5828" spans="1:12" ht="11.25" customHeight="1" x14ac:dyDescent="0.2">
      <c r="A5828" s="221">
        <v>2024</v>
      </c>
      <c r="B5828" s="221">
        <v>9</v>
      </c>
      <c r="C5828" s="221">
        <v>26</v>
      </c>
      <c r="D5828" s="231">
        <f t="shared" si="663"/>
        <v>45561</v>
      </c>
      <c r="E5828" s="233">
        <f t="shared" si="669"/>
        <v>45561</v>
      </c>
      <c r="F5828" s="478" t="s">
        <v>1132</v>
      </c>
      <c r="G5828" s="222" t="s">
        <v>1111</v>
      </c>
      <c r="H5828" s="223"/>
      <c r="I5828" s="223"/>
      <c r="J5828" s="224" t="s">
        <v>55</v>
      </c>
      <c r="K5828" s="167">
        <v>19000</v>
      </c>
      <c r="L5828" s="225"/>
    </row>
    <row r="5829" spans="1:12" ht="11.25" customHeight="1" x14ac:dyDescent="0.2">
      <c r="A5829" s="164">
        <v>2024</v>
      </c>
      <c r="B5829" s="164">
        <v>9</v>
      </c>
      <c r="C5829" s="164">
        <v>26</v>
      </c>
      <c r="D5829" s="156">
        <f t="shared" si="663"/>
        <v>45561</v>
      </c>
      <c r="E5829" s="235">
        <f t="shared" si="669"/>
        <v>45561</v>
      </c>
      <c r="F5829" s="480"/>
      <c r="G5829" s="208" t="s">
        <v>1111</v>
      </c>
      <c r="J5829" s="165" t="s">
        <v>14</v>
      </c>
      <c r="L5829" s="205">
        <v>17310</v>
      </c>
    </row>
    <row r="5830" spans="1:12" ht="11.25" customHeight="1" x14ac:dyDescent="0.2">
      <c r="A5830" s="226">
        <v>2024</v>
      </c>
      <c r="B5830" s="226">
        <v>9</v>
      </c>
      <c r="C5830" s="226">
        <v>26</v>
      </c>
      <c r="D5830" s="232">
        <f t="shared" si="663"/>
        <v>45561</v>
      </c>
      <c r="E5830" s="234">
        <f t="shared" si="669"/>
        <v>45561</v>
      </c>
      <c r="F5830" s="479"/>
      <c r="G5830" s="227" t="s">
        <v>1111</v>
      </c>
      <c r="H5830" s="228"/>
      <c r="I5830" s="228"/>
      <c r="J5830" s="229" t="s">
        <v>1112</v>
      </c>
      <c r="K5830" s="230"/>
      <c r="L5830" s="230">
        <v>1690</v>
      </c>
    </row>
    <row r="5831" spans="1:12" ht="11.25" customHeight="1" x14ac:dyDescent="0.2">
      <c r="A5831" s="280">
        <v>2024</v>
      </c>
      <c r="B5831" s="280">
        <v>9</v>
      </c>
      <c r="C5831" s="280">
        <v>26</v>
      </c>
      <c r="D5831" s="281">
        <f t="shared" si="663"/>
        <v>45561</v>
      </c>
      <c r="E5831" s="282">
        <f t="shared" si="669"/>
        <v>45561</v>
      </c>
      <c r="F5831" s="472" t="s">
        <v>1744</v>
      </c>
      <c r="G5831" s="283" t="s">
        <v>86</v>
      </c>
      <c r="H5831" s="284"/>
      <c r="I5831" s="284"/>
      <c r="J5831" s="285" t="s">
        <v>131</v>
      </c>
      <c r="K5831" s="286">
        <v>19358.333333333332</v>
      </c>
      <c r="L5831" s="286"/>
    </row>
    <row r="5832" spans="1:12" ht="11.25" customHeight="1" x14ac:dyDescent="0.2">
      <c r="A5832" s="287">
        <v>2024</v>
      </c>
      <c r="B5832" s="287">
        <v>9</v>
      </c>
      <c r="C5832" s="287">
        <v>26</v>
      </c>
      <c r="D5832" s="288">
        <f t="shared" si="663"/>
        <v>45561</v>
      </c>
      <c r="E5832" s="289">
        <f t="shared" si="669"/>
        <v>45561</v>
      </c>
      <c r="F5832" s="473"/>
      <c r="G5832" s="290" t="s">
        <v>86</v>
      </c>
      <c r="H5832" s="291"/>
      <c r="I5832" s="291"/>
      <c r="J5832" s="292" t="s">
        <v>174</v>
      </c>
      <c r="K5832" s="293"/>
      <c r="L5832" s="293">
        <v>19358.333333333332</v>
      </c>
    </row>
    <row r="5833" spans="1:12" ht="11.25" customHeight="1" x14ac:dyDescent="0.2">
      <c r="A5833" s="280">
        <v>2024</v>
      </c>
      <c r="B5833" s="280">
        <v>9</v>
      </c>
      <c r="C5833" s="280">
        <v>26</v>
      </c>
      <c r="D5833" s="281">
        <f t="shared" ref="D5833:D5896" si="670">DATE(A5833,B5833,C5833)</f>
        <v>45561</v>
      </c>
      <c r="E5833" s="282">
        <f t="shared" si="669"/>
        <v>45561</v>
      </c>
      <c r="F5833" s="472" t="s">
        <v>1584</v>
      </c>
      <c r="G5833" s="283" t="s">
        <v>86</v>
      </c>
      <c r="H5833" s="284"/>
      <c r="I5833" s="284"/>
      <c r="J5833" s="285" t="s">
        <v>131</v>
      </c>
      <c r="K5833" s="286">
        <v>8653.8461538461543</v>
      </c>
      <c r="L5833" s="286"/>
    </row>
    <row r="5834" spans="1:12" ht="11.25" customHeight="1" x14ac:dyDescent="0.2">
      <c r="A5834" s="287">
        <v>2024</v>
      </c>
      <c r="B5834" s="287">
        <v>9</v>
      </c>
      <c r="C5834" s="287">
        <v>26</v>
      </c>
      <c r="D5834" s="288">
        <f t="shared" si="670"/>
        <v>45561</v>
      </c>
      <c r="E5834" s="289">
        <f t="shared" si="669"/>
        <v>45561</v>
      </c>
      <c r="F5834" s="473"/>
      <c r="G5834" s="290" t="s">
        <v>86</v>
      </c>
      <c r="H5834" s="291"/>
      <c r="I5834" s="291"/>
      <c r="J5834" s="292" t="s">
        <v>174</v>
      </c>
      <c r="K5834" s="293"/>
      <c r="L5834" s="293">
        <v>8653.8461538461543</v>
      </c>
    </row>
    <row r="5835" spans="1:12" ht="11.25" customHeight="1" x14ac:dyDescent="0.2">
      <c r="A5835" s="280">
        <v>2024</v>
      </c>
      <c r="B5835" s="280">
        <v>9</v>
      </c>
      <c r="C5835" s="280">
        <v>26</v>
      </c>
      <c r="D5835" s="281">
        <f t="shared" si="670"/>
        <v>45561</v>
      </c>
      <c r="E5835" s="282">
        <f t="shared" si="669"/>
        <v>45561</v>
      </c>
      <c r="F5835" s="472" t="s">
        <v>1830</v>
      </c>
      <c r="G5835" s="283" t="s">
        <v>86</v>
      </c>
      <c r="H5835" s="284"/>
      <c r="I5835" s="284"/>
      <c r="J5835" s="285" t="s">
        <v>131</v>
      </c>
      <c r="K5835" s="286">
        <v>4653.8461538461543</v>
      </c>
      <c r="L5835" s="286"/>
    </row>
    <row r="5836" spans="1:12" ht="11.25" customHeight="1" x14ac:dyDescent="0.2">
      <c r="A5836" s="287">
        <v>2024</v>
      </c>
      <c r="B5836" s="287">
        <v>9</v>
      </c>
      <c r="C5836" s="287">
        <v>26</v>
      </c>
      <c r="D5836" s="288">
        <f t="shared" si="670"/>
        <v>45561</v>
      </c>
      <c r="E5836" s="289">
        <f t="shared" si="669"/>
        <v>45561</v>
      </c>
      <c r="F5836" s="473"/>
      <c r="G5836" s="290" t="s">
        <v>86</v>
      </c>
      <c r="H5836" s="291"/>
      <c r="I5836" s="291"/>
      <c r="J5836" s="292" t="s">
        <v>174</v>
      </c>
      <c r="K5836" s="293"/>
      <c r="L5836" s="293">
        <v>4653.8461538461543</v>
      </c>
    </row>
    <row r="5837" spans="1:12" ht="11.25" customHeight="1" x14ac:dyDescent="0.2">
      <c r="A5837" s="341">
        <v>2024</v>
      </c>
      <c r="B5837" s="341">
        <v>9</v>
      </c>
      <c r="C5837" s="341">
        <v>26</v>
      </c>
      <c r="D5837" s="328">
        <f t="shared" si="670"/>
        <v>45561</v>
      </c>
      <c r="E5837" s="329">
        <f t="shared" si="669"/>
        <v>45561</v>
      </c>
      <c r="F5837" s="474" t="s">
        <v>1767</v>
      </c>
      <c r="G5837" s="330" t="s">
        <v>86</v>
      </c>
      <c r="H5837" s="332"/>
      <c r="I5837" s="332"/>
      <c r="J5837" s="342" t="s">
        <v>67</v>
      </c>
      <c r="K5837" s="343">
        <v>14573.25</v>
      </c>
      <c r="L5837" s="343"/>
    </row>
    <row r="5838" spans="1:12" ht="11.25" customHeight="1" x14ac:dyDescent="0.2">
      <c r="A5838" s="344">
        <v>2024</v>
      </c>
      <c r="B5838" s="344">
        <v>9</v>
      </c>
      <c r="C5838" s="344">
        <v>26</v>
      </c>
      <c r="D5838" s="337">
        <f t="shared" si="670"/>
        <v>45561</v>
      </c>
      <c r="E5838" s="338">
        <f t="shared" si="669"/>
        <v>45561</v>
      </c>
      <c r="F5838" s="475"/>
      <c r="G5838" s="339" t="s">
        <v>86</v>
      </c>
      <c r="H5838" s="340"/>
      <c r="I5838" s="340"/>
      <c r="J5838" s="345" t="s">
        <v>174</v>
      </c>
      <c r="K5838" s="346"/>
      <c r="L5838" s="346">
        <f>K5837</f>
        <v>14573.25</v>
      </c>
    </row>
    <row r="5839" spans="1:12" ht="11.25" customHeight="1" x14ac:dyDescent="0.2">
      <c r="A5839" s="358">
        <v>2024</v>
      </c>
      <c r="B5839" s="358">
        <v>9</v>
      </c>
      <c r="C5839" s="358">
        <v>26</v>
      </c>
      <c r="D5839" s="312">
        <f t="shared" si="670"/>
        <v>45561</v>
      </c>
      <c r="E5839" s="313">
        <f>DATE(A5839,B5839,C5839)</f>
        <v>45561</v>
      </c>
      <c r="F5839" s="482" t="s">
        <v>1627</v>
      </c>
      <c r="G5839" s="314" t="s">
        <v>86</v>
      </c>
      <c r="H5839" s="324"/>
      <c r="I5839" s="324"/>
      <c r="J5839" s="364" t="s">
        <v>1613</v>
      </c>
      <c r="K5839" s="365">
        <v>230975</v>
      </c>
      <c r="L5839" s="365"/>
    </row>
    <row r="5840" spans="1:12" ht="11.25" customHeight="1" x14ac:dyDescent="0.2">
      <c r="A5840" s="320">
        <v>2024</v>
      </c>
      <c r="B5840" s="320">
        <v>9</v>
      </c>
      <c r="C5840" s="320">
        <v>26</v>
      </c>
      <c r="D5840" s="323">
        <f t="shared" si="670"/>
        <v>45561</v>
      </c>
      <c r="E5840" s="321">
        <f t="shared" ref="E5840" si="671">DATE(A5840,B5840,C5840)</f>
        <v>45561</v>
      </c>
      <c r="F5840" s="483"/>
      <c r="G5840" s="322" t="s">
        <v>86</v>
      </c>
      <c r="H5840" s="325"/>
      <c r="I5840" s="325"/>
      <c r="J5840" s="366" t="s">
        <v>1621</v>
      </c>
      <c r="K5840" s="367"/>
      <c r="L5840" s="367">
        <f>K5839</f>
        <v>230975</v>
      </c>
    </row>
    <row r="5841" spans="1:13" ht="11.25" customHeight="1" x14ac:dyDescent="0.2">
      <c r="A5841" s="358">
        <v>2024</v>
      </c>
      <c r="B5841" s="358">
        <v>9</v>
      </c>
      <c r="C5841" s="358">
        <v>26</v>
      </c>
      <c r="D5841" s="312">
        <f t="shared" si="670"/>
        <v>45561</v>
      </c>
      <c r="E5841" s="313">
        <f>DATE(A5841,B5841,C5841)</f>
        <v>45561</v>
      </c>
      <c r="F5841" s="482" t="s">
        <v>1713</v>
      </c>
      <c r="G5841" s="314" t="s">
        <v>86</v>
      </c>
      <c r="H5841" s="324"/>
      <c r="I5841" s="324"/>
      <c r="J5841" s="364" t="s">
        <v>1622</v>
      </c>
      <c r="K5841" s="365">
        <v>41835.349999997765</v>
      </c>
      <c r="L5841" s="365"/>
    </row>
    <row r="5842" spans="1:13" ht="11.25" customHeight="1" x14ac:dyDescent="0.2">
      <c r="A5842" s="320">
        <v>2024</v>
      </c>
      <c r="B5842" s="320">
        <v>9</v>
      </c>
      <c r="C5842" s="320">
        <v>26</v>
      </c>
      <c r="D5842" s="323">
        <f t="shared" si="670"/>
        <v>45561</v>
      </c>
      <c r="E5842" s="321">
        <f t="shared" ref="E5842:E5878" si="672">DATE(A5842,B5842,C5842)</f>
        <v>45561</v>
      </c>
      <c r="F5842" s="483"/>
      <c r="G5842" s="322" t="s">
        <v>86</v>
      </c>
      <c r="H5842" s="325"/>
      <c r="I5842" s="325"/>
      <c r="J5842" s="366" t="s">
        <v>1614</v>
      </c>
      <c r="K5842" s="367"/>
      <c r="L5842" s="367">
        <f>K5841</f>
        <v>41835.349999997765</v>
      </c>
    </row>
    <row r="5843" spans="1:13" ht="11.25" customHeight="1" x14ac:dyDescent="0.2">
      <c r="A5843" s="236">
        <v>2024</v>
      </c>
      <c r="B5843" s="236">
        <v>9</v>
      </c>
      <c r="C5843" s="236">
        <v>26</v>
      </c>
      <c r="D5843" s="237">
        <f t="shared" si="670"/>
        <v>45561</v>
      </c>
      <c r="E5843" s="238">
        <f t="shared" si="672"/>
        <v>45561</v>
      </c>
      <c r="F5843" s="476" t="s">
        <v>1118</v>
      </c>
      <c r="G5843" s="239" t="s">
        <v>86</v>
      </c>
      <c r="H5843" s="239"/>
      <c r="I5843" s="240"/>
      <c r="J5843" s="241" t="s">
        <v>98</v>
      </c>
      <c r="K5843" s="242">
        <v>57394.919999986887</v>
      </c>
      <c r="L5843" s="242"/>
    </row>
    <row r="5844" spans="1:13" ht="11.25" customHeight="1" x14ac:dyDescent="0.2">
      <c r="A5844" s="243">
        <v>2024</v>
      </c>
      <c r="B5844" s="243">
        <v>9</v>
      </c>
      <c r="C5844" s="243">
        <v>26</v>
      </c>
      <c r="D5844" s="248">
        <f t="shared" si="670"/>
        <v>45561</v>
      </c>
      <c r="E5844" s="249">
        <f t="shared" si="672"/>
        <v>45561</v>
      </c>
      <c r="F5844" s="477"/>
      <c r="G5844" s="244" t="s">
        <v>86</v>
      </c>
      <c r="H5844" s="244"/>
      <c r="I5844" s="245"/>
      <c r="J5844" s="246" t="s">
        <v>82</v>
      </c>
      <c r="K5844" s="247"/>
      <c r="L5844" s="247">
        <f>K5843</f>
        <v>57394.919999986887</v>
      </c>
    </row>
    <row r="5845" spans="1:13" ht="11.25" customHeight="1" x14ac:dyDescent="0.2">
      <c r="A5845" s="236">
        <v>2024</v>
      </c>
      <c r="B5845" s="236">
        <v>9</v>
      </c>
      <c r="C5845" s="236">
        <v>26</v>
      </c>
      <c r="D5845" s="237">
        <f t="shared" si="670"/>
        <v>45561</v>
      </c>
      <c r="E5845" s="238">
        <f t="shared" si="672"/>
        <v>45561</v>
      </c>
      <c r="F5845" s="476" t="s">
        <v>1120</v>
      </c>
      <c r="G5845" s="239" t="s">
        <v>86</v>
      </c>
      <c r="H5845" s="239"/>
      <c r="I5845" s="240"/>
      <c r="J5845" s="241" t="s">
        <v>87</v>
      </c>
      <c r="K5845" s="242">
        <v>2747.2527472527472</v>
      </c>
      <c r="L5845" s="242"/>
    </row>
    <row r="5846" spans="1:13" ht="11.25" customHeight="1" x14ac:dyDescent="0.2">
      <c r="A5846" s="243">
        <v>2024</v>
      </c>
      <c r="B5846" s="243">
        <v>9</v>
      </c>
      <c r="C5846" s="243">
        <v>26</v>
      </c>
      <c r="D5846" s="248">
        <f t="shared" si="670"/>
        <v>45561</v>
      </c>
      <c r="E5846" s="249">
        <f t="shared" si="672"/>
        <v>45561</v>
      </c>
      <c r="F5846" s="477"/>
      <c r="G5846" s="244" t="s">
        <v>86</v>
      </c>
      <c r="H5846" s="244"/>
      <c r="I5846" s="245"/>
      <c r="J5846" s="246" t="s">
        <v>64</v>
      </c>
      <c r="K5846" s="247"/>
      <c r="L5846" s="247">
        <v>2747.2527472527472</v>
      </c>
    </row>
    <row r="5847" spans="1:13" ht="11.25" customHeight="1" x14ac:dyDescent="0.2">
      <c r="A5847" s="236">
        <v>2024</v>
      </c>
      <c r="B5847" s="236">
        <v>9</v>
      </c>
      <c r="C5847" s="236">
        <v>26</v>
      </c>
      <c r="D5847" s="237">
        <f t="shared" si="670"/>
        <v>45561</v>
      </c>
      <c r="E5847" s="238">
        <f t="shared" si="672"/>
        <v>45561</v>
      </c>
      <c r="F5847" s="476" t="s">
        <v>1121</v>
      </c>
      <c r="G5847" s="239" t="s">
        <v>86</v>
      </c>
      <c r="H5847" s="239"/>
      <c r="I5847" s="240"/>
      <c r="J5847" s="241" t="s">
        <v>89</v>
      </c>
      <c r="K5847" s="242">
        <f>M5847</f>
        <v>71830.438334187769</v>
      </c>
      <c r="L5847" s="242"/>
      <c r="M5847" s="156">
        <v>71830.438334187769</v>
      </c>
    </row>
    <row r="5848" spans="1:13" ht="11.25" customHeight="1" x14ac:dyDescent="0.2">
      <c r="A5848" s="243">
        <v>2024</v>
      </c>
      <c r="B5848" s="243">
        <v>9</v>
      </c>
      <c r="C5848" s="243">
        <v>26</v>
      </c>
      <c r="D5848" s="248">
        <f t="shared" si="670"/>
        <v>45561</v>
      </c>
      <c r="E5848" s="249">
        <f t="shared" si="672"/>
        <v>45561</v>
      </c>
      <c r="F5848" s="477"/>
      <c r="G5848" s="244" t="s">
        <v>86</v>
      </c>
      <c r="H5848" s="244"/>
      <c r="I5848" s="245"/>
      <c r="J5848" s="246" t="s">
        <v>50</v>
      </c>
      <c r="K5848" s="247"/>
      <c r="L5848" s="247">
        <f>K5847</f>
        <v>71830.438334187769</v>
      </c>
      <c r="M5848" s="156">
        <v>3351.137301324773</v>
      </c>
    </row>
    <row r="5849" spans="1:13" ht="11.25" customHeight="1" x14ac:dyDescent="0.2">
      <c r="A5849" s="236">
        <v>2024</v>
      </c>
      <c r="B5849" s="236">
        <v>9</v>
      </c>
      <c r="C5849" s="236">
        <v>26</v>
      </c>
      <c r="D5849" s="237">
        <f t="shared" si="670"/>
        <v>45561</v>
      </c>
      <c r="E5849" s="238">
        <f t="shared" si="672"/>
        <v>45561</v>
      </c>
      <c r="F5849" s="476" t="s">
        <v>1122</v>
      </c>
      <c r="G5849" s="239" t="s">
        <v>86</v>
      </c>
      <c r="H5849" s="239"/>
      <c r="I5849" s="240"/>
      <c r="J5849" s="241" t="s">
        <v>91</v>
      </c>
      <c r="K5849" s="242">
        <f>M5848</f>
        <v>3351.137301324773</v>
      </c>
      <c r="L5849" s="242"/>
    </row>
    <row r="5850" spans="1:13" ht="11.25" customHeight="1" x14ac:dyDescent="0.2">
      <c r="A5850" s="243">
        <v>2024</v>
      </c>
      <c r="B5850" s="243">
        <v>9</v>
      </c>
      <c r="C5850" s="243">
        <v>26</v>
      </c>
      <c r="D5850" s="248">
        <f t="shared" si="670"/>
        <v>45561</v>
      </c>
      <c r="E5850" s="249">
        <f t="shared" si="672"/>
        <v>45561</v>
      </c>
      <c r="F5850" s="477"/>
      <c r="G5850" s="244" t="s">
        <v>86</v>
      </c>
      <c r="H5850" s="244"/>
      <c r="I5850" s="245"/>
      <c r="J5850" s="246" t="s">
        <v>51</v>
      </c>
      <c r="K5850" s="247"/>
      <c r="L5850" s="247">
        <f>K5849</f>
        <v>3351.137301324773</v>
      </c>
    </row>
    <row r="5851" spans="1:13" ht="11.25" customHeight="1" x14ac:dyDescent="0.2">
      <c r="A5851" s="221">
        <v>2024</v>
      </c>
      <c r="B5851" s="221">
        <v>9</v>
      </c>
      <c r="C5851" s="231">
        <v>29</v>
      </c>
      <c r="D5851" s="231">
        <f t="shared" si="670"/>
        <v>45564</v>
      </c>
      <c r="E5851" s="233">
        <f t="shared" si="672"/>
        <v>45564</v>
      </c>
      <c r="F5851" s="478" t="s">
        <v>1758</v>
      </c>
      <c r="G5851" s="222" t="s">
        <v>1111</v>
      </c>
      <c r="H5851" s="223"/>
      <c r="I5851" s="223"/>
      <c r="J5851" s="224" t="s">
        <v>55</v>
      </c>
      <c r="K5851" s="225">
        <v>533760.31999999995</v>
      </c>
      <c r="L5851" s="225"/>
    </row>
    <row r="5852" spans="1:13" ht="11.25" customHeight="1" x14ac:dyDescent="0.2">
      <c r="A5852" s="226">
        <v>2024</v>
      </c>
      <c r="B5852" s="226">
        <v>9</v>
      </c>
      <c r="C5852" s="232">
        <v>29</v>
      </c>
      <c r="D5852" s="232">
        <f t="shared" si="670"/>
        <v>45564</v>
      </c>
      <c r="E5852" s="234">
        <f t="shared" si="672"/>
        <v>45564</v>
      </c>
      <c r="F5852" s="479"/>
      <c r="G5852" s="227" t="s">
        <v>1111</v>
      </c>
      <c r="H5852" s="228"/>
      <c r="I5852" s="228"/>
      <c r="J5852" s="229" t="s">
        <v>199</v>
      </c>
      <c r="K5852" s="230"/>
      <c r="L5852" s="230">
        <v>533760.31999999995</v>
      </c>
    </row>
    <row r="5853" spans="1:13" ht="11.25" customHeight="1" x14ac:dyDescent="0.2">
      <c r="A5853" s="221">
        <v>2024</v>
      </c>
      <c r="B5853" s="221">
        <v>9</v>
      </c>
      <c r="C5853" s="231">
        <v>30</v>
      </c>
      <c r="D5853" s="231">
        <f t="shared" si="670"/>
        <v>45565</v>
      </c>
      <c r="E5853" s="233">
        <f t="shared" si="672"/>
        <v>45565</v>
      </c>
      <c r="F5853" s="478" t="s">
        <v>1670</v>
      </c>
      <c r="G5853" s="222" t="s">
        <v>1111</v>
      </c>
      <c r="H5853" s="223"/>
      <c r="I5853" s="223"/>
      <c r="J5853" s="224" t="s">
        <v>63</v>
      </c>
      <c r="K5853" s="225">
        <v>100</v>
      </c>
      <c r="L5853" s="225"/>
    </row>
    <row r="5854" spans="1:13" ht="11.25" customHeight="1" x14ac:dyDescent="0.2">
      <c r="A5854" s="226">
        <v>2024</v>
      </c>
      <c r="B5854" s="226">
        <v>9</v>
      </c>
      <c r="C5854" s="232">
        <v>30</v>
      </c>
      <c r="D5854" s="232">
        <f t="shared" si="670"/>
        <v>45565</v>
      </c>
      <c r="E5854" s="234">
        <f t="shared" si="672"/>
        <v>45565</v>
      </c>
      <c r="F5854" s="479"/>
      <c r="G5854" s="227" t="s">
        <v>1111</v>
      </c>
      <c r="H5854" s="228"/>
      <c r="I5854" s="228"/>
      <c r="J5854" s="229" t="s">
        <v>55</v>
      </c>
      <c r="K5854" s="230"/>
      <c r="L5854" s="230">
        <v>100</v>
      </c>
    </row>
    <row r="5855" spans="1:13" ht="11.25" customHeight="1" x14ac:dyDescent="0.2">
      <c r="A5855" s="221">
        <v>2024</v>
      </c>
      <c r="B5855" s="221">
        <v>9</v>
      </c>
      <c r="C5855" s="221">
        <v>26</v>
      </c>
      <c r="D5855" s="231">
        <f t="shared" si="670"/>
        <v>45561</v>
      </c>
      <c r="E5855" s="233">
        <f t="shared" si="672"/>
        <v>45561</v>
      </c>
      <c r="F5855" s="478" t="s">
        <v>1793</v>
      </c>
      <c r="G5855" s="222" t="s">
        <v>1111</v>
      </c>
      <c r="H5855" s="222"/>
      <c r="I5855" s="223"/>
      <c r="J5855" s="224" t="s">
        <v>55</v>
      </c>
      <c r="K5855" s="357">
        <v>1545558.82</v>
      </c>
      <c r="L5855" s="225"/>
    </row>
    <row r="5856" spans="1:13" ht="11.25" customHeight="1" x14ac:dyDescent="0.2">
      <c r="A5856" s="164">
        <v>2024</v>
      </c>
      <c r="B5856" s="164">
        <v>9</v>
      </c>
      <c r="C5856" s="164">
        <v>26</v>
      </c>
      <c r="D5856" s="156">
        <f t="shared" si="670"/>
        <v>45561</v>
      </c>
      <c r="E5856" s="235">
        <f t="shared" si="672"/>
        <v>45561</v>
      </c>
      <c r="F5856" s="480"/>
      <c r="G5856" s="208" t="s">
        <v>1111</v>
      </c>
      <c r="H5856" s="208"/>
      <c r="J5856" s="165" t="s">
        <v>1618</v>
      </c>
      <c r="K5856" s="263"/>
      <c r="L5856" s="205">
        <v>1278.0700000000652</v>
      </c>
    </row>
    <row r="5857" spans="1:12" ht="11.25" customHeight="1" x14ac:dyDescent="0.2">
      <c r="A5857" s="226">
        <v>2024</v>
      </c>
      <c r="B5857" s="226">
        <v>9</v>
      </c>
      <c r="C5857" s="226">
        <v>26</v>
      </c>
      <c r="D5857" s="232">
        <f t="shared" si="670"/>
        <v>45561</v>
      </c>
      <c r="E5857" s="234">
        <f t="shared" si="672"/>
        <v>45561</v>
      </c>
      <c r="F5857" s="479"/>
      <c r="G5857" s="227" t="s">
        <v>1111</v>
      </c>
      <c r="H5857" s="227"/>
      <c r="I5857" s="228"/>
      <c r="J5857" s="229" t="s">
        <v>1615</v>
      </c>
      <c r="K5857" s="294"/>
      <c r="L5857" s="230">
        <v>1544280.75</v>
      </c>
    </row>
    <row r="5858" spans="1:12" ht="11.25" customHeight="1" x14ac:dyDescent="0.2">
      <c r="A5858" s="221">
        <v>2024</v>
      </c>
      <c r="B5858" s="221">
        <v>10</v>
      </c>
      <c r="C5858" s="221">
        <v>2</v>
      </c>
      <c r="D5858" s="221">
        <f t="shared" si="670"/>
        <v>45567</v>
      </c>
      <c r="E5858" s="233">
        <f t="shared" si="672"/>
        <v>45567</v>
      </c>
      <c r="F5858" s="478" t="s">
        <v>1791</v>
      </c>
      <c r="G5858" s="222" t="s">
        <v>86</v>
      </c>
      <c r="H5858" s="222"/>
      <c r="I5858" s="223"/>
      <c r="J5858" s="224" t="s">
        <v>80</v>
      </c>
      <c r="K5858" s="225">
        <v>825164.2</v>
      </c>
      <c r="L5858" s="225"/>
    </row>
    <row r="5859" spans="1:12" ht="11.25" customHeight="1" x14ac:dyDescent="0.2">
      <c r="A5859" s="164">
        <v>2024</v>
      </c>
      <c r="B5859" s="164">
        <v>10</v>
      </c>
      <c r="C5859" s="164">
        <v>2</v>
      </c>
      <c r="D5859" s="164">
        <f t="shared" si="670"/>
        <v>45567</v>
      </c>
      <c r="E5859" s="235">
        <f t="shared" si="672"/>
        <v>45567</v>
      </c>
      <c r="F5859" s="480"/>
      <c r="G5859" s="208" t="s">
        <v>86</v>
      </c>
      <c r="H5859" s="208"/>
      <c r="J5859" s="165" t="s">
        <v>960</v>
      </c>
      <c r="K5859" s="205">
        <v>4061.9292</v>
      </c>
      <c r="L5859" s="205"/>
    </row>
    <row r="5860" spans="1:12" ht="11.25" customHeight="1" x14ac:dyDescent="0.2">
      <c r="A5860" s="164">
        <v>2024</v>
      </c>
      <c r="B5860" s="164">
        <v>10</v>
      </c>
      <c r="C5860" s="164">
        <v>2</v>
      </c>
      <c r="D5860" s="164">
        <f t="shared" si="670"/>
        <v>45567</v>
      </c>
      <c r="E5860" s="235">
        <f t="shared" si="672"/>
        <v>45567</v>
      </c>
      <c r="F5860" s="480"/>
      <c r="G5860" s="208" t="s">
        <v>86</v>
      </c>
      <c r="H5860" s="208"/>
      <c r="J5860" s="165" t="s">
        <v>199</v>
      </c>
      <c r="K5860" s="205">
        <v>602236.97</v>
      </c>
      <c r="L5860" s="205"/>
    </row>
    <row r="5861" spans="1:12" ht="11.25" customHeight="1" x14ac:dyDescent="0.2">
      <c r="A5861" s="164">
        <v>2024</v>
      </c>
      <c r="B5861" s="164">
        <v>10</v>
      </c>
      <c r="C5861" s="164">
        <v>2</v>
      </c>
      <c r="D5861" s="164">
        <f t="shared" si="670"/>
        <v>45567</v>
      </c>
      <c r="E5861" s="235">
        <f t="shared" si="672"/>
        <v>45567</v>
      </c>
      <c r="F5861" s="480"/>
      <c r="G5861" s="208" t="s">
        <v>86</v>
      </c>
      <c r="H5861" s="208"/>
      <c r="J5861" s="165" t="s">
        <v>200</v>
      </c>
      <c r="K5861" s="263">
        <v>216781.1</v>
      </c>
      <c r="L5861" s="205"/>
    </row>
    <row r="5862" spans="1:12" ht="11.25" customHeight="1" x14ac:dyDescent="0.2">
      <c r="A5862" s="226">
        <v>2024</v>
      </c>
      <c r="B5862" s="226">
        <v>10</v>
      </c>
      <c r="C5862" s="226">
        <v>2</v>
      </c>
      <c r="D5862" s="226">
        <f t="shared" si="670"/>
        <v>45567</v>
      </c>
      <c r="E5862" s="234">
        <f t="shared" si="672"/>
        <v>45567</v>
      </c>
      <c r="F5862" s="479"/>
      <c r="G5862" s="227" t="s">
        <v>86</v>
      </c>
      <c r="H5862" s="228"/>
      <c r="I5862" s="228"/>
      <c r="J5862" s="229" t="s">
        <v>80</v>
      </c>
      <c r="K5862" s="230"/>
      <c r="L5862" s="230">
        <v>1648244.2</v>
      </c>
    </row>
    <row r="5863" spans="1:12" ht="11.25" customHeight="1" x14ac:dyDescent="0.2">
      <c r="A5863" s="221">
        <v>2024</v>
      </c>
      <c r="B5863" s="221">
        <v>10</v>
      </c>
      <c r="C5863" s="221">
        <v>3</v>
      </c>
      <c r="D5863" s="231">
        <f t="shared" si="670"/>
        <v>45568</v>
      </c>
      <c r="E5863" s="233">
        <f t="shared" ref="E5863:E5870" si="673">DATE(A5863,B5863,C5863)</f>
        <v>45568</v>
      </c>
      <c r="F5863" s="478" t="s">
        <v>1795</v>
      </c>
      <c r="G5863" s="222" t="s">
        <v>86</v>
      </c>
      <c r="H5863" s="223"/>
      <c r="I5863" s="223"/>
      <c r="J5863" s="224" t="s">
        <v>55</v>
      </c>
      <c r="K5863" s="225">
        <v>600000</v>
      </c>
      <c r="L5863" s="225"/>
    </row>
    <row r="5864" spans="1:12" ht="11.25" customHeight="1" x14ac:dyDescent="0.2">
      <c r="A5864" s="226">
        <v>2024</v>
      </c>
      <c r="B5864" s="226">
        <v>10</v>
      </c>
      <c r="C5864" s="226">
        <v>3</v>
      </c>
      <c r="D5864" s="232">
        <f t="shared" si="670"/>
        <v>45568</v>
      </c>
      <c r="E5864" s="234">
        <f t="shared" si="673"/>
        <v>45568</v>
      </c>
      <c r="F5864" s="479"/>
      <c r="G5864" s="227" t="s">
        <v>86</v>
      </c>
      <c r="H5864" s="228"/>
      <c r="I5864" s="228"/>
      <c r="J5864" s="229" t="s">
        <v>174</v>
      </c>
      <c r="K5864" s="230"/>
      <c r="L5864" s="230">
        <f>K5863</f>
        <v>600000</v>
      </c>
    </row>
    <row r="5865" spans="1:12" ht="11.25" customHeight="1" x14ac:dyDescent="0.2">
      <c r="A5865" s="221">
        <v>2024</v>
      </c>
      <c r="B5865" s="221">
        <v>10</v>
      </c>
      <c r="C5865" s="221">
        <v>3</v>
      </c>
      <c r="D5865" s="231">
        <f t="shared" si="670"/>
        <v>45568</v>
      </c>
      <c r="E5865" s="233">
        <f t="shared" si="673"/>
        <v>45568</v>
      </c>
      <c r="F5865" s="478" t="s">
        <v>1794</v>
      </c>
      <c r="G5865" s="222" t="s">
        <v>1111</v>
      </c>
      <c r="H5865" s="222"/>
      <c r="I5865" s="223"/>
      <c r="J5865" s="224" t="s">
        <v>55</v>
      </c>
      <c r="K5865" s="357">
        <v>2060756.64</v>
      </c>
      <c r="L5865" s="225"/>
    </row>
    <row r="5866" spans="1:12" ht="11.25" customHeight="1" x14ac:dyDescent="0.2">
      <c r="A5866" s="164">
        <v>2024</v>
      </c>
      <c r="B5866" s="164">
        <v>10</v>
      </c>
      <c r="C5866" s="164">
        <v>3</v>
      </c>
      <c r="D5866" s="156">
        <f t="shared" si="670"/>
        <v>45568</v>
      </c>
      <c r="E5866" s="235">
        <f t="shared" si="673"/>
        <v>45568</v>
      </c>
      <c r="F5866" s="480"/>
      <c r="G5866" s="208" t="s">
        <v>1111</v>
      </c>
      <c r="H5866" s="208"/>
      <c r="J5866" s="165" t="s">
        <v>1618</v>
      </c>
      <c r="K5866" s="263"/>
      <c r="L5866" s="205">
        <v>5103.4899999999907</v>
      </c>
    </row>
    <row r="5867" spans="1:12" ht="11.25" customHeight="1" x14ac:dyDescent="0.2">
      <c r="A5867" s="226">
        <v>2024</v>
      </c>
      <c r="B5867" s="226">
        <v>10</v>
      </c>
      <c r="C5867" s="226">
        <v>3</v>
      </c>
      <c r="D5867" s="232">
        <f t="shared" si="670"/>
        <v>45568</v>
      </c>
      <c r="E5867" s="234">
        <f t="shared" si="673"/>
        <v>45568</v>
      </c>
      <c r="F5867" s="479"/>
      <c r="G5867" s="227" t="s">
        <v>1111</v>
      </c>
      <c r="H5867" s="227"/>
      <c r="I5867" s="228"/>
      <c r="J5867" s="229" t="s">
        <v>1615</v>
      </c>
      <c r="K5867" s="294"/>
      <c r="L5867" s="230">
        <v>2055653.15</v>
      </c>
    </row>
    <row r="5868" spans="1:12" ht="11.25" customHeight="1" x14ac:dyDescent="0.2">
      <c r="A5868" s="221">
        <v>2024</v>
      </c>
      <c r="B5868" s="221">
        <v>10</v>
      </c>
      <c r="C5868" s="221">
        <v>3</v>
      </c>
      <c r="D5868" s="221">
        <f t="shared" si="670"/>
        <v>45568</v>
      </c>
      <c r="E5868" s="233">
        <f t="shared" si="673"/>
        <v>45568</v>
      </c>
      <c r="F5868" s="478" t="s">
        <v>1593</v>
      </c>
      <c r="G5868" s="222" t="s">
        <v>86</v>
      </c>
      <c r="H5868" s="222"/>
      <c r="I5868" s="223"/>
      <c r="J5868" s="224" t="s">
        <v>80</v>
      </c>
      <c r="K5868" s="225">
        <v>1048169.8</v>
      </c>
      <c r="L5868" s="225"/>
    </row>
    <row r="5869" spans="1:12" ht="11.25" customHeight="1" x14ac:dyDescent="0.2">
      <c r="A5869" s="164">
        <v>2024</v>
      </c>
      <c r="B5869" s="164">
        <v>10</v>
      </c>
      <c r="C5869" s="164">
        <v>3</v>
      </c>
      <c r="D5869" s="164">
        <f t="shared" si="670"/>
        <v>45568</v>
      </c>
      <c r="E5869" s="235">
        <f t="shared" si="673"/>
        <v>45568</v>
      </c>
      <c r="F5869" s="480"/>
      <c r="G5869" s="208" t="s">
        <v>86</v>
      </c>
      <c r="H5869" s="208"/>
      <c r="J5869" s="165" t="s">
        <v>960</v>
      </c>
      <c r="K5869" s="205">
        <v>1886.71</v>
      </c>
      <c r="L5869" s="205"/>
    </row>
    <row r="5870" spans="1:12" ht="11.25" customHeight="1" x14ac:dyDescent="0.2">
      <c r="A5870" s="226">
        <v>2024</v>
      </c>
      <c r="B5870" s="226">
        <v>10</v>
      </c>
      <c r="C5870" s="226">
        <v>3</v>
      </c>
      <c r="D5870" s="226">
        <f t="shared" si="670"/>
        <v>45568</v>
      </c>
      <c r="E5870" s="234">
        <f t="shared" si="673"/>
        <v>45568</v>
      </c>
      <c r="F5870" s="479"/>
      <c r="G5870" s="227" t="s">
        <v>86</v>
      </c>
      <c r="H5870" s="227"/>
      <c r="I5870" s="228"/>
      <c r="J5870" s="229" t="s">
        <v>961</v>
      </c>
      <c r="K5870" s="294"/>
      <c r="L5870" s="230">
        <v>1050056.51</v>
      </c>
    </row>
    <row r="5871" spans="1:12" ht="11.25" customHeight="1" x14ac:dyDescent="0.2">
      <c r="A5871" s="280">
        <v>2024</v>
      </c>
      <c r="B5871" s="280">
        <v>10</v>
      </c>
      <c r="C5871" s="280">
        <v>3</v>
      </c>
      <c r="D5871" s="281">
        <f t="shared" si="670"/>
        <v>45568</v>
      </c>
      <c r="E5871" s="282">
        <f t="shared" si="672"/>
        <v>45568</v>
      </c>
      <c r="F5871" s="472" t="s">
        <v>1744</v>
      </c>
      <c r="G5871" s="283" t="s">
        <v>86</v>
      </c>
      <c r="H5871" s="284"/>
      <c r="I5871" s="284"/>
      <c r="J5871" s="285" t="s">
        <v>131</v>
      </c>
      <c r="K5871" s="286">
        <v>19358.333333333332</v>
      </c>
      <c r="L5871" s="286"/>
    </row>
    <row r="5872" spans="1:12" ht="11.25" customHeight="1" x14ac:dyDescent="0.2">
      <c r="A5872" s="287">
        <v>2024</v>
      </c>
      <c r="B5872" s="287">
        <v>10</v>
      </c>
      <c r="C5872" s="287">
        <v>3</v>
      </c>
      <c r="D5872" s="288">
        <f t="shared" si="670"/>
        <v>45568</v>
      </c>
      <c r="E5872" s="289">
        <f t="shared" si="672"/>
        <v>45568</v>
      </c>
      <c r="F5872" s="473"/>
      <c r="G5872" s="290" t="s">
        <v>86</v>
      </c>
      <c r="H5872" s="291"/>
      <c r="I5872" s="291"/>
      <c r="J5872" s="292" t="s">
        <v>174</v>
      </c>
      <c r="K5872" s="293"/>
      <c r="L5872" s="293">
        <v>19358.333333333332</v>
      </c>
    </row>
    <row r="5873" spans="1:13" ht="11.25" customHeight="1" x14ac:dyDescent="0.2">
      <c r="A5873" s="280">
        <v>2024</v>
      </c>
      <c r="B5873" s="280">
        <v>10</v>
      </c>
      <c r="C5873" s="280">
        <v>3</v>
      </c>
      <c r="D5873" s="281">
        <f t="shared" si="670"/>
        <v>45568</v>
      </c>
      <c r="E5873" s="282">
        <f t="shared" si="672"/>
        <v>45568</v>
      </c>
      <c r="F5873" s="472" t="s">
        <v>1584</v>
      </c>
      <c r="G5873" s="283" t="s">
        <v>86</v>
      </c>
      <c r="H5873" s="284"/>
      <c r="I5873" s="284"/>
      <c r="J5873" s="285" t="s">
        <v>131</v>
      </c>
      <c r="K5873" s="286">
        <v>8846.1538461538457</v>
      </c>
      <c r="L5873" s="286"/>
    </row>
    <row r="5874" spans="1:13" ht="11.25" customHeight="1" x14ac:dyDescent="0.2">
      <c r="A5874" s="287">
        <v>2024</v>
      </c>
      <c r="B5874" s="287">
        <v>10</v>
      </c>
      <c r="C5874" s="287">
        <v>3</v>
      </c>
      <c r="D5874" s="288">
        <f t="shared" si="670"/>
        <v>45568</v>
      </c>
      <c r="E5874" s="289">
        <f t="shared" si="672"/>
        <v>45568</v>
      </c>
      <c r="F5874" s="473"/>
      <c r="G5874" s="290" t="s">
        <v>86</v>
      </c>
      <c r="H5874" s="291"/>
      <c r="I5874" s="291"/>
      <c r="J5874" s="292" t="s">
        <v>174</v>
      </c>
      <c r="K5874" s="293"/>
      <c r="L5874" s="293">
        <v>8846.1538461538457</v>
      </c>
    </row>
    <row r="5875" spans="1:13" ht="11.25" customHeight="1" x14ac:dyDescent="0.2">
      <c r="A5875" s="280">
        <v>2024</v>
      </c>
      <c r="B5875" s="280">
        <v>10</v>
      </c>
      <c r="C5875" s="280">
        <v>3</v>
      </c>
      <c r="D5875" s="281">
        <f t="shared" si="670"/>
        <v>45568</v>
      </c>
      <c r="E5875" s="282">
        <f t="shared" si="672"/>
        <v>45568</v>
      </c>
      <c r="F5875" s="472" t="s">
        <v>1830</v>
      </c>
      <c r="G5875" s="283" t="s">
        <v>86</v>
      </c>
      <c r="H5875" s="284"/>
      <c r="I5875" s="284"/>
      <c r="J5875" s="285" t="s">
        <v>131</v>
      </c>
      <c r="K5875" s="286">
        <v>4653.8461538461543</v>
      </c>
      <c r="L5875" s="286"/>
    </row>
    <row r="5876" spans="1:13" ht="11.25" customHeight="1" x14ac:dyDescent="0.2">
      <c r="A5876" s="287">
        <v>2024</v>
      </c>
      <c r="B5876" s="287">
        <v>10</v>
      </c>
      <c r="C5876" s="287">
        <v>3</v>
      </c>
      <c r="D5876" s="288">
        <f t="shared" si="670"/>
        <v>45568</v>
      </c>
      <c r="E5876" s="289">
        <f t="shared" si="672"/>
        <v>45568</v>
      </c>
      <c r="F5876" s="473"/>
      <c r="G5876" s="290" t="s">
        <v>86</v>
      </c>
      <c r="H5876" s="291"/>
      <c r="I5876" s="291"/>
      <c r="J5876" s="292" t="s">
        <v>174</v>
      </c>
      <c r="K5876" s="293"/>
      <c r="L5876" s="293">
        <v>4653.8461538461543</v>
      </c>
    </row>
    <row r="5877" spans="1:13" ht="11.25" customHeight="1" x14ac:dyDescent="0.2">
      <c r="A5877" s="341">
        <v>2024</v>
      </c>
      <c r="B5877" s="341">
        <v>10</v>
      </c>
      <c r="C5877" s="341">
        <v>3</v>
      </c>
      <c r="D5877" s="328">
        <f t="shared" si="670"/>
        <v>45568</v>
      </c>
      <c r="E5877" s="329">
        <f t="shared" si="672"/>
        <v>45568</v>
      </c>
      <c r="F5877" s="474" t="s">
        <v>1767</v>
      </c>
      <c r="G5877" s="330" t="s">
        <v>86</v>
      </c>
      <c r="H5877" s="332"/>
      <c r="I5877" s="332"/>
      <c r="J5877" s="342" t="s">
        <v>67</v>
      </c>
      <c r="K5877" s="343">
        <v>23955.82</v>
      </c>
      <c r="L5877" s="343"/>
    </row>
    <row r="5878" spans="1:13" ht="11.25" customHeight="1" x14ac:dyDescent="0.2">
      <c r="A5878" s="344">
        <v>2024</v>
      </c>
      <c r="B5878" s="344">
        <v>10</v>
      </c>
      <c r="C5878" s="344">
        <v>3</v>
      </c>
      <c r="D5878" s="337">
        <f t="shared" si="670"/>
        <v>45568</v>
      </c>
      <c r="E5878" s="338">
        <f t="shared" si="672"/>
        <v>45568</v>
      </c>
      <c r="F5878" s="475"/>
      <c r="G5878" s="339" t="s">
        <v>86</v>
      </c>
      <c r="H5878" s="340"/>
      <c r="I5878" s="340"/>
      <c r="J5878" s="345" t="s">
        <v>174</v>
      </c>
      <c r="K5878" s="346"/>
      <c r="L5878" s="346">
        <f>K5877</f>
        <v>23955.82</v>
      </c>
    </row>
    <row r="5879" spans="1:13" ht="11.25" customHeight="1" x14ac:dyDescent="0.2">
      <c r="A5879" s="358">
        <v>2024</v>
      </c>
      <c r="B5879" s="358">
        <v>10</v>
      </c>
      <c r="C5879" s="358">
        <v>3</v>
      </c>
      <c r="D5879" s="312">
        <f t="shared" si="670"/>
        <v>45568</v>
      </c>
      <c r="E5879" s="313">
        <f>DATE(A5879,B5879,C5879)</f>
        <v>45568</v>
      </c>
      <c r="F5879" s="482" t="s">
        <v>1627</v>
      </c>
      <c r="G5879" s="314" t="s">
        <v>86</v>
      </c>
      <c r="H5879" s="324"/>
      <c r="I5879" s="324"/>
      <c r="J5879" s="364" t="s">
        <v>1621</v>
      </c>
      <c r="K5879" s="365">
        <v>44350</v>
      </c>
      <c r="L5879" s="365"/>
    </row>
    <row r="5880" spans="1:13" ht="11.25" customHeight="1" x14ac:dyDescent="0.2">
      <c r="A5880" s="320">
        <v>2024</v>
      </c>
      <c r="B5880" s="320">
        <v>10</v>
      </c>
      <c r="C5880" s="320">
        <v>3</v>
      </c>
      <c r="D5880" s="323">
        <f t="shared" si="670"/>
        <v>45568</v>
      </c>
      <c r="E5880" s="321">
        <f t="shared" ref="E5880" si="674">DATE(A5880,B5880,C5880)</f>
        <v>45568</v>
      </c>
      <c r="F5880" s="483"/>
      <c r="G5880" s="322" t="s">
        <v>86</v>
      </c>
      <c r="H5880" s="325"/>
      <c r="I5880" s="325"/>
      <c r="J5880" s="366" t="s">
        <v>1613</v>
      </c>
      <c r="K5880" s="367"/>
      <c r="L5880" s="367">
        <f>K5879</f>
        <v>44350</v>
      </c>
    </row>
    <row r="5881" spans="1:13" ht="11.25" customHeight="1" x14ac:dyDescent="0.2">
      <c r="A5881" s="358">
        <v>2024</v>
      </c>
      <c r="B5881" s="358">
        <v>10</v>
      </c>
      <c r="C5881" s="358">
        <v>3</v>
      </c>
      <c r="D5881" s="312">
        <f t="shared" si="670"/>
        <v>45568</v>
      </c>
      <c r="E5881" s="313">
        <f>DATE(A5881,B5881,C5881)</f>
        <v>45568</v>
      </c>
      <c r="F5881" s="482" t="s">
        <v>1713</v>
      </c>
      <c r="G5881" s="314" t="s">
        <v>86</v>
      </c>
      <c r="H5881" s="324"/>
      <c r="I5881" s="324"/>
      <c r="J5881" s="364" t="s">
        <v>1614</v>
      </c>
      <c r="K5881" s="365">
        <v>528192.16000000015</v>
      </c>
      <c r="L5881" s="365"/>
    </row>
    <row r="5882" spans="1:13" ht="11.25" customHeight="1" x14ac:dyDescent="0.2">
      <c r="A5882" s="320">
        <v>2024</v>
      </c>
      <c r="B5882" s="320">
        <v>10</v>
      </c>
      <c r="C5882" s="320">
        <v>3</v>
      </c>
      <c r="D5882" s="323">
        <f t="shared" si="670"/>
        <v>45568</v>
      </c>
      <c r="E5882" s="321">
        <f t="shared" ref="E5882:E5899" si="675">DATE(A5882,B5882,C5882)</f>
        <v>45568</v>
      </c>
      <c r="F5882" s="483"/>
      <c r="G5882" s="322" t="s">
        <v>86</v>
      </c>
      <c r="H5882" s="325"/>
      <c r="I5882" s="325"/>
      <c r="J5882" s="366" t="s">
        <v>1622</v>
      </c>
      <c r="K5882" s="367"/>
      <c r="L5882" s="367">
        <f>K5881</f>
        <v>528192.16000000015</v>
      </c>
    </row>
    <row r="5883" spans="1:13" ht="11.25" customHeight="1" x14ac:dyDescent="0.2">
      <c r="A5883" s="236">
        <v>2024</v>
      </c>
      <c r="B5883" s="236">
        <v>10</v>
      </c>
      <c r="C5883" s="236">
        <v>3</v>
      </c>
      <c r="D5883" s="237">
        <f t="shared" si="670"/>
        <v>45568</v>
      </c>
      <c r="E5883" s="238">
        <f t="shared" si="675"/>
        <v>45568</v>
      </c>
      <c r="F5883" s="476" t="s">
        <v>1118</v>
      </c>
      <c r="G5883" s="239" t="s">
        <v>86</v>
      </c>
      <c r="H5883" s="239"/>
      <c r="I5883" s="240"/>
      <c r="J5883" s="241" t="s">
        <v>82</v>
      </c>
      <c r="K5883" s="242">
        <v>1521574.4600000083</v>
      </c>
      <c r="L5883" s="242"/>
    </row>
    <row r="5884" spans="1:13" ht="11.25" customHeight="1" x14ac:dyDescent="0.2">
      <c r="A5884" s="243">
        <v>2024</v>
      </c>
      <c r="B5884" s="243">
        <v>10</v>
      </c>
      <c r="C5884" s="243">
        <v>3</v>
      </c>
      <c r="D5884" s="248">
        <f t="shared" si="670"/>
        <v>45568</v>
      </c>
      <c r="E5884" s="249">
        <f t="shared" si="675"/>
        <v>45568</v>
      </c>
      <c r="F5884" s="477"/>
      <c r="G5884" s="244" t="s">
        <v>86</v>
      </c>
      <c r="H5884" s="244"/>
      <c r="I5884" s="245"/>
      <c r="J5884" s="246" t="s">
        <v>98</v>
      </c>
      <c r="K5884" s="247"/>
      <c r="L5884" s="247">
        <f>K5883</f>
        <v>1521574.4600000083</v>
      </c>
    </row>
    <row r="5885" spans="1:13" ht="11.25" customHeight="1" x14ac:dyDescent="0.2">
      <c r="A5885" s="236">
        <v>2024</v>
      </c>
      <c r="B5885" s="236">
        <v>10</v>
      </c>
      <c r="C5885" s="236">
        <v>3</v>
      </c>
      <c r="D5885" s="237">
        <f t="shared" si="670"/>
        <v>45568</v>
      </c>
      <c r="E5885" s="238">
        <f t="shared" si="675"/>
        <v>45568</v>
      </c>
      <c r="F5885" s="476" t="s">
        <v>1120</v>
      </c>
      <c r="G5885" s="239" t="s">
        <v>86</v>
      </c>
      <c r="H5885" s="239"/>
      <c r="I5885" s="240"/>
      <c r="J5885" s="241" t="s">
        <v>87</v>
      </c>
      <c r="K5885" s="242">
        <v>2747.2527472527472</v>
      </c>
      <c r="L5885" s="242"/>
    </row>
    <row r="5886" spans="1:13" ht="11.25" customHeight="1" x14ac:dyDescent="0.2">
      <c r="A5886" s="243">
        <v>2024</v>
      </c>
      <c r="B5886" s="243">
        <v>10</v>
      </c>
      <c r="C5886" s="243">
        <v>3</v>
      </c>
      <c r="D5886" s="248">
        <f t="shared" si="670"/>
        <v>45568</v>
      </c>
      <c r="E5886" s="249">
        <f t="shared" si="675"/>
        <v>45568</v>
      </c>
      <c r="F5886" s="477"/>
      <c r="G5886" s="244" t="s">
        <v>86</v>
      </c>
      <c r="H5886" s="244"/>
      <c r="I5886" s="245"/>
      <c r="J5886" s="246" t="s">
        <v>64</v>
      </c>
      <c r="K5886" s="247"/>
      <c r="L5886" s="247">
        <v>2747.2527472527472</v>
      </c>
    </row>
    <row r="5887" spans="1:13" ht="11.25" customHeight="1" x14ac:dyDescent="0.2">
      <c r="A5887" s="236">
        <v>2024</v>
      </c>
      <c r="B5887" s="236">
        <v>10</v>
      </c>
      <c r="C5887" s="236">
        <v>3</v>
      </c>
      <c r="D5887" s="237">
        <f t="shared" si="670"/>
        <v>45568</v>
      </c>
      <c r="E5887" s="238">
        <f t="shared" si="675"/>
        <v>45568</v>
      </c>
      <c r="F5887" s="476" t="s">
        <v>1121</v>
      </c>
      <c r="G5887" s="239" t="s">
        <v>86</v>
      </c>
      <c r="H5887" s="239"/>
      <c r="I5887" s="240"/>
      <c r="J5887" s="241" t="s">
        <v>89</v>
      </c>
      <c r="K5887" s="242">
        <f>M5887</f>
        <v>71205.83084024569</v>
      </c>
      <c r="L5887" s="242"/>
      <c r="M5887" s="156">
        <v>71205.83084024569</v>
      </c>
    </row>
    <row r="5888" spans="1:13" ht="11.25" customHeight="1" x14ac:dyDescent="0.2">
      <c r="A5888" s="243">
        <v>2024</v>
      </c>
      <c r="B5888" s="243">
        <v>10</v>
      </c>
      <c r="C5888" s="243">
        <v>3</v>
      </c>
      <c r="D5888" s="248">
        <f t="shared" si="670"/>
        <v>45568</v>
      </c>
      <c r="E5888" s="249">
        <f t="shared" si="675"/>
        <v>45568</v>
      </c>
      <c r="F5888" s="477"/>
      <c r="G5888" s="244" t="s">
        <v>86</v>
      </c>
      <c r="H5888" s="244"/>
      <c r="I5888" s="245"/>
      <c r="J5888" s="246" t="s">
        <v>50</v>
      </c>
      <c r="K5888" s="247"/>
      <c r="L5888" s="247">
        <f>K5887</f>
        <v>71205.83084024569</v>
      </c>
      <c r="M5888" s="156">
        <v>3319.9069266276692</v>
      </c>
    </row>
    <row r="5889" spans="1:12" ht="11.25" customHeight="1" x14ac:dyDescent="0.2">
      <c r="A5889" s="236">
        <v>2024</v>
      </c>
      <c r="B5889" s="236">
        <v>10</v>
      </c>
      <c r="C5889" s="236">
        <v>3</v>
      </c>
      <c r="D5889" s="237">
        <f t="shared" si="670"/>
        <v>45568</v>
      </c>
      <c r="E5889" s="238">
        <f t="shared" si="675"/>
        <v>45568</v>
      </c>
      <c r="F5889" s="476" t="s">
        <v>1122</v>
      </c>
      <c r="G5889" s="239" t="s">
        <v>86</v>
      </c>
      <c r="H5889" s="239"/>
      <c r="I5889" s="240"/>
      <c r="J5889" s="241" t="s">
        <v>91</v>
      </c>
      <c r="K5889" s="242">
        <f>M5888</f>
        <v>3319.9069266276692</v>
      </c>
      <c r="L5889" s="242"/>
    </row>
    <row r="5890" spans="1:12" ht="11.25" customHeight="1" x14ac:dyDescent="0.2">
      <c r="A5890" s="243">
        <v>2024</v>
      </c>
      <c r="B5890" s="243">
        <v>10</v>
      </c>
      <c r="C5890" s="243">
        <v>3</v>
      </c>
      <c r="D5890" s="248">
        <f t="shared" si="670"/>
        <v>45568</v>
      </c>
      <c r="E5890" s="249">
        <f t="shared" si="675"/>
        <v>45568</v>
      </c>
      <c r="F5890" s="477"/>
      <c r="G5890" s="244" t="s">
        <v>86</v>
      </c>
      <c r="H5890" s="244"/>
      <c r="I5890" s="245"/>
      <c r="J5890" s="246" t="s">
        <v>51</v>
      </c>
      <c r="K5890" s="247"/>
      <c r="L5890" s="247">
        <f>K5889</f>
        <v>3319.9069266276692</v>
      </c>
    </row>
    <row r="5891" spans="1:12" ht="11.25" customHeight="1" x14ac:dyDescent="0.2">
      <c r="A5891" s="221">
        <v>2024</v>
      </c>
      <c r="B5891" s="221">
        <v>10</v>
      </c>
      <c r="C5891" s="231">
        <v>6</v>
      </c>
      <c r="D5891" s="231">
        <f t="shared" si="670"/>
        <v>45571</v>
      </c>
      <c r="E5891" s="233">
        <f t="shared" si="675"/>
        <v>45571</v>
      </c>
      <c r="F5891" s="478" t="s">
        <v>1594</v>
      </c>
      <c r="G5891" s="222" t="s">
        <v>1111</v>
      </c>
      <c r="H5891" s="223"/>
      <c r="I5891" s="223"/>
      <c r="J5891" s="224" t="s">
        <v>961</v>
      </c>
      <c r="K5891" s="225">
        <v>1050056.51</v>
      </c>
      <c r="L5891" s="225"/>
    </row>
    <row r="5892" spans="1:12" ht="11.25" customHeight="1" x14ac:dyDescent="0.2">
      <c r="A5892" s="226">
        <v>2024</v>
      </c>
      <c r="B5892" s="226">
        <v>10</v>
      </c>
      <c r="C5892" s="232">
        <v>6</v>
      </c>
      <c r="D5892" s="232">
        <f t="shared" si="670"/>
        <v>45571</v>
      </c>
      <c r="E5892" s="234">
        <f t="shared" si="675"/>
        <v>45571</v>
      </c>
      <c r="F5892" s="479"/>
      <c r="G5892" s="227" t="s">
        <v>1111</v>
      </c>
      <c r="H5892" s="228"/>
      <c r="I5892" s="228"/>
      <c r="J5892" s="229" t="s">
        <v>55</v>
      </c>
      <c r="K5892" s="230"/>
      <c r="L5892" s="230">
        <v>1050056.51</v>
      </c>
    </row>
    <row r="5893" spans="1:12" ht="11.25" customHeight="1" x14ac:dyDescent="0.2">
      <c r="A5893" s="221">
        <v>2024</v>
      </c>
      <c r="B5893" s="221">
        <v>10</v>
      </c>
      <c r="C5893" s="231">
        <v>6</v>
      </c>
      <c r="D5893" s="231">
        <f t="shared" si="670"/>
        <v>45571</v>
      </c>
      <c r="E5893" s="233">
        <f t="shared" si="675"/>
        <v>45571</v>
      </c>
      <c r="F5893" s="478" t="s">
        <v>1590</v>
      </c>
      <c r="G5893" s="222" t="s">
        <v>1111</v>
      </c>
      <c r="H5893" s="223"/>
      <c r="I5893" s="223"/>
      <c r="J5893" s="224" t="s">
        <v>55</v>
      </c>
      <c r="K5893" s="225">
        <v>602236.97</v>
      </c>
      <c r="L5893" s="225"/>
    </row>
    <row r="5894" spans="1:12" ht="11.25" customHeight="1" x14ac:dyDescent="0.2">
      <c r="A5894" s="226">
        <v>2024</v>
      </c>
      <c r="B5894" s="226">
        <v>10</v>
      </c>
      <c r="C5894" s="232">
        <v>6</v>
      </c>
      <c r="D5894" s="232">
        <f t="shared" si="670"/>
        <v>45571</v>
      </c>
      <c r="E5894" s="234">
        <f t="shared" si="675"/>
        <v>45571</v>
      </c>
      <c r="F5894" s="479"/>
      <c r="G5894" s="227" t="s">
        <v>1111</v>
      </c>
      <c r="H5894" s="228"/>
      <c r="I5894" s="228"/>
      <c r="J5894" s="229" t="s">
        <v>199</v>
      </c>
      <c r="K5894" s="230"/>
      <c r="L5894" s="230">
        <v>602236.97</v>
      </c>
    </row>
    <row r="5895" spans="1:12" ht="11.25" customHeight="1" x14ac:dyDescent="0.2">
      <c r="A5895" s="221">
        <v>2024</v>
      </c>
      <c r="B5895" s="221">
        <v>10</v>
      </c>
      <c r="C5895" s="221">
        <v>6</v>
      </c>
      <c r="D5895" s="221">
        <f t="shared" si="670"/>
        <v>45571</v>
      </c>
      <c r="E5895" s="233">
        <f t="shared" si="675"/>
        <v>45571</v>
      </c>
      <c r="F5895" s="478" t="s">
        <v>1593</v>
      </c>
      <c r="G5895" s="222" t="s">
        <v>86</v>
      </c>
      <c r="H5895" s="222"/>
      <c r="I5895" s="223"/>
      <c r="J5895" s="224" t="s">
        <v>80</v>
      </c>
      <c r="K5895" s="225">
        <v>688188</v>
      </c>
      <c r="L5895" s="225"/>
    </row>
    <row r="5896" spans="1:12" ht="11.25" customHeight="1" x14ac:dyDescent="0.2">
      <c r="A5896" s="164">
        <v>2024</v>
      </c>
      <c r="B5896" s="164">
        <v>10</v>
      </c>
      <c r="C5896" s="164">
        <v>6</v>
      </c>
      <c r="D5896" s="164">
        <f t="shared" si="670"/>
        <v>45571</v>
      </c>
      <c r="E5896" s="235">
        <f t="shared" si="675"/>
        <v>45571</v>
      </c>
      <c r="F5896" s="480"/>
      <c r="G5896" s="208" t="s">
        <v>86</v>
      </c>
      <c r="H5896" s="208"/>
      <c r="J5896" s="165" t="s">
        <v>960</v>
      </c>
      <c r="K5896" s="205">
        <v>1238.7384</v>
      </c>
      <c r="L5896" s="205"/>
    </row>
    <row r="5897" spans="1:12" ht="11.25" customHeight="1" x14ac:dyDescent="0.2">
      <c r="A5897" s="226">
        <v>2024</v>
      </c>
      <c r="B5897" s="226">
        <v>10</v>
      </c>
      <c r="C5897" s="226">
        <v>6</v>
      </c>
      <c r="D5897" s="226">
        <f t="shared" ref="D5897:D5960" si="676">DATE(A5897,B5897,C5897)</f>
        <v>45571</v>
      </c>
      <c r="E5897" s="234">
        <f t="shared" si="675"/>
        <v>45571</v>
      </c>
      <c r="F5897" s="479"/>
      <c r="G5897" s="227" t="s">
        <v>86</v>
      </c>
      <c r="H5897" s="227"/>
      <c r="I5897" s="228"/>
      <c r="J5897" s="229" t="s">
        <v>961</v>
      </c>
      <c r="K5897" s="294"/>
      <c r="L5897" s="230">
        <v>689426.73840000003</v>
      </c>
    </row>
    <row r="5898" spans="1:12" ht="11.25" customHeight="1" x14ac:dyDescent="0.2">
      <c r="A5898" s="221">
        <v>2024</v>
      </c>
      <c r="B5898" s="221">
        <v>10</v>
      </c>
      <c r="C5898" s="231">
        <v>6</v>
      </c>
      <c r="D5898" s="231">
        <f t="shared" si="676"/>
        <v>45571</v>
      </c>
      <c r="E5898" s="233">
        <f t="shared" si="675"/>
        <v>45571</v>
      </c>
      <c r="F5898" s="478" t="s">
        <v>1670</v>
      </c>
      <c r="G5898" s="222" t="s">
        <v>1111</v>
      </c>
      <c r="H5898" s="223"/>
      <c r="I5898" s="223"/>
      <c r="J5898" s="224" t="s">
        <v>63</v>
      </c>
      <c r="K5898" s="225">
        <v>100</v>
      </c>
      <c r="L5898" s="225"/>
    </row>
    <row r="5899" spans="1:12" ht="11.25" customHeight="1" x14ac:dyDescent="0.2">
      <c r="A5899" s="226">
        <v>2024</v>
      </c>
      <c r="B5899" s="226">
        <v>10</v>
      </c>
      <c r="C5899" s="232">
        <v>6</v>
      </c>
      <c r="D5899" s="232">
        <f t="shared" si="676"/>
        <v>45571</v>
      </c>
      <c r="E5899" s="234">
        <f t="shared" si="675"/>
        <v>45571</v>
      </c>
      <c r="F5899" s="479"/>
      <c r="G5899" s="227" t="s">
        <v>1111</v>
      </c>
      <c r="H5899" s="228"/>
      <c r="I5899" s="228"/>
      <c r="J5899" s="229" t="s">
        <v>55</v>
      </c>
      <c r="K5899" s="230"/>
      <c r="L5899" s="230">
        <v>100</v>
      </c>
    </row>
    <row r="5900" spans="1:12" ht="11.25" customHeight="1" x14ac:dyDescent="0.2">
      <c r="A5900" s="221">
        <v>2024</v>
      </c>
      <c r="B5900" s="221">
        <v>10</v>
      </c>
      <c r="C5900" s="231">
        <v>7</v>
      </c>
      <c r="D5900" s="231">
        <f t="shared" si="676"/>
        <v>45572</v>
      </c>
      <c r="E5900" s="233">
        <f t="shared" ref="E5900:E5901" si="677">DATE(A5900,B5900,C5900)</f>
        <v>45572</v>
      </c>
      <c r="F5900" s="478" t="s">
        <v>1594</v>
      </c>
      <c r="G5900" s="222" t="s">
        <v>1111</v>
      </c>
      <c r="H5900" s="223"/>
      <c r="I5900" s="223"/>
      <c r="J5900" s="224" t="s">
        <v>961</v>
      </c>
      <c r="K5900" s="225">
        <v>689426.74</v>
      </c>
      <c r="L5900" s="225"/>
    </row>
    <row r="5901" spans="1:12" ht="11.25" customHeight="1" x14ac:dyDescent="0.2">
      <c r="A5901" s="226">
        <v>2024</v>
      </c>
      <c r="B5901" s="226">
        <v>10</v>
      </c>
      <c r="C5901" s="232">
        <v>7</v>
      </c>
      <c r="D5901" s="232">
        <f t="shared" si="676"/>
        <v>45572</v>
      </c>
      <c r="E5901" s="234">
        <f t="shared" si="677"/>
        <v>45572</v>
      </c>
      <c r="F5901" s="479"/>
      <c r="G5901" s="227" t="s">
        <v>1111</v>
      </c>
      <c r="H5901" s="228"/>
      <c r="I5901" s="228"/>
      <c r="J5901" s="229" t="s">
        <v>55</v>
      </c>
      <c r="K5901" s="230"/>
      <c r="L5901" s="230">
        <v>689426.74</v>
      </c>
    </row>
    <row r="5902" spans="1:12" ht="11.25" customHeight="1" x14ac:dyDescent="0.2">
      <c r="A5902" s="221">
        <v>2024</v>
      </c>
      <c r="B5902" s="221">
        <v>10</v>
      </c>
      <c r="C5902" s="221">
        <v>7</v>
      </c>
      <c r="D5902" s="221">
        <f t="shared" si="676"/>
        <v>45572</v>
      </c>
      <c r="E5902" s="233">
        <f t="shared" ref="E5902:E5908" si="678">DATE(A5902,B5902,C5902)</f>
        <v>45572</v>
      </c>
      <c r="F5902" s="478" t="s">
        <v>1593</v>
      </c>
      <c r="G5902" s="222" t="s">
        <v>86</v>
      </c>
      <c r="H5902" s="222"/>
      <c r="I5902" s="223"/>
      <c r="J5902" s="224" t="s">
        <v>80</v>
      </c>
      <c r="K5902" s="225">
        <v>1293637</v>
      </c>
      <c r="L5902" s="225"/>
    </row>
    <row r="5903" spans="1:12" ht="11.25" customHeight="1" x14ac:dyDescent="0.2">
      <c r="A5903" s="164">
        <v>2024</v>
      </c>
      <c r="B5903" s="164">
        <v>10</v>
      </c>
      <c r="C5903" s="164">
        <v>7</v>
      </c>
      <c r="D5903" s="164">
        <f t="shared" si="676"/>
        <v>45572</v>
      </c>
      <c r="E5903" s="235">
        <f t="shared" si="678"/>
        <v>45572</v>
      </c>
      <c r="F5903" s="480"/>
      <c r="G5903" s="208" t="s">
        <v>86</v>
      </c>
      <c r="H5903" s="208"/>
      <c r="J5903" s="165" t="s">
        <v>960</v>
      </c>
      <c r="K5903" s="205">
        <v>2328.5466000000001</v>
      </c>
      <c r="L5903" s="205"/>
    </row>
    <row r="5904" spans="1:12" ht="11.25" customHeight="1" x14ac:dyDescent="0.2">
      <c r="A5904" s="226">
        <v>2024</v>
      </c>
      <c r="B5904" s="226">
        <v>10</v>
      </c>
      <c r="C5904" s="226">
        <v>7</v>
      </c>
      <c r="D5904" s="226">
        <f t="shared" si="676"/>
        <v>45572</v>
      </c>
      <c r="E5904" s="234">
        <f t="shared" si="678"/>
        <v>45572</v>
      </c>
      <c r="F5904" s="479"/>
      <c r="G5904" s="227" t="s">
        <v>86</v>
      </c>
      <c r="H5904" s="227"/>
      <c r="I5904" s="228"/>
      <c r="J5904" s="229" t="s">
        <v>961</v>
      </c>
      <c r="K5904" s="294"/>
      <c r="L5904" s="230">
        <v>1295965.5466</v>
      </c>
    </row>
    <row r="5905" spans="1:12" ht="11.25" customHeight="1" x14ac:dyDescent="0.2">
      <c r="A5905" s="221">
        <v>2024</v>
      </c>
      <c r="B5905" s="221">
        <v>10</v>
      </c>
      <c r="C5905" s="231">
        <v>8</v>
      </c>
      <c r="D5905" s="231">
        <f t="shared" si="676"/>
        <v>45573</v>
      </c>
      <c r="E5905" s="233">
        <f t="shared" si="678"/>
        <v>45573</v>
      </c>
      <c r="F5905" s="478" t="s">
        <v>1753</v>
      </c>
      <c r="G5905" s="222" t="s">
        <v>1111</v>
      </c>
      <c r="H5905" s="223"/>
      <c r="I5905" s="223"/>
      <c r="J5905" s="224" t="s">
        <v>63</v>
      </c>
      <c r="K5905" s="225">
        <v>100</v>
      </c>
      <c r="L5905" s="225"/>
    </row>
    <row r="5906" spans="1:12" ht="11.25" customHeight="1" x14ac:dyDescent="0.2">
      <c r="A5906" s="226">
        <v>2024</v>
      </c>
      <c r="B5906" s="226">
        <v>10</v>
      </c>
      <c r="C5906" s="232">
        <v>8</v>
      </c>
      <c r="D5906" s="232">
        <f t="shared" si="676"/>
        <v>45573</v>
      </c>
      <c r="E5906" s="234">
        <f t="shared" si="678"/>
        <v>45573</v>
      </c>
      <c r="F5906" s="479"/>
      <c r="G5906" s="227" t="s">
        <v>1111</v>
      </c>
      <c r="H5906" s="228"/>
      <c r="I5906" s="228"/>
      <c r="J5906" s="229" t="s">
        <v>55</v>
      </c>
      <c r="K5906" s="230"/>
      <c r="L5906" s="230">
        <v>100</v>
      </c>
    </row>
    <row r="5907" spans="1:12" ht="11.25" customHeight="1" x14ac:dyDescent="0.2">
      <c r="A5907" s="221">
        <v>2024</v>
      </c>
      <c r="B5907" s="221">
        <v>10</v>
      </c>
      <c r="C5907" s="231">
        <v>8</v>
      </c>
      <c r="D5907" s="231">
        <f t="shared" si="676"/>
        <v>45573</v>
      </c>
      <c r="E5907" s="233">
        <f t="shared" si="678"/>
        <v>45573</v>
      </c>
      <c r="F5907" s="478" t="s">
        <v>1594</v>
      </c>
      <c r="G5907" s="222" t="s">
        <v>1111</v>
      </c>
      <c r="H5907" s="223"/>
      <c r="I5907" s="223"/>
      <c r="J5907" s="224" t="s">
        <v>961</v>
      </c>
      <c r="K5907" s="225">
        <v>1295965.55</v>
      </c>
      <c r="L5907" s="225"/>
    </row>
    <row r="5908" spans="1:12" ht="11.25" customHeight="1" x14ac:dyDescent="0.2">
      <c r="A5908" s="226">
        <v>2024</v>
      </c>
      <c r="B5908" s="226">
        <v>10</v>
      </c>
      <c r="C5908" s="232">
        <v>8</v>
      </c>
      <c r="D5908" s="232">
        <f t="shared" si="676"/>
        <v>45573</v>
      </c>
      <c r="E5908" s="234">
        <f t="shared" si="678"/>
        <v>45573</v>
      </c>
      <c r="F5908" s="479"/>
      <c r="G5908" s="227" t="s">
        <v>1111</v>
      </c>
      <c r="H5908" s="228"/>
      <c r="I5908" s="228"/>
      <c r="J5908" s="229" t="s">
        <v>55</v>
      </c>
      <c r="K5908" s="230"/>
      <c r="L5908" s="230">
        <v>1295965.55</v>
      </c>
    </row>
    <row r="5909" spans="1:12" ht="11.25" customHeight="1" x14ac:dyDescent="0.2">
      <c r="A5909" s="221">
        <v>2024</v>
      </c>
      <c r="B5909" s="221">
        <v>10</v>
      </c>
      <c r="C5909" s="221">
        <v>8</v>
      </c>
      <c r="D5909" s="221">
        <f t="shared" si="676"/>
        <v>45573</v>
      </c>
      <c r="E5909" s="233">
        <f t="shared" ref="E5909:E5913" si="679">DATE(A5909,B5909,C5909)</f>
        <v>45573</v>
      </c>
      <c r="F5909" s="478" t="s">
        <v>1784</v>
      </c>
      <c r="G5909" s="222" t="s">
        <v>86</v>
      </c>
      <c r="H5909" s="222"/>
      <c r="I5909" s="223"/>
      <c r="J5909" s="224" t="s">
        <v>80</v>
      </c>
      <c r="K5909" s="225">
        <v>2192435.7000000002</v>
      </c>
      <c r="L5909" s="225"/>
    </row>
    <row r="5910" spans="1:12" ht="11.25" customHeight="1" x14ac:dyDescent="0.2">
      <c r="A5910" s="164">
        <v>2024</v>
      </c>
      <c r="B5910" s="164">
        <v>10</v>
      </c>
      <c r="C5910" s="164">
        <v>8</v>
      </c>
      <c r="D5910" s="164">
        <f t="shared" si="676"/>
        <v>45573</v>
      </c>
      <c r="E5910" s="235">
        <f t="shared" si="679"/>
        <v>45573</v>
      </c>
      <c r="F5910" s="480"/>
      <c r="G5910" s="208" t="s">
        <v>86</v>
      </c>
      <c r="H5910" s="208"/>
      <c r="J5910" s="165" t="s">
        <v>960</v>
      </c>
      <c r="K5910" s="205">
        <v>3946.38</v>
      </c>
      <c r="L5910" s="205"/>
    </row>
    <row r="5911" spans="1:12" ht="11.25" customHeight="1" x14ac:dyDescent="0.2">
      <c r="A5911" s="226">
        <v>2024</v>
      </c>
      <c r="B5911" s="226">
        <v>10</v>
      </c>
      <c r="C5911" s="226">
        <v>8</v>
      </c>
      <c r="D5911" s="226">
        <f t="shared" si="676"/>
        <v>45573</v>
      </c>
      <c r="E5911" s="234">
        <f t="shared" si="679"/>
        <v>45573</v>
      </c>
      <c r="F5911" s="479"/>
      <c r="G5911" s="227" t="s">
        <v>86</v>
      </c>
      <c r="H5911" s="227"/>
      <c r="I5911" s="228"/>
      <c r="J5911" s="229" t="s">
        <v>961</v>
      </c>
      <c r="K5911" s="294"/>
      <c r="L5911" s="230">
        <v>2196382.08</v>
      </c>
    </row>
    <row r="5912" spans="1:12" ht="11.25" customHeight="1" x14ac:dyDescent="0.2">
      <c r="A5912" s="221">
        <v>2024</v>
      </c>
      <c r="B5912" s="221">
        <v>10</v>
      </c>
      <c r="C5912" s="231">
        <v>8</v>
      </c>
      <c r="D5912" s="231">
        <f t="shared" si="676"/>
        <v>45573</v>
      </c>
      <c r="E5912" s="233">
        <f t="shared" si="679"/>
        <v>45573</v>
      </c>
      <c r="F5912" s="478" t="s">
        <v>1670</v>
      </c>
      <c r="G5912" s="222" t="s">
        <v>1111</v>
      </c>
      <c r="H5912" s="223"/>
      <c r="I5912" s="223"/>
      <c r="J5912" s="224" t="s">
        <v>63</v>
      </c>
      <c r="K5912" s="225">
        <v>100</v>
      </c>
      <c r="L5912" s="225"/>
    </row>
    <row r="5913" spans="1:12" ht="11.25" customHeight="1" x14ac:dyDescent="0.2">
      <c r="A5913" s="226">
        <v>2024</v>
      </c>
      <c r="B5913" s="226">
        <v>10</v>
      </c>
      <c r="C5913" s="232">
        <v>8</v>
      </c>
      <c r="D5913" s="232">
        <f t="shared" si="676"/>
        <v>45573</v>
      </c>
      <c r="E5913" s="234">
        <f t="shared" si="679"/>
        <v>45573</v>
      </c>
      <c r="F5913" s="479"/>
      <c r="G5913" s="227" t="s">
        <v>1111</v>
      </c>
      <c r="H5913" s="228"/>
      <c r="I5913" s="228"/>
      <c r="J5913" s="229" t="s">
        <v>55</v>
      </c>
      <c r="K5913" s="230"/>
      <c r="L5913" s="230">
        <v>100</v>
      </c>
    </row>
    <row r="5914" spans="1:12" ht="11.25" customHeight="1" x14ac:dyDescent="0.2">
      <c r="A5914" s="221">
        <v>2024</v>
      </c>
      <c r="B5914" s="221">
        <v>10</v>
      </c>
      <c r="C5914" s="221">
        <v>9</v>
      </c>
      <c r="D5914" s="221">
        <f t="shared" si="676"/>
        <v>45574</v>
      </c>
      <c r="E5914" s="233">
        <f t="shared" ref="E5914:E5926" si="680">DATE(A5914,B5914,C5914)</f>
        <v>45574</v>
      </c>
      <c r="F5914" s="478" t="s">
        <v>1784</v>
      </c>
      <c r="G5914" s="222" t="s">
        <v>86</v>
      </c>
      <c r="H5914" s="222"/>
      <c r="I5914" s="223"/>
      <c r="J5914" s="224" t="s">
        <v>80</v>
      </c>
      <c r="K5914" s="225">
        <v>169050</v>
      </c>
      <c r="L5914" s="225"/>
    </row>
    <row r="5915" spans="1:12" ht="11.25" customHeight="1" x14ac:dyDescent="0.2">
      <c r="A5915" s="164">
        <v>2024</v>
      </c>
      <c r="B5915" s="164">
        <v>10</v>
      </c>
      <c r="C5915" s="164">
        <v>9</v>
      </c>
      <c r="D5915" s="164">
        <f t="shared" si="676"/>
        <v>45574</v>
      </c>
      <c r="E5915" s="235">
        <f t="shared" si="680"/>
        <v>45574</v>
      </c>
      <c r="F5915" s="480"/>
      <c r="G5915" s="208" t="s">
        <v>86</v>
      </c>
      <c r="H5915" s="208"/>
      <c r="J5915" s="165" t="s">
        <v>960</v>
      </c>
      <c r="K5915" s="205">
        <v>304.29000000000002</v>
      </c>
      <c r="L5915" s="205"/>
    </row>
    <row r="5916" spans="1:12" ht="11.25" customHeight="1" x14ac:dyDescent="0.2">
      <c r="A5916" s="226">
        <v>2024</v>
      </c>
      <c r="B5916" s="226">
        <v>10</v>
      </c>
      <c r="C5916" s="226">
        <v>9</v>
      </c>
      <c r="D5916" s="226">
        <f t="shared" si="676"/>
        <v>45574</v>
      </c>
      <c r="E5916" s="234">
        <f t="shared" si="680"/>
        <v>45574</v>
      </c>
      <c r="F5916" s="479"/>
      <c r="G5916" s="227" t="s">
        <v>86</v>
      </c>
      <c r="H5916" s="227"/>
      <c r="I5916" s="228"/>
      <c r="J5916" s="229" t="s">
        <v>961</v>
      </c>
      <c r="K5916" s="294"/>
      <c r="L5916" s="230">
        <v>169354.29</v>
      </c>
    </row>
    <row r="5917" spans="1:12" ht="11.25" customHeight="1" x14ac:dyDescent="0.2">
      <c r="A5917" s="221">
        <v>2024</v>
      </c>
      <c r="B5917" s="221">
        <v>10</v>
      </c>
      <c r="C5917" s="231">
        <v>9</v>
      </c>
      <c r="D5917" s="231">
        <f t="shared" si="676"/>
        <v>45574</v>
      </c>
      <c r="E5917" s="233">
        <f t="shared" si="680"/>
        <v>45574</v>
      </c>
      <c r="F5917" s="478" t="s">
        <v>1796</v>
      </c>
      <c r="G5917" s="222" t="s">
        <v>1111</v>
      </c>
      <c r="H5917" s="222"/>
      <c r="I5917" s="223"/>
      <c r="J5917" s="224" t="s">
        <v>1615</v>
      </c>
      <c r="K5917" s="357">
        <v>5003655</v>
      </c>
      <c r="L5917" s="225"/>
    </row>
    <row r="5918" spans="1:12" ht="11.25" customHeight="1" x14ac:dyDescent="0.2">
      <c r="A5918" s="226">
        <v>2024</v>
      </c>
      <c r="B5918" s="226">
        <v>10</v>
      </c>
      <c r="C5918" s="232">
        <v>9</v>
      </c>
      <c r="D5918" s="226">
        <f t="shared" si="676"/>
        <v>45574</v>
      </c>
      <c r="E5918" s="234">
        <f t="shared" si="680"/>
        <v>45574</v>
      </c>
      <c r="F5918" s="479"/>
      <c r="G5918" s="227" t="s">
        <v>1111</v>
      </c>
      <c r="H5918" s="227"/>
      <c r="I5918" s="228"/>
      <c r="J5918" s="229" t="s">
        <v>55</v>
      </c>
      <c r="K5918" s="294"/>
      <c r="L5918" s="230">
        <v>5003655</v>
      </c>
    </row>
    <row r="5919" spans="1:12" ht="11.25" customHeight="1" x14ac:dyDescent="0.2">
      <c r="A5919" s="280">
        <v>2024</v>
      </c>
      <c r="B5919" s="280">
        <v>10</v>
      </c>
      <c r="C5919" s="280">
        <v>9</v>
      </c>
      <c r="D5919" s="281">
        <f t="shared" si="676"/>
        <v>45574</v>
      </c>
      <c r="E5919" s="282">
        <f t="shared" si="680"/>
        <v>45574</v>
      </c>
      <c r="F5919" s="472" t="s">
        <v>1744</v>
      </c>
      <c r="G5919" s="283" t="s">
        <v>86</v>
      </c>
      <c r="H5919" s="284"/>
      <c r="I5919" s="284"/>
      <c r="J5919" s="285" t="s">
        <v>131</v>
      </c>
      <c r="K5919" s="286">
        <v>19358.333333333332</v>
      </c>
      <c r="L5919" s="286"/>
    </row>
    <row r="5920" spans="1:12" ht="11.25" customHeight="1" x14ac:dyDescent="0.2">
      <c r="A5920" s="287">
        <v>2024</v>
      </c>
      <c r="B5920" s="287">
        <v>10</v>
      </c>
      <c r="C5920" s="287">
        <v>9</v>
      </c>
      <c r="D5920" s="288">
        <f t="shared" si="676"/>
        <v>45574</v>
      </c>
      <c r="E5920" s="289">
        <f t="shared" si="680"/>
        <v>45574</v>
      </c>
      <c r="F5920" s="473"/>
      <c r="G5920" s="290" t="s">
        <v>86</v>
      </c>
      <c r="H5920" s="291"/>
      <c r="I5920" s="291"/>
      <c r="J5920" s="292" t="s">
        <v>174</v>
      </c>
      <c r="K5920" s="293"/>
      <c r="L5920" s="293">
        <v>19358.333333333332</v>
      </c>
    </row>
    <row r="5921" spans="1:13" ht="11.25" customHeight="1" x14ac:dyDescent="0.2">
      <c r="A5921" s="280">
        <v>2024</v>
      </c>
      <c r="B5921" s="280">
        <v>10</v>
      </c>
      <c r="C5921" s="280">
        <v>9</v>
      </c>
      <c r="D5921" s="281">
        <f t="shared" si="676"/>
        <v>45574</v>
      </c>
      <c r="E5921" s="282">
        <f t="shared" si="680"/>
        <v>45574</v>
      </c>
      <c r="F5921" s="472" t="s">
        <v>1584</v>
      </c>
      <c r="G5921" s="283" t="s">
        <v>86</v>
      </c>
      <c r="H5921" s="284"/>
      <c r="I5921" s="284"/>
      <c r="J5921" s="285" t="s">
        <v>131</v>
      </c>
      <c r="K5921" s="286">
        <v>8846.1538461538457</v>
      </c>
      <c r="L5921" s="286"/>
    </row>
    <row r="5922" spans="1:13" ht="11.25" customHeight="1" x14ac:dyDescent="0.2">
      <c r="A5922" s="287">
        <v>2024</v>
      </c>
      <c r="B5922" s="287">
        <v>10</v>
      </c>
      <c r="C5922" s="287">
        <v>9</v>
      </c>
      <c r="D5922" s="288">
        <f t="shared" si="676"/>
        <v>45574</v>
      </c>
      <c r="E5922" s="289">
        <f t="shared" si="680"/>
        <v>45574</v>
      </c>
      <c r="F5922" s="473"/>
      <c r="G5922" s="290" t="s">
        <v>86</v>
      </c>
      <c r="H5922" s="291"/>
      <c r="I5922" s="291"/>
      <c r="J5922" s="292" t="s">
        <v>174</v>
      </c>
      <c r="K5922" s="293"/>
      <c r="L5922" s="293">
        <v>8846.1538461538457</v>
      </c>
    </row>
    <row r="5923" spans="1:13" ht="11.25" customHeight="1" x14ac:dyDescent="0.2">
      <c r="A5923" s="280">
        <v>2024</v>
      </c>
      <c r="B5923" s="280">
        <v>10</v>
      </c>
      <c r="C5923" s="280">
        <v>9</v>
      </c>
      <c r="D5923" s="281">
        <f t="shared" si="676"/>
        <v>45574</v>
      </c>
      <c r="E5923" s="282">
        <f t="shared" si="680"/>
        <v>45574</v>
      </c>
      <c r="F5923" s="472" t="s">
        <v>1830</v>
      </c>
      <c r="G5923" s="283" t="s">
        <v>86</v>
      </c>
      <c r="H5923" s="284"/>
      <c r="I5923" s="284"/>
      <c r="J5923" s="285" t="s">
        <v>131</v>
      </c>
      <c r="K5923" s="286">
        <v>4653.8461538461543</v>
      </c>
      <c r="L5923" s="286"/>
    </row>
    <row r="5924" spans="1:13" ht="11.25" customHeight="1" x14ac:dyDescent="0.2">
      <c r="A5924" s="287">
        <v>2024</v>
      </c>
      <c r="B5924" s="287">
        <v>10</v>
      </c>
      <c r="C5924" s="287">
        <v>9</v>
      </c>
      <c r="D5924" s="288">
        <f t="shared" si="676"/>
        <v>45574</v>
      </c>
      <c r="E5924" s="289">
        <f t="shared" si="680"/>
        <v>45574</v>
      </c>
      <c r="F5924" s="473"/>
      <c r="G5924" s="290" t="s">
        <v>86</v>
      </c>
      <c r="H5924" s="291"/>
      <c r="I5924" s="291"/>
      <c r="J5924" s="292" t="s">
        <v>174</v>
      </c>
      <c r="K5924" s="293"/>
      <c r="L5924" s="293">
        <v>4653.8461538461543</v>
      </c>
    </row>
    <row r="5925" spans="1:13" ht="11.25" customHeight="1" x14ac:dyDescent="0.2">
      <c r="A5925" s="341">
        <v>2024</v>
      </c>
      <c r="B5925" s="341">
        <v>10</v>
      </c>
      <c r="C5925" s="341">
        <v>9</v>
      </c>
      <c r="D5925" s="328">
        <f t="shared" si="676"/>
        <v>45574</v>
      </c>
      <c r="E5925" s="329">
        <f t="shared" si="680"/>
        <v>45574</v>
      </c>
      <c r="F5925" s="474" t="s">
        <v>1767</v>
      </c>
      <c r="G5925" s="330" t="s">
        <v>86</v>
      </c>
      <c r="H5925" s="332"/>
      <c r="I5925" s="332"/>
      <c r="J5925" s="342" t="s">
        <v>67</v>
      </c>
      <c r="K5925" s="343">
        <v>19349.75</v>
      </c>
      <c r="L5925" s="343"/>
    </row>
    <row r="5926" spans="1:13" ht="11.25" customHeight="1" x14ac:dyDescent="0.2">
      <c r="A5926" s="344">
        <v>2024</v>
      </c>
      <c r="B5926" s="344">
        <v>10</v>
      </c>
      <c r="C5926" s="344">
        <v>9</v>
      </c>
      <c r="D5926" s="337">
        <f t="shared" si="676"/>
        <v>45574</v>
      </c>
      <c r="E5926" s="338">
        <f t="shared" si="680"/>
        <v>45574</v>
      </c>
      <c r="F5926" s="475"/>
      <c r="G5926" s="339" t="s">
        <v>86</v>
      </c>
      <c r="H5926" s="340"/>
      <c r="I5926" s="340"/>
      <c r="J5926" s="345" t="s">
        <v>174</v>
      </c>
      <c r="K5926" s="346"/>
      <c r="L5926" s="346">
        <f>K5925</f>
        <v>19349.75</v>
      </c>
    </row>
    <row r="5927" spans="1:13" ht="11.25" customHeight="1" x14ac:dyDescent="0.2">
      <c r="A5927" s="358">
        <v>2024</v>
      </c>
      <c r="B5927" s="358">
        <v>10</v>
      </c>
      <c r="C5927" s="358">
        <v>9</v>
      </c>
      <c r="D5927" s="312">
        <f t="shared" si="676"/>
        <v>45574</v>
      </c>
      <c r="E5927" s="313">
        <f>DATE(A5927,B5927,C5927)</f>
        <v>45574</v>
      </c>
      <c r="F5927" s="482" t="s">
        <v>1627</v>
      </c>
      <c r="G5927" s="314" t="s">
        <v>86</v>
      </c>
      <c r="H5927" s="324"/>
      <c r="I5927" s="324"/>
      <c r="J5927" s="364" t="s">
        <v>1621</v>
      </c>
      <c r="K5927" s="365">
        <v>44005</v>
      </c>
      <c r="L5927" s="365"/>
    </row>
    <row r="5928" spans="1:13" ht="11.25" customHeight="1" x14ac:dyDescent="0.2">
      <c r="A5928" s="320">
        <v>2024</v>
      </c>
      <c r="B5928" s="320">
        <v>10</v>
      </c>
      <c r="C5928" s="320">
        <v>9</v>
      </c>
      <c r="D5928" s="323">
        <f t="shared" si="676"/>
        <v>45574</v>
      </c>
      <c r="E5928" s="321">
        <f t="shared" ref="E5928" si="681">DATE(A5928,B5928,C5928)</f>
        <v>45574</v>
      </c>
      <c r="F5928" s="483"/>
      <c r="G5928" s="322" t="s">
        <v>86</v>
      </c>
      <c r="H5928" s="325"/>
      <c r="I5928" s="325"/>
      <c r="J5928" s="366" t="s">
        <v>1613</v>
      </c>
      <c r="K5928" s="367"/>
      <c r="L5928" s="367">
        <f>K5927</f>
        <v>44005</v>
      </c>
    </row>
    <row r="5929" spans="1:13" ht="11.25" customHeight="1" x14ac:dyDescent="0.2">
      <c r="A5929" s="358">
        <v>2024</v>
      </c>
      <c r="B5929" s="358">
        <v>10</v>
      </c>
      <c r="C5929" s="358">
        <v>9</v>
      </c>
      <c r="D5929" s="312">
        <f t="shared" si="676"/>
        <v>45574</v>
      </c>
      <c r="E5929" s="313">
        <f>DATE(A5929,B5929,C5929)</f>
        <v>45574</v>
      </c>
      <c r="F5929" s="482" t="s">
        <v>1713</v>
      </c>
      <c r="G5929" s="314" t="s">
        <v>86</v>
      </c>
      <c r="H5929" s="324"/>
      <c r="I5929" s="324"/>
      <c r="J5929" s="364" t="s">
        <v>1622</v>
      </c>
      <c r="K5929" s="365">
        <v>87147.269999999553</v>
      </c>
      <c r="L5929" s="365"/>
    </row>
    <row r="5930" spans="1:13" ht="11.25" customHeight="1" x14ac:dyDescent="0.2">
      <c r="A5930" s="320">
        <v>2024</v>
      </c>
      <c r="B5930" s="320">
        <v>10</v>
      </c>
      <c r="C5930" s="320">
        <v>9</v>
      </c>
      <c r="D5930" s="323">
        <f t="shared" si="676"/>
        <v>45574</v>
      </c>
      <c r="E5930" s="321">
        <f t="shared" ref="E5930:E5940" si="682">DATE(A5930,B5930,C5930)</f>
        <v>45574</v>
      </c>
      <c r="F5930" s="483"/>
      <c r="G5930" s="322" t="s">
        <v>86</v>
      </c>
      <c r="H5930" s="325"/>
      <c r="I5930" s="325"/>
      <c r="J5930" s="366" t="s">
        <v>1614</v>
      </c>
      <c r="K5930" s="367"/>
      <c r="L5930" s="367">
        <f>K5929</f>
        <v>87147.269999999553</v>
      </c>
    </row>
    <row r="5931" spans="1:13" ht="11.25" customHeight="1" x14ac:dyDescent="0.2">
      <c r="A5931" s="236">
        <v>2024</v>
      </c>
      <c r="B5931" s="236">
        <v>10</v>
      </c>
      <c r="C5931" s="236">
        <v>9</v>
      </c>
      <c r="D5931" s="237">
        <f t="shared" si="676"/>
        <v>45574</v>
      </c>
      <c r="E5931" s="238">
        <f t="shared" si="682"/>
        <v>45574</v>
      </c>
      <c r="F5931" s="476" t="s">
        <v>1118</v>
      </c>
      <c r="G5931" s="239" t="s">
        <v>86</v>
      </c>
      <c r="H5931" s="239"/>
      <c r="I5931" s="240"/>
      <c r="J5931" s="241" t="s">
        <v>82</v>
      </c>
      <c r="K5931" s="242">
        <v>731143.98000001907</v>
      </c>
      <c r="L5931" s="242"/>
    </row>
    <row r="5932" spans="1:13" ht="11.25" customHeight="1" x14ac:dyDescent="0.2">
      <c r="A5932" s="243">
        <v>2024</v>
      </c>
      <c r="B5932" s="243">
        <v>10</v>
      </c>
      <c r="C5932" s="243">
        <v>9</v>
      </c>
      <c r="D5932" s="248">
        <f t="shared" si="676"/>
        <v>45574</v>
      </c>
      <c r="E5932" s="249">
        <f t="shared" si="682"/>
        <v>45574</v>
      </c>
      <c r="F5932" s="477"/>
      <c r="G5932" s="244" t="s">
        <v>86</v>
      </c>
      <c r="H5932" s="244"/>
      <c r="I5932" s="245"/>
      <c r="J5932" s="246" t="s">
        <v>98</v>
      </c>
      <c r="K5932" s="247"/>
      <c r="L5932" s="247">
        <f>K5931</f>
        <v>731143.98000001907</v>
      </c>
    </row>
    <row r="5933" spans="1:13" ht="11.25" customHeight="1" x14ac:dyDescent="0.2">
      <c r="A5933" s="236">
        <v>2024</v>
      </c>
      <c r="B5933" s="236">
        <v>10</v>
      </c>
      <c r="C5933" s="236">
        <v>9</v>
      </c>
      <c r="D5933" s="237">
        <f t="shared" si="676"/>
        <v>45574</v>
      </c>
      <c r="E5933" s="238">
        <f t="shared" si="682"/>
        <v>45574</v>
      </c>
      <c r="F5933" s="476" t="s">
        <v>1120</v>
      </c>
      <c r="G5933" s="239" t="s">
        <v>86</v>
      </c>
      <c r="H5933" s="239"/>
      <c r="I5933" s="240"/>
      <c r="J5933" s="241" t="s">
        <v>87</v>
      </c>
      <c r="K5933" s="242">
        <v>2747.2527472527472</v>
      </c>
      <c r="L5933" s="242"/>
    </row>
    <row r="5934" spans="1:13" ht="11.25" customHeight="1" x14ac:dyDescent="0.2">
      <c r="A5934" s="243">
        <v>2024</v>
      </c>
      <c r="B5934" s="243">
        <v>10</v>
      </c>
      <c r="C5934" s="243">
        <v>9</v>
      </c>
      <c r="D5934" s="248">
        <f t="shared" si="676"/>
        <v>45574</v>
      </c>
      <c r="E5934" s="249">
        <f t="shared" si="682"/>
        <v>45574</v>
      </c>
      <c r="F5934" s="477"/>
      <c r="G5934" s="244" t="s">
        <v>86</v>
      </c>
      <c r="H5934" s="244"/>
      <c r="I5934" s="245"/>
      <c r="J5934" s="246" t="s">
        <v>64</v>
      </c>
      <c r="K5934" s="247"/>
      <c r="L5934" s="247">
        <v>2747.2527472527472</v>
      </c>
    </row>
    <row r="5935" spans="1:13" ht="11.25" customHeight="1" x14ac:dyDescent="0.2">
      <c r="A5935" s="236">
        <v>2024</v>
      </c>
      <c r="B5935" s="236">
        <v>10</v>
      </c>
      <c r="C5935" s="236">
        <v>9</v>
      </c>
      <c r="D5935" s="237">
        <f t="shared" si="676"/>
        <v>45574</v>
      </c>
      <c r="E5935" s="238">
        <f t="shared" si="682"/>
        <v>45574</v>
      </c>
      <c r="F5935" s="476" t="s">
        <v>1121</v>
      </c>
      <c r="G5935" s="239" t="s">
        <v>86</v>
      </c>
      <c r="H5935" s="239"/>
      <c r="I5935" s="240"/>
      <c r="J5935" s="241" t="s">
        <v>89</v>
      </c>
      <c r="K5935" s="242">
        <f>M5935</f>
        <v>70962.340620176154</v>
      </c>
      <c r="L5935" s="242"/>
      <c r="M5935" s="156">
        <v>70962.340620176154</v>
      </c>
    </row>
    <row r="5936" spans="1:13" ht="11.25" customHeight="1" x14ac:dyDescent="0.2">
      <c r="A5936" s="243">
        <v>2024</v>
      </c>
      <c r="B5936" s="243">
        <v>10</v>
      </c>
      <c r="C5936" s="243">
        <v>9</v>
      </c>
      <c r="D5936" s="248">
        <f t="shared" si="676"/>
        <v>45574</v>
      </c>
      <c r="E5936" s="249">
        <f t="shared" si="682"/>
        <v>45574</v>
      </c>
      <c r="F5936" s="477"/>
      <c r="G5936" s="244" t="s">
        <v>86</v>
      </c>
      <c r="H5936" s="244"/>
      <c r="I5936" s="245"/>
      <c r="J5936" s="246" t="s">
        <v>50</v>
      </c>
      <c r="K5936" s="247"/>
      <c r="L5936" s="247">
        <f>K5935</f>
        <v>70962.340620176154</v>
      </c>
      <c r="M5936" s="156">
        <v>3307.7324156241925</v>
      </c>
    </row>
    <row r="5937" spans="1:13" ht="11.25" customHeight="1" x14ac:dyDescent="0.2">
      <c r="A5937" s="236">
        <v>2024</v>
      </c>
      <c r="B5937" s="236">
        <v>10</v>
      </c>
      <c r="C5937" s="236">
        <v>9</v>
      </c>
      <c r="D5937" s="237">
        <f t="shared" si="676"/>
        <v>45574</v>
      </c>
      <c r="E5937" s="238">
        <f t="shared" si="682"/>
        <v>45574</v>
      </c>
      <c r="F5937" s="476" t="s">
        <v>1122</v>
      </c>
      <c r="G5937" s="239" t="s">
        <v>86</v>
      </c>
      <c r="H5937" s="239"/>
      <c r="I5937" s="240"/>
      <c r="J5937" s="241" t="s">
        <v>91</v>
      </c>
      <c r="K5937" s="242">
        <f>M5936</f>
        <v>3307.7324156241925</v>
      </c>
      <c r="L5937" s="242"/>
    </row>
    <row r="5938" spans="1:13" ht="11.25" customHeight="1" x14ac:dyDescent="0.2">
      <c r="A5938" s="243">
        <v>2024</v>
      </c>
      <c r="B5938" s="243">
        <v>10</v>
      </c>
      <c r="C5938" s="243">
        <v>9</v>
      </c>
      <c r="D5938" s="248">
        <f t="shared" si="676"/>
        <v>45574</v>
      </c>
      <c r="E5938" s="249">
        <f t="shared" si="682"/>
        <v>45574</v>
      </c>
      <c r="F5938" s="477"/>
      <c r="G5938" s="244" t="s">
        <v>86</v>
      </c>
      <c r="H5938" s="244"/>
      <c r="I5938" s="245"/>
      <c r="J5938" s="246" t="s">
        <v>51</v>
      </c>
      <c r="K5938" s="247"/>
      <c r="L5938" s="247">
        <f>K5937</f>
        <v>3307.7324156241925</v>
      </c>
    </row>
    <row r="5939" spans="1:13" ht="11.25" customHeight="1" x14ac:dyDescent="0.2">
      <c r="A5939" s="221">
        <v>2024</v>
      </c>
      <c r="B5939" s="221">
        <v>10</v>
      </c>
      <c r="C5939" s="231">
        <v>15</v>
      </c>
      <c r="D5939" s="231">
        <f t="shared" si="676"/>
        <v>45580</v>
      </c>
      <c r="E5939" s="233">
        <f t="shared" si="682"/>
        <v>45580</v>
      </c>
      <c r="F5939" s="478" t="s">
        <v>1786</v>
      </c>
      <c r="G5939" s="222" t="s">
        <v>1111</v>
      </c>
      <c r="H5939" s="223"/>
      <c r="I5939" s="223"/>
      <c r="J5939" s="224" t="s">
        <v>961</v>
      </c>
      <c r="K5939" s="225">
        <v>2196382.08</v>
      </c>
      <c r="L5939" s="225"/>
    </row>
    <row r="5940" spans="1:13" ht="11.25" customHeight="1" x14ac:dyDescent="0.2">
      <c r="A5940" s="226">
        <v>2024</v>
      </c>
      <c r="B5940" s="226">
        <v>10</v>
      </c>
      <c r="C5940" s="232">
        <v>15</v>
      </c>
      <c r="D5940" s="232">
        <f t="shared" si="676"/>
        <v>45580</v>
      </c>
      <c r="E5940" s="234">
        <f t="shared" si="682"/>
        <v>45580</v>
      </c>
      <c r="F5940" s="479"/>
      <c r="G5940" s="227" t="s">
        <v>1111</v>
      </c>
      <c r="H5940" s="228"/>
      <c r="I5940" s="228"/>
      <c r="J5940" s="229" t="s">
        <v>55</v>
      </c>
      <c r="K5940" s="230"/>
      <c r="L5940" s="230">
        <v>2196382.08</v>
      </c>
    </row>
    <row r="5941" spans="1:13" ht="11.25" customHeight="1" x14ac:dyDescent="0.2">
      <c r="A5941" s="221">
        <v>2024</v>
      </c>
      <c r="B5941" s="221">
        <v>10</v>
      </c>
      <c r="C5941" s="231">
        <v>15</v>
      </c>
      <c r="D5941" s="231">
        <f t="shared" si="676"/>
        <v>45580</v>
      </c>
      <c r="E5941" s="233">
        <f t="shared" ref="E5941:E5966" si="683">DATE(A5941,B5941,C5941)</f>
        <v>45580</v>
      </c>
      <c r="F5941" s="478" t="s">
        <v>1786</v>
      </c>
      <c r="G5941" s="222" t="s">
        <v>1111</v>
      </c>
      <c r="H5941" s="223"/>
      <c r="I5941" s="223"/>
      <c r="J5941" s="224" t="s">
        <v>961</v>
      </c>
      <c r="K5941" s="225">
        <v>169354.29</v>
      </c>
      <c r="L5941" s="225"/>
    </row>
    <row r="5942" spans="1:13" ht="11.25" customHeight="1" x14ac:dyDescent="0.2">
      <c r="A5942" s="226">
        <v>2024</v>
      </c>
      <c r="B5942" s="226">
        <v>10</v>
      </c>
      <c r="C5942" s="232">
        <v>15</v>
      </c>
      <c r="D5942" s="232">
        <f t="shared" si="676"/>
        <v>45580</v>
      </c>
      <c r="E5942" s="234">
        <f t="shared" si="683"/>
        <v>45580</v>
      </c>
      <c r="F5942" s="479"/>
      <c r="G5942" s="227" t="s">
        <v>1111</v>
      </c>
      <c r="H5942" s="228"/>
      <c r="I5942" s="228"/>
      <c r="J5942" s="229" t="s">
        <v>55</v>
      </c>
      <c r="K5942" s="230"/>
      <c r="L5942" s="230">
        <v>169354.29</v>
      </c>
    </row>
    <row r="5943" spans="1:13" ht="11.25" customHeight="1" x14ac:dyDescent="0.2">
      <c r="A5943" s="221">
        <v>2024</v>
      </c>
      <c r="B5943" s="221">
        <v>10</v>
      </c>
      <c r="C5943" s="231">
        <v>15</v>
      </c>
      <c r="D5943" s="231">
        <f t="shared" si="676"/>
        <v>45580</v>
      </c>
      <c r="E5943" s="233">
        <f t="shared" si="683"/>
        <v>45580</v>
      </c>
      <c r="F5943" s="478" t="s">
        <v>1670</v>
      </c>
      <c r="G5943" s="222" t="s">
        <v>1111</v>
      </c>
      <c r="H5943" s="223"/>
      <c r="I5943" s="223"/>
      <c r="J5943" s="224" t="s">
        <v>63</v>
      </c>
      <c r="K5943" s="225">
        <v>58</v>
      </c>
      <c r="L5943" s="225"/>
    </row>
    <row r="5944" spans="1:13" ht="11.25" customHeight="1" x14ac:dyDescent="0.2">
      <c r="A5944" s="226">
        <v>2024</v>
      </c>
      <c r="B5944" s="226">
        <v>10</v>
      </c>
      <c r="C5944" s="232">
        <v>15</v>
      </c>
      <c r="D5944" s="232">
        <f t="shared" si="676"/>
        <v>45580</v>
      </c>
      <c r="E5944" s="234">
        <f t="shared" si="683"/>
        <v>45580</v>
      </c>
      <c r="F5944" s="479"/>
      <c r="G5944" s="227" t="s">
        <v>1111</v>
      </c>
      <c r="H5944" s="228"/>
      <c r="I5944" s="228"/>
      <c r="J5944" s="229" t="s">
        <v>55</v>
      </c>
      <c r="K5944" s="230"/>
      <c r="L5944" s="230">
        <v>58</v>
      </c>
    </row>
    <row r="5945" spans="1:13" ht="11.25" customHeight="1" x14ac:dyDescent="0.2">
      <c r="A5945" s="221">
        <v>2024</v>
      </c>
      <c r="B5945" s="221">
        <v>10</v>
      </c>
      <c r="C5945" s="221">
        <v>16</v>
      </c>
      <c r="D5945" s="221">
        <f t="shared" si="676"/>
        <v>45581</v>
      </c>
      <c r="E5945" s="233">
        <f t="shared" si="683"/>
        <v>45581</v>
      </c>
      <c r="F5945" s="478" t="s">
        <v>1798</v>
      </c>
      <c r="G5945" s="222" t="s">
        <v>86</v>
      </c>
      <c r="H5945" s="222"/>
      <c r="I5945" s="223"/>
      <c r="J5945" s="165" t="s">
        <v>199</v>
      </c>
      <c r="K5945" s="225">
        <v>575571.69999999995</v>
      </c>
      <c r="L5945" s="225"/>
    </row>
    <row r="5946" spans="1:13" ht="11.25" customHeight="1" x14ac:dyDescent="0.2">
      <c r="A5946" s="164">
        <v>2024</v>
      </c>
      <c r="B5946" s="164">
        <v>10</v>
      </c>
      <c r="C5946" s="164">
        <v>16</v>
      </c>
      <c r="D5946" s="164">
        <f t="shared" si="676"/>
        <v>45581</v>
      </c>
      <c r="E5946" s="235">
        <f t="shared" si="683"/>
        <v>45581</v>
      </c>
      <c r="F5946" s="480"/>
      <c r="G5946" s="208" t="s">
        <v>86</v>
      </c>
      <c r="H5946" s="208"/>
      <c r="J5946" s="165" t="s">
        <v>960</v>
      </c>
      <c r="K5946" s="205">
        <v>1037.9010018348695</v>
      </c>
      <c r="L5946" s="205"/>
      <c r="M5946" s="401"/>
    </row>
    <row r="5947" spans="1:13" ht="11.25" customHeight="1" x14ac:dyDescent="0.2">
      <c r="A5947" s="164">
        <v>2024</v>
      </c>
      <c r="B5947" s="164">
        <v>10</v>
      </c>
      <c r="C5947" s="164">
        <v>16</v>
      </c>
      <c r="D5947" s="164">
        <f t="shared" si="676"/>
        <v>45581</v>
      </c>
      <c r="E5947" s="235">
        <f t="shared" si="683"/>
        <v>45581</v>
      </c>
      <c r="F5947" s="480"/>
      <c r="G5947" s="208" t="s">
        <v>86</v>
      </c>
      <c r="H5947" s="208"/>
      <c r="J5947" s="165" t="s">
        <v>200</v>
      </c>
      <c r="K5947" s="205"/>
      <c r="L5947" s="205">
        <v>137056.03</v>
      </c>
    </row>
    <row r="5948" spans="1:13" ht="11.25" customHeight="1" x14ac:dyDescent="0.2">
      <c r="A5948" s="226">
        <v>2024</v>
      </c>
      <c r="B5948" s="226">
        <v>10</v>
      </c>
      <c r="C5948" s="226">
        <v>16</v>
      </c>
      <c r="D5948" s="226">
        <f t="shared" si="676"/>
        <v>45581</v>
      </c>
      <c r="E5948" s="234">
        <f t="shared" si="683"/>
        <v>45581</v>
      </c>
      <c r="F5948" s="479"/>
      <c r="G5948" s="227" t="s">
        <v>86</v>
      </c>
      <c r="H5948" s="228"/>
      <c r="I5948" s="228"/>
      <c r="J5948" s="229" t="s">
        <v>80</v>
      </c>
      <c r="K5948" s="230"/>
      <c r="L5948" s="230">
        <v>439553.57</v>
      </c>
    </row>
    <row r="5949" spans="1:13" ht="11.25" customHeight="1" x14ac:dyDescent="0.2">
      <c r="A5949" s="221">
        <v>2024</v>
      </c>
      <c r="B5949" s="221">
        <v>10</v>
      </c>
      <c r="C5949" s="221">
        <v>17</v>
      </c>
      <c r="D5949" s="231">
        <f t="shared" si="676"/>
        <v>45582</v>
      </c>
      <c r="E5949" s="233">
        <f t="shared" si="683"/>
        <v>45582</v>
      </c>
      <c r="F5949" s="478" t="s">
        <v>1797</v>
      </c>
      <c r="G5949" s="222" t="s">
        <v>1111</v>
      </c>
      <c r="H5949" s="222"/>
      <c r="I5949" s="223"/>
      <c r="J5949" s="224" t="s">
        <v>55</v>
      </c>
      <c r="K5949" s="357">
        <v>6332411.4749999996</v>
      </c>
      <c r="L5949" s="225"/>
    </row>
    <row r="5950" spans="1:13" ht="11.25" customHeight="1" x14ac:dyDescent="0.2">
      <c r="A5950" s="164">
        <v>2024</v>
      </c>
      <c r="B5950" s="164">
        <v>10</v>
      </c>
      <c r="C5950" s="164">
        <v>17</v>
      </c>
      <c r="D5950" s="156">
        <f t="shared" si="676"/>
        <v>45582</v>
      </c>
      <c r="E5950" s="235">
        <f t="shared" si="683"/>
        <v>45582</v>
      </c>
      <c r="F5950" s="480"/>
      <c r="G5950" s="208" t="s">
        <v>1111</v>
      </c>
      <c r="H5950" s="208"/>
      <c r="J5950" s="165" t="s">
        <v>1618</v>
      </c>
      <c r="K5950" s="263"/>
      <c r="L5950" s="205">
        <v>148975.86294117663</v>
      </c>
    </row>
    <row r="5951" spans="1:13" ht="11.25" customHeight="1" x14ac:dyDescent="0.2">
      <c r="A5951" s="226">
        <v>2024</v>
      </c>
      <c r="B5951" s="226">
        <v>10</v>
      </c>
      <c r="C5951" s="226">
        <v>17</v>
      </c>
      <c r="D5951" s="232">
        <f t="shared" si="676"/>
        <v>45582</v>
      </c>
      <c r="E5951" s="234">
        <f t="shared" si="683"/>
        <v>45582</v>
      </c>
      <c r="F5951" s="479"/>
      <c r="G5951" s="227" t="s">
        <v>1111</v>
      </c>
      <c r="H5951" s="227"/>
      <c r="I5951" s="228"/>
      <c r="J5951" s="229" t="s">
        <v>1615</v>
      </c>
      <c r="K5951" s="294"/>
      <c r="L5951" s="230">
        <v>6183435.612058823</v>
      </c>
    </row>
    <row r="5952" spans="1:13" ht="11.25" customHeight="1" x14ac:dyDescent="0.2">
      <c r="A5952" s="221">
        <v>2024</v>
      </c>
      <c r="B5952" s="221">
        <v>10</v>
      </c>
      <c r="C5952" s="221">
        <v>17</v>
      </c>
      <c r="D5952" s="231">
        <f t="shared" si="676"/>
        <v>45582</v>
      </c>
      <c r="E5952" s="233">
        <f t="shared" si="683"/>
        <v>45582</v>
      </c>
      <c r="F5952" s="478" t="s">
        <v>1115</v>
      </c>
      <c r="G5952" s="222" t="s">
        <v>1111</v>
      </c>
      <c r="H5952" s="223"/>
      <c r="I5952" s="223" t="s">
        <v>822</v>
      </c>
      <c r="J5952" s="224" t="s">
        <v>14</v>
      </c>
      <c r="K5952" s="167">
        <v>3000000</v>
      </c>
      <c r="L5952" s="225"/>
    </row>
    <row r="5953" spans="1:12" ht="11.25" customHeight="1" x14ac:dyDescent="0.2">
      <c r="A5953" s="164">
        <v>2024</v>
      </c>
      <c r="B5953" s="164">
        <v>10</v>
      </c>
      <c r="C5953" s="164">
        <v>17</v>
      </c>
      <c r="D5953" s="156">
        <f t="shared" si="676"/>
        <v>45582</v>
      </c>
      <c r="E5953" s="235">
        <f t="shared" si="683"/>
        <v>45582</v>
      </c>
      <c r="F5953" s="480"/>
      <c r="G5953" s="208" t="s">
        <v>1111</v>
      </c>
      <c r="I5953" s="206" t="s">
        <v>822</v>
      </c>
      <c r="J5953" s="165" t="s">
        <v>1112</v>
      </c>
      <c r="K5953" s="205">
        <v>248400</v>
      </c>
      <c r="L5953" s="156"/>
    </row>
    <row r="5954" spans="1:12" ht="11.25" customHeight="1" x14ac:dyDescent="0.2">
      <c r="A5954" s="226">
        <v>2024</v>
      </c>
      <c r="B5954" s="226">
        <v>10</v>
      </c>
      <c r="C5954" s="226">
        <v>17</v>
      </c>
      <c r="D5954" s="232">
        <f t="shared" si="676"/>
        <v>45582</v>
      </c>
      <c r="E5954" s="234">
        <f t="shared" si="683"/>
        <v>45582</v>
      </c>
      <c r="F5954" s="479"/>
      <c r="G5954" s="227" t="s">
        <v>1111</v>
      </c>
      <c r="H5954" s="228"/>
      <c r="I5954" s="228" t="s">
        <v>822</v>
      </c>
      <c r="J5954" s="229" t="s">
        <v>55</v>
      </c>
      <c r="K5954" s="230"/>
      <c r="L5954" s="230">
        <v>3248400</v>
      </c>
    </row>
    <row r="5955" spans="1:12" ht="11.25" customHeight="1" x14ac:dyDescent="0.2">
      <c r="A5955" s="221">
        <v>2024</v>
      </c>
      <c r="B5955" s="221">
        <v>10</v>
      </c>
      <c r="C5955" s="231">
        <v>17</v>
      </c>
      <c r="D5955" s="231">
        <f t="shared" si="676"/>
        <v>45582</v>
      </c>
      <c r="E5955" s="233">
        <f t="shared" ref="E5955:E5958" si="684">DATE(A5955,B5955,C5955)</f>
        <v>45582</v>
      </c>
      <c r="F5955" s="478" t="s">
        <v>1670</v>
      </c>
      <c r="G5955" s="222" t="s">
        <v>1111</v>
      </c>
      <c r="H5955" s="223"/>
      <c r="I5955" s="223"/>
      <c r="J5955" s="224" t="s">
        <v>63</v>
      </c>
      <c r="K5955" s="225">
        <v>100</v>
      </c>
      <c r="L5955" s="225"/>
    </row>
    <row r="5956" spans="1:12" ht="11.25" customHeight="1" x14ac:dyDescent="0.2">
      <c r="A5956" s="226">
        <v>2024</v>
      </c>
      <c r="B5956" s="226">
        <v>10</v>
      </c>
      <c r="C5956" s="232">
        <v>17</v>
      </c>
      <c r="D5956" s="232">
        <f t="shared" si="676"/>
        <v>45582</v>
      </c>
      <c r="E5956" s="234">
        <f t="shared" si="684"/>
        <v>45582</v>
      </c>
      <c r="F5956" s="479"/>
      <c r="G5956" s="227" t="s">
        <v>1111</v>
      </c>
      <c r="H5956" s="228"/>
      <c r="I5956" s="228"/>
      <c r="J5956" s="229" t="s">
        <v>55</v>
      </c>
      <c r="K5956" s="230"/>
      <c r="L5956" s="230">
        <v>100</v>
      </c>
    </row>
    <row r="5957" spans="1:12" ht="11.25" customHeight="1" x14ac:dyDescent="0.2">
      <c r="A5957" s="221">
        <v>2024</v>
      </c>
      <c r="B5957" s="221">
        <v>10</v>
      </c>
      <c r="C5957" s="231">
        <v>17</v>
      </c>
      <c r="D5957" s="231">
        <f t="shared" si="676"/>
        <v>45582</v>
      </c>
      <c r="E5957" s="233">
        <f t="shared" si="684"/>
        <v>45582</v>
      </c>
      <c r="F5957" s="478" t="s">
        <v>1753</v>
      </c>
      <c r="G5957" s="222" t="s">
        <v>1111</v>
      </c>
      <c r="H5957" s="223"/>
      <c r="I5957" s="223"/>
      <c r="J5957" s="224" t="s">
        <v>63</v>
      </c>
      <c r="K5957" s="225">
        <v>100</v>
      </c>
      <c r="L5957" s="225"/>
    </row>
    <row r="5958" spans="1:12" ht="11.25" customHeight="1" x14ac:dyDescent="0.2">
      <c r="A5958" s="226">
        <v>2024</v>
      </c>
      <c r="B5958" s="226">
        <v>10</v>
      </c>
      <c r="C5958" s="232">
        <v>17</v>
      </c>
      <c r="D5958" s="232">
        <f t="shared" si="676"/>
        <v>45582</v>
      </c>
      <c r="E5958" s="234">
        <f t="shared" si="684"/>
        <v>45582</v>
      </c>
      <c r="F5958" s="479"/>
      <c r="G5958" s="227" t="s">
        <v>1111</v>
      </c>
      <c r="H5958" s="228"/>
      <c r="I5958" s="228"/>
      <c r="J5958" s="229" t="s">
        <v>55</v>
      </c>
      <c r="K5958" s="230"/>
      <c r="L5958" s="230">
        <v>100</v>
      </c>
    </row>
    <row r="5959" spans="1:12" ht="11.25" customHeight="1" x14ac:dyDescent="0.2">
      <c r="A5959" s="280">
        <v>2024</v>
      </c>
      <c r="B5959" s="280">
        <v>10</v>
      </c>
      <c r="C5959" s="280">
        <v>17</v>
      </c>
      <c r="D5959" s="281">
        <f t="shared" si="676"/>
        <v>45582</v>
      </c>
      <c r="E5959" s="282">
        <f t="shared" si="683"/>
        <v>45582</v>
      </c>
      <c r="F5959" s="472" t="s">
        <v>1744</v>
      </c>
      <c r="G5959" s="283" t="s">
        <v>86</v>
      </c>
      <c r="H5959" s="284"/>
      <c r="I5959" s="284"/>
      <c r="J5959" s="285" t="s">
        <v>131</v>
      </c>
      <c r="K5959" s="286">
        <v>19358.333333333332</v>
      </c>
      <c r="L5959" s="286"/>
    </row>
    <row r="5960" spans="1:12" ht="11.25" customHeight="1" x14ac:dyDescent="0.2">
      <c r="A5960" s="287">
        <v>2024</v>
      </c>
      <c r="B5960" s="287">
        <v>10</v>
      </c>
      <c r="C5960" s="287">
        <v>17</v>
      </c>
      <c r="D5960" s="288">
        <f t="shared" si="676"/>
        <v>45582</v>
      </c>
      <c r="E5960" s="289">
        <f t="shared" si="683"/>
        <v>45582</v>
      </c>
      <c r="F5960" s="473"/>
      <c r="G5960" s="290" t="s">
        <v>86</v>
      </c>
      <c r="H5960" s="291"/>
      <c r="I5960" s="291"/>
      <c r="J5960" s="292" t="s">
        <v>174</v>
      </c>
      <c r="K5960" s="293"/>
      <c r="L5960" s="293">
        <v>19358.333333333332</v>
      </c>
    </row>
    <row r="5961" spans="1:12" ht="11.25" customHeight="1" x14ac:dyDescent="0.2">
      <c r="A5961" s="280">
        <v>2024</v>
      </c>
      <c r="B5961" s="280">
        <v>10</v>
      </c>
      <c r="C5961" s="280">
        <v>17</v>
      </c>
      <c r="D5961" s="281">
        <f t="shared" ref="D5961:D6024" si="685">DATE(A5961,B5961,C5961)</f>
        <v>45582</v>
      </c>
      <c r="E5961" s="282">
        <f t="shared" si="683"/>
        <v>45582</v>
      </c>
      <c r="F5961" s="472" t="s">
        <v>1584</v>
      </c>
      <c r="G5961" s="283" t="s">
        <v>86</v>
      </c>
      <c r="H5961" s="284"/>
      <c r="I5961" s="284"/>
      <c r="J5961" s="285" t="s">
        <v>131</v>
      </c>
      <c r="K5961" s="286">
        <v>8846.1538461538457</v>
      </c>
      <c r="L5961" s="286"/>
    </row>
    <row r="5962" spans="1:12" ht="11.25" customHeight="1" x14ac:dyDescent="0.2">
      <c r="A5962" s="287">
        <v>2024</v>
      </c>
      <c r="B5962" s="287">
        <v>10</v>
      </c>
      <c r="C5962" s="287">
        <v>17</v>
      </c>
      <c r="D5962" s="288">
        <f t="shared" si="685"/>
        <v>45582</v>
      </c>
      <c r="E5962" s="289">
        <f t="shared" si="683"/>
        <v>45582</v>
      </c>
      <c r="F5962" s="473"/>
      <c r="G5962" s="290" t="s">
        <v>86</v>
      </c>
      <c r="H5962" s="291"/>
      <c r="I5962" s="291"/>
      <c r="J5962" s="292" t="s">
        <v>174</v>
      </c>
      <c r="K5962" s="293"/>
      <c r="L5962" s="293">
        <v>8846.1538461538457</v>
      </c>
    </row>
    <row r="5963" spans="1:12" ht="11.25" customHeight="1" x14ac:dyDescent="0.2">
      <c r="A5963" s="280">
        <v>2024</v>
      </c>
      <c r="B5963" s="280">
        <v>10</v>
      </c>
      <c r="C5963" s="280">
        <v>17</v>
      </c>
      <c r="D5963" s="281">
        <f t="shared" si="685"/>
        <v>45582</v>
      </c>
      <c r="E5963" s="282">
        <f t="shared" si="683"/>
        <v>45582</v>
      </c>
      <c r="F5963" s="472" t="s">
        <v>1830</v>
      </c>
      <c r="G5963" s="283" t="s">
        <v>86</v>
      </c>
      <c r="H5963" s="284"/>
      <c r="I5963" s="284"/>
      <c r="J5963" s="285" t="s">
        <v>131</v>
      </c>
      <c r="K5963" s="286">
        <v>4653.8461538461543</v>
      </c>
      <c r="L5963" s="286"/>
    </row>
    <row r="5964" spans="1:12" ht="11.25" customHeight="1" x14ac:dyDescent="0.2">
      <c r="A5964" s="287">
        <v>2024</v>
      </c>
      <c r="B5964" s="287">
        <v>10</v>
      </c>
      <c r="C5964" s="287">
        <v>17</v>
      </c>
      <c r="D5964" s="288">
        <f t="shared" si="685"/>
        <v>45582</v>
      </c>
      <c r="E5964" s="289">
        <f t="shared" si="683"/>
        <v>45582</v>
      </c>
      <c r="F5964" s="473"/>
      <c r="G5964" s="290" t="s">
        <v>86</v>
      </c>
      <c r="H5964" s="291"/>
      <c r="I5964" s="291"/>
      <c r="J5964" s="292" t="s">
        <v>174</v>
      </c>
      <c r="K5964" s="293"/>
      <c r="L5964" s="293">
        <v>4653.8461538461543</v>
      </c>
    </row>
    <row r="5965" spans="1:12" ht="11.25" customHeight="1" x14ac:dyDescent="0.2">
      <c r="A5965" s="341">
        <v>2024</v>
      </c>
      <c r="B5965" s="341">
        <v>10</v>
      </c>
      <c r="C5965" s="341">
        <v>17</v>
      </c>
      <c r="D5965" s="328">
        <f t="shared" si="685"/>
        <v>45582</v>
      </c>
      <c r="E5965" s="329">
        <f t="shared" si="683"/>
        <v>45582</v>
      </c>
      <c r="F5965" s="474" t="s">
        <v>1767</v>
      </c>
      <c r="G5965" s="330" t="s">
        <v>86</v>
      </c>
      <c r="H5965" s="332"/>
      <c r="I5965" s="332"/>
      <c r="J5965" s="342" t="s">
        <v>67</v>
      </c>
      <c r="K5965" s="343">
        <v>16071.39</v>
      </c>
      <c r="L5965" s="343"/>
    </row>
    <row r="5966" spans="1:12" ht="11.25" customHeight="1" x14ac:dyDescent="0.2">
      <c r="A5966" s="344">
        <v>2024</v>
      </c>
      <c r="B5966" s="344">
        <v>10</v>
      </c>
      <c r="C5966" s="344">
        <v>17</v>
      </c>
      <c r="D5966" s="337">
        <f t="shared" si="685"/>
        <v>45582</v>
      </c>
      <c r="E5966" s="338">
        <f t="shared" si="683"/>
        <v>45582</v>
      </c>
      <c r="F5966" s="475"/>
      <c r="G5966" s="339" t="s">
        <v>86</v>
      </c>
      <c r="H5966" s="340"/>
      <c r="I5966" s="340"/>
      <c r="J5966" s="345" t="s">
        <v>174</v>
      </c>
      <c r="K5966" s="346"/>
      <c r="L5966" s="346">
        <f>K5965</f>
        <v>16071.39</v>
      </c>
    </row>
    <row r="5967" spans="1:12" ht="11.25" customHeight="1" x14ac:dyDescent="0.2">
      <c r="A5967" s="358">
        <v>2024</v>
      </c>
      <c r="B5967" s="358">
        <v>10</v>
      </c>
      <c r="C5967" s="358">
        <v>17</v>
      </c>
      <c r="D5967" s="312">
        <f t="shared" si="685"/>
        <v>45582</v>
      </c>
      <c r="E5967" s="313">
        <f>DATE(A5967,B5967,C5967)</f>
        <v>45582</v>
      </c>
      <c r="F5967" s="482" t="s">
        <v>1627</v>
      </c>
      <c r="G5967" s="314" t="s">
        <v>86</v>
      </c>
      <c r="H5967" s="324"/>
      <c r="I5967" s="324"/>
      <c r="J5967" s="364" t="s">
        <v>1621</v>
      </c>
      <c r="K5967" s="365">
        <v>42830</v>
      </c>
      <c r="L5967" s="365"/>
    </row>
    <row r="5968" spans="1:12" ht="11.25" customHeight="1" x14ac:dyDescent="0.2">
      <c r="A5968" s="320">
        <v>2024</v>
      </c>
      <c r="B5968" s="320">
        <v>10</v>
      </c>
      <c r="C5968" s="320">
        <v>17</v>
      </c>
      <c r="D5968" s="323">
        <f t="shared" si="685"/>
        <v>45582</v>
      </c>
      <c r="E5968" s="321">
        <f t="shared" ref="E5968" si="686">DATE(A5968,B5968,C5968)</f>
        <v>45582</v>
      </c>
      <c r="F5968" s="483"/>
      <c r="G5968" s="322" t="s">
        <v>86</v>
      </c>
      <c r="H5968" s="325"/>
      <c r="I5968" s="325"/>
      <c r="J5968" s="366" t="s">
        <v>1613</v>
      </c>
      <c r="K5968" s="367"/>
      <c r="L5968" s="367">
        <f>K5967</f>
        <v>42830</v>
      </c>
    </row>
    <row r="5969" spans="1:13" ht="11.25" customHeight="1" x14ac:dyDescent="0.2">
      <c r="A5969" s="358">
        <v>2024</v>
      </c>
      <c r="B5969" s="358">
        <v>10</v>
      </c>
      <c r="C5969" s="358">
        <v>17</v>
      </c>
      <c r="D5969" s="312">
        <f t="shared" si="685"/>
        <v>45582</v>
      </c>
      <c r="E5969" s="313">
        <f>DATE(A5969,B5969,C5969)</f>
        <v>45582</v>
      </c>
      <c r="F5969" s="482" t="s">
        <v>1713</v>
      </c>
      <c r="G5969" s="314" t="s">
        <v>86</v>
      </c>
      <c r="H5969" s="324"/>
      <c r="I5969" s="324"/>
      <c r="J5969" s="364" t="s">
        <v>1614</v>
      </c>
      <c r="K5969" s="365">
        <v>80221.497941173613</v>
      </c>
      <c r="L5969" s="365"/>
    </row>
    <row r="5970" spans="1:13" ht="11.25" customHeight="1" x14ac:dyDescent="0.2">
      <c r="A5970" s="320">
        <v>2024</v>
      </c>
      <c r="B5970" s="320">
        <v>10</v>
      </c>
      <c r="C5970" s="320">
        <v>17</v>
      </c>
      <c r="D5970" s="323">
        <f t="shared" si="685"/>
        <v>45582</v>
      </c>
      <c r="E5970" s="321">
        <f t="shared" ref="E5970:E5987" si="687">DATE(A5970,B5970,C5970)</f>
        <v>45582</v>
      </c>
      <c r="F5970" s="483"/>
      <c r="G5970" s="322" t="s">
        <v>86</v>
      </c>
      <c r="H5970" s="325"/>
      <c r="I5970" s="325"/>
      <c r="J5970" s="366" t="s">
        <v>1622</v>
      </c>
      <c r="K5970" s="367"/>
      <c r="L5970" s="367">
        <f>K5969</f>
        <v>80221.497941173613</v>
      </c>
    </row>
    <row r="5971" spans="1:13" ht="11.25" customHeight="1" x14ac:dyDescent="0.2">
      <c r="A5971" s="236">
        <v>2024</v>
      </c>
      <c r="B5971" s="236">
        <v>10</v>
      </c>
      <c r="C5971" s="236">
        <v>17</v>
      </c>
      <c r="D5971" s="237">
        <f t="shared" si="685"/>
        <v>45582</v>
      </c>
      <c r="E5971" s="238">
        <f t="shared" si="687"/>
        <v>45582</v>
      </c>
      <c r="F5971" s="476" t="s">
        <v>1118</v>
      </c>
      <c r="G5971" s="239" t="s">
        <v>86</v>
      </c>
      <c r="H5971" s="239"/>
      <c r="I5971" s="240"/>
      <c r="J5971" s="241" t="s">
        <v>82</v>
      </c>
      <c r="K5971" s="242">
        <v>2260827.9300000072</v>
      </c>
      <c r="L5971" s="242"/>
    </row>
    <row r="5972" spans="1:13" ht="11.25" customHeight="1" x14ac:dyDescent="0.2">
      <c r="A5972" s="243">
        <v>2024</v>
      </c>
      <c r="B5972" s="243">
        <v>10</v>
      </c>
      <c r="C5972" s="243">
        <v>17</v>
      </c>
      <c r="D5972" s="248">
        <f t="shared" si="685"/>
        <v>45582</v>
      </c>
      <c r="E5972" s="249">
        <f t="shared" si="687"/>
        <v>45582</v>
      </c>
      <c r="F5972" s="477"/>
      <c r="G5972" s="244" t="s">
        <v>86</v>
      </c>
      <c r="H5972" s="244"/>
      <c r="I5972" s="245"/>
      <c r="J5972" s="246" t="s">
        <v>98</v>
      </c>
      <c r="K5972" s="247"/>
      <c r="L5972" s="247">
        <f>K5971</f>
        <v>2260827.9300000072</v>
      </c>
    </row>
    <row r="5973" spans="1:13" ht="11.25" customHeight="1" x14ac:dyDescent="0.2">
      <c r="A5973" s="236">
        <v>2024</v>
      </c>
      <c r="B5973" s="236">
        <v>10</v>
      </c>
      <c r="C5973" s="236">
        <v>17</v>
      </c>
      <c r="D5973" s="237">
        <f t="shared" si="685"/>
        <v>45582</v>
      </c>
      <c r="E5973" s="238">
        <f t="shared" si="687"/>
        <v>45582</v>
      </c>
      <c r="F5973" s="476" t="s">
        <v>1120</v>
      </c>
      <c r="G5973" s="239" t="s">
        <v>86</v>
      </c>
      <c r="H5973" s="239"/>
      <c r="I5973" s="240"/>
      <c r="J5973" s="241" t="s">
        <v>87</v>
      </c>
      <c r="K5973" s="242">
        <v>2747.2527472527472</v>
      </c>
      <c r="L5973" s="242"/>
    </row>
    <row r="5974" spans="1:13" ht="11.25" customHeight="1" x14ac:dyDescent="0.2">
      <c r="A5974" s="243">
        <v>2024</v>
      </c>
      <c r="B5974" s="243">
        <v>10</v>
      </c>
      <c r="C5974" s="243">
        <v>17</v>
      </c>
      <c r="D5974" s="248">
        <f t="shared" si="685"/>
        <v>45582</v>
      </c>
      <c r="E5974" s="249">
        <f t="shared" si="687"/>
        <v>45582</v>
      </c>
      <c r="F5974" s="477"/>
      <c r="G5974" s="244" t="s">
        <v>86</v>
      </c>
      <c r="H5974" s="244"/>
      <c r="I5974" s="245"/>
      <c r="J5974" s="246" t="s">
        <v>64</v>
      </c>
      <c r="K5974" s="247"/>
      <c r="L5974" s="247">
        <v>2747.2527472527472</v>
      </c>
    </row>
    <row r="5975" spans="1:13" ht="11.25" customHeight="1" x14ac:dyDescent="0.2">
      <c r="A5975" s="236">
        <v>2024</v>
      </c>
      <c r="B5975" s="236">
        <v>10</v>
      </c>
      <c r="C5975" s="236">
        <v>17</v>
      </c>
      <c r="D5975" s="237">
        <f t="shared" si="685"/>
        <v>45582</v>
      </c>
      <c r="E5975" s="238">
        <f t="shared" si="687"/>
        <v>45582</v>
      </c>
      <c r="F5975" s="476" t="s">
        <v>1121</v>
      </c>
      <c r="G5975" s="239" t="s">
        <v>86</v>
      </c>
      <c r="H5975" s="239"/>
      <c r="I5975" s="240"/>
      <c r="J5975" s="241" t="s">
        <v>89</v>
      </c>
      <c r="K5975" s="242">
        <f>M5975</f>
        <v>68927.813298080102</v>
      </c>
      <c r="L5975" s="242"/>
      <c r="M5975" s="156">
        <v>68927.813298080102</v>
      </c>
    </row>
    <row r="5976" spans="1:13" ht="11.25" customHeight="1" x14ac:dyDescent="0.2">
      <c r="A5976" s="243">
        <v>2024</v>
      </c>
      <c r="B5976" s="243">
        <v>10</v>
      </c>
      <c r="C5976" s="243">
        <v>17</v>
      </c>
      <c r="D5976" s="248">
        <f t="shared" si="685"/>
        <v>45582</v>
      </c>
      <c r="E5976" s="249">
        <f t="shared" si="687"/>
        <v>45582</v>
      </c>
      <c r="F5976" s="477"/>
      <c r="G5976" s="244" t="s">
        <v>86</v>
      </c>
      <c r="H5976" s="244"/>
      <c r="I5976" s="245"/>
      <c r="J5976" s="246" t="s">
        <v>50</v>
      </c>
      <c r="K5976" s="247"/>
      <c r="L5976" s="247">
        <f>K5975</f>
        <v>68927.813298080102</v>
      </c>
      <c r="M5976" s="156">
        <v>3206.0060495193893</v>
      </c>
    </row>
    <row r="5977" spans="1:13" ht="11.25" customHeight="1" x14ac:dyDescent="0.2">
      <c r="A5977" s="236">
        <v>2024</v>
      </c>
      <c r="B5977" s="236">
        <v>10</v>
      </c>
      <c r="C5977" s="236">
        <v>17</v>
      </c>
      <c r="D5977" s="237">
        <f t="shared" si="685"/>
        <v>45582</v>
      </c>
      <c r="E5977" s="238">
        <f t="shared" si="687"/>
        <v>45582</v>
      </c>
      <c r="F5977" s="476" t="s">
        <v>1122</v>
      </c>
      <c r="G5977" s="239" t="s">
        <v>86</v>
      </c>
      <c r="H5977" s="239"/>
      <c r="I5977" s="240"/>
      <c r="J5977" s="241" t="s">
        <v>91</v>
      </c>
      <c r="K5977" s="242">
        <f>M5976</f>
        <v>3206.0060495193893</v>
      </c>
      <c r="L5977" s="242"/>
    </row>
    <row r="5978" spans="1:13" ht="11.25" customHeight="1" x14ac:dyDescent="0.2">
      <c r="A5978" s="243">
        <v>2024</v>
      </c>
      <c r="B5978" s="243">
        <v>10</v>
      </c>
      <c r="C5978" s="243">
        <v>17</v>
      </c>
      <c r="D5978" s="248">
        <f t="shared" si="685"/>
        <v>45582</v>
      </c>
      <c r="E5978" s="249">
        <f t="shared" si="687"/>
        <v>45582</v>
      </c>
      <c r="F5978" s="477"/>
      <c r="G5978" s="244" t="s">
        <v>86</v>
      </c>
      <c r="H5978" s="244"/>
      <c r="I5978" s="245"/>
      <c r="J5978" s="246" t="s">
        <v>51</v>
      </c>
      <c r="K5978" s="247"/>
      <c r="L5978" s="247">
        <f>K5977</f>
        <v>3206.0060495193893</v>
      </c>
    </row>
    <row r="5979" spans="1:13" ht="11.25" customHeight="1" x14ac:dyDescent="0.2">
      <c r="A5979" s="221">
        <v>2024</v>
      </c>
      <c r="B5979" s="221">
        <v>10</v>
      </c>
      <c r="C5979" s="231">
        <v>20</v>
      </c>
      <c r="D5979" s="231">
        <f t="shared" si="685"/>
        <v>45585</v>
      </c>
      <c r="E5979" s="233">
        <f t="shared" si="687"/>
        <v>45585</v>
      </c>
      <c r="F5979" s="478" t="s">
        <v>1799</v>
      </c>
      <c r="G5979" s="222" t="s">
        <v>1111</v>
      </c>
      <c r="H5979" s="223"/>
      <c r="I5979" s="223"/>
      <c r="J5979" s="224" t="s">
        <v>55</v>
      </c>
      <c r="K5979" s="225">
        <v>575571.69999999995</v>
      </c>
      <c r="L5979" s="225"/>
    </row>
    <row r="5980" spans="1:13" ht="11.25" customHeight="1" x14ac:dyDescent="0.2">
      <c r="A5980" s="226">
        <v>2024</v>
      </c>
      <c r="B5980" s="226">
        <v>10</v>
      </c>
      <c r="C5980" s="232">
        <v>20</v>
      </c>
      <c r="D5980" s="232">
        <f t="shared" si="685"/>
        <v>45585</v>
      </c>
      <c r="E5980" s="234">
        <f t="shared" si="687"/>
        <v>45585</v>
      </c>
      <c r="F5980" s="479"/>
      <c r="G5980" s="227" t="s">
        <v>1111</v>
      </c>
      <c r="H5980" s="228"/>
      <c r="I5980" s="228"/>
      <c r="J5980" s="229" t="s">
        <v>199</v>
      </c>
      <c r="K5980" s="230"/>
      <c r="L5980" s="230">
        <v>575571.69999999995</v>
      </c>
    </row>
    <row r="5981" spans="1:13" ht="11.25" customHeight="1" x14ac:dyDescent="0.2">
      <c r="A5981" s="221">
        <v>2024</v>
      </c>
      <c r="B5981" s="221">
        <v>10</v>
      </c>
      <c r="C5981" s="221">
        <v>20</v>
      </c>
      <c r="D5981" s="221">
        <f t="shared" si="685"/>
        <v>45585</v>
      </c>
      <c r="E5981" s="233">
        <f t="shared" si="687"/>
        <v>45585</v>
      </c>
      <c r="F5981" s="478" t="s">
        <v>1757</v>
      </c>
      <c r="G5981" s="222" t="s">
        <v>86</v>
      </c>
      <c r="H5981" s="222"/>
      <c r="I5981" s="223"/>
      <c r="J5981" s="165" t="s">
        <v>199</v>
      </c>
      <c r="K5981" s="225">
        <v>304061.7</v>
      </c>
      <c r="L5981" s="225"/>
    </row>
    <row r="5982" spans="1:13" ht="11.25" customHeight="1" x14ac:dyDescent="0.2">
      <c r="A5982" s="164">
        <v>2024</v>
      </c>
      <c r="B5982" s="164">
        <v>10</v>
      </c>
      <c r="C5982" s="164">
        <v>20</v>
      </c>
      <c r="D5982" s="164">
        <f t="shared" si="685"/>
        <v>45585</v>
      </c>
      <c r="E5982" s="235">
        <f t="shared" si="687"/>
        <v>45585</v>
      </c>
      <c r="F5982" s="480"/>
      <c r="G5982" s="208" t="s">
        <v>86</v>
      </c>
      <c r="H5982" s="208"/>
      <c r="J5982" s="165" t="s">
        <v>960</v>
      </c>
      <c r="K5982" s="205">
        <v>548.29999999999995</v>
      </c>
      <c r="L5982" s="205"/>
      <c r="M5982" s="401"/>
    </row>
    <row r="5983" spans="1:13" ht="11.25" customHeight="1" x14ac:dyDescent="0.2">
      <c r="A5983" s="164">
        <v>2024</v>
      </c>
      <c r="B5983" s="164">
        <v>10</v>
      </c>
      <c r="C5983" s="164">
        <v>20</v>
      </c>
      <c r="D5983" s="164">
        <f t="shared" si="685"/>
        <v>45585</v>
      </c>
      <c r="E5983" s="235">
        <f t="shared" si="687"/>
        <v>45585</v>
      </c>
      <c r="F5983" s="480"/>
      <c r="G5983" s="208" t="s">
        <v>86</v>
      </c>
      <c r="H5983" s="208"/>
      <c r="J5983" s="165" t="s">
        <v>200</v>
      </c>
      <c r="K5983" s="205">
        <v>47719.8</v>
      </c>
      <c r="L5983" s="205"/>
    </row>
    <row r="5984" spans="1:13" ht="11.25" customHeight="1" x14ac:dyDescent="0.2">
      <c r="A5984" s="226">
        <v>2024</v>
      </c>
      <c r="B5984" s="226">
        <v>10</v>
      </c>
      <c r="C5984" s="226">
        <v>20</v>
      </c>
      <c r="D5984" s="226">
        <f t="shared" si="685"/>
        <v>45585</v>
      </c>
      <c r="E5984" s="234">
        <f t="shared" si="687"/>
        <v>45585</v>
      </c>
      <c r="F5984" s="479"/>
      <c r="G5984" s="227" t="s">
        <v>86</v>
      </c>
      <c r="H5984" s="228"/>
      <c r="I5984" s="228"/>
      <c r="J5984" s="229" t="s">
        <v>80</v>
      </c>
      <c r="K5984" s="230"/>
      <c r="L5984" s="230">
        <v>352329.8</v>
      </c>
    </row>
    <row r="5985" spans="1:12" ht="11.25" customHeight="1" x14ac:dyDescent="0.2">
      <c r="A5985" s="221">
        <v>2024</v>
      </c>
      <c r="B5985" s="221">
        <v>10</v>
      </c>
      <c r="C5985" s="221">
        <v>21</v>
      </c>
      <c r="D5985" s="231">
        <f t="shared" si="685"/>
        <v>45586</v>
      </c>
      <c r="E5985" s="233">
        <f t="shared" si="687"/>
        <v>45586</v>
      </c>
      <c r="F5985" s="478" t="s">
        <v>1115</v>
      </c>
      <c r="G5985" s="222" t="s">
        <v>1111</v>
      </c>
      <c r="H5985" s="223"/>
      <c r="I5985" s="223" t="s">
        <v>1800</v>
      </c>
      <c r="J5985" s="224" t="s">
        <v>14</v>
      </c>
      <c r="K5985" s="167">
        <v>74000</v>
      </c>
      <c r="L5985" s="225"/>
    </row>
    <row r="5986" spans="1:12" ht="11.25" customHeight="1" x14ac:dyDescent="0.2">
      <c r="A5986" s="164">
        <v>2024</v>
      </c>
      <c r="B5986" s="164">
        <v>10</v>
      </c>
      <c r="C5986" s="164">
        <v>21</v>
      </c>
      <c r="D5986" s="156">
        <f t="shared" si="685"/>
        <v>45586</v>
      </c>
      <c r="E5986" s="235">
        <f t="shared" si="687"/>
        <v>45586</v>
      </c>
      <c r="F5986" s="480"/>
      <c r="G5986" s="208" t="s">
        <v>1111</v>
      </c>
      <c r="I5986" s="206" t="s">
        <v>1800</v>
      </c>
      <c r="J5986" s="165" t="s">
        <v>1112</v>
      </c>
      <c r="K5986" s="205">
        <v>5157.8000000000029</v>
      </c>
      <c r="L5986" s="156"/>
    </row>
    <row r="5987" spans="1:12" ht="11.25" customHeight="1" x14ac:dyDescent="0.2">
      <c r="A5987" s="226">
        <v>2024</v>
      </c>
      <c r="B5987" s="226">
        <v>10</v>
      </c>
      <c r="C5987" s="226">
        <v>21</v>
      </c>
      <c r="D5987" s="232">
        <f t="shared" si="685"/>
        <v>45586</v>
      </c>
      <c r="E5987" s="234">
        <f t="shared" si="687"/>
        <v>45586</v>
      </c>
      <c r="F5987" s="479"/>
      <c r="G5987" s="227" t="s">
        <v>1111</v>
      </c>
      <c r="H5987" s="228"/>
      <c r="I5987" s="228" t="s">
        <v>1800</v>
      </c>
      <c r="J5987" s="229" t="s">
        <v>55</v>
      </c>
      <c r="K5987" s="230"/>
      <c r="L5987" s="230">
        <v>79157.8</v>
      </c>
    </row>
    <row r="5988" spans="1:12" ht="11.25" customHeight="1" x14ac:dyDescent="0.2">
      <c r="A5988" s="221">
        <v>2024</v>
      </c>
      <c r="B5988" s="221">
        <v>10</v>
      </c>
      <c r="C5988" s="221">
        <v>21</v>
      </c>
      <c r="D5988" s="231">
        <f t="shared" si="685"/>
        <v>45586</v>
      </c>
      <c r="E5988" s="233">
        <f t="shared" ref="E5988:E6015" si="688">DATE(A5988,B5988,C5988)</f>
        <v>45586</v>
      </c>
      <c r="F5988" s="478" t="s">
        <v>1115</v>
      </c>
      <c r="G5988" s="222" t="s">
        <v>1111</v>
      </c>
      <c r="H5988" s="223"/>
      <c r="I5988" s="223" t="s">
        <v>451</v>
      </c>
      <c r="J5988" s="224" t="s">
        <v>14</v>
      </c>
      <c r="K5988" s="167">
        <v>2278730</v>
      </c>
      <c r="L5988" s="225"/>
    </row>
    <row r="5989" spans="1:12" ht="11.25" customHeight="1" x14ac:dyDescent="0.2">
      <c r="A5989" s="164">
        <v>2024</v>
      </c>
      <c r="B5989" s="164">
        <v>10</v>
      </c>
      <c r="C5989" s="164">
        <v>21</v>
      </c>
      <c r="D5989" s="156">
        <f t="shared" si="685"/>
        <v>45586</v>
      </c>
      <c r="E5989" s="235">
        <f t="shared" si="688"/>
        <v>45586</v>
      </c>
      <c r="F5989" s="480"/>
      <c r="G5989" s="208" t="s">
        <v>1111</v>
      </c>
      <c r="I5989" s="206" t="s">
        <v>451</v>
      </c>
      <c r="J5989" s="165" t="s">
        <v>1112</v>
      </c>
      <c r="K5989" s="205">
        <v>221270</v>
      </c>
      <c r="L5989" s="156"/>
    </row>
    <row r="5990" spans="1:12" ht="11.25" customHeight="1" x14ac:dyDescent="0.2">
      <c r="A5990" s="226">
        <v>2024</v>
      </c>
      <c r="B5990" s="226">
        <v>10</v>
      </c>
      <c r="C5990" s="226">
        <v>21</v>
      </c>
      <c r="D5990" s="232">
        <f t="shared" si="685"/>
        <v>45586</v>
      </c>
      <c r="E5990" s="234">
        <f t="shared" si="688"/>
        <v>45586</v>
      </c>
      <c r="F5990" s="479"/>
      <c r="G5990" s="227" t="s">
        <v>1111</v>
      </c>
      <c r="H5990" s="228"/>
      <c r="I5990" s="228" t="s">
        <v>451</v>
      </c>
      <c r="J5990" s="229" t="s">
        <v>55</v>
      </c>
      <c r="K5990" s="230"/>
      <c r="L5990" s="230">
        <v>2500000</v>
      </c>
    </row>
    <row r="5991" spans="1:12" ht="11.25" customHeight="1" x14ac:dyDescent="0.2">
      <c r="A5991" s="221">
        <v>2024</v>
      </c>
      <c r="B5991" s="221">
        <v>10</v>
      </c>
      <c r="C5991" s="231">
        <v>21</v>
      </c>
      <c r="D5991" s="231">
        <f t="shared" si="685"/>
        <v>45586</v>
      </c>
      <c r="E5991" s="233">
        <f t="shared" si="688"/>
        <v>45586</v>
      </c>
      <c r="F5991" s="478" t="s">
        <v>1670</v>
      </c>
      <c r="G5991" s="222" t="s">
        <v>1111</v>
      </c>
      <c r="H5991" s="223"/>
      <c r="I5991" s="223"/>
      <c r="J5991" s="224" t="s">
        <v>63</v>
      </c>
      <c r="K5991" s="225">
        <v>100</v>
      </c>
      <c r="L5991" s="225"/>
    </row>
    <row r="5992" spans="1:12" ht="11.25" customHeight="1" x14ac:dyDescent="0.2">
      <c r="A5992" s="226">
        <v>2024</v>
      </c>
      <c r="B5992" s="226">
        <v>10</v>
      </c>
      <c r="C5992" s="232">
        <v>21</v>
      </c>
      <c r="D5992" s="232">
        <f t="shared" si="685"/>
        <v>45586</v>
      </c>
      <c r="E5992" s="234">
        <f t="shared" si="688"/>
        <v>45586</v>
      </c>
      <c r="F5992" s="479"/>
      <c r="G5992" s="227" t="s">
        <v>1111</v>
      </c>
      <c r="H5992" s="228"/>
      <c r="I5992" s="228"/>
      <c r="J5992" s="229" t="s">
        <v>55</v>
      </c>
      <c r="K5992" s="230"/>
      <c r="L5992" s="230">
        <v>100</v>
      </c>
    </row>
    <row r="5993" spans="1:12" ht="11.25" customHeight="1" x14ac:dyDescent="0.2">
      <c r="A5993" s="221">
        <v>2024</v>
      </c>
      <c r="B5993" s="221">
        <v>10</v>
      </c>
      <c r="C5993" s="231">
        <v>22</v>
      </c>
      <c r="D5993" s="231">
        <f t="shared" si="685"/>
        <v>45587</v>
      </c>
      <c r="E5993" s="233">
        <f t="shared" si="688"/>
        <v>45587</v>
      </c>
      <c r="F5993" s="478" t="s">
        <v>1758</v>
      </c>
      <c r="G5993" s="222" t="s">
        <v>1111</v>
      </c>
      <c r="H5993" s="223"/>
      <c r="I5993" s="223"/>
      <c r="J5993" s="224" t="s">
        <v>55</v>
      </c>
      <c r="K5993" s="225">
        <v>304061.7</v>
      </c>
      <c r="L5993" s="225"/>
    </row>
    <row r="5994" spans="1:12" ht="11.25" customHeight="1" x14ac:dyDescent="0.2">
      <c r="A5994" s="226">
        <v>2024</v>
      </c>
      <c r="B5994" s="226">
        <v>10</v>
      </c>
      <c r="C5994" s="232">
        <v>22</v>
      </c>
      <c r="D5994" s="232">
        <f t="shared" si="685"/>
        <v>45587</v>
      </c>
      <c r="E5994" s="234">
        <f t="shared" si="688"/>
        <v>45587</v>
      </c>
      <c r="F5994" s="479"/>
      <c r="G5994" s="227" t="s">
        <v>1111</v>
      </c>
      <c r="H5994" s="228"/>
      <c r="I5994" s="228"/>
      <c r="J5994" s="229" t="s">
        <v>199</v>
      </c>
      <c r="K5994" s="230"/>
      <c r="L5994" s="230">
        <v>304061.7</v>
      </c>
    </row>
    <row r="5995" spans="1:12" ht="11.25" customHeight="1" x14ac:dyDescent="0.2">
      <c r="A5995" s="221">
        <v>2024</v>
      </c>
      <c r="B5995" s="221">
        <v>10</v>
      </c>
      <c r="C5995" s="231">
        <v>23</v>
      </c>
      <c r="D5995" s="231">
        <f t="shared" si="685"/>
        <v>45588</v>
      </c>
      <c r="E5995" s="233">
        <f t="shared" si="688"/>
        <v>45588</v>
      </c>
      <c r="F5995" s="478" t="s">
        <v>1801</v>
      </c>
      <c r="G5995" s="222" t="s">
        <v>1111</v>
      </c>
      <c r="H5995" s="222"/>
      <c r="I5995" s="223"/>
      <c r="J5995" s="224" t="s">
        <v>1615</v>
      </c>
      <c r="K5995" s="357">
        <v>977416.52</v>
      </c>
      <c r="L5995" s="225"/>
    </row>
    <row r="5996" spans="1:12" ht="11.25" customHeight="1" x14ac:dyDescent="0.2">
      <c r="A5996" s="226">
        <v>2024</v>
      </c>
      <c r="B5996" s="226">
        <v>10</v>
      </c>
      <c r="C5996" s="232">
        <v>23</v>
      </c>
      <c r="D5996" s="226">
        <f t="shared" si="685"/>
        <v>45588</v>
      </c>
      <c r="E5996" s="234">
        <f t="shared" si="688"/>
        <v>45588</v>
      </c>
      <c r="F5996" s="479"/>
      <c r="G5996" s="227" t="s">
        <v>1111</v>
      </c>
      <c r="H5996" s="227"/>
      <c r="I5996" s="228"/>
      <c r="J5996" s="229" t="s">
        <v>55</v>
      </c>
      <c r="K5996" s="294"/>
      <c r="L5996" s="230">
        <v>977416.52</v>
      </c>
    </row>
    <row r="5997" spans="1:12" ht="11.25" customHeight="1" x14ac:dyDescent="0.2">
      <c r="A5997" s="221">
        <v>2024</v>
      </c>
      <c r="B5997" s="221">
        <v>10</v>
      </c>
      <c r="C5997" s="231">
        <v>23</v>
      </c>
      <c r="D5997" s="231">
        <f t="shared" si="685"/>
        <v>45588</v>
      </c>
      <c r="E5997" s="233">
        <f t="shared" si="688"/>
        <v>45588</v>
      </c>
      <c r="F5997" s="478" t="s">
        <v>1142</v>
      </c>
      <c r="G5997" s="222" t="s">
        <v>1111</v>
      </c>
      <c r="H5997" s="223"/>
      <c r="I5997" s="223"/>
      <c r="J5997" s="224" t="s">
        <v>189</v>
      </c>
      <c r="K5997" s="225">
        <v>1575</v>
      </c>
      <c r="L5997" s="225"/>
    </row>
    <row r="5998" spans="1:12" ht="11.25" customHeight="1" x14ac:dyDescent="0.2">
      <c r="A5998" s="164">
        <v>2024</v>
      </c>
      <c r="B5998" s="164">
        <v>10</v>
      </c>
      <c r="C5998" s="156">
        <v>23</v>
      </c>
      <c r="D5998" s="156">
        <f t="shared" si="685"/>
        <v>45588</v>
      </c>
      <c r="E5998" s="235">
        <f t="shared" si="688"/>
        <v>45588</v>
      </c>
      <c r="F5998" s="480"/>
      <c r="G5998" s="208" t="s">
        <v>1111</v>
      </c>
      <c r="J5998" s="165" t="s">
        <v>1707</v>
      </c>
      <c r="K5998" s="205"/>
      <c r="L5998" s="205">
        <v>150</v>
      </c>
    </row>
    <row r="5999" spans="1:12" ht="11.25" customHeight="1" x14ac:dyDescent="0.2">
      <c r="A5999" s="226">
        <v>2024</v>
      </c>
      <c r="B5999" s="226">
        <v>10</v>
      </c>
      <c r="C5999" s="232">
        <v>23</v>
      </c>
      <c r="D5999" s="232">
        <f t="shared" si="685"/>
        <v>45588</v>
      </c>
      <c r="E5999" s="234">
        <f t="shared" si="688"/>
        <v>45588</v>
      </c>
      <c r="F5999" s="479"/>
      <c r="G5999" s="227" t="s">
        <v>1111</v>
      </c>
      <c r="H5999" s="228"/>
      <c r="I5999" s="228"/>
      <c r="J5999" s="229" t="s">
        <v>55</v>
      </c>
      <c r="K5999" s="230"/>
      <c r="L5999" s="230">
        <v>1425</v>
      </c>
    </row>
    <row r="6000" spans="1:12" ht="11.25" customHeight="1" x14ac:dyDescent="0.2">
      <c r="A6000" s="221">
        <v>2024</v>
      </c>
      <c r="B6000" s="221">
        <v>10</v>
      </c>
      <c r="C6000" s="221">
        <v>24</v>
      </c>
      <c r="D6000" s="221">
        <f t="shared" si="685"/>
        <v>45589</v>
      </c>
      <c r="E6000" s="233">
        <f t="shared" si="688"/>
        <v>45589</v>
      </c>
      <c r="F6000" s="478" t="s">
        <v>1757</v>
      </c>
      <c r="G6000" s="222" t="s">
        <v>86</v>
      </c>
      <c r="H6000" s="222"/>
      <c r="I6000" s="223"/>
      <c r="J6000" s="165" t="s">
        <v>199</v>
      </c>
      <c r="K6000" s="225">
        <v>1305535.4986</v>
      </c>
      <c r="L6000" s="225"/>
    </row>
    <row r="6001" spans="1:13" ht="11.25" customHeight="1" x14ac:dyDescent="0.2">
      <c r="A6001" s="164">
        <v>2024</v>
      </c>
      <c r="B6001" s="164">
        <v>10</v>
      </c>
      <c r="C6001" s="164">
        <v>24</v>
      </c>
      <c r="D6001" s="164">
        <f t="shared" si="685"/>
        <v>45589</v>
      </c>
      <c r="E6001" s="235">
        <f t="shared" si="688"/>
        <v>45589</v>
      </c>
      <c r="F6001" s="480"/>
      <c r="G6001" s="208" t="s">
        <v>86</v>
      </c>
      <c r="H6001" s="208"/>
      <c r="J6001" s="165" t="s">
        <v>960</v>
      </c>
      <c r="K6001" s="205">
        <v>2354.2013999999999</v>
      </c>
      <c r="L6001" s="205"/>
      <c r="M6001" s="401"/>
    </row>
    <row r="6002" spans="1:13" ht="11.25" customHeight="1" x14ac:dyDescent="0.2">
      <c r="A6002" s="164">
        <v>2024</v>
      </c>
      <c r="B6002" s="164">
        <v>10</v>
      </c>
      <c r="C6002" s="164">
        <v>24</v>
      </c>
      <c r="D6002" s="164">
        <f t="shared" si="685"/>
        <v>45589</v>
      </c>
      <c r="E6002" s="235">
        <f t="shared" si="688"/>
        <v>45589</v>
      </c>
      <c r="F6002" s="480"/>
      <c r="G6002" s="208" t="s">
        <v>86</v>
      </c>
      <c r="H6002" s="208"/>
      <c r="J6002" s="165" t="s">
        <v>200</v>
      </c>
      <c r="K6002" s="205">
        <v>36765.980000000003</v>
      </c>
      <c r="L6002" s="205"/>
    </row>
    <row r="6003" spans="1:13" ht="11.25" customHeight="1" x14ac:dyDescent="0.2">
      <c r="A6003" s="226">
        <v>2024</v>
      </c>
      <c r="B6003" s="226">
        <v>10</v>
      </c>
      <c r="C6003" s="226">
        <v>24</v>
      </c>
      <c r="D6003" s="226">
        <f t="shared" si="685"/>
        <v>45589</v>
      </c>
      <c r="E6003" s="234">
        <f t="shared" si="688"/>
        <v>45589</v>
      </c>
      <c r="F6003" s="479"/>
      <c r="G6003" s="227" t="s">
        <v>86</v>
      </c>
      <c r="H6003" s="228"/>
      <c r="I6003" s="228"/>
      <c r="J6003" s="229" t="s">
        <v>80</v>
      </c>
      <c r="K6003" s="230"/>
      <c r="L6003" s="230">
        <v>1344655.68</v>
      </c>
    </row>
    <row r="6004" spans="1:13" ht="11.25" customHeight="1" x14ac:dyDescent="0.2">
      <c r="A6004" s="221">
        <v>2024</v>
      </c>
      <c r="B6004" s="221">
        <v>10</v>
      </c>
      <c r="C6004" s="221">
        <v>24</v>
      </c>
      <c r="D6004" s="221">
        <f t="shared" si="685"/>
        <v>45589</v>
      </c>
      <c r="E6004" s="233">
        <f t="shared" ref="E6004:E6007" si="689">DATE(A6004,B6004,C6004)</f>
        <v>45589</v>
      </c>
      <c r="F6004" s="478" t="s">
        <v>1798</v>
      </c>
      <c r="G6004" s="222" t="s">
        <v>86</v>
      </c>
      <c r="H6004" s="222"/>
      <c r="I6004" s="223"/>
      <c r="J6004" s="165" t="s">
        <v>199</v>
      </c>
      <c r="K6004" s="225">
        <v>1098538.27</v>
      </c>
      <c r="L6004" s="225"/>
    </row>
    <row r="6005" spans="1:13" ht="11.25" customHeight="1" x14ac:dyDescent="0.2">
      <c r="A6005" s="164">
        <v>2024</v>
      </c>
      <c r="B6005" s="164">
        <v>10</v>
      </c>
      <c r="C6005" s="164">
        <v>24</v>
      </c>
      <c r="D6005" s="164">
        <f t="shared" si="685"/>
        <v>45589</v>
      </c>
      <c r="E6005" s="235">
        <f t="shared" si="689"/>
        <v>45589</v>
      </c>
      <c r="F6005" s="480"/>
      <c r="G6005" s="208" t="s">
        <v>86</v>
      </c>
      <c r="H6005" s="208"/>
      <c r="J6005" s="165" t="s">
        <v>960</v>
      </c>
      <c r="K6005" s="205">
        <v>1980.93</v>
      </c>
      <c r="L6005" s="205"/>
      <c r="M6005" s="401"/>
    </row>
    <row r="6006" spans="1:13" ht="11.25" customHeight="1" x14ac:dyDescent="0.2">
      <c r="A6006" s="164">
        <v>2024</v>
      </c>
      <c r="B6006" s="164">
        <v>10</v>
      </c>
      <c r="C6006" s="164">
        <v>24</v>
      </c>
      <c r="D6006" s="164">
        <f t="shared" si="685"/>
        <v>45589</v>
      </c>
      <c r="E6006" s="235">
        <f t="shared" si="689"/>
        <v>45589</v>
      </c>
      <c r="F6006" s="480"/>
      <c r="G6006" s="208" t="s">
        <v>86</v>
      </c>
      <c r="H6006" s="208"/>
      <c r="J6006" s="165" t="s">
        <v>200</v>
      </c>
      <c r="K6006" s="205">
        <v>20027.2</v>
      </c>
      <c r="L6006" s="205"/>
    </row>
    <row r="6007" spans="1:13" ht="11.25" customHeight="1" x14ac:dyDescent="0.2">
      <c r="A6007" s="226">
        <v>2024</v>
      </c>
      <c r="B6007" s="226">
        <v>10</v>
      </c>
      <c r="C6007" s="226">
        <v>24</v>
      </c>
      <c r="D6007" s="226">
        <f t="shared" si="685"/>
        <v>45589</v>
      </c>
      <c r="E6007" s="234">
        <f t="shared" si="689"/>
        <v>45589</v>
      </c>
      <c r="F6007" s="479"/>
      <c r="G6007" s="227" t="s">
        <v>86</v>
      </c>
      <c r="H6007" s="228"/>
      <c r="I6007" s="228"/>
      <c r="J6007" s="229" t="s">
        <v>80</v>
      </c>
      <c r="K6007" s="230"/>
      <c r="L6007" s="230">
        <v>1120546.3999999999</v>
      </c>
    </row>
    <row r="6008" spans="1:13" ht="11.25" customHeight="1" x14ac:dyDescent="0.2">
      <c r="A6008" s="280">
        <v>2024</v>
      </c>
      <c r="B6008" s="280">
        <v>10</v>
      </c>
      <c r="C6008" s="280">
        <v>24</v>
      </c>
      <c r="D6008" s="281">
        <f t="shared" si="685"/>
        <v>45589</v>
      </c>
      <c r="E6008" s="282">
        <f t="shared" si="688"/>
        <v>45589</v>
      </c>
      <c r="F6008" s="472" t="s">
        <v>1744</v>
      </c>
      <c r="G6008" s="283" t="s">
        <v>86</v>
      </c>
      <c r="H6008" s="284"/>
      <c r="I6008" s="284"/>
      <c r="J6008" s="285" t="s">
        <v>131</v>
      </c>
      <c r="K6008" s="286">
        <v>19358.333333333332</v>
      </c>
      <c r="L6008" s="286"/>
    </row>
    <row r="6009" spans="1:13" ht="11.25" customHeight="1" x14ac:dyDescent="0.2">
      <c r="A6009" s="287">
        <v>2024</v>
      </c>
      <c r="B6009" s="287">
        <v>10</v>
      </c>
      <c r="C6009" s="287">
        <v>24</v>
      </c>
      <c r="D6009" s="288">
        <f t="shared" si="685"/>
        <v>45589</v>
      </c>
      <c r="E6009" s="289">
        <f t="shared" si="688"/>
        <v>45589</v>
      </c>
      <c r="F6009" s="473"/>
      <c r="G6009" s="290" t="s">
        <v>86</v>
      </c>
      <c r="H6009" s="291"/>
      <c r="I6009" s="291"/>
      <c r="J6009" s="292" t="s">
        <v>174</v>
      </c>
      <c r="K6009" s="293"/>
      <c r="L6009" s="293">
        <v>19358.333333333332</v>
      </c>
    </row>
    <row r="6010" spans="1:13" ht="11.25" customHeight="1" x14ac:dyDescent="0.2">
      <c r="A6010" s="280">
        <v>2024</v>
      </c>
      <c r="B6010" s="280">
        <v>10</v>
      </c>
      <c r="C6010" s="280">
        <v>24</v>
      </c>
      <c r="D6010" s="281">
        <f t="shared" si="685"/>
        <v>45589</v>
      </c>
      <c r="E6010" s="282">
        <f t="shared" si="688"/>
        <v>45589</v>
      </c>
      <c r="F6010" s="472" t="s">
        <v>1584</v>
      </c>
      <c r="G6010" s="283" t="s">
        <v>86</v>
      </c>
      <c r="H6010" s="284"/>
      <c r="I6010" s="284"/>
      <c r="J6010" s="285" t="s">
        <v>131</v>
      </c>
      <c r="K6010" s="286">
        <v>8846.1538461538457</v>
      </c>
      <c r="L6010" s="286"/>
    </row>
    <row r="6011" spans="1:13" ht="11.25" customHeight="1" x14ac:dyDescent="0.2">
      <c r="A6011" s="287">
        <v>2024</v>
      </c>
      <c r="B6011" s="287">
        <v>10</v>
      </c>
      <c r="C6011" s="287">
        <v>24</v>
      </c>
      <c r="D6011" s="288">
        <f t="shared" si="685"/>
        <v>45589</v>
      </c>
      <c r="E6011" s="289">
        <f t="shared" si="688"/>
        <v>45589</v>
      </c>
      <c r="F6011" s="473"/>
      <c r="G6011" s="290" t="s">
        <v>86</v>
      </c>
      <c r="H6011" s="291"/>
      <c r="I6011" s="291"/>
      <c r="J6011" s="292" t="s">
        <v>174</v>
      </c>
      <c r="K6011" s="293"/>
      <c r="L6011" s="293">
        <v>8846.1538461538457</v>
      </c>
    </row>
    <row r="6012" spans="1:13" ht="11.25" customHeight="1" x14ac:dyDescent="0.2">
      <c r="A6012" s="280">
        <v>2024</v>
      </c>
      <c r="B6012" s="280">
        <v>10</v>
      </c>
      <c r="C6012" s="280">
        <v>24</v>
      </c>
      <c r="D6012" s="281">
        <f t="shared" si="685"/>
        <v>45589</v>
      </c>
      <c r="E6012" s="282">
        <f t="shared" si="688"/>
        <v>45589</v>
      </c>
      <c r="F6012" s="472" t="s">
        <v>1830</v>
      </c>
      <c r="G6012" s="283" t="s">
        <v>86</v>
      </c>
      <c r="H6012" s="284"/>
      <c r="I6012" s="284"/>
      <c r="J6012" s="285" t="s">
        <v>131</v>
      </c>
      <c r="K6012" s="286">
        <v>4653.8461538461543</v>
      </c>
      <c r="L6012" s="286"/>
    </row>
    <row r="6013" spans="1:13" ht="11.25" customHeight="1" x14ac:dyDescent="0.2">
      <c r="A6013" s="287">
        <v>2024</v>
      </c>
      <c r="B6013" s="287">
        <v>10</v>
      </c>
      <c r="C6013" s="287">
        <v>24</v>
      </c>
      <c r="D6013" s="288">
        <f t="shared" si="685"/>
        <v>45589</v>
      </c>
      <c r="E6013" s="289">
        <f t="shared" si="688"/>
        <v>45589</v>
      </c>
      <c r="F6013" s="473"/>
      <c r="G6013" s="290" t="s">
        <v>86</v>
      </c>
      <c r="H6013" s="291"/>
      <c r="I6013" s="291"/>
      <c r="J6013" s="292" t="s">
        <v>174</v>
      </c>
      <c r="K6013" s="293"/>
      <c r="L6013" s="293">
        <v>4653.8461538461543</v>
      </c>
    </row>
    <row r="6014" spans="1:13" ht="11.25" customHeight="1" x14ac:dyDescent="0.2">
      <c r="A6014" s="341">
        <v>2024</v>
      </c>
      <c r="B6014" s="341">
        <v>10</v>
      </c>
      <c r="C6014" s="341">
        <v>24</v>
      </c>
      <c r="D6014" s="328">
        <f t="shared" si="685"/>
        <v>45589</v>
      </c>
      <c r="E6014" s="329">
        <f t="shared" si="688"/>
        <v>45589</v>
      </c>
      <c r="F6014" s="474" t="s">
        <v>1767</v>
      </c>
      <c r="G6014" s="330" t="s">
        <v>86</v>
      </c>
      <c r="H6014" s="332"/>
      <c r="I6014" s="332"/>
      <c r="J6014" s="342" t="s">
        <v>67</v>
      </c>
      <c r="K6014" s="343">
        <v>13271.84</v>
      </c>
      <c r="L6014" s="343"/>
    </row>
    <row r="6015" spans="1:13" ht="11.25" customHeight="1" x14ac:dyDescent="0.2">
      <c r="A6015" s="344">
        <v>2024</v>
      </c>
      <c r="B6015" s="344">
        <v>10</v>
      </c>
      <c r="C6015" s="344">
        <v>24</v>
      </c>
      <c r="D6015" s="337">
        <f t="shared" si="685"/>
        <v>45589</v>
      </c>
      <c r="E6015" s="338">
        <f t="shared" si="688"/>
        <v>45589</v>
      </c>
      <c r="F6015" s="475"/>
      <c r="G6015" s="339" t="s">
        <v>86</v>
      </c>
      <c r="H6015" s="340"/>
      <c r="I6015" s="340"/>
      <c r="J6015" s="345" t="s">
        <v>174</v>
      </c>
      <c r="K6015" s="346"/>
      <c r="L6015" s="346">
        <f>K6014</f>
        <v>13271.84</v>
      </c>
    </row>
    <row r="6016" spans="1:13" ht="11.25" customHeight="1" x14ac:dyDescent="0.2">
      <c r="A6016" s="358">
        <v>2024</v>
      </c>
      <c r="B6016" s="358">
        <v>10</v>
      </c>
      <c r="C6016" s="358">
        <v>24</v>
      </c>
      <c r="D6016" s="312">
        <f t="shared" si="685"/>
        <v>45589</v>
      </c>
      <c r="E6016" s="313">
        <f>DATE(A6016,B6016,C6016)</f>
        <v>45589</v>
      </c>
      <c r="F6016" s="482" t="s">
        <v>1627</v>
      </c>
      <c r="G6016" s="314" t="s">
        <v>86</v>
      </c>
      <c r="H6016" s="324"/>
      <c r="I6016" s="324"/>
      <c r="J6016" s="364" t="s">
        <v>1621</v>
      </c>
      <c r="K6016" s="365">
        <v>40495</v>
      </c>
      <c r="L6016" s="365"/>
    </row>
    <row r="6017" spans="1:13" ht="11.25" customHeight="1" x14ac:dyDescent="0.2">
      <c r="A6017" s="320">
        <v>2024</v>
      </c>
      <c r="B6017" s="320">
        <v>10</v>
      </c>
      <c r="C6017" s="320">
        <v>24</v>
      </c>
      <c r="D6017" s="323">
        <f t="shared" si="685"/>
        <v>45589</v>
      </c>
      <c r="E6017" s="321">
        <f t="shared" ref="E6017" si="690">DATE(A6017,B6017,C6017)</f>
        <v>45589</v>
      </c>
      <c r="F6017" s="483"/>
      <c r="G6017" s="322" t="s">
        <v>86</v>
      </c>
      <c r="H6017" s="325"/>
      <c r="I6017" s="325"/>
      <c r="J6017" s="366" t="s">
        <v>1613</v>
      </c>
      <c r="K6017" s="367"/>
      <c r="L6017" s="367">
        <f>K6016</f>
        <v>40495</v>
      </c>
    </row>
    <row r="6018" spans="1:13" ht="11.25" customHeight="1" x14ac:dyDescent="0.2">
      <c r="A6018" s="358">
        <v>2024</v>
      </c>
      <c r="B6018" s="358">
        <v>10</v>
      </c>
      <c r="C6018" s="358">
        <v>24</v>
      </c>
      <c r="D6018" s="312">
        <f t="shared" si="685"/>
        <v>45589</v>
      </c>
      <c r="E6018" s="313">
        <f>DATE(A6018,B6018,C6018)</f>
        <v>45589</v>
      </c>
      <c r="F6018" s="482" t="s">
        <v>1713</v>
      </c>
      <c r="G6018" s="314" t="s">
        <v>86</v>
      </c>
      <c r="H6018" s="324"/>
      <c r="I6018" s="324"/>
      <c r="J6018" s="364" t="s">
        <v>1622</v>
      </c>
      <c r="K6018" s="365">
        <v>54185.115000002086</v>
      </c>
      <c r="L6018" s="365"/>
    </row>
    <row r="6019" spans="1:13" ht="11.25" customHeight="1" x14ac:dyDescent="0.2">
      <c r="A6019" s="320">
        <v>2024</v>
      </c>
      <c r="B6019" s="320">
        <v>10</v>
      </c>
      <c r="C6019" s="320">
        <v>24</v>
      </c>
      <c r="D6019" s="323">
        <f t="shared" si="685"/>
        <v>45589</v>
      </c>
      <c r="E6019" s="321">
        <f t="shared" ref="E6019:E6037" si="691">DATE(A6019,B6019,C6019)</f>
        <v>45589</v>
      </c>
      <c r="F6019" s="483"/>
      <c r="G6019" s="322" t="s">
        <v>86</v>
      </c>
      <c r="H6019" s="325"/>
      <c r="I6019" s="325"/>
      <c r="J6019" s="366" t="s">
        <v>1614</v>
      </c>
      <c r="K6019" s="367"/>
      <c r="L6019" s="367">
        <f>K6018</f>
        <v>54185.115000002086</v>
      </c>
    </row>
    <row r="6020" spans="1:13" ht="11.25" customHeight="1" x14ac:dyDescent="0.2">
      <c r="A6020" s="236">
        <v>2024</v>
      </c>
      <c r="B6020" s="236">
        <v>10</v>
      </c>
      <c r="C6020" s="236">
        <v>24</v>
      </c>
      <c r="D6020" s="237">
        <f t="shared" si="685"/>
        <v>45589</v>
      </c>
      <c r="E6020" s="238">
        <f t="shared" si="691"/>
        <v>45589</v>
      </c>
      <c r="F6020" s="476" t="s">
        <v>1118</v>
      </c>
      <c r="G6020" s="239" t="s">
        <v>86</v>
      </c>
      <c r="H6020" s="239"/>
      <c r="I6020" s="240"/>
      <c r="J6020" s="241" t="s">
        <v>82</v>
      </c>
      <c r="K6020" s="242">
        <v>2163139.0199999809</v>
      </c>
      <c r="L6020" s="242"/>
    </row>
    <row r="6021" spans="1:13" ht="11.25" customHeight="1" x14ac:dyDescent="0.2">
      <c r="A6021" s="243">
        <v>2024</v>
      </c>
      <c r="B6021" s="243">
        <v>10</v>
      </c>
      <c r="C6021" s="243">
        <v>24</v>
      </c>
      <c r="D6021" s="248">
        <f t="shared" si="685"/>
        <v>45589</v>
      </c>
      <c r="E6021" s="249">
        <f t="shared" si="691"/>
        <v>45589</v>
      </c>
      <c r="F6021" s="477"/>
      <c r="G6021" s="244" t="s">
        <v>86</v>
      </c>
      <c r="H6021" s="244"/>
      <c r="I6021" s="245"/>
      <c r="J6021" s="246" t="s">
        <v>98</v>
      </c>
      <c r="K6021" s="247"/>
      <c r="L6021" s="247">
        <f>K6020</f>
        <v>2163139.0199999809</v>
      </c>
    </row>
    <row r="6022" spans="1:13" ht="11.25" customHeight="1" x14ac:dyDescent="0.2">
      <c r="A6022" s="236">
        <v>2024</v>
      </c>
      <c r="B6022" s="236">
        <v>10</v>
      </c>
      <c r="C6022" s="236">
        <v>24</v>
      </c>
      <c r="D6022" s="237">
        <f t="shared" si="685"/>
        <v>45589</v>
      </c>
      <c r="E6022" s="238">
        <f t="shared" si="691"/>
        <v>45589</v>
      </c>
      <c r="F6022" s="476" t="s">
        <v>1120</v>
      </c>
      <c r="G6022" s="239" t="s">
        <v>86</v>
      </c>
      <c r="H6022" s="239"/>
      <c r="I6022" s="240"/>
      <c r="J6022" s="241" t="s">
        <v>87</v>
      </c>
      <c r="K6022" s="242">
        <v>2747.2527472527472</v>
      </c>
      <c r="L6022" s="242"/>
    </row>
    <row r="6023" spans="1:13" ht="11.25" customHeight="1" x14ac:dyDescent="0.2">
      <c r="A6023" s="243">
        <v>2024</v>
      </c>
      <c r="B6023" s="243">
        <v>10</v>
      </c>
      <c r="C6023" s="243">
        <v>24</v>
      </c>
      <c r="D6023" s="248">
        <f t="shared" si="685"/>
        <v>45589</v>
      </c>
      <c r="E6023" s="249">
        <f t="shared" si="691"/>
        <v>45589</v>
      </c>
      <c r="F6023" s="477"/>
      <c r="G6023" s="244" t="s">
        <v>86</v>
      </c>
      <c r="H6023" s="244"/>
      <c r="I6023" s="245"/>
      <c r="J6023" s="246" t="s">
        <v>64</v>
      </c>
      <c r="K6023" s="247"/>
      <c r="L6023" s="247">
        <v>2747.2527472527472</v>
      </c>
    </row>
    <row r="6024" spans="1:13" ht="11.25" customHeight="1" x14ac:dyDescent="0.2">
      <c r="A6024" s="236">
        <v>2024</v>
      </c>
      <c r="B6024" s="236">
        <v>10</v>
      </c>
      <c r="C6024" s="236">
        <v>24</v>
      </c>
      <c r="D6024" s="237">
        <f t="shared" si="685"/>
        <v>45589</v>
      </c>
      <c r="E6024" s="238">
        <f t="shared" si="691"/>
        <v>45589</v>
      </c>
      <c r="F6024" s="476" t="s">
        <v>1121</v>
      </c>
      <c r="G6024" s="239" t="s">
        <v>86</v>
      </c>
      <c r="H6024" s="239"/>
      <c r="I6024" s="240"/>
      <c r="J6024" s="241" t="s">
        <v>89</v>
      </c>
      <c r="K6024" s="242">
        <f>M6024</f>
        <v>67086.452138017281</v>
      </c>
      <c r="L6024" s="242"/>
      <c r="M6024" s="156">
        <v>67086.452138017281</v>
      </c>
    </row>
    <row r="6025" spans="1:13" ht="11.25" customHeight="1" x14ac:dyDescent="0.2">
      <c r="A6025" s="243">
        <v>2024</v>
      </c>
      <c r="B6025" s="243">
        <v>10</v>
      </c>
      <c r="C6025" s="243">
        <v>24</v>
      </c>
      <c r="D6025" s="248">
        <f t="shared" ref="D6025:D6088" si="692">DATE(A6025,B6025,C6025)</f>
        <v>45589</v>
      </c>
      <c r="E6025" s="249">
        <f t="shared" si="691"/>
        <v>45589</v>
      </c>
      <c r="F6025" s="477"/>
      <c r="G6025" s="244" t="s">
        <v>86</v>
      </c>
      <c r="H6025" s="244"/>
      <c r="I6025" s="245"/>
      <c r="J6025" s="246" t="s">
        <v>50</v>
      </c>
      <c r="K6025" s="247"/>
      <c r="L6025" s="247">
        <f>K6024</f>
        <v>67086.452138017281</v>
      </c>
      <c r="M6025" s="156">
        <v>3113.937991516249</v>
      </c>
    </row>
    <row r="6026" spans="1:13" ht="11.25" customHeight="1" x14ac:dyDescent="0.2">
      <c r="A6026" s="236">
        <v>2024</v>
      </c>
      <c r="B6026" s="236">
        <v>10</v>
      </c>
      <c r="C6026" s="236">
        <v>24</v>
      </c>
      <c r="D6026" s="237">
        <f t="shared" si="692"/>
        <v>45589</v>
      </c>
      <c r="E6026" s="238">
        <f t="shared" si="691"/>
        <v>45589</v>
      </c>
      <c r="F6026" s="476" t="s">
        <v>1122</v>
      </c>
      <c r="G6026" s="239" t="s">
        <v>86</v>
      </c>
      <c r="H6026" s="239"/>
      <c r="I6026" s="240"/>
      <c r="J6026" s="241" t="s">
        <v>91</v>
      </c>
      <c r="K6026" s="242">
        <f>M6025</f>
        <v>3113.937991516249</v>
      </c>
      <c r="L6026" s="242"/>
    </row>
    <row r="6027" spans="1:13" ht="11.25" customHeight="1" x14ac:dyDescent="0.2">
      <c r="A6027" s="243">
        <v>2024</v>
      </c>
      <c r="B6027" s="243">
        <v>10</v>
      </c>
      <c r="C6027" s="243">
        <v>24</v>
      </c>
      <c r="D6027" s="248">
        <f t="shared" si="692"/>
        <v>45589</v>
      </c>
      <c r="E6027" s="249">
        <f t="shared" si="691"/>
        <v>45589</v>
      </c>
      <c r="F6027" s="477"/>
      <c r="G6027" s="244" t="s">
        <v>86</v>
      </c>
      <c r="H6027" s="244"/>
      <c r="I6027" s="245"/>
      <c r="J6027" s="246" t="s">
        <v>51</v>
      </c>
      <c r="K6027" s="247"/>
      <c r="L6027" s="247">
        <f>K6026</f>
        <v>3113.937991516249</v>
      </c>
    </row>
    <row r="6028" spans="1:13" ht="11.25" customHeight="1" x14ac:dyDescent="0.2">
      <c r="A6028" s="221">
        <v>2024</v>
      </c>
      <c r="B6028" s="221">
        <v>10</v>
      </c>
      <c r="C6028" s="221">
        <v>27</v>
      </c>
      <c r="D6028" s="221">
        <f t="shared" si="692"/>
        <v>45592</v>
      </c>
      <c r="E6028" s="233">
        <f t="shared" si="691"/>
        <v>45592</v>
      </c>
      <c r="F6028" s="478" t="s">
        <v>1759</v>
      </c>
      <c r="G6028" s="222" t="s">
        <v>86</v>
      </c>
      <c r="H6028" s="222"/>
      <c r="I6028" s="223"/>
      <c r="J6028" s="224" t="s">
        <v>80</v>
      </c>
      <c r="K6028" s="225">
        <v>1558941.4</v>
      </c>
      <c r="L6028" s="225"/>
    </row>
    <row r="6029" spans="1:13" ht="11.25" customHeight="1" x14ac:dyDescent="0.2">
      <c r="A6029" s="164">
        <v>2024</v>
      </c>
      <c r="B6029" s="164">
        <v>10</v>
      </c>
      <c r="C6029" s="164">
        <v>27</v>
      </c>
      <c r="D6029" s="164">
        <f t="shared" si="692"/>
        <v>45592</v>
      </c>
      <c r="E6029" s="235">
        <f t="shared" si="691"/>
        <v>45592</v>
      </c>
      <c r="F6029" s="480"/>
      <c r="G6029" s="208" t="s">
        <v>86</v>
      </c>
      <c r="H6029" s="208"/>
      <c r="J6029" s="165" t="s">
        <v>960</v>
      </c>
      <c r="K6029" s="205">
        <v>2806.0945999999999</v>
      </c>
      <c r="L6029" s="205"/>
    </row>
    <row r="6030" spans="1:13" ht="11.25" customHeight="1" x14ac:dyDescent="0.2">
      <c r="A6030" s="226">
        <v>2024</v>
      </c>
      <c r="B6030" s="226">
        <v>10</v>
      </c>
      <c r="C6030" s="226">
        <v>27</v>
      </c>
      <c r="D6030" s="226">
        <f t="shared" si="692"/>
        <v>45592</v>
      </c>
      <c r="E6030" s="234">
        <f t="shared" si="691"/>
        <v>45592</v>
      </c>
      <c r="F6030" s="479"/>
      <c r="G6030" s="227" t="s">
        <v>86</v>
      </c>
      <c r="H6030" s="227"/>
      <c r="I6030" s="228"/>
      <c r="J6030" s="229" t="s">
        <v>961</v>
      </c>
      <c r="K6030" s="294"/>
      <c r="L6030" s="230">
        <v>1561747.4946000001</v>
      </c>
    </row>
    <row r="6031" spans="1:13" ht="11.25" customHeight="1" x14ac:dyDescent="0.2">
      <c r="A6031" s="221">
        <v>2024</v>
      </c>
      <c r="B6031" s="221">
        <v>10</v>
      </c>
      <c r="C6031" s="231">
        <v>27</v>
      </c>
      <c r="D6031" s="231">
        <f t="shared" si="692"/>
        <v>45592</v>
      </c>
      <c r="E6031" s="233">
        <f t="shared" si="691"/>
        <v>45592</v>
      </c>
      <c r="F6031" s="478" t="s">
        <v>1670</v>
      </c>
      <c r="G6031" s="222" t="s">
        <v>1111</v>
      </c>
      <c r="H6031" s="223"/>
      <c r="I6031" s="223"/>
      <c r="J6031" s="224" t="s">
        <v>63</v>
      </c>
      <c r="K6031" s="225">
        <v>100</v>
      </c>
      <c r="L6031" s="225"/>
    </row>
    <row r="6032" spans="1:13" ht="11.25" customHeight="1" x14ac:dyDescent="0.2">
      <c r="A6032" s="226">
        <v>2024</v>
      </c>
      <c r="B6032" s="226">
        <v>10</v>
      </c>
      <c r="C6032" s="232">
        <v>27</v>
      </c>
      <c r="D6032" s="232">
        <f t="shared" si="692"/>
        <v>45592</v>
      </c>
      <c r="E6032" s="234">
        <f t="shared" si="691"/>
        <v>45592</v>
      </c>
      <c r="F6032" s="479"/>
      <c r="G6032" s="227" t="s">
        <v>1111</v>
      </c>
      <c r="H6032" s="228"/>
      <c r="I6032" s="228"/>
      <c r="J6032" s="229" t="s">
        <v>55</v>
      </c>
      <c r="K6032" s="230"/>
      <c r="L6032" s="230">
        <v>100</v>
      </c>
    </row>
    <row r="6033" spans="1:12" ht="11.25" customHeight="1" x14ac:dyDescent="0.2">
      <c r="A6033" s="221">
        <v>2024</v>
      </c>
      <c r="B6033" s="221">
        <v>10</v>
      </c>
      <c r="C6033" s="221">
        <v>27</v>
      </c>
      <c r="D6033" s="231">
        <f t="shared" si="692"/>
        <v>45592</v>
      </c>
      <c r="E6033" s="233">
        <f t="shared" si="691"/>
        <v>45592</v>
      </c>
      <c r="F6033" s="478" t="s">
        <v>1132</v>
      </c>
      <c r="G6033" s="222" t="s">
        <v>1111</v>
      </c>
      <c r="H6033" s="223"/>
      <c r="I6033" s="223"/>
      <c r="J6033" s="224" t="s">
        <v>55</v>
      </c>
      <c r="K6033" s="167">
        <v>19000</v>
      </c>
      <c r="L6033" s="225"/>
    </row>
    <row r="6034" spans="1:12" ht="11.25" customHeight="1" x14ac:dyDescent="0.2">
      <c r="A6034" s="164">
        <v>2024</v>
      </c>
      <c r="B6034" s="164">
        <v>10</v>
      </c>
      <c r="C6034" s="164">
        <v>27</v>
      </c>
      <c r="D6034" s="156">
        <f t="shared" si="692"/>
        <v>45592</v>
      </c>
      <c r="E6034" s="235">
        <f t="shared" si="691"/>
        <v>45592</v>
      </c>
      <c r="F6034" s="480"/>
      <c r="G6034" s="208" t="s">
        <v>1111</v>
      </c>
      <c r="J6034" s="165" t="s">
        <v>14</v>
      </c>
      <c r="L6034" s="205">
        <v>18020</v>
      </c>
    </row>
    <row r="6035" spans="1:12" ht="11.25" customHeight="1" x14ac:dyDescent="0.2">
      <c r="A6035" s="226">
        <v>2024</v>
      </c>
      <c r="B6035" s="226">
        <v>10</v>
      </c>
      <c r="C6035" s="226">
        <v>27</v>
      </c>
      <c r="D6035" s="232">
        <f t="shared" si="692"/>
        <v>45592</v>
      </c>
      <c r="E6035" s="234">
        <f t="shared" si="691"/>
        <v>45592</v>
      </c>
      <c r="F6035" s="479"/>
      <c r="G6035" s="227" t="s">
        <v>1111</v>
      </c>
      <c r="H6035" s="228"/>
      <c r="I6035" s="228"/>
      <c r="J6035" s="229" t="s">
        <v>1112</v>
      </c>
      <c r="K6035" s="230"/>
      <c r="L6035" s="230">
        <v>980</v>
      </c>
    </row>
    <row r="6036" spans="1:12" ht="11.25" customHeight="1" x14ac:dyDescent="0.2">
      <c r="A6036" s="221">
        <v>2024</v>
      </c>
      <c r="B6036" s="221">
        <v>10</v>
      </c>
      <c r="C6036" s="231">
        <v>28</v>
      </c>
      <c r="D6036" s="231">
        <f t="shared" si="692"/>
        <v>45593</v>
      </c>
      <c r="E6036" s="233">
        <f t="shared" si="691"/>
        <v>45593</v>
      </c>
      <c r="F6036" s="478" t="s">
        <v>1758</v>
      </c>
      <c r="G6036" s="222" t="s">
        <v>1111</v>
      </c>
      <c r="H6036" s="223"/>
      <c r="I6036" s="223"/>
      <c r="J6036" s="224" t="s">
        <v>55</v>
      </c>
      <c r="K6036" s="225">
        <v>1305535.5</v>
      </c>
      <c r="L6036" s="225"/>
    </row>
    <row r="6037" spans="1:12" ht="11.25" customHeight="1" x14ac:dyDescent="0.2">
      <c r="A6037" s="226">
        <v>2024</v>
      </c>
      <c r="B6037" s="226">
        <v>10</v>
      </c>
      <c r="C6037" s="232">
        <v>28</v>
      </c>
      <c r="D6037" s="232">
        <f t="shared" si="692"/>
        <v>45593</v>
      </c>
      <c r="E6037" s="234">
        <f t="shared" si="691"/>
        <v>45593</v>
      </c>
      <c r="F6037" s="479"/>
      <c r="G6037" s="227" t="s">
        <v>1111</v>
      </c>
      <c r="H6037" s="228"/>
      <c r="I6037" s="228"/>
      <c r="J6037" s="229" t="s">
        <v>199</v>
      </c>
      <c r="K6037" s="230"/>
      <c r="L6037" s="230">
        <v>1305535.5</v>
      </c>
    </row>
    <row r="6038" spans="1:12" ht="11.25" customHeight="1" x14ac:dyDescent="0.2">
      <c r="A6038" s="221">
        <v>2024</v>
      </c>
      <c r="B6038" s="221">
        <v>10</v>
      </c>
      <c r="C6038" s="231">
        <v>28</v>
      </c>
      <c r="D6038" s="231">
        <f t="shared" si="692"/>
        <v>45593</v>
      </c>
      <c r="E6038" s="233">
        <f t="shared" ref="E6038:E6039" si="693">DATE(A6038,B6038,C6038)</f>
        <v>45593</v>
      </c>
      <c r="F6038" s="478" t="s">
        <v>1799</v>
      </c>
      <c r="G6038" s="222" t="s">
        <v>1111</v>
      </c>
      <c r="H6038" s="223"/>
      <c r="I6038" s="223"/>
      <c r="J6038" s="224" t="s">
        <v>55</v>
      </c>
      <c r="K6038" s="225">
        <v>1098538.27</v>
      </c>
      <c r="L6038" s="225"/>
    </row>
    <row r="6039" spans="1:12" ht="11.25" customHeight="1" x14ac:dyDescent="0.2">
      <c r="A6039" s="226">
        <v>2024</v>
      </c>
      <c r="B6039" s="226">
        <v>10</v>
      </c>
      <c r="C6039" s="232">
        <v>28</v>
      </c>
      <c r="D6039" s="232">
        <f t="shared" si="692"/>
        <v>45593</v>
      </c>
      <c r="E6039" s="234">
        <f t="shared" si="693"/>
        <v>45593</v>
      </c>
      <c r="F6039" s="479"/>
      <c r="G6039" s="227" t="s">
        <v>1111</v>
      </c>
      <c r="H6039" s="228"/>
      <c r="I6039" s="228"/>
      <c r="J6039" s="229" t="s">
        <v>199</v>
      </c>
      <c r="K6039" s="230"/>
      <c r="L6039" s="230">
        <v>1098538.27</v>
      </c>
    </row>
    <row r="6040" spans="1:12" ht="11.25" customHeight="1" x14ac:dyDescent="0.2">
      <c r="A6040" s="221">
        <v>2024</v>
      </c>
      <c r="B6040" s="221">
        <v>10</v>
      </c>
      <c r="C6040" s="221">
        <v>28</v>
      </c>
      <c r="D6040" s="231">
        <f t="shared" si="692"/>
        <v>45593</v>
      </c>
      <c r="E6040" s="233">
        <f>DATE(A6040,B6040,C6040)</f>
        <v>45593</v>
      </c>
      <c r="F6040" s="478" t="s">
        <v>1802</v>
      </c>
      <c r="G6040" s="222" t="s">
        <v>1111</v>
      </c>
      <c r="H6040" s="223"/>
      <c r="I6040" s="223"/>
      <c r="J6040" s="224" t="s">
        <v>51</v>
      </c>
      <c r="K6040" s="225">
        <v>80795.02</v>
      </c>
      <c r="L6040" s="225"/>
    </row>
    <row r="6041" spans="1:12" ht="11.25" customHeight="1" x14ac:dyDescent="0.2">
      <c r="A6041" s="164">
        <v>2024</v>
      </c>
      <c r="B6041" s="164">
        <v>10</v>
      </c>
      <c r="C6041" s="164">
        <v>28</v>
      </c>
      <c r="D6041" s="156">
        <f t="shared" si="692"/>
        <v>45593</v>
      </c>
      <c r="E6041" s="235">
        <f>DATE(A6041,B6041,C6041)</f>
        <v>45593</v>
      </c>
      <c r="F6041" s="480"/>
      <c r="G6041" s="208" t="s">
        <v>1111</v>
      </c>
      <c r="J6041" s="165" t="s">
        <v>478</v>
      </c>
      <c r="K6041" s="205"/>
      <c r="L6041" s="205">
        <v>8079.5</v>
      </c>
    </row>
    <row r="6042" spans="1:12" ht="11.25" customHeight="1" x14ac:dyDescent="0.2">
      <c r="A6042" s="226">
        <v>2024</v>
      </c>
      <c r="B6042" s="226">
        <v>10</v>
      </c>
      <c r="C6042" s="226">
        <v>28</v>
      </c>
      <c r="D6042" s="232">
        <f t="shared" si="692"/>
        <v>45593</v>
      </c>
      <c r="E6042" s="234">
        <f>DATE(A6042,B6042,C6042)</f>
        <v>45593</v>
      </c>
      <c r="F6042" s="479"/>
      <c r="G6042" s="227" t="s">
        <v>1111</v>
      </c>
      <c r="H6042" s="228"/>
      <c r="I6042" s="228"/>
      <c r="J6042" s="229" t="s">
        <v>55</v>
      </c>
      <c r="K6042" s="230"/>
      <c r="L6042" s="230">
        <v>72715.520000000004</v>
      </c>
    </row>
    <row r="6043" spans="1:12" ht="11.25" customHeight="1" x14ac:dyDescent="0.2">
      <c r="A6043" s="221">
        <v>2024</v>
      </c>
      <c r="B6043" s="221">
        <v>10</v>
      </c>
      <c r="C6043" s="221">
        <v>28</v>
      </c>
      <c r="D6043" s="221">
        <f t="shared" si="692"/>
        <v>45593</v>
      </c>
      <c r="E6043" s="233">
        <f t="shared" ref="E6043:E6052" si="694">DATE(A6043,B6043,C6043)</f>
        <v>45593</v>
      </c>
      <c r="F6043" s="478" t="s">
        <v>1593</v>
      </c>
      <c r="G6043" s="222" t="s">
        <v>86</v>
      </c>
      <c r="H6043" s="222"/>
      <c r="I6043" s="223"/>
      <c r="J6043" s="224" t="s">
        <v>80</v>
      </c>
      <c r="K6043" s="225">
        <v>1172118</v>
      </c>
      <c r="L6043" s="225"/>
    </row>
    <row r="6044" spans="1:12" ht="11.25" customHeight="1" x14ac:dyDescent="0.2">
      <c r="A6044" s="164">
        <v>2024</v>
      </c>
      <c r="B6044" s="164">
        <v>10</v>
      </c>
      <c r="C6044" s="164">
        <v>28</v>
      </c>
      <c r="D6044" s="164">
        <f t="shared" si="692"/>
        <v>45593</v>
      </c>
      <c r="E6044" s="235">
        <f t="shared" si="694"/>
        <v>45593</v>
      </c>
      <c r="F6044" s="480"/>
      <c r="G6044" s="208" t="s">
        <v>86</v>
      </c>
      <c r="H6044" s="208"/>
      <c r="J6044" s="165" t="s">
        <v>960</v>
      </c>
      <c r="K6044" s="205">
        <v>2109.8123999999998</v>
      </c>
      <c r="L6044" s="205"/>
    </row>
    <row r="6045" spans="1:12" ht="11.25" customHeight="1" x14ac:dyDescent="0.2">
      <c r="A6045" s="226">
        <v>2024</v>
      </c>
      <c r="B6045" s="226">
        <v>10</v>
      </c>
      <c r="C6045" s="226">
        <v>28</v>
      </c>
      <c r="D6045" s="226">
        <f t="shared" si="692"/>
        <v>45593</v>
      </c>
      <c r="E6045" s="234">
        <f t="shared" si="694"/>
        <v>45593</v>
      </c>
      <c r="F6045" s="479"/>
      <c r="G6045" s="227" t="s">
        <v>86</v>
      </c>
      <c r="H6045" s="227"/>
      <c r="I6045" s="228"/>
      <c r="J6045" s="229" t="s">
        <v>961</v>
      </c>
      <c r="K6045" s="294"/>
      <c r="L6045" s="230">
        <v>1174227.8123999999</v>
      </c>
    </row>
    <row r="6046" spans="1:12" ht="11.25" customHeight="1" x14ac:dyDescent="0.2">
      <c r="A6046" s="221">
        <v>2024</v>
      </c>
      <c r="B6046" s="221">
        <v>10</v>
      </c>
      <c r="C6046" s="221">
        <v>28</v>
      </c>
      <c r="D6046" s="231">
        <f t="shared" si="692"/>
        <v>45593</v>
      </c>
      <c r="E6046" s="233">
        <f t="shared" si="694"/>
        <v>45593</v>
      </c>
      <c r="F6046" s="478" t="s">
        <v>1803</v>
      </c>
      <c r="G6046" s="222" t="s">
        <v>1111</v>
      </c>
      <c r="H6046" s="223"/>
      <c r="I6046" s="223"/>
      <c r="J6046" s="165" t="s">
        <v>55</v>
      </c>
      <c r="K6046" s="225">
        <v>112500</v>
      </c>
      <c r="L6046" s="225"/>
    </row>
    <row r="6047" spans="1:12" ht="11.25" customHeight="1" x14ac:dyDescent="0.2">
      <c r="A6047" s="226">
        <v>2024</v>
      </c>
      <c r="B6047" s="226">
        <v>10</v>
      </c>
      <c r="C6047" s="226">
        <v>28</v>
      </c>
      <c r="D6047" s="232">
        <f t="shared" si="692"/>
        <v>45593</v>
      </c>
      <c r="E6047" s="234">
        <f t="shared" si="694"/>
        <v>45593</v>
      </c>
      <c r="F6047" s="479"/>
      <c r="G6047" s="227" t="s">
        <v>1111</v>
      </c>
      <c r="H6047" s="228"/>
      <c r="I6047" s="228"/>
      <c r="J6047" s="229" t="s">
        <v>131</v>
      </c>
      <c r="K6047" s="230"/>
      <c r="L6047" s="230">
        <v>112500</v>
      </c>
    </row>
    <row r="6048" spans="1:12" ht="11.25" customHeight="1" x14ac:dyDescent="0.2">
      <c r="A6048" s="221">
        <v>2024</v>
      </c>
      <c r="B6048" s="221">
        <v>10</v>
      </c>
      <c r="C6048" s="231">
        <v>30</v>
      </c>
      <c r="D6048" s="231">
        <f t="shared" si="692"/>
        <v>45595</v>
      </c>
      <c r="E6048" s="233">
        <f t="shared" si="694"/>
        <v>45595</v>
      </c>
      <c r="F6048" s="478" t="s">
        <v>1719</v>
      </c>
      <c r="G6048" s="222" t="s">
        <v>1111</v>
      </c>
      <c r="H6048" s="223"/>
      <c r="I6048" s="223"/>
      <c r="J6048" s="224" t="s">
        <v>63</v>
      </c>
      <c r="K6048" s="225">
        <v>10</v>
      </c>
      <c r="L6048" s="225"/>
    </row>
    <row r="6049" spans="1:12" ht="11.25" customHeight="1" x14ac:dyDescent="0.2">
      <c r="A6049" s="226">
        <v>2024</v>
      </c>
      <c r="B6049" s="226">
        <v>10</v>
      </c>
      <c r="C6049" s="232">
        <v>30</v>
      </c>
      <c r="D6049" s="232">
        <f t="shared" si="692"/>
        <v>45595</v>
      </c>
      <c r="E6049" s="234">
        <f t="shared" si="694"/>
        <v>45595</v>
      </c>
      <c r="F6049" s="479"/>
      <c r="G6049" s="227" t="s">
        <v>1111</v>
      </c>
      <c r="H6049" s="228"/>
      <c r="I6049" s="228"/>
      <c r="J6049" s="229" t="s">
        <v>55</v>
      </c>
      <c r="K6049" s="230"/>
      <c r="L6049" s="230">
        <v>10</v>
      </c>
    </row>
    <row r="6050" spans="1:12" ht="11.25" customHeight="1" x14ac:dyDescent="0.2">
      <c r="A6050" s="221">
        <v>2024</v>
      </c>
      <c r="B6050" s="221">
        <v>10</v>
      </c>
      <c r="C6050" s="221">
        <v>29</v>
      </c>
      <c r="D6050" s="231">
        <f t="shared" si="692"/>
        <v>45594</v>
      </c>
      <c r="E6050" s="233">
        <f t="shared" si="694"/>
        <v>45594</v>
      </c>
      <c r="F6050" s="478" t="s">
        <v>802</v>
      </c>
      <c r="G6050" s="222" t="s">
        <v>1111</v>
      </c>
      <c r="H6050" s="223"/>
      <c r="I6050" s="223" t="s">
        <v>390</v>
      </c>
      <c r="J6050" s="224" t="s">
        <v>55</v>
      </c>
      <c r="K6050" s="167">
        <v>1050000</v>
      </c>
      <c r="L6050" s="225"/>
    </row>
    <row r="6051" spans="1:12" ht="11.25" customHeight="1" x14ac:dyDescent="0.2">
      <c r="A6051" s="164">
        <v>2024</v>
      </c>
      <c r="B6051" s="164">
        <v>10</v>
      </c>
      <c r="C6051" s="164">
        <v>29</v>
      </c>
      <c r="D6051" s="156">
        <f t="shared" si="692"/>
        <v>45594</v>
      </c>
      <c r="E6051" s="235">
        <f t="shared" si="694"/>
        <v>45594</v>
      </c>
      <c r="F6051" s="480"/>
      <c r="G6051" s="208" t="s">
        <v>1111</v>
      </c>
      <c r="I6051" s="206" t="s">
        <v>390</v>
      </c>
      <c r="J6051" s="165" t="s">
        <v>14</v>
      </c>
      <c r="L6051" s="418">
        <v>995360</v>
      </c>
    </row>
    <row r="6052" spans="1:12" ht="11.25" customHeight="1" x14ac:dyDescent="0.2">
      <c r="A6052" s="226">
        <v>2024</v>
      </c>
      <c r="B6052" s="226">
        <v>10</v>
      </c>
      <c r="C6052" s="226">
        <v>29</v>
      </c>
      <c r="D6052" s="232">
        <f t="shared" si="692"/>
        <v>45594</v>
      </c>
      <c r="E6052" s="234">
        <f t="shared" si="694"/>
        <v>45594</v>
      </c>
      <c r="F6052" s="479"/>
      <c r="G6052" s="227" t="s">
        <v>1111</v>
      </c>
      <c r="H6052" s="228"/>
      <c r="I6052" s="228" t="s">
        <v>390</v>
      </c>
      <c r="J6052" s="229" t="s">
        <v>1112</v>
      </c>
      <c r="K6052" s="230"/>
      <c r="L6052" s="230">
        <v>54640</v>
      </c>
    </row>
    <row r="6053" spans="1:12" ht="11.25" customHeight="1" x14ac:dyDescent="0.2">
      <c r="A6053" s="221">
        <v>2024</v>
      </c>
      <c r="B6053" s="221">
        <v>10</v>
      </c>
      <c r="C6053" s="221">
        <v>29</v>
      </c>
      <c r="D6053" s="231">
        <f t="shared" si="692"/>
        <v>45594</v>
      </c>
      <c r="E6053" s="233">
        <f t="shared" ref="E6053:E6055" si="695">DATE(A6053,B6053,C6053)</f>
        <v>45594</v>
      </c>
      <c r="F6053" s="478" t="s">
        <v>802</v>
      </c>
      <c r="G6053" s="222" t="s">
        <v>1111</v>
      </c>
      <c r="H6053" s="223"/>
      <c r="I6053" s="223" t="s">
        <v>322</v>
      </c>
      <c r="J6053" s="224" t="s">
        <v>55</v>
      </c>
      <c r="K6053" s="167">
        <v>630000</v>
      </c>
      <c r="L6053" s="225"/>
    </row>
    <row r="6054" spans="1:12" ht="11.25" customHeight="1" x14ac:dyDescent="0.2">
      <c r="A6054" s="164">
        <v>2024</v>
      </c>
      <c r="B6054" s="164">
        <v>10</v>
      </c>
      <c r="C6054" s="164">
        <v>29</v>
      </c>
      <c r="D6054" s="156">
        <f t="shared" si="692"/>
        <v>45594</v>
      </c>
      <c r="E6054" s="235">
        <f t="shared" si="695"/>
        <v>45594</v>
      </c>
      <c r="F6054" s="480"/>
      <c r="G6054" s="208" t="s">
        <v>1111</v>
      </c>
      <c r="I6054" s="206" t="s">
        <v>322</v>
      </c>
      <c r="J6054" s="165" t="s">
        <v>14</v>
      </c>
      <c r="L6054" s="418">
        <v>597210</v>
      </c>
    </row>
    <row r="6055" spans="1:12" ht="11.25" customHeight="1" x14ac:dyDescent="0.2">
      <c r="A6055" s="226">
        <v>2024</v>
      </c>
      <c r="B6055" s="226">
        <v>10</v>
      </c>
      <c r="C6055" s="226">
        <v>29</v>
      </c>
      <c r="D6055" s="232">
        <f t="shared" si="692"/>
        <v>45594</v>
      </c>
      <c r="E6055" s="234">
        <f t="shared" si="695"/>
        <v>45594</v>
      </c>
      <c r="F6055" s="479"/>
      <c r="G6055" s="227" t="s">
        <v>1111</v>
      </c>
      <c r="H6055" s="228"/>
      <c r="I6055" s="228" t="s">
        <v>322</v>
      </c>
      <c r="J6055" s="229" t="s">
        <v>1112</v>
      </c>
      <c r="K6055" s="230"/>
      <c r="L6055" s="230">
        <v>32790</v>
      </c>
    </row>
    <row r="6056" spans="1:12" ht="11.25" customHeight="1" x14ac:dyDescent="0.2">
      <c r="A6056" s="221">
        <v>2024</v>
      </c>
      <c r="B6056" s="221">
        <v>10</v>
      </c>
      <c r="C6056" s="221">
        <v>29</v>
      </c>
      <c r="D6056" s="231">
        <f t="shared" si="692"/>
        <v>45594</v>
      </c>
      <c r="E6056" s="233">
        <f t="shared" ref="E6056:E6060" si="696">DATE(A6056,B6056,C6056)</f>
        <v>45594</v>
      </c>
      <c r="F6056" s="478" t="s">
        <v>802</v>
      </c>
      <c r="G6056" s="222" t="s">
        <v>1111</v>
      </c>
      <c r="H6056" s="223"/>
      <c r="I6056" s="223" t="s">
        <v>372</v>
      </c>
      <c r="J6056" s="224" t="s">
        <v>55</v>
      </c>
      <c r="K6056" s="167">
        <v>1450000</v>
      </c>
      <c r="L6056" s="225"/>
    </row>
    <row r="6057" spans="1:12" ht="11.25" customHeight="1" x14ac:dyDescent="0.2">
      <c r="A6057" s="164">
        <v>2024</v>
      </c>
      <c r="B6057" s="164">
        <v>10</v>
      </c>
      <c r="C6057" s="164">
        <v>29</v>
      </c>
      <c r="D6057" s="156">
        <f t="shared" si="692"/>
        <v>45594</v>
      </c>
      <c r="E6057" s="235">
        <f t="shared" si="696"/>
        <v>45594</v>
      </c>
      <c r="F6057" s="480"/>
      <c r="G6057" s="208" t="s">
        <v>1111</v>
      </c>
      <c r="I6057" s="206" t="s">
        <v>372</v>
      </c>
      <c r="J6057" s="165" t="s">
        <v>14</v>
      </c>
      <c r="L6057" s="418">
        <v>1374540</v>
      </c>
    </row>
    <row r="6058" spans="1:12" ht="11.25" customHeight="1" x14ac:dyDescent="0.2">
      <c r="A6058" s="226">
        <v>2024</v>
      </c>
      <c r="B6058" s="226">
        <v>10</v>
      </c>
      <c r="C6058" s="226">
        <v>29</v>
      </c>
      <c r="D6058" s="232">
        <f t="shared" si="692"/>
        <v>45594</v>
      </c>
      <c r="E6058" s="234">
        <f t="shared" si="696"/>
        <v>45594</v>
      </c>
      <c r="F6058" s="479"/>
      <c r="G6058" s="227" t="s">
        <v>1111</v>
      </c>
      <c r="H6058" s="228"/>
      <c r="I6058" s="228" t="s">
        <v>372</v>
      </c>
      <c r="J6058" s="229" t="s">
        <v>1112</v>
      </c>
      <c r="K6058" s="230"/>
      <c r="L6058" s="230">
        <v>75460</v>
      </c>
    </row>
    <row r="6059" spans="1:12" ht="11.25" customHeight="1" x14ac:dyDescent="0.2">
      <c r="A6059" s="221">
        <v>2024</v>
      </c>
      <c r="B6059" s="221">
        <v>10</v>
      </c>
      <c r="C6059" s="231">
        <v>29</v>
      </c>
      <c r="D6059" s="231">
        <f t="shared" si="692"/>
        <v>45594</v>
      </c>
      <c r="E6059" s="233">
        <f t="shared" si="696"/>
        <v>45594</v>
      </c>
      <c r="F6059" s="478" t="s">
        <v>1760</v>
      </c>
      <c r="G6059" s="222" t="s">
        <v>1111</v>
      </c>
      <c r="H6059" s="223"/>
      <c r="I6059" s="223"/>
      <c r="J6059" s="224" t="s">
        <v>961</v>
      </c>
      <c r="K6059" s="225">
        <v>1561747.49</v>
      </c>
      <c r="L6059" s="225"/>
    </row>
    <row r="6060" spans="1:12" ht="11.25" customHeight="1" x14ac:dyDescent="0.2">
      <c r="A6060" s="226">
        <v>2024</v>
      </c>
      <c r="B6060" s="226">
        <v>10</v>
      </c>
      <c r="C6060" s="232">
        <v>29</v>
      </c>
      <c r="D6060" s="232">
        <f t="shared" si="692"/>
        <v>45594</v>
      </c>
      <c r="E6060" s="234">
        <f t="shared" si="696"/>
        <v>45594</v>
      </c>
      <c r="F6060" s="479"/>
      <c r="G6060" s="227" t="s">
        <v>1111</v>
      </c>
      <c r="H6060" s="228"/>
      <c r="I6060" s="228"/>
      <c r="J6060" s="229" t="s">
        <v>55</v>
      </c>
      <c r="K6060" s="230"/>
      <c r="L6060" s="230">
        <v>1561747.49</v>
      </c>
    </row>
    <row r="6061" spans="1:12" ht="11.25" customHeight="1" x14ac:dyDescent="0.2">
      <c r="A6061" s="221">
        <v>2024</v>
      </c>
      <c r="B6061" s="221">
        <v>10</v>
      </c>
      <c r="C6061" s="231">
        <v>29</v>
      </c>
      <c r="D6061" s="231">
        <f t="shared" si="692"/>
        <v>45594</v>
      </c>
      <c r="E6061" s="233">
        <f t="shared" ref="E6061:E6068" si="697">DATE(A6061,B6061,C6061)</f>
        <v>45594</v>
      </c>
      <c r="F6061" s="478" t="s">
        <v>1594</v>
      </c>
      <c r="G6061" s="222" t="s">
        <v>1111</v>
      </c>
      <c r="H6061" s="223"/>
      <c r="I6061" s="223"/>
      <c r="J6061" s="224" t="s">
        <v>961</v>
      </c>
      <c r="K6061" s="225">
        <v>1174227.81</v>
      </c>
      <c r="L6061" s="225"/>
    </row>
    <row r="6062" spans="1:12" ht="11.25" customHeight="1" x14ac:dyDescent="0.2">
      <c r="A6062" s="226">
        <v>2024</v>
      </c>
      <c r="B6062" s="226">
        <v>10</v>
      </c>
      <c r="C6062" s="232">
        <v>29</v>
      </c>
      <c r="D6062" s="232">
        <f t="shared" si="692"/>
        <v>45594</v>
      </c>
      <c r="E6062" s="234">
        <f t="shared" si="697"/>
        <v>45594</v>
      </c>
      <c r="F6062" s="479"/>
      <c r="G6062" s="227" t="s">
        <v>1111</v>
      </c>
      <c r="H6062" s="228"/>
      <c r="I6062" s="228"/>
      <c r="J6062" s="229" t="s">
        <v>55</v>
      </c>
      <c r="K6062" s="230"/>
      <c r="L6062" s="230">
        <v>1174227.81</v>
      </c>
    </row>
    <row r="6063" spans="1:12" ht="11.25" customHeight="1" x14ac:dyDescent="0.2">
      <c r="A6063" s="221">
        <v>2024</v>
      </c>
      <c r="B6063" s="221">
        <v>10</v>
      </c>
      <c r="C6063" s="231">
        <v>29</v>
      </c>
      <c r="D6063" s="231">
        <f t="shared" si="692"/>
        <v>45594</v>
      </c>
      <c r="E6063" s="233">
        <f t="shared" si="697"/>
        <v>45594</v>
      </c>
      <c r="F6063" s="478" t="s">
        <v>1670</v>
      </c>
      <c r="G6063" s="222" t="s">
        <v>1111</v>
      </c>
      <c r="H6063" s="223"/>
      <c r="I6063" s="223"/>
      <c r="J6063" s="224" t="s">
        <v>63</v>
      </c>
      <c r="K6063" s="225">
        <v>200</v>
      </c>
      <c r="L6063" s="225"/>
    </row>
    <row r="6064" spans="1:12" ht="11.25" customHeight="1" x14ac:dyDescent="0.2">
      <c r="A6064" s="226">
        <v>2024</v>
      </c>
      <c r="B6064" s="226">
        <v>10</v>
      </c>
      <c r="C6064" s="232">
        <v>29</v>
      </c>
      <c r="D6064" s="232">
        <f t="shared" si="692"/>
        <v>45594</v>
      </c>
      <c r="E6064" s="234">
        <f t="shared" si="697"/>
        <v>45594</v>
      </c>
      <c r="F6064" s="479"/>
      <c r="G6064" s="227" t="s">
        <v>1111</v>
      </c>
      <c r="H6064" s="228"/>
      <c r="I6064" s="228"/>
      <c r="J6064" s="229" t="s">
        <v>55</v>
      </c>
      <c r="K6064" s="230"/>
      <c r="L6064" s="230">
        <v>200</v>
      </c>
    </row>
    <row r="6065" spans="1:13" ht="11.25" customHeight="1" x14ac:dyDescent="0.2">
      <c r="A6065" s="221">
        <v>2024</v>
      </c>
      <c r="B6065" s="221">
        <v>10</v>
      </c>
      <c r="C6065" s="221">
        <v>29</v>
      </c>
      <c r="D6065" s="221">
        <f t="shared" si="692"/>
        <v>45594</v>
      </c>
      <c r="E6065" s="233">
        <f t="shared" si="697"/>
        <v>45594</v>
      </c>
      <c r="F6065" s="478" t="s">
        <v>1589</v>
      </c>
      <c r="G6065" s="222" t="s">
        <v>86</v>
      </c>
      <c r="H6065" s="222"/>
      <c r="I6065" s="223"/>
      <c r="J6065" s="165" t="s">
        <v>199</v>
      </c>
      <c r="K6065" s="225">
        <v>736671.6</v>
      </c>
      <c r="L6065" s="225"/>
    </row>
    <row r="6066" spans="1:13" ht="11.25" customHeight="1" x14ac:dyDescent="0.2">
      <c r="A6066" s="164">
        <v>2024</v>
      </c>
      <c r="B6066" s="164">
        <v>10</v>
      </c>
      <c r="C6066" s="164">
        <v>29</v>
      </c>
      <c r="D6066" s="164">
        <f t="shared" si="692"/>
        <v>45594</v>
      </c>
      <c r="E6066" s="235">
        <f t="shared" si="697"/>
        <v>45594</v>
      </c>
      <c r="F6066" s="480"/>
      <c r="G6066" s="208" t="s">
        <v>86</v>
      </c>
      <c r="H6066" s="208"/>
      <c r="J6066" s="165" t="s">
        <v>960</v>
      </c>
      <c r="K6066" s="205">
        <v>1328.4</v>
      </c>
      <c r="L6066" s="205"/>
      <c r="M6066" s="401"/>
    </row>
    <row r="6067" spans="1:13" ht="11.25" customHeight="1" x14ac:dyDescent="0.2">
      <c r="A6067" s="164">
        <v>2024</v>
      </c>
      <c r="B6067" s="164">
        <v>10</v>
      </c>
      <c r="C6067" s="164">
        <v>29</v>
      </c>
      <c r="D6067" s="164">
        <f t="shared" si="692"/>
        <v>45594</v>
      </c>
      <c r="E6067" s="235">
        <f t="shared" si="697"/>
        <v>45594</v>
      </c>
      <c r="F6067" s="480"/>
      <c r="G6067" s="208" t="s">
        <v>86</v>
      </c>
      <c r="H6067" s="208"/>
      <c r="J6067" s="165" t="s">
        <v>200</v>
      </c>
      <c r="K6067" s="205"/>
      <c r="L6067" s="205">
        <v>136627.14000000001</v>
      </c>
    </row>
    <row r="6068" spans="1:13" ht="11.25" customHeight="1" x14ac:dyDescent="0.2">
      <c r="A6068" s="226">
        <v>2024</v>
      </c>
      <c r="B6068" s="226">
        <v>10</v>
      </c>
      <c r="C6068" s="226">
        <v>29</v>
      </c>
      <c r="D6068" s="226">
        <f t="shared" si="692"/>
        <v>45594</v>
      </c>
      <c r="E6068" s="234">
        <f t="shared" si="697"/>
        <v>45594</v>
      </c>
      <c r="F6068" s="479"/>
      <c r="G6068" s="227" t="s">
        <v>86</v>
      </c>
      <c r="H6068" s="228"/>
      <c r="I6068" s="228"/>
      <c r="J6068" s="229" t="s">
        <v>80</v>
      </c>
      <c r="K6068" s="230"/>
      <c r="L6068" s="230">
        <v>601372.86</v>
      </c>
    </row>
    <row r="6069" spans="1:13" ht="11.25" customHeight="1" x14ac:dyDescent="0.2">
      <c r="A6069" s="221">
        <v>2024</v>
      </c>
      <c r="B6069" s="221">
        <v>10</v>
      </c>
      <c r="C6069" s="231">
        <v>30</v>
      </c>
      <c r="D6069" s="231">
        <f t="shared" si="692"/>
        <v>45595</v>
      </c>
      <c r="E6069" s="233">
        <f t="shared" ref="E6069:E6080" si="698">DATE(A6069,B6069,C6069)</f>
        <v>45595</v>
      </c>
      <c r="F6069" s="478" t="s">
        <v>1670</v>
      </c>
      <c r="G6069" s="222" t="s">
        <v>1111</v>
      </c>
      <c r="H6069" s="223"/>
      <c r="I6069" s="223"/>
      <c r="J6069" s="224" t="s">
        <v>63</v>
      </c>
      <c r="K6069" s="225">
        <v>100</v>
      </c>
      <c r="L6069" s="225"/>
    </row>
    <row r="6070" spans="1:13" ht="11.25" customHeight="1" x14ac:dyDescent="0.2">
      <c r="A6070" s="226">
        <v>2024</v>
      </c>
      <c r="B6070" s="226">
        <v>10</v>
      </c>
      <c r="C6070" s="232">
        <v>30</v>
      </c>
      <c r="D6070" s="232">
        <f t="shared" si="692"/>
        <v>45595</v>
      </c>
      <c r="E6070" s="234">
        <f t="shared" si="698"/>
        <v>45595</v>
      </c>
      <c r="F6070" s="479"/>
      <c r="G6070" s="227" t="s">
        <v>1111</v>
      </c>
      <c r="H6070" s="228"/>
      <c r="I6070" s="228"/>
      <c r="J6070" s="229" t="s">
        <v>55</v>
      </c>
      <c r="K6070" s="230"/>
      <c r="L6070" s="230">
        <v>100</v>
      </c>
    </row>
    <row r="6071" spans="1:13" ht="11.25" customHeight="1" x14ac:dyDescent="0.2">
      <c r="A6071" s="221">
        <v>2024</v>
      </c>
      <c r="B6071" s="221">
        <v>10</v>
      </c>
      <c r="C6071" s="221">
        <v>30</v>
      </c>
      <c r="D6071" s="221">
        <f t="shared" si="692"/>
        <v>45595</v>
      </c>
      <c r="E6071" s="233">
        <f t="shared" si="698"/>
        <v>45595</v>
      </c>
      <c r="F6071" s="478" t="s">
        <v>1804</v>
      </c>
      <c r="G6071" s="222" t="s">
        <v>86</v>
      </c>
      <c r="H6071" s="222"/>
      <c r="I6071" s="223"/>
      <c r="J6071" s="224" t="s">
        <v>80</v>
      </c>
      <c r="K6071" s="225">
        <v>2053411.2</v>
      </c>
      <c r="L6071" s="225"/>
    </row>
    <row r="6072" spans="1:13" ht="11.25" customHeight="1" x14ac:dyDescent="0.2">
      <c r="A6072" s="164">
        <v>2024</v>
      </c>
      <c r="B6072" s="164">
        <v>10</v>
      </c>
      <c r="C6072" s="164">
        <v>30</v>
      </c>
      <c r="D6072" s="164">
        <f t="shared" si="692"/>
        <v>45595</v>
      </c>
      <c r="E6072" s="235">
        <f t="shared" si="698"/>
        <v>45595</v>
      </c>
      <c r="F6072" s="480"/>
      <c r="G6072" s="208" t="s">
        <v>86</v>
      </c>
      <c r="H6072" s="208"/>
      <c r="J6072" s="165" t="s">
        <v>960</v>
      </c>
      <c r="K6072" s="205">
        <v>7983.9350999999997</v>
      </c>
      <c r="L6072" s="205"/>
    </row>
    <row r="6073" spans="1:13" ht="11.25" customHeight="1" x14ac:dyDescent="0.2">
      <c r="A6073" s="164">
        <v>2024</v>
      </c>
      <c r="B6073" s="164">
        <v>10</v>
      </c>
      <c r="C6073" s="164">
        <v>30</v>
      </c>
      <c r="D6073" s="164">
        <f t="shared" si="692"/>
        <v>45595</v>
      </c>
      <c r="E6073" s="235">
        <f t="shared" si="698"/>
        <v>45595</v>
      </c>
      <c r="F6073" s="480"/>
      <c r="G6073" s="208" t="s">
        <v>86</v>
      </c>
      <c r="H6073" s="208"/>
      <c r="J6073" s="165" t="s">
        <v>199</v>
      </c>
      <c r="K6073" s="205">
        <v>320713.15999999997</v>
      </c>
      <c r="L6073" s="205"/>
    </row>
    <row r="6074" spans="1:13" ht="11.25" customHeight="1" x14ac:dyDescent="0.2">
      <c r="A6074" s="164">
        <v>2024</v>
      </c>
      <c r="B6074" s="164">
        <v>10</v>
      </c>
      <c r="C6074" s="164">
        <v>30</v>
      </c>
      <c r="D6074" s="164">
        <f t="shared" si="692"/>
        <v>45595</v>
      </c>
      <c r="E6074" s="235">
        <f t="shared" si="698"/>
        <v>45595</v>
      </c>
      <c r="F6074" s="480"/>
      <c r="G6074" s="208" t="s">
        <v>86</v>
      </c>
      <c r="H6074" s="208"/>
      <c r="J6074" s="165" t="s">
        <v>200</v>
      </c>
      <c r="K6074" s="263">
        <v>96424.89</v>
      </c>
      <c r="L6074" s="205"/>
    </row>
    <row r="6075" spans="1:13" ht="11.25" customHeight="1" x14ac:dyDescent="0.2">
      <c r="A6075" s="226">
        <v>2024</v>
      </c>
      <c r="B6075" s="226">
        <v>10</v>
      </c>
      <c r="C6075" s="226">
        <v>30</v>
      </c>
      <c r="D6075" s="226">
        <f t="shared" si="692"/>
        <v>45595</v>
      </c>
      <c r="E6075" s="234">
        <f t="shared" si="698"/>
        <v>45595</v>
      </c>
      <c r="F6075" s="479"/>
      <c r="G6075" s="227" t="s">
        <v>86</v>
      </c>
      <c r="H6075" s="228"/>
      <c r="I6075" s="228"/>
      <c r="J6075" s="229" t="s">
        <v>80</v>
      </c>
      <c r="K6075" s="230"/>
      <c r="L6075" s="230">
        <v>2478533.19</v>
      </c>
    </row>
    <row r="6076" spans="1:13" ht="11.25" customHeight="1" x14ac:dyDescent="0.2">
      <c r="A6076" s="221">
        <v>2024</v>
      </c>
      <c r="B6076" s="221">
        <v>10</v>
      </c>
      <c r="C6076" s="221">
        <v>31</v>
      </c>
      <c r="D6076" s="221">
        <f t="shared" si="692"/>
        <v>45596</v>
      </c>
      <c r="E6076" s="233">
        <f t="shared" si="698"/>
        <v>45596</v>
      </c>
      <c r="F6076" s="478" t="s">
        <v>1593</v>
      </c>
      <c r="G6076" s="222" t="s">
        <v>86</v>
      </c>
      <c r="H6076" s="222"/>
      <c r="I6076" s="223"/>
      <c r="J6076" s="224" t="s">
        <v>80</v>
      </c>
      <c r="K6076" s="225">
        <v>2333400</v>
      </c>
      <c r="L6076" s="225"/>
    </row>
    <row r="6077" spans="1:13" ht="11.25" customHeight="1" x14ac:dyDescent="0.2">
      <c r="A6077" s="164">
        <v>2024</v>
      </c>
      <c r="B6077" s="164">
        <v>10</v>
      </c>
      <c r="C6077" s="164">
        <v>31</v>
      </c>
      <c r="D6077" s="164">
        <f t="shared" si="692"/>
        <v>45596</v>
      </c>
      <c r="E6077" s="235">
        <f t="shared" si="698"/>
        <v>45596</v>
      </c>
      <c r="F6077" s="480"/>
      <c r="G6077" s="208" t="s">
        <v>86</v>
      </c>
      <c r="H6077" s="208"/>
      <c r="J6077" s="165" t="s">
        <v>960</v>
      </c>
      <c r="K6077" s="205">
        <v>4200.1198999999997</v>
      </c>
      <c r="L6077" s="205"/>
    </row>
    <row r="6078" spans="1:13" ht="11.25" customHeight="1" x14ac:dyDescent="0.2">
      <c r="A6078" s="226">
        <v>2024</v>
      </c>
      <c r="B6078" s="226">
        <v>10</v>
      </c>
      <c r="C6078" s="226">
        <v>31</v>
      </c>
      <c r="D6078" s="226">
        <f t="shared" si="692"/>
        <v>45596</v>
      </c>
      <c r="E6078" s="234">
        <f t="shared" si="698"/>
        <v>45596</v>
      </c>
      <c r="F6078" s="479"/>
      <c r="G6078" s="227" t="s">
        <v>86</v>
      </c>
      <c r="H6078" s="227"/>
      <c r="I6078" s="228"/>
      <c r="J6078" s="229" t="s">
        <v>961</v>
      </c>
      <c r="K6078" s="294"/>
      <c r="L6078" s="230">
        <v>2337600.1198999998</v>
      </c>
    </row>
    <row r="6079" spans="1:13" ht="11.25" customHeight="1" x14ac:dyDescent="0.2">
      <c r="A6079" s="221">
        <v>2024</v>
      </c>
      <c r="B6079" s="221">
        <v>10</v>
      </c>
      <c r="C6079" s="231">
        <v>31</v>
      </c>
      <c r="D6079" s="231">
        <f t="shared" si="692"/>
        <v>45596</v>
      </c>
      <c r="E6079" s="233">
        <f t="shared" si="698"/>
        <v>45596</v>
      </c>
      <c r="F6079" s="478" t="s">
        <v>1590</v>
      </c>
      <c r="G6079" s="222" t="s">
        <v>1111</v>
      </c>
      <c r="H6079" s="223"/>
      <c r="I6079" s="223"/>
      <c r="J6079" s="224" t="s">
        <v>55</v>
      </c>
      <c r="K6079" s="225">
        <v>736671.6</v>
      </c>
      <c r="L6079" s="225"/>
    </row>
    <row r="6080" spans="1:13" ht="11.25" customHeight="1" x14ac:dyDescent="0.2">
      <c r="A6080" s="226">
        <v>2024</v>
      </c>
      <c r="B6080" s="226">
        <v>10</v>
      </c>
      <c r="C6080" s="232">
        <v>31</v>
      </c>
      <c r="D6080" s="232">
        <f t="shared" si="692"/>
        <v>45596</v>
      </c>
      <c r="E6080" s="234">
        <f t="shared" si="698"/>
        <v>45596</v>
      </c>
      <c r="F6080" s="479"/>
      <c r="G6080" s="227" t="s">
        <v>1111</v>
      </c>
      <c r="H6080" s="228"/>
      <c r="I6080" s="228"/>
      <c r="J6080" s="229" t="s">
        <v>199</v>
      </c>
      <c r="K6080" s="230"/>
      <c r="L6080" s="230">
        <v>736671.6</v>
      </c>
    </row>
    <row r="6081" spans="1:12" ht="11.25" customHeight="1" x14ac:dyDescent="0.2">
      <c r="A6081" s="221">
        <v>2024</v>
      </c>
      <c r="B6081" s="221">
        <v>10</v>
      </c>
      <c r="C6081" s="221">
        <v>31</v>
      </c>
      <c r="D6081" s="231">
        <f t="shared" si="692"/>
        <v>45596</v>
      </c>
      <c r="E6081" s="233">
        <f>DATE(A6081,B6081,C6081)</f>
        <v>45596</v>
      </c>
      <c r="F6081" s="478" t="s">
        <v>1178</v>
      </c>
      <c r="G6081" s="222" t="s">
        <v>1111</v>
      </c>
      <c r="H6081" s="223"/>
      <c r="I6081" s="223"/>
      <c r="J6081" s="224" t="s">
        <v>189</v>
      </c>
      <c r="K6081" s="225">
        <v>5750</v>
      </c>
      <c r="L6081" s="225"/>
    </row>
    <row r="6082" spans="1:12" ht="11.25" customHeight="1" x14ac:dyDescent="0.2">
      <c r="A6082" s="164">
        <v>2024</v>
      </c>
      <c r="B6082" s="164">
        <v>10</v>
      </c>
      <c r="C6082" s="164">
        <v>31</v>
      </c>
      <c r="D6082" s="156">
        <f t="shared" si="692"/>
        <v>45596</v>
      </c>
      <c r="E6082" s="235">
        <f>DATE(A6082,B6082,C6082)</f>
        <v>45596</v>
      </c>
      <c r="F6082" s="480"/>
      <c r="G6082" s="208" t="s">
        <v>1111</v>
      </c>
      <c r="J6082" s="165" t="s">
        <v>1708</v>
      </c>
      <c r="K6082" s="205"/>
      <c r="L6082" s="205">
        <v>250</v>
      </c>
    </row>
    <row r="6083" spans="1:12" ht="11.25" customHeight="1" x14ac:dyDescent="0.2">
      <c r="A6083" s="226">
        <v>2024</v>
      </c>
      <c r="B6083" s="226">
        <v>10</v>
      </c>
      <c r="C6083" s="226">
        <v>31</v>
      </c>
      <c r="D6083" s="232">
        <f t="shared" si="692"/>
        <v>45596</v>
      </c>
      <c r="E6083" s="234">
        <f>DATE(A6083,B6083,C6083)</f>
        <v>45596</v>
      </c>
      <c r="F6083" s="479"/>
      <c r="G6083" s="227" t="s">
        <v>1111</v>
      </c>
      <c r="H6083" s="228"/>
      <c r="I6083" s="228"/>
      <c r="J6083" s="229" t="s">
        <v>55</v>
      </c>
      <c r="K6083" s="230"/>
      <c r="L6083" s="230">
        <v>5500</v>
      </c>
    </row>
    <row r="6084" spans="1:12" ht="11.25" customHeight="1" x14ac:dyDescent="0.2">
      <c r="A6084" s="221">
        <v>2024</v>
      </c>
      <c r="B6084" s="221">
        <v>10</v>
      </c>
      <c r="C6084" s="221">
        <v>31</v>
      </c>
      <c r="D6084" s="231">
        <f t="shared" si="692"/>
        <v>45596</v>
      </c>
      <c r="E6084" s="233">
        <f t="shared" ref="E6084:E6086" si="699">DATE(A6084,B6084,C6084)</f>
        <v>45596</v>
      </c>
      <c r="F6084" s="478" t="s">
        <v>802</v>
      </c>
      <c r="G6084" s="222" t="s">
        <v>1111</v>
      </c>
      <c r="H6084" s="223"/>
      <c r="I6084" s="223" t="s">
        <v>1805</v>
      </c>
      <c r="J6084" s="224" t="s">
        <v>55</v>
      </c>
      <c r="K6084" s="167">
        <v>1950000</v>
      </c>
      <c r="L6084" s="225"/>
    </row>
    <row r="6085" spans="1:12" ht="11.25" customHeight="1" x14ac:dyDescent="0.2">
      <c r="A6085" s="164">
        <v>2024</v>
      </c>
      <c r="B6085" s="164">
        <v>10</v>
      </c>
      <c r="C6085" s="164">
        <v>31</v>
      </c>
      <c r="D6085" s="156">
        <f t="shared" si="692"/>
        <v>45596</v>
      </c>
      <c r="E6085" s="235">
        <f t="shared" si="699"/>
        <v>45596</v>
      </c>
      <c r="F6085" s="480"/>
      <c r="G6085" s="208" t="s">
        <v>1111</v>
      </c>
      <c r="I6085" s="206" t="s">
        <v>1805</v>
      </c>
      <c r="J6085" s="165" t="s">
        <v>14</v>
      </c>
      <c r="L6085" s="418">
        <v>1848520</v>
      </c>
    </row>
    <row r="6086" spans="1:12" ht="11.25" customHeight="1" x14ac:dyDescent="0.2">
      <c r="A6086" s="226">
        <v>2024</v>
      </c>
      <c r="B6086" s="226">
        <v>10</v>
      </c>
      <c r="C6086" s="226">
        <v>31</v>
      </c>
      <c r="D6086" s="232">
        <f t="shared" si="692"/>
        <v>45596</v>
      </c>
      <c r="E6086" s="234">
        <f t="shared" si="699"/>
        <v>45596</v>
      </c>
      <c r="F6086" s="479"/>
      <c r="G6086" s="227" t="s">
        <v>1111</v>
      </c>
      <c r="H6086" s="228"/>
      <c r="I6086" s="228" t="s">
        <v>1805</v>
      </c>
      <c r="J6086" s="229" t="s">
        <v>1112</v>
      </c>
      <c r="K6086" s="230"/>
      <c r="L6086" s="230">
        <v>101480</v>
      </c>
    </row>
    <row r="6087" spans="1:12" ht="11.25" customHeight="1" x14ac:dyDescent="0.2">
      <c r="A6087" s="221">
        <v>2024</v>
      </c>
      <c r="B6087" s="221">
        <v>10</v>
      </c>
      <c r="C6087" s="221">
        <v>31</v>
      </c>
      <c r="D6087" s="231">
        <f t="shared" si="692"/>
        <v>45596</v>
      </c>
      <c r="E6087" s="233">
        <f t="shared" ref="E6087:E6089" si="700">DATE(A6087,B6087,C6087)</f>
        <v>45596</v>
      </c>
      <c r="F6087" s="478" t="s">
        <v>802</v>
      </c>
      <c r="G6087" s="222" t="s">
        <v>1111</v>
      </c>
      <c r="H6087" s="223"/>
      <c r="I6087" s="223" t="s">
        <v>370</v>
      </c>
      <c r="J6087" s="224" t="s">
        <v>55</v>
      </c>
      <c r="K6087" s="167">
        <v>1000000</v>
      </c>
      <c r="L6087" s="225"/>
    </row>
    <row r="6088" spans="1:12" ht="11.25" customHeight="1" x14ac:dyDescent="0.2">
      <c r="A6088" s="164">
        <v>2024</v>
      </c>
      <c r="B6088" s="164">
        <v>10</v>
      </c>
      <c r="C6088" s="164">
        <v>31</v>
      </c>
      <c r="D6088" s="156">
        <f t="shared" si="692"/>
        <v>45596</v>
      </c>
      <c r="E6088" s="235">
        <f t="shared" si="700"/>
        <v>45596</v>
      </c>
      <c r="F6088" s="480"/>
      <c r="G6088" s="208" t="s">
        <v>1111</v>
      </c>
      <c r="I6088" s="206" t="s">
        <v>370</v>
      </c>
      <c r="J6088" s="165" t="s">
        <v>14</v>
      </c>
      <c r="L6088" s="418">
        <v>947960</v>
      </c>
    </row>
    <row r="6089" spans="1:12" ht="11.25" customHeight="1" x14ac:dyDescent="0.2">
      <c r="A6089" s="226">
        <v>2024</v>
      </c>
      <c r="B6089" s="226">
        <v>10</v>
      </c>
      <c r="C6089" s="226">
        <v>31</v>
      </c>
      <c r="D6089" s="232">
        <f t="shared" ref="D6089:D6152" si="701">DATE(A6089,B6089,C6089)</f>
        <v>45596</v>
      </c>
      <c r="E6089" s="234">
        <f t="shared" si="700"/>
        <v>45596</v>
      </c>
      <c r="F6089" s="479"/>
      <c r="G6089" s="227" t="s">
        <v>1111</v>
      </c>
      <c r="H6089" s="228"/>
      <c r="I6089" s="228" t="s">
        <v>370</v>
      </c>
      <c r="J6089" s="229" t="s">
        <v>1112</v>
      </c>
      <c r="K6089" s="230"/>
      <c r="L6089" s="230">
        <v>52040</v>
      </c>
    </row>
    <row r="6090" spans="1:12" ht="11.25" customHeight="1" x14ac:dyDescent="0.2">
      <c r="A6090" s="221">
        <v>2024</v>
      </c>
      <c r="B6090" s="221">
        <v>10</v>
      </c>
      <c r="C6090" s="221">
        <v>31</v>
      </c>
      <c r="D6090" s="231">
        <f t="shared" si="701"/>
        <v>45596</v>
      </c>
      <c r="E6090" s="233">
        <f t="shared" ref="E6090:E6100" si="702">DATE(A6090,B6090,C6090)</f>
        <v>45596</v>
      </c>
      <c r="F6090" s="478" t="s">
        <v>802</v>
      </c>
      <c r="G6090" s="222" t="s">
        <v>1111</v>
      </c>
      <c r="H6090" s="223"/>
      <c r="I6090" s="223" t="s">
        <v>320</v>
      </c>
      <c r="J6090" s="224" t="s">
        <v>55</v>
      </c>
      <c r="K6090" s="167">
        <v>1000000</v>
      </c>
      <c r="L6090" s="225"/>
    </row>
    <row r="6091" spans="1:12" ht="11.25" customHeight="1" x14ac:dyDescent="0.2">
      <c r="A6091" s="164">
        <v>2024</v>
      </c>
      <c r="B6091" s="164">
        <v>10</v>
      </c>
      <c r="C6091" s="164">
        <v>31</v>
      </c>
      <c r="D6091" s="156">
        <f t="shared" si="701"/>
        <v>45596</v>
      </c>
      <c r="E6091" s="235">
        <f t="shared" si="702"/>
        <v>45596</v>
      </c>
      <c r="F6091" s="480"/>
      <c r="G6091" s="208" t="s">
        <v>1111</v>
      </c>
      <c r="I6091" s="206" t="s">
        <v>320</v>
      </c>
      <c r="J6091" s="165" t="s">
        <v>14</v>
      </c>
      <c r="L6091" s="418">
        <v>947960</v>
      </c>
    </row>
    <row r="6092" spans="1:12" ht="11.25" customHeight="1" x14ac:dyDescent="0.2">
      <c r="A6092" s="226">
        <v>2024</v>
      </c>
      <c r="B6092" s="226">
        <v>10</v>
      </c>
      <c r="C6092" s="226">
        <v>31</v>
      </c>
      <c r="D6092" s="232">
        <f t="shared" si="701"/>
        <v>45596</v>
      </c>
      <c r="E6092" s="234">
        <f t="shared" si="702"/>
        <v>45596</v>
      </c>
      <c r="F6092" s="479"/>
      <c r="G6092" s="227" t="s">
        <v>1111</v>
      </c>
      <c r="H6092" s="228"/>
      <c r="I6092" s="228" t="s">
        <v>320</v>
      </c>
      <c r="J6092" s="229" t="s">
        <v>1112</v>
      </c>
      <c r="K6092" s="230"/>
      <c r="L6092" s="230">
        <v>52040</v>
      </c>
    </row>
    <row r="6093" spans="1:12" ht="11.25" customHeight="1" x14ac:dyDescent="0.2">
      <c r="A6093" s="280">
        <v>2024</v>
      </c>
      <c r="B6093" s="280">
        <v>10</v>
      </c>
      <c r="C6093" s="280">
        <v>31</v>
      </c>
      <c r="D6093" s="281">
        <f t="shared" si="701"/>
        <v>45596</v>
      </c>
      <c r="E6093" s="282">
        <f t="shared" si="702"/>
        <v>45596</v>
      </c>
      <c r="F6093" s="472" t="s">
        <v>1744</v>
      </c>
      <c r="G6093" s="283" t="s">
        <v>86</v>
      </c>
      <c r="H6093" s="284"/>
      <c r="I6093" s="284"/>
      <c r="J6093" s="285" t="s">
        <v>131</v>
      </c>
      <c r="K6093" s="286">
        <v>19358.333333333332</v>
      </c>
      <c r="L6093" s="286"/>
    </row>
    <row r="6094" spans="1:12" ht="11.25" customHeight="1" x14ac:dyDescent="0.2">
      <c r="A6094" s="287">
        <v>2024</v>
      </c>
      <c r="B6094" s="287">
        <v>10</v>
      </c>
      <c r="C6094" s="287">
        <v>31</v>
      </c>
      <c r="D6094" s="288">
        <f t="shared" si="701"/>
        <v>45596</v>
      </c>
      <c r="E6094" s="289">
        <f t="shared" si="702"/>
        <v>45596</v>
      </c>
      <c r="F6094" s="473"/>
      <c r="G6094" s="290" t="s">
        <v>86</v>
      </c>
      <c r="H6094" s="291"/>
      <c r="I6094" s="291"/>
      <c r="J6094" s="292" t="s">
        <v>174</v>
      </c>
      <c r="K6094" s="293"/>
      <c r="L6094" s="293">
        <v>19358.333333333332</v>
      </c>
    </row>
    <row r="6095" spans="1:12" ht="11.25" customHeight="1" x14ac:dyDescent="0.2">
      <c r="A6095" s="280">
        <v>2024</v>
      </c>
      <c r="B6095" s="280">
        <v>10</v>
      </c>
      <c r="C6095" s="280">
        <v>31</v>
      </c>
      <c r="D6095" s="281">
        <f t="shared" si="701"/>
        <v>45596</v>
      </c>
      <c r="E6095" s="282">
        <f t="shared" si="702"/>
        <v>45596</v>
      </c>
      <c r="F6095" s="472" t="s">
        <v>1584</v>
      </c>
      <c r="G6095" s="283" t="s">
        <v>86</v>
      </c>
      <c r="H6095" s="284"/>
      <c r="I6095" s="284"/>
      <c r="J6095" s="285" t="s">
        <v>131</v>
      </c>
      <c r="K6095" s="286">
        <v>8846.1538461538457</v>
      </c>
      <c r="L6095" s="286"/>
    </row>
    <row r="6096" spans="1:12" ht="11.25" customHeight="1" x14ac:dyDescent="0.2">
      <c r="A6096" s="287">
        <v>2024</v>
      </c>
      <c r="B6096" s="287">
        <v>10</v>
      </c>
      <c r="C6096" s="287">
        <v>31</v>
      </c>
      <c r="D6096" s="288">
        <f t="shared" si="701"/>
        <v>45596</v>
      </c>
      <c r="E6096" s="289">
        <f t="shared" si="702"/>
        <v>45596</v>
      </c>
      <c r="F6096" s="473"/>
      <c r="G6096" s="290" t="s">
        <v>86</v>
      </c>
      <c r="H6096" s="291"/>
      <c r="I6096" s="291"/>
      <c r="J6096" s="292" t="s">
        <v>174</v>
      </c>
      <c r="K6096" s="293"/>
      <c r="L6096" s="293">
        <v>8846.1538461538457</v>
      </c>
    </row>
    <row r="6097" spans="1:13" ht="11.25" customHeight="1" x14ac:dyDescent="0.2">
      <c r="A6097" s="280">
        <v>2024</v>
      </c>
      <c r="B6097" s="280">
        <v>10</v>
      </c>
      <c r="C6097" s="280">
        <v>31</v>
      </c>
      <c r="D6097" s="281">
        <f t="shared" si="701"/>
        <v>45596</v>
      </c>
      <c r="E6097" s="282">
        <f t="shared" si="702"/>
        <v>45596</v>
      </c>
      <c r="F6097" s="472" t="s">
        <v>1830</v>
      </c>
      <c r="G6097" s="283" t="s">
        <v>86</v>
      </c>
      <c r="H6097" s="284"/>
      <c r="I6097" s="284"/>
      <c r="J6097" s="285" t="s">
        <v>131</v>
      </c>
      <c r="K6097" s="286">
        <v>4653.8461538461543</v>
      </c>
      <c r="L6097" s="286"/>
    </row>
    <row r="6098" spans="1:13" ht="11.25" customHeight="1" x14ac:dyDescent="0.2">
      <c r="A6098" s="287">
        <v>2024</v>
      </c>
      <c r="B6098" s="287">
        <v>10</v>
      </c>
      <c r="C6098" s="287">
        <v>31</v>
      </c>
      <c r="D6098" s="288">
        <f t="shared" si="701"/>
        <v>45596</v>
      </c>
      <c r="E6098" s="289">
        <f t="shared" si="702"/>
        <v>45596</v>
      </c>
      <c r="F6098" s="473"/>
      <c r="G6098" s="290" t="s">
        <v>86</v>
      </c>
      <c r="H6098" s="291"/>
      <c r="I6098" s="291"/>
      <c r="J6098" s="292" t="s">
        <v>174</v>
      </c>
      <c r="K6098" s="293"/>
      <c r="L6098" s="293">
        <v>4653.8461538461543</v>
      </c>
    </row>
    <row r="6099" spans="1:13" ht="11.25" customHeight="1" x14ac:dyDescent="0.2">
      <c r="A6099" s="341">
        <v>2024</v>
      </c>
      <c r="B6099" s="341">
        <v>10</v>
      </c>
      <c r="C6099" s="341">
        <v>31</v>
      </c>
      <c r="D6099" s="328">
        <f t="shared" si="701"/>
        <v>45596</v>
      </c>
      <c r="E6099" s="329">
        <f t="shared" si="702"/>
        <v>45596</v>
      </c>
      <c r="F6099" s="474" t="s">
        <v>1767</v>
      </c>
      <c r="G6099" s="330" t="s">
        <v>86</v>
      </c>
      <c r="H6099" s="332"/>
      <c r="I6099" s="332"/>
      <c r="J6099" s="342" t="s">
        <v>67</v>
      </c>
      <c r="K6099" s="343">
        <v>11048.26</v>
      </c>
      <c r="L6099" s="343"/>
    </row>
    <row r="6100" spans="1:13" ht="11.25" customHeight="1" x14ac:dyDescent="0.2">
      <c r="A6100" s="344">
        <v>2024</v>
      </c>
      <c r="B6100" s="344">
        <v>10</v>
      </c>
      <c r="C6100" s="344">
        <v>31</v>
      </c>
      <c r="D6100" s="337">
        <f t="shared" si="701"/>
        <v>45596</v>
      </c>
      <c r="E6100" s="338">
        <f t="shared" si="702"/>
        <v>45596</v>
      </c>
      <c r="F6100" s="475"/>
      <c r="G6100" s="339" t="s">
        <v>86</v>
      </c>
      <c r="H6100" s="340"/>
      <c r="I6100" s="340"/>
      <c r="J6100" s="345" t="s">
        <v>174</v>
      </c>
      <c r="K6100" s="346"/>
      <c r="L6100" s="346">
        <f>K6099</f>
        <v>11048.26</v>
      </c>
    </row>
    <row r="6101" spans="1:13" ht="11.25" customHeight="1" x14ac:dyDescent="0.2">
      <c r="A6101" s="358">
        <v>2024</v>
      </c>
      <c r="B6101" s="358">
        <v>10</v>
      </c>
      <c r="C6101" s="358">
        <v>31</v>
      </c>
      <c r="D6101" s="312">
        <f t="shared" si="701"/>
        <v>45596</v>
      </c>
      <c r="E6101" s="313">
        <f>DATE(A6101,B6101,C6101)</f>
        <v>45596</v>
      </c>
      <c r="F6101" s="482" t="s">
        <v>1627</v>
      </c>
      <c r="G6101" s="314" t="s">
        <v>86</v>
      </c>
      <c r="H6101" s="324"/>
      <c r="I6101" s="324"/>
      <c r="J6101" s="364" t="s">
        <v>1621</v>
      </c>
      <c r="K6101" s="365">
        <v>42140</v>
      </c>
      <c r="L6101" s="365"/>
    </row>
    <row r="6102" spans="1:13" ht="11.25" customHeight="1" x14ac:dyDescent="0.2">
      <c r="A6102" s="320">
        <v>2024</v>
      </c>
      <c r="B6102" s="320">
        <v>10</v>
      </c>
      <c r="C6102" s="320">
        <v>31</v>
      </c>
      <c r="D6102" s="323">
        <f t="shared" si="701"/>
        <v>45596</v>
      </c>
      <c r="E6102" s="321">
        <f t="shared" ref="E6102" si="703">DATE(A6102,B6102,C6102)</f>
        <v>45596</v>
      </c>
      <c r="F6102" s="483"/>
      <c r="G6102" s="322" t="s">
        <v>86</v>
      </c>
      <c r="H6102" s="325"/>
      <c r="I6102" s="325"/>
      <c r="J6102" s="366" t="s">
        <v>1613</v>
      </c>
      <c r="K6102" s="367"/>
      <c r="L6102" s="367">
        <f>K6101</f>
        <v>42140</v>
      </c>
    </row>
    <row r="6103" spans="1:13" ht="11.25" customHeight="1" x14ac:dyDescent="0.2">
      <c r="A6103" s="358">
        <v>2024</v>
      </c>
      <c r="B6103" s="358">
        <v>10</v>
      </c>
      <c r="C6103" s="358">
        <v>31</v>
      </c>
      <c r="D6103" s="312">
        <f t="shared" si="701"/>
        <v>45596</v>
      </c>
      <c r="E6103" s="313">
        <f>DATE(A6103,B6103,C6103)</f>
        <v>45596</v>
      </c>
      <c r="F6103" s="482" t="s">
        <v>1713</v>
      </c>
      <c r="G6103" s="314" t="s">
        <v>86</v>
      </c>
      <c r="H6103" s="324"/>
      <c r="I6103" s="324"/>
      <c r="J6103" s="364" t="s">
        <v>1614</v>
      </c>
      <c r="K6103" s="365">
        <v>335614.71705884486</v>
      </c>
      <c r="L6103" s="365"/>
    </row>
    <row r="6104" spans="1:13" ht="11.25" customHeight="1" x14ac:dyDescent="0.2">
      <c r="A6104" s="320">
        <v>2024</v>
      </c>
      <c r="B6104" s="320">
        <v>10</v>
      </c>
      <c r="C6104" s="320">
        <v>31</v>
      </c>
      <c r="D6104" s="323">
        <f t="shared" si="701"/>
        <v>45596</v>
      </c>
      <c r="E6104" s="321">
        <f t="shared" ref="E6104:E6119" si="704">DATE(A6104,B6104,C6104)</f>
        <v>45596</v>
      </c>
      <c r="F6104" s="483"/>
      <c r="G6104" s="322" t="s">
        <v>86</v>
      </c>
      <c r="H6104" s="325"/>
      <c r="I6104" s="325"/>
      <c r="J6104" s="366" t="s">
        <v>1622</v>
      </c>
      <c r="K6104" s="367"/>
      <c r="L6104" s="367">
        <f>K6103</f>
        <v>335614.71705884486</v>
      </c>
    </row>
    <row r="6105" spans="1:13" ht="11.25" customHeight="1" x14ac:dyDescent="0.2">
      <c r="A6105" s="236">
        <v>2024</v>
      </c>
      <c r="B6105" s="236">
        <v>10</v>
      </c>
      <c r="C6105" s="236">
        <v>31</v>
      </c>
      <c r="D6105" s="237">
        <f t="shared" si="701"/>
        <v>45596</v>
      </c>
      <c r="E6105" s="238">
        <f t="shared" si="704"/>
        <v>45596</v>
      </c>
      <c r="F6105" s="476" t="s">
        <v>1118</v>
      </c>
      <c r="G6105" s="239" t="s">
        <v>86</v>
      </c>
      <c r="H6105" s="239"/>
      <c r="I6105" s="240"/>
      <c r="J6105" s="241" t="s">
        <v>98</v>
      </c>
      <c r="K6105" s="242">
        <v>3345193.6499999911</v>
      </c>
      <c r="L6105" s="242"/>
    </row>
    <row r="6106" spans="1:13" ht="11.25" customHeight="1" x14ac:dyDescent="0.2">
      <c r="A6106" s="243">
        <v>2024</v>
      </c>
      <c r="B6106" s="243">
        <v>10</v>
      </c>
      <c r="C6106" s="243">
        <v>31</v>
      </c>
      <c r="D6106" s="248">
        <f t="shared" si="701"/>
        <v>45596</v>
      </c>
      <c r="E6106" s="249">
        <f t="shared" si="704"/>
        <v>45596</v>
      </c>
      <c r="F6106" s="477"/>
      <c r="G6106" s="244" t="s">
        <v>86</v>
      </c>
      <c r="H6106" s="244"/>
      <c r="I6106" s="245"/>
      <c r="J6106" s="246" t="s">
        <v>82</v>
      </c>
      <c r="K6106" s="247"/>
      <c r="L6106" s="247">
        <f>K6105</f>
        <v>3345193.6499999911</v>
      </c>
    </row>
    <row r="6107" spans="1:13" ht="11.25" customHeight="1" x14ac:dyDescent="0.2">
      <c r="A6107" s="236">
        <v>2024</v>
      </c>
      <c r="B6107" s="236">
        <v>10</v>
      </c>
      <c r="C6107" s="236">
        <v>31</v>
      </c>
      <c r="D6107" s="237">
        <f t="shared" si="701"/>
        <v>45596</v>
      </c>
      <c r="E6107" s="238">
        <f t="shared" si="704"/>
        <v>45596</v>
      </c>
      <c r="F6107" s="476" t="s">
        <v>1120</v>
      </c>
      <c r="G6107" s="239" t="s">
        <v>86</v>
      </c>
      <c r="H6107" s="239"/>
      <c r="I6107" s="240"/>
      <c r="J6107" s="241" t="s">
        <v>87</v>
      </c>
      <c r="K6107" s="242">
        <v>2747.2527472527472</v>
      </c>
      <c r="L6107" s="242"/>
    </row>
    <row r="6108" spans="1:13" ht="11.25" customHeight="1" x14ac:dyDescent="0.2">
      <c r="A6108" s="243">
        <v>2024</v>
      </c>
      <c r="B6108" s="243">
        <v>10</v>
      </c>
      <c r="C6108" s="243">
        <v>31</v>
      </c>
      <c r="D6108" s="248">
        <f t="shared" si="701"/>
        <v>45596</v>
      </c>
      <c r="E6108" s="249">
        <f t="shared" si="704"/>
        <v>45596</v>
      </c>
      <c r="F6108" s="477"/>
      <c r="G6108" s="244" t="s">
        <v>86</v>
      </c>
      <c r="H6108" s="244"/>
      <c r="I6108" s="245"/>
      <c r="J6108" s="246" t="s">
        <v>64</v>
      </c>
      <c r="K6108" s="247"/>
      <c r="L6108" s="247">
        <v>2747.2527472527472</v>
      </c>
    </row>
    <row r="6109" spans="1:13" ht="11.25" customHeight="1" x14ac:dyDescent="0.2">
      <c r="A6109" s="236">
        <v>2024</v>
      </c>
      <c r="B6109" s="236">
        <v>10</v>
      </c>
      <c r="C6109" s="236">
        <v>31</v>
      </c>
      <c r="D6109" s="237">
        <f t="shared" si="701"/>
        <v>45596</v>
      </c>
      <c r="E6109" s="238">
        <f t="shared" si="704"/>
        <v>45596</v>
      </c>
      <c r="F6109" s="476" t="s">
        <v>1121</v>
      </c>
      <c r="G6109" s="239" t="s">
        <v>86</v>
      </c>
      <c r="H6109" s="239"/>
      <c r="I6109" s="240"/>
      <c r="J6109" s="241" t="s">
        <v>89</v>
      </c>
      <c r="K6109" s="242">
        <f>M6109</f>
        <v>70985.410511631781</v>
      </c>
      <c r="L6109" s="242"/>
      <c r="M6109" s="156">
        <v>70985.410511631781</v>
      </c>
    </row>
    <row r="6110" spans="1:13" ht="11.25" customHeight="1" x14ac:dyDescent="0.2">
      <c r="A6110" s="243">
        <v>2024</v>
      </c>
      <c r="B6110" s="243">
        <v>10</v>
      </c>
      <c r="C6110" s="243">
        <v>31</v>
      </c>
      <c r="D6110" s="248">
        <f t="shared" si="701"/>
        <v>45596</v>
      </c>
      <c r="E6110" s="249">
        <f t="shared" si="704"/>
        <v>45596</v>
      </c>
      <c r="F6110" s="477"/>
      <c r="G6110" s="244" t="s">
        <v>86</v>
      </c>
      <c r="H6110" s="244"/>
      <c r="I6110" s="245"/>
      <c r="J6110" s="246" t="s">
        <v>50</v>
      </c>
      <c r="K6110" s="247"/>
      <c r="L6110" s="247">
        <f>K6109</f>
        <v>70985.410511631781</v>
      </c>
      <c r="M6110" s="156">
        <v>3308.8859101969738</v>
      </c>
    </row>
    <row r="6111" spans="1:13" ht="11.25" customHeight="1" x14ac:dyDescent="0.2">
      <c r="A6111" s="236">
        <v>2024</v>
      </c>
      <c r="B6111" s="236">
        <v>10</v>
      </c>
      <c r="C6111" s="236">
        <v>31</v>
      </c>
      <c r="D6111" s="237">
        <f t="shared" si="701"/>
        <v>45596</v>
      </c>
      <c r="E6111" s="238">
        <f t="shared" si="704"/>
        <v>45596</v>
      </c>
      <c r="F6111" s="476" t="s">
        <v>1122</v>
      </c>
      <c r="G6111" s="239" t="s">
        <v>86</v>
      </c>
      <c r="H6111" s="239"/>
      <c r="I6111" s="240"/>
      <c r="J6111" s="241" t="s">
        <v>91</v>
      </c>
      <c r="K6111" s="242">
        <f>M6110</f>
        <v>3308.8859101969738</v>
      </c>
      <c r="L6111" s="242"/>
    </row>
    <row r="6112" spans="1:13" ht="11.25" customHeight="1" x14ac:dyDescent="0.2">
      <c r="A6112" s="243">
        <v>2024</v>
      </c>
      <c r="B6112" s="243">
        <v>10</v>
      </c>
      <c r="C6112" s="243">
        <v>31</v>
      </c>
      <c r="D6112" s="248">
        <f t="shared" si="701"/>
        <v>45596</v>
      </c>
      <c r="E6112" s="249">
        <f t="shared" si="704"/>
        <v>45596</v>
      </c>
      <c r="F6112" s="477"/>
      <c r="G6112" s="244" t="s">
        <v>86</v>
      </c>
      <c r="H6112" s="244"/>
      <c r="I6112" s="245"/>
      <c r="J6112" s="246" t="s">
        <v>51</v>
      </c>
      <c r="K6112" s="247"/>
      <c r="L6112" s="247">
        <f>K6111</f>
        <v>3308.8859101969738</v>
      </c>
    </row>
    <row r="6113" spans="1:12" ht="11.25" customHeight="1" x14ac:dyDescent="0.2">
      <c r="A6113" s="221">
        <v>2024</v>
      </c>
      <c r="B6113" s="221">
        <v>11</v>
      </c>
      <c r="C6113" s="221">
        <v>3</v>
      </c>
      <c r="D6113" s="221">
        <f t="shared" si="701"/>
        <v>45599</v>
      </c>
      <c r="E6113" s="233">
        <f t="shared" si="704"/>
        <v>45599</v>
      </c>
      <c r="F6113" s="478" t="s">
        <v>1759</v>
      </c>
      <c r="G6113" s="222" t="s">
        <v>86</v>
      </c>
      <c r="H6113" s="222"/>
      <c r="I6113" s="223"/>
      <c r="J6113" s="224" t="s">
        <v>80</v>
      </c>
      <c r="K6113" s="225">
        <v>1169500</v>
      </c>
      <c r="L6113" s="225"/>
    </row>
    <row r="6114" spans="1:12" ht="11.25" customHeight="1" x14ac:dyDescent="0.2">
      <c r="A6114" s="164">
        <v>2024</v>
      </c>
      <c r="B6114" s="164">
        <v>11</v>
      </c>
      <c r="C6114" s="164">
        <v>3</v>
      </c>
      <c r="D6114" s="164">
        <f t="shared" si="701"/>
        <v>45599</v>
      </c>
      <c r="E6114" s="235">
        <f t="shared" si="704"/>
        <v>45599</v>
      </c>
      <c r="F6114" s="480"/>
      <c r="G6114" s="208" t="s">
        <v>86</v>
      </c>
      <c r="H6114" s="208"/>
      <c r="J6114" s="165" t="s">
        <v>960</v>
      </c>
      <c r="K6114" s="205">
        <v>2105.1</v>
      </c>
      <c r="L6114" s="205"/>
    </row>
    <row r="6115" spans="1:12" ht="11.25" customHeight="1" x14ac:dyDescent="0.2">
      <c r="A6115" s="226">
        <v>2024</v>
      </c>
      <c r="B6115" s="226">
        <v>11</v>
      </c>
      <c r="C6115" s="226">
        <v>3</v>
      </c>
      <c r="D6115" s="226">
        <f t="shared" si="701"/>
        <v>45599</v>
      </c>
      <c r="E6115" s="234">
        <f t="shared" si="704"/>
        <v>45599</v>
      </c>
      <c r="F6115" s="479"/>
      <c r="G6115" s="227" t="s">
        <v>86</v>
      </c>
      <c r="H6115" s="227"/>
      <c r="I6115" s="228"/>
      <c r="J6115" s="229" t="s">
        <v>961</v>
      </c>
      <c r="K6115" s="294"/>
      <c r="L6115" s="230">
        <v>1171605.1000000001</v>
      </c>
    </row>
    <row r="6116" spans="1:12" ht="11.25" customHeight="1" x14ac:dyDescent="0.2">
      <c r="A6116" s="221">
        <v>2024</v>
      </c>
      <c r="B6116" s="221">
        <v>11</v>
      </c>
      <c r="C6116" s="231">
        <v>3</v>
      </c>
      <c r="D6116" s="231">
        <f t="shared" si="701"/>
        <v>45599</v>
      </c>
      <c r="E6116" s="233">
        <f t="shared" si="704"/>
        <v>45599</v>
      </c>
      <c r="F6116" s="478" t="s">
        <v>1806</v>
      </c>
      <c r="G6116" s="222" t="s">
        <v>1111</v>
      </c>
      <c r="H6116" s="223"/>
      <c r="I6116" s="223"/>
      <c r="J6116" s="224" t="s">
        <v>961</v>
      </c>
      <c r="K6116" s="225">
        <v>2337600.12</v>
      </c>
      <c r="L6116" s="225"/>
    </row>
    <row r="6117" spans="1:12" ht="11.25" customHeight="1" x14ac:dyDescent="0.2">
      <c r="A6117" s="226">
        <v>2024</v>
      </c>
      <c r="B6117" s="226">
        <v>11</v>
      </c>
      <c r="C6117" s="232">
        <v>3</v>
      </c>
      <c r="D6117" s="232">
        <f t="shared" si="701"/>
        <v>45599</v>
      </c>
      <c r="E6117" s="234">
        <f t="shared" si="704"/>
        <v>45599</v>
      </c>
      <c r="F6117" s="479"/>
      <c r="G6117" s="227" t="s">
        <v>1111</v>
      </c>
      <c r="H6117" s="228"/>
      <c r="I6117" s="228"/>
      <c r="J6117" s="229" t="s">
        <v>55</v>
      </c>
      <c r="K6117" s="230"/>
      <c r="L6117" s="230">
        <v>2337600.12</v>
      </c>
    </row>
    <row r="6118" spans="1:12" ht="11.25" customHeight="1" x14ac:dyDescent="0.2">
      <c r="A6118" s="221">
        <v>2024</v>
      </c>
      <c r="B6118" s="221">
        <v>11</v>
      </c>
      <c r="C6118" s="231">
        <v>3</v>
      </c>
      <c r="D6118" s="231">
        <f t="shared" si="701"/>
        <v>45599</v>
      </c>
      <c r="E6118" s="233">
        <f t="shared" si="704"/>
        <v>45599</v>
      </c>
      <c r="F6118" s="478" t="s">
        <v>1670</v>
      </c>
      <c r="G6118" s="222" t="s">
        <v>1111</v>
      </c>
      <c r="H6118" s="223"/>
      <c r="I6118" s="223"/>
      <c r="J6118" s="224" t="s">
        <v>63</v>
      </c>
      <c r="K6118" s="225">
        <v>100</v>
      </c>
      <c r="L6118" s="225"/>
    </row>
    <row r="6119" spans="1:12" ht="11.25" customHeight="1" x14ac:dyDescent="0.2">
      <c r="A6119" s="226">
        <v>2024</v>
      </c>
      <c r="B6119" s="226">
        <v>11</v>
      </c>
      <c r="C6119" s="232">
        <v>3</v>
      </c>
      <c r="D6119" s="232">
        <f t="shared" si="701"/>
        <v>45599</v>
      </c>
      <c r="E6119" s="234">
        <f t="shared" si="704"/>
        <v>45599</v>
      </c>
      <c r="F6119" s="479"/>
      <c r="G6119" s="227" t="s">
        <v>1111</v>
      </c>
      <c r="H6119" s="228"/>
      <c r="I6119" s="228"/>
      <c r="J6119" s="229" t="s">
        <v>55</v>
      </c>
      <c r="K6119" s="230"/>
      <c r="L6119" s="230">
        <v>100</v>
      </c>
    </row>
    <row r="6120" spans="1:12" ht="11.25" customHeight="1" x14ac:dyDescent="0.2">
      <c r="A6120" s="221">
        <v>2024</v>
      </c>
      <c r="B6120" s="221">
        <v>11</v>
      </c>
      <c r="C6120" s="221">
        <v>4</v>
      </c>
      <c r="D6120" s="221">
        <f t="shared" si="701"/>
        <v>45600</v>
      </c>
      <c r="E6120" s="233">
        <f t="shared" ref="E6120:E6128" si="705">DATE(A6120,B6120,C6120)</f>
        <v>45600</v>
      </c>
      <c r="F6120" s="478" t="s">
        <v>1759</v>
      </c>
      <c r="G6120" s="222" t="s">
        <v>86</v>
      </c>
      <c r="H6120" s="222"/>
      <c r="I6120" s="223"/>
      <c r="J6120" s="224" t="s">
        <v>80</v>
      </c>
      <c r="K6120" s="225">
        <v>582250</v>
      </c>
      <c r="L6120" s="225"/>
    </row>
    <row r="6121" spans="1:12" ht="11.25" customHeight="1" x14ac:dyDescent="0.2">
      <c r="A6121" s="164">
        <v>2024</v>
      </c>
      <c r="B6121" s="164">
        <v>11</v>
      </c>
      <c r="C6121" s="164">
        <v>4</v>
      </c>
      <c r="D6121" s="164">
        <f t="shared" si="701"/>
        <v>45600</v>
      </c>
      <c r="E6121" s="235">
        <f t="shared" si="705"/>
        <v>45600</v>
      </c>
      <c r="F6121" s="480"/>
      <c r="G6121" s="208" t="s">
        <v>86</v>
      </c>
      <c r="H6121" s="208"/>
      <c r="J6121" s="165" t="s">
        <v>960</v>
      </c>
      <c r="K6121" s="205">
        <v>1048.05</v>
      </c>
      <c r="L6121" s="205"/>
    </row>
    <row r="6122" spans="1:12" ht="11.25" customHeight="1" x14ac:dyDescent="0.2">
      <c r="A6122" s="226">
        <v>2024</v>
      </c>
      <c r="B6122" s="226">
        <v>11</v>
      </c>
      <c r="C6122" s="226">
        <v>4</v>
      </c>
      <c r="D6122" s="226">
        <f t="shared" si="701"/>
        <v>45600</v>
      </c>
      <c r="E6122" s="234">
        <f t="shared" si="705"/>
        <v>45600</v>
      </c>
      <c r="F6122" s="479"/>
      <c r="G6122" s="227" t="s">
        <v>86</v>
      </c>
      <c r="H6122" s="227"/>
      <c r="I6122" s="228"/>
      <c r="J6122" s="229" t="s">
        <v>961</v>
      </c>
      <c r="K6122" s="294"/>
      <c r="L6122" s="230">
        <v>583298.05000000005</v>
      </c>
    </row>
    <row r="6123" spans="1:12" ht="11.25" customHeight="1" x14ac:dyDescent="0.2">
      <c r="A6123" s="221">
        <v>2024</v>
      </c>
      <c r="B6123" s="221">
        <v>11</v>
      </c>
      <c r="C6123" s="231">
        <v>4</v>
      </c>
      <c r="D6123" s="231">
        <f t="shared" si="701"/>
        <v>45600</v>
      </c>
      <c r="E6123" s="233">
        <f t="shared" si="705"/>
        <v>45600</v>
      </c>
      <c r="F6123" s="478" t="s">
        <v>1760</v>
      </c>
      <c r="G6123" s="222" t="s">
        <v>1111</v>
      </c>
      <c r="H6123" s="223"/>
      <c r="I6123" s="223"/>
      <c r="J6123" s="224" t="s">
        <v>961</v>
      </c>
      <c r="K6123" s="225">
        <v>1171605.1000000001</v>
      </c>
      <c r="L6123" s="225"/>
    </row>
    <row r="6124" spans="1:12" ht="11.25" customHeight="1" x14ac:dyDescent="0.2">
      <c r="A6124" s="226">
        <v>2024</v>
      </c>
      <c r="B6124" s="226">
        <v>11</v>
      </c>
      <c r="C6124" s="232">
        <v>4</v>
      </c>
      <c r="D6124" s="232">
        <f t="shared" si="701"/>
        <v>45600</v>
      </c>
      <c r="E6124" s="234">
        <f t="shared" si="705"/>
        <v>45600</v>
      </c>
      <c r="F6124" s="479"/>
      <c r="G6124" s="227" t="s">
        <v>1111</v>
      </c>
      <c r="H6124" s="228"/>
      <c r="I6124" s="228"/>
      <c r="J6124" s="229" t="s">
        <v>55</v>
      </c>
      <c r="K6124" s="230"/>
      <c r="L6124" s="230">
        <v>1171605.1000000001</v>
      </c>
    </row>
    <row r="6125" spans="1:12" ht="11.25" customHeight="1" x14ac:dyDescent="0.2">
      <c r="A6125" s="221">
        <v>2024</v>
      </c>
      <c r="B6125" s="221">
        <v>11</v>
      </c>
      <c r="C6125" s="231">
        <v>4</v>
      </c>
      <c r="D6125" s="231">
        <f t="shared" si="701"/>
        <v>45600</v>
      </c>
      <c r="E6125" s="233">
        <f t="shared" si="705"/>
        <v>45600</v>
      </c>
      <c r="F6125" s="478" t="s">
        <v>1670</v>
      </c>
      <c r="G6125" s="222" t="s">
        <v>1111</v>
      </c>
      <c r="H6125" s="223"/>
      <c r="I6125" s="223"/>
      <c r="J6125" s="224" t="s">
        <v>63</v>
      </c>
      <c r="K6125" s="225">
        <v>100</v>
      </c>
      <c r="L6125" s="225"/>
    </row>
    <row r="6126" spans="1:12" ht="11.25" customHeight="1" x14ac:dyDescent="0.2">
      <c r="A6126" s="226">
        <v>2024</v>
      </c>
      <c r="B6126" s="226">
        <v>11</v>
      </c>
      <c r="C6126" s="232">
        <v>4</v>
      </c>
      <c r="D6126" s="232">
        <f t="shared" si="701"/>
        <v>45600</v>
      </c>
      <c r="E6126" s="234">
        <f t="shared" si="705"/>
        <v>45600</v>
      </c>
      <c r="F6126" s="479"/>
      <c r="G6126" s="227" t="s">
        <v>1111</v>
      </c>
      <c r="H6126" s="228"/>
      <c r="I6126" s="228"/>
      <c r="J6126" s="229" t="s">
        <v>55</v>
      </c>
      <c r="K6126" s="230"/>
      <c r="L6126" s="230">
        <v>100</v>
      </c>
    </row>
    <row r="6127" spans="1:12" ht="11.25" customHeight="1" x14ac:dyDescent="0.2">
      <c r="A6127" s="221">
        <v>2024</v>
      </c>
      <c r="B6127" s="221">
        <v>11</v>
      </c>
      <c r="C6127" s="231">
        <v>4</v>
      </c>
      <c r="D6127" s="231">
        <f t="shared" si="701"/>
        <v>45600</v>
      </c>
      <c r="E6127" s="233">
        <f t="shared" si="705"/>
        <v>45600</v>
      </c>
      <c r="F6127" s="478" t="s">
        <v>1590</v>
      </c>
      <c r="G6127" s="222" t="s">
        <v>1111</v>
      </c>
      <c r="H6127" s="223"/>
      <c r="I6127" s="223"/>
      <c r="J6127" s="224" t="s">
        <v>55</v>
      </c>
      <c r="K6127" s="225">
        <v>320713.15999999997</v>
      </c>
      <c r="L6127" s="225"/>
    </row>
    <row r="6128" spans="1:12" ht="11.25" customHeight="1" x14ac:dyDescent="0.2">
      <c r="A6128" s="226">
        <v>2024</v>
      </c>
      <c r="B6128" s="226">
        <v>11</v>
      </c>
      <c r="C6128" s="232">
        <v>4</v>
      </c>
      <c r="D6128" s="232">
        <f t="shared" si="701"/>
        <v>45600</v>
      </c>
      <c r="E6128" s="234">
        <f t="shared" si="705"/>
        <v>45600</v>
      </c>
      <c r="F6128" s="479"/>
      <c r="G6128" s="227" t="s">
        <v>1111</v>
      </c>
      <c r="H6128" s="228"/>
      <c r="I6128" s="228"/>
      <c r="J6128" s="229" t="s">
        <v>199</v>
      </c>
      <c r="K6128" s="230"/>
      <c r="L6128" s="230">
        <v>320713.15999999997</v>
      </c>
    </row>
    <row r="6129" spans="1:12" ht="11.25" customHeight="1" x14ac:dyDescent="0.2">
      <c r="A6129" s="221">
        <v>2024</v>
      </c>
      <c r="B6129" s="221">
        <v>11</v>
      </c>
      <c r="C6129" s="221">
        <v>5</v>
      </c>
      <c r="D6129" s="221">
        <f t="shared" si="701"/>
        <v>45601</v>
      </c>
      <c r="E6129" s="233">
        <f t="shared" ref="E6129:E6162" si="706">DATE(A6129,B6129,C6129)</f>
        <v>45601</v>
      </c>
      <c r="F6129" s="478" t="s">
        <v>1759</v>
      </c>
      <c r="G6129" s="222" t="s">
        <v>86</v>
      </c>
      <c r="H6129" s="222"/>
      <c r="I6129" s="223"/>
      <c r="J6129" s="224" t="s">
        <v>80</v>
      </c>
      <c r="K6129" s="225">
        <v>2249400</v>
      </c>
      <c r="L6129" s="225"/>
    </row>
    <row r="6130" spans="1:12" ht="11.25" customHeight="1" x14ac:dyDescent="0.2">
      <c r="A6130" s="164">
        <v>2024</v>
      </c>
      <c r="B6130" s="164">
        <v>11</v>
      </c>
      <c r="C6130" s="164">
        <v>5</v>
      </c>
      <c r="D6130" s="164">
        <f t="shared" si="701"/>
        <v>45601</v>
      </c>
      <c r="E6130" s="235">
        <f t="shared" si="706"/>
        <v>45601</v>
      </c>
      <c r="F6130" s="480"/>
      <c r="G6130" s="208" t="s">
        <v>86</v>
      </c>
      <c r="H6130" s="208"/>
      <c r="J6130" s="165" t="s">
        <v>960</v>
      </c>
      <c r="K6130" s="205">
        <v>4048.92</v>
      </c>
      <c r="L6130" s="205"/>
    </row>
    <row r="6131" spans="1:12" ht="11.25" customHeight="1" x14ac:dyDescent="0.2">
      <c r="A6131" s="226">
        <v>2024</v>
      </c>
      <c r="B6131" s="226">
        <v>11</v>
      </c>
      <c r="C6131" s="226">
        <v>5</v>
      </c>
      <c r="D6131" s="226">
        <f t="shared" si="701"/>
        <v>45601</v>
      </c>
      <c r="E6131" s="234">
        <f t="shared" si="706"/>
        <v>45601</v>
      </c>
      <c r="F6131" s="479"/>
      <c r="G6131" s="227" t="s">
        <v>86</v>
      </c>
      <c r="H6131" s="227"/>
      <c r="I6131" s="228"/>
      <c r="J6131" s="229" t="s">
        <v>961</v>
      </c>
      <c r="K6131" s="294"/>
      <c r="L6131" s="230">
        <v>2253448.92</v>
      </c>
    </row>
    <row r="6132" spans="1:12" ht="11.25" customHeight="1" x14ac:dyDescent="0.2">
      <c r="A6132" s="221">
        <v>2024</v>
      </c>
      <c r="B6132" s="221">
        <v>11</v>
      </c>
      <c r="C6132" s="231">
        <v>5</v>
      </c>
      <c r="D6132" s="231">
        <f t="shared" si="701"/>
        <v>45601</v>
      </c>
      <c r="E6132" s="233">
        <f t="shared" si="706"/>
        <v>45601</v>
      </c>
      <c r="F6132" s="478" t="s">
        <v>1670</v>
      </c>
      <c r="G6132" s="222" t="s">
        <v>1111</v>
      </c>
      <c r="H6132" s="223"/>
      <c r="I6132" s="223"/>
      <c r="J6132" s="224" t="s">
        <v>63</v>
      </c>
      <c r="K6132" s="225">
        <v>100</v>
      </c>
      <c r="L6132" s="225"/>
    </row>
    <row r="6133" spans="1:12" ht="11.25" customHeight="1" x14ac:dyDescent="0.2">
      <c r="A6133" s="226">
        <v>2024</v>
      </c>
      <c r="B6133" s="226">
        <v>11</v>
      </c>
      <c r="C6133" s="232">
        <v>5</v>
      </c>
      <c r="D6133" s="232">
        <f t="shared" si="701"/>
        <v>45601</v>
      </c>
      <c r="E6133" s="234">
        <f t="shared" si="706"/>
        <v>45601</v>
      </c>
      <c r="F6133" s="479"/>
      <c r="G6133" s="227" t="s">
        <v>1111</v>
      </c>
      <c r="H6133" s="228"/>
      <c r="I6133" s="228"/>
      <c r="J6133" s="229" t="s">
        <v>55</v>
      </c>
      <c r="K6133" s="230"/>
      <c r="L6133" s="230">
        <v>100</v>
      </c>
    </row>
    <row r="6134" spans="1:12" ht="11.25" customHeight="1" x14ac:dyDescent="0.2">
      <c r="A6134" s="221">
        <v>2024</v>
      </c>
      <c r="B6134" s="221">
        <v>11</v>
      </c>
      <c r="C6134" s="231">
        <v>5</v>
      </c>
      <c r="D6134" s="231">
        <f t="shared" si="701"/>
        <v>45601</v>
      </c>
      <c r="E6134" s="233">
        <f t="shared" si="706"/>
        <v>45601</v>
      </c>
      <c r="F6134" s="478" t="s">
        <v>1760</v>
      </c>
      <c r="G6134" s="222" t="s">
        <v>1111</v>
      </c>
      <c r="H6134" s="223"/>
      <c r="I6134" s="223"/>
      <c r="J6134" s="224" t="s">
        <v>961</v>
      </c>
      <c r="K6134" s="225">
        <v>583298.05000000005</v>
      </c>
      <c r="L6134" s="225"/>
    </row>
    <row r="6135" spans="1:12" ht="11.25" customHeight="1" x14ac:dyDescent="0.2">
      <c r="A6135" s="226">
        <v>2024</v>
      </c>
      <c r="B6135" s="226">
        <v>11</v>
      </c>
      <c r="C6135" s="232">
        <v>5</v>
      </c>
      <c r="D6135" s="232">
        <f t="shared" si="701"/>
        <v>45601</v>
      </c>
      <c r="E6135" s="234">
        <f t="shared" si="706"/>
        <v>45601</v>
      </c>
      <c r="F6135" s="479"/>
      <c r="G6135" s="227" t="s">
        <v>1111</v>
      </c>
      <c r="H6135" s="228"/>
      <c r="I6135" s="228"/>
      <c r="J6135" s="229" t="s">
        <v>55</v>
      </c>
      <c r="K6135" s="230"/>
      <c r="L6135" s="230">
        <v>583298.05000000005</v>
      </c>
    </row>
    <row r="6136" spans="1:12" ht="11.25" customHeight="1" x14ac:dyDescent="0.2">
      <c r="A6136" s="221">
        <v>2024</v>
      </c>
      <c r="B6136" s="221">
        <v>11</v>
      </c>
      <c r="C6136" s="231">
        <v>5</v>
      </c>
      <c r="D6136" s="231">
        <f t="shared" si="701"/>
        <v>45601</v>
      </c>
      <c r="E6136" s="233">
        <f t="shared" si="706"/>
        <v>45601</v>
      </c>
      <c r="F6136" s="478" t="s">
        <v>1753</v>
      </c>
      <c r="G6136" s="222" t="s">
        <v>1111</v>
      </c>
      <c r="H6136" s="223"/>
      <c r="I6136" s="223"/>
      <c r="J6136" s="224" t="s">
        <v>63</v>
      </c>
      <c r="K6136" s="225">
        <v>100</v>
      </c>
      <c r="L6136" s="225"/>
    </row>
    <row r="6137" spans="1:12" ht="11.25" customHeight="1" x14ac:dyDescent="0.2">
      <c r="A6137" s="226">
        <v>2024</v>
      </c>
      <c r="B6137" s="226">
        <v>11</v>
      </c>
      <c r="C6137" s="232">
        <v>5</v>
      </c>
      <c r="D6137" s="232">
        <f t="shared" si="701"/>
        <v>45601</v>
      </c>
      <c r="E6137" s="234">
        <f t="shared" si="706"/>
        <v>45601</v>
      </c>
      <c r="F6137" s="479"/>
      <c r="G6137" s="227" t="s">
        <v>1111</v>
      </c>
      <c r="H6137" s="228"/>
      <c r="I6137" s="228"/>
      <c r="J6137" s="229" t="s">
        <v>55</v>
      </c>
      <c r="K6137" s="230"/>
      <c r="L6137" s="230">
        <v>100</v>
      </c>
    </row>
    <row r="6138" spans="1:12" ht="11.25" customHeight="1" x14ac:dyDescent="0.2">
      <c r="A6138" s="221">
        <v>2024</v>
      </c>
      <c r="B6138" s="221">
        <v>11</v>
      </c>
      <c r="C6138" s="221">
        <v>6</v>
      </c>
      <c r="D6138" s="221">
        <f t="shared" si="701"/>
        <v>45602</v>
      </c>
      <c r="E6138" s="233">
        <f t="shared" si="706"/>
        <v>45602</v>
      </c>
      <c r="F6138" s="478" t="s">
        <v>1769</v>
      </c>
      <c r="G6138" s="222" t="s">
        <v>86</v>
      </c>
      <c r="H6138" s="222"/>
      <c r="I6138" s="223"/>
      <c r="J6138" s="224" t="s">
        <v>80</v>
      </c>
      <c r="K6138" s="225">
        <v>710478.9</v>
      </c>
      <c r="L6138" s="225"/>
    </row>
    <row r="6139" spans="1:12" ht="11.25" customHeight="1" x14ac:dyDescent="0.2">
      <c r="A6139" s="164">
        <v>2024</v>
      </c>
      <c r="B6139" s="164">
        <v>11</v>
      </c>
      <c r="C6139" s="164">
        <v>6</v>
      </c>
      <c r="D6139" s="164">
        <f t="shared" si="701"/>
        <v>45602</v>
      </c>
      <c r="E6139" s="235">
        <f t="shared" si="706"/>
        <v>45602</v>
      </c>
      <c r="F6139" s="480"/>
      <c r="G6139" s="208" t="s">
        <v>86</v>
      </c>
      <c r="H6139" s="208"/>
      <c r="J6139" s="165" t="s">
        <v>960</v>
      </c>
      <c r="K6139" s="205">
        <v>1750.462</v>
      </c>
      <c r="L6139" s="205"/>
    </row>
    <row r="6140" spans="1:12" ht="11.25" customHeight="1" x14ac:dyDescent="0.2">
      <c r="A6140" s="164">
        <v>2024</v>
      </c>
      <c r="B6140" s="164">
        <v>11</v>
      </c>
      <c r="C6140" s="164">
        <v>6</v>
      </c>
      <c r="D6140" s="164">
        <f t="shared" si="701"/>
        <v>45602</v>
      </c>
      <c r="E6140" s="235">
        <f t="shared" si="706"/>
        <v>45602</v>
      </c>
      <c r="F6140" s="480"/>
      <c r="G6140" s="208" t="s">
        <v>86</v>
      </c>
      <c r="H6140" s="208"/>
      <c r="J6140" s="165" t="s">
        <v>961</v>
      </c>
      <c r="K6140" s="205"/>
      <c r="L6140" s="205">
        <v>450229.36</v>
      </c>
    </row>
    <row r="6141" spans="1:12" ht="11.25" customHeight="1" x14ac:dyDescent="0.2">
      <c r="A6141" s="164">
        <v>2024</v>
      </c>
      <c r="B6141" s="164">
        <v>11</v>
      </c>
      <c r="C6141" s="164">
        <v>6</v>
      </c>
      <c r="D6141" s="164">
        <f t="shared" si="701"/>
        <v>45602</v>
      </c>
      <c r="E6141" s="235">
        <f t="shared" si="706"/>
        <v>45602</v>
      </c>
      <c r="F6141" s="480"/>
      <c r="G6141" s="208" t="s">
        <v>86</v>
      </c>
      <c r="H6141" s="208"/>
      <c r="J6141" s="165" t="s">
        <v>200</v>
      </c>
      <c r="K6141" s="263"/>
      <c r="L6141" s="205">
        <v>61542.38</v>
      </c>
    </row>
    <row r="6142" spans="1:12" ht="11.25" customHeight="1" x14ac:dyDescent="0.2">
      <c r="A6142" s="226">
        <v>2024</v>
      </c>
      <c r="B6142" s="226">
        <v>11</v>
      </c>
      <c r="C6142" s="226">
        <v>6</v>
      </c>
      <c r="D6142" s="226">
        <f t="shared" si="701"/>
        <v>45602</v>
      </c>
      <c r="E6142" s="234">
        <f t="shared" si="706"/>
        <v>45602</v>
      </c>
      <c r="F6142" s="479"/>
      <c r="G6142" s="227" t="s">
        <v>86</v>
      </c>
      <c r="H6142" s="228"/>
      <c r="I6142" s="228"/>
      <c r="J6142" s="229" t="s">
        <v>80</v>
      </c>
      <c r="K6142" s="230"/>
      <c r="L6142" s="230">
        <v>200457.62</v>
      </c>
    </row>
    <row r="6143" spans="1:12" ht="11.25" customHeight="1" x14ac:dyDescent="0.2">
      <c r="A6143" s="221">
        <v>2024</v>
      </c>
      <c r="B6143" s="221">
        <v>11</v>
      </c>
      <c r="C6143" s="231">
        <v>7</v>
      </c>
      <c r="D6143" s="231">
        <f t="shared" si="701"/>
        <v>45603</v>
      </c>
      <c r="E6143" s="233">
        <f t="shared" si="706"/>
        <v>45603</v>
      </c>
      <c r="F6143" s="478" t="s">
        <v>1670</v>
      </c>
      <c r="G6143" s="222" t="s">
        <v>1111</v>
      </c>
      <c r="H6143" s="223"/>
      <c r="I6143" s="223"/>
      <c r="J6143" s="224" t="s">
        <v>63</v>
      </c>
      <c r="K6143" s="225">
        <v>58</v>
      </c>
      <c r="L6143" s="225"/>
    </row>
    <row r="6144" spans="1:12" ht="11.25" customHeight="1" x14ac:dyDescent="0.2">
      <c r="A6144" s="226">
        <v>2024</v>
      </c>
      <c r="B6144" s="226">
        <v>11</v>
      </c>
      <c r="C6144" s="232">
        <v>7</v>
      </c>
      <c r="D6144" s="232">
        <f t="shared" si="701"/>
        <v>45603</v>
      </c>
      <c r="E6144" s="234">
        <f t="shared" si="706"/>
        <v>45603</v>
      </c>
      <c r="F6144" s="479"/>
      <c r="G6144" s="227" t="s">
        <v>1111</v>
      </c>
      <c r="H6144" s="228"/>
      <c r="I6144" s="228"/>
      <c r="J6144" s="229" t="s">
        <v>55</v>
      </c>
      <c r="K6144" s="230"/>
      <c r="L6144" s="230">
        <v>58</v>
      </c>
    </row>
    <row r="6145" spans="1:13" ht="11.25" customHeight="1" x14ac:dyDescent="0.2">
      <c r="A6145" s="221">
        <v>2024</v>
      </c>
      <c r="B6145" s="221">
        <v>11</v>
      </c>
      <c r="C6145" s="231">
        <v>7</v>
      </c>
      <c r="D6145" s="231">
        <f t="shared" si="701"/>
        <v>45603</v>
      </c>
      <c r="E6145" s="233">
        <f t="shared" si="706"/>
        <v>45603</v>
      </c>
      <c r="F6145" s="478" t="s">
        <v>1594</v>
      </c>
      <c r="G6145" s="222" t="s">
        <v>1111</v>
      </c>
      <c r="H6145" s="223"/>
      <c r="I6145" s="223"/>
      <c r="J6145" s="224" t="s">
        <v>961</v>
      </c>
      <c r="K6145" s="225">
        <v>450229.36</v>
      </c>
      <c r="L6145" s="225"/>
    </row>
    <row r="6146" spans="1:13" ht="11.25" customHeight="1" x14ac:dyDescent="0.2">
      <c r="A6146" s="226">
        <v>2024</v>
      </c>
      <c r="B6146" s="226">
        <v>11</v>
      </c>
      <c r="C6146" s="232">
        <v>7</v>
      </c>
      <c r="D6146" s="232">
        <f t="shared" si="701"/>
        <v>45603</v>
      </c>
      <c r="E6146" s="234">
        <f t="shared" si="706"/>
        <v>45603</v>
      </c>
      <c r="F6146" s="479"/>
      <c r="G6146" s="227" t="s">
        <v>1111</v>
      </c>
      <c r="H6146" s="228"/>
      <c r="I6146" s="228"/>
      <c r="J6146" s="229" t="s">
        <v>55</v>
      </c>
      <c r="K6146" s="230"/>
      <c r="L6146" s="230">
        <v>450229.36</v>
      </c>
    </row>
    <row r="6147" spans="1:13" ht="11.25" customHeight="1" x14ac:dyDescent="0.2">
      <c r="A6147" s="221">
        <v>2024</v>
      </c>
      <c r="B6147" s="221">
        <v>11</v>
      </c>
      <c r="C6147" s="231">
        <v>7</v>
      </c>
      <c r="D6147" s="231">
        <f t="shared" si="701"/>
        <v>45603</v>
      </c>
      <c r="E6147" s="233">
        <f t="shared" ref="E6147:E6150" si="707">DATE(A6147,B6147,C6147)</f>
        <v>45603</v>
      </c>
      <c r="F6147" s="478" t="s">
        <v>1670</v>
      </c>
      <c r="G6147" s="222" t="s">
        <v>1111</v>
      </c>
      <c r="H6147" s="223"/>
      <c r="I6147" s="223"/>
      <c r="J6147" s="224" t="s">
        <v>63</v>
      </c>
      <c r="K6147" s="225">
        <v>100</v>
      </c>
      <c r="L6147" s="225"/>
    </row>
    <row r="6148" spans="1:13" ht="11.25" customHeight="1" x14ac:dyDescent="0.2">
      <c r="A6148" s="226">
        <v>2024</v>
      </c>
      <c r="B6148" s="226">
        <v>11</v>
      </c>
      <c r="C6148" s="232">
        <v>7</v>
      </c>
      <c r="D6148" s="232">
        <f t="shared" si="701"/>
        <v>45603</v>
      </c>
      <c r="E6148" s="234">
        <f t="shared" si="707"/>
        <v>45603</v>
      </c>
      <c r="F6148" s="479"/>
      <c r="G6148" s="227" t="s">
        <v>1111</v>
      </c>
      <c r="H6148" s="228"/>
      <c r="I6148" s="228"/>
      <c r="J6148" s="229" t="s">
        <v>55</v>
      </c>
      <c r="K6148" s="230"/>
      <c r="L6148" s="230">
        <v>100</v>
      </c>
    </row>
    <row r="6149" spans="1:13" ht="11.25" customHeight="1" x14ac:dyDescent="0.2">
      <c r="A6149" s="221">
        <v>2024</v>
      </c>
      <c r="B6149" s="221">
        <v>11</v>
      </c>
      <c r="C6149" s="231">
        <v>7</v>
      </c>
      <c r="D6149" s="231">
        <f t="shared" si="701"/>
        <v>45603</v>
      </c>
      <c r="E6149" s="233">
        <f t="shared" si="707"/>
        <v>45603</v>
      </c>
      <c r="F6149" s="478" t="s">
        <v>1758</v>
      </c>
      <c r="G6149" s="222" t="s">
        <v>1111</v>
      </c>
      <c r="H6149" s="223"/>
      <c r="I6149" s="223"/>
      <c r="J6149" s="224" t="s">
        <v>961</v>
      </c>
      <c r="K6149" s="225">
        <v>2253448.92</v>
      </c>
      <c r="L6149" s="225"/>
    </row>
    <row r="6150" spans="1:13" ht="11.25" customHeight="1" x14ac:dyDescent="0.2">
      <c r="A6150" s="226">
        <v>2024</v>
      </c>
      <c r="B6150" s="226">
        <v>11</v>
      </c>
      <c r="C6150" s="232">
        <v>7</v>
      </c>
      <c r="D6150" s="232">
        <f t="shared" si="701"/>
        <v>45603</v>
      </c>
      <c r="E6150" s="234">
        <f t="shared" si="707"/>
        <v>45603</v>
      </c>
      <c r="F6150" s="479"/>
      <c r="G6150" s="227" t="s">
        <v>1111</v>
      </c>
      <c r="H6150" s="228"/>
      <c r="I6150" s="228"/>
      <c r="J6150" s="229" t="s">
        <v>55</v>
      </c>
      <c r="K6150" s="230"/>
      <c r="L6150" s="230">
        <v>2253448.92</v>
      </c>
    </row>
    <row r="6151" spans="1:13" ht="11.25" customHeight="1" x14ac:dyDescent="0.2">
      <c r="A6151" s="221">
        <v>2024</v>
      </c>
      <c r="B6151" s="221">
        <v>11</v>
      </c>
      <c r="C6151" s="221">
        <v>7</v>
      </c>
      <c r="D6151" s="221">
        <f t="shared" si="701"/>
        <v>45603</v>
      </c>
      <c r="E6151" s="233">
        <f t="shared" si="706"/>
        <v>45603</v>
      </c>
      <c r="F6151" s="478" t="s">
        <v>1757</v>
      </c>
      <c r="G6151" s="222" t="s">
        <v>86</v>
      </c>
      <c r="H6151" s="222"/>
      <c r="I6151" s="223"/>
      <c r="J6151" s="165" t="s">
        <v>199</v>
      </c>
      <c r="K6151" s="225">
        <v>2033832.5</v>
      </c>
      <c r="L6151" s="225"/>
    </row>
    <row r="6152" spans="1:13" ht="11.25" customHeight="1" x14ac:dyDescent="0.2">
      <c r="A6152" s="164">
        <v>2024</v>
      </c>
      <c r="B6152" s="164">
        <v>11</v>
      </c>
      <c r="C6152" s="164">
        <v>7</v>
      </c>
      <c r="D6152" s="164">
        <f t="shared" si="701"/>
        <v>45603</v>
      </c>
      <c r="E6152" s="235">
        <f t="shared" si="706"/>
        <v>45603</v>
      </c>
      <c r="F6152" s="480"/>
      <c r="G6152" s="208" t="s">
        <v>86</v>
      </c>
      <c r="H6152" s="208"/>
      <c r="J6152" s="165" t="s">
        <v>960</v>
      </c>
      <c r="K6152" s="205">
        <v>3667.5</v>
      </c>
      <c r="L6152" s="205"/>
      <c r="M6152" s="401"/>
    </row>
    <row r="6153" spans="1:13" ht="11.25" customHeight="1" x14ac:dyDescent="0.2">
      <c r="A6153" s="164">
        <v>2024</v>
      </c>
      <c r="B6153" s="164">
        <v>11</v>
      </c>
      <c r="C6153" s="164">
        <v>7</v>
      </c>
      <c r="D6153" s="164">
        <f t="shared" ref="D6153:D6216" si="708">DATE(A6153,B6153,C6153)</f>
        <v>45603</v>
      </c>
      <c r="E6153" s="235">
        <f t="shared" si="706"/>
        <v>45603</v>
      </c>
      <c r="F6153" s="480"/>
      <c r="G6153" s="208" t="s">
        <v>86</v>
      </c>
      <c r="H6153" s="208"/>
      <c r="J6153" s="165" t="s">
        <v>200</v>
      </c>
      <c r="K6153" s="205"/>
      <c r="L6153" s="205">
        <v>303669.37</v>
      </c>
    </row>
    <row r="6154" spans="1:13" ht="11.25" customHeight="1" x14ac:dyDescent="0.2">
      <c r="A6154" s="226">
        <v>2024</v>
      </c>
      <c r="B6154" s="226">
        <v>11</v>
      </c>
      <c r="C6154" s="226">
        <v>7</v>
      </c>
      <c r="D6154" s="226">
        <f t="shared" si="708"/>
        <v>45603</v>
      </c>
      <c r="E6154" s="234">
        <f t="shared" si="706"/>
        <v>45603</v>
      </c>
      <c r="F6154" s="479"/>
      <c r="G6154" s="227" t="s">
        <v>86</v>
      </c>
      <c r="H6154" s="228"/>
      <c r="I6154" s="228"/>
      <c r="J6154" s="229" t="s">
        <v>80</v>
      </c>
      <c r="K6154" s="230"/>
      <c r="L6154" s="230">
        <v>1733830.63</v>
      </c>
    </row>
    <row r="6155" spans="1:13" ht="11.25" customHeight="1" x14ac:dyDescent="0.2">
      <c r="A6155" s="280">
        <v>2024</v>
      </c>
      <c r="B6155" s="280">
        <v>11</v>
      </c>
      <c r="C6155" s="280">
        <v>7</v>
      </c>
      <c r="D6155" s="281">
        <f t="shared" si="708"/>
        <v>45603</v>
      </c>
      <c r="E6155" s="282">
        <f t="shared" si="706"/>
        <v>45603</v>
      </c>
      <c r="F6155" s="472" t="s">
        <v>1744</v>
      </c>
      <c r="G6155" s="283" t="s">
        <v>86</v>
      </c>
      <c r="H6155" s="284"/>
      <c r="I6155" s="284"/>
      <c r="J6155" s="285" t="s">
        <v>131</v>
      </c>
      <c r="K6155" s="286">
        <v>19358.333333333332</v>
      </c>
      <c r="L6155" s="286"/>
    </row>
    <row r="6156" spans="1:13" ht="11.25" customHeight="1" x14ac:dyDescent="0.2">
      <c r="A6156" s="287">
        <v>2024</v>
      </c>
      <c r="B6156" s="287">
        <v>11</v>
      </c>
      <c r="C6156" s="287">
        <v>7</v>
      </c>
      <c r="D6156" s="288">
        <f t="shared" si="708"/>
        <v>45603</v>
      </c>
      <c r="E6156" s="289">
        <f t="shared" si="706"/>
        <v>45603</v>
      </c>
      <c r="F6156" s="473"/>
      <c r="G6156" s="290" t="s">
        <v>86</v>
      </c>
      <c r="H6156" s="291"/>
      <c r="I6156" s="291"/>
      <c r="J6156" s="292" t="s">
        <v>174</v>
      </c>
      <c r="K6156" s="293"/>
      <c r="L6156" s="293">
        <v>19358.333333333332</v>
      </c>
    </row>
    <row r="6157" spans="1:13" ht="11.25" customHeight="1" x14ac:dyDescent="0.2">
      <c r="A6157" s="280">
        <v>2024</v>
      </c>
      <c r="B6157" s="280">
        <v>11</v>
      </c>
      <c r="C6157" s="280">
        <v>7</v>
      </c>
      <c r="D6157" s="281">
        <f t="shared" si="708"/>
        <v>45603</v>
      </c>
      <c r="E6157" s="282">
        <f t="shared" si="706"/>
        <v>45603</v>
      </c>
      <c r="F6157" s="472" t="s">
        <v>1584</v>
      </c>
      <c r="G6157" s="283" t="s">
        <v>86</v>
      </c>
      <c r="H6157" s="284"/>
      <c r="I6157" s="284"/>
      <c r="J6157" s="285" t="s">
        <v>131</v>
      </c>
      <c r="K6157" s="286">
        <v>8846.1538461538457</v>
      </c>
      <c r="L6157" s="286"/>
    </row>
    <row r="6158" spans="1:13" ht="11.25" customHeight="1" x14ac:dyDescent="0.2">
      <c r="A6158" s="287">
        <v>2024</v>
      </c>
      <c r="B6158" s="287">
        <v>11</v>
      </c>
      <c r="C6158" s="287">
        <v>7</v>
      </c>
      <c r="D6158" s="288">
        <f t="shared" si="708"/>
        <v>45603</v>
      </c>
      <c r="E6158" s="289">
        <f t="shared" si="706"/>
        <v>45603</v>
      </c>
      <c r="F6158" s="473"/>
      <c r="G6158" s="290" t="s">
        <v>86</v>
      </c>
      <c r="H6158" s="291"/>
      <c r="I6158" s="291"/>
      <c r="J6158" s="292" t="s">
        <v>174</v>
      </c>
      <c r="K6158" s="293"/>
      <c r="L6158" s="293">
        <v>8846.1538461538457</v>
      </c>
    </row>
    <row r="6159" spans="1:13" ht="11.25" customHeight="1" x14ac:dyDescent="0.2">
      <c r="A6159" s="280">
        <v>2024</v>
      </c>
      <c r="B6159" s="280">
        <v>11</v>
      </c>
      <c r="C6159" s="280">
        <v>7</v>
      </c>
      <c r="D6159" s="281">
        <f t="shared" si="708"/>
        <v>45603</v>
      </c>
      <c r="E6159" s="282">
        <f t="shared" si="706"/>
        <v>45603</v>
      </c>
      <c r="F6159" s="472" t="s">
        <v>1830</v>
      </c>
      <c r="G6159" s="283" t="s">
        <v>86</v>
      </c>
      <c r="H6159" s="284"/>
      <c r="I6159" s="284"/>
      <c r="J6159" s="285" t="s">
        <v>131</v>
      </c>
      <c r="K6159" s="286">
        <v>4653.8461538461543</v>
      </c>
      <c r="L6159" s="286"/>
    </row>
    <row r="6160" spans="1:13" ht="11.25" customHeight="1" x14ac:dyDescent="0.2">
      <c r="A6160" s="287">
        <v>2024</v>
      </c>
      <c r="B6160" s="287">
        <v>11</v>
      </c>
      <c r="C6160" s="287">
        <v>7</v>
      </c>
      <c r="D6160" s="288">
        <f t="shared" si="708"/>
        <v>45603</v>
      </c>
      <c r="E6160" s="289">
        <f t="shared" si="706"/>
        <v>45603</v>
      </c>
      <c r="F6160" s="473"/>
      <c r="G6160" s="290" t="s">
        <v>86</v>
      </c>
      <c r="H6160" s="291"/>
      <c r="I6160" s="291"/>
      <c r="J6160" s="292" t="s">
        <v>174</v>
      </c>
      <c r="K6160" s="293"/>
      <c r="L6160" s="293">
        <v>4653.8461538461543</v>
      </c>
    </row>
    <row r="6161" spans="1:13" ht="11.25" customHeight="1" x14ac:dyDescent="0.2">
      <c r="A6161" s="341">
        <v>2024</v>
      </c>
      <c r="B6161" s="341">
        <v>11</v>
      </c>
      <c r="C6161" s="341">
        <v>7</v>
      </c>
      <c r="D6161" s="328">
        <f t="shared" si="708"/>
        <v>45603</v>
      </c>
      <c r="E6161" s="329">
        <f t="shared" si="706"/>
        <v>45603</v>
      </c>
      <c r="F6161" s="474" t="s">
        <v>1767</v>
      </c>
      <c r="G6161" s="330" t="s">
        <v>86</v>
      </c>
      <c r="H6161" s="332"/>
      <c r="I6161" s="332"/>
      <c r="J6161" s="342" t="s">
        <v>67</v>
      </c>
      <c r="K6161" s="343">
        <v>9344.6200000000008</v>
      </c>
      <c r="L6161" s="343"/>
    </row>
    <row r="6162" spans="1:13" ht="11.25" customHeight="1" x14ac:dyDescent="0.2">
      <c r="A6162" s="344">
        <v>2024</v>
      </c>
      <c r="B6162" s="344">
        <v>11</v>
      </c>
      <c r="C6162" s="344">
        <v>7</v>
      </c>
      <c r="D6162" s="337">
        <f t="shared" si="708"/>
        <v>45603</v>
      </c>
      <c r="E6162" s="338">
        <f t="shared" si="706"/>
        <v>45603</v>
      </c>
      <c r="F6162" s="475"/>
      <c r="G6162" s="339" t="s">
        <v>86</v>
      </c>
      <c r="H6162" s="340"/>
      <c r="I6162" s="340"/>
      <c r="J6162" s="345" t="s">
        <v>174</v>
      </c>
      <c r="K6162" s="346"/>
      <c r="L6162" s="346">
        <f>K6161</f>
        <v>9344.6200000000008</v>
      </c>
    </row>
    <row r="6163" spans="1:13" ht="11.25" customHeight="1" x14ac:dyDescent="0.2">
      <c r="A6163" s="358">
        <v>2024</v>
      </c>
      <c r="B6163" s="358">
        <v>11</v>
      </c>
      <c r="C6163" s="358">
        <v>7</v>
      </c>
      <c r="D6163" s="312">
        <f t="shared" si="708"/>
        <v>45603</v>
      </c>
      <c r="E6163" s="313">
        <f>DATE(A6163,B6163,C6163)</f>
        <v>45603</v>
      </c>
      <c r="F6163" s="482" t="s">
        <v>1627</v>
      </c>
      <c r="G6163" s="314" t="s">
        <v>86</v>
      </c>
      <c r="H6163" s="324"/>
      <c r="I6163" s="324"/>
      <c r="J6163" s="364" t="s">
        <v>1621</v>
      </c>
      <c r="K6163" s="365">
        <v>41205</v>
      </c>
      <c r="L6163" s="365"/>
    </row>
    <row r="6164" spans="1:13" ht="11.25" customHeight="1" x14ac:dyDescent="0.2">
      <c r="A6164" s="320">
        <v>2024</v>
      </c>
      <c r="B6164" s="320">
        <v>11</v>
      </c>
      <c r="C6164" s="320">
        <v>7</v>
      </c>
      <c r="D6164" s="323">
        <f t="shared" si="708"/>
        <v>45603</v>
      </c>
      <c r="E6164" s="321">
        <f t="shared" ref="E6164" si="709">DATE(A6164,B6164,C6164)</f>
        <v>45603</v>
      </c>
      <c r="F6164" s="483"/>
      <c r="G6164" s="322" t="s">
        <v>86</v>
      </c>
      <c r="H6164" s="325"/>
      <c r="I6164" s="325"/>
      <c r="J6164" s="366" t="s">
        <v>1613</v>
      </c>
      <c r="K6164" s="367"/>
      <c r="L6164" s="367">
        <f>K6163</f>
        <v>41205</v>
      </c>
    </row>
    <row r="6165" spans="1:13" ht="11.25" customHeight="1" x14ac:dyDescent="0.2">
      <c r="A6165" s="358">
        <v>2024</v>
      </c>
      <c r="B6165" s="358">
        <v>11</v>
      </c>
      <c r="C6165" s="358">
        <v>7</v>
      </c>
      <c r="D6165" s="312">
        <f t="shared" si="708"/>
        <v>45603</v>
      </c>
      <c r="E6165" s="313">
        <f>DATE(A6165,B6165,C6165)</f>
        <v>45603</v>
      </c>
      <c r="F6165" s="482" t="s">
        <v>1713</v>
      </c>
      <c r="G6165" s="314" t="s">
        <v>86</v>
      </c>
      <c r="H6165" s="324"/>
      <c r="I6165" s="324"/>
      <c r="J6165" s="364" t="s">
        <v>1622</v>
      </c>
      <c r="K6165" s="365">
        <v>431691.91705884784</v>
      </c>
      <c r="L6165" s="365"/>
    </row>
    <row r="6166" spans="1:13" ht="11.25" customHeight="1" x14ac:dyDescent="0.2">
      <c r="A6166" s="320">
        <v>2024</v>
      </c>
      <c r="B6166" s="320">
        <v>11</v>
      </c>
      <c r="C6166" s="320">
        <v>7</v>
      </c>
      <c r="D6166" s="323">
        <f t="shared" si="708"/>
        <v>45603</v>
      </c>
      <c r="E6166" s="321">
        <f t="shared" ref="E6166:E6199" si="710">DATE(A6166,B6166,C6166)</f>
        <v>45603</v>
      </c>
      <c r="F6166" s="483"/>
      <c r="G6166" s="322" t="s">
        <v>86</v>
      </c>
      <c r="H6166" s="325"/>
      <c r="I6166" s="325"/>
      <c r="J6166" s="366" t="s">
        <v>1614</v>
      </c>
      <c r="K6166" s="367"/>
      <c r="L6166" s="367">
        <f>K6165</f>
        <v>431691.91705884784</v>
      </c>
    </row>
    <row r="6167" spans="1:13" ht="11.25" customHeight="1" x14ac:dyDescent="0.2">
      <c r="A6167" s="236">
        <v>2024</v>
      </c>
      <c r="B6167" s="236">
        <v>11</v>
      </c>
      <c r="C6167" s="236">
        <v>7</v>
      </c>
      <c r="D6167" s="237">
        <f t="shared" si="708"/>
        <v>45603</v>
      </c>
      <c r="E6167" s="238">
        <f t="shared" si="710"/>
        <v>45603</v>
      </c>
      <c r="F6167" s="476" t="s">
        <v>1118</v>
      </c>
      <c r="G6167" s="239" t="s">
        <v>86</v>
      </c>
      <c r="H6167" s="239"/>
      <c r="I6167" s="240"/>
      <c r="J6167" s="241" t="s">
        <v>98</v>
      </c>
      <c r="K6167" s="242">
        <v>334665.93000002205</v>
      </c>
      <c r="L6167" s="242"/>
    </row>
    <row r="6168" spans="1:13" ht="11.25" customHeight="1" x14ac:dyDescent="0.2">
      <c r="A6168" s="243">
        <v>2024</v>
      </c>
      <c r="B6168" s="243">
        <v>11</v>
      </c>
      <c r="C6168" s="243">
        <v>7</v>
      </c>
      <c r="D6168" s="248">
        <f t="shared" si="708"/>
        <v>45603</v>
      </c>
      <c r="E6168" s="249">
        <f t="shared" si="710"/>
        <v>45603</v>
      </c>
      <c r="F6168" s="477"/>
      <c r="G6168" s="244" t="s">
        <v>86</v>
      </c>
      <c r="H6168" s="244"/>
      <c r="I6168" s="245"/>
      <c r="J6168" s="246" t="s">
        <v>82</v>
      </c>
      <c r="K6168" s="247"/>
      <c r="L6168" s="247">
        <f>K6167</f>
        <v>334665.93000002205</v>
      </c>
    </row>
    <row r="6169" spans="1:13" ht="11.25" customHeight="1" x14ac:dyDescent="0.2">
      <c r="A6169" s="236">
        <v>2024</v>
      </c>
      <c r="B6169" s="236">
        <v>11</v>
      </c>
      <c r="C6169" s="236">
        <v>7</v>
      </c>
      <c r="D6169" s="237">
        <f t="shared" si="708"/>
        <v>45603</v>
      </c>
      <c r="E6169" s="238">
        <f t="shared" si="710"/>
        <v>45603</v>
      </c>
      <c r="F6169" s="476" t="s">
        <v>1120</v>
      </c>
      <c r="G6169" s="239" t="s">
        <v>86</v>
      </c>
      <c r="H6169" s="239"/>
      <c r="I6169" s="240"/>
      <c r="J6169" s="241" t="s">
        <v>87</v>
      </c>
      <c r="K6169" s="242">
        <v>2747.2527472527472</v>
      </c>
      <c r="L6169" s="242"/>
    </row>
    <row r="6170" spans="1:13" ht="11.25" customHeight="1" x14ac:dyDescent="0.2">
      <c r="A6170" s="243">
        <v>2024</v>
      </c>
      <c r="B6170" s="243">
        <v>11</v>
      </c>
      <c r="C6170" s="243">
        <v>7</v>
      </c>
      <c r="D6170" s="248">
        <f t="shared" si="708"/>
        <v>45603</v>
      </c>
      <c r="E6170" s="249">
        <f t="shared" si="710"/>
        <v>45603</v>
      </c>
      <c r="F6170" s="477"/>
      <c r="G6170" s="244" t="s">
        <v>86</v>
      </c>
      <c r="H6170" s="244"/>
      <c r="I6170" s="245"/>
      <c r="J6170" s="246" t="s">
        <v>64</v>
      </c>
      <c r="K6170" s="247"/>
      <c r="L6170" s="247">
        <v>2747.2527472527472</v>
      </c>
    </row>
    <row r="6171" spans="1:13" ht="11.25" customHeight="1" x14ac:dyDescent="0.2">
      <c r="A6171" s="236">
        <v>2024</v>
      </c>
      <c r="B6171" s="236">
        <v>11</v>
      </c>
      <c r="C6171" s="236">
        <v>7</v>
      </c>
      <c r="D6171" s="237">
        <f t="shared" si="708"/>
        <v>45603</v>
      </c>
      <c r="E6171" s="238">
        <f t="shared" si="710"/>
        <v>45603</v>
      </c>
      <c r="F6171" s="476" t="s">
        <v>1121</v>
      </c>
      <c r="G6171" s="239" t="s">
        <v>86</v>
      </c>
      <c r="H6171" s="239"/>
      <c r="I6171" s="240"/>
      <c r="J6171" s="241" t="s">
        <v>89</v>
      </c>
      <c r="K6171" s="242">
        <f>M6171</f>
        <v>71418.048192102215</v>
      </c>
      <c r="L6171" s="242"/>
      <c r="M6171" s="156">
        <v>71418.048192102215</v>
      </c>
    </row>
    <row r="6172" spans="1:13" ht="11.25" customHeight="1" x14ac:dyDescent="0.2">
      <c r="A6172" s="243">
        <v>2024</v>
      </c>
      <c r="B6172" s="243">
        <v>11</v>
      </c>
      <c r="C6172" s="243">
        <v>7</v>
      </c>
      <c r="D6172" s="248">
        <f t="shared" si="708"/>
        <v>45603</v>
      </c>
      <c r="E6172" s="249">
        <f t="shared" si="710"/>
        <v>45603</v>
      </c>
      <c r="F6172" s="477"/>
      <c r="G6172" s="244" t="s">
        <v>86</v>
      </c>
      <c r="H6172" s="244"/>
      <c r="I6172" s="245"/>
      <c r="J6172" s="246" t="s">
        <v>50</v>
      </c>
      <c r="K6172" s="247"/>
      <c r="L6172" s="247">
        <f>K6171</f>
        <v>71418.048192102215</v>
      </c>
      <c r="M6172" s="156">
        <v>3330.517794220495</v>
      </c>
    </row>
    <row r="6173" spans="1:13" ht="11.25" customHeight="1" x14ac:dyDescent="0.2">
      <c r="A6173" s="236">
        <v>2024</v>
      </c>
      <c r="B6173" s="236">
        <v>11</v>
      </c>
      <c r="C6173" s="236">
        <v>7</v>
      </c>
      <c r="D6173" s="237">
        <f t="shared" si="708"/>
        <v>45603</v>
      </c>
      <c r="E6173" s="238">
        <f t="shared" si="710"/>
        <v>45603</v>
      </c>
      <c r="F6173" s="476" t="s">
        <v>1122</v>
      </c>
      <c r="G6173" s="239" t="s">
        <v>86</v>
      </c>
      <c r="H6173" s="239"/>
      <c r="I6173" s="240"/>
      <c r="J6173" s="241" t="s">
        <v>91</v>
      </c>
      <c r="K6173" s="242">
        <f>M6172</f>
        <v>3330.517794220495</v>
      </c>
      <c r="L6173" s="242"/>
    </row>
    <row r="6174" spans="1:13" ht="11.25" customHeight="1" x14ac:dyDescent="0.2">
      <c r="A6174" s="243">
        <v>2024</v>
      </c>
      <c r="B6174" s="243">
        <v>11</v>
      </c>
      <c r="C6174" s="243">
        <v>7</v>
      </c>
      <c r="D6174" s="248">
        <f t="shared" si="708"/>
        <v>45603</v>
      </c>
      <c r="E6174" s="249">
        <f t="shared" si="710"/>
        <v>45603</v>
      </c>
      <c r="F6174" s="477"/>
      <c r="G6174" s="244" t="s">
        <v>86</v>
      </c>
      <c r="H6174" s="244"/>
      <c r="I6174" s="245"/>
      <c r="J6174" s="246" t="s">
        <v>51</v>
      </c>
      <c r="K6174" s="247"/>
      <c r="L6174" s="247">
        <f>K6173</f>
        <v>3330.517794220495</v>
      </c>
    </row>
    <row r="6175" spans="1:13" ht="11.25" customHeight="1" x14ac:dyDescent="0.2">
      <c r="A6175" s="221">
        <v>2024</v>
      </c>
      <c r="B6175" s="221">
        <v>11</v>
      </c>
      <c r="C6175" s="221">
        <v>11</v>
      </c>
      <c r="D6175" s="231">
        <f t="shared" si="708"/>
        <v>45607</v>
      </c>
      <c r="E6175" s="233">
        <f t="shared" si="710"/>
        <v>45607</v>
      </c>
      <c r="F6175" s="478" t="s">
        <v>1115</v>
      </c>
      <c r="G6175" s="222" t="s">
        <v>1111</v>
      </c>
      <c r="H6175" s="223"/>
      <c r="I6175" s="223" t="s">
        <v>607</v>
      </c>
      <c r="J6175" s="224" t="s">
        <v>14</v>
      </c>
      <c r="K6175" s="167">
        <v>204310</v>
      </c>
      <c r="L6175" s="225"/>
    </row>
    <row r="6176" spans="1:13" ht="11.25" customHeight="1" x14ac:dyDescent="0.2">
      <c r="A6176" s="164">
        <v>2024</v>
      </c>
      <c r="B6176" s="164">
        <v>11</v>
      </c>
      <c r="C6176" s="164">
        <v>11</v>
      </c>
      <c r="D6176" s="156">
        <f t="shared" si="708"/>
        <v>45607</v>
      </c>
      <c r="E6176" s="235">
        <f t="shared" si="710"/>
        <v>45607</v>
      </c>
      <c r="F6176" s="480"/>
      <c r="G6176" s="208" t="s">
        <v>1111</v>
      </c>
      <c r="I6176" s="206" t="s">
        <v>607</v>
      </c>
      <c r="J6176" s="165" t="s">
        <v>1112</v>
      </c>
      <c r="K6176" s="205">
        <v>16528.679999999993</v>
      </c>
      <c r="L6176" s="156"/>
    </row>
    <row r="6177" spans="1:12" ht="11.25" customHeight="1" x14ac:dyDescent="0.2">
      <c r="A6177" s="226">
        <v>2024</v>
      </c>
      <c r="B6177" s="226">
        <v>11</v>
      </c>
      <c r="C6177" s="226">
        <v>11</v>
      </c>
      <c r="D6177" s="232">
        <f t="shared" si="708"/>
        <v>45607</v>
      </c>
      <c r="E6177" s="234">
        <f t="shared" si="710"/>
        <v>45607</v>
      </c>
      <c r="F6177" s="479"/>
      <c r="G6177" s="227" t="s">
        <v>1111</v>
      </c>
      <c r="H6177" s="228"/>
      <c r="I6177" s="228" t="s">
        <v>607</v>
      </c>
      <c r="J6177" s="229" t="s">
        <v>55</v>
      </c>
      <c r="K6177" s="230"/>
      <c r="L6177" s="230">
        <v>220838.68</v>
      </c>
    </row>
    <row r="6178" spans="1:12" ht="11.25" customHeight="1" x14ac:dyDescent="0.2">
      <c r="A6178" s="221">
        <v>2024</v>
      </c>
      <c r="B6178" s="221">
        <v>11</v>
      </c>
      <c r="C6178" s="231">
        <v>11</v>
      </c>
      <c r="D6178" s="231">
        <f t="shared" si="708"/>
        <v>45607</v>
      </c>
      <c r="E6178" s="233">
        <f t="shared" ref="E6178:E6179" si="711">DATE(A6178,B6178,C6178)</f>
        <v>45607</v>
      </c>
      <c r="F6178" s="478" t="s">
        <v>1670</v>
      </c>
      <c r="G6178" s="222" t="s">
        <v>1111</v>
      </c>
      <c r="H6178" s="223"/>
      <c r="I6178" s="223"/>
      <c r="J6178" s="224" t="s">
        <v>63</v>
      </c>
      <c r="K6178" s="225">
        <v>58</v>
      </c>
      <c r="L6178" s="225"/>
    </row>
    <row r="6179" spans="1:12" ht="11.25" customHeight="1" x14ac:dyDescent="0.2">
      <c r="A6179" s="226">
        <v>2024</v>
      </c>
      <c r="B6179" s="226">
        <v>11</v>
      </c>
      <c r="C6179" s="232">
        <v>11</v>
      </c>
      <c r="D6179" s="232">
        <f t="shared" si="708"/>
        <v>45607</v>
      </c>
      <c r="E6179" s="234">
        <f t="shared" si="711"/>
        <v>45607</v>
      </c>
      <c r="F6179" s="479"/>
      <c r="G6179" s="227" t="s">
        <v>1111</v>
      </c>
      <c r="H6179" s="228"/>
      <c r="I6179" s="228"/>
      <c r="J6179" s="229" t="s">
        <v>55</v>
      </c>
      <c r="K6179" s="230"/>
      <c r="L6179" s="230">
        <v>58</v>
      </c>
    </row>
    <row r="6180" spans="1:12" ht="11.25" customHeight="1" x14ac:dyDescent="0.2">
      <c r="A6180" s="221">
        <v>2024</v>
      </c>
      <c r="B6180" s="221">
        <v>11</v>
      </c>
      <c r="C6180" s="221">
        <v>11</v>
      </c>
      <c r="D6180" s="221">
        <f t="shared" si="708"/>
        <v>45607</v>
      </c>
      <c r="E6180" s="233">
        <f t="shared" si="710"/>
        <v>45607</v>
      </c>
      <c r="F6180" s="478" t="s">
        <v>1769</v>
      </c>
      <c r="G6180" s="222" t="s">
        <v>86</v>
      </c>
      <c r="H6180" s="222"/>
      <c r="I6180" s="223"/>
      <c r="J6180" s="224" t="s">
        <v>80</v>
      </c>
      <c r="K6180" s="225">
        <v>1634470.4</v>
      </c>
      <c r="L6180" s="225"/>
    </row>
    <row r="6181" spans="1:12" ht="11.25" customHeight="1" x14ac:dyDescent="0.2">
      <c r="A6181" s="164">
        <v>2024</v>
      </c>
      <c r="B6181" s="164">
        <v>11</v>
      </c>
      <c r="C6181" s="164">
        <v>11</v>
      </c>
      <c r="D6181" s="164">
        <f t="shared" si="708"/>
        <v>45607</v>
      </c>
      <c r="E6181" s="235">
        <f t="shared" si="710"/>
        <v>45607</v>
      </c>
      <c r="F6181" s="480"/>
      <c r="G6181" s="208" t="s">
        <v>86</v>
      </c>
      <c r="H6181" s="208"/>
      <c r="J6181" s="165" t="s">
        <v>960</v>
      </c>
      <c r="K6181" s="205">
        <v>6186.9948999999997</v>
      </c>
      <c r="L6181" s="205"/>
    </row>
    <row r="6182" spans="1:12" ht="11.25" customHeight="1" x14ac:dyDescent="0.2">
      <c r="A6182" s="164">
        <v>2024</v>
      </c>
      <c r="B6182" s="164">
        <v>11</v>
      </c>
      <c r="C6182" s="164">
        <v>11</v>
      </c>
      <c r="D6182" s="164">
        <f t="shared" si="708"/>
        <v>45607</v>
      </c>
      <c r="E6182" s="235">
        <f t="shared" si="710"/>
        <v>45607</v>
      </c>
      <c r="F6182" s="480"/>
      <c r="G6182" s="208" t="s">
        <v>86</v>
      </c>
      <c r="H6182" s="208"/>
      <c r="J6182" s="165" t="s">
        <v>199</v>
      </c>
      <c r="K6182" s="205">
        <v>162091.60999999999</v>
      </c>
      <c r="L6182" s="205"/>
    </row>
    <row r="6183" spans="1:12" ht="11.25" customHeight="1" x14ac:dyDescent="0.2">
      <c r="A6183" s="164">
        <v>2024</v>
      </c>
      <c r="B6183" s="164">
        <v>11</v>
      </c>
      <c r="C6183" s="164">
        <v>11</v>
      </c>
      <c r="D6183" s="164">
        <f t="shared" si="708"/>
        <v>45607</v>
      </c>
      <c r="E6183" s="235">
        <f t="shared" si="710"/>
        <v>45607</v>
      </c>
      <c r="F6183" s="480"/>
      <c r="G6183" s="208" t="s">
        <v>86</v>
      </c>
      <c r="H6183" s="208"/>
      <c r="J6183" s="165" t="s">
        <v>200</v>
      </c>
      <c r="K6183" s="263"/>
      <c r="L6183" s="205">
        <v>299240.43</v>
      </c>
    </row>
    <row r="6184" spans="1:12" ht="11.25" customHeight="1" x14ac:dyDescent="0.2">
      <c r="A6184" s="226">
        <v>2024</v>
      </c>
      <c r="B6184" s="226">
        <v>11</v>
      </c>
      <c r="C6184" s="226">
        <v>11</v>
      </c>
      <c r="D6184" s="226">
        <f t="shared" si="708"/>
        <v>45607</v>
      </c>
      <c r="E6184" s="234">
        <f t="shared" si="710"/>
        <v>45607</v>
      </c>
      <c r="F6184" s="479"/>
      <c r="G6184" s="227" t="s">
        <v>86</v>
      </c>
      <c r="H6184" s="228"/>
      <c r="I6184" s="228"/>
      <c r="J6184" s="229" t="s">
        <v>80</v>
      </c>
      <c r="K6184" s="230"/>
      <c r="L6184" s="230">
        <v>1503508.57</v>
      </c>
    </row>
    <row r="6185" spans="1:12" ht="11.25" customHeight="1" x14ac:dyDescent="0.2">
      <c r="A6185" s="221">
        <v>2024</v>
      </c>
      <c r="B6185" s="221">
        <v>11</v>
      </c>
      <c r="C6185" s="221">
        <v>12</v>
      </c>
      <c r="D6185" s="221">
        <f t="shared" si="708"/>
        <v>45608</v>
      </c>
      <c r="E6185" s="233">
        <f t="shared" si="710"/>
        <v>45608</v>
      </c>
      <c r="F6185" s="478" t="s">
        <v>1593</v>
      </c>
      <c r="G6185" s="222" t="s">
        <v>86</v>
      </c>
      <c r="H6185" s="222"/>
      <c r="I6185" s="223"/>
      <c r="J6185" s="224" t="s">
        <v>80</v>
      </c>
      <c r="K6185" s="225">
        <v>958762.5</v>
      </c>
      <c r="L6185" s="225"/>
    </row>
    <row r="6186" spans="1:12" ht="11.25" customHeight="1" x14ac:dyDescent="0.2">
      <c r="A6186" s="164">
        <v>2024</v>
      </c>
      <c r="B6186" s="164">
        <v>11</v>
      </c>
      <c r="C6186" s="164">
        <v>12</v>
      </c>
      <c r="D6186" s="164">
        <f t="shared" si="708"/>
        <v>45608</v>
      </c>
      <c r="E6186" s="235">
        <f t="shared" si="710"/>
        <v>45608</v>
      </c>
      <c r="F6186" s="480"/>
      <c r="G6186" s="208" t="s">
        <v>86</v>
      </c>
      <c r="H6186" s="208"/>
      <c r="J6186" s="165" t="s">
        <v>960</v>
      </c>
      <c r="K6186" s="205">
        <v>1725.7725</v>
      </c>
      <c r="L6186" s="205"/>
    </row>
    <row r="6187" spans="1:12" ht="11.25" customHeight="1" x14ac:dyDescent="0.2">
      <c r="A6187" s="226">
        <v>2024</v>
      </c>
      <c r="B6187" s="226">
        <v>11</v>
      </c>
      <c r="C6187" s="226">
        <v>12</v>
      </c>
      <c r="D6187" s="226">
        <f t="shared" si="708"/>
        <v>45608</v>
      </c>
      <c r="E6187" s="234">
        <f t="shared" si="710"/>
        <v>45608</v>
      </c>
      <c r="F6187" s="479"/>
      <c r="G6187" s="227" t="s">
        <v>86</v>
      </c>
      <c r="H6187" s="227"/>
      <c r="I6187" s="228"/>
      <c r="J6187" s="229" t="s">
        <v>961</v>
      </c>
      <c r="K6187" s="294"/>
      <c r="L6187" s="230">
        <v>960488.27</v>
      </c>
    </row>
    <row r="6188" spans="1:12" ht="11.25" customHeight="1" x14ac:dyDescent="0.2">
      <c r="A6188" s="221">
        <v>2024</v>
      </c>
      <c r="B6188" s="221">
        <v>11</v>
      </c>
      <c r="C6188" s="231">
        <v>12</v>
      </c>
      <c r="D6188" s="231">
        <f t="shared" si="708"/>
        <v>45608</v>
      </c>
      <c r="E6188" s="233">
        <f t="shared" si="710"/>
        <v>45608</v>
      </c>
      <c r="F6188" s="478" t="s">
        <v>1807</v>
      </c>
      <c r="G6188" s="222" t="s">
        <v>1111</v>
      </c>
      <c r="H6188" s="223"/>
      <c r="I6188" s="223"/>
      <c r="J6188" s="224" t="s">
        <v>55</v>
      </c>
      <c r="K6188" s="225">
        <v>2033832.5</v>
      </c>
      <c r="L6188" s="225"/>
    </row>
    <row r="6189" spans="1:12" ht="11.25" customHeight="1" x14ac:dyDescent="0.2">
      <c r="A6189" s="226">
        <v>2024</v>
      </c>
      <c r="B6189" s="226">
        <v>11</v>
      </c>
      <c r="C6189" s="232">
        <v>12</v>
      </c>
      <c r="D6189" s="232">
        <f t="shared" si="708"/>
        <v>45608</v>
      </c>
      <c r="E6189" s="234">
        <f t="shared" si="710"/>
        <v>45608</v>
      </c>
      <c r="F6189" s="479"/>
      <c r="G6189" s="227" t="s">
        <v>1111</v>
      </c>
      <c r="H6189" s="228"/>
      <c r="I6189" s="228"/>
      <c r="J6189" s="229" t="s">
        <v>199</v>
      </c>
      <c r="K6189" s="230"/>
      <c r="L6189" s="230">
        <v>2033832.5</v>
      </c>
    </row>
    <row r="6190" spans="1:12" ht="11.25" customHeight="1" x14ac:dyDescent="0.2">
      <c r="A6190" s="164">
        <v>2024</v>
      </c>
      <c r="B6190" s="164">
        <v>11</v>
      </c>
      <c r="C6190" s="164">
        <v>12</v>
      </c>
      <c r="D6190" s="156">
        <f t="shared" si="708"/>
        <v>45608</v>
      </c>
      <c r="E6190" s="235">
        <f t="shared" si="710"/>
        <v>45608</v>
      </c>
      <c r="F6190" s="478" t="s">
        <v>1808</v>
      </c>
      <c r="G6190" s="208" t="s">
        <v>1111</v>
      </c>
      <c r="J6190" s="165" t="s">
        <v>478</v>
      </c>
      <c r="K6190" s="205">
        <v>8079.5</v>
      </c>
      <c r="L6190" s="205"/>
    </row>
    <row r="6191" spans="1:12" ht="11.25" customHeight="1" x14ac:dyDescent="0.2">
      <c r="A6191" s="164">
        <v>2024</v>
      </c>
      <c r="B6191" s="164">
        <v>11</v>
      </c>
      <c r="C6191" s="164">
        <v>12</v>
      </c>
      <c r="D6191" s="156">
        <f t="shared" si="708"/>
        <v>45608</v>
      </c>
      <c r="E6191" s="235">
        <f t="shared" si="710"/>
        <v>45608</v>
      </c>
      <c r="F6191" s="480"/>
      <c r="G6191" s="208" t="s">
        <v>1111</v>
      </c>
      <c r="J6191" s="165" t="s">
        <v>1708</v>
      </c>
      <c r="K6191" s="205">
        <v>250</v>
      </c>
      <c r="L6191" s="205"/>
    </row>
    <row r="6192" spans="1:12" ht="11.25" customHeight="1" x14ac:dyDescent="0.2">
      <c r="A6192" s="164">
        <v>2024</v>
      </c>
      <c r="B6192" s="164">
        <v>11</v>
      </c>
      <c r="C6192" s="164">
        <v>12</v>
      </c>
      <c r="D6192" s="156">
        <f t="shared" si="708"/>
        <v>45608</v>
      </c>
      <c r="E6192" s="235">
        <f t="shared" si="710"/>
        <v>45608</v>
      </c>
      <c r="F6192" s="480"/>
      <c r="G6192" s="208" t="s">
        <v>1111</v>
      </c>
      <c r="J6192" s="165" t="s">
        <v>1707</v>
      </c>
      <c r="K6192" s="205">
        <v>150</v>
      </c>
      <c r="L6192" s="205"/>
    </row>
    <row r="6193" spans="1:12" ht="11.25" customHeight="1" x14ac:dyDescent="0.2">
      <c r="A6193" s="226">
        <v>2024</v>
      </c>
      <c r="B6193" s="226">
        <v>11</v>
      </c>
      <c r="C6193" s="226">
        <v>12</v>
      </c>
      <c r="D6193" s="232">
        <f t="shared" si="708"/>
        <v>45608</v>
      </c>
      <c r="E6193" s="234">
        <f t="shared" si="710"/>
        <v>45608</v>
      </c>
      <c r="F6193" s="479"/>
      <c r="G6193" s="227" t="s">
        <v>1111</v>
      </c>
      <c r="H6193" s="228"/>
      <c r="I6193" s="228"/>
      <c r="J6193" s="229" t="s">
        <v>55</v>
      </c>
      <c r="K6193" s="230"/>
      <c r="L6193" s="230">
        <v>8479.5</v>
      </c>
    </row>
    <row r="6194" spans="1:12" ht="11.25" customHeight="1" x14ac:dyDescent="0.2">
      <c r="A6194" s="221">
        <v>2024</v>
      </c>
      <c r="B6194" s="221">
        <v>11</v>
      </c>
      <c r="C6194" s="231">
        <v>15</v>
      </c>
      <c r="D6194" s="231">
        <f t="shared" si="708"/>
        <v>45611</v>
      </c>
      <c r="E6194" s="233">
        <f t="shared" si="710"/>
        <v>45611</v>
      </c>
      <c r="F6194" s="478" t="s">
        <v>1753</v>
      </c>
      <c r="G6194" s="222" t="s">
        <v>1111</v>
      </c>
      <c r="H6194" s="223"/>
      <c r="I6194" s="223"/>
      <c r="J6194" s="224" t="s">
        <v>63</v>
      </c>
      <c r="K6194" s="225">
        <v>100</v>
      </c>
      <c r="L6194" s="225"/>
    </row>
    <row r="6195" spans="1:12" ht="11.25" customHeight="1" x14ac:dyDescent="0.2">
      <c r="A6195" s="226">
        <v>2024</v>
      </c>
      <c r="B6195" s="226">
        <v>11</v>
      </c>
      <c r="C6195" s="232">
        <v>15</v>
      </c>
      <c r="D6195" s="232">
        <f t="shared" si="708"/>
        <v>45611</v>
      </c>
      <c r="E6195" s="234">
        <f t="shared" si="710"/>
        <v>45611</v>
      </c>
      <c r="F6195" s="479"/>
      <c r="G6195" s="227" t="s">
        <v>1111</v>
      </c>
      <c r="H6195" s="228"/>
      <c r="I6195" s="228"/>
      <c r="J6195" s="229" t="s">
        <v>55</v>
      </c>
      <c r="K6195" s="230"/>
      <c r="L6195" s="230">
        <v>100</v>
      </c>
    </row>
    <row r="6196" spans="1:12" ht="11.25" customHeight="1" x14ac:dyDescent="0.2">
      <c r="A6196" s="221">
        <v>2024</v>
      </c>
      <c r="B6196" s="221">
        <v>11</v>
      </c>
      <c r="C6196" s="231">
        <v>13</v>
      </c>
      <c r="D6196" s="231">
        <f t="shared" si="708"/>
        <v>45609</v>
      </c>
      <c r="E6196" s="233">
        <f t="shared" si="710"/>
        <v>45609</v>
      </c>
      <c r="F6196" s="478" t="s">
        <v>1594</v>
      </c>
      <c r="G6196" s="222" t="s">
        <v>1111</v>
      </c>
      <c r="H6196" s="223"/>
      <c r="I6196" s="223"/>
      <c r="J6196" s="224" t="s">
        <v>961</v>
      </c>
      <c r="K6196" s="225">
        <v>960488.27</v>
      </c>
      <c r="L6196" s="225"/>
    </row>
    <row r="6197" spans="1:12" ht="11.25" customHeight="1" x14ac:dyDescent="0.2">
      <c r="A6197" s="226">
        <v>2024</v>
      </c>
      <c r="B6197" s="226">
        <v>11</v>
      </c>
      <c r="C6197" s="232">
        <v>13</v>
      </c>
      <c r="D6197" s="232">
        <f t="shared" si="708"/>
        <v>45609</v>
      </c>
      <c r="E6197" s="234">
        <f t="shared" si="710"/>
        <v>45609</v>
      </c>
      <c r="F6197" s="479"/>
      <c r="G6197" s="227" t="s">
        <v>1111</v>
      </c>
      <c r="H6197" s="228"/>
      <c r="I6197" s="228"/>
      <c r="J6197" s="229" t="s">
        <v>55</v>
      </c>
      <c r="K6197" s="230"/>
      <c r="L6197" s="230">
        <v>960488.27</v>
      </c>
    </row>
    <row r="6198" spans="1:12" ht="11.25" customHeight="1" x14ac:dyDescent="0.2">
      <c r="A6198" s="221">
        <v>2024</v>
      </c>
      <c r="B6198" s="221">
        <v>11</v>
      </c>
      <c r="C6198" s="231">
        <v>13</v>
      </c>
      <c r="D6198" s="231">
        <f t="shared" si="708"/>
        <v>45609</v>
      </c>
      <c r="E6198" s="233">
        <f t="shared" si="710"/>
        <v>45609</v>
      </c>
      <c r="F6198" s="478" t="s">
        <v>1670</v>
      </c>
      <c r="G6198" s="222" t="s">
        <v>1111</v>
      </c>
      <c r="H6198" s="223"/>
      <c r="I6198" s="223"/>
      <c r="J6198" s="224" t="s">
        <v>63</v>
      </c>
      <c r="K6198" s="225">
        <v>100</v>
      </c>
      <c r="L6198" s="225"/>
    </row>
    <row r="6199" spans="1:12" ht="11.25" customHeight="1" x14ac:dyDescent="0.2">
      <c r="A6199" s="226">
        <v>2024</v>
      </c>
      <c r="B6199" s="226">
        <v>11</v>
      </c>
      <c r="C6199" s="232">
        <v>13</v>
      </c>
      <c r="D6199" s="232">
        <f t="shared" si="708"/>
        <v>45609</v>
      </c>
      <c r="E6199" s="234">
        <f t="shared" si="710"/>
        <v>45609</v>
      </c>
      <c r="F6199" s="479"/>
      <c r="G6199" s="227" t="s">
        <v>1111</v>
      </c>
      <c r="H6199" s="228"/>
      <c r="I6199" s="228"/>
      <c r="J6199" s="229" t="s">
        <v>55</v>
      </c>
      <c r="K6199" s="230"/>
      <c r="L6199" s="230">
        <v>100</v>
      </c>
    </row>
    <row r="6200" spans="1:12" ht="11.25" customHeight="1" x14ac:dyDescent="0.2">
      <c r="A6200" s="221">
        <v>2024</v>
      </c>
      <c r="B6200" s="221">
        <v>11</v>
      </c>
      <c r="C6200" s="221">
        <v>14</v>
      </c>
      <c r="D6200" s="231">
        <f t="shared" si="708"/>
        <v>45610</v>
      </c>
      <c r="E6200" s="233">
        <f t="shared" ref="E6200:E6210" si="712">DATE(A6200,B6200,C6200)</f>
        <v>45610</v>
      </c>
      <c r="F6200" s="478" t="s">
        <v>1115</v>
      </c>
      <c r="G6200" s="222" t="s">
        <v>1111</v>
      </c>
      <c r="H6200" s="223"/>
      <c r="I6200" s="223" t="s">
        <v>431</v>
      </c>
      <c r="J6200" s="224" t="s">
        <v>14</v>
      </c>
      <c r="K6200" s="167">
        <v>63390</v>
      </c>
      <c r="L6200" s="225"/>
    </row>
    <row r="6201" spans="1:12" ht="11.25" customHeight="1" x14ac:dyDescent="0.2">
      <c r="A6201" s="164">
        <v>2024</v>
      </c>
      <c r="B6201" s="164">
        <v>11</v>
      </c>
      <c r="C6201" s="164">
        <v>14</v>
      </c>
      <c r="D6201" s="156">
        <f t="shared" si="708"/>
        <v>45610</v>
      </c>
      <c r="E6201" s="235">
        <f t="shared" si="712"/>
        <v>45610</v>
      </c>
      <c r="F6201" s="480"/>
      <c r="G6201" s="208" t="s">
        <v>1111</v>
      </c>
      <c r="I6201" s="206" t="s">
        <v>431</v>
      </c>
      <c r="J6201" s="165" t="s">
        <v>1112</v>
      </c>
      <c r="K6201" s="205">
        <v>5128.25</v>
      </c>
      <c r="L6201" s="156"/>
    </row>
    <row r="6202" spans="1:12" ht="11.25" customHeight="1" x14ac:dyDescent="0.2">
      <c r="A6202" s="226">
        <v>2024</v>
      </c>
      <c r="B6202" s="226">
        <v>11</v>
      </c>
      <c r="C6202" s="226">
        <v>14</v>
      </c>
      <c r="D6202" s="232">
        <f t="shared" si="708"/>
        <v>45610</v>
      </c>
      <c r="E6202" s="234">
        <f t="shared" si="712"/>
        <v>45610</v>
      </c>
      <c r="F6202" s="479"/>
      <c r="G6202" s="227" t="s">
        <v>1111</v>
      </c>
      <c r="H6202" s="228"/>
      <c r="I6202" s="228" t="s">
        <v>431</v>
      </c>
      <c r="J6202" s="229" t="s">
        <v>55</v>
      </c>
      <c r="K6202" s="230"/>
      <c r="L6202" s="230">
        <v>68518.25</v>
      </c>
    </row>
    <row r="6203" spans="1:12" ht="11.25" customHeight="1" x14ac:dyDescent="0.2">
      <c r="A6203" s="280">
        <v>2024</v>
      </c>
      <c r="B6203" s="280">
        <v>11</v>
      </c>
      <c r="C6203" s="280">
        <v>14</v>
      </c>
      <c r="D6203" s="281">
        <f t="shared" si="708"/>
        <v>45610</v>
      </c>
      <c r="E6203" s="282">
        <f t="shared" si="712"/>
        <v>45610</v>
      </c>
      <c r="F6203" s="472" t="s">
        <v>1744</v>
      </c>
      <c r="G6203" s="283" t="s">
        <v>86</v>
      </c>
      <c r="H6203" s="284"/>
      <c r="I6203" s="284"/>
      <c r="J6203" s="285" t="s">
        <v>131</v>
      </c>
      <c r="K6203" s="286">
        <v>19358.333333333332</v>
      </c>
      <c r="L6203" s="286"/>
    </row>
    <row r="6204" spans="1:12" ht="11.25" customHeight="1" x14ac:dyDescent="0.2">
      <c r="A6204" s="287">
        <v>2024</v>
      </c>
      <c r="B6204" s="287">
        <v>11</v>
      </c>
      <c r="C6204" s="287">
        <v>14</v>
      </c>
      <c r="D6204" s="288">
        <f t="shared" si="708"/>
        <v>45610</v>
      </c>
      <c r="E6204" s="289">
        <f t="shared" si="712"/>
        <v>45610</v>
      </c>
      <c r="F6204" s="473"/>
      <c r="G6204" s="290" t="s">
        <v>86</v>
      </c>
      <c r="H6204" s="291"/>
      <c r="I6204" s="291"/>
      <c r="J6204" s="292" t="s">
        <v>174</v>
      </c>
      <c r="K6204" s="293"/>
      <c r="L6204" s="293">
        <v>19358.333333333332</v>
      </c>
    </row>
    <row r="6205" spans="1:12" ht="11.25" customHeight="1" x14ac:dyDescent="0.2">
      <c r="A6205" s="280">
        <v>2024</v>
      </c>
      <c r="B6205" s="280">
        <v>11</v>
      </c>
      <c r="C6205" s="280">
        <v>14</v>
      </c>
      <c r="D6205" s="281">
        <f t="shared" si="708"/>
        <v>45610</v>
      </c>
      <c r="E6205" s="282">
        <f t="shared" si="712"/>
        <v>45610</v>
      </c>
      <c r="F6205" s="472" t="s">
        <v>1584</v>
      </c>
      <c r="G6205" s="283" t="s">
        <v>86</v>
      </c>
      <c r="H6205" s="284"/>
      <c r="I6205" s="284"/>
      <c r="J6205" s="285" t="s">
        <v>131</v>
      </c>
      <c r="K6205" s="286">
        <v>8846.1538461538457</v>
      </c>
      <c r="L6205" s="286"/>
    </row>
    <row r="6206" spans="1:12" ht="11.25" customHeight="1" x14ac:dyDescent="0.2">
      <c r="A6206" s="287">
        <v>2024</v>
      </c>
      <c r="B6206" s="287">
        <v>11</v>
      </c>
      <c r="C6206" s="287">
        <v>14</v>
      </c>
      <c r="D6206" s="288">
        <f t="shared" si="708"/>
        <v>45610</v>
      </c>
      <c r="E6206" s="289">
        <f t="shared" si="712"/>
        <v>45610</v>
      </c>
      <c r="F6206" s="473"/>
      <c r="G6206" s="290" t="s">
        <v>86</v>
      </c>
      <c r="H6206" s="291"/>
      <c r="I6206" s="291"/>
      <c r="J6206" s="292" t="s">
        <v>174</v>
      </c>
      <c r="K6206" s="293"/>
      <c r="L6206" s="293">
        <v>8846.1538461538457</v>
      </c>
    </row>
    <row r="6207" spans="1:12" ht="11.25" customHeight="1" x14ac:dyDescent="0.2">
      <c r="A6207" s="280">
        <v>2024</v>
      </c>
      <c r="B6207" s="280">
        <v>11</v>
      </c>
      <c r="C6207" s="280">
        <v>14</v>
      </c>
      <c r="D6207" s="281">
        <f t="shared" si="708"/>
        <v>45610</v>
      </c>
      <c r="E6207" s="282">
        <f t="shared" si="712"/>
        <v>45610</v>
      </c>
      <c r="F6207" s="472" t="s">
        <v>1830</v>
      </c>
      <c r="G6207" s="283" t="s">
        <v>86</v>
      </c>
      <c r="H6207" s="284"/>
      <c r="I6207" s="284"/>
      <c r="J6207" s="285" t="s">
        <v>131</v>
      </c>
      <c r="K6207" s="286">
        <v>4653.8461538461543</v>
      </c>
      <c r="L6207" s="286"/>
    </row>
    <row r="6208" spans="1:12" ht="11.25" customHeight="1" x14ac:dyDescent="0.2">
      <c r="A6208" s="287">
        <v>2024</v>
      </c>
      <c r="B6208" s="287">
        <v>11</v>
      </c>
      <c r="C6208" s="287">
        <v>14</v>
      </c>
      <c r="D6208" s="288">
        <f t="shared" si="708"/>
        <v>45610</v>
      </c>
      <c r="E6208" s="289">
        <f t="shared" si="712"/>
        <v>45610</v>
      </c>
      <c r="F6208" s="473"/>
      <c r="G6208" s="290" t="s">
        <v>86</v>
      </c>
      <c r="H6208" s="291"/>
      <c r="I6208" s="291"/>
      <c r="J6208" s="292" t="s">
        <v>174</v>
      </c>
      <c r="K6208" s="293"/>
      <c r="L6208" s="293">
        <v>4653.8461538461543</v>
      </c>
    </row>
    <row r="6209" spans="1:13" ht="11.25" customHeight="1" x14ac:dyDescent="0.2">
      <c r="A6209" s="341">
        <v>2024</v>
      </c>
      <c r="B6209" s="341">
        <v>11</v>
      </c>
      <c r="C6209" s="341">
        <v>14</v>
      </c>
      <c r="D6209" s="328">
        <f t="shared" si="708"/>
        <v>45610</v>
      </c>
      <c r="E6209" s="329">
        <f t="shared" si="712"/>
        <v>45610</v>
      </c>
      <c r="F6209" s="474" t="s">
        <v>1767</v>
      </c>
      <c r="G6209" s="330" t="s">
        <v>86</v>
      </c>
      <c r="H6209" s="332"/>
      <c r="I6209" s="332"/>
      <c r="J6209" s="342" t="s">
        <v>67</v>
      </c>
      <c r="K6209" s="343">
        <v>11483.58</v>
      </c>
      <c r="L6209" s="343"/>
    </row>
    <row r="6210" spans="1:13" ht="11.25" customHeight="1" x14ac:dyDescent="0.2">
      <c r="A6210" s="344">
        <v>2024</v>
      </c>
      <c r="B6210" s="344">
        <v>11</v>
      </c>
      <c r="C6210" s="344">
        <v>14</v>
      </c>
      <c r="D6210" s="337">
        <f t="shared" si="708"/>
        <v>45610</v>
      </c>
      <c r="E6210" s="338">
        <f t="shared" si="712"/>
        <v>45610</v>
      </c>
      <c r="F6210" s="475"/>
      <c r="G6210" s="339" t="s">
        <v>86</v>
      </c>
      <c r="H6210" s="340"/>
      <c r="I6210" s="340"/>
      <c r="J6210" s="345" t="s">
        <v>174</v>
      </c>
      <c r="K6210" s="346"/>
      <c r="L6210" s="346">
        <f>K6209</f>
        <v>11483.58</v>
      </c>
    </row>
    <row r="6211" spans="1:13" ht="11.25" customHeight="1" x14ac:dyDescent="0.2">
      <c r="A6211" s="358">
        <v>2024</v>
      </c>
      <c r="B6211" s="358">
        <v>11</v>
      </c>
      <c r="C6211" s="358">
        <v>14</v>
      </c>
      <c r="D6211" s="312">
        <f t="shared" si="708"/>
        <v>45610</v>
      </c>
      <c r="E6211" s="313">
        <f>DATE(A6211,B6211,C6211)</f>
        <v>45610</v>
      </c>
      <c r="F6211" s="482" t="s">
        <v>1627</v>
      </c>
      <c r="G6211" s="314" t="s">
        <v>86</v>
      </c>
      <c r="H6211" s="324"/>
      <c r="I6211" s="324"/>
      <c r="J6211" s="364" t="s">
        <v>1621</v>
      </c>
      <c r="K6211" s="365">
        <v>40280</v>
      </c>
      <c r="L6211" s="365"/>
    </row>
    <row r="6212" spans="1:13" ht="11.25" customHeight="1" x14ac:dyDescent="0.2">
      <c r="A6212" s="320">
        <v>2024</v>
      </c>
      <c r="B6212" s="320">
        <v>11</v>
      </c>
      <c r="C6212" s="320">
        <v>14</v>
      </c>
      <c r="D6212" s="323">
        <f t="shared" si="708"/>
        <v>45610</v>
      </c>
      <c r="E6212" s="321">
        <f t="shared" ref="E6212" si="713">DATE(A6212,B6212,C6212)</f>
        <v>45610</v>
      </c>
      <c r="F6212" s="483"/>
      <c r="G6212" s="322" t="s">
        <v>86</v>
      </c>
      <c r="H6212" s="325"/>
      <c r="I6212" s="325"/>
      <c r="J6212" s="366" t="s">
        <v>1613</v>
      </c>
      <c r="K6212" s="367"/>
      <c r="L6212" s="367">
        <f>K6211</f>
        <v>40280</v>
      </c>
    </row>
    <row r="6213" spans="1:13" ht="11.25" customHeight="1" x14ac:dyDescent="0.2">
      <c r="A6213" s="358">
        <v>2024</v>
      </c>
      <c r="B6213" s="358">
        <v>11</v>
      </c>
      <c r="C6213" s="358">
        <v>14</v>
      </c>
      <c r="D6213" s="312">
        <f t="shared" si="708"/>
        <v>45610</v>
      </c>
      <c r="E6213" s="313">
        <f>DATE(A6213,B6213,C6213)</f>
        <v>45610</v>
      </c>
      <c r="F6213" s="482" t="s">
        <v>1713</v>
      </c>
      <c r="G6213" s="314" t="s">
        <v>86</v>
      </c>
      <c r="H6213" s="324"/>
      <c r="I6213" s="324"/>
      <c r="J6213" s="364" t="s">
        <v>1622</v>
      </c>
      <c r="K6213" s="365">
        <v>5855.0499999970198</v>
      </c>
      <c r="L6213" s="365"/>
    </row>
    <row r="6214" spans="1:13" ht="11.25" customHeight="1" x14ac:dyDescent="0.2">
      <c r="A6214" s="320">
        <v>2024</v>
      </c>
      <c r="B6214" s="320">
        <v>11</v>
      </c>
      <c r="C6214" s="320">
        <v>14</v>
      </c>
      <c r="D6214" s="323">
        <f t="shared" si="708"/>
        <v>45610</v>
      </c>
      <c r="E6214" s="321">
        <f t="shared" ref="E6214:E6238" si="714">DATE(A6214,B6214,C6214)</f>
        <v>45610</v>
      </c>
      <c r="F6214" s="483"/>
      <c r="G6214" s="322" t="s">
        <v>86</v>
      </c>
      <c r="H6214" s="325"/>
      <c r="I6214" s="325"/>
      <c r="J6214" s="366" t="s">
        <v>1614</v>
      </c>
      <c r="K6214" s="367"/>
      <c r="L6214" s="367">
        <f>K6213</f>
        <v>5855.0499999970198</v>
      </c>
    </row>
    <row r="6215" spans="1:13" ht="11.25" customHeight="1" x14ac:dyDescent="0.2">
      <c r="A6215" s="236">
        <v>2024</v>
      </c>
      <c r="B6215" s="236">
        <v>11</v>
      </c>
      <c r="C6215" s="236">
        <v>14</v>
      </c>
      <c r="D6215" s="237">
        <f t="shared" si="708"/>
        <v>45610</v>
      </c>
      <c r="E6215" s="238">
        <f t="shared" si="714"/>
        <v>45610</v>
      </c>
      <c r="F6215" s="476" t="s">
        <v>1118</v>
      </c>
      <c r="G6215" s="239" t="s">
        <v>86</v>
      </c>
      <c r="H6215" s="239"/>
      <c r="I6215" s="240"/>
      <c r="J6215" s="241" t="s">
        <v>82</v>
      </c>
      <c r="K6215" s="242">
        <v>121995.93000003695</v>
      </c>
      <c r="L6215" s="242"/>
    </row>
    <row r="6216" spans="1:13" ht="11.25" customHeight="1" x14ac:dyDescent="0.2">
      <c r="A6216" s="243">
        <v>2024</v>
      </c>
      <c r="B6216" s="243">
        <v>11</v>
      </c>
      <c r="C6216" s="243">
        <v>14</v>
      </c>
      <c r="D6216" s="248">
        <f t="shared" si="708"/>
        <v>45610</v>
      </c>
      <c r="E6216" s="249">
        <f t="shared" si="714"/>
        <v>45610</v>
      </c>
      <c r="F6216" s="477"/>
      <c r="G6216" s="244" t="s">
        <v>86</v>
      </c>
      <c r="H6216" s="244"/>
      <c r="I6216" s="245"/>
      <c r="J6216" s="246" t="s">
        <v>98</v>
      </c>
      <c r="K6216" s="247"/>
      <c r="L6216" s="247">
        <f>K6215</f>
        <v>121995.93000003695</v>
      </c>
    </row>
    <row r="6217" spans="1:13" ht="11.25" customHeight="1" x14ac:dyDescent="0.2">
      <c r="A6217" s="236">
        <v>2024</v>
      </c>
      <c r="B6217" s="236">
        <v>11</v>
      </c>
      <c r="C6217" s="236">
        <v>14</v>
      </c>
      <c r="D6217" s="237">
        <f t="shared" ref="D6217:D6280" si="715">DATE(A6217,B6217,C6217)</f>
        <v>45610</v>
      </c>
      <c r="E6217" s="238">
        <f t="shared" si="714"/>
        <v>45610</v>
      </c>
      <c r="F6217" s="476" t="s">
        <v>1120</v>
      </c>
      <c r="G6217" s="239" t="s">
        <v>86</v>
      </c>
      <c r="H6217" s="239"/>
      <c r="I6217" s="240"/>
      <c r="J6217" s="241" t="s">
        <v>87</v>
      </c>
      <c r="K6217" s="242">
        <v>2747.2527472527472</v>
      </c>
      <c r="L6217" s="242"/>
    </row>
    <row r="6218" spans="1:13" ht="11.25" customHeight="1" x14ac:dyDescent="0.2">
      <c r="A6218" s="243">
        <v>2024</v>
      </c>
      <c r="B6218" s="243">
        <v>11</v>
      </c>
      <c r="C6218" s="243">
        <v>14</v>
      </c>
      <c r="D6218" s="248">
        <f t="shared" si="715"/>
        <v>45610</v>
      </c>
      <c r="E6218" s="249">
        <f t="shared" si="714"/>
        <v>45610</v>
      </c>
      <c r="F6218" s="477"/>
      <c r="G6218" s="244" t="s">
        <v>86</v>
      </c>
      <c r="H6218" s="244"/>
      <c r="I6218" s="245"/>
      <c r="J6218" s="246" t="s">
        <v>64</v>
      </c>
      <c r="K6218" s="247"/>
      <c r="L6218" s="247">
        <v>2747.2527472527472</v>
      </c>
    </row>
    <row r="6219" spans="1:13" ht="11.25" customHeight="1" x14ac:dyDescent="0.2">
      <c r="A6219" s="236">
        <v>2024</v>
      </c>
      <c r="B6219" s="236">
        <v>11</v>
      </c>
      <c r="C6219" s="236">
        <v>14</v>
      </c>
      <c r="D6219" s="237">
        <f t="shared" si="715"/>
        <v>45610</v>
      </c>
      <c r="E6219" s="238">
        <f t="shared" si="714"/>
        <v>45610</v>
      </c>
      <c r="F6219" s="476" t="s">
        <v>1121</v>
      </c>
      <c r="G6219" s="239" t="s">
        <v>86</v>
      </c>
      <c r="H6219" s="239"/>
      <c r="I6219" s="240"/>
      <c r="J6219" s="241" t="s">
        <v>89</v>
      </c>
      <c r="K6219" s="242">
        <f>M6219</f>
        <v>71397.890094871327</v>
      </c>
      <c r="L6219" s="242"/>
      <c r="M6219" s="156">
        <v>71397.890094871327</v>
      </c>
    </row>
    <row r="6220" spans="1:13" ht="11.25" customHeight="1" x14ac:dyDescent="0.2">
      <c r="A6220" s="243">
        <v>2024</v>
      </c>
      <c r="B6220" s="243">
        <v>11</v>
      </c>
      <c r="C6220" s="243">
        <v>14</v>
      </c>
      <c r="D6220" s="248">
        <f t="shared" si="715"/>
        <v>45610</v>
      </c>
      <c r="E6220" s="249">
        <f t="shared" si="714"/>
        <v>45610</v>
      </c>
      <c r="F6220" s="477"/>
      <c r="G6220" s="244" t="s">
        <v>86</v>
      </c>
      <c r="H6220" s="244"/>
      <c r="I6220" s="245"/>
      <c r="J6220" s="246" t="s">
        <v>50</v>
      </c>
      <c r="K6220" s="247"/>
      <c r="L6220" s="247">
        <f>K6219</f>
        <v>71397.890094871327</v>
      </c>
      <c r="M6220" s="156">
        <v>3329.5098893589511</v>
      </c>
    </row>
    <row r="6221" spans="1:13" ht="11.25" customHeight="1" x14ac:dyDescent="0.2">
      <c r="A6221" s="236">
        <v>2024</v>
      </c>
      <c r="B6221" s="236">
        <v>11</v>
      </c>
      <c r="C6221" s="236">
        <v>14</v>
      </c>
      <c r="D6221" s="237">
        <f t="shared" si="715"/>
        <v>45610</v>
      </c>
      <c r="E6221" s="238">
        <f t="shared" si="714"/>
        <v>45610</v>
      </c>
      <c r="F6221" s="476" t="s">
        <v>1122</v>
      </c>
      <c r="G6221" s="239" t="s">
        <v>86</v>
      </c>
      <c r="H6221" s="239"/>
      <c r="I6221" s="240"/>
      <c r="J6221" s="241" t="s">
        <v>91</v>
      </c>
      <c r="K6221" s="242">
        <f>M6220</f>
        <v>3329.5098893589511</v>
      </c>
      <c r="L6221" s="242"/>
    </row>
    <row r="6222" spans="1:13" ht="11.25" customHeight="1" x14ac:dyDescent="0.2">
      <c r="A6222" s="243">
        <v>2024</v>
      </c>
      <c r="B6222" s="243">
        <v>11</v>
      </c>
      <c r="C6222" s="243">
        <v>14</v>
      </c>
      <c r="D6222" s="248">
        <f t="shared" si="715"/>
        <v>45610</v>
      </c>
      <c r="E6222" s="249">
        <f t="shared" si="714"/>
        <v>45610</v>
      </c>
      <c r="F6222" s="477"/>
      <c r="G6222" s="244" t="s">
        <v>86</v>
      </c>
      <c r="H6222" s="244"/>
      <c r="I6222" s="245"/>
      <c r="J6222" s="246" t="s">
        <v>51</v>
      </c>
      <c r="K6222" s="247"/>
      <c r="L6222" s="247">
        <f>K6221</f>
        <v>3329.5098893589511</v>
      </c>
    </row>
    <row r="6223" spans="1:13" ht="11.25" customHeight="1" x14ac:dyDescent="0.2">
      <c r="A6223" s="221">
        <v>2024</v>
      </c>
      <c r="B6223" s="221">
        <v>11</v>
      </c>
      <c r="C6223" s="231">
        <v>17</v>
      </c>
      <c r="D6223" s="231">
        <f t="shared" si="715"/>
        <v>45613</v>
      </c>
      <c r="E6223" s="233">
        <f t="shared" si="714"/>
        <v>45613</v>
      </c>
      <c r="F6223" s="478" t="s">
        <v>1809</v>
      </c>
      <c r="G6223" s="222" t="s">
        <v>1111</v>
      </c>
      <c r="H6223" s="223"/>
      <c r="I6223" s="223"/>
      <c r="J6223" s="224" t="s">
        <v>55</v>
      </c>
      <c r="K6223" s="225">
        <v>162092.9</v>
      </c>
      <c r="L6223" s="225"/>
    </row>
    <row r="6224" spans="1:13" ht="11.25" customHeight="1" x14ac:dyDescent="0.2">
      <c r="A6224" s="226">
        <v>2024</v>
      </c>
      <c r="B6224" s="226">
        <v>11</v>
      </c>
      <c r="C6224" s="232">
        <v>17</v>
      </c>
      <c r="D6224" s="232">
        <f t="shared" si="715"/>
        <v>45613</v>
      </c>
      <c r="E6224" s="234">
        <f t="shared" si="714"/>
        <v>45613</v>
      </c>
      <c r="F6224" s="479"/>
      <c r="G6224" s="227" t="s">
        <v>1111</v>
      </c>
      <c r="H6224" s="228"/>
      <c r="I6224" s="228"/>
      <c r="J6224" s="229" t="s">
        <v>199</v>
      </c>
      <c r="K6224" s="230"/>
      <c r="L6224" s="230">
        <v>162092.9</v>
      </c>
    </row>
    <row r="6225" spans="1:12" ht="11.25" customHeight="1" x14ac:dyDescent="0.2">
      <c r="A6225" s="164">
        <v>2024</v>
      </c>
      <c r="B6225" s="164">
        <v>11</v>
      </c>
      <c r="C6225" s="164">
        <v>18</v>
      </c>
      <c r="D6225" s="156">
        <f t="shared" si="715"/>
        <v>45614</v>
      </c>
      <c r="E6225" s="235">
        <f t="shared" si="714"/>
        <v>45614</v>
      </c>
      <c r="F6225" s="478" t="s">
        <v>1808</v>
      </c>
      <c r="G6225" s="208" t="s">
        <v>1111</v>
      </c>
      <c r="J6225" s="165" t="s">
        <v>478</v>
      </c>
      <c r="K6225" s="205">
        <v>417.05</v>
      </c>
      <c r="L6225" s="205"/>
    </row>
    <row r="6226" spans="1:12" ht="11.25" customHeight="1" x14ac:dyDescent="0.2">
      <c r="A6226" s="226">
        <v>2024</v>
      </c>
      <c r="B6226" s="226">
        <v>11</v>
      </c>
      <c r="C6226" s="226">
        <v>18</v>
      </c>
      <c r="D6226" s="232">
        <f t="shared" si="715"/>
        <v>45614</v>
      </c>
      <c r="E6226" s="234">
        <f t="shared" si="714"/>
        <v>45614</v>
      </c>
      <c r="F6226" s="479"/>
      <c r="G6226" s="227" t="s">
        <v>1111</v>
      </c>
      <c r="H6226" s="228"/>
      <c r="I6226" s="228"/>
      <c r="J6226" s="229" t="s">
        <v>55</v>
      </c>
      <c r="K6226" s="230"/>
      <c r="L6226" s="230">
        <v>417.05</v>
      </c>
    </row>
    <row r="6227" spans="1:12" ht="11.25" customHeight="1" x14ac:dyDescent="0.2">
      <c r="A6227" s="221">
        <v>2024</v>
      </c>
      <c r="B6227" s="221">
        <v>11</v>
      </c>
      <c r="C6227" s="221">
        <v>19</v>
      </c>
      <c r="D6227" s="231">
        <f t="shared" si="715"/>
        <v>45615</v>
      </c>
      <c r="E6227" s="233">
        <f t="shared" si="714"/>
        <v>45615</v>
      </c>
      <c r="F6227" s="478" t="s">
        <v>1142</v>
      </c>
      <c r="G6227" s="222" t="s">
        <v>1111</v>
      </c>
      <c r="H6227" s="223"/>
      <c r="I6227" s="223"/>
      <c r="J6227" s="224" t="s">
        <v>189</v>
      </c>
      <c r="K6227" s="225">
        <v>1575</v>
      </c>
      <c r="L6227" s="225"/>
    </row>
    <row r="6228" spans="1:12" ht="11.25" customHeight="1" x14ac:dyDescent="0.2">
      <c r="A6228" s="164">
        <v>2024</v>
      </c>
      <c r="B6228" s="164">
        <v>11</v>
      </c>
      <c r="C6228" s="164">
        <v>19</v>
      </c>
      <c r="D6228" s="156">
        <f t="shared" si="715"/>
        <v>45615</v>
      </c>
      <c r="E6228" s="235">
        <f t="shared" si="714"/>
        <v>45615</v>
      </c>
      <c r="F6228" s="480"/>
      <c r="G6228" s="208" t="s">
        <v>1111</v>
      </c>
      <c r="J6228" s="165" t="s">
        <v>1707</v>
      </c>
      <c r="K6228" s="205"/>
      <c r="L6228" s="205">
        <v>150</v>
      </c>
    </row>
    <row r="6229" spans="1:12" ht="11.25" customHeight="1" x14ac:dyDescent="0.2">
      <c r="A6229" s="226">
        <v>2024</v>
      </c>
      <c r="B6229" s="226">
        <v>11</v>
      </c>
      <c r="C6229" s="226">
        <v>19</v>
      </c>
      <c r="D6229" s="232">
        <f t="shared" si="715"/>
        <v>45615</v>
      </c>
      <c r="E6229" s="234">
        <f t="shared" si="714"/>
        <v>45615</v>
      </c>
      <c r="F6229" s="479"/>
      <c r="G6229" s="227" t="s">
        <v>1111</v>
      </c>
      <c r="H6229" s="228"/>
      <c r="I6229" s="228"/>
      <c r="J6229" s="229" t="s">
        <v>55</v>
      </c>
      <c r="K6229" s="205"/>
      <c r="L6229" s="205">
        <v>1425</v>
      </c>
    </row>
    <row r="6230" spans="1:12" ht="11.25" customHeight="1" x14ac:dyDescent="0.2">
      <c r="A6230" s="221">
        <v>2024</v>
      </c>
      <c r="B6230" s="221">
        <v>11</v>
      </c>
      <c r="C6230" s="221">
        <v>18</v>
      </c>
      <c r="D6230" s="231">
        <f t="shared" si="715"/>
        <v>45614</v>
      </c>
      <c r="E6230" s="233">
        <f t="shared" si="714"/>
        <v>45614</v>
      </c>
      <c r="F6230" s="478" t="s">
        <v>1819</v>
      </c>
      <c r="G6230" s="222" t="s">
        <v>86</v>
      </c>
      <c r="H6230" s="223"/>
      <c r="I6230" s="223"/>
      <c r="J6230" s="224" t="s">
        <v>192</v>
      </c>
      <c r="K6230" s="225">
        <v>272205</v>
      </c>
      <c r="L6230" s="225"/>
    </row>
    <row r="6231" spans="1:12" ht="11.25" customHeight="1" x14ac:dyDescent="0.2">
      <c r="A6231" s="164">
        <v>2024</v>
      </c>
      <c r="B6231" s="164">
        <v>11</v>
      </c>
      <c r="C6231" s="164">
        <v>18</v>
      </c>
      <c r="D6231" s="156">
        <f t="shared" si="715"/>
        <v>45614</v>
      </c>
      <c r="E6231" s="235">
        <f t="shared" si="714"/>
        <v>45614</v>
      </c>
      <c r="F6231" s="480"/>
      <c r="G6231" s="208" t="s">
        <v>86</v>
      </c>
      <c r="J6231" s="165" t="s">
        <v>191</v>
      </c>
      <c r="K6231" s="230"/>
      <c r="L6231" s="230">
        <v>272205</v>
      </c>
    </row>
    <row r="6232" spans="1:12" ht="11.25" customHeight="1" x14ac:dyDescent="0.2">
      <c r="A6232" s="221">
        <v>2024</v>
      </c>
      <c r="B6232" s="221">
        <v>11</v>
      </c>
      <c r="C6232" s="221">
        <v>19</v>
      </c>
      <c r="D6232" s="231">
        <f t="shared" si="715"/>
        <v>45615</v>
      </c>
      <c r="E6232" s="233">
        <f t="shared" si="714"/>
        <v>45615</v>
      </c>
      <c r="F6232" s="478" t="s">
        <v>1818</v>
      </c>
      <c r="G6232" s="222" t="s">
        <v>86</v>
      </c>
      <c r="H6232" s="223"/>
      <c r="I6232" s="223"/>
      <c r="J6232" s="224" t="s">
        <v>192</v>
      </c>
      <c r="K6232" s="225">
        <v>125175</v>
      </c>
      <c r="L6232" s="225"/>
    </row>
    <row r="6233" spans="1:12" ht="11.25" customHeight="1" x14ac:dyDescent="0.2">
      <c r="A6233" s="164">
        <v>2024</v>
      </c>
      <c r="B6233" s="164">
        <v>11</v>
      </c>
      <c r="C6233" s="164">
        <v>19</v>
      </c>
      <c r="D6233" s="156">
        <f t="shared" si="715"/>
        <v>45615</v>
      </c>
      <c r="E6233" s="235">
        <f t="shared" si="714"/>
        <v>45615</v>
      </c>
      <c r="F6233" s="480"/>
      <c r="G6233" s="208" t="s">
        <v>86</v>
      </c>
      <c r="J6233" s="165" t="s">
        <v>191</v>
      </c>
      <c r="K6233" s="230"/>
      <c r="L6233" s="230">
        <v>125175</v>
      </c>
    </row>
    <row r="6234" spans="1:12" ht="11.25" customHeight="1" x14ac:dyDescent="0.2">
      <c r="A6234" s="221">
        <v>2024</v>
      </c>
      <c r="B6234" s="221">
        <v>11</v>
      </c>
      <c r="C6234" s="221">
        <v>20</v>
      </c>
      <c r="D6234" s="231">
        <f t="shared" si="715"/>
        <v>45616</v>
      </c>
      <c r="E6234" s="233">
        <f t="shared" ref="E6234:E6235" si="716">DATE(A6234,B6234,C6234)</f>
        <v>45616</v>
      </c>
      <c r="F6234" s="478" t="s">
        <v>1811</v>
      </c>
      <c r="G6234" s="222" t="s">
        <v>86</v>
      </c>
      <c r="H6234" s="223"/>
      <c r="I6234" s="223"/>
      <c r="J6234" s="224" t="s">
        <v>192</v>
      </c>
      <c r="K6234" s="225">
        <v>68250</v>
      </c>
      <c r="L6234" s="225"/>
    </row>
    <row r="6235" spans="1:12" ht="11.25" customHeight="1" x14ac:dyDescent="0.2">
      <c r="A6235" s="164">
        <v>2024</v>
      </c>
      <c r="B6235" s="164">
        <v>11</v>
      </c>
      <c r="C6235" s="164">
        <v>20</v>
      </c>
      <c r="D6235" s="156">
        <f t="shared" si="715"/>
        <v>45616</v>
      </c>
      <c r="E6235" s="235">
        <f t="shared" si="716"/>
        <v>45616</v>
      </c>
      <c r="F6235" s="480"/>
      <c r="G6235" s="208" t="s">
        <v>86</v>
      </c>
      <c r="J6235" s="165" t="s">
        <v>191</v>
      </c>
      <c r="K6235" s="230"/>
      <c r="L6235" s="230">
        <v>68250</v>
      </c>
    </row>
    <row r="6236" spans="1:12" ht="11.25" customHeight="1" x14ac:dyDescent="0.2">
      <c r="A6236" s="221">
        <v>2024</v>
      </c>
      <c r="B6236" s="221">
        <v>11</v>
      </c>
      <c r="C6236" s="221">
        <v>20</v>
      </c>
      <c r="D6236" s="231">
        <f t="shared" si="715"/>
        <v>45616</v>
      </c>
      <c r="E6236" s="233">
        <f t="shared" si="714"/>
        <v>45616</v>
      </c>
      <c r="F6236" s="478" t="s">
        <v>1115</v>
      </c>
      <c r="G6236" s="222" t="s">
        <v>1111</v>
      </c>
      <c r="H6236" s="223"/>
      <c r="I6236" s="223" t="s">
        <v>476</v>
      </c>
      <c r="J6236" s="224" t="s">
        <v>14</v>
      </c>
      <c r="K6236" s="167">
        <v>1662780</v>
      </c>
      <c r="L6236" s="225"/>
    </row>
    <row r="6237" spans="1:12" ht="11.25" customHeight="1" x14ac:dyDescent="0.2">
      <c r="A6237" s="164">
        <v>2024</v>
      </c>
      <c r="B6237" s="164">
        <v>11</v>
      </c>
      <c r="C6237" s="164">
        <v>20</v>
      </c>
      <c r="D6237" s="156">
        <f t="shared" si="715"/>
        <v>45616</v>
      </c>
      <c r="E6237" s="235">
        <f t="shared" si="714"/>
        <v>45616</v>
      </c>
      <c r="F6237" s="480"/>
      <c r="G6237" s="208" t="s">
        <v>1111</v>
      </c>
      <c r="I6237" s="206" t="s">
        <v>476</v>
      </c>
      <c r="J6237" s="165" t="s">
        <v>1112</v>
      </c>
      <c r="K6237" s="205">
        <v>136347.95999999996</v>
      </c>
      <c r="L6237" s="156"/>
    </row>
    <row r="6238" spans="1:12" ht="11.25" customHeight="1" x14ac:dyDescent="0.2">
      <c r="A6238" s="226">
        <v>2024</v>
      </c>
      <c r="B6238" s="226">
        <v>11</v>
      </c>
      <c r="C6238" s="226">
        <v>20</v>
      </c>
      <c r="D6238" s="232">
        <f t="shared" si="715"/>
        <v>45616</v>
      </c>
      <c r="E6238" s="234">
        <f t="shared" si="714"/>
        <v>45616</v>
      </c>
      <c r="F6238" s="479"/>
      <c r="G6238" s="227" t="s">
        <v>1111</v>
      </c>
      <c r="H6238" s="228"/>
      <c r="I6238" s="228" t="s">
        <v>476</v>
      </c>
      <c r="J6238" s="229" t="s">
        <v>55</v>
      </c>
      <c r="K6238" s="230"/>
      <c r="L6238" s="230">
        <v>1799127.96</v>
      </c>
    </row>
    <row r="6239" spans="1:12" ht="11.25" customHeight="1" x14ac:dyDescent="0.2">
      <c r="A6239" s="221">
        <v>2024</v>
      </c>
      <c r="B6239" s="221">
        <v>11</v>
      </c>
      <c r="C6239" s="221">
        <v>20</v>
      </c>
      <c r="D6239" s="231">
        <f t="shared" si="715"/>
        <v>45616</v>
      </c>
      <c r="E6239" s="233">
        <f t="shared" ref="E6239:E6249" si="717">DATE(A6239,B6239,C6239)</f>
        <v>45616</v>
      </c>
      <c r="F6239" s="478" t="s">
        <v>1115</v>
      </c>
      <c r="G6239" s="222" t="s">
        <v>1111</v>
      </c>
      <c r="H6239" s="223"/>
      <c r="I6239" s="223" t="s">
        <v>336</v>
      </c>
      <c r="J6239" s="224" t="s">
        <v>14</v>
      </c>
      <c r="K6239" s="167">
        <v>1022840</v>
      </c>
      <c r="L6239" s="225"/>
    </row>
    <row r="6240" spans="1:12" ht="11.25" customHeight="1" x14ac:dyDescent="0.2">
      <c r="A6240" s="164">
        <v>2024</v>
      </c>
      <c r="B6240" s="164">
        <v>11</v>
      </c>
      <c r="C6240" s="164">
        <v>20</v>
      </c>
      <c r="D6240" s="156">
        <f t="shared" si="715"/>
        <v>45616</v>
      </c>
      <c r="E6240" s="235">
        <f t="shared" si="717"/>
        <v>45616</v>
      </c>
      <c r="F6240" s="480"/>
      <c r="G6240" s="208" t="s">
        <v>1111</v>
      </c>
      <c r="I6240" s="206" t="s">
        <v>336</v>
      </c>
      <c r="J6240" s="165" t="s">
        <v>1112</v>
      </c>
      <c r="K6240" s="205">
        <v>83872.879999999888</v>
      </c>
      <c r="L6240" s="156"/>
    </row>
    <row r="6241" spans="1:13" ht="11.25" customHeight="1" x14ac:dyDescent="0.2">
      <c r="A6241" s="226">
        <v>2024</v>
      </c>
      <c r="B6241" s="226">
        <v>11</v>
      </c>
      <c r="C6241" s="226">
        <v>20</v>
      </c>
      <c r="D6241" s="232">
        <f t="shared" si="715"/>
        <v>45616</v>
      </c>
      <c r="E6241" s="234">
        <f t="shared" si="717"/>
        <v>45616</v>
      </c>
      <c r="F6241" s="479"/>
      <c r="G6241" s="227" t="s">
        <v>1111</v>
      </c>
      <c r="H6241" s="228"/>
      <c r="I6241" s="228" t="s">
        <v>336</v>
      </c>
      <c r="J6241" s="229" t="s">
        <v>55</v>
      </c>
      <c r="K6241" s="230"/>
      <c r="L6241" s="230">
        <v>1106712.8799999999</v>
      </c>
    </row>
    <row r="6242" spans="1:13" ht="11.25" customHeight="1" x14ac:dyDescent="0.2">
      <c r="A6242" s="221">
        <v>2024</v>
      </c>
      <c r="B6242" s="221">
        <v>11</v>
      </c>
      <c r="C6242" s="231">
        <v>20</v>
      </c>
      <c r="D6242" s="231">
        <f t="shared" si="715"/>
        <v>45616</v>
      </c>
      <c r="E6242" s="233">
        <f t="shared" si="717"/>
        <v>45616</v>
      </c>
      <c r="F6242" s="478" t="s">
        <v>1670</v>
      </c>
      <c r="G6242" s="222" t="s">
        <v>1111</v>
      </c>
      <c r="H6242" s="223"/>
      <c r="I6242" s="223"/>
      <c r="J6242" s="224" t="s">
        <v>63</v>
      </c>
      <c r="K6242" s="225">
        <v>100</v>
      </c>
      <c r="L6242" s="225"/>
    </row>
    <row r="6243" spans="1:13" ht="11.25" customHeight="1" x14ac:dyDescent="0.2">
      <c r="A6243" s="226">
        <v>2024</v>
      </c>
      <c r="B6243" s="226">
        <v>11</v>
      </c>
      <c r="C6243" s="232">
        <v>20</v>
      </c>
      <c r="D6243" s="232">
        <f t="shared" si="715"/>
        <v>45616</v>
      </c>
      <c r="E6243" s="234">
        <f t="shared" si="717"/>
        <v>45616</v>
      </c>
      <c r="F6243" s="479"/>
      <c r="G6243" s="227" t="s">
        <v>1111</v>
      </c>
      <c r="H6243" s="228"/>
      <c r="I6243" s="228"/>
      <c r="J6243" s="229" t="s">
        <v>55</v>
      </c>
      <c r="K6243" s="230"/>
      <c r="L6243" s="230">
        <v>100</v>
      </c>
    </row>
    <row r="6244" spans="1:13" ht="11.25" customHeight="1" x14ac:dyDescent="0.2">
      <c r="A6244" s="221">
        <v>2024</v>
      </c>
      <c r="B6244" s="221">
        <v>11</v>
      </c>
      <c r="C6244" s="221">
        <v>20</v>
      </c>
      <c r="D6244" s="231">
        <f t="shared" si="715"/>
        <v>45616</v>
      </c>
      <c r="E6244" s="233">
        <f t="shared" si="717"/>
        <v>45616</v>
      </c>
      <c r="F6244" s="478" t="s">
        <v>1810</v>
      </c>
      <c r="G6244" s="222" t="s">
        <v>1111</v>
      </c>
      <c r="H6244" s="222"/>
      <c r="I6244" s="223"/>
      <c r="J6244" s="224" t="s">
        <v>55</v>
      </c>
      <c r="K6244" s="357">
        <v>981826.31</v>
      </c>
      <c r="L6244" s="225"/>
    </row>
    <row r="6245" spans="1:13" ht="11.25" customHeight="1" x14ac:dyDescent="0.2">
      <c r="A6245" s="164">
        <v>2024</v>
      </c>
      <c r="B6245" s="164">
        <v>11</v>
      </c>
      <c r="C6245" s="164">
        <v>20</v>
      </c>
      <c r="D6245" s="156">
        <f t="shared" si="715"/>
        <v>45616</v>
      </c>
      <c r="E6245" s="235">
        <f t="shared" si="717"/>
        <v>45616</v>
      </c>
      <c r="F6245" s="480"/>
      <c r="G6245" s="208" t="s">
        <v>1111</v>
      </c>
      <c r="H6245" s="208"/>
      <c r="J6245" s="165" t="s">
        <v>1618</v>
      </c>
      <c r="K6245" s="263"/>
      <c r="L6245" s="205">
        <v>4409.7900000000373</v>
      </c>
    </row>
    <row r="6246" spans="1:13" ht="11.25" customHeight="1" x14ac:dyDescent="0.2">
      <c r="A6246" s="226">
        <v>2024</v>
      </c>
      <c r="B6246" s="226">
        <v>11</v>
      </c>
      <c r="C6246" s="226">
        <v>20</v>
      </c>
      <c r="D6246" s="232">
        <f t="shared" si="715"/>
        <v>45616</v>
      </c>
      <c r="E6246" s="234">
        <f t="shared" si="717"/>
        <v>45616</v>
      </c>
      <c r="F6246" s="479"/>
      <c r="G6246" s="227" t="s">
        <v>1111</v>
      </c>
      <c r="H6246" s="227"/>
      <c r="I6246" s="228"/>
      <c r="J6246" s="229" t="s">
        <v>1615</v>
      </c>
      <c r="K6246" s="294"/>
      <c r="L6246" s="230">
        <v>977416.52</v>
      </c>
    </row>
    <row r="6247" spans="1:13" ht="11.25" customHeight="1" x14ac:dyDescent="0.2">
      <c r="A6247" s="221">
        <v>2024</v>
      </c>
      <c r="B6247" s="221">
        <v>11</v>
      </c>
      <c r="C6247" s="221">
        <v>20</v>
      </c>
      <c r="D6247" s="231">
        <f t="shared" si="715"/>
        <v>45616</v>
      </c>
      <c r="E6247" s="233">
        <f t="shared" si="717"/>
        <v>45616</v>
      </c>
      <c r="F6247" s="478" t="s">
        <v>1196</v>
      </c>
      <c r="G6247" s="222" t="s">
        <v>1111</v>
      </c>
      <c r="H6247" s="223"/>
      <c r="I6247" s="223"/>
      <c r="J6247" s="224" t="s">
        <v>95</v>
      </c>
      <c r="K6247" s="225">
        <v>2146.16</v>
      </c>
      <c r="L6247" s="225"/>
      <c r="M6247" s="166"/>
    </row>
    <row r="6248" spans="1:13" ht="11.25" customHeight="1" x14ac:dyDescent="0.2">
      <c r="A6248" s="164">
        <v>2024</v>
      </c>
      <c r="B6248" s="164">
        <v>11</v>
      </c>
      <c r="C6248" s="164">
        <v>20</v>
      </c>
      <c r="D6248" s="156">
        <f t="shared" si="715"/>
        <v>45616</v>
      </c>
      <c r="E6248" s="235">
        <f t="shared" si="717"/>
        <v>45616</v>
      </c>
      <c r="F6248" s="480"/>
      <c r="G6248" s="208" t="s">
        <v>1111</v>
      </c>
      <c r="J6248" s="165" t="s">
        <v>478</v>
      </c>
      <c r="K6248" s="205"/>
      <c r="L6248" s="205">
        <v>214.62</v>
      </c>
    </row>
    <row r="6249" spans="1:13" ht="11.25" customHeight="1" x14ac:dyDescent="0.2">
      <c r="A6249" s="226">
        <v>2024</v>
      </c>
      <c r="B6249" s="226">
        <v>11</v>
      </c>
      <c r="C6249" s="226">
        <v>20</v>
      </c>
      <c r="D6249" s="232">
        <f t="shared" si="715"/>
        <v>45616</v>
      </c>
      <c r="E6249" s="234">
        <f t="shared" si="717"/>
        <v>45616</v>
      </c>
      <c r="F6249" s="479"/>
      <c r="G6249" s="227" t="s">
        <v>1111</v>
      </c>
      <c r="H6249" s="228"/>
      <c r="I6249" s="228"/>
      <c r="J6249" s="229" t="s">
        <v>55</v>
      </c>
      <c r="K6249" s="230"/>
      <c r="L6249" s="230">
        <v>1931.54</v>
      </c>
    </row>
    <row r="6250" spans="1:13" ht="11.25" customHeight="1" x14ac:dyDescent="0.2">
      <c r="A6250" s="221">
        <v>2024</v>
      </c>
      <c r="B6250" s="221">
        <v>11</v>
      </c>
      <c r="C6250" s="221">
        <v>20</v>
      </c>
      <c r="D6250" s="231">
        <f t="shared" si="715"/>
        <v>45616</v>
      </c>
      <c r="E6250" s="233">
        <f t="shared" ref="E6250:E6262" si="718">DATE(A6250,B6250,C6250)</f>
        <v>45616</v>
      </c>
      <c r="F6250" s="478" t="s">
        <v>1196</v>
      </c>
      <c r="G6250" s="222" t="s">
        <v>1111</v>
      </c>
      <c r="H6250" s="223"/>
      <c r="I6250" s="223"/>
      <c r="J6250" s="224" t="s">
        <v>95</v>
      </c>
      <c r="K6250" s="225">
        <v>2024.34</v>
      </c>
      <c r="L6250" s="225"/>
      <c r="M6250" s="166"/>
    </row>
    <row r="6251" spans="1:13" ht="11.25" customHeight="1" x14ac:dyDescent="0.2">
      <c r="A6251" s="164">
        <v>2024</v>
      </c>
      <c r="B6251" s="164">
        <v>11</v>
      </c>
      <c r="C6251" s="164">
        <v>20</v>
      </c>
      <c r="D6251" s="156">
        <f t="shared" si="715"/>
        <v>45616</v>
      </c>
      <c r="E6251" s="235">
        <f t="shared" si="718"/>
        <v>45616</v>
      </c>
      <c r="F6251" s="480"/>
      <c r="G6251" s="208" t="s">
        <v>1111</v>
      </c>
      <c r="J6251" s="165" t="s">
        <v>478</v>
      </c>
      <c r="K6251" s="205"/>
      <c r="L6251" s="205">
        <v>202.43</v>
      </c>
    </row>
    <row r="6252" spans="1:13" ht="11.25" customHeight="1" x14ac:dyDescent="0.2">
      <c r="A6252" s="226">
        <v>2024</v>
      </c>
      <c r="B6252" s="226">
        <v>11</v>
      </c>
      <c r="C6252" s="226">
        <v>20</v>
      </c>
      <c r="D6252" s="232">
        <f t="shared" si="715"/>
        <v>45616</v>
      </c>
      <c r="E6252" s="234">
        <f t="shared" si="718"/>
        <v>45616</v>
      </c>
      <c r="F6252" s="479"/>
      <c r="G6252" s="227" t="s">
        <v>1111</v>
      </c>
      <c r="H6252" s="228"/>
      <c r="I6252" s="228"/>
      <c r="J6252" s="229" t="s">
        <v>55</v>
      </c>
      <c r="K6252" s="230"/>
      <c r="L6252" s="230">
        <v>1821.91</v>
      </c>
    </row>
    <row r="6253" spans="1:13" ht="11.25" customHeight="1" x14ac:dyDescent="0.2">
      <c r="A6253" s="221">
        <v>2024</v>
      </c>
      <c r="B6253" s="221">
        <v>11</v>
      </c>
      <c r="C6253" s="221">
        <v>21</v>
      </c>
      <c r="D6253" s="231">
        <f t="shared" si="715"/>
        <v>45617</v>
      </c>
      <c r="E6253" s="233">
        <f t="shared" si="718"/>
        <v>45617</v>
      </c>
      <c r="F6253" s="478" t="s">
        <v>1835</v>
      </c>
      <c r="G6253" s="222" t="s">
        <v>1111</v>
      </c>
      <c r="H6253" s="223"/>
      <c r="I6253" s="223"/>
      <c r="J6253" s="224" t="s">
        <v>192</v>
      </c>
      <c r="K6253" s="225">
        <v>555148</v>
      </c>
      <c r="L6253" s="225"/>
    </row>
    <row r="6254" spans="1:13" ht="11.25" customHeight="1" x14ac:dyDescent="0.2">
      <c r="A6254" s="226">
        <v>2024</v>
      </c>
      <c r="B6254" s="226">
        <v>11</v>
      </c>
      <c r="C6254" s="226">
        <v>21</v>
      </c>
      <c r="D6254" s="232">
        <f t="shared" si="715"/>
        <v>45617</v>
      </c>
      <c r="E6254" s="234">
        <f t="shared" si="718"/>
        <v>45617</v>
      </c>
      <c r="F6254" s="479"/>
      <c r="G6254" s="227" t="s">
        <v>1111</v>
      </c>
      <c r="H6254" s="228"/>
      <c r="I6254" s="228"/>
      <c r="J6254" s="229" t="s">
        <v>191</v>
      </c>
      <c r="K6254" s="230"/>
      <c r="L6254" s="230">
        <v>555148</v>
      </c>
    </row>
    <row r="6255" spans="1:13" ht="11.25" customHeight="1" x14ac:dyDescent="0.2">
      <c r="A6255" s="280">
        <v>2024</v>
      </c>
      <c r="B6255" s="280">
        <v>11</v>
      </c>
      <c r="C6255" s="280">
        <v>21</v>
      </c>
      <c r="D6255" s="281">
        <f t="shared" si="715"/>
        <v>45617</v>
      </c>
      <c r="E6255" s="282">
        <f t="shared" si="718"/>
        <v>45617</v>
      </c>
      <c r="F6255" s="472" t="s">
        <v>1744</v>
      </c>
      <c r="G6255" s="283" t="s">
        <v>86</v>
      </c>
      <c r="H6255" s="284"/>
      <c r="I6255" s="284"/>
      <c r="J6255" s="285" t="s">
        <v>131</v>
      </c>
      <c r="K6255" s="286">
        <v>19358.333333333332</v>
      </c>
      <c r="L6255" s="286"/>
    </row>
    <row r="6256" spans="1:13" ht="11.25" customHeight="1" x14ac:dyDescent="0.2">
      <c r="A6256" s="287">
        <v>2024</v>
      </c>
      <c r="B6256" s="287">
        <v>11</v>
      </c>
      <c r="C6256" s="287">
        <v>21</v>
      </c>
      <c r="D6256" s="288">
        <f t="shared" si="715"/>
        <v>45617</v>
      </c>
      <c r="E6256" s="289">
        <f t="shared" si="718"/>
        <v>45617</v>
      </c>
      <c r="F6256" s="473"/>
      <c r="G6256" s="290" t="s">
        <v>86</v>
      </c>
      <c r="H6256" s="291"/>
      <c r="I6256" s="291"/>
      <c r="J6256" s="292" t="s">
        <v>174</v>
      </c>
      <c r="K6256" s="293"/>
      <c r="L6256" s="293">
        <v>19358.333333333332</v>
      </c>
    </row>
    <row r="6257" spans="1:13" ht="11.25" customHeight="1" x14ac:dyDescent="0.2">
      <c r="A6257" s="280">
        <v>2024</v>
      </c>
      <c r="B6257" s="280">
        <v>11</v>
      </c>
      <c r="C6257" s="280">
        <v>21</v>
      </c>
      <c r="D6257" s="281">
        <f t="shared" si="715"/>
        <v>45617</v>
      </c>
      <c r="E6257" s="282">
        <f t="shared" si="718"/>
        <v>45617</v>
      </c>
      <c r="F6257" s="472" t="s">
        <v>1584</v>
      </c>
      <c r="G6257" s="283" t="s">
        <v>86</v>
      </c>
      <c r="H6257" s="284"/>
      <c r="I6257" s="284"/>
      <c r="J6257" s="285" t="s">
        <v>131</v>
      </c>
      <c r="K6257" s="286">
        <v>8846.1538461538457</v>
      </c>
      <c r="L6257" s="286"/>
    </row>
    <row r="6258" spans="1:13" ht="11.25" customHeight="1" x14ac:dyDescent="0.2">
      <c r="A6258" s="287">
        <v>2024</v>
      </c>
      <c r="B6258" s="287">
        <v>11</v>
      </c>
      <c r="C6258" s="287">
        <v>21</v>
      </c>
      <c r="D6258" s="288">
        <f t="shared" si="715"/>
        <v>45617</v>
      </c>
      <c r="E6258" s="289">
        <f t="shared" si="718"/>
        <v>45617</v>
      </c>
      <c r="F6258" s="473"/>
      <c r="G6258" s="290" t="s">
        <v>86</v>
      </c>
      <c r="H6258" s="291"/>
      <c r="I6258" s="291"/>
      <c r="J6258" s="292" t="s">
        <v>174</v>
      </c>
      <c r="K6258" s="293"/>
      <c r="L6258" s="293">
        <v>8846.1538461538457</v>
      </c>
    </row>
    <row r="6259" spans="1:13" ht="11.25" customHeight="1" x14ac:dyDescent="0.2">
      <c r="A6259" s="280">
        <v>2024</v>
      </c>
      <c r="B6259" s="280">
        <v>11</v>
      </c>
      <c r="C6259" s="280">
        <v>21</v>
      </c>
      <c r="D6259" s="281">
        <f t="shared" si="715"/>
        <v>45617</v>
      </c>
      <c r="E6259" s="282">
        <f t="shared" si="718"/>
        <v>45617</v>
      </c>
      <c r="F6259" s="472" t="s">
        <v>1830</v>
      </c>
      <c r="G6259" s="283" t="s">
        <v>86</v>
      </c>
      <c r="H6259" s="284"/>
      <c r="I6259" s="284"/>
      <c r="J6259" s="285" t="s">
        <v>131</v>
      </c>
      <c r="K6259" s="286">
        <v>4653.8461538461543</v>
      </c>
      <c r="L6259" s="286"/>
    </row>
    <row r="6260" spans="1:13" ht="11.25" customHeight="1" x14ac:dyDescent="0.2">
      <c r="A6260" s="287">
        <v>2024</v>
      </c>
      <c r="B6260" s="287">
        <v>11</v>
      </c>
      <c r="C6260" s="287">
        <v>21</v>
      </c>
      <c r="D6260" s="288">
        <f t="shared" si="715"/>
        <v>45617</v>
      </c>
      <c r="E6260" s="289">
        <f t="shared" si="718"/>
        <v>45617</v>
      </c>
      <c r="F6260" s="473"/>
      <c r="G6260" s="290" t="s">
        <v>86</v>
      </c>
      <c r="H6260" s="291"/>
      <c r="I6260" s="291"/>
      <c r="J6260" s="292" t="s">
        <v>174</v>
      </c>
      <c r="K6260" s="293"/>
      <c r="L6260" s="293">
        <v>4653.8461538461543</v>
      </c>
    </row>
    <row r="6261" spans="1:13" ht="11.25" customHeight="1" x14ac:dyDescent="0.2">
      <c r="A6261" s="341">
        <v>2024</v>
      </c>
      <c r="B6261" s="341">
        <v>11</v>
      </c>
      <c r="C6261" s="341">
        <v>21</v>
      </c>
      <c r="D6261" s="328">
        <f t="shared" si="715"/>
        <v>45617</v>
      </c>
      <c r="E6261" s="329">
        <f t="shared" si="718"/>
        <v>45617</v>
      </c>
      <c r="F6261" s="474" t="s">
        <v>1767</v>
      </c>
      <c r="G6261" s="330" t="s">
        <v>86</v>
      </c>
      <c r="H6261" s="332"/>
      <c r="I6261" s="332"/>
      <c r="J6261" s="342" t="s">
        <v>67</v>
      </c>
      <c r="K6261" s="343">
        <v>13169.73</v>
      </c>
      <c r="L6261" s="343"/>
    </row>
    <row r="6262" spans="1:13" ht="11.25" customHeight="1" x14ac:dyDescent="0.2">
      <c r="A6262" s="344">
        <v>2024</v>
      </c>
      <c r="B6262" s="344">
        <v>11</v>
      </c>
      <c r="C6262" s="344">
        <v>21</v>
      </c>
      <c r="D6262" s="337">
        <f t="shared" si="715"/>
        <v>45617</v>
      </c>
      <c r="E6262" s="338">
        <f t="shared" si="718"/>
        <v>45617</v>
      </c>
      <c r="F6262" s="475"/>
      <c r="G6262" s="339" t="s">
        <v>86</v>
      </c>
      <c r="H6262" s="340"/>
      <c r="I6262" s="340"/>
      <c r="J6262" s="345" t="s">
        <v>174</v>
      </c>
      <c r="K6262" s="346"/>
      <c r="L6262" s="346">
        <f>K6261</f>
        <v>13169.73</v>
      </c>
    </row>
    <row r="6263" spans="1:13" ht="11.25" customHeight="1" x14ac:dyDescent="0.2">
      <c r="A6263" s="358">
        <v>2024</v>
      </c>
      <c r="B6263" s="358">
        <v>11</v>
      </c>
      <c r="C6263" s="358">
        <v>21</v>
      </c>
      <c r="D6263" s="312">
        <f t="shared" si="715"/>
        <v>45617</v>
      </c>
      <c r="E6263" s="313">
        <f>DATE(A6263,B6263,C6263)</f>
        <v>45617</v>
      </c>
      <c r="F6263" s="482" t="s">
        <v>1627</v>
      </c>
      <c r="G6263" s="314" t="s">
        <v>86</v>
      </c>
      <c r="H6263" s="324"/>
      <c r="I6263" s="324"/>
      <c r="J6263" s="364" t="s">
        <v>1621</v>
      </c>
      <c r="K6263" s="365">
        <v>39330</v>
      </c>
      <c r="L6263" s="365"/>
      <c r="M6263" s="156">
        <f>BS!I12</f>
        <v>0</v>
      </c>
    </row>
    <row r="6264" spans="1:13" ht="11.25" customHeight="1" x14ac:dyDescent="0.2">
      <c r="A6264" s="320">
        <v>2024</v>
      </c>
      <c r="B6264" s="320">
        <v>11</v>
      </c>
      <c r="C6264" s="320">
        <v>21</v>
      </c>
      <c r="D6264" s="323">
        <f t="shared" si="715"/>
        <v>45617</v>
      </c>
      <c r="E6264" s="321">
        <f t="shared" ref="E6264" si="719">DATE(A6264,B6264,C6264)</f>
        <v>45617</v>
      </c>
      <c r="F6264" s="483"/>
      <c r="G6264" s="322" t="s">
        <v>86</v>
      </c>
      <c r="H6264" s="325"/>
      <c r="I6264" s="325"/>
      <c r="J6264" s="366" t="s">
        <v>1613</v>
      </c>
      <c r="K6264" s="367"/>
      <c r="L6264" s="367">
        <f>K6263</f>
        <v>39330</v>
      </c>
    </row>
    <row r="6265" spans="1:13" ht="11.25" customHeight="1" x14ac:dyDescent="0.2">
      <c r="A6265" s="358">
        <v>2024</v>
      </c>
      <c r="B6265" s="358">
        <v>11</v>
      </c>
      <c r="C6265" s="358">
        <v>21</v>
      </c>
      <c r="D6265" s="312">
        <f t="shared" si="715"/>
        <v>45617</v>
      </c>
      <c r="E6265" s="313">
        <f>DATE(A6265,B6265,C6265)</f>
        <v>45617</v>
      </c>
      <c r="F6265" s="482" t="s">
        <v>1713</v>
      </c>
      <c r="G6265" s="314" t="s">
        <v>86</v>
      </c>
      <c r="H6265" s="324"/>
      <c r="I6265" s="324"/>
      <c r="J6265" s="364" t="s">
        <v>1622</v>
      </c>
      <c r="K6265" s="365">
        <v>56072.005000010133</v>
      </c>
      <c r="L6265" s="365"/>
      <c r="M6265" s="156">
        <f>BS!I15</f>
        <v>0</v>
      </c>
    </row>
    <row r="6266" spans="1:13" ht="11.25" customHeight="1" x14ac:dyDescent="0.2">
      <c r="A6266" s="320">
        <v>2024</v>
      </c>
      <c r="B6266" s="320">
        <v>11</v>
      </c>
      <c r="C6266" s="320">
        <v>21</v>
      </c>
      <c r="D6266" s="323">
        <f t="shared" si="715"/>
        <v>45617</v>
      </c>
      <c r="E6266" s="321">
        <f t="shared" ref="E6266:E6288" si="720">DATE(A6266,B6266,C6266)</f>
        <v>45617</v>
      </c>
      <c r="F6266" s="483"/>
      <c r="G6266" s="322" t="s">
        <v>86</v>
      </c>
      <c r="H6266" s="325"/>
      <c r="I6266" s="325"/>
      <c r="J6266" s="366" t="s">
        <v>1614</v>
      </c>
      <c r="K6266" s="367"/>
      <c r="L6266" s="367">
        <f>K6265</f>
        <v>56072.005000010133</v>
      </c>
    </row>
    <row r="6267" spans="1:13" ht="11.25" customHeight="1" x14ac:dyDescent="0.2">
      <c r="A6267" s="236">
        <v>2024</v>
      </c>
      <c r="B6267" s="236">
        <v>11</v>
      </c>
      <c r="C6267" s="236">
        <v>21</v>
      </c>
      <c r="D6267" s="237">
        <f t="shared" si="715"/>
        <v>45617</v>
      </c>
      <c r="E6267" s="238">
        <f t="shared" si="720"/>
        <v>45617</v>
      </c>
      <c r="F6267" s="476" t="s">
        <v>1118</v>
      </c>
      <c r="G6267" s="239" t="s">
        <v>86</v>
      </c>
      <c r="H6267" s="239"/>
      <c r="I6267" s="240"/>
      <c r="J6267" s="241" t="s">
        <v>82</v>
      </c>
      <c r="K6267" s="242">
        <v>2471228.2399999797</v>
      </c>
      <c r="L6267" s="242"/>
      <c r="M6267" s="156">
        <f>BS!I8</f>
        <v>0</v>
      </c>
    </row>
    <row r="6268" spans="1:13" ht="11.25" customHeight="1" x14ac:dyDescent="0.2">
      <c r="A6268" s="243">
        <v>2024</v>
      </c>
      <c r="B6268" s="243">
        <v>11</v>
      </c>
      <c r="C6268" s="243">
        <v>21</v>
      </c>
      <c r="D6268" s="248">
        <f t="shared" si="715"/>
        <v>45617</v>
      </c>
      <c r="E6268" s="249">
        <f t="shared" si="720"/>
        <v>45617</v>
      </c>
      <c r="F6268" s="477"/>
      <c r="G6268" s="244" t="s">
        <v>86</v>
      </c>
      <c r="H6268" s="244"/>
      <c r="I6268" s="245"/>
      <c r="J6268" s="246" t="s">
        <v>98</v>
      </c>
      <c r="K6268" s="247"/>
      <c r="L6268" s="247">
        <f>K6267</f>
        <v>2471228.2399999797</v>
      </c>
    </row>
    <row r="6269" spans="1:13" ht="11.25" customHeight="1" x14ac:dyDescent="0.2">
      <c r="A6269" s="236">
        <v>2024</v>
      </c>
      <c r="B6269" s="236">
        <v>11</v>
      </c>
      <c r="C6269" s="236">
        <v>21</v>
      </c>
      <c r="D6269" s="237">
        <f t="shared" si="715"/>
        <v>45617</v>
      </c>
      <c r="E6269" s="238">
        <f t="shared" si="720"/>
        <v>45617</v>
      </c>
      <c r="F6269" s="476" t="s">
        <v>1120</v>
      </c>
      <c r="G6269" s="239" t="s">
        <v>86</v>
      </c>
      <c r="H6269" s="239"/>
      <c r="I6269" s="240"/>
      <c r="J6269" s="241" t="s">
        <v>87</v>
      </c>
      <c r="K6269" s="242">
        <v>2747.2527472527472</v>
      </c>
      <c r="L6269" s="242"/>
    </row>
    <row r="6270" spans="1:13" ht="11.25" customHeight="1" x14ac:dyDescent="0.2">
      <c r="A6270" s="243">
        <v>2024</v>
      </c>
      <c r="B6270" s="243">
        <v>11</v>
      </c>
      <c r="C6270" s="243">
        <v>21</v>
      </c>
      <c r="D6270" s="248">
        <f t="shared" si="715"/>
        <v>45617</v>
      </c>
      <c r="E6270" s="249">
        <f t="shared" si="720"/>
        <v>45617</v>
      </c>
      <c r="F6270" s="477"/>
      <c r="G6270" s="244" t="s">
        <v>86</v>
      </c>
      <c r="H6270" s="244"/>
      <c r="I6270" s="245"/>
      <c r="J6270" s="246" t="s">
        <v>64</v>
      </c>
      <c r="K6270" s="247"/>
      <c r="L6270" s="247">
        <v>2747.2527472527472</v>
      </c>
    </row>
    <row r="6271" spans="1:13" ht="11.25" customHeight="1" x14ac:dyDescent="0.2">
      <c r="A6271" s="236">
        <v>2024</v>
      </c>
      <c r="B6271" s="236">
        <v>11</v>
      </c>
      <c r="C6271" s="236">
        <v>21</v>
      </c>
      <c r="D6271" s="237">
        <f t="shared" si="715"/>
        <v>45617</v>
      </c>
      <c r="E6271" s="238">
        <f t="shared" si="720"/>
        <v>45617</v>
      </c>
      <c r="F6271" s="476" t="s">
        <v>1121</v>
      </c>
      <c r="G6271" s="239" t="s">
        <v>86</v>
      </c>
      <c r="H6271" s="239"/>
      <c r="I6271" s="240"/>
      <c r="J6271" s="241" t="s">
        <v>89</v>
      </c>
      <c r="K6271" s="242">
        <f>M6271</f>
        <v>69511.847643179746</v>
      </c>
      <c r="L6271" s="242"/>
      <c r="M6271" s="156">
        <v>69511.847643179746</v>
      </c>
    </row>
    <row r="6272" spans="1:13" ht="11.25" customHeight="1" x14ac:dyDescent="0.2">
      <c r="A6272" s="243">
        <v>2024</v>
      </c>
      <c r="B6272" s="243">
        <v>11</v>
      </c>
      <c r="C6272" s="243">
        <v>21</v>
      </c>
      <c r="D6272" s="248">
        <f t="shared" si="715"/>
        <v>45617</v>
      </c>
      <c r="E6272" s="249">
        <f t="shared" si="720"/>
        <v>45617</v>
      </c>
      <c r="F6272" s="477"/>
      <c r="G6272" s="244" t="s">
        <v>86</v>
      </c>
      <c r="H6272" s="244"/>
      <c r="I6272" s="245"/>
      <c r="J6272" s="246" t="s">
        <v>50</v>
      </c>
      <c r="K6272" s="247"/>
      <c r="L6272" s="247">
        <f>K6271</f>
        <v>69511.847643179746</v>
      </c>
      <c r="M6272" s="156">
        <v>3235.207766774372</v>
      </c>
    </row>
    <row r="6273" spans="1:12" ht="11.25" customHeight="1" x14ac:dyDescent="0.2">
      <c r="A6273" s="236">
        <v>2024</v>
      </c>
      <c r="B6273" s="236">
        <v>11</v>
      </c>
      <c r="C6273" s="236">
        <v>21</v>
      </c>
      <c r="D6273" s="237">
        <f t="shared" si="715"/>
        <v>45617</v>
      </c>
      <c r="E6273" s="238">
        <f t="shared" si="720"/>
        <v>45617</v>
      </c>
      <c r="F6273" s="476" t="s">
        <v>1122</v>
      </c>
      <c r="G6273" s="239" t="s">
        <v>86</v>
      </c>
      <c r="H6273" s="239"/>
      <c r="I6273" s="240"/>
      <c r="J6273" s="241" t="s">
        <v>91</v>
      </c>
      <c r="K6273" s="242">
        <f>M6272</f>
        <v>3235.207766774372</v>
      </c>
      <c r="L6273" s="242"/>
    </row>
    <row r="6274" spans="1:12" ht="11.25" customHeight="1" x14ac:dyDescent="0.2">
      <c r="A6274" s="243">
        <v>2024</v>
      </c>
      <c r="B6274" s="243">
        <v>11</v>
      </c>
      <c r="C6274" s="243">
        <v>21</v>
      </c>
      <c r="D6274" s="248">
        <f t="shared" si="715"/>
        <v>45617</v>
      </c>
      <c r="E6274" s="249">
        <f t="shared" si="720"/>
        <v>45617</v>
      </c>
      <c r="F6274" s="477"/>
      <c r="G6274" s="244" t="s">
        <v>86</v>
      </c>
      <c r="H6274" s="244"/>
      <c r="I6274" s="245"/>
      <c r="J6274" s="246" t="s">
        <v>51</v>
      </c>
      <c r="K6274" s="247"/>
      <c r="L6274" s="247">
        <f>K6273</f>
        <v>3235.207766774372</v>
      </c>
    </row>
    <row r="6275" spans="1:12" ht="11.25" customHeight="1" x14ac:dyDescent="0.2">
      <c r="A6275" s="221">
        <v>2024</v>
      </c>
      <c r="B6275" s="221">
        <v>11</v>
      </c>
      <c r="C6275" s="221">
        <v>25</v>
      </c>
      <c r="D6275" s="221">
        <f t="shared" si="715"/>
        <v>45621</v>
      </c>
      <c r="E6275" s="233">
        <f t="shared" si="720"/>
        <v>45621</v>
      </c>
      <c r="F6275" s="478" t="s">
        <v>1817</v>
      </c>
      <c r="G6275" s="222" t="s">
        <v>1111</v>
      </c>
      <c r="H6275" s="222"/>
      <c r="I6275" s="223"/>
      <c r="J6275" s="224" t="s">
        <v>50</v>
      </c>
      <c r="K6275" s="225">
        <v>710000</v>
      </c>
      <c r="L6275" s="225"/>
    </row>
    <row r="6276" spans="1:12" ht="11.25" customHeight="1" x14ac:dyDescent="0.2">
      <c r="A6276" s="164">
        <v>2024</v>
      </c>
      <c r="B6276" s="164">
        <v>11</v>
      </c>
      <c r="C6276" s="164">
        <v>25</v>
      </c>
      <c r="D6276" s="156">
        <f t="shared" si="715"/>
        <v>45621</v>
      </c>
      <c r="E6276" s="235">
        <f t="shared" si="720"/>
        <v>45621</v>
      </c>
      <c r="F6276" s="480"/>
      <c r="G6276" s="208" t="s">
        <v>1111</v>
      </c>
      <c r="J6276" s="165" t="s">
        <v>478</v>
      </c>
      <c r="K6276" s="205"/>
      <c r="L6276" s="205">
        <v>106500</v>
      </c>
    </row>
    <row r="6277" spans="1:12" ht="11.25" customHeight="1" x14ac:dyDescent="0.2">
      <c r="A6277" s="226">
        <v>2024</v>
      </c>
      <c r="B6277" s="226">
        <v>11</v>
      </c>
      <c r="C6277" s="226">
        <v>25</v>
      </c>
      <c r="D6277" s="226">
        <f t="shared" si="715"/>
        <v>45621</v>
      </c>
      <c r="E6277" s="234">
        <f t="shared" si="720"/>
        <v>45621</v>
      </c>
      <c r="F6277" s="479"/>
      <c r="G6277" s="227" t="s">
        <v>1111</v>
      </c>
      <c r="H6277" s="227"/>
      <c r="I6277" s="228"/>
      <c r="J6277" s="229" t="s">
        <v>55</v>
      </c>
      <c r="K6277" s="230"/>
      <c r="L6277" s="230">
        <v>603500</v>
      </c>
    </row>
    <row r="6278" spans="1:12" ht="11.25" customHeight="1" x14ac:dyDescent="0.2">
      <c r="A6278" s="221">
        <v>2024</v>
      </c>
      <c r="B6278" s="221">
        <v>11</v>
      </c>
      <c r="C6278" s="231">
        <v>25</v>
      </c>
      <c r="D6278" s="231">
        <f t="shared" si="715"/>
        <v>45621</v>
      </c>
      <c r="E6278" s="233">
        <f t="shared" si="720"/>
        <v>45621</v>
      </c>
      <c r="F6278" s="478" t="s">
        <v>1670</v>
      </c>
      <c r="G6278" s="222" t="s">
        <v>1111</v>
      </c>
      <c r="H6278" s="223"/>
      <c r="I6278" s="223"/>
      <c r="J6278" s="224" t="s">
        <v>63</v>
      </c>
      <c r="K6278" s="225">
        <v>100</v>
      </c>
      <c r="L6278" s="225"/>
    </row>
    <row r="6279" spans="1:12" ht="11.25" customHeight="1" x14ac:dyDescent="0.2">
      <c r="A6279" s="226">
        <v>2024</v>
      </c>
      <c r="B6279" s="226">
        <v>11</v>
      </c>
      <c r="C6279" s="232">
        <v>25</v>
      </c>
      <c r="D6279" s="232">
        <f t="shared" si="715"/>
        <v>45621</v>
      </c>
      <c r="E6279" s="234">
        <f t="shared" si="720"/>
        <v>45621</v>
      </c>
      <c r="F6279" s="479"/>
      <c r="G6279" s="227" t="s">
        <v>1111</v>
      </c>
      <c r="H6279" s="228"/>
      <c r="I6279" s="228"/>
      <c r="J6279" s="229" t="s">
        <v>55</v>
      </c>
      <c r="K6279" s="230"/>
      <c r="L6279" s="230">
        <v>100</v>
      </c>
    </row>
    <row r="6280" spans="1:12" ht="11.25" customHeight="1" x14ac:dyDescent="0.2">
      <c r="A6280" s="221">
        <v>2024</v>
      </c>
      <c r="B6280" s="221">
        <v>11</v>
      </c>
      <c r="C6280" s="221">
        <v>26</v>
      </c>
      <c r="D6280" s="231">
        <f t="shared" si="715"/>
        <v>45622</v>
      </c>
      <c r="E6280" s="233">
        <f t="shared" si="720"/>
        <v>45622</v>
      </c>
      <c r="F6280" s="478" t="s">
        <v>1812</v>
      </c>
      <c r="G6280" s="222" t="s">
        <v>1111</v>
      </c>
      <c r="H6280" s="222"/>
      <c r="I6280" s="223"/>
      <c r="J6280" s="224" t="s">
        <v>55</v>
      </c>
      <c r="K6280" s="357">
        <v>5000000</v>
      </c>
      <c r="L6280" s="225"/>
    </row>
    <row r="6281" spans="1:12" ht="11.25" customHeight="1" x14ac:dyDescent="0.2">
      <c r="A6281" s="164">
        <v>2024</v>
      </c>
      <c r="B6281" s="164">
        <v>11</v>
      </c>
      <c r="C6281" s="164">
        <v>26</v>
      </c>
      <c r="D6281" s="156">
        <f t="shared" ref="D6281:D6344" si="721">DATE(A6281,B6281,C6281)</f>
        <v>45622</v>
      </c>
      <c r="E6281" s="235">
        <f t="shared" si="720"/>
        <v>45622</v>
      </c>
      <c r="F6281" s="480"/>
      <c r="G6281" s="208" t="s">
        <v>1111</v>
      </c>
      <c r="H6281" s="208"/>
      <c r="J6281" s="165" t="s">
        <v>1617</v>
      </c>
      <c r="K6281" s="263"/>
      <c r="L6281" s="205">
        <v>139830</v>
      </c>
    </row>
    <row r="6282" spans="1:12" ht="11.25" customHeight="1" x14ac:dyDescent="0.2">
      <c r="A6282" s="226">
        <v>2024</v>
      </c>
      <c r="B6282" s="226">
        <v>11</v>
      </c>
      <c r="C6282" s="226">
        <v>26</v>
      </c>
      <c r="D6282" s="232">
        <f t="shared" si="721"/>
        <v>45622</v>
      </c>
      <c r="E6282" s="234">
        <f t="shared" si="720"/>
        <v>45622</v>
      </c>
      <c r="F6282" s="479"/>
      <c r="G6282" s="227" t="s">
        <v>1111</v>
      </c>
      <c r="H6282" s="227"/>
      <c r="I6282" s="228"/>
      <c r="J6282" s="229" t="s">
        <v>1465</v>
      </c>
      <c r="K6282" s="294"/>
      <c r="L6282" s="230">
        <v>4860170</v>
      </c>
    </row>
    <row r="6283" spans="1:12" ht="11.25" customHeight="1" x14ac:dyDescent="0.2">
      <c r="A6283" s="221">
        <v>2024</v>
      </c>
      <c r="B6283" s="221">
        <v>11</v>
      </c>
      <c r="C6283" s="221">
        <v>26</v>
      </c>
      <c r="D6283" s="231">
        <f t="shared" si="721"/>
        <v>45622</v>
      </c>
      <c r="E6283" s="233">
        <f t="shared" si="720"/>
        <v>45622</v>
      </c>
      <c r="F6283" s="478" t="s">
        <v>1132</v>
      </c>
      <c r="G6283" s="222" t="s">
        <v>1111</v>
      </c>
      <c r="H6283" s="223"/>
      <c r="I6283" s="223"/>
      <c r="J6283" s="224" t="s">
        <v>55</v>
      </c>
      <c r="K6283" s="167">
        <v>9000</v>
      </c>
      <c r="L6283" s="225"/>
    </row>
    <row r="6284" spans="1:12" ht="11.25" customHeight="1" x14ac:dyDescent="0.2">
      <c r="A6284" s="164">
        <v>2024</v>
      </c>
      <c r="B6284" s="164">
        <v>11</v>
      </c>
      <c r="C6284" s="164">
        <v>26</v>
      </c>
      <c r="D6284" s="156">
        <f t="shared" si="721"/>
        <v>45622</v>
      </c>
      <c r="E6284" s="235">
        <f t="shared" si="720"/>
        <v>45622</v>
      </c>
      <c r="F6284" s="480"/>
      <c r="G6284" s="208" t="s">
        <v>1111</v>
      </c>
      <c r="J6284" s="165" t="s">
        <v>14</v>
      </c>
      <c r="L6284" s="205">
        <v>8410</v>
      </c>
    </row>
    <row r="6285" spans="1:12" ht="11.25" customHeight="1" x14ac:dyDescent="0.2">
      <c r="A6285" s="226">
        <v>2024</v>
      </c>
      <c r="B6285" s="226">
        <v>11</v>
      </c>
      <c r="C6285" s="226">
        <v>26</v>
      </c>
      <c r="D6285" s="232">
        <f t="shared" si="721"/>
        <v>45622</v>
      </c>
      <c r="E6285" s="234">
        <f t="shared" si="720"/>
        <v>45622</v>
      </c>
      <c r="F6285" s="479"/>
      <c r="G6285" s="227" t="s">
        <v>1111</v>
      </c>
      <c r="H6285" s="228"/>
      <c r="I6285" s="228"/>
      <c r="J6285" s="229" t="s">
        <v>1112</v>
      </c>
      <c r="K6285" s="230"/>
      <c r="L6285" s="230">
        <v>590</v>
      </c>
    </row>
    <row r="6286" spans="1:12" ht="11.25" customHeight="1" x14ac:dyDescent="0.2">
      <c r="A6286" s="221">
        <v>2024</v>
      </c>
      <c r="B6286" s="221">
        <v>11</v>
      </c>
      <c r="C6286" s="221">
        <v>27</v>
      </c>
      <c r="D6286" s="231">
        <f t="shared" si="721"/>
        <v>45623</v>
      </c>
      <c r="E6286" s="233">
        <f t="shared" si="720"/>
        <v>45623</v>
      </c>
      <c r="F6286" s="478" t="s">
        <v>1115</v>
      </c>
      <c r="G6286" s="222" t="s">
        <v>1111</v>
      </c>
      <c r="H6286" s="223"/>
      <c r="I6286" s="223" t="s">
        <v>1805</v>
      </c>
      <c r="J6286" s="224" t="s">
        <v>14</v>
      </c>
      <c r="K6286" s="167">
        <v>1848520</v>
      </c>
      <c r="L6286" s="225"/>
    </row>
    <row r="6287" spans="1:12" ht="11.25" customHeight="1" x14ac:dyDescent="0.2">
      <c r="A6287" s="164">
        <v>2024</v>
      </c>
      <c r="B6287" s="164">
        <v>11</v>
      </c>
      <c r="C6287" s="164">
        <v>27</v>
      </c>
      <c r="D6287" s="156">
        <f t="shared" si="721"/>
        <v>45623</v>
      </c>
      <c r="E6287" s="235">
        <f t="shared" si="720"/>
        <v>45623</v>
      </c>
      <c r="F6287" s="480"/>
      <c r="G6287" s="208" t="s">
        <v>1111</v>
      </c>
      <c r="I6287" s="206" t="s">
        <v>1805</v>
      </c>
      <c r="J6287" s="165" t="s">
        <v>1112</v>
      </c>
      <c r="K6287" s="205">
        <v>128841.84000000008</v>
      </c>
      <c r="L6287" s="156"/>
    </row>
    <row r="6288" spans="1:12" ht="11.25" customHeight="1" x14ac:dyDescent="0.2">
      <c r="A6288" s="226">
        <v>2024</v>
      </c>
      <c r="B6288" s="226">
        <v>11</v>
      </c>
      <c r="C6288" s="226">
        <v>27</v>
      </c>
      <c r="D6288" s="232">
        <f t="shared" si="721"/>
        <v>45623</v>
      </c>
      <c r="E6288" s="234">
        <f t="shared" si="720"/>
        <v>45623</v>
      </c>
      <c r="F6288" s="479"/>
      <c r="G6288" s="227" t="s">
        <v>1111</v>
      </c>
      <c r="H6288" s="228"/>
      <c r="I6288" s="228" t="s">
        <v>1805</v>
      </c>
      <c r="J6288" s="229" t="s">
        <v>55</v>
      </c>
      <c r="K6288" s="230"/>
      <c r="L6288" s="230">
        <v>1977361.84</v>
      </c>
    </row>
    <row r="6289" spans="1:12" ht="11.25" customHeight="1" x14ac:dyDescent="0.2">
      <c r="A6289" s="221">
        <v>2024</v>
      </c>
      <c r="B6289" s="221">
        <v>11</v>
      </c>
      <c r="C6289" s="231">
        <v>27</v>
      </c>
      <c r="D6289" s="231">
        <f t="shared" si="721"/>
        <v>45623</v>
      </c>
      <c r="E6289" s="233">
        <f t="shared" ref="E6289:E6290" si="722">DATE(A6289,B6289,C6289)</f>
        <v>45623</v>
      </c>
      <c r="F6289" s="478" t="s">
        <v>1670</v>
      </c>
      <c r="G6289" s="222" t="s">
        <v>1111</v>
      </c>
      <c r="H6289" s="223"/>
      <c r="I6289" s="223"/>
      <c r="J6289" s="224" t="s">
        <v>63</v>
      </c>
      <c r="K6289" s="225">
        <v>100</v>
      </c>
      <c r="L6289" s="225"/>
    </row>
    <row r="6290" spans="1:12" ht="11.25" customHeight="1" x14ac:dyDescent="0.2">
      <c r="A6290" s="226">
        <v>2024</v>
      </c>
      <c r="B6290" s="226">
        <v>11</v>
      </c>
      <c r="C6290" s="232">
        <v>27</v>
      </c>
      <c r="D6290" s="232">
        <f t="shared" si="721"/>
        <v>45623</v>
      </c>
      <c r="E6290" s="234">
        <f t="shared" si="722"/>
        <v>45623</v>
      </c>
      <c r="F6290" s="479"/>
      <c r="G6290" s="227" t="s">
        <v>1111</v>
      </c>
      <c r="H6290" s="228"/>
      <c r="I6290" s="228"/>
      <c r="J6290" s="229" t="s">
        <v>55</v>
      </c>
      <c r="K6290" s="230"/>
      <c r="L6290" s="230">
        <v>100</v>
      </c>
    </row>
    <row r="6291" spans="1:12" ht="11.25" customHeight="1" x14ac:dyDescent="0.2">
      <c r="A6291" s="221">
        <v>2024</v>
      </c>
      <c r="B6291" s="221">
        <v>11</v>
      </c>
      <c r="C6291" s="221">
        <v>28</v>
      </c>
      <c r="D6291" s="231">
        <f t="shared" si="721"/>
        <v>45624</v>
      </c>
      <c r="E6291" s="233">
        <f t="shared" ref="E6291:E6306" si="723">DATE(A6291,B6291,C6291)</f>
        <v>45624</v>
      </c>
      <c r="F6291" s="478" t="s">
        <v>1813</v>
      </c>
      <c r="G6291" s="222" t="s">
        <v>1111</v>
      </c>
      <c r="H6291" s="222"/>
      <c r="I6291" s="223"/>
      <c r="J6291" s="224" t="s">
        <v>55</v>
      </c>
      <c r="K6291" s="357">
        <v>5057658</v>
      </c>
      <c r="L6291" s="225"/>
    </row>
    <row r="6292" spans="1:12" ht="11.25" customHeight="1" x14ac:dyDescent="0.2">
      <c r="A6292" s="164">
        <v>2024</v>
      </c>
      <c r="B6292" s="164">
        <v>11</v>
      </c>
      <c r="C6292" s="164">
        <v>28</v>
      </c>
      <c r="D6292" s="156">
        <f t="shared" si="721"/>
        <v>45624</v>
      </c>
      <c r="E6292" s="235">
        <f t="shared" si="723"/>
        <v>45624</v>
      </c>
      <c r="F6292" s="480"/>
      <c r="G6292" s="208" t="s">
        <v>1111</v>
      </c>
      <c r="H6292" s="208"/>
      <c r="J6292" s="165" t="s">
        <v>1618</v>
      </c>
      <c r="K6292" s="263"/>
      <c r="L6292" s="205">
        <v>54003</v>
      </c>
    </row>
    <row r="6293" spans="1:12" ht="11.25" customHeight="1" x14ac:dyDescent="0.2">
      <c r="A6293" s="226">
        <v>2024</v>
      </c>
      <c r="B6293" s="226">
        <v>11</v>
      </c>
      <c r="C6293" s="226">
        <v>28</v>
      </c>
      <c r="D6293" s="232">
        <f t="shared" si="721"/>
        <v>45624</v>
      </c>
      <c r="E6293" s="234">
        <f t="shared" si="723"/>
        <v>45624</v>
      </c>
      <c r="F6293" s="479"/>
      <c r="G6293" s="227" t="s">
        <v>1111</v>
      </c>
      <c r="H6293" s="227"/>
      <c r="I6293" s="228"/>
      <c r="J6293" s="229" t="s">
        <v>1615</v>
      </c>
      <c r="K6293" s="294"/>
      <c r="L6293" s="230">
        <v>5003655</v>
      </c>
    </row>
    <row r="6294" spans="1:12" ht="11.25" customHeight="1" x14ac:dyDescent="0.2">
      <c r="A6294" s="221">
        <v>2024</v>
      </c>
      <c r="B6294" s="221">
        <v>11</v>
      </c>
      <c r="C6294" s="221">
        <v>28</v>
      </c>
      <c r="D6294" s="221">
        <f t="shared" si="721"/>
        <v>45624</v>
      </c>
      <c r="E6294" s="233">
        <f t="shared" si="723"/>
        <v>45624</v>
      </c>
      <c r="F6294" s="478" t="s">
        <v>1593</v>
      </c>
      <c r="G6294" s="222" t="s">
        <v>86</v>
      </c>
      <c r="H6294" s="222"/>
      <c r="I6294" s="223"/>
      <c r="J6294" s="224" t="s">
        <v>80</v>
      </c>
      <c r="K6294" s="225">
        <v>1180036</v>
      </c>
      <c r="L6294" s="225"/>
    </row>
    <row r="6295" spans="1:12" ht="11.25" customHeight="1" x14ac:dyDescent="0.2">
      <c r="A6295" s="164">
        <v>2024</v>
      </c>
      <c r="B6295" s="164">
        <v>11</v>
      </c>
      <c r="C6295" s="164">
        <v>28</v>
      </c>
      <c r="D6295" s="164">
        <f t="shared" si="721"/>
        <v>45624</v>
      </c>
      <c r="E6295" s="235">
        <f t="shared" si="723"/>
        <v>45624</v>
      </c>
      <c r="F6295" s="480"/>
      <c r="G6295" s="208" t="s">
        <v>86</v>
      </c>
      <c r="H6295" s="208"/>
      <c r="J6295" s="165" t="s">
        <v>960</v>
      </c>
      <c r="K6295" s="205">
        <v>2124.06</v>
      </c>
      <c r="L6295" s="205"/>
    </row>
    <row r="6296" spans="1:12" ht="11.25" customHeight="1" x14ac:dyDescent="0.2">
      <c r="A6296" s="226">
        <v>2024</v>
      </c>
      <c r="B6296" s="226">
        <v>11</v>
      </c>
      <c r="C6296" s="226">
        <v>28</v>
      </c>
      <c r="D6296" s="226">
        <f t="shared" si="721"/>
        <v>45624</v>
      </c>
      <c r="E6296" s="234">
        <f t="shared" si="723"/>
        <v>45624</v>
      </c>
      <c r="F6296" s="479"/>
      <c r="G6296" s="227" t="s">
        <v>86</v>
      </c>
      <c r="H6296" s="227"/>
      <c r="I6296" s="228"/>
      <c r="J6296" s="229" t="s">
        <v>961</v>
      </c>
      <c r="K6296" s="294"/>
      <c r="L6296" s="230">
        <v>1182160.06</v>
      </c>
    </row>
    <row r="6297" spans="1:12" ht="11.25" customHeight="1" x14ac:dyDescent="0.2">
      <c r="A6297" s="221">
        <v>2024</v>
      </c>
      <c r="B6297" s="221">
        <v>11</v>
      </c>
      <c r="C6297" s="231">
        <v>28</v>
      </c>
      <c r="D6297" s="231">
        <f t="shared" si="721"/>
        <v>45624</v>
      </c>
      <c r="E6297" s="233">
        <f t="shared" si="723"/>
        <v>45624</v>
      </c>
      <c r="F6297" s="478" t="s">
        <v>1670</v>
      </c>
      <c r="G6297" s="222" t="s">
        <v>1111</v>
      </c>
      <c r="H6297" s="223"/>
      <c r="I6297" s="223"/>
      <c r="J6297" s="224" t="s">
        <v>63</v>
      </c>
      <c r="K6297" s="225">
        <v>100</v>
      </c>
      <c r="L6297" s="225"/>
    </row>
    <row r="6298" spans="1:12" ht="11.25" customHeight="1" x14ac:dyDescent="0.2">
      <c r="A6298" s="226">
        <v>2024</v>
      </c>
      <c r="B6298" s="226">
        <v>11</v>
      </c>
      <c r="C6298" s="232">
        <v>28</v>
      </c>
      <c r="D6298" s="232">
        <f t="shared" si="721"/>
        <v>45624</v>
      </c>
      <c r="E6298" s="234">
        <f t="shared" si="723"/>
        <v>45624</v>
      </c>
      <c r="F6298" s="479"/>
      <c r="G6298" s="227" t="s">
        <v>1111</v>
      </c>
      <c r="H6298" s="228"/>
      <c r="I6298" s="228"/>
      <c r="J6298" s="229" t="s">
        <v>55</v>
      </c>
      <c r="K6298" s="230"/>
      <c r="L6298" s="230">
        <v>100</v>
      </c>
    </row>
    <row r="6299" spans="1:12" ht="11.25" customHeight="1" x14ac:dyDescent="0.2">
      <c r="A6299" s="280">
        <v>2024</v>
      </c>
      <c r="B6299" s="280">
        <v>11</v>
      </c>
      <c r="C6299" s="280">
        <v>28</v>
      </c>
      <c r="D6299" s="281">
        <f t="shared" si="721"/>
        <v>45624</v>
      </c>
      <c r="E6299" s="282">
        <f t="shared" si="723"/>
        <v>45624</v>
      </c>
      <c r="F6299" s="472" t="s">
        <v>1744</v>
      </c>
      <c r="G6299" s="283" t="s">
        <v>86</v>
      </c>
      <c r="H6299" s="284"/>
      <c r="I6299" s="284"/>
      <c r="J6299" s="285" t="s">
        <v>131</v>
      </c>
      <c r="K6299" s="286">
        <v>19358.333333333332</v>
      </c>
      <c r="L6299" s="286"/>
    </row>
    <row r="6300" spans="1:12" ht="11.25" customHeight="1" x14ac:dyDescent="0.2">
      <c r="A6300" s="287">
        <v>2024</v>
      </c>
      <c r="B6300" s="287">
        <v>11</v>
      </c>
      <c r="C6300" s="287">
        <v>28</v>
      </c>
      <c r="D6300" s="288">
        <f t="shared" si="721"/>
        <v>45624</v>
      </c>
      <c r="E6300" s="289">
        <f t="shared" si="723"/>
        <v>45624</v>
      </c>
      <c r="F6300" s="473"/>
      <c r="G6300" s="290" t="s">
        <v>86</v>
      </c>
      <c r="H6300" s="291"/>
      <c r="I6300" s="291"/>
      <c r="J6300" s="292" t="s">
        <v>174</v>
      </c>
      <c r="K6300" s="293"/>
      <c r="L6300" s="293">
        <v>19358.333333333332</v>
      </c>
    </row>
    <row r="6301" spans="1:12" ht="11.25" customHeight="1" x14ac:dyDescent="0.2">
      <c r="A6301" s="280">
        <v>2024</v>
      </c>
      <c r="B6301" s="280">
        <v>11</v>
      </c>
      <c r="C6301" s="280">
        <v>28</v>
      </c>
      <c r="D6301" s="281">
        <f t="shared" si="721"/>
        <v>45624</v>
      </c>
      <c r="E6301" s="282">
        <f t="shared" si="723"/>
        <v>45624</v>
      </c>
      <c r="F6301" s="472" t="s">
        <v>1584</v>
      </c>
      <c r="G6301" s="283" t="s">
        <v>86</v>
      </c>
      <c r="H6301" s="284"/>
      <c r="I6301" s="284"/>
      <c r="J6301" s="285" t="s">
        <v>131</v>
      </c>
      <c r="K6301" s="286">
        <v>8846.1538461538457</v>
      </c>
      <c r="L6301" s="286"/>
    </row>
    <row r="6302" spans="1:12" ht="11.25" customHeight="1" x14ac:dyDescent="0.2">
      <c r="A6302" s="287">
        <v>2024</v>
      </c>
      <c r="B6302" s="287">
        <v>11</v>
      </c>
      <c r="C6302" s="287">
        <v>28</v>
      </c>
      <c r="D6302" s="288">
        <f t="shared" si="721"/>
        <v>45624</v>
      </c>
      <c r="E6302" s="289">
        <f t="shared" si="723"/>
        <v>45624</v>
      </c>
      <c r="F6302" s="473"/>
      <c r="G6302" s="290" t="s">
        <v>86</v>
      </c>
      <c r="H6302" s="291"/>
      <c r="I6302" s="291"/>
      <c r="J6302" s="292" t="s">
        <v>174</v>
      </c>
      <c r="K6302" s="293"/>
      <c r="L6302" s="293">
        <v>8846.1538461538457</v>
      </c>
    </row>
    <row r="6303" spans="1:12" ht="11.25" customHeight="1" x14ac:dyDescent="0.2">
      <c r="A6303" s="280">
        <v>2024</v>
      </c>
      <c r="B6303" s="280">
        <v>11</v>
      </c>
      <c r="C6303" s="280">
        <v>28</v>
      </c>
      <c r="D6303" s="281">
        <f t="shared" si="721"/>
        <v>45624</v>
      </c>
      <c r="E6303" s="282">
        <f t="shared" si="723"/>
        <v>45624</v>
      </c>
      <c r="F6303" s="472" t="s">
        <v>1830</v>
      </c>
      <c r="G6303" s="283" t="s">
        <v>86</v>
      </c>
      <c r="H6303" s="284"/>
      <c r="I6303" s="284"/>
      <c r="J6303" s="285" t="s">
        <v>131</v>
      </c>
      <c r="K6303" s="286">
        <v>4653.8461538461543</v>
      </c>
      <c r="L6303" s="286"/>
    </row>
    <row r="6304" spans="1:12" ht="11.25" customHeight="1" x14ac:dyDescent="0.2">
      <c r="A6304" s="287">
        <v>2024</v>
      </c>
      <c r="B6304" s="287">
        <v>11</v>
      </c>
      <c r="C6304" s="287">
        <v>28</v>
      </c>
      <c r="D6304" s="288">
        <f t="shared" si="721"/>
        <v>45624</v>
      </c>
      <c r="E6304" s="289">
        <f t="shared" si="723"/>
        <v>45624</v>
      </c>
      <c r="F6304" s="473"/>
      <c r="G6304" s="290" t="s">
        <v>86</v>
      </c>
      <c r="H6304" s="291"/>
      <c r="I6304" s="291"/>
      <c r="J6304" s="292" t="s">
        <v>174</v>
      </c>
      <c r="K6304" s="293"/>
      <c r="L6304" s="293">
        <v>4653.8461538461543</v>
      </c>
    </row>
    <row r="6305" spans="1:13" ht="11.25" customHeight="1" x14ac:dyDescent="0.2">
      <c r="A6305" s="341">
        <v>2024</v>
      </c>
      <c r="B6305" s="341">
        <v>11</v>
      </c>
      <c r="C6305" s="341">
        <v>28</v>
      </c>
      <c r="D6305" s="328">
        <f t="shared" si="721"/>
        <v>45624</v>
      </c>
      <c r="E6305" s="329">
        <f t="shared" si="723"/>
        <v>45624</v>
      </c>
      <c r="F6305" s="474" t="s">
        <v>1767</v>
      </c>
      <c r="G6305" s="330" t="s">
        <v>86</v>
      </c>
      <c r="H6305" s="332"/>
      <c r="I6305" s="332"/>
      <c r="J6305" s="342" t="s">
        <v>67</v>
      </c>
      <c r="K6305" s="343">
        <v>18204.349999999999</v>
      </c>
      <c r="L6305" s="343"/>
    </row>
    <row r="6306" spans="1:13" ht="11.25" customHeight="1" x14ac:dyDescent="0.2">
      <c r="A6306" s="344">
        <v>2024</v>
      </c>
      <c r="B6306" s="344">
        <v>11</v>
      </c>
      <c r="C6306" s="344">
        <v>28</v>
      </c>
      <c r="D6306" s="337">
        <f t="shared" si="721"/>
        <v>45624</v>
      </c>
      <c r="E6306" s="338">
        <f t="shared" si="723"/>
        <v>45624</v>
      </c>
      <c r="F6306" s="475"/>
      <c r="G6306" s="339" t="s">
        <v>86</v>
      </c>
      <c r="H6306" s="340"/>
      <c r="I6306" s="340"/>
      <c r="J6306" s="345" t="s">
        <v>174</v>
      </c>
      <c r="K6306" s="346"/>
      <c r="L6306" s="346">
        <f>K6305</f>
        <v>18204.349999999999</v>
      </c>
    </row>
    <row r="6307" spans="1:13" ht="11.25" customHeight="1" x14ac:dyDescent="0.2">
      <c r="A6307" s="358">
        <v>2024</v>
      </c>
      <c r="B6307" s="358">
        <v>11</v>
      </c>
      <c r="C6307" s="358">
        <v>28</v>
      </c>
      <c r="D6307" s="312">
        <f t="shared" si="721"/>
        <v>45624</v>
      </c>
      <c r="E6307" s="313">
        <f>DATE(A6307,B6307,C6307)</f>
        <v>45624</v>
      </c>
      <c r="F6307" s="482" t="s">
        <v>1627</v>
      </c>
      <c r="G6307" s="314" t="s">
        <v>86</v>
      </c>
      <c r="H6307" s="324"/>
      <c r="I6307" s="324"/>
      <c r="J6307" s="364" t="s">
        <v>1613</v>
      </c>
      <c r="K6307" s="365">
        <v>106820.00000000186</v>
      </c>
      <c r="L6307" s="365"/>
      <c r="M6307" s="156">
        <f>BS!$I$12</f>
        <v>0</v>
      </c>
    </row>
    <row r="6308" spans="1:13" ht="11.25" customHeight="1" x14ac:dyDescent="0.2">
      <c r="A6308" s="320">
        <v>2024</v>
      </c>
      <c r="B6308" s="320">
        <v>11</v>
      </c>
      <c r="C6308" s="320">
        <v>28</v>
      </c>
      <c r="D6308" s="323">
        <f t="shared" si="721"/>
        <v>45624</v>
      </c>
      <c r="E6308" s="321">
        <f t="shared" ref="E6308" si="724">DATE(A6308,B6308,C6308)</f>
        <v>45624</v>
      </c>
      <c r="F6308" s="483"/>
      <c r="G6308" s="322" t="s">
        <v>86</v>
      </c>
      <c r="H6308" s="325"/>
      <c r="I6308" s="325"/>
      <c r="J6308" s="366" t="s">
        <v>1621</v>
      </c>
      <c r="K6308" s="367"/>
      <c r="L6308" s="367">
        <f>K6307</f>
        <v>106820.00000000186</v>
      </c>
    </row>
    <row r="6309" spans="1:13" ht="11.25" customHeight="1" x14ac:dyDescent="0.2">
      <c r="A6309" s="358">
        <v>2024</v>
      </c>
      <c r="B6309" s="358">
        <v>11</v>
      </c>
      <c r="C6309" s="358">
        <v>28</v>
      </c>
      <c r="D6309" s="312">
        <f t="shared" si="721"/>
        <v>45624</v>
      </c>
      <c r="E6309" s="313">
        <f>DATE(A6309,B6309,C6309)</f>
        <v>45624</v>
      </c>
      <c r="F6309" s="482" t="s">
        <v>1713</v>
      </c>
      <c r="G6309" s="314" t="s">
        <v>86</v>
      </c>
      <c r="H6309" s="324"/>
      <c r="I6309" s="324"/>
      <c r="J6309" s="364" t="s">
        <v>1622</v>
      </c>
      <c r="K6309" s="365">
        <v>2468.0549999922514</v>
      </c>
      <c r="L6309" s="365"/>
      <c r="M6309" s="156">
        <f>BS!$I$15</f>
        <v>0</v>
      </c>
    </row>
    <row r="6310" spans="1:13" ht="11.25" customHeight="1" x14ac:dyDescent="0.2">
      <c r="A6310" s="320">
        <v>2024</v>
      </c>
      <c r="B6310" s="320">
        <v>11</v>
      </c>
      <c r="C6310" s="320">
        <v>28</v>
      </c>
      <c r="D6310" s="323">
        <f t="shared" si="721"/>
        <v>45624</v>
      </c>
      <c r="E6310" s="321">
        <f t="shared" ref="E6310:E6339" si="725">DATE(A6310,B6310,C6310)</f>
        <v>45624</v>
      </c>
      <c r="F6310" s="483"/>
      <c r="G6310" s="322" t="s">
        <v>86</v>
      </c>
      <c r="H6310" s="325"/>
      <c r="I6310" s="325"/>
      <c r="J6310" s="366" t="s">
        <v>1614</v>
      </c>
      <c r="K6310" s="367"/>
      <c r="L6310" s="367">
        <f>K6309</f>
        <v>2468.0549999922514</v>
      </c>
    </row>
    <row r="6311" spans="1:13" ht="11.25" customHeight="1" x14ac:dyDescent="0.2">
      <c r="A6311" s="236">
        <v>2024</v>
      </c>
      <c r="B6311" s="236">
        <v>11</v>
      </c>
      <c r="C6311" s="236">
        <v>28</v>
      </c>
      <c r="D6311" s="237">
        <f t="shared" si="721"/>
        <v>45624</v>
      </c>
      <c r="E6311" s="238">
        <f t="shared" si="725"/>
        <v>45624</v>
      </c>
      <c r="F6311" s="476" t="s">
        <v>1118</v>
      </c>
      <c r="G6311" s="239" t="s">
        <v>86</v>
      </c>
      <c r="H6311" s="239"/>
      <c r="I6311" s="240"/>
      <c r="J6311" s="241" t="s">
        <v>82</v>
      </c>
      <c r="K6311" s="242">
        <v>895487.19999998808</v>
      </c>
      <c r="L6311" s="242"/>
      <c r="M6311" s="156">
        <f>BS!$I$8</f>
        <v>0</v>
      </c>
    </row>
    <row r="6312" spans="1:13" ht="11.25" customHeight="1" x14ac:dyDescent="0.2">
      <c r="A6312" s="243">
        <v>2024</v>
      </c>
      <c r="B6312" s="243">
        <v>11</v>
      </c>
      <c r="C6312" s="243">
        <v>28</v>
      </c>
      <c r="D6312" s="248">
        <f t="shared" si="721"/>
        <v>45624</v>
      </c>
      <c r="E6312" s="249">
        <f t="shared" si="725"/>
        <v>45624</v>
      </c>
      <c r="F6312" s="477"/>
      <c r="G6312" s="244" t="s">
        <v>86</v>
      </c>
      <c r="H6312" s="244"/>
      <c r="I6312" s="245"/>
      <c r="J6312" s="246" t="s">
        <v>98</v>
      </c>
      <c r="K6312" s="247"/>
      <c r="L6312" s="247">
        <f>K6311</f>
        <v>895487.19999998808</v>
      </c>
    </row>
    <row r="6313" spans="1:13" ht="11.25" customHeight="1" x14ac:dyDescent="0.2">
      <c r="A6313" s="236">
        <v>2024</v>
      </c>
      <c r="B6313" s="236">
        <v>11</v>
      </c>
      <c r="C6313" s="236">
        <v>28</v>
      </c>
      <c r="D6313" s="237">
        <f t="shared" si="721"/>
        <v>45624</v>
      </c>
      <c r="E6313" s="238">
        <f t="shared" si="725"/>
        <v>45624</v>
      </c>
      <c r="F6313" s="476" t="s">
        <v>1120</v>
      </c>
      <c r="G6313" s="239" t="s">
        <v>86</v>
      </c>
      <c r="H6313" s="239"/>
      <c r="I6313" s="240"/>
      <c r="J6313" s="241" t="s">
        <v>87</v>
      </c>
      <c r="K6313" s="242">
        <v>2747.2527472527472</v>
      </c>
      <c r="L6313" s="242"/>
    </row>
    <row r="6314" spans="1:13" ht="11.25" customHeight="1" x14ac:dyDescent="0.2">
      <c r="A6314" s="243">
        <v>2024</v>
      </c>
      <c r="B6314" s="243">
        <v>11</v>
      </c>
      <c r="C6314" s="243">
        <v>28</v>
      </c>
      <c r="D6314" s="248">
        <f t="shared" si="721"/>
        <v>45624</v>
      </c>
      <c r="E6314" s="249">
        <f t="shared" si="725"/>
        <v>45624</v>
      </c>
      <c r="F6314" s="477"/>
      <c r="G6314" s="244" t="s">
        <v>86</v>
      </c>
      <c r="H6314" s="244"/>
      <c r="I6314" s="245"/>
      <c r="J6314" s="246" t="s">
        <v>64</v>
      </c>
      <c r="K6314" s="247"/>
      <c r="L6314" s="247">
        <v>2747.2527472527472</v>
      </c>
    </row>
    <row r="6315" spans="1:13" ht="11.25" customHeight="1" x14ac:dyDescent="0.2">
      <c r="A6315" s="236">
        <v>2024</v>
      </c>
      <c r="B6315" s="236">
        <v>11</v>
      </c>
      <c r="C6315" s="236">
        <v>28</v>
      </c>
      <c r="D6315" s="237">
        <f t="shared" si="721"/>
        <v>45624</v>
      </c>
      <c r="E6315" s="238">
        <f t="shared" si="725"/>
        <v>45624</v>
      </c>
      <c r="F6315" s="476" t="s">
        <v>1121</v>
      </c>
      <c r="G6315" s="239" t="s">
        <v>86</v>
      </c>
      <c r="H6315" s="239"/>
      <c r="I6315" s="240"/>
      <c r="J6315" s="241" t="s">
        <v>89</v>
      </c>
      <c r="K6315" s="242">
        <f>M6315</f>
        <v>68433.469331709028</v>
      </c>
      <c r="L6315" s="242"/>
      <c r="M6315" s="156">
        <v>68433.469331709028</v>
      </c>
    </row>
    <row r="6316" spans="1:13" ht="11.25" customHeight="1" x14ac:dyDescent="0.2">
      <c r="A6316" s="243">
        <v>2024</v>
      </c>
      <c r="B6316" s="243">
        <v>11</v>
      </c>
      <c r="C6316" s="243">
        <v>28</v>
      </c>
      <c r="D6316" s="248">
        <f t="shared" si="721"/>
        <v>45624</v>
      </c>
      <c r="E6316" s="249">
        <f t="shared" si="725"/>
        <v>45624</v>
      </c>
      <c r="F6316" s="477"/>
      <c r="G6316" s="244" t="s">
        <v>86</v>
      </c>
      <c r="H6316" s="244"/>
      <c r="I6316" s="245"/>
      <c r="J6316" s="246" t="s">
        <v>50</v>
      </c>
      <c r="K6316" s="247"/>
      <c r="L6316" s="247">
        <f>K6315</f>
        <v>68433.469331709028</v>
      </c>
      <c r="M6316" s="156">
        <v>3181.2888512008358</v>
      </c>
    </row>
    <row r="6317" spans="1:13" ht="11.25" customHeight="1" x14ac:dyDescent="0.2">
      <c r="A6317" s="236">
        <v>2024</v>
      </c>
      <c r="B6317" s="236">
        <v>11</v>
      </c>
      <c r="C6317" s="236">
        <v>28</v>
      </c>
      <c r="D6317" s="237">
        <f t="shared" si="721"/>
        <v>45624</v>
      </c>
      <c r="E6317" s="238">
        <f t="shared" si="725"/>
        <v>45624</v>
      </c>
      <c r="F6317" s="476" t="s">
        <v>1122</v>
      </c>
      <c r="G6317" s="239" t="s">
        <v>86</v>
      </c>
      <c r="H6317" s="239"/>
      <c r="I6317" s="240"/>
      <c r="J6317" s="241" t="s">
        <v>91</v>
      </c>
      <c r="K6317" s="242">
        <f>M6316</f>
        <v>3181.2888512008358</v>
      </c>
      <c r="L6317" s="242"/>
    </row>
    <row r="6318" spans="1:13" ht="11.25" customHeight="1" x14ac:dyDescent="0.2">
      <c r="A6318" s="243">
        <v>2024</v>
      </c>
      <c r="B6318" s="243">
        <v>11</v>
      </c>
      <c r="C6318" s="243">
        <v>28</v>
      </c>
      <c r="D6318" s="248">
        <f t="shared" si="721"/>
        <v>45624</v>
      </c>
      <c r="E6318" s="249">
        <f t="shared" si="725"/>
        <v>45624</v>
      </c>
      <c r="F6318" s="477"/>
      <c r="G6318" s="244" t="s">
        <v>86</v>
      </c>
      <c r="H6318" s="244"/>
      <c r="I6318" s="245"/>
      <c r="J6318" s="246" t="s">
        <v>51</v>
      </c>
      <c r="K6318" s="247"/>
      <c r="L6318" s="247">
        <f>K6317</f>
        <v>3181.2888512008358</v>
      </c>
    </row>
    <row r="6319" spans="1:13" ht="11.25" customHeight="1" x14ac:dyDescent="0.2">
      <c r="A6319" s="221">
        <v>2024</v>
      </c>
      <c r="B6319" s="221">
        <v>11</v>
      </c>
      <c r="C6319" s="221">
        <v>29</v>
      </c>
      <c r="D6319" s="231">
        <f t="shared" si="721"/>
        <v>45625</v>
      </c>
      <c r="E6319" s="233">
        <f t="shared" si="725"/>
        <v>45625</v>
      </c>
      <c r="F6319" s="478" t="s">
        <v>1829</v>
      </c>
      <c r="G6319" s="222" t="s">
        <v>86</v>
      </c>
      <c r="H6319" s="223"/>
      <c r="I6319" s="223"/>
      <c r="J6319" s="224" t="s">
        <v>88</v>
      </c>
      <c r="K6319" s="225">
        <v>2060500</v>
      </c>
      <c r="L6319" s="225"/>
    </row>
    <row r="6320" spans="1:13" ht="11.25" customHeight="1" x14ac:dyDescent="0.2">
      <c r="A6320" s="164">
        <v>2024</v>
      </c>
      <c r="B6320" s="164">
        <v>11</v>
      </c>
      <c r="C6320" s="164">
        <v>29</v>
      </c>
      <c r="D6320" s="156">
        <f t="shared" si="721"/>
        <v>45625</v>
      </c>
      <c r="E6320" s="235">
        <f t="shared" ref="E6320" si="726">DATE(A6320,B6320,C6320)</f>
        <v>45625</v>
      </c>
      <c r="F6320" s="480"/>
      <c r="G6320" s="208" t="s">
        <v>86</v>
      </c>
      <c r="J6320" s="165" t="s">
        <v>131</v>
      </c>
      <c r="K6320" s="205"/>
      <c r="L6320" s="205">
        <v>60500</v>
      </c>
    </row>
    <row r="6321" spans="1:12" ht="11.25" customHeight="1" x14ac:dyDescent="0.2">
      <c r="A6321" s="226">
        <v>2024</v>
      </c>
      <c r="B6321" s="226">
        <v>11</v>
      </c>
      <c r="C6321" s="226">
        <v>29</v>
      </c>
      <c r="D6321" s="232">
        <f t="shared" si="721"/>
        <v>45625</v>
      </c>
      <c r="E6321" s="234">
        <f t="shared" si="725"/>
        <v>45625</v>
      </c>
      <c r="F6321" s="479"/>
      <c r="G6321" s="227" t="s">
        <v>86</v>
      </c>
      <c r="H6321" s="228"/>
      <c r="I6321" s="228"/>
      <c r="J6321" s="229" t="s">
        <v>88</v>
      </c>
      <c r="K6321" s="230"/>
      <c r="L6321" s="230">
        <v>2000000</v>
      </c>
    </row>
    <row r="6322" spans="1:12" ht="11.25" customHeight="1" x14ac:dyDescent="0.2">
      <c r="A6322" s="221">
        <v>2024</v>
      </c>
      <c r="B6322" s="221">
        <v>12</v>
      </c>
      <c r="C6322" s="231">
        <v>1</v>
      </c>
      <c r="D6322" s="231">
        <f t="shared" si="721"/>
        <v>45627</v>
      </c>
      <c r="E6322" s="233">
        <f t="shared" si="725"/>
        <v>45627</v>
      </c>
      <c r="F6322" s="478" t="s">
        <v>1814</v>
      </c>
      <c r="G6322" s="222" t="s">
        <v>1111</v>
      </c>
      <c r="H6322" s="223"/>
      <c r="I6322" s="223"/>
      <c r="J6322" s="224" t="s">
        <v>961</v>
      </c>
      <c r="K6322" s="225">
        <v>1182160.06</v>
      </c>
      <c r="L6322" s="225"/>
    </row>
    <row r="6323" spans="1:12" ht="11.25" customHeight="1" x14ac:dyDescent="0.2">
      <c r="A6323" s="226">
        <v>2024</v>
      </c>
      <c r="B6323" s="226">
        <v>12</v>
      </c>
      <c r="C6323" s="232">
        <v>1</v>
      </c>
      <c r="D6323" s="232">
        <f t="shared" si="721"/>
        <v>45627</v>
      </c>
      <c r="E6323" s="234">
        <f t="shared" si="725"/>
        <v>45627</v>
      </c>
      <c r="F6323" s="479"/>
      <c r="G6323" s="227" t="s">
        <v>1111</v>
      </c>
      <c r="H6323" s="228"/>
      <c r="I6323" s="228"/>
      <c r="J6323" s="229" t="s">
        <v>55</v>
      </c>
      <c r="K6323" s="230"/>
      <c r="L6323" s="230">
        <v>1182160.06</v>
      </c>
    </row>
    <row r="6324" spans="1:12" ht="11.25" customHeight="1" x14ac:dyDescent="0.2">
      <c r="A6324" s="221">
        <v>2024</v>
      </c>
      <c r="B6324" s="221">
        <v>12</v>
      </c>
      <c r="C6324" s="231">
        <v>1</v>
      </c>
      <c r="D6324" s="231">
        <f t="shared" si="721"/>
        <v>45627</v>
      </c>
      <c r="E6324" s="233">
        <f t="shared" si="725"/>
        <v>45627</v>
      </c>
      <c r="F6324" s="478" t="s">
        <v>1670</v>
      </c>
      <c r="G6324" s="222" t="s">
        <v>1111</v>
      </c>
      <c r="H6324" s="223"/>
      <c r="I6324" s="223"/>
      <c r="J6324" s="224" t="s">
        <v>63</v>
      </c>
      <c r="K6324" s="225">
        <v>100</v>
      </c>
      <c r="L6324" s="225"/>
    </row>
    <row r="6325" spans="1:12" ht="11.25" customHeight="1" x14ac:dyDescent="0.2">
      <c r="A6325" s="226">
        <v>2024</v>
      </c>
      <c r="B6325" s="226">
        <v>12</v>
      </c>
      <c r="C6325" s="232">
        <v>1</v>
      </c>
      <c r="D6325" s="232">
        <f t="shared" si="721"/>
        <v>45627</v>
      </c>
      <c r="E6325" s="234">
        <f t="shared" si="725"/>
        <v>45627</v>
      </c>
      <c r="F6325" s="479"/>
      <c r="G6325" s="227" t="s">
        <v>1111</v>
      </c>
      <c r="H6325" s="228"/>
      <c r="I6325" s="228"/>
      <c r="J6325" s="229" t="s">
        <v>55</v>
      </c>
      <c r="K6325" s="230"/>
      <c r="L6325" s="230">
        <v>100</v>
      </c>
    </row>
    <row r="6326" spans="1:12" ht="11.25" customHeight="1" x14ac:dyDescent="0.2">
      <c r="A6326" s="221">
        <v>2024</v>
      </c>
      <c r="B6326" s="221">
        <v>12</v>
      </c>
      <c r="C6326" s="221">
        <v>2</v>
      </c>
      <c r="D6326" s="231">
        <f t="shared" si="721"/>
        <v>45628</v>
      </c>
      <c r="E6326" s="233">
        <f t="shared" si="725"/>
        <v>45628</v>
      </c>
      <c r="F6326" s="478" t="s">
        <v>1815</v>
      </c>
      <c r="G6326" s="222" t="s">
        <v>1111</v>
      </c>
      <c r="H6326" s="222"/>
      <c r="I6326" s="223"/>
      <c r="J6326" s="224" t="s">
        <v>55</v>
      </c>
      <c r="K6326" s="357">
        <v>15000000</v>
      </c>
      <c r="L6326" s="225"/>
    </row>
    <row r="6327" spans="1:12" ht="11.25" customHeight="1" x14ac:dyDescent="0.2">
      <c r="A6327" s="164">
        <v>2024</v>
      </c>
      <c r="B6327" s="164">
        <v>12</v>
      </c>
      <c r="C6327" s="164">
        <v>2</v>
      </c>
      <c r="D6327" s="156">
        <f t="shared" si="721"/>
        <v>45628</v>
      </c>
      <c r="E6327" s="235">
        <f t="shared" si="725"/>
        <v>45628</v>
      </c>
      <c r="F6327" s="480"/>
      <c r="G6327" s="208" t="s">
        <v>1111</v>
      </c>
      <c r="H6327" s="208"/>
      <c r="J6327" s="165" t="s">
        <v>1617</v>
      </c>
      <c r="K6327" s="263"/>
      <c r="L6327" s="205">
        <v>420075</v>
      </c>
    </row>
    <row r="6328" spans="1:12" ht="11.25" customHeight="1" x14ac:dyDescent="0.2">
      <c r="A6328" s="226">
        <v>2024</v>
      </c>
      <c r="B6328" s="226">
        <v>12</v>
      </c>
      <c r="C6328" s="226">
        <v>2</v>
      </c>
      <c r="D6328" s="232">
        <f t="shared" si="721"/>
        <v>45628</v>
      </c>
      <c r="E6328" s="234">
        <f t="shared" si="725"/>
        <v>45628</v>
      </c>
      <c r="F6328" s="479"/>
      <c r="G6328" s="227" t="s">
        <v>1111</v>
      </c>
      <c r="H6328" s="227"/>
      <c r="I6328" s="228"/>
      <c r="J6328" s="229" t="s">
        <v>1465</v>
      </c>
      <c r="K6328" s="294"/>
      <c r="L6328" s="230">
        <v>14579925</v>
      </c>
    </row>
    <row r="6329" spans="1:12" ht="11.25" customHeight="1" x14ac:dyDescent="0.2">
      <c r="A6329" s="221">
        <v>2024</v>
      </c>
      <c r="B6329" s="221">
        <v>12</v>
      </c>
      <c r="C6329" s="221">
        <v>5</v>
      </c>
      <c r="D6329" s="231">
        <f t="shared" si="721"/>
        <v>45631</v>
      </c>
      <c r="E6329" s="233">
        <f t="shared" si="725"/>
        <v>45631</v>
      </c>
      <c r="F6329" s="478" t="s">
        <v>1115</v>
      </c>
      <c r="G6329" s="222" t="s">
        <v>1111</v>
      </c>
      <c r="H6329" s="223"/>
      <c r="I6329" s="223" t="s">
        <v>1816</v>
      </c>
      <c r="J6329" s="224" t="s">
        <v>14</v>
      </c>
      <c r="K6329" s="167">
        <v>7400</v>
      </c>
      <c r="L6329" s="225"/>
    </row>
    <row r="6330" spans="1:12" ht="11.25" customHeight="1" x14ac:dyDescent="0.2">
      <c r="A6330" s="164">
        <v>2024</v>
      </c>
      <c r="B6330" s="164">
        <v>12</v>
      </c>
      <c r="C6330" s="164">
        <v>5</v>
      </c>
      <c r="D6330" s="156">
        <f t="shared" si="721"/>
        <v>45631</v>
      </c>
      <c r="E6330" s="235">
        <f t="shared" si="725"/>
        <v>45631</v>
      </c>
      <c r="F6330" s="480"/>
      <c r="G6330" s="208" t="s">
        <v>1111</v>
      </c>
      <c r="I6330" s="206" t="s">
        <v>1816</v>
      </c>
      <c r="J6330" s="165" t="s">
        <v>1112</v>
      </c>
      <c r="K6330" s="205">
        <v>475.81999999999971</v>
      </c>
      <c r="L6330" s="156"/>
    </row>
    <row r="6331" spans="1:12" ht="11.25" customHeight="1" x14ac:dyDescent="0.2">
      <c r="A6331" s="226">
        <v>2024</v>
      </c>
      <c r="B6331" s="226">
        <v>12</v>
      </c>
      <c r="C6331" s="226">
        <v>5</v>
      </c>
      <c r="D6331" s="232">
        <f t="shared" si="721"/>
        <v>45631</v>
      </c>
      <c r="E6331" s="234">
        <f t="shared" si="725"/>
        <v>45631</v>
      </c>
      <c r="F6331" s="479"/>
      <c r="G6331" s="227" t="s">
        <v>1111</v>
      </c>
      <c r="H6331" s="228"/>
      <c r="I6331" s="228" t="s">
        <v>1816</v>
      </c>
      <c r="J6331" s="229" t="s">
        <v>55</v>
      </c>
      <c r="K6331" s="230"/>
      <c r="L6331" s="230">
        <v>7875.82</v>
      </c>
    </row>
    <row r="6332" spans="1:12" ht="11.25" customHeight="1" x14ac:dyDescent="0.2">
      <c r="A6332" s="280">
        <v>2024</v>
      </c>
      <c r="B6332" s="280">
        <v>12</v>
      </c>
      <c r="C6332" s="280">
        <v>5</v>
      </c>
      <c r="D6332" s="281">
        <f t="shared" si="721"/>
        <v>45631</v>
      </c>
      <c r="E6332" s="282">
        <f t="shared" si="725"/>
        <v>45631</v>
      </c>
      <c r="F6332" s="472" t="s">
        <v>1744</v>
      </c>
      <c r="G6332" s="283" t="s">
        <v>86</v>
      </c>
      <c r="H6332" s="284"/>
      <c r="I6332" s="284"/>
      <c r="J6332" s="285" t="s">
        <v>131</v>
      </c>
      <c r="K6332" s="286">
        <v>19358.333333333332</v>
      </c>
      <c r="L6332" s="286"/>
    </row>
    <row r="6333" spans="1:12" ht="11.25" customHeight="1" x14ac:dyDescent="0.2">
      <c r="A6333" s="287">
        <v>2024</v>
      </c>
      <c r="B6333" s="287">
        <v>12</v>
      </c>
      <c r="C6333" s="287">
        <v>5</v>
      </c>
      <c r="D6333" s="288">
        <f t="shared" si="721"/>
        <v>45631</v>
      </c>
      <c r="E6333" s="289">
        <f t="shared" si="725"/>
        <v>45631</v>
      </c>
      <c r="F6333" s="473"/>
      <c r="G6333" s="290" t="s">
        <v>86</v>
      </c>
      <c r="H6333" s="291"/>
      <c r="I6333" s="291"/>
      <c r="J6333" s="292" t="s">
        <v>174</v>
      </c>
      <c r="K6333" s="293"/>
      <c r="L6333" s="293">
        <v>19358.333333333332</v>
      </c>
    </row>
    <row r="6334" spans="1:12" ht="11.25" customHeight="1" x14ac:dyDescent="0.2">
      <c r="A6334" s="280">
        <v>2024</v>
      </c>
      <c r="B6334" s="280">
        <v>12</v>
      </c>
      <c r="C6334" s="280">
        <v>5</v>
      </c>
      <c r="D6334" s="281">
        <f t="shared" si="721"/>
        <v>45631</v>
      </c>
      <c r="E6334" s="282">
        <f t="shared" si="725"/>
        <v>45631</v>
      </c>
      <c r="F6334" s="472" t="s">
        <v>1584</v>
      </c>
      <c r="G6334" s="283" t="s">
        <v>86</v>
      </c>
      <c r="H6334" s="284"/>
      <c r="I6334" s="284"/>
      <c r="J6334" s="285" t="s">
        <v>131</v>
      </c>
      <c r="K6334" s="286">
        <v>8846.1538461538457</v>
      </c>
      <c r="L6334" s="286"/>
    </row>
    <row r="6335" spans="1:12" ht="11.25" customHeight="1" x14ac:dyDescent="0.2">
      <c r="A6335" s="287">
        <v>2024</v>
      </c>
      <c r="B6335" s="287">
        <v>12</v>
      </c>
      <c r="C6335" s="287">
        <v>5</v>
      </c>
      <c r="D6335" s="288">
        <f t="shared" si="721"/>
        <v>45631</v>
      </c>
      <c r="E6335" s="289">
        <f t="shared" si="725"/>
        <v>45631</v>
      </c>
      <c r="F6335" s="473"/>
      <c r="G6335" s="290" t="s">
        <v>86</v>
      </c>
      <c r="H6335" s="291"/>
      <c r="I6335" s="291"/>
      <c r="J6335" s="292" t="s">
        <v>174</v>
      </c>
      <c r="K6335" s="293"/>
      <c r="L6335" s="293">
        <v>8846.1538461538457</v>
      </c>
    </row>
    <row r="6336" spans="1:12" ht="11.25" customHeight="1" x14ac:dyDescent="0.2">
      <c r="A6336" s="280">
        <v>2024</v>
      </c>
      <c r="B6336" s="280">
        <v>12</v>
      </c>
      <c r="C6336" s="280">
        <v>5</v>
      </c>
      <c r="D6336" s="281">
        <f t="shared" si="721"/>
        <v>45631</v>
      </c>
      <c r="E6336" s="282">
        <f t="shared" si="725"/>
        <v>45631</v>
      </c>
      <c r="F6336" s="472" t="s">
        <v>1830</v>
      </c>
      <c r="G6336" s="283" t="s">
        <v>86</v>
      </c>
      <c r="H6336" s="284"/>
      <c r="I6336" s="284"/>
      <c r="J6336" s="285" t="s">
        <v>131</v>
      </c>
      <c r="K6336" s="286">
        <v>4794.625</v>
      </c>
      <c r="L6336" s="286"/>
    </row>
    <row r="6337" spans="1:13" ht="11.25" customHeight="1" x14ac:dyDescent="0.2">
      <c r="A6337" s="287">
        <v>2024</v>
      </c>
      <c r="B6337" s="287">
        <v>12</v>
      </c>
      <c r="C6337" s="287">
        <v>5</v>
      </c>
      <c r="D6337" s="288">
        <f t="shared" si="721"/>
        <v>45631</v>
      </c>
      <c r="E6337" s="289">
        <f t="shared" si="725"/>
        <v>45631</v>
      </c>
      <c r="F6337" s="473"/>
      <c r="G6337" s="290" t="s">
        <v>86</v>
      </c>
      <c r="H6337" s="291"/>
      <c r="I6337" s="291"/>
      <c r="J6337" s="292" t="s">
        <v>174</v>
      </c>
      <c r="K6337" s="293"/>
      <c r="L6337" s="293">
        <v>4794.625</v>
      </c>
    </row>
    <row r="6338" spans="1:13" ht="11.25" customHeight="1" x14ac:dyDescent="0.2">
      <c r="A6338" s="341">
        <v>2024</v>
      </c>
      <c r="B6338" s="341">
        <v>12</v>
      </c>
      <c r="C6338" s="341">
        <v>5</v>
      </c>
      <c r="D6338" s="328">
        <f t="shared" si="721"/>
        <v>45631</v>
      </c>
      <c r="E6338" s="329">
        <f t="shared" si="725"/>
        <v>45631</v>
      </c>
      <c r="F6338" s="474" t="s">
        <v>1767</v>
      </c>
      <c r="G6338" s="330" t="s">
        <v>86</v>
      </c>
      <c r="H6338" s="332"/>
      <c r="I6338" s="332"/>
      <c r="J6338" s="342" t="s">
        <v>67</v>
      </c>
      <c r="K6338" s="343">
        <v>40519.339999999997</v>
      </c>
      <c r="L6338" s="343"/>
    </row>
    <row r="6339" spans="1:13" ht="11.25" customHeight="1" x14ac:dyDescent="0.2">
      <c r="A6339" s="344">
        <v>2024</v>
      </c>
      <c r="B6339" s="344">
        <v>12</v>
      </c>
      <c r="C6339" s="344">
        <v>5</v>
      </c>
      <c r="D6339" s="337">
        <f t="shared" si="721"/>
        <v>45631</v>
      </c>
      <c r="E6339" s="338">
        <f t="shared" si="725"/>
        <v>45631</v>
      </c>
      <c r="F6339" s="475"/>
      <c r="G6339" s="339" t="s">
        <v>86</v>
      </c>
      <c r="H6339" s="340"/>
      <c r="I6339" s="340"/>
      <c r="J6339" s="345" t="s">
        <v>174</v>
      </c>
      <c r="K6339" s="346"/>
      <c r="L6339" s="346">
        <f>K6338</f>
        <v>40519.339999999997</v>
      </c>
    </row>
    <row r="6340" spans="1:13" ht="11.25" customHeight="1" x14ac:dyDescent="0.2">
      <c r="A6340" s="358">
        <v>2024</v>
      </c>
      <c r="B6340" s="358">
        <v>12</v>
      </c>
      <c r="C6340" s="358">
        <v>5</v>
      </c>
      <c r="D6340" s="312">
        <f t="shared" si="721"/>
        <v>45631</v>
      </c>
      <c r="E6340" s="313">
        <f>DATE(A6340,B6340,C6340)</f>
        <v>45631</v>
      </c>
      <c r="F6340" s="482" t="s">
        <v>1627</v>
      </c>
      <c r="G6340" s="314" t="s">
        <v>86</v>
      </c>
      <c r="H6340" s="324"/>
      <c r="I6340" s="324"/>
      <c r="J6340" s="364" t="s">
        <v>1613</v>
      </c>
      <c r="K6340" s="365">
        <v>411944.99999999814</v>
      </c>
      <c r="L6340" s="365"/>
      <c r="M6340" s="156">
        <f>BS!$I$12</f>
        <v>0</v>
      </c>
    </row>
    <row r="6341" spans="1:13" ht="11.25" customHeight="1" x14ac:dyDescent="0.2">
      <c r="A6341" s="320">
        <v>2024</v>
      </c>
      <c r="B6341" s="320">
        <v>12</v>
      </c>
      <c r="C6341" s="320">
        <v>5</v>
      </c>
      <c r="D6341" s="323">
        <f t="shared" si="721"/>
        <v>45631</v>
      </c>
      <c r="E6341" s="321">
        <f t="shared" ref="E6341" si="727">DATE(A6341,B6341,C6341)</f>
        <v>45631</v>
      </c>
      <c r="F6341" s="483"/>
      <c r="G6341" s="322" t="s">
        <v>86</v>
      </c>
      <c r="H6341" s="325"/>
      <c r="I6341" s="325"/>
      <c r="J6341" s="366" t="s">
        <v>1621</v>
      </c>
      <c r="K6341" s="367"/>
      <c r="L6341" s="367">
        <f>K6340</f>
        <v>411944.99999999814</v>
      </c>
    </row>
    <row r="6342" spans="1:13" ht="11.25" customHeight="1" x14ac:dyDescent="0.2">
      <c r="A6342" s="358">
        <v>2024</v>
      </c>
      <c r="B6342" s="358">
        <v>12</v>
      </c>
      <c r="C6342" s="358">
        <v>5</v>
      </c>
      <c r="D6342" s="312">
        <f t="shared" si="721"/>
        <v>45631</v>
      </c>
      <c r="E6342" s="313">
        <f>DATE(A6342,B6342,C6342)</f>
        <v>45631</v>
      </c>
      <c r="F6342" s="482" t="s">
        <v>1713</v>
      </c>
      <c r="G6342" s="314" t="s">
        <v>86</v>
      </c>
      <c r="H6342" s="324"/>
      <c r="I6342" s="324"/>
      <c r="J6342" s="364" t="s">
        <v>1622</v>
      </c>
      <c r="K6342" s="365">
        <v>47540.755000002682</v>
      </c>
      <c r="L6342" s="365"/>
      <c r="M6342" s="156">
        <f>BS!$I$15</f>
        <v>0</v>
      </c>
    </row>
    <row r="6343" spans="1:13" ht="11.25" customHeight="1" x14ac:dyDescent="0.2">
      <c r="A6343" s="320">
        <v>2024</v>
      </c>
      <c r="B6343" s="320">
        <v>12</v>
      </c>
      <c r="C6343" s="320">
        <v>5</v>
      </c>
      <c r="D6343" s="323">
        <f t="shared" si="721"/>
        <v>45631</v>
      </c>
      <c r="E6343" s="321">
        <f t="shared" ref="E6343:E6371" si="728">DATE(A6343,B6343,C6343)</f>
        <v>45631</v>
      </c>
      <c r="F6343" s="483"/>
      <c r="G6343" s="322" t="s">
        <v>86</v>
      </c>
      <c r="H6343" s="325"/>
      <c r="I6343" s="325"/>
      <c r="J6343" s="366" t="s">
        <v>1614</v>
      </c>
      <c r="K6343" s="367"/>
      <c r="L6343" s="367">
        <f>K6342</f>
        <v>47540.755000002682</v>
      </c>
    </row>
    <row r="6344" spans="1:13" ht="11.25" customHeight="1" x14ac:dyDescent="0.2">
      <c r="A6344" s="236">
        <v>2024</v>
      </c>
      <c r="B6344" s="236">
        <v>12</v>
      </c>
      <c r="C6344" s="236">
        <v>5</v>
      </c>
      <c r="D6344" s="237">
        <f t="shared" si="721"/>
        <v>45631</v>
      </c>
      <c r="E6344" s="238">
        <f t="shared" si="728"/>
        <v>45631</v>
      </c>
      <c r="F6344" s="476" t="s">
        <v>1118</v>
      </c>
      <c r="G6344" s="239" t="s">
        <v>86</v>
      </c>
      <c r="H6344" s="239"/>
      <c r="I6344" s="240"/>
      <c r="J6344" s="241" t="s">
        <v>82</v>
      </c>
      <c r="K6344" s="242">
        <v>147397.70000000298</v>
      </c>
      <c r="L6344" s="242"/>
      <c r="M6344" s="156">
        <f>BS!$I$8</f>
        <v>0</v>
      </c>
    </row>
    <row r="6345" spans="1:13" ht="11.25" customHeight="1" x14ac:dyDescent="0.2">
      <c r="A6345" s="243">
        <v>2024</v>
      </c>
      <c r="B6345" s="243">
        <v>12</v>
      </c>
      <c r="C6345" s="243">
        <v>5</v>
      </c>
      <c r="D6345" s="248">
        <f t="shared" ref="D6345:D6408" si="729">DATE(A6345,B6345,C6345)</f>
        <v>45631</v>
      </c>
      <c r="E6345" s="249">
        <f t="shared" si="728"/>
        <v>45631</v>
      </c>
      <c r="F6345" s="477"/>
      <c r="G6345" s="244" t="s">
        <v>86</v>
      </c>
      <c r="H6345" s="244"/>
      <c r="I6345" s="245"/>
      <c r="J6345" s="246" t="s">
        <v>98</v>
      </c>
      <c r="K6345" s="247"/>
      <c r="L6345" s="247">
        <f>K6344</f>
        <v>147397.70000000298</v>
      </c>
    </row>
    <row r="6346" spans="1:13" ht="11.25" customHeight="1" x14ac:dyDescent="0.2">
      <c r="A6346" s="236">
        <v>2024</v>
      </c>
      <c r="B6346" s="236">
        <v>12</v>
      </c>
      <c r="C6346" s="236">
        <v>5</v>
      </c>
      <c r="D6346" s="237">
        <f t="shared" si="729"/>
        <v>45631</v>
      </c>
      <c r="E6346" s="238">
        <f t="shared" si="728"/>
        <v>45631</v>
      </c>
      <c r="F6346" s="476" t="s">
        <v>1120</v>
      </c>
      <c r="G6346" s="239" t="s">
        <v>86</v>
      </c>
      <c r="H6346" s="239"/>
      <c r="I6346" s="240"/>
      <c r="J6346" s="241" t="s">
        <v>87</v>
      </c>
      <c r="K6346" s="242">
        <v>2747.2527472527472</v>
      </c>
      <c r="L6346" s="242"/>
    </row>
    <row r="6347" spans="1:13" ht="11.25" customHeight="1" x14ac:dyDescent="0.2">
      <c r="A6347" s="243">
        <v>2024</v>
      </c>
      <c r="B6347" s="243">
        <v>12</v>
      </c>
      <c r="C6347" s="243">
        <v>5</v>
      </c>
      <c r="D6347" s="248">
        <f t="shared" si="729"/>
        <v>45631</v>
      </c>
      <c r="E6347" s="249">
        <f t="shared" si="728"/>
        <v>45631</v>
      </c>
      <c r="F6347" s="477"/>
      <c r="G6347" s="244" t="s">
        <v>86</v>
      </c>
      <c r="H6347" s="244"/>
      <c r="I6347" s="245"/>
      <c r="J6347" s="246" t="s">
        <v>64</v>
      </c>
      <c r="K6347" s="247"/>
      <c r="L6347" s="247">
        <v>2747.2527472527472</v>
      </c>
    </row>
    <row r="6348" spans="1:13" ht="11.25" customHeight="1" x14ac:dyDescent="0.2">
      <c r="A6348" s="236">
        <v>2024</v>
      </c>
      <c r="B6348" s="236">
        <v>12</v>
      </c>
      <c r="C6348" s="236">
        <v>5</v>
      </c>
      <c r="D6348" s="237">
        <f t="shared" si="729"/>
        <v>45631</v>
      </c>
      <c r="E6348" s="238">
        <f t="shared" si="728"/>
        <v>45631</v>
      </c>
      <c r="F6348" s="476" t="s">
        <v>1121</v>
      </c>
      <c r="G6348" s="239" t="s">
        <v>86</v>
      </c>
      <c r="H6348" s="239"/>
      <c r="I6348" s="240"/>
      <c r="J6348" s="241" t="s">
        <v>89</v>
      </c>
      <c r="K6348" s="242">
        <f>M6348</f>
        <v>68395.728115325634</v>
      </c>
      <c r="L6348" s="242"/>
      <c r="M6348" s="156">
        <v>68395.728115325634</v>
      </c>
    </row>
    <row r="6349" spans="1:13" ht="11.25" customHeight="1" x14ac:dyDescent="0.2">
      <c r="A6349" s="243">
        <v>2024</v>
      </c>
      <c r="B6349" s="243">
        <v>12</v>
      </c>
      <c r="C6349" s="243">
        <v>5</v>
      </c>
      <c r="D6349" s="248">
        <f t="shared" si="729"/>
        <v>45631</v>
      </c>
      <c r="E6349" s="249">
        <f t="shared" si="728"/>
        <v>45631</v>
      </c>
      <c r="F6349" s="477"/>
      <c r="G6349" s="244" t="s">
        <v>86</v>
      </c>
      <c r="H6349" s="244"/>
      <c r="I6349" s="245"/>
      <c r="J6349" s="246" t="s">
        <v>50</v>
      </c>
      <c r="K6349" s="247"/>
      <c r="L6349" s="247">
        <f>K6348</f>
        <v>68395.728115325634</v>
      </c>
      <c r="M6349" s="156">
        <v>3179.4017903816662</v>
      </c>
    </row>
    <row r="6350" spans="1:13" ht="11.25" customHeight="1" x14ac:dyDescent="0.2">
      <c r="A6350" s="236">
        <v>2024</v>
      </c>
      <c r="B6350" s="236">
        <v>12</v>
      </c>
      <c r="C6350" s="236">
        <v>5</v>
      </c>
      <c r="D6350" s="237">
        <f t="shared" si="729"/>
        <v>45631</v>
      </c>
      <c r="E6350" s="238">
        <f t="shared" si="728"/>
        <v>45631</v>
      </c>
      <c r="F6350" s="476" t="s">
        <v>1122</v>
      </c>
      <c r="G6350" s="239" t="s">
        <v>86</v>
      </c>
      <c r="H6350" s="239"/>
      <c r="I6350" s="240"/>
      <c r="J6350" s="241" t="s">
        <v>91</v>
      </c>
      <c r="K6350" s="242">
        <f>M6349</f>
        <v>3179.4017903816662</v>
      </c>
      <c r="L6350" s="242"/>
    </row>
    <row r="6351" spans="1:13" ht="11.25" customHeight="1" x14ac:dyDescent="0.2">
      <c r="A6351" s="243">
        <v>2024</v>
      </c>
      <c r="B6351" s="243">
        <v>12</v>
      </c>
      <c r="C6351" s="243">
        <v>5</v>
      </c>
      <c r="D6351" s="248">
        <f t="shared" si="729"/>
        <v>45631</v>
      </c>
      <c r="E6351" s="249">
        <f t="shared" si="728"/>
        <v>45631</v>
      </c>
      <c r="F6351" s="477"/>
      <c r="G6351" s="244" t="s">
        <v>86</v>
      </c>
      <c r="H6351" s="244"/>
      <c r="I6351" s="245"/>
      <c r="J6351" s="246" t="s">
        <v>51</v>
      </c>
      <c r="K6351" s="247"/>
      <c r="L6351" s="247">
        <f>K6350</f>
        <v>3179.4017903816662</v>
      </c>
    </row>
    <row r="6352" spans="1:13" ht="11.25" customHeight="1" x14ac:dyDescent="0.2">
      <c r="A6352" s="221">
        <v>2024</v>
      </c>
      <c r="B6352" s="221">
        <v>12</v>
      </c>
      <c r="C6352" s="221">
        <v>9</v>
      </c>
      <c r="D6352" s="231">
        <f t="shared" si="729"/>
        <v>45635</v>
      </c>
      <c r="E6352" s="233">
        <f t="shared" si="728"/>
        <v>45635</v>
      </c>
      <c r="F6352" s="478" t="s">
        <v>1115</v>
      </c>
      <c r="G6352" s="222" t="s">
        <v>1111</v>
      </c>
      <c r="H6352" s="223"/>
      <c r="I6352" s="223" t="s">
        <v>477</v>
      </c>
      <c r="J6352" s="224" t="s">
        <v>14</v>
      </c>
      <c r="K6352" s="167">
        <v>52020</v>
      </c>
      <c r="L6352" s="225"/>
    </row>
    <row r="6353" spans="1:12" ht="11.25" customHeight="1" x14ac:dyDescent="0.2">
      <c r="A6353" s="164">
        <v>2024</v>
      </c>
      <c r="B6353" s="164">
        <v>12</v>
      </c>
      <c r="C6353" s="164">
        <v>9</v>
      </c>
      <c r="D6353" s="156">
        <f t="shared" si="729"/>
        <v>45635</v>
      </c>
      <c r="E6353" s="235">
        <f t="shared" si="728"/>
        <v>45635</v>
      </c>
      <c r="F6353" s="480"/>
      <c r="G6353" s="208" t="s">
        <v>1111</v>
      </c>
      <c r="I6353" s="206" t="s">
        <v>477</v>
      </c>
      <c r="J6353" s="165" t="s">
        <v>1112</v>
      </c>
      <c r="K6353" s="205">
        <v>3313.6699999999983</v>
      </c>
      <c r="L6353" s="156"/>
    </row>
    <row r="6354" spans="1:12" ht="11.25" customHeight="1" x14ac:dyDescent="0.2">
      <c r="A6354" s="226">
        <v>2024</v>
      </c>
      <c r="B6354" s="226">
        <v>12</v>
      </c>
      <c r="C6354" s="226">
        <v>9</v>
      </c>
      <c r="D6354" s="232">
        <f t="shared" si="729"/>
        <v>45635</v>
      </c>
      <c r="E6354" s="234">
        <f t="shared" si="728"/>
        <v>45635</v>
      </c>
      <c r="F6354" s="479"/>
      <c r="G6354" s="227" t="s">
        <v>1111</v>
      </c>
      <c r="H6354" s="228"/>
      <c r="I6354" s="228" t="s">
        <v>477</v>
      </c>
      <c r="J6354" s="229" t="s">
        <v>55</v>
      </c>
      <c r="K6354" s="230"/>
      <c r="L6354" s="230">
        <v>55333.67</v>
      </c>
    </row>
    <row r="6355" spans="1:12" ht="11.25" customHeight="1" x14ac:dyDescent="0.2">
      <c r="A6355" s="164">
        <v>2024</v>
      </c>
      <c r="B6355" s="164">
        <v>12</v>
      </c>
      <c r="C6355" s="164">
        <v>10</v>
      </c>
      <c r="D6355" s="156">
        <f t="shared" si="729"/>
        <v>45636</v>
      </c>
      <c r="E6355" s="235">
        <f t="shared" si="728"/>
        <v>45636</v>
      </c>
      <c r="F6355" s="478" t="s">
        <v>1808</v>
      </c>
      <c r="G6355" s="208" t="s">
        <v>1111</v>
      </c>
      <c r="J6355" s="165" t="s">
        <v>478</v>
      </c>
      <c r="K6355" s="205">
        <v>106500</v>
      </c>
      <c r="L6355" s="205"/>
    </row>
    <row r="6356" spans="1:12" ht="11.25" customHeight="1" x14ac:dyDescent="0.2">
      <c r="A6356" s="164">
        <v>2024</v>
      </c>
      <c r="B6356" s="164">
        <v>12</v>
      </c>
      <c r="C6356" s="164">
        <v>10</v>
      </c>
      <c r="D6356" s="156">
        <f t="shared" si="729"/>
        <v>45636</v>
      </c>
      <c r="E6356" s="235">
        <f t="shared" si="728"/>
        <v>45636</v>
      </c>
      <c r="F6356" s="480"/>
      <c r="G6356" s="208" t="s">
        <v>1111</v>
      </c>
      <c r="J6356" s="165" t="s">
        <v>1707</v>
      </c>
      <c r="K6356" s="205">
        <v>150</v>
      </c>
      <c r="L6356" s="205"/>
    </row>
    <row r="6357" spans="1:12" ht="11.25" customHeight="1" x14ac:dyDescent="0.2">
      <c r="A6357" s="164">
        <v>2024</v>
      </c>
      <c r="B6357" s="164">
        <v>12</v>
      </c>
      <c r="C6357" s="164">
        <v>10</v>
      </c>
      <c r="D6357" s="156">
        <f t="shared" si="729"/>
        <v>45636</v>
      </c>
      <c r="E6357" s="235">
        <f t="shared" ref="E6357" si="730">DATE(A6357,B6357,C6357)</f>
        <v>45636</v>
      </c>
      <c r="F6357" s="480"/>
      <c r="G6357" s="208" t="s">
        <v>1111</v>
      </c>
      <c r="J6357" s="165" t="s">
        <v>478</v>
      </c>
      <c r="K6357" s="205">
        <v>199.91</v>
      </c>
      <c r="L6357" s="205"/>
    </row>
    <row r="6358" spans="1:12" ht="11.25" customHeight="1" x14ac:dyDescent="0.2">
      <c r="A6358" s="226">
        <v>2024</v>
      </c>
      <c r="B6358" s="226">
        <v>12</v>
      </c>
      <c r="C6358" s="226">
        <v>10</v>
      </c>
      <c r="D6358" s="232">
        <f t="shared" si="729"/>
        <v>45636</v>
      </c>
      <c r="E6358" s="234">
        <f t="shared" si="728"/>
        <v>45636</v>
      </c>
      <c r="F6358" s="479"/>
      <c r="G6358" s="227" t="s">
        <v>1111</v>
      </c>
      <c r="H6358" s="228"/>
      <c r="I6358" s="228"/>
      <c r="J6358" s="229" t="s">
        <v>55</v>
      </c>
      <c r="K6358" s="230"/>
      <c r="L6358" s="230">
        <v>106849.91</v>
      </c>
    </row>
    <row r="6359" spans="1:12" ht="11.25" customHeight="1" x14ac:dyDescent="0.2">
      <c r="A6359" s="221">
        <v>2024</v>
      </c>
      <c r="B6359" s="221">
        <v>12</v>
      </c>
      <c r="C6359" s="221">
        <v>12</v>
      </c>
      <c r="D6359" s="231">
        <f t="shared" si="729"/>
        <v>45638</v>
      </c>
      <c r="E6359" s="233">
        <f>DATE(A6359,B6359,C6359)</f>
        <v>45638</v>
      </c>
      <c r="F6359" s="478" t="s">
        <v>1178</v>
      </c>
      <c r="G6359" s="222" t="s">
        <v>1111</v>
      </c>
      <c r="H6359" s="223"/>
      <c r="I6359" s="223"/>
      <c r="J6359" s="224" t="s">
        <v>189</v>
      </c>
      <c r="K6359" s="225">
        <v>5750</v>
      </c>
      <c r="L6359" s="225"/>
    </row>
    <row r="6360" spans="1:12" ht="11.25" customHeight="1" x14ac:dyDescent="0.2">
      <c r="A6360" s="164">
        <v>2024</v>
      </c>
      <c r="B6360" s="164">
        <v>12</v>
      </c>
      <c r="C6360" s="164">
        <v>12</v>
      </c>
      <c r="D6360" s="156">
        <f t="shared" si="729"/>
        <v>45638</v>
      </c>
      <c r="E6360" s="235">
        <f>DATE(A6360,B6360,C6360)</f>
        <v>45638</v>
      </c>
      <c r="F6360" s="480"/>
      <c r="G6360" s="208" t="s">
        <v>1111</v>
      </c>
      <c r="J6360" s="165" t="s">
        <v>1708</v>
      </c>
      <c r="K6360" s="205"/>
      <c r="L6360" s="205">
        <v>250</v>
      </c>
    </row>
    <row r="6361" spans="1:12" ht="11.25" customHeight="1" x14ac:dyDescent="0.2">
      <c r="A6361" s="226">
        <v>2024</v>
      </c>
      <c r="B6361" s="226">
        <v>12</v>
      </c>
      <c r="C6361" s="226">
        <v>12</v>
      </c>
      <c r="D6361" s="232">
        <f t="shared" si="729"/>
        <v>45638</v>
      </c>
      <c r="E6361" s="234">
        <f>DATE(A6361,B6361,C6361)</f>
        <v>45638</v>
      </c>
      <c r="F6361" s="479"/>
      <c r="G6361" s="227" t="s">
        <v>1111</v>
      </c>
      <c r="H6361" s="228"/>
      <c r="I6361" s="228"/>
      <c r="J6361" s="229" t="s">
        <v>55</v>
      </c>
      <c r="K6361" s="230"/>
      <c r="L6361" s="230">
        <v>5500</v>
      </c>
    </row>
    <row r="6362" spans="1:12" ht="11.25" customHeight="1" x14ac:dyDescent="0.2">
      <c r="A6362" s="221">
        <v>2024</v>
      </c>
      <c r="B6362" s="221">
        <v>12</v>
      </c>
      <c r="C6362" s="221">
        <v>12</v>
      </c>
      <c r="D6362" s="231">
        <f t="shared" si="729"/>
        <v>45638</v>
      </c>
      <c r="E6362" s="233">
        <f t="shared" ref="E6362:E6363" si="731">DATE(A6362,B6362,C6362)</f>
        <v>45638</v>
      </c>
      <c r="F6362" s="478" t="s">
        <v>1634</v>
      </c>
      <c r="G6362" s="222" t="s">
        <v>1111</v>
      </c>
      <c r="H6362" s="223"/>
      <c r="I6362" s="223"/>
      <c r="J6362" s="224" t="s">
        <v>192</v>
      </c>
      <c r="K6362" s="225">
        <v>60738.400000000001</v>
      </c>
      <c r="L6362" s="225"/>
    </row>
    <row r="6363" spans="1:12" ht="11.25" customHeight="1" x14ac:dyDescent="0.2">
      <c r="A6363" s="226">
        <v>2024</v>
      </c>
      <c r="B6363" s="226">
        <v>12</v>
      </c>
      <c r="C6363" s="226">
        <v>12</v>
      </c>
      <c r="D6363" s="232">
        <f t="shared" si="729"/>
        <v>45638</v>
      </c>
      <c r="E6363" s="234">
        <f t="shared" si="731"/>
        <v>45638</v>
      </c>
      <c r="F6363" s="479"/>
      <c r="G6363" s="227" t="s">
        <v>1111</v>
      </c>
      <c r="H6363" s="228"/>
      <c r="I6363" s="228"/>
      <c r="J6363" s="229" t="s">
        <v>191</v>
      </c>
      <c r="K6363" s="230"/>
      <c r="L6363" s="230">
        <v>60738.400000000001</v>
      </c>
    </row>
    <row r="6364" spans="1:12" ht="11.25" customHeight="1" x14ac:dyDescent="0.2">
      <c r="A6364" s="280">
        <v>2024</v>
      </c>
      <c r="B6364" s="280">
        <v>12</v>
      </c>
      <c r="C6364" s="280">
        <v>12</v>
      </c>
      <c r="D6364" s="281">
        <f t="shared" si="729"/>
        <v>45638</v>
      </c>
      <c r="E6364" s="282">
        <f t="shared" si="728"/>
        <v>45638</v>
      </c>
      <c r="F6364" s="472" t="s">
        <v>1744</v>
      </c>
      <c r="G6364" s="283" t="s">
        <v>86</v>
      </c>
      <c r="H6364" s="284"/>
      <c r="I6364" s="284"/>
      <c r="J6364" s="285" t="s">
        <v>131</v>
      </c>
      <c r="K6364" s="286">
        <v>19358.333333333332</v>
      </c>
      <c r="L6364" s="286"/>
    </row>
    <row r="6365" spans="1:12" ht="11.25" customHeight="1" x14ac:dyDescent="0.2">
      <c r="A6365" s="287">
        <v>2024</v>
      </c>
      <c r="B6365" s="287">
        <v>12</v>
      </c>
      <c r="C6365" s="287">
        <v>12</v>
      </c>
      <c r="D6365" s="288">
        <f t="shared" si="729"/>
        <v>45638</v>
      </c>
      <c r="E6365" s="289">
        <f t="shared" si="728"/>
        <v>45638</v>
      </c>
      <c r="F6365" s="473"/>
      <c r="G6365" s="290" t="s">
        <v>86</v>
      </c>
      <c r="H6365" s="291"/>
      <c r="I6365" s="291"/>
      <c r="J6365" s="292" t="s">
        <v>174</v>
      </c>
      <c r="K6365" s="293"/>
      <c r="L6365" s="293">
        <v>19358.333333333332</v>
      </c>
    </row>
    <row r="6366" spans="1:12" ht="11.25" customHeight="1" x14ac:dyDescent="0.2">
      <c r="A6366" s="280">
        <v>2024</v>
      </c>
      <c r="B6366" s="280">
        <v>12</v>
      </c>
      <c r="C6366" s="280">
        <v>12</v>
      </c>
      <c r="D6366" s="281">
        <f t="shared" si="729"/>
        <v>45638</v>
      </c>
      <c r="E6366" s="282">
        <f t="shared" si="728"/>
        <v>45638</v>
      </c>
      <c r="F6366" s="472" t="s">
        <v>1584</v>
      </c>
      <c r="G6366" s="283" t="s">
        <v>86</v>
      </c>
      <c r="H6366" s="284"/>
      <c r="I6366" s="284"/>
      <c r="J6366" s="285" t="s">
        <v>131</v>
      </c>
      <c r="K6366" s="286">
        <v>8846.1538461538457</v>
      </c>
      <c r="L6366" s="286"/>
    </row>
    <row r="6367" spans="1:12" ht="11.25" customHeight="1" x14ac:dyDescent="0.2">
      <c r="A6367" s="287">
        <v>2024</v>
      </c>
      <c r="B6367" s="287">
        <v>12</v>
      </c>
      <c r="C6367" s="287">
        <v>12</v>
      </c>
      <c r="D6367" s="288">
        <f t="shared" si="729"/>
        <v>45638</v>
      </c>
      <c r="E6367" s="289">
        <f t="shared" si="728"/>
        <v>45638</v>
      </c>
      <c r="F6367" s="473"/>
      <c r="G6367" s="290" t="s">
        <v>86</v>
      </c>
      <c r="H6367" s="291"/>
      <c r="I6367" s="291"/>
      <c r="J6367" s="292" t="s">
        <v>174</v>
      </c>
      <c r="K6367" s="293"/>
      <c r="L6367" s="293">
        <v>8846.1538461538457</v>
      </c>
    </row>
    <row r="6368" spans="1:12" ht="11.25" customHeight="1" x14ac:dyDescent="0.2">
      <c r="A6368" s="280">
        <v>2024</v>
      </c>
      <c r="B6368" s="280">
        <v>12</v>
      </c>
      <c r="C6368" s="280">
        <v>12</v>
      </c>
      <c r="D6368" s="281">
        <f t="shared" si="729"/>
        <v>45638</v>
      </c>
      <c r="E6368" s="282">
        <f t="shared" si="728"/>
        <v>45638</v>
      </c>
      <c r="F6368" s="472" t="s">
        <v>1830</v>
      </c>
      <c r="G6368" s="283" t="s">
        <v>86</v>
      </c>
      <c r="H6368" s="284"/>
      <c r="I6368" s="284"/>
      <c r="J6368" s="285" t="s">
        <v>131</v>
      </c>
      <c r="K6368" s="286">
        <v>4794.625</v>
      </c>
      <c r="L6368" s="286"/>
    </row>
    <row r="6369" spans="1:13" ht="11.25" customHeight="1" x14ac:dyDescent="0.2">
      <c r="A6369" s="287">
        <v>2024</v>
      </c>
      <c r="B6369" s="287">
        <v>12</v>
      </c>
      <c r="C6369" s="287">
        <v>12</v>
      </c>
      <c r="D6369" s="288">
        <f t="shared" si="729"/>
        <v>45638</v>
      </c>
      <c r="E6369" s="289">
        <f t="shared" si="728"/>
        <v>45638</v>
      </c>
      <c r="F6369" s="473"/>
      <c r="G6369" s="290" t="s">
        <v>86</v>
      </c>
      <c r="H6369" s="291"/>
      <c r="I6369" s="291"/>
      <c r="J6369" s="292" t="s">
        <v>174</v>
      </c>
      <c r="K6369" s="293"/>
      <c r="L6369" s="293">
        <v>4794.625</v>
      </c>
    </row>
    <row r="6370" spans="1:13" ht="11.25" customHeight="1" x14ac:dyDescent="0.2">
      <c r="A6370" s="341">
        <v>2024</v>
      </c>
      <c r="B6370" s="341">
        <v>12</v>
      </c>
      <c r="C6370" s="341">
        <v>12</v>
      </c>
      <c r="D6370" s="328">
        <f t="shared" si="729"/>
        <v>45638</v>
      </c>
      <c r="E6370" s="329">
        <f t="shared" si="728"/>
        <v>45638</v>
      </c>
      <c r="F6370" s="474" t="s">
        <v>1767</v>
      </c>
      <c r="G6370" s="330" t="s">
        <v>86</v>
      </c>
      <c r="H6370" s="332"/>
      <c r="I6370" s="332"/>
      <c r="J6370" s="342" t="s">
        <v>67</v>
      </c>
      <c r="K6370" s="343">
        <v>43452.72</v>
      </c>
      <c r="L6370" s="343"/>
    </row>
    <row r="6371" spans="1:13" ht="11.25" customHeight="1" x14ac:dyDescent="0.2">
      <c r="A6371" s="344">
        <v>2024</v>
      </c>
      <c r="B6371" s="344">
        <v>12</v>
      </c>
      <c r="C6371" s="344">
        <v>12</v>
      </c>
      <c r="D6371" s="337">
        <f t="shared" si="729"/>
        <v>45638</v>
      </c>
      <c r="E6371" s="338">
        <f t="shared" si="728"/>
        <v>45638</v>
      </c>
      <c r="F6371" s="475"/>
      <c r="G6371" s="339" t="s">
        <v>86</v>
      </c>
      <c r="H6371" s="340"/>
      <c r="I6371" s="340"/>
      <c r="J6371" s="345" t="s">
        <v>174</v>
      </c>
      <c r="K6371" s="346"/>
      <c r="L6371" s="346">
        <f>K6370</f>
        <v>43452.72</v>
      </c>
    </row>
    <row r="6372" spans="1:13" ht="11.25" customHeight="1" x14ac:dyDescent="0.2">
      <c r="A6372" s="358">
        <v>2024</v>
      </c>
      <c r="B6372" s="358">
        <v>12</v>
      </c>
      <c r="C6372" s="358">
        <v>12</v>
      </c>
      <c r="D6372" s="312">
        <f t="shared" si="729"/>
        <v>45638</v>
      </c>
      <c r="E6372" s="313">
        <f>DATE(A6372,B6372,C6372)</f>
        <v>45638</v>
      </c>
      <c r="F6372" s="482" t="s">
        <v>1627</v>
      </c>
      <c r="G6372" s="314" t="s">
        <v>86</v>
      </c>
      <c r="H6372" s="324"/>
      <c r="I6372" s="324"/>
      <c r="J6372" s="364" t="s">
        <v>1613</v>
      </c>
      <c r="K6372" s="365">
        <v>0</v>
      </c>
      <c r="L6372" s="365"/>
      <c r="M6372" s="156">
        <f>BS!$I$12</f>
        <v>0</v>
      </c>
    </row>
    <row r="6373" spans="1:13" ht="11.25" customHeight="1" x14ac:dyDescent="0.2">
      <c r="A6373" s="320">
        <v>2024</v>
      </c>
      <c r="B6373" s="320">
        <v>12</v>
      </c>
      <c r="C6373" s="320">
        <v>12</v>
      </c>
      <c r="D6373" s="323">
        <f t="shared" si="729"/>
        <v>45638</v>
      </c>
      <c r="E6373" s="321">
        <f t="shared" ref="E6373" si="732">DATE(A6373,B6373,C6373)</f>
        <v>45638</v>
      </c>
      <c r="F6373" s="483"/>
      <c r="G6373" s="322" t="s">
        <v>86</v>
      </c>
      <c r="H6373" s="325"/>
      <c r="I6373" s="325"/>
      <c r="J6373" s="366" t="s">
        <v>1621</v>
      </c>
      <c r="K6373" s="367"/>
      <c r="L6373" s="367">
        <f>K6372</f>
        <v>0</v>
      </c>
    </row>
    <row r="6374" spans="1:13" ht="11.25" customHeight="1" x14ac:dyDescent="0.2">
      <c r="A6374" s="358">
        <v>2024</v>
      </c>
      <c r="B6374" s="358">
        <v>12</v>
      </c>
      <c r="C6374" s="358">
        <v>12</v>
      </c>
      <c r="D6374" s="312">
        <f t="shared" si="729"/>
        <v>45638</v>
      </c>
      <c r="E6374" s="313">
        <f>DATE(A6374,B6374,C6374)</f>
        <v>45638</v>
      </c>
      <c r="F6374" s="482" t="s">
        <v>1713</v>
      </c>
      <c r="G6374" s="314" t="s">
        <v>86</v>
      </c>
      <c r="H6374" s="324"/>
      <c r="I6374" s="324"/>
      <c r="J6374" s="364" t="s">
        <v>1622</v>
      </c>
      <c r="K6374" s="365">
        <v>60010.030000001192</v>
      </c>
      <c r="L6374" s="365"/>
      <c r="M6374" s="156">
        <f>BS!$I$15</f>
        <v>0</v>
      </c>
    </row>
    <row r="6375" spans="1:13" ht="11.25" customHeight="1" x14ac:dyDescent="0.2">
      <c r="A6375" s="320">
        <v>2024</v>
      </c>
      <c r="B6375" s="320">
        <v>12</v>
      </c>
      <c r="C6375" s="320">
        <v>12</v>
      </c>
      <c r="D6375" s="323">
        <f t="shared" si="729"/>
        <v>45638</v>
      </c>
      <c r="E6375" s="321">
        <f t="shared" ref="E6375:E6409" si="733">DATE(A6375,B6375,C6375)</f>
        <v>45638</v>
      </c>
      <c r="F6375" s="483"/>
      <c r="G6375" s="322" t="s">
        <v>86</v>
      </c>
      <c r="H6375" s="325"/>
      <c r="I6375" s="325"/>
      <c r="J6375" s="366" t="s">
        <v>1614</v>
      </c>
      <c r="K6375" s="367"/>
      <c r="L6375" s="367">
        <f>K6374</f>
        <v>60010.030000001192</v>
      </c>
    </row>
    <row r="6376" spans="1:13" ht="11.25" customHeight="1" x14ac:dyDescent="0.2">
      <c r="A6376" s="236">
        <v>2024</v>
      </c>
      <c r="B6376" s="236">
        <v>12</v>
      </c>
      <c r="C6376" s="236">
        <v>12</v>
      </c>
      <c r="D6376" s="237">
        <f t="shared" si="729"/>
        <v>45638</v>
      </c>
      <c r="E6376" s="238">
        <f t="shared" si="733"/>
        <v>45638</v>
      </c>
      <c r="F6376" s="476" t="s">
        <v>1118</v>
      </c>
      <c r="G6376" s="239" t="s">
        <v>86</v>
      </c>
      <c r="H6376" s="239"/>
      <c r="I6376" s="240"/>
      <c r="J6376" s="241" t="s">
        <v>82</v>
      </c>
      <c r="K6376" s="242">
        <v>583650.10000000894</v>
      </c>
      <c r="L6376" s="242"/>
      <c r="M6376" s="156">
        <f>BS!$I$8</f>
        <v>0</v>
      </c>
    </row>
    <row r="6377" spans="1:13" ht="11.25" customHeight="1" x14ac:dyDescent="0.2">
      <c r="A6377" s="243">
        <v>2024</v>
      </c>
      <c r="B6377" s="243">
        <v>12</v>
      </c>
      <c r="C6377" s="243">
        <v>12</v>
      </c>
      <c r="D6377" s="248">
        <f t="shared" si="729"/>
        <v>45638</v>
      </c>
      <c r="E6377" s="249">
        <f t="shared" si="733"/>
        <v>45638</v>
      </c>
      <c r="F6377" s="477"/>
      <c r="G6377" s="244" t="s">
        <v>86</v>
      </c>
      <c r="H6377" s="244"/>
      <c r="I6377" s="245"/>
      <c r="J6377" s="246" t="s">
        <v>98</v>
      </c>
      <c r="K6377" s="247"/>
      <c r="L6377" s="247">
        <f>K6376</f>
        <v>583650.10000000894</v>
      </c>
    </row>
    <row r="6378" spans="1:13" ht="11.25" customHeight="1" x14ac:dyDescent="0.2">
      <c r="A6378" s="236">
        <v>2024</v>
      </c>
      <c r="B6378" s="236">
        <v>12</v>
      </c>
      <c r="C6378" s="236">
        <v>12</v>
      </c>
      <c r="D6378" s="237">
        <f t="shared" si="729"/>
        <v>45638</v>
      </c>
      <c r="E6378" s="238">
        <f t="shared" si="733"/>
        <v>45638</v>
      </c>
      <c r="F6378" s="476" t="s">
        <v>1120</v>
      </c>
      <c r="G6378" s="239" t="s">
        <v>86</v>
      </c>
      <c r="H6378" s="239"/>
      <c r="I6378" s="240"/>
      <c r="J6378" s="241" t="s">
        <v>87</v>
      </c>
      <c r="K6378" s="242">
        <v>2747.2527472527472</v>
      </c>
      <c r="L6378" s="242"/>
    </row>
    <row r="6379" spans="1:13" ht="11.25" customHeight="1" x14ac:dyDescent="0.2">
      <c r="A6379" s="243">
        <v>2024</v>
      </c>
      <c r="B6379" s="243">
        <v>12</v>
      </c>
      <c r="C6379" s="243">
        <v>12</v>
      </c>
      <c r="D6379" s="248">
        <f t="shared" si="729"/>
        <v>45638</v>
      </c>
      <c r="E6379" s="249">
        <f t="shared" si="733"/>
        <v>45638</v>
      </c>
      <c r="F6379" s="477"/>
      <c r="G6379" s="244" t="s">
        <v>86</v>
      </c>
      <c r="H6379" s="244"/>
      <c r="I6379" s="245"/>
      <c r="J6379" s="246" t="s">
        <v>64</v>
      </c>
      <c r="K6379" s="247"/>
      <c r="L6379" s="247">
        <v>2747.2527472527472</v>
      </c>
    </row>
    <row r="6380" spans="1:13" ht="11.25" customHeight="1" x14ac:dyDescent="0.2">
      <c r="A6380" s="236">
        <v>2024</v>
      </c>
      <c r="B6380" s="236">
        <v>12</v>
      </c>
      <c r="C6380" s="236">
        <v>12</v>
      </c>
      <c r="D6380" s="237">
        <f t="shared" si="729"/>
        <v>45638</v>
      </c>
      <c r="E6380" s="238">
        <f t="shared" si="733"/>
        <v>45638</v>
      </c>
      <c r="F6380" s="476" t="s">
        <v>1121</v>
      </c>
      <c r="G6380" s="239" t="s">
        <v>86</v>
      </c>
      <c r="H6380" s="239"/>
      <c r="I6380" s="240"/>
      <c r="J6380" s="241" t="s">
        <v>89</v>
      </c>
      <c r="K6380" s="242">
        <f>M6380</f>
        <v>68171.599242510405</v>
      </c>
      <c r="L6380" s="242"/>
      <c r="M6380" s="156">
        <v>68171.599242510405</v>
      </c>
    </row>
    <row r="6381" spans="1:13" ht="11.25" customHeight="1" x14ac:dyDescent="0.2">
      <c r="A6381" s="243">
        <v>2024</v>
      </c>
      <c r="B6381" s="243">
        <v>12</v>
      </c>
      <c r="C6381" s="243">
        <v>12</v>
      </c>
      <c r="D6381" s="248">
        <f t="shared" si="729"/>
        <v>45638</v>
      </c>
      <c r="E6381" s="249">
        <f t="shared" si="733"/>
        <v>45638</v>
      </c>
      <c r="F6381" s="477"/>
      <c r="G6381" s="244" t="s">
        <v>86</v>
      </c>
      <c r="H6381" s="244"/>
      <c r="I6381" s="245"/>
      <c r="J6381" s="246" t="s">
        <v>50</v>
      </c>
      <c r="K6381" s="247"/>
      <c r="L6381" s="247">
        <f>K6380</f>
        <v>68171.599242510405</v>
      </c>
      <c r="M6381" s="156">
        <v>3168.1953467409044</v>
      </c>
    </row>
    <row r="6382" spans="1:13" ht="11.25" customHeight="1" x14ac:dyDescent="0.2">
      <c r="A6382" s="236">
        <v>2024</v>
      </c>
      <c r="B6382" s="236">
        <v>12</v>
      </c>
      <c r="C6382" s="236">
        <v>12</v>
      </c>
      <c r="D6382" s="237">
        <f t="shared" si="729"/>
        <v>45638</v>
      </c>
      <c r="E6382" s="238">
        <f t="shared" si="733"/>
        <v>45638</v>
      </c>
      <c r="F6382" s="476" t="s">
        <v>1122</v>
      </c>
      <c r="G6382" s="239" t="s">
        <v>86</v>
      </c>
      <c r="H6382" s="239"/>
      <c r="I6382" s="240"/>
      <c r="J6382" s="241" t="s">
        <v>91</v>
      </c>
      <c r="K6382" s="242">
        <f>M6381</f>
        <v>3168.1953467409044</v>
      </c>
      <c r="L6382" s="242"/>
    </row>
    <row r="6383" spans="1:13" ht="11.25" customHeight="1" x14ac:dyDescent="0.2">
      <c r="A6383" s="243">
        <v>2024</v>
      </c>
      <c r="B6383" s="243">
        <v>12</v>
      </c>
      <c r="C6383" s="243">
        <v>12</v>
      </c>
      <c r="D6383" s="248">
        <f t="shared" si="729"/>
        <v>45638</v>
      </c>
      <c r="E6383" s="249">
        <f t="shared" si="733"/>
        <v>45638</v>
      </c>
      <c r="F6383" s="477"/>
      <c r="G6383" s="244" t="s">
        <v>86</v>
      </c>
      <c r="H6383" s="244"/>
      <c r="I6383" s="245"/>
      <c r="J6383" s="246" t="s">
        <v>51</v>
      </c>
      <c r="K6383" s="247"/>
      <c r="L6383" s="247">
        <f>K6382</f>
        <v>3168.1953467409044</v>
      </c>
    </row>
    <row r="6384" spans="1:13" ht="11.25" customHeight="1" x14ac:dyDescent="0.2">
      <c r="A6384" s="221">
        <v>2024</v>
      </c>
      <c r="B6384" s="221">
        <v>12</v>
      </c>
      <c r="C6384" s="221">
        <v>15</v>
      </c>
      <c r="D6384" s="231">
        <f t="shared" si="729"/>
        <v>45641</v>
      </c>
      <c r="E6384" s="233">
        <f t="shared" si="733"/>
        <v>45641</v>
      </c>
      <c r="F6384" s="478" t="s">
        <v>1824</v>
      </c>
      <c r="G6384" s="222" t="s">
        <v>86</v>
      </c>
      <c r="H6384" s="223"/>
      <c r="I6384" s="223"/>
      <c r="J6384" s="224" t="s">
        <v>55</v>
      </c>
      <c r="K6384" s="225">
        <v>272205</v>
      </c>
      <c r="L6384" s="225"/>
    </row>
    <row r="6385" spans="1:13" ht="11.25" customHeight="1" x14ac:dyDescent="0.2">
      <c r="A6385" s="164">
        <v>2024</v>
      </c>
      <c r="B6385" s="164">
        <v>12</v>
      </c>
      <c r="C6385" s="164">
        <v>15</v>
      </c>
      <c r="D6385" s="156">
        <f t="shared" si="729"/>
        <v>45641</v>
      </c>
      <c r="E6385" s="235">
        <f t="shared" si="733"/>
        <v>45641</v>
      </c>
      <c r="F6385" s="480"/>
      <c r="G6385" s="208" t="s">
        <v>86</v>
      </c>
      <c r="J6385" s="165" t="s">
        <v>192</v>
      </c>
      <c r="K6385" s="230"/>
      <c r="L6385" s="230">
        <v>272205</v>
      </c>
    </row>
    <row r="6386" spans="1:13" ht="11.25" customHeight="1" x14ac:dyDescent="0.2">
      <c r="A6386" s="221">
        <v>2024</v>
      </c>
      <c r="B6386" s="221">
        <v>12</v>
      </c>
      <c r="C6386" s="221">
        <v>15</v>
      </c>
      <c r="D6386" s="231">
        <f t="shared" si="729"/>
        <v>45641</v>
      </c>
      <c r="E6386" s="233">
        <f t="shared" si="733"/>
        <v>45641</v>
      </c>
      <c r="F6386" s="478" t="s">
        <v>1820</v>
      </c>
      <c r="G6386" s="222" t="s">
        <v>86</v>
      </c>
      <c r="H6386" s="223"/>
      <c r="I6386" s="223"/>
      <c r="J6386" s="224" t="s">
        <v>55</v>
      </c>
      <c r="K6386" s="225">
        <v>543375</v>
      </c>
      <c r="L6386" s="225"/>
    </row>
    <row r="6387" spans="1:13" ht="11.25" customHeight="1" x14ac:dyDescent="0.2">
      <c r="A6387" s="226">
        <v>2024</v>
      </c>
      <c r="B6387" s="164">
        <v>12</v>
      </c>
      <c r="C6387" s="164">
        <v>15</v>
      </c>
      <c r="D6387" s="232">
        <f t="shared" si="729"/>
        <v>45641</v>
      </c>
      <c r="E6387" s="234">
        <f t="shared" si="733"/>
        <v>45641</v>
      </c>
      <c r="F6387" s="479"/>
      <c r="G6387" s="227" t="s">
        <v>86</v>
      </c>
      <c r="H6387" s="228"/>
      <c r="I6387" s="228"/>
      <c r="J6387" s="229" t="s">
        <v>174</v>
      </c>
      <c r="K6387" s="230"/>
      <c r="L6387" s="230">
        <v>543375</v>
      </c>
    </row>
    <row r="6388" spans="1:13" ht="11.25" customHeight="1" x14ac:dyDescent="0.2">
      <c r="A6388" s="221">
        <v>2024</v>
      </c>
      <c r="B6388" s="221">
        <v>12</v>
      </c>
      <c r="C6388" s="221">
        <v>17</v>
      </c>
      <c r="D6388" s="231">
        <f t="shared" si="729"/>
        <v>45643</v>
      </c>
      <c r="E6388" s="233">
        <f t="shared" si="733"/>
        <v>45643</v>
      </c>
      <c r="F6388" s="478" t="s">
        <v>1823</v>
      </c>
      <c r="G6388" s="222" t="s">
        <v>86</v>
      </c>
      <c r="H6388" s="223"/>
      <c r="I6388" s="223"/>
      <c r="J6388" s="224" t="s">
        <v>55</v>
      </c>
      <c r="K6388" s="225">
        <v>125175</v>
      </c>
      <c r="L6388" s="225"/>
    </row>
    <row r="6389" spans="1:13" ht="11.25" customHeight="1" x14ac:dyDescent="0.2">
      <c r="A6389" s="164">
        <v>2024</v>
      </c>
      <c r="B6389" s="164">
        <v>12</v>
      </c>
      <c r="C6389" s="164">
        <v>17</v>
      </c>
      <c r="D6389" s="156">
        <f t="shared" si="729"/>
        <v>45643</v>
      </c>
      <c r="E6389" s="235">
        <f t="shared" si="733"/>
        <v>45643</v>
      </c>
      <c r="F6389" s="480"/>
      <c r="G6389" s="208" t="s">
        <v>86</v>
      </c>
      <c r="J6389" s="165" t="s">
        <v>192</v>
      </c>
      <c r="K6389" s="230"/>
      <c r="L6389" s="230">
        <v>125175</v>
      </c>
    </row>
    <row r="6390" spans="1:13" ht="11.25" customHeight="1" x14ac:dyDescent="0.2">
      <c r="A6390" s="221">
        <v>2024</v>
      </c>
      <c r="B6390" s="221">
        <v>12</v>
      </c>
      <c r="C6390" s="221">
        <v>17</v>
      </c>
      <c r="D6390" s="231">
        <f t="shared" si="729"/>
        <v>45643</v>
      </c>
      <c r="E6390" s="233">
        <f t="shared" si="733"/>
        <v>45643</v>
      </c>
      <c r="F6390" s="478" t="s">
        <v>1196</v>
      </c>
      <c r="G6390" s="222" t="s">
        <v>1111</v>
      </c>
      <c r="H6390" s="223"/>
      <c r="I6390" s="223"/>
      <c r="J6390" s="224" t="s">
        <v>95</v>
      </c>
      <c r="K6390" s="225">
        <v>1999.07</v>
      </c>
      <c r="L6390" s="225"/>
      <c r="M6390" s="166"/>
    </row>
    <row r="6391" spans="1:13" ht="11.25" customHeight="1" x14ac:dyDescent="0.2">
      <c r="A6391" s="164">
        <v>2024</v>
      </c>
      <c r="B6391" s="164">
        <v>12</v>
      </c>
      <c r="C6391" s="164">
        <v>17</v>
      </c>
      <c r="D6391" s="156">
        <f t="shared" si="729"/>
        <v>45643</v>
      </c>
      <c r="E6391" s="235">
        <f t="shared" si="733"/>
        <v>45643</v>
      </c>
      <c r="F6391" s="480"/>
      <c r="G6391" s="208" t="s">
        <v>1111</v>
      </c>
      <c r="J6391" s="165" t="s">
        <v>478</v>
      </c>
      <c r="K6391" s="205"/>
      <c r="L6391" s="205">
        <v>199.91</v>
      </c>
    </row>
    <row r="6392" spans="1:13" ht="11.25" customHeight="1" x14ac:dyDescent="0.2">
      <c r="A6392" s="226">
        <v>2024</v>
      </c>
      <c r="B6392" s="226">
        <v>12</v>
      </c>
      <c r="C6392" s="226">
        <v>17</v>
      </c>
      <c r="D6392" s="232">
        <f t="shared" si="729"/>
        <v>45643</v>
      </c>
      <c r="E6392" s="234">
        <f t="shared" si="733"/>
        <v>45643</v>
      </c>
      <c r="F6392" s="479"/>
      <c r="G6392" s="227" t="s">
        <v>1111</v>
      </c>
      <c r="H6392" s="228"/>
      <c r="I6392" s="228"/>
      <c r="J6392" s="229" t="s">
        <v>55</v>
      </c>
      <c r="K6392" s="230"/>
      <c r="L6392" s="230">
        <v>1799.16</v>
      </c>
    </row>
    <row r="6393" spans="1:13" ht="11.25" customHeight="1" x14ac:dyDescent="0.2">
      <c r="A6393" s="221">
        <v>2024</v>
      </c>
      <c r="B6393" s="221">
        <v>12</v>
      </c>
      <c r="C6393" s="221">
        <v>17</v>
      </c>
      <c r="D6393" s="231">
        <f t="shared" si="729"/>
        <v>45643</v>
      </c>
      <c r="E6393" s="233">
        <f t="shared" si="733"/>
        <v>45643</v>
      </c>
      <c r="F6393" s="478" t="s">
        <v>802</v>
      </c>
      <c r="G6393" s="222" t="s">
        <v>1111</v>
      </c>
      <c r="H6393" s="223"/>
      <c r="I6393" s="223" t="s">
        <v>320</v>
      </c>
      <c r="J6393" s="224" t="s">
        <v>55</v>
      </c>
      <c r="K6393" s="167">
        <v>1800000</v>
      </c>
      <c r="L6393" s="225"/>
    </row>
    <row r="6394" spans="1:13" ht="11.25" customHeight="1" x14ac:dyDescent="0.2">
      <c r="A6394" s="164">
        <v>2024</v>
      </c>
      <c r="B6394" s="164">
        <v>12</v>
      </c>
      <c r="C6394" s="164">
        <v>17</v>
      </c>
      <c r="D6394" s="156">
        <f t="shared" si="729"/>
        <v>45643</v>
      </c>
      <c r="E6394" s="235">
        <f t="shared" si="733"/>
        <v>45643</v>
      </c>
      <c r="F6394" s="480"/>
      <c r="G6394" s="208" t="s">
        <v>1111</v>
      </c>
      <c r="I6394" s="206" t="s">
        <v>320</v>
      </c>
      <c r="J6394" s="165" t="s">
        <v>14</v>
      </c>
      <c r="L6394" s="418">
        <v>1697630</v>
      </c>
    </row>
    <row r="6395" spans="1:13" ht="11.25" customHeight="1" x14ac:dyDescent="0.2">
      <c r="A6395" s="226">
        <v>2024</v>
      </c>
      <c r="B6395" s="226">
        <v>12</v>
      </c>
      <c r="C6395" s="226">
        <v>17</v>
      </c>
      <c r="D6395" s="232">
        <f t="shared" si="729"/>
        <v>45643</v>
      </c>
      <c r="E6395" s="234">
        <f t="shared" si="733"/>
        <v>45643</v>
      </c>
      <c r="F6395" s="479"/>
      <c r="G6395" s="227" t="s">
        <v>1111</v>
      </c>
      <c r="H6395" s="228"/>
      <c r="I6395" s="228" t="s">
        <v>320</v>
      </c>
      <c r="J6395" s="229" t="s">
        <v>1112</v>
      </c>
      <c r="K6395" s="230"/>
      <c r="L6395" s="230">
        <v>102370</v>
      </c>
    </row>
    <row r="6396" spans="1:13" ht="11.25" customHeight="1" x14ac:dyDescent="0.2">
      <c r="A6396" s="221">
        <v>2024</v>
      </c>
      <c r="B6396" s="221">
        <v>12</v>
      </c>
      <c r="C6396" s="221">
        <v>17</v>
      </c>
      <c r="D6396" s="221">
        <f t="shared" si="729"/>
        <v>45643</v>
      </c>
      <c r="E6396" s="233">
        <f t="shared" si="733"/>
        <v>45643</v>
      </c>
      <c r="F6396" s="478" t="s">
        <v>1817</v>
      </c>
      <c r="G6396" s="222" t="s">
        <v>1111</v>
      </c>
      <c r="H6396" s="222"/>
      <c r="I6396" s="223"/>
      <c r="J6396" s="224" t="s">
        <v>50</v>
      </c>
      <c r="K6396" s="225">
        <v>1094771.28</v>
      </c>
      <c r="L6396" s="225"/>
    </row>
    <row r="6397" spans="1:13" ht="11.25" customHeight="1" x14ac:dyDescent="0.2">
      <c r="A6397" s="164">
        <v>2024</v>
      </c>
      <c r="B6397" s="164">
        <v>12</v>
      </c>
      <c r="C6397" s="164">
        <v>17</v>
      </c>
      <c r="D6397" s="156">
        <f t="shared" si="729"/>
        <v>45643</v>
      </c>
      <c r="E6397" s="235">
        <f t="shared" si="733"/>
        <v>45643</v>
      </c>
      <c r="F6397" s="480"/>
      <c r="G6397" s="208" t="s">
        <v>1111</v>
      </c>
      <c r="J6397" s="165" t="s">
        <v>478</v>
      </c>
      <c r="K6397" s="205"/>
      <c r="L6397" s="205">
        <v>164215.69</v>
      </c>
    </row>
    <row r="6398" spans="1:13" ht="11.25" customHeight="1" x14ac:dyDescent="0.2">
      <c r="A6398" s="226">
        <v>2024</v>
      </c>
      <c r="B6398" s="226">
        <v>12</v>
      </c>
      <c r="C6398" s="226">
        <v>17</v>
      </c>
      <c r="D6398" s="226">
        <f t="shared" si="729"/>
        <v>45643</v>
      </c>
      <c r="E6398" s="234">
        <f t="shared" si="733"/>
        <v>45643</v>
      </c>
      <c r="F6398" s="479"/>
      <c r="G6398" s="227" t="s">
        <v>1111</v>
      </c>
      <c r="H6398" s="227"/>
      <c r="I6398" s="228"/>
      <c r="J6398" s="229" t="s">
        <v>55</v>
      </c>
      <c r="K6398" s="230"/>
      <c r="L6398" s="230">
        <v>930555.59</v>
      </c>
    </row>
    <row r="6399" spans="1:13" ht="11.25" customHeight="1" x14ac:dyDescent="0.2">
      <c r="A6399" s="221">
        <v>2024</v>
      </c>
      <c r="B6399" s="221">
        <v>12</v>
      </c>
      <c r="C6399" s="221">
        <v>19</v>
      </c>
      <c r="D6399" s="231">
        <f t="shared" si="729"/>
        <v>45645</v>
      </c>
      <c r="E6399" s="233">
        <f t="shared" ref="E6399:E6401" si="734">DATE(A6399,B6399,C6399)</f>
        <v>45645</v>
      </c>
      <c r="F6399" s="478" t="s">
        <v>802</v>
      </c>
      <c r="G6399" s="222" t="s">
        <v>1111</v>
      </c>
      <c r="H6399" s="223"/>
      <c r="I6399" s="223" t="s">
        <v>320</v>
      </c>
      <c r="J6399" s="224" t="s">
        <v>55</v>
      </c>
      <c r="K6399" s="167">
        <v>4100000</v>
      </c>
      <c r="L6399" s="225"/>
    </row>
    <row r="6400" spans="1:13" ht="11.25" customHeight="1" x14ac:dyDescent="0.2">
      <c r="A6400" s="164">
        <v>2024</v>
      </c>
      <c r="B6400" s="164">
        <v>12</v>
      </c>
      <c r="C6400" s="164">
        <v>19</v>
      </c>
      <c r="D6400" s="156">
        <f t="shared" si="729"/>
        <v>45645</v>
      </c>
      <c r="E6400" s="235">
        <f t="shared" si="734"/>
        <v>45645</v>
      </c>
      <c r="F6400" s="480"/>
      <c r="G6400" s="208" t="s">
        <v>1111</v>
      </c>
      <c r="I6400" s="206" t="s">
        <v>320</v>
      </c>
      <c r="J6400" s="165" t="s">
        <v>14</v>
      </c>
      <c r="L6400" s="418">
        <v>3866830</v>
      </c>
    </row>
    <row r="6401" spans="1:13" ht="11.25" customHeight="1" x14ac:dyDescent="0.2">
      <c r="A6401" s="226">
        <v>2024</v>
      </c>
      <c r="B6401" s="226">
        <v>12</v>
      </c>
      <c r="C6401" s="226">
        <v>19</v>
      </c>
      <c r="D6401" s="232">
        <f t="shared" si="729"/>
        <v>45645</v>
      </c>
      <c r="E6401" s="234">
        <f t="shared" si="734"/>
        <v>45645</v>
      </c>
      <c r="F6401" s="479"/>
      <c r="G6401" s="227" t="s">
        <v>1111</v>
      </c>
      <c r="H6401" s="228"/>
      <c r="I6401" s="228" t="s">
        <v>320</v>
      </c>
      <c r="J6401" s="229" t="s">
        <v>1112</v>
      </c>
      <c r="K6401" s="230"/>
      <c r="L6401" s="230">
        <v>233170</v>
      </c>
    </row>
    <row r="6402" spans="1:13" ht="11.25" customHeight="1" x14ac:dyDescent="0.2">
      <c r="A6402" s="280">
        <v>2024</v>
      </c>
      <c r="B6402" s="280">
        <v>12</v>
      </c>
      <c r="C6402" s="280">
        <v>19</v>
      </c>
      <c r="D6402" s="281">
        <f t="shared" si="729"/>
        <v>45645</v>
      </c>
      <c r="E6402" s="282">
        <f t="shared" si="733"/>
        <v>45645</v>
      </c>
      <c r="F6402" s="472" t="s">
        <v>1744</v>
      </c>
      <c r="G6402" s="283" t="s">
        <v>86</v>
      </c>
      <c r="H6402" s="284"/>
      <c r="I6402" s="284"/>
      <c r="J6402" s="285" t="s">
        <v>131</v>
      </c>
      <c r="K6402" s="286">
        <v>19358.333333333332</v>
      </c>
      <c r="L6402" s="286"/>
    </row>
    <row r="6403" spans="1:13" ht="11.25" customHeight="1" x14ac:dyDescent="0.2">
      <c r="A6403" s="287">
        <v>2024</v>
      </c>
      <c r="B6403" s="287">
        <v>12</v>
      </c>
      <c r="C6403" s="287">
        <v>19</v>
      </c>
      <c r="D6403" s="288">
        <f t="shared" si="729"/>
        <v>45645</v>
      </c>
      <c r="E6403" s="289">
        <f t="shared" si="733"/>
        <v>45645</v>
      </c>
      <c r="F6403" s="473"/>
      <c r="G6403" s="290" t="s">
        <v>86</v>
      </c>
      <c r="H6403" s="291"/>
      <c r="I6403" s="291"/>
      <c r="J6403" s="292" t="s">
        <v>174</v>
      </c>
      <c r="K6403" s="293"/>
      <c r="L6403" s="293">
        <v>19358.333333333332</v>
      </c>
    </row>
    <row r="6404" spans="1:13" ht="11.25" customHeight="1" x14ac:dyDescent="0.2">
      <c r="A6404" s="280">
        <v>2024</v>
      </c>
      <c r="B6404" s="280">
        <v>12</v>
      </c>
      <c r="C6404" s="280">
        <v>19</v>
      </c>
      <c r="D6404" s="281">
        <f t="shared" si="729"/>
        <v>45645</v>
      </c>
      <c r="E6404" s="282">
        <f t="shared" si="733"/>
        <v>45645</v>
      </c>
      <c r="F6404" s="472" t="s">
        <v>1584</v>
      </c>
      <c r="G6404" s="283" t="s">
        <v>86</v>
      </c>
      <c r="H6404" s="284"/>
      <c r="I6404" s="284"/>
      <c r="J6404" s="285" t="s">
        <v>131</v>
      </c>
      <c r="K6404" s="286">
        <v>8846.1538461538457</v>
      </c>
      <c r="L6404" s="286"/>
    </row>
    <row r="6405" spans="1:13" ht="11.25" customHeight="1" x14ac:dyDescent="0.2">
      <c r="A6405" s="287">
        <v>2024</v>
      </c>
      <c r="B6405" s="287">
        <v>12</v>
      </c>
      <c r="C6405" s="287">
        <v>19</v>
      </c>
      <c r="D6405" s="288">
        <f t="shared" si="729"/>
        <v>45645</v>
      </c>
      <c r="E6405" s="289">
        <f t="shared" si="733"/>
        <v>45645</v>
      </c>
      <c r="F6405" s="473"/>
      <c r="G6405" s="290" t="s">
        <v>86</v>
      </c>
      <c r="H6405" s="291"/>
      <c r="I6405" s="291"/>
      <c r="J6405" s="292" t="s">
        <v>174</v>
      </c>
      <c r="K6405" s="293"/>
      <c r="L6405" s="293">
        <v>8846.1538461538457</v>
      </c>
    </row>
    <row r="6406" spans="1:13" ht="11.25" customHeight="1" x14ac:dyDescent="0.2">
      <c r="A6406" s="280">
        <v>2024</v>
      </c>
      <c r="B6406" s="280">
        <v>12</v>
      </c>
      <c r="C6406" s="280">
        <v>19</v>
      </c>
      <c r="D6406" s="281">
        <f t="shared" si="729"/>
        <v>45645</v>
      </c>
      <c r="E6406" s="282">
        <f t="shared" si="733"/>
        <v>45645</v>
      </c>
      <c r="F6406" s="472" t="s">
        <v>1830</v>
      </c>
      <c r="G6406" s="283" t="s">
        <v>86</v>
      </c>
      <c r="H6406" s="284"/>
      <c r="I6406" s="284"/>
      <c r="J6406" s="285" t="s">
        <v>131</v>
      </c>
      <c r="K6406" s="286">
        <v>4794.625</v>
      </c>
      <c r="L6406" s="286"/>
    </row>
    <row r="6407" spans="1:13" ht="11.25" customHeight="1" x14ac:dyDescent="0.2">
      <c r="A6407" s="287">
        <v>2024</v>
      </c>
      <c r="B6407" s="287">
        <v>12</v>
      </c>
      <c r="C6407" s="287">
        <v>19</v>
      </c>
      <c r="D6407" s="288">
        <f t="shared" si="729"/>
        <v>45645</v>
      </c>
      <c r="E6407" s="289">
        <f t="shared" si="733"/>
        <v>45645</v>
      </c>
      <c r="F6407" s="473"/>
      <c r="G6407" s="290" t="s">
        <v>86</v>
      </c>
      <c r="H6407" s="291"/>
      <c r="I6407" s="291"/>
      <c r="J6407" s="292" t="s">
        <v>174</v>
      </c>
      <c r="K6407" s="293"/>
      <c r="L6407" s="293">
        <v>4794.625</v>
      </c>
    </row>
    <row r="6408" spans="1:13" ht="11.25" customHeight="1" x14ac:dyDescent="0.2">
      <c r="A6408" s="341">
        <v>2024</v>
      </c>
      <c r="B6408" s="341">
        <v>12</v>
      </c>
      <c r="C6408" s="341">
        <v>19</v>
      </c>
      <c r="D6408" s="328">
        <f t="shared" si="729"/>
        <v>45645</v>
      </c>
      <c r="E6408" s="329">
        <f t="shared" si="733"/>
        <v>45645</v>
      </c>
      <c r="F6408" s="474" t="s">
        <v>1767</v>
      </c>
      <c r="G6408" s="330" t="s">
        <v>86</v>
      </c>
      <c r="H6408" s="332"/>
      <c r="I6408" s="332"/>
      <c r="J6408" s="342" t="s">
        <v>67</v>
      </c>
      <c r="K6408" s="343">
        <v>48180.06</v>
      </c>
      <c r="L6408" s="343"/>
    </row>
    <row r="6409" spans="1:13" ht="11.25" customHeight="1" x14ac:dyDescent="0.2">
      <c r="A6409" s="344">
        <v>2024</v>
      </c>
      <c r="B6409" s="344">
        <v>12</v>
      </c>
      <c r="C6409" s="344">
        <v>19</v>
      </c>
      <c r="D6409" s="337">
        <f t="shared" ref="D6409:D6472" si="735">DATE(A6409,B6409,C6409)</f>
        <v>45645</v>
      </c>
      <c r="E6409" s="338">
        <f t="shared" si="733"/>
        <v>45645</v>
      </c>
      <c r="F6409" s="475"/>
      <c r="G6409" s="339" t="s">
        <v>86</v>
      </c>
      <c r="H6409" s="340"/>
      <c r="I6409" s="340"/>
      <c r="J6409" s="345" t="s">
        <v>174</v>
      </c>
      <c r="K6409" s="346"/>
      <c r="L6409" s="346">
        <f>K6408</f>
        <v>48180.06</v>
      </c>
    </row>
    <row r="6410" spans="1:13" ht="11.25" customHeight="1" x14ac:dyDescent="0.2">
      <c r="A6410" s="358">
        <v>2024</v>
      </c>
      <c r="B6410" s="358">
        <v>12</v>
      </c>
      <c r="C6410" s="358">
        <v>19</v>
      </c>
      <c r="D6410" s="312">
        <f t="shared" si="735"/>
        <v>45645</v>
      </c>
      <c r="E6410" s="313">
        <f>DATE(A6410,B6410,C6410)</f>
        <v>45645</v>
      </c>
      <c r="F6410" s="482" t="s">
        <v>1627</v>
      </c>
      <c r="G6410" s="314" t="s">
        <v>86</v>
      </c>
      <c r="H6410" s="324"/>
      <c r="I6410" s="324"/>
      <c r="J6410" s="364" t="s">
        <v>1613</v>
      </c>
      <c r="K6410" s="365">
        <v>0</v>
      </c>
      <c r="L6410" s="365"/>
      <c r="M6410" s="156">
        <f>BS!$I$12</f>
        <v>0</v>
      </c>
    </row>
    <row r="6411" spans="1:13" ht="11.25" customHeight="1" x14ac:dyDescent="0.2">
      <c r="A6411" s="320">
        <v>2024</v>
      </c>
      <c r="B6411" s="320">
        <v>12</v>
      </c>
      <c r="C6411" s="320">
        <v>19</v>
      </c>
      <c r="D6411" s="323">
        <f t="shared" si="735"/>
        <v>45645</v>
      </c>
      <c r="E6411" s="321">
        <f t="shared" ref="E6411" si="736">DATE(A6411,B6411,C6411)</f>
        <v>45645</v>
      </c>
      <c r="F6411" s="483"/>
      <c r="G6411" s="322" t="s">
        <v>86</v>
      </c>
      <c r="H6411" s="325"/>
      <c r="I6411" s="325"/>
      <c r="J6411" s="366" t="s">
        <v>1621</v>
      </c>
      <c r="K6411" s="367"/>
      <c r="L6411" s="367">
        <f>K6410</f>
        <v>0</v>
      </c>
    </row>
    <row r="6412" spans="1:13" ht="11.25" customHeight="1" x14ac:dyDescent="0.2">
      <c r="A6412" s="358">
        <v>2024</v>
      </c>
      <c r="B6412" s="358">
        <v>12</v>
      </c>
      <c r="C6412" s="358">
        <v>19</v>
      </c>
      <c r="D6412" s="312">
        <f t="shared" si="735"/>
        <v>45645</v>
      </c>
      <c r="E6412" s="313">
        <f>DATE(A6412,B6412,C6412)</f>
        <v>45645</v>
      </c>
      <c r="F6412" s="482" t="s">
        <v>1713</v>
      </c>
      <c r="G6412" s="314" t="s">
        <v>86</v>
      </c>
      <c r="H6412" s="324"/>
      <c r="I6412" s="324"/>
      <c r="J6412" s="364" t="s">
        <v>1614</v>
      </c>
      <c r="K6412" s="365">
        <v>497013.90500000119</v>
      </c>
      <c r="L6412" s="365"/>
      <c r="M6412" s="156">
        <f>BS!$I$15</f>
        <v>0</v>
      </c>
    </row>
    <row r="6413" spans="1:13" ht="11.25" customHeight="1" x14ac:dyDescent="0.2">
      <c r="A6413" s="320">
        <v>2024</v>
      </c>
      <c r="B6413" s="320">
        <v>12</v>
      </c>
      <c r="C6413" s="320">
        <v>19</v>
      </c>
      <c r="D6413" s="323">
        <f t="shared" si="735"/>
        <v>45645</v>
      </c>
      <c r="E6413" s="321">
        <f t="shared" ref="E6413:E6438" si="737">DATE(A6413,B6413,C6413)</f>
        <v>45645</v>
      </c>
      <c r="F6413" s="483"/>
      <c r="G6413" s="322" t="s">
        <v>86</v>
      </c>
      <c r="H6413" s="325"/>
      <c r="I6413" s="325"/>
      <c r="J6413" s="366" t="s">
        <v>1622</v>
      </c>
      <c r="K6413" s="367"/>
      <c r="L6413" s="367">
        <f>K6412</f>
        <v>497013.90500000119</v>
      </c>
    </row>
    <row r="6414" spans="1:13" ht="11.25" customHeight="1" x14ac:dyDescent="0.2">
      <c r="A6414" s="236">
        <v>2024</v>
      </c>
      <c r="B6414" s="236">
        <v>12</v>
      </c>
      <c r="C6414" s="236">
        <v>19</v>
      </c>
      <c r="D6414" s="237">
        <f t="shared" si="735"/>
        <v>45645</v>
      </c>
      <c r="E6414" s="238">
        <f t="shared" si="737"/>
        <v>45645</v>
      </c>
      <c r="F6414" s="476" t="s">
        <v>1118</v>
      </c>
      <c r="G6414" s="239" t="s">
        <v>86</v>
      </c>
      <c r="H6414" s="239"/>
      <c r="I6414" s="240"/>
      <c r="J6414" s="241" t="s">
        <v>98</v>
      </c>
      <c r="K6414" s="242">
        <v>1862799.9399999976</v>
      </c>
      <c r="L6414" s="242"/>
      <c r="M6414" s="156">
        <f>BS!$I$8</f>
        <v>0</v>
      </c>
    </row>
    <row r="6415" spans="1:13" ht="11.25" customHeight="1" x14ac:dyDescent="0.2">
      <c r="A6415" s="243">
        <v>2024</v>
      </c>
      <c r="B6415" s="243">
        <v>12</v>
      </c>
      <c r="C6415" s="243">
        <v>19</v>
      </c>
      <c r="D6415" s="248">
        <f t="shared" si="735"/>
        <v>45645</v>
      </c>
      <c r="E6415" s="249">
        <f t="shared" si="737"/>
        <v>45645</v>
      </c>
      <c r="F6415" s="477"/>
      <c r="G6415" s="244" t="s">
        <v>86</v>
      </c>
      <c r="H6415" s="244"/>
      <c r="I6415" s="245"/>
      <c r="J6415" s="246" t="s">
        <v>82</v>
      </c>
      <c r="K6415" s="247"/>
      <c r="L6415" s="247">
        <f>K6414</f>
        <v>1862799.9399999976</v>
      </c>
    </row>
    <row r="6416" spans="1:13" ht="11.25" customHeight="1" x14ac:dyDescent="0.2">
      <c r="A6416" s="236">
        <v>2024</v>
      </c>
      <c r="B6416" s="236">
        <v>12</v>
      </c>
      <c r="C6416" s="236">
        <v>19</v>
      </c>
      <c r="D6416" s="237">
        <f t="shared" si="735"/>
        <v>45645</v>
      </c>
      <c r="E6416" s="238">
        <f t="shared" si="737"/>
        <v>45645</v>
      </c>
      <c r="F6416" s="476" t="s">
        <v>1120</v>
      </c>
      <c r="G6416" s="239" t="s">
        <v>86</v>
      </c>
      <c r="H6416" s="239"/>
      <c r="I6416" s="240"/>
      <c r="J6416" s="241" t="s">
        <v>87</v>
      </c>
      <c r="K6416" s="242">
        <v>2747.2527472527472</v>
      </c>
      <c r="L6416" s="242"/>
    </row>
    <row r="6417" spans="1:13" ht="11.25" customHeight="1" x14ac:dyDescent="0.2">
      <c r="A6417" s="243">
        <v>2024</v>
      </c>
      <c r="B6417" s="243">
        <v>12</v>
      </c>
      <c r="C6417" s="243">
        <v>19</v>
      </c>
      <c r="D6417" s="248">
        <f t="shared" si="735"/>
        <v>45645</v>
      </c>
      <c r="E6417" s="249">
        <f t="shared" si="737"/>
        <v>45645</v>
      </c>
      <c r="F6417" s="477"/>
      <c r="G6417" s="244" t="s">
        <v>86</v>
      </c>
      <c r="H6417" s="244"/>
      <c r="I6417" s="245"/>
      <c r="J6417" s="246" t="s">
        <v>64</v>
      </c>
      <c r="K6417" s="247"/>
      <c r="L6417" s="247">
        <v>2747.2527472527472</v>
      </c>
    </row>
    <row r="6418" spans="1:13" ht="11.25" customHeight="1" x14ac:dyDescent="0.2">
      <c r="A6418" s="236">
        <v>2024</v>
      </c>
      <c r="B6418" s="236">
        <v>12</v>
      </c>
      <c r="C6418" s="236">
        <v>19</v>
      </c>
      <c r="D6418" s="237">
        <f t="shared" si="735"/>
        <v>45645</v>
      </c>
      <c r="E6418" s="238">
        <f t="shared" si="737"/>
        <v>45645</v>
      </c>
      <c r="F6418" s="476" t="s">
        <v>1121</v>
      </c>
      <c r="G6418" s="239" t="s">
        <v>86</v>
      </c>
      <c r="H6418" s="239"/>
      <c r="I6418" s="240"/>
      <c r="J6418" s="241" t="s">
        <v>89</v>
      </c>
      <c r="K6418" s="242">
        <f>M6418</f>
        <v>71177.027439047641</v>
      </c>
      <c r="L6418" s="242"/>
      <c r="M6418" s="156">
        <v>71177.027439047641</v>
      </c>
    </row>
    <row r="6419" spans="1:13" ht="11.25" customHeight="1" x14ac:dyDescent="0.2">
      <c r="A6419" s="243">
        <v>2024</v>
      </c>
      <c r="B6419" s="243">
        <v>12</v>
      </c>
      <c r="C6419" s="243">
        <v>19</v>
      </c>
      <c r="D6419" s="248">
        <f t="shared" si="735"/>
        <v>45645</v>
      </c>
      <c r="E6419" s="249">
        <f t="shared" si="737"/>
        <v>45645</v>
      </c>
      <c r="F6419" s="477"/>
      <c r="G6419" s="244" t="s">
        <v>86</v>
      </c>
      <c r="H6419" s="244"/>
      <c r="I6419" s="245"/>
      <c r="J6419" s="246" t="s">
        <v>50</v>
      </c>
      <c r="K6419" s="247"/>
      <c r="L6419" s="247">
        <f>K6418</f>
        <v>71177.027439047641</v>
      </c>
      <c r="M6419" s="156">
        <v>3318.4667565677664</v>
      </c>
    </row>
    <row r="6420" spans="1:13" ht="11.25" customHeight="1" x14ac:dyDescent="0.2">
      <c r="A6420" s="236">
        <v>2024</v>
      </c>
      <c r="B6420" s="236">
        <v>12</v>
      </c>
      <c r="C6420" s="236">
        <v>19</v>
      </c>
      <c r="D6420" s="237">
        <f t="shared" si="735"/>
        <v>45645</v>
      </c>
      <c r="E6420" s="238">
        <f t="shared" si="737"/>
        <v>45645</v>
      </c>
      <c r="F6420" s="476" t="s">
        <v>1122</v>
      </c>
      <c r="G6420" s="239" t="s">
        <v>86</v>
      </c>
      <c r="H6420" s="239"/>
      <c r="I6420" s="240"/>
      <c r="J6420" s="241" t="s">
        <v>91</v>
      </c>
      <c r="K6420" s="242">
        <f>M6419</f>
        <v>3318.4667565677664</v>
      </c>
      <c r="L6420" s="242"/>
    </row>
    <row r="6421" spans="1:13" ht="11.25" customHeight="1" x14ac:dyDescent="0.2">
      <c r="A6421" s="243">
        <v>2024</v>
      </c>
      <c r="B6421" s="243">
        <v>12</v>
      </c>
      <c r="C6421" s="243">
        <v>19</v>
      </c>
      <c r="D6421" s="248">
        <f t="shared" si="735"/>
        <v>45645</v>
      </c>
      <c r="E6421" s="249">
        <f t="shared" si="737"/>
        <v>45645</v>
      </c>
      <c r="F6421" s="477"/>
      <c r="G6421" s="244" t="s">
        <v>86</v>
      </c>
      <c r="H6421" s="244"/>
      <c r="I6421" s="245"/>
      <c r="J6421" s="246" t="s">
        <v>51</v>
      </c>
      <c r="K6421" s="247"/>
      <c r="L6421" s="247">
        <f>K6420</f>
        <v>3318.4667565677664</v>
      </c>
    </row>
    <row r="6422" spans="1:13" ht="11.25" customHeight="1" x14ac:dyDescent="0.2">
      <c r="A6422" s="221">
        <v>2024</v>
      </c>
      <c r="B6422" s="221">
        <v>12</v>
      </c>
      <c r="C6422" s="231">
        <v>23</v>
      </c>
      <c r="D6422" s="231">
        <f t="shared" si="735"/>
        <v>45649</v>
      </c>
      <c r="E6422" s="233">
        <f t="shared" si="737"/>
        <v>45649</v>
      </c>
      <c r="F6422" s="478" t="s">
        <v>1822</v>
      </c>
      <c r="G6422" s="222" t="s">
        <v>1111</v>
      </c>
      <c r="H6422" s="222"/>
      <c r="I6422" s="223"/>
      <c r="J6422" s="224" t="s">
        <v>1615</v>
      </c>
      <c r="K6422" s="357">
        <v>2031116.56</v>
      </c>
      <c r="L6422" s="225"/>
    </row>
    <row r="6423" spans="1:13" ht="11.25" customHeight="1" x14ac:dyDescent="0.2">
      <c r="A6423" s="226">
        <v>2024</v>
      </c>
      <c r="B6423" s="226">
        <v>12</v>
      </c>
      <c r="C6423" s="232">
        <v>23</v>
      </c>
      <c r="D6423" s="226">
        <f t="shared" si="735"/>
        <v>45649</v>
      </c>
      <c r="E6423" s="234">
        <f t="shared" si="737"/>
        <v>45649</v>
      </c>
      <c r="F6423" s="479"/>
      <c r="G6423" s="227" t="s">
        <v>1111</v>
      </c>
      <c r="H6423" s="227"/>
      <c r="I6423" s="228"/>
      <c r="J6423" s="229" t="s">
        <v>55</v>
      </c>
      <c r="K6423" s="294"/>
      <c r="L6423" s="230">
        <v>2031116.56</v>
      </c>
    </row>
    <row r="6424" spans="1:13" ht="11.25" customHeight="1" x14ac:dyDescent="0.2">
      <c r="A6424" s="221">
        <v>2024</v>
      </c>
      <c r="B6424" s="221">
        <v>12</v>
      </c>
      <c r="C6424" s="221">
        <v>26</v>
      </c>
      <c r="D6424" s="231">
        <f t="shared" si="735"/>
        <v>45652</v>
      </c>
      <c r="E6424" s="233">
        <f t="shared" si="737"/>
        <v>45652</v>
      </c>
      <c r="F6424" s="478" t="s">
        <v>1828</v>
      </c>
      <c r="G6424" s="222" t="s">
        <v>86</v>
      </c>
      <c r="H6424" s="223"/>
      <c r="I6424" s="223"/>
      <c r="J6424" s="224" t="s">
        <v>192</v>
      </c>
      <c r="K6424" s="225">
        <v>356610</v>
      </c>
      <c r="L6424" s="225"/>
    </row>
    <row r="6425" spans="1:13" ht="11.25" customHeight="1" x14ac:dyDescent="0.2">
      <c r="A6425" s="164">
        <v>2024</v>
      </c>
      <c r="B6425" s="164">
        <v>12</v>
      </c>
      <c r="C6425" s="164">
        <v>26</v>
      </c>
      <c r="D6425" s="156">
        <f t="shared" si="735"/>
        <v>45652</v>
      </c>
      <c r="E6425" s="235">
        <f t="shared" si="737"/>
        <v>45652</v>
      </c>
      <c r="F6425" s="480"/>
      <c r="G6425" s="208" t="s">
        <v>86</v>
      </c>
      <c r="J6425" s="165" t="s">
        <v>191</v>
      </c>
      <c r="K6425" s="230"/>
      <c r="L6425" s="230">
        <v>356610</v>
      </c>
    </row>
    <row r="6426" spans="1:13" ht="11.25" customHeight="1" x14ac:dyDescent="0.2">
      <c r="A6426" s="221">
        <v>2024</v>
      </c>
      <c r="B6426" s="221">
        <v>12</v>
      </c>
      <c r="C6426" s="221">
        <v>26</v>
      </c>
      <c r="D6426" s="231">
        <f t="shared" si="735"/>
        <v>45652</v>
      </c>
      <c r="E6426" s="233">
        <f t="shared" si="737"/>
        <v>45652</v>
      </c>
      <c r="F6426" s="478" t="s">
        <v>1132</v>
      </c>
      <c r="G6426" s="222" t="s">
        <v>1111</v>
      </c>
      <c r="H6426" s="223"/>
      <c r="I6426" s="223"/>
      <c r="J6426" s="224" t="s">
        <v>55</v>
      </c>
      <c r="K6426" s="167">
        <v>9000</v>
      </c>
      <c r="L6426" s="225"/>
    </row>
    <row r="6427" spans="1:13" ht="11.25" customHeight="1" x14ac:dyDescent="0.2">
      <c r="A6427" s="164">
        <v>2024</v>
      </c>
      <c r="B6427" s="164">
        <v>12</v>
      </c>
      <c r="C6427" s="164">
        <v>26</v>
      </c>
      <c r="D6427" s="156">
        <f t="shared" si="735"/>
        <v>45652</v>
      </c>
      <c r="E6427" s="235">
        <f t="shared" si="737"/>
        <v>45652</v>
      </c>
      <c r="F6427" s="480"/>
      <c r="G6427" s="208" t="s">
        <v>1111</v>
      </c>
      <c r="J6427" s="165" t="s">
        <v>14</v>
      </c>
      <c r="L6427" s="205">
        <v>8410</v>
      </c>
    </row>
    <row r="6428" spans="1:13" ht="11.25" customHeight="1" x14ac:dyDescent="0.2">
      <c r="A6428" s="226">
        <v>2024</v>
      </c>
      <c r="B6428" s="226">
        <v>12</v>
      </c>
      <c r="C6428" s="226">
        <v>26</v>
      </c>
      <c r="D6428" s="232">
        <f t="shared" si="735"/>
        <v>45652</v>
      </c>
      <c r="E6428" s="234">
        <f t="shared" si="737"/>
        <v>45652</v>
      </c>
      <c r="F6428" s="479"/>
      <c r="G6428" s="227" t="s">
        <v>1111</v>
      </c>
      <c r="H6428" s="228"/>
      <c r="I6428" s="228"/>
      <c r="J6428" s="229" t="s">
        <v>1112</v>
      </c>
      <c r="K6428" s="230"/>
      <c r="L6428" s="230">
        <v>590</v>
      </c>
    </row>
    <row r="6429" spans="1:13" ht="11.25" customHeight="1" x14ac:dyDescent="0.2">
      <c r="A6429" s="221">
        <v>2024</v>
      </c>
      <c r="B6429" s="221">
        <v>12</v>
      </c>
      <c r="C6429" s="231">
        <v>26</v>
      </c>
      <c r="D6429" s="231">
        <f t="shared" si="735"/>
        <v>45652</v>
      </c>
      <c r="E6429" s="233">
        <f t="shared" si="737"/>
        <v>45652</v>
      </c>
      <c r="F6429" s="478" t="s">
        <v>1676</v>
      </c>
      <c r="G6429" s="222" t="s">
        <v>1111</v>
      </c>
      <c r="H6429" s="223"/>
      <c r="I6429" s="223"/>
      <c r="J6429" s="224" t="s">
        <v>63</v>
      </c>
      <c r="K6429" s="225">
        <f>575+345</f>
        <v>920</v>
      </c>
      <c r="L6429" s="225"/>
    </row>
    <row r="6430" spans="1:13" ht="11.25" customHeight="1" x14ac:dyDescent="0.2">
      <c r="A6430" s="226">
        <v>2024</v>
      </c>
      <c r="B6430" s="226">
        <v>12</v>
      </c>
      <c r="C6430" s="232">
        <v>26</v>
      </c>
      <c r="D6430" s="232">
        <f t="shared" si="735"/>
        <v>45652</v>
      </c>
      <c r="E6430" s="234">
        <f t="shared" si="737"/>
        <v>45652</v>
      </c>
      <c r="F6430" s="479"/>
      <c r="G6430" s="227" t="s">
        <v>1111</v>
      </c>
      <c r="H6430" s="228"/>
      <c r="I6430" s="228"/>
      <c r="J6430" s="229" t="s">
        <v>55</v>
      </c>
      <c r="K6430" s="230"/>
      <c r="L6430" s="230">
        <v>920</v>
      </c>
    </row>
    <row r="6431" spans="1:13" ht="11.25" customHeight="1" x14ac:dyDescent="0.2">
      <c r="A6431" s="280">
        <v>2024</v>
      </c>
      <c r="B6431" s="280">
        <v>12</v>
      </c>
      <c r="C6431" s="280">
        <v>26</v>
      </c>
      <c r="D6431" s="281">
        <f t="shared" si="735"/>
        <v>45652</v>
      </c>
      <c r="E6431" s="282">
        <f t="shared" si="737"/>
        <v>45652</v>
      </c>
      <c r="F6431" s="472" t="s">
        <v>1744</v>
      </c>
      <c r="G6431" s="283" t="s">
        <v>86</v>
      </c>
      <c r="H6431" s="284"/>
      <c r="I6431" s="284"/>
      <c r="J6431" s="285" t="s">
        <v>131</v>
      </c>
      <c r="K6431" s="286">
        <v>19358.333333333332</v>
      </c>
      <c r="L6431" s="286"/>
    </row>
    <row r="6432" spans="1:13" ht="11.25" customHeight="1" x14ac:dyDescent="0.2">
      <c r="A6432" s="287">
        <v>2024</v>
      </c>
      <c r="B6432" s="287">
        <v>12</v>
      </c>
      <c r="C6432" s="287">
        <v>26</v>
      </c>
      <c r="D6432" s="288">
        <f t="shared" si="735"/>
        <v>45652</v>
      </c>
      <c r="E6432" s="289">
        <f t="shared" si="737"/>
        <v>45652</v>
      </c>
      <c r="F6432" s="473"/>
      <c r="G6432" s="290" t="s">
        <v>86</v>
      </c>
      <c r="H6432" s="291"/>
      <c r="I6432" s="291"/>
      <c r="J6432" s="292" t="s">
        <v>174</v>
      </c>
      <c r="K6432" s="293"/>
      <c r="L6432" s="293">
        <v>19358.333333333332</v>
      </c>
    </row>
    <row r="6433" spans="1:13" ht="11.25" customHeight="1" x14ac:dyDescent="0.2">
      <c r="A6433" s="280">
        <v>2024</v>
      </c>
      <c r="B6433" s="280">
        <v>12</v>
      </c>
      <c r="C6433" s="280">
        <v>26</v>
      </c>
      <c r="D6433" s="281">
        <f t="shared" si="735"/>
        <v>45652</v>
      </c>
      <c r="E6433" s="282">
        <f t="shared" si="737"/>
        <v>45652</v>
      </c>
      <c r="F6433" s="472" t="s">
        <v>1584</v>
      </c>
      <c r="G6433" s="283" t="s">
        <v>86</v>
      </c>
      <c r="H6433" s="284"/>
      <c r="I6433" s="284"/>
      <c r="J6433" s="285" t="s">
        <v>131</v>
      </c>
      <c r="K6433" s="286">
        <v>8846.1538461538457</v>
      </c>
      <c r="L6433" s="286"/>
    </row>
    <row r="6434" spans="1:13" ht="11.25" customHeight="1" x14ac:dyDescent="0.2">
      <c r="A6434" s="287">
        <v>2024</v>
      </c>
      <c r="B6434" s="287">
        <v>12</v>
      </c>
      <c r="C6434" s="287">
        <v>26</v>
      </c>
      <c r="D6434" s="288">
        <f t="shared" si="735"/>
        <v>45652</v>
      </c>
      <c r="E6434" s="289">
        <f t="shared" si="737"/>
        <v>45652</v>
      </c>
      <c r="F6434" s="473"/>
      <c r="G6434" s="290" t="s">
        <v>86</v>
      </c>
      <c r="H6434" s="291"/>
      <c r="I6434" s="291"/>
      <c r="J6434" s="292" t="s">
        <v>174</v>
      </c>
      <c r="K6434" s="293"/>
      <c r="L6434" s="293">
        <v>8846.1538461538457</v>
      </c>
    </row>
    <row r="6435" spans="1:13" ht="11.25" customHeight="1" x14ac:dyDescent="0.2">
      <c r="A6435" s="280">
        <v>2024</v>
      </c>
      <c r="B6435" s="280">
        <v>12</v>
      </c>
      <c r="C6435" s="280">
        <v>26</v>
      </c>
      <c r="D6435" s="281">
        <f t="shared" si="735"/>
        <v>45652</v>
      </c>
      <c r="E6435" s="282">
        <f t="shared" si="737"/>
        <v>45652</v>
      </c>
      <c r="F6435" s="472" t="s">
        <v>1830</v>
      </c>
      <c r="G6435" s="283" t="s">
        <v>86</v>
      </c>
      <c r="H6435" s="284"/>
      <c r="I6435" s="284"/>
      <c r="J6435" s="285" t="s">
        <v>131</v>
      </c>
      <c r="K6435" s="286">
        <v>4794.625</v>
      </c>
      <c r="L6435" s="286"/>
    </row>
    <row r="6436" spans="1:13" ht="11.25" customHeight="1" x14ac:dyDescent="0.2">
      <c r="A6436" s="287">
        <v>2024</v>
      </c>
      <c r="B6436" s="287">
        <v>12</v>
      </c>
      <c r="C6436" s="287">
        <v>26</v>
      </c>
      <c r="D6436" s="288">
        <f t="shared" si="735"/>
        <v>45652</v>
      </c>
      <c r="E6436" s="289">
        <f t="shared" si="737"/>
        <v>45652</v>
      </c>
      <c r="F6436" s="473"/>
      <c r="G6436" s="290" t="s">
        <v>86</v>
      </c>
      <c r="H6436" s="291"/>
      <c r="I6436" s="291"/>
      <c r="J6436" s="292" t="s">
        <v>174</v>
      </c>
      <c r="K6436" s="293"/>
      <c r="L6436" s="293">
        <v>4794.625</v>
      </c>
    </row>
    <row r="6437" spans="1:13" ht="11.25" customHeight="1" x14ac:dyDescent="0.2">
      <c r="A6437" s="341">
        <v>2024</v>
      </c>
      <c r="B6437" s="341">
        <v>12</v>
      </c>
      <c r="C6437" s="341">
        <v>26</v>
      </c>
      <c r="D6437" s="328">
        <f t="shared" si="735"/>
        <v>45652</v>
      </c>
      <c r="E6437" s="329">
        <f t="shared" si="737"/>
        <v>45652</v>
      </c>
      <c r="F6437" s="474" t="s">
        <v>1767</v>
      </c>
      <c r="G6437" s="330" t="s">
        <v>86</v>
      </c>
      <c r="H6437" s="332"/>
      <c r="I6437" s="332"/>
      <c r="J6437" s="342" t="s">
        <v>67</v>
      </c>
      <c r="K6437" s="343">
        <v>49471.81</v>
      </c>
      <c r="L6437" s="343"/>
    </row>
    <row r="6438" spans="1:13" ht="11.25" customHeight="1" x14ac:dyDescent="0.2">
      <c r="A6438" s="344">
        <v>2024</v>
      </c>
      <c r="B6438" s="344">
        <v>12</v>
      </c>
      <c r="C6438" s="344">
        <v>26</v>
      </c>
      <c r="D6438" s="337">
        <f t="shared" si="735"/>
        <v>45652</v>
      </c>
      <c r="E6438" s="338">
        <f t="shared" si="737"/>
        <v>45652</v>
      </c>
      <c r="F6438" s="475"/>
      <c r="G6438" s="339" t="s">
        <v>86</v>
      </c>
      <c r="H6438" s="340"/>
      <c r="I6438" s="340"/>
      <c r="J6438" s="345" t="s">
        <v>174</v>
      </c>
      <c r="K6438" s="346"/>
      <c r="L6438" s="346">
        <f>K6437</f>
        <v>49471.81</v>
      </c>
    </row>
    <row r="6439" spans="1:13" ht="11.25" customHeight="1" x14ac:dyDescent="0.2">
      <c r="A6439" s="358">
        <v>2024</v>
      </c>
      <c r="B6439" s="358">
        <v>12</v>
      </c>
      <c r="C6439" s="358">
        <v>26</v>
      </c>
      <c r="D6439" s="312">
        <f t="shared" si="735"/>
        <v>45652</v>
      </c>
      <c r="E6439" s="313">
        <f>DATE(A6439,B6439,C6439)</f>
        <v>45652</v>
      </c>
      <c r="F6439" s="482" t="s">
        <v>1627</v>
      </c>
      <c r="G6439" s="314" t="s">
        <v>86</v>
      </c>
      <c r="H6439" s="324"/>
      <c r="I6439" s="324"/>
      <c r="J6439" s="364" t="s">
        <v>1613</v>
      </c>
      <c r="K6439" s="365"/>
      <c r="L6439" s="365"/>
      <c r="M6439" s="156">
        <f>BS!$I$12</f>
        <v>0</v>
      </c>
    </row>
    <row r="6440" spans="1:13" ht="11.25" customHeight="1" x14ac:dyDescent="0.2">
      <c r="A6440" s="320">
        <v>2024</v>
      </c>
      <c r="B6440" s="320">
        <v>12</v>
      </c>
      <c r="C6440" s="320">
        <v>26</v>
      </c>
      <c r="D6440" s="323">
        <f t="shared" si="735"/>
        <v>45652</v>
      </c>
      <c r="E6440" s="321">
        <f t="shared" ref="E6440" si="738">DATE(A6440,B6440,C6440)</f>
        <v>45652</v>
      </c>
      <c r="F6440" s="483"/>
      <c r="G6440" s="322" t="s">
        <v>86</v>
      </c>
      <c r="H6440" s="325"/>
      <c r="I6440" s="325"/>
      <c r="J6440" s="366" t="s">
        <v>1621</v>
      </c>
      <c r="K6440" s="367"/>
      <c r="L6440" s="367">
        <f>K6439</f>
        <v>0</v>
      </c>
    </row>
    <row r="6441" spans="1:13" ht="11.25" customHeight="1" x14ac:dyDescent="0.2">
      <c r="A6441" s="358">
        <v>2024</v>
      </c>
      <c r="B6441" s="358">
        <v>12</v>
      </c>
      <c r="C6441" s="358">
        <v>26</v>
      </c>
      <c r="D6441" s="312">
        <f t="shared" si="735"/>
        <v>45652</v>
      </c>
      <c r="E6441" s="313">
        <f>DATE(A6441,B6441,C6441)</f>
        <v>45652</v>
      </c>
      <c r="F6441" s="482" t="s">
        <v>1713</v>
      </c>
      <c r="G6441" s="314" t="s">
        <v>86</v>
      </c>
      <c r="H6441" s="324"/>
      <c r="I6441" s="324"/>
      <c r="J6441" s="364" t="s">
        <v>1622</v>
      </c>
      <c r="K6441" s="365">
        <v>49730.129999998957</v>
      </c>
      <c r="L6441" s="365"/>
      <c r="M6441" s="156">
        <f>BS!$I$15</f>
        <v>0</v>
      </c>
    </row>
    <row r="6442" spans="1:13" ht="11.25" customHeight="1" x14ac:dyDescent="0.2">
      <c r="A6442" s="320">
        <v>2024</v>
      </c>
      <c r="B6442" s="320">
        <v>12</v>
      </c>
      <c r="C6442" s="320">
        <v>26</v>
      </c>
      <c r="D6442" s="323">
        <f t="shared" si="735"/>
        <v>45652</v>
      </c>
      <c r="E6442" s="321">
        <f t="shared" ref="E6442:E6459" si="739">DATE(A6442,B6442,C6442)</f>
        <v>45652</v>
      </c>
      <c r="F6442" s="483"/>
      <c r="G6442" s="322" t="s">
        <v>86</v>
      </c>
      <c r="H6442" s="325"/>
      <c r="I6442" s="325"/>
      <c r="J6442" s="366" t="s">
        <v>1614</v>
      </c>
      <c r="K6442" s="367"/>
      <c r="L6442" s="367">
        <f>K6441</f>
        <v>49730.129999998957</v>
      </c>
    </row>
    <row r="6443" spans="1:13" ht="11.25" customHeight="1" x14ac:dyDescent="0.2">
      <c r="A6443" s="236">
        <v>2024</v>
      </c>
      <c r="B6443" s="236">
        <v>12</v>
      </c>
      <c r="C6443" s="236">
        <v>26</v>
      </c>
      <c r="D6443" s="237">
        <f t="shared" si="735"/>
        <v>45652</v>
      </c>
      <c r="E6443" s="238">
        <f t="shared" si="739"/>
        <v>45652</v>
      </c>
      <c r="F6443" s="476" t="s">
        <v>1118</v>
      </c>
      <c r="G6443" s="239" t="s">
        <v>86</v>
      </c>
      <c r="H6443" s="239"/>
      <c r="I6443" s="240"/>
      <c r="J6443" s="241" t="s">
        <v>82</v>
      </c>
      <c r="K6443" s="242">
        <v>759028.01999999583</v>
      </c>
      <c r="L6443" s="242"/>
      <c r="M6443" s="156">
        <f>BS!$I$8</f>
        <v>0</v>
      </c>
    </row>
    <row r="6444" spans="1:13" ht="11.25" customHeight="1" x14ac:dyDescent="0.2">
      <c r="A6444" s="243">
        <v>2024</v>
      </c>
      <c r="B6444" s="243">
        <v>12</v>
      </c>
      <c r="C6444" s="243">
        <v>26</v>
      </c>
      <c r="D6444" s="248">
        <f t="shared" si="735"/>
        <v>45652</v>
      </c>
      <c r="E6444" s="249">
        <f t="shared" si="739"/>
        <v>45652</v>
      </c>
      <c r="F6444" s="477"/>
      <c r="G6444" s="244" t="s">
        <v>86</v>
      </c>
      <c r="H6444" s="244"/>
      <c r="I6444" s="245"/>
      <c r="J6444" s="246" t="s">
        <v>98</v>
      </c>
      <c r="K6444" s="247"/>
      <c r="L6444" s="247">
        <f>K6443</f>
        <v>759028.01999999583</v>
      </c>
    </row>
    <row r="6445" spans="1:13" ht="11.25" customHeight="1" x14ac:dyDescent="0.2">
      <c r="A6445" s="236">
        <v>2024</v>
      </c>
      <c r="B6445" s="236">
        <v>12</v>
      </c>
      <c r="C6445" s="236">
        <v>26</v>
      </c>
      <c r="D6445" s="237">
        <f t="shared" si="735"/>
        <v>45652</v>
      </c>
      <c r="E6445" s="238">
        <f t="shared" si="739"/>
        <v>45652</v>
      </c>
      <c r="F6445" s="476" t="s">
        <v>1120</v>
      </c>
      <c r="G6445" s="239" t="s">
        <v>86</v>
      </c>
      <c r="H6445" s="239"/>
      <c r="I6445" s="240"/>
      <c r="J6445" s="241" t="s">
        <v>87</v>
      </c>
      <c r="K6445" s="242">
        <v>2747.2527472527472</v>
      </c>
      <c r="L6445" s="242"/>
    </row>
    <row r="6446" spans="1:13" ht="11.25" customHeight="1" x14ac:dyDescent="0.2">
      <c r="A6446" s="243">
        <v>2024</v>
      </c>
      <c r="B6446" s="243">
        <v>12</v>
      </c>
      <c r="C6446" s="243">
        <v>26</v>
      </c>
      <c r="D6446" s="248">
        <f t="shared" si="735"/>
        <v>45652</v>
      </c>
      <c r="E6446" s="249">
        <f t="shared" si="739"/>
        <v>45652</v>
      </c>
      <c r="F6446" s="477"/>
      <c r="G6446" s="244" t="s">
        <v>86</v>
      </c>
      <c r="H6446" s="244"/>
      <c r="I6446" s="245"/>
      <c r="J6446" s="246" t="s">
        <v>64</v>
      </c>
      <c r="K6446" s="247"/>
      <c r="L6446" s="247">
        <v>2747.2527472527472</v>
      </c>
    </row>
    <row r="6447" spans="1:13" ht="11.25" customHeight="1" x14ac:dyDescent="0.2">
      <c r="A6447" s="236">
        <v>2024</v>
      </c>
      <c r="B6447" s="236">
        <v>12</v>
      </c>
      <c r="C6447" s="236">
        <v>26</v>
      </c>
      <c r="D6447" s="237">
        <f t="shared" si="735"/>
        <v>45652</v>
      </c>
      <c r="E6447" s="238">
        <f t="shared" si="739"/>
        <v>45652</v>
      </c>
      <c r="F6447" s="476" t="s">
        <v>1121</v>
      </c>
      <c r="G6447" s="239" t="s">
        <v>86</v>
      </c>
      <c r="H6447" s="239"/>
      <c r="I6447" s="240"/>
      <c r="J6447" s="241" t="s">
        <v>89</v>
      </c>
      <c r="K6447" s="242">
        <f>M6447</f>
        <v>71051.479099197808</v>
      </c>
      <c r="L6447" s="242"/>
      <c r="M6447" s="156">
        <v>71051.479099197808</v>
      </c>
    </row>
    <row r="6448" spans="1:13" ht="11.25" customHeight="1" x14ac:dyDescent="0.2">
      <c r="A6448" s="243">
        <v>2024</v>
      </c>
      <c r="B6448" s="243">
        <v>12</v>
      </c>
      <c r="C6448" s="243">
        <v>26</v>
      </c>
      <c r="D6448" s="248">
        <f t="shared" si="735"/>
        <v>45652</v>
      </c>
      <c r="E6448" s="249">
        <f t="shared" si="739"/>
        <v>45652</v>
      </c>
      <c r="F6448" s="477"/>
      <c r="G6448" s="244" t="s">
        <v>86</v>
      </c>
      <c r="H6448" s="244"/>
      <c r="I6448" s="245"/>
      <c r="J6448" s="246" t="s">
        <v>50</v>
      </c>
      <c r="K6448" s="247"/>
      <c r="L6448" s="247">
        <f>K6447</f>
        <v>71051.479099197808</v>
      </c>
      <c r="M6448" s="156">
        <v>3312.1893395752754</v>
      </c>
    </row>
    <row r="6449" spans="1:12" ht="11.25" customHeight="1" x14ac:dyDescent="0.2">
      <c r="A6449" s="236">
        <v>2024</v>
      </c>
      <c r="B6449" s="236">
        <v>12</v>
      </c>
      <c r="C6449" s="236">
        <v>26</v>
      </c>
      <c r="D6449" s="237">
        <f t="shared" si="735"/>
        <v>45652</v>
      </c>
      <c r="E6449" s="238">
        <f t="shared" si="739"/>
        <v>45652</v>
      </c>
      <c r="F6449" s="476" t="s">
        <v>1122</v>
      </c>
      <c r="G6449" s="239" t="s">
        <v>86</v>
      </c>
      <c r="H6449" s="239"/>
      <c r="I6449" s="240"/>
      <c r="J6449" s="241" t="s">
        <v>91</v>
      </c>
      <c r="K6449" s="242">
        <f>M6448</f>
        <v>3312.1893395752754</v>
      </c>
      <c r="L6449" s="242"/>
    </row>
    <row r="6450" spans="1:12" ht="11.25" customHeight="1" x14ac:dyDescent="0.2">
      <c r="A6450" s="243">
        <v>2024</v>
      </c>
      <c r="B6450" s="243">
        <v>12</v>
      </c>
      <c r="C6450" s="243">
        <v>26</v>
      </c>
      <c r="D6450" s="248">
        <f t="shared" si="735"/>
        <v>45652</v>
      </c>
      <c r="E6450" s="249">
        <f t="shared" si="739"/>
        <v>45652</v>
      </c>
      <c r="F6450" s="477"/>
      <c r="G6450" s="244" t="s">
        <v>86</v>
      </c>
      <c r="H6450" s="244"/>
      <c r="I6450" s="245"/>
      <c r="J6450" s="246" t="s">
        <v>51</v>
      </c>
      <c r="K6450" s="247"/>
      <c r="L6450" s="247">
        <f>K6449</f>
        <v>3312.1893395752754</v>
      </c>
    </row>
    <row r="6451" spans="1:12" ht="11.25" customHeight="1" x14ac:dyDescent="0.2">
      <c r="A6451" s="221">
        <v>2024</v>
      </c>
      <c r="B6451" s="221">
        <v>12</v>
      </c>
      <c r="C6451" s="231">
        <v>29</v>
      </c>
      <c r="D6451" s="231">
        <f t="shared" si="735"/>
        <v>45655</v>
      </c>
      <c r="E6451" s="233">
        <f t="shared" si="739"/>
        <v>45655</v>
      </c>
      <c r="F6451" s="478" t="s">
        <v>1670</v>
      </c>
      <c r="G6451" s="222" t="s">
        <v>1111</v>
      </c>
      <c r="H6451" s="223"/>
      <c r="I6451" s="223"/>
      <c r="J6451" s="224" t="s">
        <v>63</v>
      </c>
      <c r="K6451" s="225">
        <v>575</v>
      </c>
      <c r="L6451" s="225"/>
    </row>
    <row r="6452" spans="1:12" ht="11.25" customHeight="1" x14ac:dyDescent="0.2">
      <c r="A6452" s="226">
        <v>2024</v>
      </c>
      <c r="B6452" s="226">
        <v>12</v>
      </c>
      <c r="C6452" s="232">
        <v>29</v>
      </c>
      <c r="D6452" s="232">
        <f t="shared" si="735"/>
        <v>45655</v>
      </c>
      <c r="E6452" s="234">
        <f t="shared" si="739"/>
        <v>45655</v>
      </c>
      <c r="F6452" s="479"/>
      <c r="G6452" s="227" t="s">
        <v>1111</v>
      </c>
      <c r="H6452" s="228"/>
      <c r="I6452" s="228"/>
      <c r="J6452" s="229" t="s">
        <v>55</v>
      </c>
      <c r="K6452" s="230"/>
      <c r="L6452" s="230">
        <v>575</v>
      </c>
    </row>
    <row r="6453" spans="1:12" ht="11.25" customHeight="1" x14ac:dyDescent="0.2">
      <c r="A6453" s="221">
        <v>2024</v>
      </c>
      <c r="B6453" s="221">
        <v>12</v>
      </c>
      <c r="C6453" s="231">
        <v>29</v>
      </c>
      <c r="D6453" s="231">
        <f t="shared" si="735"/>
        <v>45655</v>
      </c>
      <c r="E6453" s="233">
        <f t="shared" ref="E6453:E6454" si="740">DATE(A6453,B6453,C6453)</f>
        <v>45655</v>
      </c>
      <c r="F6453" s="478" t="s">
        <v>1670</v>
      </c>
      <c r="G6453" s="222" t="s">
        <v>1111</v>
      </c>
      <c r="H6453" s="223"/>
      <c r="I6453" s="223"/>
      <c r="J6453" s="224" t="s">
        <v>63</v>
      </c>
      <c r="K6453" s="225">
        <v>345</v>
      </c>
      <c r="L6453" s="225"/>
    </row>
    <row r="6454" spans="1:12" ht="11.25" customHeight="1" x14ac:dyDescent="0.2">
      <c r="A6454" s="226">
        <v>2024</v>
      </c>
      <c r="B6454" s="226">
        <v>12</v>
      </c>
      <c r="C6454" s="232">
        <v>29</v>
      </c>
      <c r="D6454" s="232">
        <f t="shared" si="735"/>
        <v>45655</v>
      </c>
      <c r="E6454" s="234">
        <f t="shared" si="740"/>
        <v>45655</v>
      </c>
      <c r="F6454" s="479"/>
      <c r="G6454" s="227" t="s">
        <v>1111</v>
      </c>
      <c r="H6454" s="228"/>
      <c r="I6454" s="228"/>
      <c r="J6454" s="229" t="s">
        <v>55</v>
      </c>
      <c r="K6454" s="230"/>
      <c r="L6454" s="230">
        <v>345</v>
      </c>
    </row>
    <row r="6455" spans="1:12" ht="11.25" customHeight="1" x14ac:dyDescent="0.2">
      <c r="A6455" s="221">
        <v>2024</v>
      </c>
      <c r="B6455" s="221">
        <v>12</v>
      </c>
      <c r="C6455" s="231">
        <v>29</v>
      </c>
      <c r="D6455" s="231">
        <f t="shared" si="735"/>
        <v>45655</v>
      </c>
      <c r="E6455" s="233">
        <f t="shared" ref="E6455:E6456" si="741">DATE(A6455,B6455,C6455)</f>
        <v>45655</v>
      </c>
      <c r="F6455" s="478" t="s">
        <v>1753</v>
      </c>
      <c r="G6455" s="222" t="s">
        <v>1111</v>
      </c>
      <c r="H6455" s="223"/>
      <c r="I6455" s="223"/>
      <c r="J6455" s="224" t="s">
        <v>63</v>
      </c>
      <c r="K6455" s="225">
        <v>345</v>
      </c>
      <c r="L6455" s="225"/>
    </row>
    <row r="6456" spans="1:12" ht="11.25" customHeight="1" x14ac:dyDescent="0.2">
      <c r="A6456" s="226">
        <v>2024</v>
      </c>
      <c r="B6456" s="226">
        <v>12</v>
      </c>
      <c r="C6456" s="232">
        <v>29</v>
      </c>
      <c r="D6456" s="232">
        <f t="shared" si="735"/>
        <v>45655</v>
      </c>
      <c r="E6456" s="234">
        <f t="shared" si="741"/>
        <v>45655</v>
      </c>
      <c r="F6456" s="479"/>
      <c r="G6456" s="227" t="s">
        <v>1111</v>
      </c>
      <c r="H6456" s="228"/>
      <c r="I6456" s="228"/>
      <c r="J6456" s="229" t="s">
        <v>55</v>
      </c>
      <c r="K6456" s="230"/>
      <c r="L6456" s="230">
        <v>345</v>
      </c>
    </row>
    <row r="6457" spans="1:12" ht="11.25" customHeight="1" x14ac:dyDescent="0.2">
      <c r="A6457" s="221">
        <v>2024</v>
      </c>
      <c r="B6457" s="221">
        <v>12</v>
      </c>
      <c r="C6457" s="231">
        <v>30</v>
      </c>
      <c r="D6457" s="231">
        <f t="shared" si="735"/>
        <v>45656</v>
      </c>
      <c r="E6457" s="233">
        <f t="shared" si="739"/>
        <v>45656</v>
      </c>
      <c r="F6457" s="478" t="s">
        <v>1747</v>
      </c>
      <c r="G6457" s="222" t="s">
        <v>1111</v>
      </c>
      <c r="H6457" s="223"/>
      <c r="I6457" s="223"/>
      <c r="J6457" s="224" t="s">
        <v>55</v>
      </c>
      <c r="K6457" s="225">
        <v>603592</v>
      </c>
      <c r="L6457" s="225"/>
    </row>
    <row r="6458" spans="1:12" ht="11.25" customHeight="1" x14ac:dyDescent="0.2">
      <c r="A6458" s="164">
        <v>2024</v>
      </c>
      <c r="B6458" s="164">
        <v>12</v>
      </c>
      <c r="C6458" s="164">
        <v>30</v>
      </c>
      <c r="D6458" s="156">
        <f t="shared" si="735"/>
        <v>45656</v>
      </c>
      <c r="E6458" s="235">
        <f t="shared" si="739"/>
        <v>45656</v>
      </c>
      <c r="F6458" s="480"/>
      <c r="G6458" s="208" t="s">
        <v>1111</v>
      </c>
      <c r="J6458" s="165" t="s">
        <v>174</v>
      </c>
      <c r="K6458" s="205"/>
      <c r="L6458" s="205">
        <v>3733.32</v>
      </c>
    </row>
    <row r="6459" spans="1:12" ht="11.25" customHeight="1" x14ac:dyDescent="0.2">
      <c r="A6459" s="226">
        <v>2024</v>
      </c>
      <c r="B6459" s="226">
        <v>12</v>
      </c>
      <c r="C6459" s="232">
        <v>30</v>
      </c>
      <c r="D6459" s="232">
        <f t="shared" si="735"/>
        <v>45656</v>
      </c>
      <c r="E6459" s="234">
        <f t="shared" si="739"/>
        <v>45656</v>
      </c>
      <c r="F6459" s="479"/>
      <c r="G6459" s="227" t="s">
        <v>1111</v>
      </c>
      <c r="H6459" s="228"/>
      <c r="I6459" s="228"/>
      <c r="J6459" s="229" t="s">
        <v>67</v>
      </c>
      <c r="K6459" s="230"/>
      <c r="L6459" s="230">
        <v>599858.68000000005</v>
      </c>
    </row>
    <row r="6460" spans="1:12" ht="11.25" customHeight="1" x14ac:dyDescent="0.2">
      <c r="A6460" s="221">
        <v>2024</v>
      </c>
      <c r="B6460" s="221">
        <v>12</v>
      </c>
      <c r="C6460" s="231">
        <v>30</v>
      </c>
      <c r="D6460" s="231">
        <f t="shared" si="735"/>
        <v>45656</v>
      </c>
      <c r="E6460" s="233">
        <f t="shared" ref="E6460:E6462" si="742">DATE(A6460,B6460,C6460)</f>
        <v>45656</v>
      </c>
      <c r="F6460" s="478" t="s">
        <v>1747</v>
      </c>
      <c r="G6460" s="222" t="s">
        <v>1111</v>
      </c>
      <c r="H6460" s="223"/>
      <c r="I6460" s="223"/>
      <c r="J6460" s="224" t="s">
        <v>55</v>
      </c>
      <c r="K6460" s="225">
        <v>95295</v>
      </c>
      <c r="L6460" s="225"/>
    </row>
    <row r="6461" spans="1:12" ht="11.25" customHeight="1" x14ac:dyDescent="0.2">
      <c r="A6461" s="164">
        <v>2024</v>
      </c>
      <c r="B6461" s="164">
        <v>12</v>
      </c>
      <c r="C6461" s="164">
        <v>30</v>
      </c>
      <c r="D6461" s="156">
        <f t="shared" si="735"/>
        <v>45656</v>
      </c>
      <c r="E6461" s="235">
        <f t="shared" si="742"/>
        <v>45656</v>
      </c>
      <c r="F6461" s="480"/>
      <c r="G6461" s="208" t="s">
        <v>1111</v>
      </c>
      <c r="J6461" s="165" t="s">
        <v>174</v>
      </c>
      <c r="K6461" s="205"/>
      <c r="L6461" s="205">
        <v>2404.88</v>
      </c>
    </row>
    <row r="6462" spans="1:12" ht="11.25" customHeight="1" x14ac:dyDescent="0.2">
      <c r="A6462" s="226">
        <v>2024</v>
      </c>
      <c r="B6462" s="226">
        <v>12</v>
      </c>
      <c r="C6462" s="232">
        <v>30</v>
      </c>
      <c r="D6462" s="232">
        <f t="shared" si="735"/>
        <v>45656</v>
      </c>
      <c r="E6462" s="234">
        <f t="shared" si="742"/>
        <v>45656</v>
      </c>
      <c r="F6462" s="479"/>
      <c r="G6462" s="227" t="s">
        <v>1111</v>
      </c>
      <c r="H6462" s="228"/>
      <c r="I6462" s="228"/>
      <c r="J6462" s="229" t="s">
        <v>67</v>
      </c>
      <c r="K6462" s="230"/>
      <c r="L6462" s="230">
        <v>92890.12</v>
      </c>
    </row>
    <row r="6463" spans="1:12" ht="11.25" customHeight="1" x14ac:dyDescent="0.2">
      <c r="A6463" s="221">
        <v>2024</v>
      </c>
      <c r="B6463" s="221">
        <v>12</v>
      </c>
      <c r="C6463" s="231">
        <v>30</v>
      </c>
      <c r="D6463" s="231">
        <f t="shared" si="735"/>
        <v>45656</v>
      </c>
      <c r="E6463" s="233">
        <f t="shared" ref="E6463:E6483" si="743">DATE(A6463,B6463,C6463)</f>
        <v>45656</v>
      </c>
      <c r="F6463" s="478" t="s">
        <v>1670</v>
      </c>
      <c r="G6463" s="222" t="s">
        <v>1111</v>
      </c>
      <c r="H6463" s="223"/>
      <c r="I6463" s="223"/>
      <c r="J6463" s="224" t="s">
        <v>63</v>
      </c>
      <c r="K6463" s="225">
        <v>50000</v>
      </c>
      <c r="L6463" s="225"/>
    </row>
    <row r="6464" spans="1:12" ht="11.25" customHeight="1" x14ac:dyDescent="0.2">
      <c r="A6464" s="226">
        <v>2024</v>
      </c>
      <c r="B6464" s="226">
        <v>12</v>
      </c>
      <c r="C6464" s="232">
        <v>30</v>
      </c>
      <c r="D6464" s="232">
        <f t="shared" si="735"/>
        <v>45656</v>
      </c>
      <c r="E6464" s="234">
        <f t="shared" si="743"/>
        <v>45656</v>
      </c>
      <c r="F6464" s="479"/>
      <c r="G6464" s="227" t="s">
        <v>1111</v>
      </c>
      <c r="H6464" s="228"/>
      <c r="I6464" s="228"/>
      <c r="J6464" s="229" t="s">
        <v>55</v>
      </c>
      <c r="K6464" s="230"/>
      <c r="L6464" s="230">
        <v>50000</v>
      </c>
    </row>
    <row r="6465" spans="1:12" ht="11.25" customHeight="1" x14ac:dyDescent="0.2">
      <c r="A6465" s="221">
        <v>2024</v>
      </c>
      <c r="B6465" s="221">
        <v>12</v>
      </c>
      <c r="C6465" s="231">
        <v>30</v>
      </c>
      <c r="D6465" s="231">
        <f t="shared" si="735"/>
        <v>45656</v>
      </c>
      <c r="E6465" s="233">
        <f t="shared" ref="E6465:E6466" si="744">DATE(A6465,B6465,C6465)</f>
        <v>45656</v>
      </c>
      <c r="F6465" s="478" t="s">
        <v>1670</v>
      </c>
      <c r="G6465" s="222" t="s">
        <v>1111</v>
      </c>
      <c r="H6465" s="223"/>
      <c r="I6465" s="223"/>
      <c r="J6465" s="224" t="s">
        <v>63</v>
      </c>
      <c r="K6465" s="225">
        <v>10000</v>
      </c>
      <c r="L6465" s="225"/>
    </row>
    <row r="6466" spans="1:12" ht="11.25" customHeight="1" x14ac:dyDescent="0.2">
      <c r="A6466" s="226">
        <v>2024</v>
      </c>
      <c r="B6466" s="226">
        <v>12</v>
      </c>
      <c r="C6466" s="232">
        <v>30</v>
      </c>
      <c r="D6466" s="232">
        <f t="shared" si="735"/>
        <v>45656</v>
      </c>
      <c r="E6466" s="234">
        <f t="shared" si="744"/>
        <v>45656</v>
      </c>
      <c r="F6466" s="479"/>
      <c r="G6466" s="227" t="s">
        <v>1111</v>
      </c>
      <c r="H6466" s="228"/>
      <c r="I6466" s="228"/>
      <c r="J6466" s="229" t="s">
        <v>55</v>
      </c>
      <c r="K6466" s="230"/>
      <c r="L6466" s="230">
        <v>10000</v>
      </c>
    </row>
    <row r="6467" spans="1:12" ht="11.25" customHeight="1" x14ac:dyDescent="0.2">
      <c r="A6467" s="221">
        <v>2024</v>
      </c>
      <c r="B6467" s="221">
        <v>12</v>
      </c>
      <c r="C6467" s="231">
        <v>30</v>
      </c>
      <c r="D6467" s="231">
        <f t="shared" si="735"/>
        <v>45656</v>
      </c>
      <c r="E6467" s="233">
        <f t="shared" ref="E6467:E6468" si="745">DATE(A6467,B6467,C6467)</f>
        <v>45656</v>
      </c>
      <c r="F6467" s="478" t="s">
        <v>1673</v>
      </c>
      <c r="G6467" s="222" t="s">
        <v>1111</v>
      </c>
      <c r="H6467" s="223"/>
      <c r="I6467" s="223"/>
      <c r="J6467" s="224" t="s">
        <v>63</v>
      </c>
      <c r="K6467" s="225">
        <v>345</v>
      </c>
      <c r="L6467" s="225"/>
    </row>
    <row r="6468" spans="1:12" ht="11.25" customHeight="1" x14ac:dyDescent="0.2">
      <c r="A6468" s="226">
        <v>2024</v>
      </c>
      <c r="B6468" s="226">
        <v>12</v>
      </c>
      <c r="C6468" s="232">
        <v>30</v>
      </c>
      <c r="D6468" s="232">
        <f t="shared" si="735"/>
        <v>45656</v>
      </c>
      <c r="E6468" s="234">
        <f t="shared" si="745"/>
        <v>45656</v>
      </c>
      <c r="F6468" s="479"/>
      <c r="G6468" s="227" t="s">
        <v>1111</v>
      </c>
      <c r="H6468" s="228"/>
      <c r="I6468" s="228"/>
      <c r="J6468" s="229" t="s">
        <v>55</v>
      </c>
      <c r="K6468" s="230"/>
      <c r="L6468" s="230">
        <v>345</v>
      </c>
    </row>
    <row r="6469" spans="1:12" ht="11.25" customHeight="1" x14ac:dyDescent="0.2">
      <c r="A6469" s="221">
        <v>2024</v>
      </c>
      <c r="B6469" s="221">
        <v>12</v>
      </c>
      <c r="C6469" s="231">
        <v>30</v>
      </c>
      <c r="D6469" s="231">
        <f t="shared" si="735"/>
        <v>45656</v>
      </c>
      <c r="E6469" s="233">
        <f t="shared" ref="E6469:E6475" si="746">DATE(A6469,B6469,C6469)</f>
        <v>45656</v>
      </c>
      <c r="F6469" s="478" t="s">
        <v>1677</v>
      </c>
      <c r="G6469" s="222" t="s">
        <v>1111</v>
      </c>
      <c r="H6469" s="223"/>
      <c r="I6469" s="223"/>
      <c r="J6469" s="224" t="s">
        <v>63</v>
      </c>
      <c r="K6469" s="225">
        <f>5000+500+75+200+30</f>
        <v>5805</v>
      </c>
      <c r="L6469" s="225"/>
    </row>
    <row r="6470" spans="1:12" ht="11.25" customHeight="1" x14ac:dyDescent="0.2">
      <c r="A6470" s="226">
        <v>2024</v>
      </c>
      <c r="B6470" s="226">
        <v>12</v>
      </c>
      <c r="C6470" s="232">
        <v>30</v>
      </c>
      <c r="D6470" s="232">
        <f t="shared" si="735"/>
        <v>45656</v>
      </c>
      <c r="E6470" s="234">
        <f t="shared" si="746"/>
        <v>45656</v>
      </c>
      <c r="F6470" s="479"/>
      <c r="G6470" s="227" t="s">
        <v>1111</v>
      </c>
      <c r="H6470" s="228"/>
      <c r="I6470" s="228"/>
      <c r="J6470" s="229" t="s">
        <v>55</v>
      </c>
      <c r="K6470" s="230"/>
      <c r="L6470" s="230">
        <v>5805</v>
      </c>
    </row>
    <row r="6471" spans="1:12" ht="11.25" customHeight="1" x14ac:dyDescent="0.2">
      <c r="A6471" s="221">
        <v>2024</v>
      </c>
      <c r="B6471" s="221">
        <v>12</v>
      </c>
      <c r="C6471" s="231">
        <v>30</v>
      </c>
      <c r="D6471" s="231">
        <f t="shared" si="735"/>
        <v>45656</v>
      </c>
      <c r="E6471" s="233">
        <f t="shared" si="746"/>
        <v>45656</v>
      </c>
      <c r="F6471" s="478" t="s">
        <v>1753</v>
      </c>
      <c r="G6471" s="222" t="s">
        <v>1111</v>
      </c>
      <c r="H6471" s="223"/>
      <c r="I6471" s="223"/>
      <c r="J6471" s="224" t="s">
        <v>63</v>
      </c>
      <c r="K6471" s="225">
        <v>10000</v>
      </c>
      <c r="L6471" s="225"/>
    </row>
    <row r="6472" spans="1:12" ht="11.25" customHeight="1" x14ac:dyDescent="0.2">
      <c r="A6472" s="226">
        <v>2024</v>
      </c>
      <c r="B6472" s="226">
        <v>12</v>
      </c>
      <c r="C6472" s="232">
        <v>30</v>
      </c>
      <c r="D6472" s="232">
        <f t="shared" si="735"/>
        <v>45656</v>
      </c>
      <c r="E6472" s="234">
        <f t="shared" si="746"/>
        <v>45656</v>
      </c>
      <c r="F6472" s="479"/>
      <c r="G6472" s="227" t="s">
        <v>1111</v>
      </c>
      <c r="H6472" s="228"/>
      <c r="I6472" s="228"/>
      <c r="J6472" s="229" t="s">
        <v>55</v>
      </c>
      <c r="K6472" s="230"/>
      <c r="L6472" s="230">
        <v>10000</v>
      </c>
    </row>
    <row r="6473" spans="1:12" ht="11.25" customHeight="1" x14ac:dyDescent="0.2">
      <c r="A6473" s="221">
        <v>2024</v>
      </c>
      <c r="B6473" s="221">
        <v>12</v>
      </c>
      <c r="C6473" s="231">
        <v>30</v>
      </c>
      <c r="D6473" s="231">
        <f t="shared" ref="D6473:D6536" si="747">DATE(A6473,B6473,C6473)</f>
        <v>45656</v>
      </c>
      <c r="E6473" s="233">
        <f t="shared" si="746"/>
        <v>45656</v>
      </c>
      <c r="F6473" s="478" t="s">
        <v>1754</v>
      </c>
      <c r="G6473" s="222" t="s">
        <v>1111</v>
      </c>
      <c r="H6473" s="223"/>
      <c r="I6473" s="223"/>
      <c r="J6473" s="224" t="s">
        <v>55</v>
      </c>
      <c r="K6473" s="225">
        <v>249019.88</v>
      </c>
      <c r="L6473" s="225"/>
    </row>
    <row r="6474" spans="1:12" ht="11.25" customHeight="1" x14ac:dyDescent="0.2">
      <c r="A6474" s="164">
        <v>2024</v>
      </c>
      <c r="B6474" s="164">
        <v>12</v>
      </c>
      <c r="C6474" s="164">
        <v>30</v>
      </c>
      <c r="D6474" s="156">
        <f t="shared" si="747"/>
        <v>45656</v>
      </c>
      <c r="E6474" s="235">
        <f t="shared" si="746"/>
        <v>45656</v>
      </c>
      <c r="F6474" s="480"/>
      <c r="G6474" s="208" t="s">
        <v>1111</v>
      </c>
      <c r="J6474" s="165" t="s">
        <v>174</v>
      </c>
      <c r="K6474" s="205"/>
      <c r="L6474" s="205">
        <v>29661.29</v>
      </c>
    </row>
    <row r="6475" spans="1:12" ht="11.25" customHeight="1" x14ac:dyDescent="0.2">
      <c r="A6475" s="226">
        <v>2024</v>
      </c>
      <c r="B6475" s="226">
        <v>12</v>
      </c>
      <c r="C6475" s="232">
        <v>30</v>
      </c>
      <c r="D6475" s="232">
        <f t="shared" si="747"/>
        <v>45656</v>
      </c>
      <c r="E6475" s="234">
        <f t="shared" si="746"/>
        <v>45656</v>
      </c>
      <c r="F6475" s="479"/>
      <c r="G6475" s="227" t="s">
        <v>1111</v>
      </c>
      <c r="H6475" s="228"/>
      <c r="I6475" s="228"/>
      <c r="J6475" s="229" t="s">
        <v>67</v>
      </c>
      <c r="K6475" s="230"/>
      <c r="L6475" s="230">
        <v>219358.59</v>
      </c>
    </row>
    <row r="6476" spans="1:12" ht="11.25" customHeight="1" x14ac:dyDescent="0.2">
      <c r="A6476" s="221">
        <v>2024</v>
      </c>
      <c r="B6476" s="221">
        <v>12</v>
      </c>
      <c r="C6476" s="231">
        <v>30</v>
      </c>
      <c r="D6476" s="231">
        <f t="shared" si="747"/>
        <v>45656</v>
      </c>
      <c r="E6476" s="233">
        <f t="shared" ref="E6476:E6477" si="748">DATE(A6476,B6476,C6476)</f>
        <v>45656</v>
      </c>
      <c r="F6476" s="478" t="s">
        <v>1676</v>
      </c>
      <c r="G6476" s="222" t="s">
        <v>1111</v>
      </c>
      <c r="H6476" s="223"/>
      <c r="I6476" s="223"/>
      <c r="J6476" s="224" t="s">
        <v>63</v>
      </c>
      <c r="K6476" s="225">
        <v>5.36</v>
      </c>
      <c r="L6476" s="225"/>
    </row>
    <row r="6477" spans="1:12" ht="11.25" customHeight="1" x14ac:dyDescent="0.2">
      <c r="A6477" s="226">
        <v>2024</v>
      </c>
      <c r="B6477" s="226">
        <v>12</v>
      </c>
      <c r="C6477" s="232">
        <v>30</v>
      </c>
      <c r="D6477" s="232">
        <f t="shared" si="747"/>
        <v>45656</v>
      </c>
      <c r="E6477" s="234">
        <f t="shared" si="748"/>
        <v>45656</v>
      </c>
      <c r="F6477" s="479"/>
      <c r="G6477" s="227" t="s">
        <v>1111</v>
      </c>
      <c r="H6477" s="228"/>
      <c r="I6477" s="228"/>
      <c r="J6477" s="229" t="s">
        <v>55</v>
      </c>
      <c r="K6477" s="230"/>
      <c r="L6477" s="230">
        <v>5.36</v>
      </c>
    </row>
    <row r="6478" spans="1:12" ht="11.25" customHeight="1" x14ac:dyDescent="0.2">
      <c r="A6478" s="221">
        <v>2024</v>
      </c>
      <c r="B6478" s="221">
        <v>12</v>
      </c>
      <c r="C6478" s="231">
        <v>30</v>
      </c>
      <c r="D6478" s="231">
        <f t="shared" si="747"/>
        <v>45656</v>
      </c>
      <c r="E6478" s="233">
        <f t="shared" ref="E6478:E6480" si="749">DATE(A6478,B6478,C6478)</f>
        <v>45656</v>
      </c>
      <c r="F6478" s="478" t="s">
        <v>1749</v>
      </c>
      <c r="G6478" s="222" t="s">
        <v>1111</v>
      </c>
      <c r="H6478" s="223"/>
      <c r="I6478" s="223"/>
      <c r="J6478" s="224" t="s">
        <v>55</v>
      </c>
      <c r="K6478" s="225">
        <v>35.71</v>
      </c>
      <c r="L6478" s="225"/>
    </row>
    <row r="6479" spans="1:12" ht="11.25" customHeight="1" x14ac:dyDescent="0.2">
      <c r="A6479" s="164">
        <v>2024</v>
      </c>
      <c r="B6479" s="164">
        <v>12</v>
      </c>
      <c r="C6479" s="164">
        <v>30</v>
      </c>
      <c r="D6479" s="156">
        <f t="shared" si="747"/>
        <v>45656</v>
      </c>
      <c r="E6479" s="235">
        <f t="shared" si="749"/>
        <v>45656</v>
      </c>
      <c r="F6479" s="480"/>
      <c r="G6479" s="208" t="s">
        <v>1111</v>
      </c>
      <c r="J6479" s="165" t="s">
        <v>174</v>
      </c>
      <c r="K6479" s="205">
        <v>9.27</v>
      </c>
      <c r="L6479" s="205"/>
    </row>
    <row r="6480" spans="1:12" ht="11.25" customHeight="1" x14ac:dyDescent="0.2">
      <c r="A6480" s="226">
        <v>2024</v>
      </c>
      <c r="B6480" s="226">
        <v>12</v>
      </c>
      <c r="C6480" s="232">
        <v>30</v>
      </c>
      <c r="D6480" s="232">
        <f t="shared" si="747"/>
        <v>45656</v>
      </c>
      <c r="E6480" s="234">
        <f t="shared" si="749"/>
        <v>45656</v>
      </c>
      <c r="F6480" s="479"/>
      <c r="G6480" s="227" t="s">
        <v>1111</v>
      </c>
      <c r="H6480" s="228"/>
      <c r="I6480" s="228"/>
      <c r="J6480" s="229" t="s">
        <v>67</v>
      </c>
      <c r="K6480" s="230"/>
      <c r="L6480" s="230">
        <v>44.98</v>
      </c>
    </row>
    <row r="6481" spans="1:12" ht="11.25" customHeight="1" x14ac:dyDescent="0.2">
      <c r="A6481" s="221">
        <v>2024</v>
      </c>
      <c r="B6481" s="221">
        <v>12</v>
      </c>
      <c r="C6481" s="231">
        <v>31</v>
      </c>
      <c r="D6481" s="231">
        <f t="shared" si="747"/>
        <v>45657</v>
      </c>
      <c r="E6481" s="233">
        <f t="shared" si="743"/>
        <v>45657</v>
      </c>
      <c r="F6481" s="478" t="s">
        <v>1748</v>
      </c>
      <c r="G6481" s="222" t="s">
        <v>1111</v>
      </c>
      <c r="H6481" s="223"/>
      <c r="I6481" s="223"/>
      <c r="J6481" s="224" t="s">
        <v>55</v>
      </c>
      <c r="K6481" s="225">
        <v>3961.77</v>
      </c>
      <c r="L6481" s="225"/>
    </row>
    <row r="6482" spans="1:12" ht="11.25" customHeight="1" x14ac:dyDescent="0.2">
      <c r="A6482" s="164">
        <v>2024</v>
      </c>
      <c r="B6482" s="164">
        <v>12</v>
      </c>
      <c r="C6482" s="164">
        <v>31</v>
      </c>
      <c r="D6482" s="156">
        <f t="shared" si="747"/>
        <v>45657</v>
      </c>
      <c r="E6482" s="235">
        <f t="shared" si="743"/>
        <v>45657</v>
      </c>
      <c r="F6482" s="480"/>
      <c r="G6482" s="208" t="s">
        <v>1111</v>
      </c>
      <c r="J6482" s="165" t="s">
        <v>174</v>
      </c>
      <c r="K6482" s="205"/>
      <c r="L6482" s="205">
        <v>43.48</v>
      </c>
    </row>
    <row r="6483" spans="1:12" ht="11.25" customHeight="1" x14ac:dyDescent="0.2">
      <c r="A6483" s="226">
        <v>2024</v>
      </c>
      <c r="B6483" s="226">
        <v>12</v>
      </c>
      <c r="C6483" s="232">
        <v>31</v>
      </c>
      <c r="D6483" s="232">
        <f t="shared" si="747"/>
        <v>45657</v>
      </c>
      <c r="E6483" s="234">
        <f t="shared" si="743"/>
        <v>45657</v>
      </c>
      <c r="F6483" s="479"/>
      <c r="G6483" s="227" t="s">
        <v>1111</v>
      </c>
      <c r="H6483" s="228"/>
      <c r="I6483" s="228"/>
      <c r="J6483" s="229" t="s">
        <v>67</v>
      </c>
      <c r="K6483" s="230"/>
      <c r="L6483" s="230">
        <v>3918.29</v>
      </c>
    </row>
    <row r="6484" spans="1:12" ht="11.25" customHeight="1" x14ac:dyDescent="0.2">
      <c r="A6484" s="221">
        <v>2024</v>
      </c>
      <c r="B6484" s="221">
        <v>12</v>
      </c>
      <c r="C6484" s="231">
        <v>31</v>
      </c>
      <c r="D6484" s="231">
        <f t="shared" si="747"/>
        <v>45657</v>
      </c>
      <c r="E6484" s="233">
        <f t="shared" ref="E6484:E6497" si="750">DATE(A6484,B6484,C6484)</f>
        <v>45657</v>
      </c>
      <c r="F6484" s="478" t="s">
        <v>1748</v>
      </c>
      <c r="G6484" s="222" t="s">
        <v>1111</v>
      </c>
      <c r="H6484" s="223"/>
      <c r="I6484" s="223"/>
      <c r="J6484" s="224" t="s">
        <v>55</v>
      </c>
      <c r="K6484" s="225">
        <v>1315.26</v>
      </c>
      <c r="L6484" s="225"/>
    </row>
    <row r="6485" spans="1:12" ht="11.25" customHeight="1" x14ac:dyDescent="0.2">
      <c r="A6485" s="164">
        <v>2024</v>
      </c>
      <c r="B6485" s="164">
        <v>12</v>
      </c>
      <c r="C6485" s="164">
        <v>31</v>
      </c>
      <c r="D6485" s="156">
        <f t="shared" si="747"/>
        <v>45657</v>
      </c>
      <c r="E6485" s="235">
        <f t="shared" si="750"/>
        <v>45657</v>
      </c>
      <c r="F6485" s="480"/>
      <c r="G6485" s="208" t="s">
        <v>1111</v>
      </c>
      <c r="J6485" s="165" t="s">
        <v>174</v>
      </c>
      <c r="K6485" s="205">
        <v>1147.2</v>
      </c>
      <c r="L6485" s="205"/>
    </row>
    <row r="6486" spans="1:12" ht="11.25" customHeight="1" x14ac:dyDescent="0.2">
      <c r="A6486" s="226">
        <v>2024</v>
      </c>
      <c r="B6486" s="226">
        <v>12</v>
      </c>
      <c r="C6486" s="232">
        <v>31</v>
      </c>
      <c r="D6486" s="232">
        <f t="shared" si="747"/>
        <v>45657</v>
      </c>
      <c r="E6486" s="234">
        <f t="shared" si="750"/>
        <v>45657</v>
      </c>
      <c r="F6486" s="479"/>
      <c r="G6486" s="227" t="s">
        <v>1111</v>
      </c>
      <c r="H6486" s="228"/>
      <c r="I6486" s="228"/>
      <c r="J6486" s="229" t="s">
        <v>67</v>
      </c>
      <c r="K6486" s="230"/>
      <c r="L6486" s="230">
        <v>2462.46</v>
      </c>
    </row>
    <row r="6487" spans="1:12" ht="11.25" customHeight="1" x14ac:dyDescent="0.2">
      <c r="A6487" s="221">
        <v>2024</v>
      </c>
      <c r="B6487" s="221">
        <v>12</v>
      </c>
      <c r="C6487" s="231">
        <v>31</v>
      </c>
      <c r="D6487" s="231">
        <f t="shared" si="747"/>
        <v>45657</v>
      </c>
      <c r="E6487" s="233">
        <f t="shared" si="750"/>
        <v>45657</v>
      </c>
      <c r="F6487" s="478" t="s">
        <v>1750</v>
      </c>
      <c r="G6487" s="222" t="s">
        <v>1111</v>
      </c>
      <c r="H6487" s="223"/>
      <c r="I6487" s="223"/>
      <c r="J6487" s="224" t="s">
        <v>55</v>
      </c>
      <c r="K6487" s="225">
        <v>3264.32</v>
      </c>
      <c r="L6487" s="225"/>
    </row>
    <row r="6488" spans="1:12" ht="11.25" customHeight="1" x14ac:dyDescent="0.2">
      <c r="A6488" s="164">
        <v>2024</v>
      </c>
      <c r="B6488" s="164">
        <v>12</v>
      </c>
      <c r="C6488" s="164">
        <v>31</v>
      </c>
      <c r="D6488" s="156">
        <f t="shared" si="747"/>
        <v>45657</v>
      </c>
      <c r="E6488" s="235">
        <f t="shared" si="750"/>
        <v>45657</v>
      </c>
      <c r="F6488" s="480"/>
      <c r="G6488" s="208" t="s">
        <v>1111</v>
      </c>
      <c r="J6488" s="165" t="s">
        <v>174</v>
      </c>
      <c r="K6488" s="205"/>
      <c r="L6488" s="205">
        <v>229.94</v>
      </c>
    </row>
    <row r="6489" spans="1:12" ht="11.25" customHeight="1" x14ac:dyDescent="0.2">
      <c r="A6489" s="226">
        <v>2024</v>
      </c>
      <c r="B6489" s="226">
        <v>12</v>
      </c>
      <c r="C6489" s="232">
        <v>31</v>
      </c>
      <c r="D6489" s="232">
        <f t="shared" si="747"/>
        <v>45657</v>
      </c>
      <c r="E6489" s="234">
        <f t="shared" si="750"/>
        <v>45657</v>
      </c>
      <c r="F6489" s="479"/>
      <c r="G6489" s="227" t="s">
        <v>1111</v>
      </c>
      <c r="H6489" s="228"/>
      <c r="I6489" s="228"/>
      <c r="J6489" s="229" t="s">
        <v>67</v>
      </c>
      <c r="K6489" s="230"/>
      <c r="L6489" s="230">
        <v>3034.38</v>
      </c>
    </row>
    <row r="6490" spans="1:12" ht="11.25" customHeight="1" x14ac:dyDescent="0.2">
      <c r="A6490" s="221">
        <v>2024</v>
      </c>
      <c r="B6490" s="221">
        <v>12</v>
      </c>
      <c r="C6490" s="231">
        <v>31</v>
      </c>
      <c r="D6490" s="231">
        <f t="shared" si="747"/>
        <v>45657</v>
      </c>
      <c r="E6490" s="233">
        <f t="shared" si="750"/>
        <v>45657</v>
      </c>
      <c r="F6490" s="478" t="s">
        <v>1677</v>
      </c>
      <c r="G6490" s="222" t="s">
        <v>1111</v>
      </c>
      <c r="H6490" s="223"/>
      <c r="I6490" s="223"/>
      <c r="J6490" s="224" t="s">
        <v>63</v>
      </c>
      <c r="K6490" s="225">
        <v>979</v>
      </c>
      <c r="L6490" s="225"/>
    </row>
    <row r="6491" spans="1:12" ht="11.25" customHeight="1" x14ac:dyDescent="0.2">
      <c r="A6491" s="226">
        <v>2024</v>
      </c>
      <c r="B6491" s="226">
        <v>12</v>
      </c>
      <c r="C6491" s="232">
        <v>31</v>
      </c>
      <c r="D6491" s="232">
        <f t="shared" si="747"/>
        <v>45657</v>
      </c>
      <c r="E6491" s="234">
        <f t="shared" si="750"/>
        <v>45657</v>
      </c>
      <c r="F6491" s="479"/>
      <c r="G6491" s="227" t="s">
        <v>1111</v>
      </c>
      <c r="H6491" s="228"/>
      <c r="I6491" s="228"/>
      <c r="J6491" s="229" t="s">
        <v>55</v>
      </c>
      <c r="K6491" s="230"/>
      <c r="L6491" s="230">
        <v>979</v>
      </c>
    </row>
    <row r="6492" spans="1:12" ht="11.25" customHeight="1" x14ac:dyDescent="0.2">
      <c r="A6492" s="221">
        <v>2024</v>
      </c>
      <c r="B6492" s="221">
        <v>12</v>
      </c>
      <c r="C6492" s="221">
        <v>31</v>
      </c>
      <c r="D6492" s="231">
        <f t="shared" si="747"/>
        <v>45657</v>
      </c>
      <c r="E6492" s="233">
        <f t="shared" si="750"/>
        <v>45657</v>
      </c>
      <c r="F6492" s="478" t="s">
        <v>1390</v>
      </c>
      <c r="G6492" s="222" t="s">
        <v>86</v>
      </c>
      <c r="H6492" s="223"/>
      <c r="I6492" s="223"/>
      <c r="J6492" s="224" t="s">
        <v>128</v>
      </c>
      <c r="K6492" s="225">
        <v>40250</v>
      </c>
      <c r="L6492" s="225"/>
    </row>
    <row r="6493" spans="1:12" ht="11.25" customHeight="1" x14ac:dyDescent="0.2">
      <c r="A6493" s="226">
        <v>2024</v>
      </c>
      <c r="B6493" s="226">
        <v>12</v>
      </c>
      <c r="C6493" s="226">
        <v>31</v>
      </c>
      <c r="D6493" s="232">
        <f t="shared" si="747"/>
        <v>45657</v>
      </c>
      <c r="E6493" s="234">
        <f t="shared" si="750"/>
        <v>45657</v>
      </c>
      <c r="F6493" s="479"/>
      <c r="G6493" s="227" t="s">
        <v>86</v>
      </c>
      <c r="H6493" s="228"/>
      <c r="I6493" s="228"/>
      <c r="J6493" s="229" t="s">
        <v>53</v>
      </c>
      <c r="K6493" s="230"/>
      <c r="L6493" s="230">
        <v>40250</v>
      </c>
    </row>
    <row r="6494" spans="1:12" ht="11.25" customHeight="1" x14ac:dyDescent="0.2">
      <c r="A6494" s="403">
        <v>2024</v>
      </c>
      <c r="B6494" s="403">
        <v>12</v>
      </c>
      <c r="C6494" s="403">
        <v>31</v>
      </c>
      <c r="D6494" s="404">
        <f t="shared" si="747"/>
        <v>45657</v>
      </c>
      <c r="E6494" s="405">
        <f t="shared" si="750"/>
        <v>45657</v>
      </c>
      <c r="F6494" s="486" t="s">
        <v>1825</v>
      </c>
      <c r="G6494" s="406" t="s">
        <v>86</v>
      </c>
      <c r="H6494" s="407"/>
      <c r="I6494" s="407"/>
      <c r="J6494" s="408" t="s">
        <v>62</v>
      </c>
      <c r="K6494" s="409">
        <v>2415.3999999996367</v>
      </c>
      <c r="L6494" s="409"/>
    </row>
    <row r="6495" spans="1:12" ht="11.25" customHeight="1" x14ac:dyDescent="0.2">
      <c r="A6495" s="410">
        <v>2024</v>
      </c>
      <c r="B6495" s="410">
        <v>12</v>
      </c>
      <c r="C6495" s="410">
        <v>31</v>
      </c>
      <c r="D6495" s="411">
        <f t="shared" si="747"/>
        <v>45657</v>
      </c>
      <c r="E6495" s="412">
        <f t="shared" si="750"/>
        <v>45657</v>
      </c>
      <c r="F6495" s="487"/>
      <c r="G6495" s="413" t="s">
        <v>86</v>
      </c>
      <c r="H6495" s="414"/>
      <c r="I6495" s="414"/>
      <c r="J6495" s="415" t="s">
        <v>67</v>
      </c>
      <c r="K6495" s="416"/>
      <c r="L6495" s="416">
        <v>2415.3999999996367</v>
      </c>
    </row>
    <row r="6496" spans="1:12" ht="11.25" customHeight="1" x14ac:dyDescent="0.2">
      <c r="A6496" s="221">
        <v>2024</v>
      </c>
      <c r="B6496" s="221">
        <v>12</v>
      </c>
      <c r="C6496" s="221">
        <v>31</v>
      </c>
      <c r="D6496" s="231">
        <f t="shared" si="747"/>
        <v>45657</v>
      </c>
      <c r="E6496" s="233">
        <f t="shared" si="750"/>
        <v>45657</v>
      </c>
      <c r="F6496" s="478" t="s">
        <v>1833</v>
      </c>
      <c r="G6496" s="222" t="s">
        <v>1111</v>
      </c>
      <c r="H6496" s="223"/>
      <c r="I6496" s="223"/>
      <c r="J6496" s="224" t="s">
        <v>191</v>
      </c>
      <c r="K6496" s="225">
        <v>48750</v>
      </c>
      <c r="L6496" s="225"/>
    </row>
    <row r="6497" spans="1:13" ht="11.25" customHeight="1" x14ac:dyDescent="0.2">
      <c r="A6497" s="226">
        <v>2024</v>
      </c>
      <c r="B6497" s="226">
        <v>12</v>
      </c>
      <c r="C6497" s="226">
        <v>31</v>
      </c>
      <c r="D6497" s="232">
        <f t="shared" si="747"/>
        <v>45657</v>
      </c>
      <c r="E6497" s="234">
        <f t="shared" si="750"/>
        <v>45657</v>
      </c>
      <c r="F6497" s="479"/>
      <c r="G6497" s="227" t="s">
        <v>1111</v>
      </c>
      <c r="H6497" s="228"/>
      <c r="I6497" s="228"/>
      <c r="J6497" s="229" t="s">
        <v>192</v>
      </c>
      <c r="K6497" s="230"/>
      <c r="L6497" s="230">
        <v>48750</v>
      </c>
      <c r="M6497" s="166"/>
    </row>
    <row r="6498" spans="1:13" ht="11.25" customHeight="1" x14ac:dyDescent="0.2">
      <c r="A6498" s="280">
        <v>2024</v>
      </c>
      <c r="B6498" s="280">
        <v>12</v>
      </c>
      <c r="C6498" s="280">
        <v>31</v>
      </c>
      <c r="D6498" s="281">
        <f t="shared" si="747"/>
        <v>45657</v>
      </c>
      <c r="E6498" s="282">
        <f t="shared" ref="E6498:E6499" si="751">DATE(A6498,B6498,C6498)</f>
        <v>45657</v>
      </c>
      <c r="F6498" s="472" t="s">
        <v>1831</v>
      </c>
      <c r="G6498" s="283" t="s">
        <v>86</v>
      </c>
      <c r="H6498" s="284"/>
      <c r="I6498" s="284"/>
      <c r="J6498" s="285" t="s">
        <v>62</v>
      </c>
      <c r="K6498" s="286">
        <v>13641.658349816222</v>
      </c>
      <c r="L6498" s="286"/>
    </row>
    <row r="6499" spans="1:13" ht="11.25" customHeight="1" x14ac:dyDescent="0.2">
      <c r="A6499" s="287">
        <v>2024</v>
      </c>
      <c r="B6499" s="287">
        <v>12</v>
      </c>
      <c r="C6499" s="287">
        <v>31</v>
      </c>
      <c r="D6499" s="288">
        <f t="shared" si="747"/>
        <v>45657</v>
      </c>
      <c r="E6499" s="289">
        <f t="shared" si="751"/>
        <v>45657</v>
      </c>
      <c r="F6499" s="473"/>
      <c r="G6499" s="290" t="s">
        <v>86</v>
      </c>
      <c r="H6499" s="291"/>
      <c r="I6499" s="291"/>
      <c r="J6499" s="292" t="s">
        <v>131</v>
      </c>
      <c r="K6499" s="293"/>
      <c r="L6499" s="293">
        <v>13641.658349816222</v>
      </c>
    </row>
    <row r="6500" spans="1:13" ht="11.25" customHeight="1" x14ac:dyDescent="0.2">
      <c r="A6500" s="280">
        <v>2024</v>
      </c>
      <c r="B6500" s="280">
        <v>12</v>
      </c>
      <c r="C6500" s="280">
        <v>31</v>
      </c>
      <c r="D6500" s="281">
        <f t="shared" si="747"/>
        <v>45657</v>
      </c>
      <c r="E6500" s="282">
        <f t="shared" ref="E6500:E6505" si="752">DATE(A6500,B6500,C6500)</f>
        <v>45657</v>
      </c>
      <c r="F6500" s="472" t="s">
        <v>1744</v>
      </c>
      <c r="G6500" s="283" t="s">
        <v>86</v>
      </c>
      <c r="H6500" s="284"/>
      <c r="I6500" s="284"/>
      <c r="J6500" s="285" t="s">
        <v>131</v>
      </c>
      <c r="K6500" s="286">
        <f>M6500/7*5</f>
        <v>13827.380952380952</v>
      </c>
      <c r="L6500" s="286"/>
      <c r="M6500" s="401">
        <v>19358.333333333332</v>
      </c>
    </row>
    <row r="6501" spans="1:13" ht="11.25" customHeight="1" x14ac:dyDescent="0.2">
      <c r="A6501" s="287">
        <v>2024</v>
      </c>
      <c r="B6501" s="287">
        <v>12</v>
      </c>
      <c r="C6501" s="287">
        <v>31</v>
      </c>
      <c r="D6501" s="288">
        <f t="shared" si="747"/>
        <v>45657</v>
      </c>
      <c r="E6501" s="289">
        <f t="shared" si="752"/>
        <v>45657</v>
      </c>
      <c r="F6501" s="473"/>
      <c r="G6501" s="290" t="s">
        <v>86</v>
      </c>
      <c r="H6501" s="291"/>
      <c r="I6501" s="291"/>
      <c r="J6501" s="292" t="s">
        <v>174</v>
      </c>
      <c r="K6501" s="293"/>
      <c r="L6501" s="293">
        <f>K6500</f>
        <v>13827.380952380952</v>
      </c>
    </row>
    <row r="6502" spans="1:13" ht="11.25" customHeight="1" x14ac:dyDescent="0.2">
      <c r="A6502" s="280">
        <v>2024</v>
      </c>
      <c r="B6502" s="280">
        <v>12</v>
      </c>
      <c r="C6502" s="280">
        <v>31</v>
      </c>
      <c r="D6502" s="281">
        <f t="shared" si="747"/>
        <v>45657</v>
      </c>
      <c r="E6502" s="282">
        <f t="shared" si="752"/>
        <v>45657</v>
      </c>
      <c r="F6502" s="472" t="s">
        <v>1584</v>
      </c>
      <c r="G6502" s="283" t="s">
        <v>86</v>
      </c>
      <c r="H6502" s="284"/>
      <c r="I6502" s="284"/>
      <c r="J6502" s="285" t="s">
        <v>131</v>
      </c>
      <c r="K6502" s="286">
        <f>M6502/7*5</f>
        <v>6318.6813186813188</v>
      </c>
      <c r="L6502" s="286"/>
      <c r="M6502" s="156">
        <v>8846.1538461538457</v>
      </c>
    </row>
    <row r="6503" spans="1:13" ht="11.25" customHeight="1" x14ac:dyDescent="0.2">
      <c r="A6503" s="287">
        <v>2024</v>
      </c>
      <c r="B6503" s="287">
        <v>12</v>
      </c>
      <c r="C6503" s="287">
        <v>31</v>
      </c>
      <c r="D6503" s="288">
        <f t="shared" si="747"/>
        <v>45657</v>
      </c>
      <c r="E6503" s="289">
        <f t="shared" si="752"/>
        <v>45657</v>
      </c>
      <c r="F6503" s="473"/>
      <c r="G6503" s="290" t="s">
        <v>86</v>
      </c>
      <c r="H6503" s="291"/>
      <c r="I6503" s="291"/>
      <c r="J6503" s="292" t="s">
        <v>174</v>
      </c>
      <c r="K6503" s="293"/>
      <c r="L6503" s="293">
        <f>K6502</f>
        <v>6318.6813186813188</v>
      </c>
    </row>
    <row r="6504" spans="1:13" ht="11.25" customHeight="1" x14ac:dyDescent="0.2">
      <c r="A6504" s="280">
        <v>2024</v>
      </c>
      <c r="B6504" s="280">
        <v>12</v>
      </c>
      <c r="C6504" s="280">
        <v>31</v>
      </c>
      <c r="D6504" s="281">
        <f t="shared" si="747"/>
        <v>45657</v>
      </c>
      <c r="E6504" s="282">
        <f t="shared" si="752"/>
        <v>45657</v>
      </c>
      <c r="F6504" s="472" t="s">
        <v>1830</v>
      </c>
      <c r="G6504" s="283" t="s">
        <v>86</v>
      </c>
      <c r="H6504" s="284"/>
      <c r="I6504" s="284"/>
      <c r="J6504" s="285" t="s">
        <v>131</v>
      </c>
      <c r="K6504" s="286">
        <v>3424.7321428571427</v>
      </c>
      <c r="L6504" s="286"/>
      <c r="M6504" s="401">
        <f>K6504/7*5</f>
        <v>2446.237244897959</v>
      </c>
    </row>
    <row r="6505" spans="1:13" ht="11.25" customHeight="1" x14ac:dyDescent="0.2">
      <c r="A6505" s="287">
        <v>2024</v>
      </c>
      <c r="B6505" s="287">
        <v>12</v>
      </c>
      <c r="C6505" s="287">
        <v>31</v>
      </c>
      <c r="D6505" s="288">
        <f t="shared" si="747"/>
        <v>45657</v>
      </c>
      <c r="E6505" s="289">
        <f t="shared" si="752"/>
        <v>45657</v>
      </c>
      <c r="F6505" s="473"/>
      <c r="G6505" s="290" t="s">
        <v>86</v>
      </c>
      <c r="H6505" s="291"/>
      <c r="I6505" s="291"/>
      <c r="J6505" s="292" t="s">
        <v>174</v>
      </c>
      <c r="K6505" s="293"/>
      <c r="L6505" s="293">
        <v>3424.7321428571427</v>
      </c>
    </row>
    <row r="6506" spans="1:13" ht="11.25" customHeight="1" x14ac:dyDescent="0.2">
      <c r="A6506" s="358">
        <v>2024</v>
      </c>
      <c r="B6506" s="358">
        <v>12</v>
      </c>
      <c r="C6506" s="358">
        <v>31</v>
      </c>
      <c r="D6506" s="312">
        <f t="shared" si="747"/>
        <v>45657</v>
      </c>
      <c r="E6506" s="313">
        <f>DATE(A6506,B6506,C6506)</f>
        <v>45657</v>
      </c>
      <c r="F6506" s="482" t="s">
        <v>1627</v>
      </c>
      <c r="G6506" s="314" t="s">
        <v>86</v>
      </c>
      <c r="H6506" s="324"/>
      <c r="I6506" s="324"/>
      <c r="J6506" s="364" t="s">
        <v>1613</v>
      </c>
      <c r="K6506" s="365"/>
      <c r="L6506" s="365"/>
      <c r="M6506" s="156">
        <f>BS!$I$12</f>
        <v>0</v>
      </c>
    </row>
    <row r="6507" spans="1:13" ht="11.25" customHeight="1" x14ac:dyDescent="0.2">
      <c r="A6507" s="320">
        <v>2024</v>
      </c>
      <c r="B6507" s="320">
        <v>12</v>
      </c>
      <c r="C6507" s="320">
        <v>31</v>
      </c>
      <c r="D6507" s="323">
        <f t="shared" si="747"/>
        <v>45657</v>
      </c>
      <c r="E6507" s="321">
        <f t="shared" ref="E6507" si="753">DATE(A6507,B6507,C6507)</f>
        <v>45657</v>
      </c>
      <c r="F6507" s="483"/>
      <c r="G6507" s="322" t="s">
        <v>86</v>
      </c>
      <c r="H6507" s="325"/>
      <c r="I6507" s="325"/>
      <c r="J6507" s="366" t="s">
        <v>1621</v>
      </c>
      <c r="K6507" s="367"/>
      <c r="L6507" s="367">
        <f>K6506</f>
        <v>0</v>
      </c>
    </row>
    <row r="6508" spans="1:13" ht="11.25" customHeight="1" x14ac:dyDescent="0.2">
      <c r="A6508" s="358">
        <v>2024</v>
      </c>
      <c r="B6508" s="358">
        <v>12</v>
      </c>
      <c r="C6508" s="358">
        <v>31</v>
      </c>
      <c r="D6508" s="312">
        <f t="shared" si="747"/>
        <v>45657</v>
      </c>
      <c r="E6508" s="313">
        <f>DATE(A6508,B6508,C6508)</f>
        <v>45657</v>
      </c>
      <c r="F6508" s="482" t="s">
        <v>1713</v>
      </c>
      <c r="G6508" s="314" t="s">
        <v>86</v>
      </c>
      <c r="H6508" s="324"/>
      <c r="I6508" s="324"/>
      <c r="J6508" s="364" t="s">
        <v>1622</v>
      </c>
      <c r="K6508" s="365">
        <v>21910.54999999702</v>
      </c>
      <c r="L6508" s="365"/>
      <c r="M6508" s="156">
        <f>BS!$I$15</f>
        <v>0</v>
      </c>
    </row>
    <row r="6509" spans="1:13" ht="11.25" customHeight="1" x14ac:dyDescent="0.2">
      <c r="A6509" s="320">
        <v>2024</v>
      </c>
      <c r="B6509" s="320">
        <v>12</v>
      </c>
      <c r="C6509" s="320">
        <v>31</v>
      </c>
      <c r="D6509" s="323">
        <f t="shared" si="747"/>
        <v>45657</v>
      </c>
      <c r="E6509" s="321">
        <f t="shared" ref="E6509:E6519" si="754">DATE(A6509,B6509,C6509)</f>
        <v>45657</v>
      </c>
      <c r="F6509" s="483"/>
      <c r="G6509" s="322" t="s">
        <v>86</v>
      </c>
      <c r="H6509" s="325"/>
      <c r="I6509" s="325"/>
      <c r="J6509" s="366" t="s">
        <v>1614</v>
      </c>
      <c r="K6509" s="367"/>
      <c r="L6509" s="367">
        <f>K6508</f>
        <v>21910.54999999702</v>
      </c>
    </row>
    <row r="6510" spans="1:13" ht="11.25" customHeight="1" x14ac:dyDescent="0.2">
      <c r="A6510" s="236">
        <v>2024</v>
      </c>
      <c r="B6510" s="236">
        <v>12</v>
      </c>
      <c r="C6510" s="236">
        <v>31</v>
      </c>
      <c r="D6510" s="237">
        <f t="shared" si="747"/>
        <v>45657</v>
      </c>
      <c r="E6510" s="238">
        <f t="shared" si="754"/>
        <v>45657</v>
      </c>
      <c r="F6510" s="476" t="s">
        <v>1118</v>
      </c>
      <c r="G6510" s="239" t="s">
        <v>86</v>
      </c>
      <c r="H6510" s="239"/>
      <c r="I6510" s="240"/>
      <c r="J6510" s="241" t="s">
        <v>98</v>
      </c>
      <c r="K6510" s="242">
        <v>464096.26000000536</v>
      </c>
      <c r="L6510" s="242"/>
      <c r="M6510" s="156">
        <f>BS!$I$8</f>
        <v>0</v>
      </c>
    </row>
    <row r="6511" spans="1:13" ht="11.25" customHeight="1" x14ac:dyDescent="0.2">
      <c r="A6511" s="243">
        <v>2024</v>
      </c>
      <c r="B6511" s="243">
        <v>12</v>
      </c>
      <c r="C6511" s="243">
        <v>31</v>
      </c>
      <c r="D6511" s="248">
        <f t="shared" si="747"/>
        <v>45657</v>
      </c>
      <c r="E6511" s="249">
        <f t="shared" si="754"/>
        <v>45657</v>
      </c>
      <c r="F6511" s="477"/>
      <c r="G6511" s="244" t="s">
        <v>86</v>
      </c>
      <c r="H6511" s="244"/>
      <c r="I6511" s="245"/>
      <c r="J6511" s="246" t="s">
        <v>82</v>
      </c>
      <c r="K6511" s="247"/>
      <c r="L6511" s="247">
        <f>K6510</f>
        <v>464096.26000000536</v>
      </c>
    </row>
    <row r="6512" spans="1:13" ht="11.25" customHeight="1" x14ac:dyDescent="0.2">
      <c r="A6512" s="236">
        <v>2024</v>
      </c>
      <c r="B6512" s="236">
        <v>12</v>
      </c>
      <c r="C6512" s="236">
        <v>31</v>
      </c>
      <c r="D6512" s="237">
        <f t="shared" si="747"/>
        <v>45657</v>
      </c>
      <c r="E6512" s="238">
        <f t="shared" si="754"/>
        <v>45657</v>
      </c>
      <c r="F6512" s="476" t="s">
        <v>1120</v>
      </c>
      <c r="G6512" s="239" t="s">
        <v>86</v>
      </c>
      <c r="H6512" s="239"/>
      <c r="I6512" s="240"/>
      <c r="J6512" s="241" t="s">
        <v>87</v>
      </c>
      <c r="K6512" s="242">
        <f>M6512/7*5</f>
        <v>1962.3233908948193</v>
      </c>
      <c r="L6512" s="242"/>
      <c r="M6512" s="156">
        <v>2747.2527472527472</v>
      </c>
    </row>
    <row r="6513" spans="1:21" ht="11.25" customHeight="1" x14ac:dyDescent="0.2">
      <c r="A6513" s="243">
        <v>2024</v>
      </c>
      <c r="B6513" s="243">
        <v>12</v>
      </c>
      <c r="C6513" s="243">
        <v>31</v>
      </c>
      <c r="D6513" s="248">
        <f t="shared" si="747"/>
        <v>45657</v>
      </c>
      <c r="E6513" s="249">
        <f t="shared" si="754"/>
        <v>45657</v>
      </c>
      <c r="F6513" s="477"/>
      <c r="G6513" s="244" t="s">
        <v>86</v>
      </c>
      <c r="H6513" s="244"/>
      <c r="I6513" s="245"/>
      <c r="J6513" s="246" t="s">
        <v>64</v>
      </c>
      <c r="K6513" s="247"/>
      <c r="L6513" s="247">
        <f>K6512</f>
        <v>1962.3233908948193</v>
      </c>
    </row>
    <row r="6514" spans="1:21" ht="11.25" customHeight="1" x14ac:dyDescent="0.2">
      <c r="A6514" s="236">
        <v>2024</v>
      </c>
      <c r="B6514" s="236">
        <v>12</v>
      </c>
      <c r="C6514" s="236">
        <v>31</v>
      </c>
      <c r="D6514" s="237">
        <f t="shared" si="747"/>
        <v>45657</v>
      </c>
      <c r="E6514" s="238">
        <f t="shared" si="754"/>
        <v>45657</v>
      </c>
      <c r="F6514" s="476" t="s">
        <v>1121</v>
      </c>
      <c r="G6514" s="239" t="s">
        <v>86</v>
      </c>
      <c r="H6514" s="239"/>
      <c r="I6514" s="240"/>
      <c r="J6514" s="241" t="s">
        <v>89</v>
      </c>
      <c r="K6514" s="242">
        <f>M6514/7*5</f>
        <v>50851.262031368104</v>
      </c>
      <c r="L6514" s="242"/>
      <c r="M6514" s="156">
        <v>71191.766843915349</v>
      </c>
    </row>
    <row r="6515" spans="1:21" ht="11.25" customHeight="1" x14ac:dyDescent="0.2">
      <c r="A6515" s="243">
        <v>2024</v>
      </c>
      <c r="B6515" s="243">
        <v>12</v>
      </c>
      <c r="C6515" s="243">
        <v>31</v>
      </c>
      <c r="D6515" s="248">
        <f t="shared" si="747"/>
        <v>45657</v>
      </c>
      <c r="E6515" s="249">
        <f t="shared" si="754"/>
        <v>45657</v>
      </c>
      <c r="F6515" s="477"/>
      <c r="G6515" s="244" t="s">
        <v>86</v>
      </c>
      <c r="H6515" s="244"/>
      <c r="I6515" s="245"/>
      <c r="J6515" s="246" t="s">
        <v>50</v>
      </c>
      <c r="K6515" s="247"/>
      <c r="L6515" s="247">
        <f>K6514</f>
        <v>50851.262031368104</v>
      </c>
      <c r="M6515" s="156">
        <v>3319.2037268111517</v>
      </c>
    </row>
    <row r="6516" spans="1:21" ht="11.25" customHeight="1" x14ac:dyDescent="0.2">
      <c r="A6516" s="236">
        <v>2024</v>
      </c>
      <c r="B6516" s="236">
        <v>12</v>
      </c>
      <c r="C6516" s="236">
        <v>31</v>
      </c>
      <c r="D6516" s="237">
        <f t="shared" si="747"/>
        <v>45657</v>
      </c>
      <c r="E6516" s="238">
        <f t="shared" si="754"/>
        <v>45657</v>
      </c>
      <c r="F6516" s="476" t="s">
        <v>1122</v>
      </c>
      <c r="G6516" s="239" t="s">
        <v>86</v>
      </c>
      <c r="H6516" s="239"/>
      <c r="I6516" s="240"/>
      <c r="J6516" s="241" t="s">
        <v>91</v>
      </c>
      <c r="K6516" s="242">
        <f>M6515/7*5</f>
        <v>2370.8598048651083</v>
      </c>
      <c r="L6516" s="242"/>
    </row>
    <row r="6517" spans="1:21" ht="11.25" customHeight="1" x14ac:dyDescent="0.2">
      <c r="A6517" s="243">
        <v>2024</v>
      </c>
      <c r="B6517" s="243">
        <v>12</v>
      </c>
      <c r="C6517" s="243">
        <v>31</v>
      </c>
      <c r="D6517" s="248">
        <f t="shared" si="747"/>
        <v>45657</v>
      </c>
      <c r="E6517" s="249">
        <f t="shared" si="754"/>
        <v>45657</v>
      </c>
      <c r="F6517" s="477"/>
      <c r="G6517" s="244" t="s">
        <v>86</v>
      </c>
      <c r="H6517" s="244"/>
      <c r="I6517" s="245"/>
      <c r="J6517" s="246" t="s">
        <v>51</v>
      </c>
      <c r="K6517" s="247"/>
      <c r="L6517" s="247">
        <f>K6516</f>
        <v>2370.8598048651083</v>
      </c>
    </row>
    <row r="6518" spans="1:21" ht="11.25" customHeight="1" x14ac:dyDescent="0.2">
      <c r="A6518" s="221">
        <v>2025</v>
      </c>
      <c r="B6518" s="221">
        <v>1</v>
      </c>
      <c r="C6518" s="221">
        <v>1</v>
      </c>
      <c r="D6518" s="231">
        <f t="shared" si="747"/>
        <v>45658</v>
      </c>
      <c r="E6518" s="233">
        <f t="shared" si="754"/>
        <v>45658</v>
      </c>
      <c r="F6518" s="478" t="s">
        <v>1852</v>
      </c>
      <c r="G6518" s="222" t="s">
        <v>1111</v>
      </c>
      <c r="H6518" s="223"/>
      <c r="I6518" s="223"/>
      <c r="J6518" s="224" t="s">
        <v>317</v>
      </c>
      <c r="K6518" s="225">
        <v>8043791</v>
      </c>
      <c r="L6518" s="225"/>
      <c r="U6518" s="166"/>
    </row>
    <row r="6519" spans="1:21" ht="11.25" customHeight="1" x14ac:dyDescent="0.2">
      <c r="A6519" s="226">
        <v>2025</v>
      </c>
      <c r="B6519" s="226">
        <v>1</v>
      </c>
      <c r="C6519" s="226">
        <v>1</v>
      </c>
      <c r="D6519" s="232">
        <f t="shared" si="747"/>
        <v>45658</v>
      </c>
      <c r="E6519" s="234">
        <f t="shared" si="754"/>
        <v>45658</v>
      </c>
      <c r="F6519" s="479"/>
      <c r="G6519" s="227" t="s">
        <v>1111</v>
      </c>
      <c r="H6519" s="228"/>
      <c r="I6519" s="228"/>
      <c r="J6519" s="229" t="s">
        <v>316</v>
      </c>
      <c r="K6519" s="230"/>
      <c r="L6519" s="230">
        <v>8043791</v>
      </c>
      <c r="U6519" s="166"/>
    </row>
    <row r="6520" spans="1:21" ht="11.25" customHeight="1" x14ac:dyDescent="0.2">
      <c r="A6520" s="221">
        <v>2025</v>
      </c>
      <c r="B6520" s="221">
        <v>1</v>
      </c>
      <c r="C6520" s="221">
        <v>1</v>
      </c>
      <c r="D6520" s="231">
        <f t="shared" si="747"/>
        <v>45658</v>
      </c>
      <c r="E6520" s="233">
        <f>DATE(A6520,B6520,C6520)</f>
        <v>45658</v>
      </c>
      <c r="F6520" s="478" t="s">
        <v>1178</v>
      </c>
      <c r="G6520" s="222" t="s">
        <v>1111</v>
      </c>
      <c r="H6520" s="223"/>
      <c r="I6520" s="223"/>
      <c r="J6520" s="224" t="s">
        <v>189</v>
      </c>
      <c r="K6520" s="225">
        <v>5750</v>
      </c>
      <c r="L6520" s="225"/>
    </row>
    <row r="6521" spans="1:21" ht="11.25" customHeight="1" x14ac:dyDescent="0.2">
      <c r="A6521" s="164">
        <v>2025</v>
      </c>
      <c r="B6521" s="164">
        <v>1</v>
      </c>
      <c r="C6521" s="164">
        <v>1</v>
      </c>
      <c r="D6521" s="156">
        <f t="shared" si="747"/>
        <v>45658</v>
      </c>
      <c r="E6521" s="235">
        <f>DATE(A6521,B6521,C6521)</f>
        <v>45658</v>
      </c>
      <c r="F6521" s="480"/>
      <c r="G6521" s="208" t="s">
        <v>1111</v>
      </c>
      <c r="J6521" s="165" t="s">
        <v>1708</v>
      </c>
      <c r="K6521" s="205"/>
      <c r="L6521" s="205">
        <v>250</v>
      </c>
    </row>
    <row r="6522" spans="1:21" ht="11.25" customHeight="1" x14ac:dyDescent="0.2">
      <c r="A6522" s="226">
        <v>2025</v>
      </c>
      <c r="B6522" s="226">
        <v>1</v>
      </c>
      <c r="C6522" s="226">
        <v>1</v>
      </c>
      <c r="D6522" s="232">
        <f t="shared" si="747"/>
        <v>45658</v>
      </c>
      <c r="E6522" s="234">
        <f>DATE(A6522,B6522,C6522)</f>
        <v>45658</v>
      </c>
      <c r="F6522" s="479"/>
      <c r="G6522" s="227" t="s">
        <v>1111</v>
      </c>
      <c r="H6522" s="228"/>
      <c r="I6522" s="228"/>
      <c r="J6522" s="229" t="s">
        <v>55</v>
      </c>
      <c r="K6522" s="230"/>
      <c r="L6522" s="230">
        <v>5500</v>
      </c>
    </row>
    <row r="6523" spans="1:21" ht="11.25" customHeight="1" x14ac:dyDescent="0.2">
      <c r="A6523" s="221">
        <v>2025</v>
      </c>
      <c r="B6523" s="221">
        <v>1</v>
      </c>
      <c r="C6523" s="231">
        <v>1</v>
      </c>
      <c r="D6523" s="231">
        <f t="shared" si="747"/>
        <v>45658</v>
      </c>
      <c r="E6523" s="233">
        <f t="shared" ref="E6523:E6546" si="755">DATE(A6523,B6523,C6523)</f>
        <v>45658</v>
      </c>
      <c r="F6523" s="478" t="s">
        <v>1719</v>
      </c>
      <c r="G6523" s="222" t="s">
        <v>1111</v>
      </c>
      <c r="H6523" s="223"/>
      <c r="I6523" s="223"/>
      <c r="J6523" s="224" t="s">
        <v>63</v>
      </c>
      <c r="K6523" s="225">
        <v>495</v>
      </c>
      <c r="L6523" s="225"/>
    </row>
    <row r="6524" spans="1:21" ht="11.25" customHeight="1" x14ac:dyDescent="0.2">
      <c r="A6524" s="226">
        <v>2025</v>
      </c>
      <c r="B6524" s="226">
        <v>1</v>
      </c>
      <c r="C6524" s="232">
        <v>1</v>
      </c>
      <c r="D6524" s="232">
        <f t="shared" si="747"/>
        <v>45658</v>
      </c>
      <c r="E6524" s="234">
        <f t="shared" si="755"/>
        <v>45658</v>
      </c>
      <c r="F6524" s="479"/>
      <c r="G6524" s="227" t="s">
        <v>1111</v>
      </c>
      <c r="H6524" s="228"/>
      <c r="I6524" s="228"/>
      <c r="J6524" s="229" t="s">
        <v>55</v>
      </c>
      <c r="K6524" s="230"/>
      <c r="L6524" s="230">
        <v>495</v>
      </c>
    </row>
    <row r="6525" spans="1:21" ht="11.25" customHeight="1" x14ac:dyDescent="0.2">
      <c r="A6525" s="221">
        <v>2025</v>
      </c>
      <c r="B6525" s="221">
        <v>1</v>
      </c>
      <c r="C6525" s="231">
        <v>1</v>
      </c>
      <c r="D6525" s="231">
        <f t="shared" si="747"/>
        <v>45658</v>
      </c>
      <c r="E6525" s="233">
        <f t="shared" si="755"/>
        <v>45658</v>
      </c>
      <c r="F6525" s="478" t="s">
        <v>1719</v>
      </c>
      <c r="G6525" s="222" t="s">
        <v>1111</v>
      </c>
      <c r="H6525" s="223"/>
      <c r="I6525" s="223"/>
      <c r="J6525" s="224" t="s">
        <v>63</v>
      </c>
      <c r="K6525" s="225">
        <v>845</v>
      </c>
      <c r="L6525" s="225"/>
    </row>
    <row r="6526" spans="1:21" ht="11.25" customHeight="1" x14ac:dyDescent="0.2">
      <c r="A6526" s="226">
        <v>2025</v>
      </c>
      <c r="B6526" s="226">
        <v>1</v>
      </c>
      <c r="C6526" s="232">
        <v>1</v>
      </c>
      <c r="D6526" s="232">
        <f t="shared" si="747"/>
        <v>45658</v>
      </c>
      <c r="E6526" s="234">
        <f t="shared" si="755"/>
        <v>45658</v>
      </c>
      <c r="F6526" s="479"/>
      <c r="G6526" s="227" t="s">
        <v>1111</v>
      </c>
      <c r="H6526" s="228"/>
      <c r="I6526" s="228"/>
      <c r="J6526" s="229" t="s">
        <v>55</v>
      </c>
      <c r="K6526" s="230"/>
      <c r="L6526" s="230">
        <v>845</v>
      </c>
    </row>
    <row r="6527" spans="1:21" ht="11.25" customHeight="1" x14ac:dyDescent="0.2">
      <c r="A6527" s="221">
        <v>2025</v>
      </c>
      <c r="B6527" s="221">
        <v>1</v>
      </c>
      <c r="C6527" s="231">
        <v>1</v>
      </c>
      <c r="D6527" s="231">
        <f t="shared" si="747"/>
        <v>45658</v>
      </c>
      <c r="E6527" s="233">
        <f t="shared" si="755"/>
        <v>45658</v>
      </c>
      <c r="F6527" s="478" t="s">
        <v>1821</v>
      </c>
      <c r="G6527" s="222" t="s">
        <v>1111</v>
      </c>
      <c r="H6527" s="223"/>
      <c r="I6527" s="223"/>
      <c r="J6527" s="165" t="s">
        <v>55</v>
      </c>
      <c r="K6527" s="225">
        <v>137928.12</v>
      </c>
      <c r="L6527" s="225"/>
    </row>
    <row r="6528" spans="1:21" ht="11.25" customHeight="1" x14ac:dyDescent="0.2">
      <c r="A6528" s="226">
        <v>2025</v>
      </c>
      <c r="B6528" s="226">
        <v>1</v>
      </c>
      <c r="C6528" s="232">
        <v>1</v>
      </c>
      <c r="D6528" s="232">
        <f t="shared" si="747"/>
        <v>45658</v>
      </c>
      <c r="E6528" s="234">
        <f t="shared" si="755"/>
        <v>45658</v>
      </c>
      <c r="F6528" s="479"/>
      <c r="G6528" s="227" t="s">
        <v>1111</v>
      </c>
      <c r="H6528" s="228"/>
      <c r="I6528" s="228"/>
      <c r="J6528" s="229" t="s">
        <v>131</v>
      </c>
      <c r="K6528" s="230"/>
      <c r="L6528" s="230">
        <v>137928.12</v>
      </c>
    </row>
    <row r="6529" spans="1:12" ht="11.25" customHeight="1" x14ac:dyDescent="0.2">
      <c r="A6529" s="221">
        <v>2025</v>
      </c>
      <c r="B6529" s="221">
        <v>1</v>
      </c>
      <c r="C6529" s="231">
        <v>1</v>
      </c>
      <c r="D6529" s="231">
        <f t="shared" si="747"/>
        <v>45658</v>
      </c>
      <c r="E6529" s="233">
        <f t="shared" si="755"/>
        <v>45658</v>
      </c>
      <c r="F6529" s="478" t="s">
        <v>1821</v>
      </c>
      <c r="G6529" s="222" t="s">
        <v>1111</v>
      </c>
      <c r="H6529" s="223"/>
      <c r="I6529" s="223"/>
      <c r="J6529" s="165" t="s">
        <v>55</v>
      </c>
      <c r="K6529" s="225">
        <v>137928.12</v>
      </c>
      <c r="L6529" s="225"/>
    </row>
    <row r="6530" spans="1:12" ht="11.25" customHeight="1" x14ac:dyDescent="0.2">
      <c r="A6530" s="226">
        <v>2025</v>
      </c>
      <c r="B6530" s="226">
        <v>1</v>
      </c>
      <c r="C6530" s="232">
        <v>1</v>
      </c>
      <c r="D6530" s="232">
        <f t="shared" si="747"/>
        <v>45658</v>
      </c>
      <c r="E6530" s="234">
        <f t="shared" si="755"/>
        <v>45658</v>
      </c>
      <c r="F6530" s="479"/>
      <c r="G6530" s="227" t="s">
        <v>1111</v>
      </c>
      <c r="H6530" s="228"/>
      <c r="I6530" s="228"/>
      <c r="J6530" s="229" t="s">
        <v>131</v>
      </c>
      <c r="K6530" s="230"/>
      <c r="L6530" s="230">
        <v>137928.12</v>
      </c>
    </row>
    <row r="6531" spans="1:12" ht="11.25" customHeight="1" x14ac:dyDescent="0.2">
      <c r="A6531" s="221">
        <v>2025</v>
      </c>
      <c r="B6531" s="221">
        <v>1</v>
      </c>
      <c r="C6531" s="221">
        <v>2</v>
      </c>
      <c r="D6531" s="231">
        <f t="shared" si="747"/>
        <v>45659</v>
      </c>
      <c r="E6531" s="233">
        <f t="shared" si="755"/>
        <v>45659</v>
      </c>
      <c r="F6531" s="478" t="s">
        <v>1142</v>
      </c>
      <c r="G6531" s="222" t="s">
        <v>1111</v>
      </c>
      <c r="H6531" s="223"/>
      <c r="I6531" s="223"/>
      <c r="J6531" s="224" t="s">
        <v>189</v>
      </c>
      <c r="K6531" s="225">
        <v>1575</v>
      </c>
      <c r="L6531" s="225"/>
    </row>
    <row r="6532" spans="1:12" ht="11.25" customHeight="1" x14ac:dyDescent="0.2">
      <c r="A6532" s="164">
        <v>2025</v>
      </c>
      <c r="B6532" s="164">
        <v>1</v>
      </c>
      <c r="C6532" s="164">
        <v>2</v>
      </c>
      <c r="D6532" s="156">
        <f t="shared" si="747"/>
        <v>45659</v>
      </c>
      <c r="E6532" s="235">
        <f t="shared" si="755"/>
        <v>45659</v>
      </c>
      <c r="F6532" s="480"/>
      <c r="G6532" s="208" t="s">
        <v>1111</v>
      </c>
      <c r="J6532" s="165" t="s">
        <v>1707</v>
      </c>
      <c r="K6532" s="205"/>
      <c r="L6532" s="205">
        <v>150</v>
      </c>
    </row>
    <row r="6533" spans="1:12" ht="11.25" customHeight="1" x14ac:dyDescent="0.2">
      <c r="A6533" s="226">
        <v>2025</v>
      </c>
      <c r="B6533" s="226">
        <v>1</v>
      </c>
      <c r="C6533" s="226">
        <v>2</v>
      </c>
      <c r="D6533" s="232">
        <f t="shared" si="747"/>
        <v>45659</v>
      </c>
      <c r="E6533" s="234">
        <f t="shared" si="755"/>
        <v>45659</v>
      </c>
      <c r="F6533" s="479"/>
      <c r="G6533" s="227" t="s">
        <v>1111</v>
      </c>
      <c r="H6533" s="228"/>
      <c r="I6533" s="228"/>
      <c r="J6533" s="229" t="s">
        <v>55</v>
      </c>
      <c r="K6533" s="230"/>
      <c r="L6533" s="230">
        <v>1425</v>
      </c>
    </row>
    <row r="6534" spans="1:12" ht="11.25" customHeight="1" x14ac:dyDescent="0.2">
      <c r="A6534" s="221">
        <v>2025</v>
      </c>
      <c r="B6534" s="221">
        <v>1</v>
      </c>
      <c r="C6534" s="221">
        <v>2</v>
      </c>
      <c r="D6534" s="221">
        <f t="shared" si="747"/>
        <v>45659</v>
      </c>
      <c r="E6534" s="233">
        <f t="shared" si="755"/>
        <v>45659</v>
      </c>
      <c r="F6534" s="478" t="s">
        <v>1593</v>
      </c>
      <c r="G6534" s="222" t="s">
        <v>86</v>
      </c>
      <c r="H6534" s="222"/>
      <c r="I6534" s="223"/>
      <c r="J6534" s="224" t="s">
        <v>80</v>
      </c>
      <c r="K6534" s="225">
        <v>489000</v>
      </c>
      <c r="L6534" s="225"/>
    </row>
    <row r="6535" spans="1:12" ht="11.25" customHeight="1" x14ac:dyDescent="0.2">
      <c r="A6535" s="164">
        <v>2025</v>
      </c>
      <c r="B6535" s="164">
        <v>1</v>
      </c>
      <c r="C6535" s="164">
        <v>2</v>
      </c>
      <c r="D6535" s="164">
        <f t="shared" si="747"/>
        <v>45659</v>
      </c>
      <c r="E6535" s="235">
        <f t="shared" si="755"/>
        <v>45659</v>
      </c>
      <c r="F6535" s="480"/>
      <c r="G6535" s="208" t="s">
        <v>86</v>
      </c>
      <c r="H6535" s="208"/>
      <c r="J6535" s="165" t="s">
        <v>960</v>
      </c>
      <c r="K6535" s="205">
        <v>880.2</v>
      </c>
      <c r="L6535" s="205"/>
    </row>
    <row r="6536" spans="1:12" ht="11.25" customHeight="1" x14ac:dyDescent="0.2">
      <c r="A6536" s="226">
        <v>2025</v>
      </c>
      <c r="B6536" s="226">
        <v>1</v>
      </c>
      <c r="C6536" s="226">
        <v>2</v>
      </c>
      <c r="D6536" s="226">
        <f t="shared" si="747"/>
        <v>45659</v>
      </c>
      <c r="E6536" s="234">
        <f t="shared" si="755"/>
        <v>45659</v>
      </c>
      <c r="F6536" s="479"/>
      <c r="G6536" s="227" t="s">
        <v>86</v>
      </c>
      <c r="H6536" s="227"/>
      <c r="I6536" s="228"/>
      <c r="J6536" s="229" t="s">
        <v>961</v>
      </c>
      <c r="K6536" s="294"/>
      <c r="L6536" s="230">
        <v>489880.2</v>
      </c>
    </row>
    <row r="6537" spans="1:12" ht="11.25" customHeight="1" x14ac:dyDescent="0.2">
      <c r="A6537" s="221">
        <v>2025</v>
      </c>
      <c r="B6537" s="221">
        <v>1</v>
      </c>
      <c r="C6537" s="221">
        <v>2</v>
      </c>
      <c r="D6537" s="231">
        <f t="shared" ref="D6537:D6600" si="756">DATE(A6537,B6537,C6537)</f>
        <v>45659</v>
      </c>
      <c r="E6537" s="233">
        <f t="shared" si="755"/>
        <v>45659</v>
      </c>
      <c r="F6537" s="478" t="s">
        <v>1634</v>
      </c>
      <c r="G6537" s="222" t="s">
        <v>1111</v>
      </c>
      <c r="H6537" s="223"/>
      <c r="I6537" s="223"/>
      <c r="J6537" s="224" t="s">
        <v>55</v>
      </c>
      <c r="K6537" s="225">
        <v>60738.400000000001</v>
      </c>
      <c r="L6537" s="225"/>
    </row>
    <row r="6538" spans="1:12" ht="11.25" customHeight="1" x14ac:dyDescent="0.2">
      <c r="A6538" s="226">
        <v>2025</v>
      </c>
      <c r="B6538" s="226">
        <v>1</v>
      </c>
      <c r="C6538" s="226">
        <v>2</v>
      </c>
      <c r="D6538" s="232">
        <f t="shared" si="756"/>
        <v>45659</v>
      </c>
      <c r="E6538" s="234">
        <f t="shared" si="755"/>
        <v>45659</v>
      </c>
      <c r="F6538" s="479"/>
      <c r="G6538" s="227" t="s">
        <v>1111</v>
      </c>
      <c r="H6538" s="228"/>
      <c r="I6538" s="228"/>
      <c r="J6538" s="229" t="s">
        <v>192</v>
      </c>
      <c r="K6538" s="230"/>
      <c r="L6538" s="230">
        <v>60738.400000000001</v>
      </c>
    </row>
    <row r="6539" spans="1:12" ht="11.25" customHeight="1" x14ac:dyDescent="0.2">
      <c r="A6539" s="280">
        <v>2025</v>
      </c>
      <c r="B6539" s="280">
        <v>1</v>
      </c>
      <c r="C6539" s="280">
        <v>2</v>
      </c>
      <c r="D6539" s="281">
        <f t="shared" si="756"/>
        <v>45659</v>
      </c>
      <c r="E6539" s="282">
        <f t="shared" si="755"/>
        <v>45659</v>
      </c>
      <c r="F6539" s="472" t="s">
        <v>1744</v>
      </c>
      <c r="G6539" s="283" t="s">
        <v>86</v>
      </c>
      <c r="H6539" s="284"/>
      <c r="I6539" s="284"/>
      <c r="J6539" s="285" t="s">
        <v>131</v>
      </c>
      <c r="K6539" s="286">
        <v>19358.330000000002</v>
      </c>
      <c r="L6539" s="286"/>
    </row>
    <row r="6540" spans="1:12" ht="11.25" customHeight="1" x14ac:dyDescent="0.2">
      <c r="A6540" s="287">
        <v>2025</v>
      </c>
      <c r="B6540" s="287">
        <v>1</v>
      </c>
      <c r="C6540" s="287">
        <v>2</v>
      </c>
      <c r="D6540" s="288">
        <f t="shared" si="756"/>
        <v>45659</v>
      </c>
      <c r="E6540" s="289">
        <f t="shared" si="755"/>
        <v>45659</v>
      </c>
      <c r="F6540" s="473"/>
      <c r="G6540" s="290" t="s">
        <v>86</v>
      </c>
      <c r="H6540" s="291"/>
      <c r="I6540" s="291"/>
      <c r="J6540" s="292" t="s">
        <v>174</v>
      </c>
      <c r="K6540" s="293"/>
      <c r="L6540" s="293">
        <v>19358.330000000002</v>
      </c>
    </row>
    <row r="6541" spans="1:12" ht="11.25" customHeight="1" x14ac:dyDescent="0.2">
      <c r="A6541" s="280">
        <v>2025</v>
      </c>
      <c r="B6541" s="280">
        <v>1</v>
      </c>
      <c r="C6541" s="280">
        <v>2</v>
      </c>
      <c r="D6541" s="281">
        <f t="shared" si="756"/>
        <v>45659</v>
      </c>
      <c r="E6541" s="282">
        <f t="shared" si="755"/>
        <v>45659</v>
      </c>
      <c r="F6541" s="472" t="s">
        <v>1584</v>
      </c>
      <c r="G6541" s="283" t="s">
        <v>86</v>
      </c>
      <c r="H6541" s="284"/>
      <c r="I6541" s="284"/>
      <c r="J6541" s="285" t="s">
        <v>131</v>
      </c>
      <c r="K6541" s="286">
        <v>2527.472527472527</v>
      </c>
      <c r="L6541" s="286"/>
    </row>
    <row r="6542" spans="1:12" ht="11.25" customHeight="1" x14ac:dyDescent="0.2">
      <c r="A6542" s="287">
        <v>2025</v>
      </c>
      <c r="B6542" s="287">
        <v>1</v>
      </c>
      <c r="C6542" s="287">
        <v>2</v>
      </c>
      <c r="D6542" s="288">
        <f t="shared" si="756"/>
        <v>45659</v>
      </c>
      <c r="E6542" s="289">
        <f t="shared" si="755"/>
        <v>45659</v>
      </c>
      <c r="F6542" s="473"/>
      <c r="G6542" s="290" t="s">
        <v>86</v>
      </c>
      <c r="H6542" s="291"/>
      <c r="I6542" s="291"/>
      <c r="J6542" s="292" t="s">
        <v>174</v>
      </c>
      <c r="K6542" s="293"/>
      <c r="L6542" s="293">
        <v>2527.472527472527</v>
      </c>
    </row>
    <row r="6543" spans="1:12" ht="11.25" customHeight="1" x14ac:dyDescent="0.2">
      <c r="A6543" s="280">
        <v>2025</v>
      </c>
      <c r="B6543" s="280">
        <v>1</v>
      </c>
      <c r="C6543" s="280">
        <v>2</v>
      </c>
      <c r="D6543" s="281">
        <f t="shared" si="756"/>
        <v>45659</v>
      </c>
      <c r="E6543" s="282">
        <f t="shared" si="755"/>
        <v>45659</v>
      </c>
      <c r="F6543" s="472" t="s">
        <v>1830</v>
      </c>
      <c r="G6543" s="283" t="s">
        <v>86</v>
      </c>
      <c r="H6543" s="284"/>
      <c r="I6543" s="284"/>
      <c r="J6543" s="285" t="s">
        <v>131</v>
      </c>
      <c r="K6543" s="286">
        <v>1329.6703296703299</v>
      </c>
      <c r="L6543" s="286"/>
    </row>
    <row r="6544" spans="1:12" ht="11.25" customHeight="1" x14ac:dyDescent="0.2">
      <c r="A6544" s="287">
        <v>2025</v>
      </c>
      <c r="B6544" s="287">
        <v>1</v>
      </c>
      <c r="C6544" s="287">
        <v>2</v>
      </c>
      <c r="D6544" s="288">
        <f t="shared" si="756"/>
        <v>45659</v>
      </c>
      <c r="E6544" s="289">
        <f t="shared" si="755"/>
        <v>45659</v>
      </c>
      <c r="F6544" s="473"/>
      <c r="G6544" s="290" t="s">
        <v>86</v>
      </c>
      <c r="H6544" s="291"/>
      <c r="I6544" s="291"/>
      <c r="J6544" s="292" t="s">
        <v>174</v>
      </c>
      <c r="K6544" s="293"/>
      <c r="L6544" s="293">
        <v>1329.6703296703299</v>
      </c>
    </row>
    <row r="6545" spans="1:12" ht="11.25" customHeight="1" x14ac:dyDescent="0.2">
      <c r="A6545" s="341">
        <v>2025</v>
      </c>
      <c r="B6545" s="341">
        <v>1</v>
      </c>
      <c r="C6545" s="341">
        <v>2</v>
      </c>
      <c r="D6545" s="328">
        <f t="shared" si="756"/>
        <v>45659</v>
      </c>
      <c r="E6545" s="329">
        <f t="shared" si="755"/>
        <v>45659</v>
      </c>
      <c r="F6545" s="474" t="s">
        <v>1767</v>
      </c>
      <c r="G6545" s="330" t="s">
        <v>86</v>
      </c>
      <c r="H6545" s="332"/>
      <c r="I6545" s="332"/>
      <c r="J6545" s="342" t="s">
        <v>67</v>
      </c>
      <c r="K6545" s="343">
        <v>29071.52</v>
      </c>
      <c r="L6545" s="343"/>
    </row>
    <row r="6546" spans="1:12" ht="11.25" customHeight="1" x14ac:dyDescent="0.2">
      <c r="A6546" s="344">
        <v>2025</v>
      </c>
      <c r="B6546" s="344">
        <v>1</v>
      </c>
      <c r="C6546" s="344">
        <v>2</v>
      </c>
      <c r="D6546" s="337">
        <f t="shared" si="756"/>
        <v>45659</v>
      </c>
      <c r="E6546" s="338">
        <f t="shared" si="755"/>
        <v>45659</v>
      </c>
      <c r="F6546" s="475"/>
      <c r="G6546" s="339" t="s">
        <v>86</v>
      </c>
      <c r="H6546" s="340"/>
      <c r="I6546" s="340"/>
      <c r="J6546" s="345" t="s">
        <v>174</v>
      </c>
      <c r="K6546" s="346"/>
      <c r="L6546" s="346">
        <v>29071.52</v>
      </c>
    </row>
    <row r="6547" spans="1:12" ht="11.25" customHeight="1" x14ac:dyDescent="0.2">
      <c r="A6547" s="358">
        <v>2025</v>
      </c>
      <c r="B6547" s="358">
        <v>1</v>
      </c>
      <c r="C6547" s="358">
        <v>2</v>
      </c>
      <c r="D6547" s="312">
        <f t="shared" si="756"/>
        <v>45659</v>
      </c>
      <c r="E6547" s="313">
        <f>DATE(A6547,B6547,C6547)</f>
        <v>45659</v>
      </c>
      <c r="F6547" s="482" t="s">
        <v>1627</v>
      </c>
      <c r="G6547" s="314" t="s">
        <v>86</v>
      </c>
      <c r="H6547" s="324"/>
      <c r="I6547" s="324"/>
      <c r="J6547" s="364" t="s">
        <v>1613</v>
      </c>
      <c r="K6547" s="365"/>
      <c r="L6547" s="365"/>
    </row>
    <row r="6548" spans="1:12" ht="11.25" customHeight="1" x14ac:dyDescent="0.2">
      <c r="A6548" s="320">
        <v>2025</v>
      </c>
      <c r="B6548" s="320">
        <v>1</v>
      </c>
      <c r="C6548" s="320">
        <v>2</v>
      </c>
      <c r="D6548" s="323">
        <f t="shared" si="756"/>
        <v>45659</v>
      </c>
      <c r="E6548" s="321">
        <f t="shared" ref="E6548" si="757">DATE(A6548,B6548,C6548)</f>
        <v>45659</v>
      </c>
      <c r="F6548" s="483"/>
      <c r="G6548" s="322" t="s">
        <v>86</v>
      </c>
      <c r="H6548" s="325"/>
      <c r="I6548" s="325"/>
      <c r="J6548" s="366" t="s">
        <v>1621</v>
      </c>
      <c r="K6548" s="367"/>
      <c r="L6548" s="367">
        <v>0</v>
      </c>
    </row>
    <row r="6549" spans="1:12" ht="11.25" customHeight="1" x14ac:dyDescent="0.2">
      <c r="A6549" s="358">
        <v>2025</v>
      </c>
      <c r="B6549" s="358">
        <v>1</v>
      </c>
      <c r="C6549" s="358">
        <v>2</v>
      </c>
      <c r="D6549" s="312">
        <f t="shared" si="756"/>
        <v>45659</v>
      </c>
      <c r="E6549" s="313">
        <f>DATE(A6549,B6549,C6549)</f>
        <v>45659</v>
      </c>
      <c r="F6549" s="482" t="s">
        <v>1713</v>
      </c>
      <c r="G6549" s="314" t="s">
        <v>86</v>
      </c>
      <c r="H6549" s="324"/>
      <c r="I6549" s="324"/>
      <c r="J6549" s="364" t="s">
        <v>1622</v>
      </c>
      <c r="K6549" s="365"/>
      <c r="L6549" s="365"/>
    </row>
    <row r="6550" spans="1:12" ht="11.25" customHeight="1" x14ac:dyDescent="0.2">
      <c r="A6550" s="320">
        <v>2025</v>
      </c>
      <c r="B6550" s="320">
        <v>1</v>
      </c>
      <c r="C6550" s="320">
        <v>2</v>
      </c>
      <c r="D6550" s="323">
        <f t="shared" si="756"/>
        <v>45659</v>
      </c>
      <c r="E6550" s="321">
        <f t="shared" ref="E6550:E6583" si="758">DATE(A6550,B6550,C6550)</f>
        <v>45659</v>
      </c>
      <c r="F6550" s="483"/>
      <c r="G6550" s="322" t="s">
        <v>86</v>
      </c>
      <c r="H6550" s="325"/>
      <c r="I6550" s="325"/>
      <c r="J6550" s="366" t="s">
        <v>1614</v>
      </c>
      <c r="K6550" s="367"/>
      <c r="L6550" s="367">
        <v>0</v>
      </c>
    </row>
    <row r="6551" spans="1:12" ht="11.25" customHeight="1" x14ac:dyDescent="0.2">
      <c r="A6551" s="236">
        <v>2025</v>
      </c>
      <c r="B6551" s="236">
        <v>1</v>
      </c>
      <c r="C6551" s="236">
        <v>2</v>
      </c>
      <c r="D6551" s="237">
        <f t="shared" si="756"/>
        <v>45659</v>
      </c>
      <c r="E6551" s="238">
        <f t="shared" si="758"/>
        <v>45659</v>
      </c>
      <c r="F6551" s="476" t="s">
        <v>1118</v>
      </c>
      <c r="G6551" s="239" t="s">
        <v>86</v>
      </c>
      <c r="H6551" s="239"/>
      <c r="I6551" s="240"/>
      <c r="J6551" s="241" t="s">
        <v>98</v>
      </c>
      <c r="K6551" s="242"/>
      <c r="L6551" s="242"/>
    </row>
    <row r="6552" spans="1:12" ht="11.25" customHeight="1" x14ac:dyDescent="0.2">
      <c r="A6552" s="243">
        <v>2025</v>
      </c>
      <c r="B6552" s="243">
        <v>1</v>
      </c>
      <c r="C6552" s="243">
        <v>2</v>
      </c>
      <c r="D6552" s="248">
        <f t="shared" si="756"/>
        <v>45659</v>
      </c>
      <c r="E6552" s="249">
        <f t="shared" si="758"/>
        <v>45659</v>
      </c>
      <c r="F6552" s="477"/>
      <c r="G6552" s="244" t="s">
        <v>86</v>
      </c>
      <c r="H6552" s="244"/>
      <c r="I6552" s="245"/>
      <c r="J6552" s="246" t="s">
        <v>82</v>
      </c>
      <c r="K6552" s="247"/>
      <c r="L6552" s="247">
        <v>0</v>
      </c>
    </row>
    <row r="6553" spans="1:12" ht="11.25" customHeight="1" x14ac:dyDescent="0.2">
      <c r="A6553" s="236">
        <v>2025</v>
      </c>
      <c r="B6553" s="236">
        <v>1</v>
      </c>
      <c r="C6553" s="236">
        <v>2</v>
      </c>
      <c r="D6553" s="237">
        <f t="shared" si="756"/>
        <v>45659</v>
      </c>
      <c r="E6553" s="238">
        <f t="shared" si="758"/>
        <v>45659</v>
      </c>
      <c r="F6553" s="476" t="s">
        <v>1120</v>
      </c>
      <c r="G6553" s="239" t="s">
        <v>86</v>
      </c>
      <c r="H6553" s="239"/>
      <c r="I6553" s="240"/>
      <c r="J6553" s="241" t="s">
        <v>87</v>
      </c>
      <c r="K6553" s="242">
        <v>784.92935635792787</v>
      </c>
      <c r="L6553" s="242"/>
    </row>
    <row r="6554" spans="1:12" ht="11.25" customHeight="1" x14ac:dyDescent="0.2">
      <c r="A6554" s="243">
        <v>2025</v>
      </c>
      <c r="B6554" s="243">
        <v>1</v>
      </c>
      <c r="C6554" s="243">
        <v>2</v>
      </c>
      <c r="D6554" s="248">
        <f t="shared" si="756"/>
        <v>45659</v>
      </c>
      <c r="E6554" s="249">
        <f t="shared" si="758"/>
        <v>45659</v>
      </c>
      <c r="F6554" s="477"/>
      <c r="G6554" s="244" t="s">
        <v>86</v>
      </c>
      <c r="H6554" s="244"/>
      <c r="I6554" s="245"/>
      <c r="J6554" s="246" t="s">
        <v>64</v>
      </c>
      <c r="K6554" s="247"/>
      <c r="L6554" s="247">
        <v>784.92935635792787</v>
      </c>
    </row>
    <row r="6555" spans="1:12" ht="11.25" customHeight="1" x14ac:dyDescent="0.2">
      <c r="A6555" s="236">
        <v>2025</v>
      </c>
      <c r="B6555" s="236">
        <v>1</v>
      </c>
      <c r="C6555" s="236">
        <v>2</v>
      </c>
      <c r="D6555" s="237">
        <f t="shared" si="756"/>
        <v>45659</v>
      </c>
      <c r="E6555" s="238">
        <f t="shared" si="758"/>
        <v>45659</v>
      </c>
      <c r="F6555" s="476" t="s">
        <v>1121</v>
      </c>
      <c r="G6555" s="239" t="s">
        <v>86</v>
      </c>
      <c r="H6555" s="239"/>
      <c r="I6555" s="240"/>
      <c r="J6555" s="241" t="s">
        <v>89</v>
      </c>
      <c r="K6555" s="242">
        <v>20200.217067829704</v>
      </c>
      <c r="L6555" s="242"/>
    </row>
    <row r="6556" spans="1:12" ht="11.25" customHeight="1" x14ac:dyDescent="0.2">
      <c r="A6556" s="243">
        <v>2025</v>
      </c>
      <c r="B6556" s="243">
        <v>1</v>
      </c>
      <c r="C6556" s="243">
        <v>2</v>
      </c>
      <c r="D6556" s="248">
        <f t="shared" si="756"/>
        <v>45659</v>
      </c>
      <c r="E6556" s="249">
        <f t="shared" si="758"/>
        <v>45659</v>
      </c>
      <c r="F6556" s="477"/>
      <c r="G6556" s="244" t="s">
        <v>86</v>
      </c>
      <c r="H6556" s="244"/>
      <c r="I6556" s="245"/>
      <c r="J6556" s="246" t="s">
        <v>50</v>
      </c>
      <c r="K6556" s="247"/>
      <c r="L6556" s="247">
        <v>20200.217067829704</v>
      </c>
    </row>
    <row r="6557" spans="1:12" ht="11.25" customHeight="1" x14ac:dyDescent="0.2">
      <c r="A6557" s="236">
        <v>2025</v>
      </c>
      <c r="B6557" s="236">
        <v>1</v>
      </c>
      <c r="C6557" s="236">
        <v>2</v>
      </c>
      <c r="D6557" s="237">
        <f t="shared" si="756"/>
        <v>45659</v>
      </c>
      <c r="E6557" s="238">
        <f t="shared" si="758"/>
        <v>45659</v>
      </c>
      <c r="F6557" s="476" t="s">
        <v>1122</v>
      </c>
      <c r="G6557" s="239" t="s">
        <v>86</v>
      </c>
      <c r="H6557" s="239"/>
      <c r="I6557" s="240"/>
      <c r="J6557" s="241" t="s">
        <v>91</v>
      </c>
      <c r="K6557" s="242">
        <v>941.32953471016708</v>
      </c>
      <c r="L6557" s="242"/>
    </row>
    <row r="6558" spans="1:12" ht="11.25" customHeight="1" x14ac:dyDescent="0.2">
      <c r="A6558" s="243">
        <v>2025</v>
      </c>
      <c r="B6558" s="243">
        <v>1</v>
      </c>
      <c r="C6558" s="243">
        <v>2</v>
      </c>
      <c r="D6558" s="248">
        <f t="shared" si="756"/>
        <v>45659</v>
      </c>
      <c r="E6558" s="249">
        <f t="shared" si="758"/>
        <v>45659</v>
      </c>
      <c r="F6558" s="477"/>
      <c r="G6558" s="244" t="s">
        <v>86</v>
      </c>
      <c r="H6558" s="244"/>
      <c r="I6558" s="245"/>
      <c r="J6558" s="246" t="s">
        <v>51</v>
      </c>
      <c r="K6558" s="247"/>
      <c r="L6558" s="247">
        <v>941.32953471016708</v>
      </c>
    </row>
    <row r="6559" spans="1:12" ht="11.25" customHeight="1" x14ac:dyDescent="0.2">
      <c r="A6559" s="221">
        <v>2025</v>
      </c>
      <c r="B6559" s="221">
        <v>1</v>
      </c>
      <c r="C6559" s="221">
        <v>6</v>
      </c>
      <c r="D6559" s="231">
        <f t="shared" si="756"/>
        <v>45663</v>
      </c>
      <c r="E6559" s="233">
        <f t="shared" si="758"/>
        <v>45663</v>
      </c>
      <c r="F6559" s="478" t="s">
        <v>1803</v>
      </c>
      <c r="G6559" s="222" t="s">
        <v>1111</v>
      </c>
      <c r="H6559" s="223"/>
      <c r="I6559" s="223"/>
      <c r="J6559" s="165" t="s">
        <v>55</v>
      </c>
      <c r="K6559" s="225">
        <v>115000</v>
      </c>
      <c r="L6559" s="225"/>
    </row>
    <row r="6560" spans="1:12" ht="11.25" customHeight="1" x14ac:dyDescent="0.2">
      <c r="A6560" s="226">
        <v>2025</v>
      </c>
      <c r="B6560" s="226">
        <v>1</v>
      </c>
      <c r="C6560" s="226">
        <v>6</v>
      </c>
      <c r="D6560" s="232">
        <f t="shared" si="756"/>
        <v>45663</v>
      </c>
      <c r="E6560" s="234">
        <f t="shared" si="758"/>
        <v>45663</v>
      </c>
      <c r="F6560" s="479"/>
      <c r="G6560" s="227" t="s">
        <v>1111</v>
      </c>
      <c r="H6560" s="228"/>
      <c r="I6560" s="228"/>
      <c r="J6560" s="229" t="s">
        <v>131</v>
      </c>
      <c r="K6560" s="230"/>
      <c r="L6560" s="230">
        <v>115000</v>
      </c>
    </row>
    <row r="6561" spans="1:12" ht="11.25" customHeight="1" x14ac:dyDescent="0.2">
      <c r="A6561" s="221">
        <v>2025</v>
      </c>
      <c r="B6561" s="221">
        <v>1</v>
      </c>
      <c r="C6561" s="231">
        <v>6</v>
      </c>
      <c r="D6561" s="231">
        <f t="shared" si="756"/>
        <v>45663</v>
      </c>
      <c r="E6561" s="233">
        <f t="shared" si="758"/>
        <v>45663</v>
      </c>
      <c r="F6561" s="478" t="s">
        <v>1719</v>
      </c>
      <c r="G6561" s="222" t="s">
        <v>1111</v>
      </c>
      <c r="H6561" s="223"/>
      <c r="I6561" s="223"/>
      <c r="J6561" s="224" t="s">
        <v>63</v>
      </c>
      <c r="K6561" s="225">
        <v>10</v>
      </c>
      <c r="L6561" s="225"/>
    </row>
    <row r="6562" spans="1:12" ht="11.25" customHeight="1" x14ac:dyDescent="0.2">
      <c r="A6562" s="226">
        <v>2025</v>
      </c>
      <c r="B6562" s="226">
        <v>1</v>
      </c>
      <c r="C6562" s="232">
        <v>6</v>
      </c>
      <c r="D6562" s="232">
        <f t="shared" si="756"/>
        <v>45663</v>
      </c>
      <c r="E6562" s="234">
        <f t="shared" si="758"/>
        <v>45663</v>
      </c>
      <c r="F6562" s="479"/>
      <c r="G6562" s="227" t="s">
        <v>1111</v>
      </c>
      <c r="H6562" s="228"/>
      <c r="I6562" s="228"/>
      <c r="J6562" s="229" t="s">
        <v>55</v>
      </c>
      <c r="K6562" s="230"/>
      <c r="L6562" s="230">
        <v>10</v>
      </c>
    </row>
    <row r="6563" spans="1:12" ht="11.25" customHeight="1" x14ac:dyDescent="0.2">
      <c r="A6563" s="221">
        <v>2025</v>
      </c>
      <c r="B6563" s="221">
        <v>1</v>
      </c>
      <c r="C6563" s="231">
        <v>6</v>
      </c>
      <c r="D6563" s="231">
        <f t="shared" si="756"/>
        <v>45663</v>
      </c>
      <c r="E6563" s="233">
        <f t="shared" si="758"/>
        <v>45663</v>
      </c>
      <c r="F6563" s="478" t="s">
        <v>1814</v>
      </c>
      <c r="G6563" s="222" t="s">
        <v>1111</v>
      </c>
      <c r="H6563" s="223"/>
      <c r="I6563" s="223"/>
      <c r="J6563" s="224" t="s">
        <v>961</v>
      </c>
      <c r="K6563" s="225">
        <v>489880.2</v>
      </c>
      <c r="L6563" s="225"/>
    </row>
    <row r="6564" spans="1:12" ht="11.25" customHeight="1" x14ac:dyDescent="0.2">
      <c r="A6564" s="226">
        <v>2025</v>
      </c>
      <c r="B6564" s="226">
        <v>1</v>
      </c>
      <c r="C6564" s="232">
        <v>6</v>
      </c>
      <c r="D6564" s="232">
        <f t="shared" si="756"/>
        <v>45663</v>
      </c>
      <c r="E6564" s="234">
        <f t="shared" si="758"/>
        <v>45663</v>
      </c>
      <c r="F6564" s="479"/>
      <c r="G6564" s="227" t="s">
        <v>1111</v>
      </c>
      <c r="H6564" s="228"/>
      <c r="I6564" s="228"/>
      <c r="J6564" s="229" t="s">
        <v>55</v>
      </c>
      <c r="K6564" s="230"/>
      <c r="L6564" s="230">
        <v>489880.2</v>
      </c>
    </row>
    <row r="6565" spans="1:12" ht="11.25" customHeight="1" x14ac:dyDescent="0.2">
      <c r="A6565" s="221">
        <v>2025</v>
      </c>
      <c r="B6565" s="221">
        <v>1</v>
      </c>
      <c r="C6565" s="231">
        <v>6</v>
      </c>
      <c r="D6565" s="231">
        <f t="shared" si="756"/>
        <v>45663</v>
      </c>
      <c r="E6565" s="233">
        <f t="shared" si="758"/>
        <v>45663</v>
      </c>
      <c r="F6565" s="478" t="s">
        <v>1670</v>
      </c>
      <c r="G6565" s="222" t="s">
        <v>1111</v>
      </c>
      <c r="H6565" s="223"/>
      <c r="I6565" s="223"/>
      <c r="J6565" s="224" t="s">
        <v>63</v>
      </c>
      <c r="K6565" s="225">
        <v>58</v>
      </c>
      <c r="L6565" s="225"/>
    </row>
    <row r="6566" spans="1:12" ht="11.25" customHeight="1" x14ac:dyDescent="0.2">
      <c r="A6566" s="226">
        <v>2025</v>
      </c>
      <c r="B6566" s="226">
        <v>1</v>
      </c>
      <c r="C6566" s="232">
        <v>6</v>
      </c>
      <c r="D6566" s="232">
        <f t="shared" si="756"/>
        <v>45663</v>
      </c>
      <c r="E6566" s="234">
        <f t="shared" si="758"/>
        <v>45663</v>
      </c>
      <c r="F6566" s="479"/>
      <c r="G6566" s="227" t="s">
        <v>1111</v>
      </c>
      <c r="H6566" s="228"/>
      <c r="I6566" s="228"/>
      <c r="J6566" s="229" t="s">
        <v>55</v>
      </c>
      <c r="K6566" s="230"/>
      <c r="L6566" s="230">
        <v>58</v>
      </c>
    </row>
    <row r="6567" spans="1:12" s="429" customFormat="1" ht="11.25" customHeight="1" x14ac:dyDescent="0.2">
      <c r="A6567" s="424">
        <v>2025</v>
      </c>
      <c r="B6567" s="424">
        <v>1</v>
      </c>
      <c r="C6567" s="425">
        <v>6</v>
      </c>
      <c r="D6567" s="425">
        <f t="shared" si="756"/>
        <v>45663</v>
      </c>
      <c r="E6567" s="426">
        <f t="shared" si="758"/>
        <v>45663</v>
      </c>
      <c r="F6567" s="484" t="s">
        <v>1753</v>
      </c>
      <c r="G6567" s="427" t="s">
        <v>1111</v>
      </c>
      <c r="H6567" s="428"/>
      <c r="I6567" s="428"/>
      <c r="J6567" s="437" t="s">
        <v>63</v>
      </c>
      <c r="K6567" s="375">
        <v>100</v>
      </c>
      <c r="L6567" s="375"/>
    </row>
    <row r="6568" spans="1:12" s="429" customFormat="1" ht="11.25" customHeight="1" x14ac:dyDescent="0.2">
      <c r="A6568" s="430">
        <v>2025</v>
      </c>
      <c r="B6568" s="430">
        <v>1</v>
      </c>
      <c r="C6568" s="431">
        <v>6</v>
      </c>
      <c r="D6568" s="431">
        <f t="shared" si="756"/>
        <v>45663</v>
      </c>
      <c r="E6568" s="432">
        <f t="shared" si="758"/>
        <v>45663</v>
      </c>
      <c r="F6568" s="485"/>
      <c r="G6568" s="433" t="s">
        <v>1111</v>
      </c>
      <c r="H6568" s="434"/>
      <c r="I6568" s="434"/>
      <c r="J6568" s="435" t="s">
        <v>55</v>
      </c>
      <c r="K6568" s="436"/>
      <c r="L6568" s="436">
        <v>100</v>
      </c>
    </row>
    <row r="6569" spans="1:12" ht="11.25" customHeight="1" x14ac:dyDescent="0.2">
      <c r="A6569" s="221">
        <v>2025</v>
      </c>
      <c r="B6569" s="221">
        <v>1</v>
      </c>
      <c r="C6569" s="221">
        <v>7</v>
      </c>
      <c r="D6569" s="221">
        <f t="shared" si="756"/>
        <v>45664</v>
      </c>
      <c r="E6569" s="233">
        <f t="shared" si="758"/>
        <v>45664</v>
      </c>
      <c r="F6569" s="478" t="s">
        <v>1593</v>
      </c>
      <c r="G6569" s="222" t="s">
        <v>86</v>
      </c>
      <c r="H6569" s="222"/>
      <c r="I6569" s="223"/>
      <c r="J6569" s="224" t="s">
        <v>80</v>
      </c>
      <c r="K6569" s="225">
        <v>594000</v>
      </c>
      <c r="L6569" s="225"/>
    </row>
    <row r="6570" spans="1:12" ht="11.25" customHeight="1" x14ac:dyDescent="0.2">
      <c r="A6570" s="164">
        <v>2025</v>
      </c>
      <c r="B6570" s="164">
        <v>1</v>
      </c>
      <c r="C6570" s="164">
        <v>7</v>
      </c>
      <c r="D6570" s="164">
        <f t="shared" si="756"/>
        <v>45664</v>
      </c>
      <c r="E6570" s="235">
        <f t="shared" si="758"/>
        <v>45664</v>
      </c>
      <c r="F6570" s="480"/>
      <c r="G6570" s="208" t="s">
        <v>86</v>
      </c>
      <c r="H6570" s="208"/>
      <c r="J6570" s="165" t="s">
        <v>960</v>
      </c>
      <c r="K6570" s="205">
        <v>1069.2</v>
      </c>
      <c r="L6570" s="205"/>
    </row>
    <row r="6571" spans="1:12" ht="11.25" customHeight="1" x14ac:dyDescent="0.2">
      <c r="A6571" s="226">
        <v>2025</v>
      </c>
      <c r="B6571" s="226">
        <v>1</v>
      </c>
      <c r="C6571" s="226">
        <v>7</v>
      </c>
      <c r="D6571" s="226">
        <f t="shared" si="756"/>
        <v>45664</v>
      </c>
      <c r="E6571" s="234">
        <f t="shared" si="758"/>
        <v>45664</v>
      </c>
      <c r="F6571" s="479"/>
      <c r="G6571" s="227" t="s">
        <v>86</v>
      </c>
      <c r="H6571" s="227"/>
      <c r="I6571" s="228"/>
      <c r="J6571" s="229" t="s">
        <v>961</v>
      </c>
      <c r="K6571" s="294"/>
      <c r="L6571" s="230">
        <v>595069.19999999995</v>
      </c>
    </row>
    <row r="6572" spans="1:12" ht="11.25" customHeight="1" x14ac:dyDescent="0.2">
      <c r="A6572" s="221">
        <v>2025</v>
      </c>
      <c r="B6572" s="221">
        <v>1</v>
      </c>
      <c r="C6572" s="231">
        <v>8</v>
      </c>
      <c r="D6572" s="231">
        <f t="shared" si="756"/>
        <v>45665</v>
      </c>
      <c r="E6572" s="233">
        <f t="shared" si="758"/>
        <v>45665</v>
      </c>
      <c r="F6572" s="478" t="s">
        <v>1814</v>
      </c>
      <c r="G6572" s="222" t="s">
        <v>1111</v>
      </c>
      <c r="H6572" s="223"/>
      <c r="I6572" s="223"/>
      <c r="J6572" s="224" t="s">
        <v>961</v>
      </c>
      <c r="K6572" s="225">
        <v>595069.19999999995</v>
      </c>
      <c r="L6572" s="225"/>
    </row>
    <row r="6573" spans="1:12" ht="11.25" customHeight="1" x14ac:dyDescent="0.2">
      <c r="A6573" s="226">
        <v>2025</v>
      </c>
      <c r="B6573" s="226">
        <v>1</v>
      </c>
      <c r="C6573" s="232">
        <v>8</v>
      </c>
      <c r="D6573" s="232">
        <f t="shared" si="756"/>
        <v>45665</v>
      </c>
      <c r="E6573" s="234">
        <f t="shared" si="758"/>
        <v>45665</v>
      </c>
      <c r="F6573" s="479"/>
      <c r="G6573" s="227" t="s">
        <v>1111</v>
      </c>
      <c r="H6573" s="228"/>
      <c r="I6573" s="228"/>
      <c r="J6573" s="229" t="s">
        <v>55</v>
      </c>
      <c r="K6573" s="230"/>
      <c r="L6573" s="230">
        <v>595069.19999999995</v>
      </c>
    </row>
    <row r="6574" spans="1:12" ht="11.25" customHeight="1" x14ac:dyDescent="0.2">
      <c r="A6574" s="221">
        <v>2025</v>
      </c>
      <c r="B6574" s="221">
        <v>1</v>
      </c>
      <c r="C6574" s="231">
        <v>8</v>
      </c>
      <c r="D6574" s="231">
        <f t="shared" si="756"/>
        <v>45665</v>
      </c>
      <c r="E6574" s="233">
        <f t="shared" si="758"/>
        <v>45665</v>
      </c>
      <c r="F6574" s="478" t="s">
        <v>1670</v>
      </c>
      <c r="G6574" s="222" t="s">
        <v>1111</v>
      </c>
      <c r="H6574" s="223"/>
      <c r="I6574" s="223"/>
      <c r="J6574" s="224" t="s">
        <v>63</v>
      </c>
      <c r="K6574" s="225">
        <v>100</v>
      </c>
      <c r="L6574" s="225"/>
    </row>
    <row r="6575" spans="1:12" ht="11.25" customHeight="1" x14ac:dyDescent="0.2">
      <c r="A6575" s="226">
        <v>2025</v>
      </c>
      <c r="B6575" s="226">
        <v>1</v>
      </c>
      <c r="C6575" s="232">
        <v>8</v>
      </c>
      <c r="D6575" s="232">
        <f t="shared" si="756"/>
        <v>45665</v>
      </c>
      <c r="E6575" s="234">
        <f t="shared" si="758"/>
        <v>45665</v>
      </c>
      <c r="F6575" s="479"/>
      <c r="G6575" s="227" t="s">
        <v>1111</v>
      </c>
      <c r="H6575" s="228"/>
      <c r="I6575" s="228"/>
      <c r="J6575" s="229" t="s">
        <v>55</v>
      </c>
      <c r="K6575" s="230"/>
      <c r="L6575" s="230">
        <v>100</v>
      </c>
    </row>
    <row r="6576" spans="1:12" ht="11.25" customHeight="1" x14ac:dyDescent="0.2">
      <c r="A6576" s="280">
        <v>2025</v>
      </c>
      <c r="B6576" s="280">
        <v>1</v>
      </c>
      <c r="C6576" s="280">
        <v>9</v>
      </c>
      <c r="D6576" s="281">
        <f t="shared" si="756"/>
        <v>45666</v>
      </c>
      <c r="E6576" s="282">
        <f t="shared" si="758"/>
        <v>45666</v>
      </c>
      <c r="F6576" s="472" t="s">
        <v>1744</v>
      </c>
      <c r="G6576" s="283" t="s">
        <v>86</v>
      </c>
      <c r="H6576" s="284"/>
      <c r="I6576" s="284"/>
      <c r="J6576" s="285" t="s">
        <v>131</v>
      </c>
      <c r="K6576" s="286">
        <v>19358.333333333332</v>
      </c>
      <c r="L6576" s="286"/>
    </row>
    <row r="6577" spans="1:12" ht="11.25" customHeight="1" x14ac:dyDescent="0.2">
      <c r="A6577" s="287">
        <v>2025</v>
      </c>
      <c r="B6577" s="287">
        <v>1</v>
      </c>
      <c r="C6577" s="287">
        <v>9</v>
      </c>
      <c r="D6577" s="288">
        <f t="shared" si="756"/>
        <v>45666</v>
      </c>
      <c r="E6577" s="289">
        <f t="shared" si="758"/>
        <v>45666</v>
      </c>
      <c r="F6577" s="473"/>
      <c r="G6577" s="290" t="s">
        <v>86</v>
      </c>
      <c r="H6577" s="291"/>
      <c r="I6577" s="291"/>
      <c r="J6577" s="292" t="s">
        <v>174</v>
      </c>
      <c r="K6577" s="293"/>
      <c r="L6577" s="293">
        <v>19358.333333333332</v>
      </c>
    </row>
    <row r="6578" spans="1:12" ht="11.25" customHeight="1" x14ac:dyDescent="0.2">
      <c r="A6578" s="280">
        <v>2025</v>
      </c>
      <c r="B6578" s="280">
        <v>1</v>
      </c>
      <c r="C6578" s="280">
        <v>9</v>
      </c>
      <c r="D6578" s="281">
        <f t="shared" si="756"/>
        <v>45666</v>
      </c>
      <c r="E6578" s="282">
        <f t="shared" si="758"/>
        <v>45666</v>
      </c>
      <c r="F6578" s="472" t="s">
        <v>1584</v>
      </c>
      <c r="G6578" s="283" t="s">
        <v>86</v>
      </c>
      <c r="H6578" s="284"/>
      <c r="I6578" s="284"/>
      <c r="J6578" s="285" t="s">
        <v>131</v>
      </c>
      <c r="K6578" s="286">
        <v>8846.1538461538457</v>
      </c>
      <c r="L6578" s="286"/>
    </row>
    <row r="6579" spans="1:12" ht="11.25" customHeight="1" x14ac:dyDescent="0.2">
      <c r="A6579" s="287">
        <v>2025</v>
      </c>
      <c r="B6579" s="287">
        <v>1</v>
      </c>
      <c r="C6579" s="287">
        <v>9</v>
      </c>
      <c r="D6579" s="288">
        <f t="shared" si="756"/>
        <v>45666</v>
      </c>
      <c r="E6579" s="289">
        <f t="shared" si="758"/>
        <v>45666</v>
      </c>
      <c r="F6579" s="473"/>
      <c r="G6579" s="290" t="s">
        <v>86</v>
      </c>
      <c r="H6579" s="291"/>
      <c r="I6579" s="291"/>
      <c r="J6579" s="292" t="s">
        <v>174</v>
      </c>
      <c r="K6579" s="293"/>
      <c r="L6579" s="293">
        <v>8846.1538461538457</v>
      </c>
    </row>
    <row r="6580" spans="1:12" ht="11.25" customHeight="1" x14ac:dyDescent="0.2">
      <c r="A6580" s="280">
        <v>2025</v>
      </c>
      <c r="B6580" s="280">
        <v>1</v>
      </c>
      <c r="C6580" s="280">
        <v>9</v>
      </c>
      <c r="D6580" s="281">
        <f t="shared" si="756"/>
        <v>45666</v>
      </c>
      <c r="E6580" s="282">
        <f t="shared" si="758"/>
        <v>45666</v>
      </c>
      <c r="F6580" s="472" t="s">
        <v>1830</v>
      </c>
      <c r="G6580" s="283" t="s">
        <v>86</v>
      </c>
      <c r="H6580" s="284"/>
      <c r="I6580" s="284"/>
      <c r="J6580" s="285" t="s">
        <v>131</v>
      </c>
      <c r="K6580" s="286">
        <v>4741.3515384615257</v>
      </c>
      <c r="L6580" s="286"/>
    </row>
    <row r="6581" spans="1:12" ht="11.25" customHeight="1" x14ac:dyDescent="0.2">
      <c r="A6581" s="287">
        <v>2025</v>
      </c>
      <c r="B6581" s="287">
        <v>1</v>
      </c>
      <c r="C6581" s="287">
        <v>9</v>
      </c>
      <c r="D6581" s="288">
        <f t="shared" si="756"/>
        <v>45666</v>
      </c>
      <c r="E6581" s="289">
        <f t="shared" si="758"/>
        <v>45666</v>
      </c>
      <c r="F6581" s="473"/>
      <c r="G6581" s="290" t="s">
        <v>86</v>
      </c>
      <c r="H6581" s="291"/>
      <c r="I6581" s="291"/>
      <c r="J6581" s="292" t="s">
        <v>174</v>
      </c>
      <c r="K6581" s="293"/>
      <c r="L6581" s="293">
        <v>4741.3515384615257</v>
      </c>
    </row>
    <row r="6582" spans="1:12" ht="11.25" customHeight="1" x14ac:dyDescent="0.2">
      <c r="A6582" s="341">
        <v>2025</v>
      </c>
      <c r="B6582" s="341">
        <v>1</v>
      </c>
      <c r="C6582" s="341">
        <v>9</v>
      </c>
      <c r="D6582" s="328">
        <f t="shared" si="756"/>
        <v>45666</v>
      </c>
      <c r="E6582" s="329">
        <f t="shared" si="758"/>
        <v>45666</v>
      </c>
      <c r="F6582" s="474" t="s">
        <v>1767</v>
      </c>
      <c r="G6582" s="330" t="s">
        <v>86</v>
      </c>
      <c r="H6582" s="332"/>
      <c r="I6582" s="332"/>
      <c r="J6582" s="342" t="s">
        <v>67</v>
      </c>
      <c r="K6582" s="343">
        <v>49207.97</v>
      </c>
      <c r="L6582" s="343"/>
    </row>
    <row r="6583" spans="1:12" ht="11.25" customHeight="1" x14ac:dyDescent="0.2">
      <c r="A6583" s="344">
        <v>2025</v>
      </c>
      <c r="B6583" s="344">
        <v>1</v>
      </c>
      <c r="C6583" s="344">
        <v>9</v>
      </c>
      <c r="D6583" s="337">
        <f t="shared" si="756"/>
        <v>45666</v>
      </c>
      <c r="E6583" s="338">
        <f t="shared" si="758"/>
        <v>45666</v>
      </c>
      <c r="F6583" s="475"/>
      <c r="G6583" s="339" t="s">
        <v>86</v>
      </c>
      <c r="H6583" s="340"/>
      <c r="I6583" s="340"/>
      <c r="J6583" s="345" t="s">
        <v>174</v>
      </c>
      <c r="K6583" s="346"/>
      <c r="L6583" s="346">
        <v>49207.97</v>
      </c>
    </row>
    <row r="6584" spans="1:12" ht="11.25" customHeight="1" x14ac:dyDescent="0.2">
      <c r="A6584" s="358">
        <v>2025</v>
      </c>
      <c r="B6584" s="358">
        <v>1</v>
      </c>
      <c r="C6584" s="358">
        <v>9</v>
      </c>
      <c r="D6584" s="312">
        <f t="shared" si="756"/>
        <v>45666</v>
      </c>
      <c r="E6584" s="313">
        <f>DATE(A6584,B6584,C6584)</f>
        <v>45666</v>
      </c>
      <c r="F6584" s="482" t="s">
        <v>1627</v>
      </c>
      <c r="G6584" s="314" t="s">
        <v>86</v>
      </c>
      <c r="H6584" s="324"/>
      <c r="I6584" s="324"/>
      <c r="J6584" s="364" t="s">
        <v>1613</v>
      </c>
      <c r="K6584" s="365">
        <v>0</v>
      </c>
      <c r="L6584" s="365"/>
    </row>
    <row r="6585" spans="1:12" ht="11.25" customHeight="1" x14ac:dyDescent="0.2">
      <c r="A6585" s="320">
        <v>2025</v>
      </c>
      <c r="B6585" s="320">
        <v>1</v>
      </c>
      <c r="C6585" s="320">
        <v>9</v>
      </c>
      <c r="D6585" s="323">
        <f t="shared" si="756"/>
        <v>45666</v>
      </c>
      <c r="E6585" s="321">
        <f t="shared" ref="E6585" si="759">DATE(A6585,B6585,C6585)</f>
        <v>45666</v>
      </c>
      <c r="F6585" s="483"/>
      <c r="G6585" s="322" t="s">
        <v>86</v>
      </c>
      <c r="H6585" s="325"/>
      <c r="I6585" s="325"/>
      <c r="J6585" s="366" t="s">
        <v>1621</v>
      </c>
      <c r="K6585" s="367"/>
      <c r="L6585" s="367">
        <v>0</v>
      </c>
    </row>
    <row r="6586" spans="1:12" ht="11.25" customHeight="1" x14ac:dyDescent="0.2">
      <c r="A6586" s="358">
        <v>2025</v>
      </c>
      <c r="B6586" s="358">
        <v>1</v>
      </c>
      <c r="C6586" s="358">
        <v>9</v>
      </c>
      <c r="D6586" s="312">
        <f t="shared" si="756"/>
        <v>45666</v>
      </c>
      <c r="E6586" s="313">
        <f>DATE(A6586,B6586,C6586)</f>
        <v>45666</v>
      </c>
      <c r="F6586" s="482" t="s">
        <v>1713</v>
      </c>
      <c r="G6586" s="314" t="s">
        <v>86</v>
      </c>
      <c r="H6586" s="324"/>
      <c r="I6586" s="324"/>
      <c r="J6586" s="364" t="s">
        <v>1622</v>
      </c>
      <c r="K6586" s="365">
        <v>125440.77499999851</v>
      </c>
      <c r="L6586" s="365"/>
    </row>
    <row r="6587" spans="1:12" ht="11.25" customHeight="1" x14ac:dyDescent="0.2">
      <c r="A6587" s="320">
        <v>2025</v>
      </c>
      <c r="B6587" s="320">
        <v>1</v>
      </c>
      <c r="C6587" s="320">
        <v>9</v>
      </c>
      <c r="D6587" s="323">
        <f t="shared" si="756"/>
        <v>45666</v>
      </c>
      <c r="E6587" s="321">
        <f t="shared" ref="E6587:E6610" si="760">DATE(A6587,B6587,C6587)</f>
        <v>45666</v>
      </c>
      <c r="F6587" s="483"/>
      <c r="G6587" s="322" t="s">
        <v>86</v>
      </c>
      <c r="H6587" s="325"/>
      <c r="I6587" s="325"/>
      <c r="J6587" s="366" t="s">
        <v>1614</v>
      </c>
      <c r="K6587" s="367"/>
      <c r="L6587" s="367">
        <v>125440.77499999851</v>
      </c>
    </row>
    <row r="6588" spans="1:12" ht="11.25" customHeight="1" x14ac:dyDescent="0.2">
      <c r="A6588" s="236">
        <v>2025</v>
      </c>
      <c r="B6588" s="236">
        <v>1</v>
      </c>
      <c r="C6588" s="236">
        <v>9</v>
      </c>
      <c r="D6588" s="237">
        <f t="shared" si="756"/>
        <v>45666</v>
      </c>
      <c r="E6588" s="238">
        <f t="shared" si="760"/>
        <v>45666</v>
      </c>
      <c r="F6588" s="476" t="s">
        <v>1118</v>
      </c>
      <c r="G6588" s="239" t="s">
        <v>86</v>
      </c>
      <c r="H6588" s="239"/>
      <c r="I6588" s="240"/>
      <c r="J6588" s="241" t="s">
        <v>98</v>
      </c>
      <c r="K6588" s="242">
        <v>1014975.1599999964</v>
      </c>
      <c r="L6588" s="242"/>
    </row>
    <row r="6589" spans="1:12" ht="11.25" customHeight="1" x14ac:dyDescent="0.2">
      <c r="A6589" s="243">
        <v>2025</v>
      </c>
      <c r="B6589" s="243">
        <v>1</v>
      </c>
      <c r="C6589" s="243">
        <v>9</v>
      </c>
      <c r="D6589" s="248">
        <f t="shared" si="756"/>
        <v>45666</v>
      </c>
      <c r="E6589" s="249">
        <f t="shared" si="760"/>
        <v>45666</v>
      </c>
      <c r="F6589" s="477"/>
      <c r="G6589" s="244" t="s">
        <v>86</v>
      </c>
      <c r="H6589" s="244"/>
      <c r="I6589" s="245"/>
      <c r="J6589" s="246" t="s">
        <v>82</v>
      </c>
      <c r="K6589" s="247"/>
      <c r="L6589" s="247">
        <v>1014975.1599999964</v>
      </c>
    </row>
    <row r="6590" spans="1:12" ht="11.25" customHeight="1" x14ac:dyDescent="0.2">
      <c r="A6590" s="236">
        <v>2025</v>
      </c>
      <c r="B6590" s="236">
        <v>1</v>
      </c>
      <c r="C6590" s="236">
        <v>9</v>
      </c>
      <c r="D6590" s="237">
        <f t="shared" si="756"/>
        <v>45666</v>
      </c>
      <c r="E6590" s="238">
        <f t="shared" si="760"/>
        <v>45666</v>
      </c>
      <c r="F6590" s="476" t="s">
        <v>1120</v>
      </c>
      <c r="G6590" s="239" t="s">
        <v>86</v>
      </c>
      <c r="H6590" s="239"/>
      <c r="I6590" s="240"/>
      <c r="J6590" s="241" t="s">
        <v>87</v>
      </c>
      <c r="K6590" s="242">
        <v>2747.2527472527472</v>
      </c>
      <c r="L6590" s="242"/>
    </row>
    <row r="6591" spans="1:12" ht="11.25" customHeight="1" x14ac:dyDescent="0.2">
      <c r="A6591" s="243">
        <v>2025</v>
      </c>
      <c r="B6591" s="243">
        <v>1</v>
      </c>
      <c r="C6591" s="243">
        <v>9</v>
      </c>
      <c r="D6591" s="248">
        <f t="shared" si="756"/>
        <v>45666</v>
      </c>
      <c r="E6591" s="249">
        <f t="shared" si="760"/>
        <v>45666</v>
      </c>
      <c r="F6591" s="477"/>
      <c r="G6591" s="244" t="s">
        <v>86</v>
      </c>
      <c r="H6591" s="244"/>
      <c r="I6591" s="245"/>
      <c r="J6591" s="246" t="s">
        <v>64</v>
      </c>
      <c r="K6591" s="247"/>
      <c r="L6591" s="247">
        <v>2747.2527472527472</v>
      </c>
    </row>
    <row r="6592" spans="1:12" ht="11.25" customHeight="1" x14ac:dyDescent="0.2">
      <c r="A6592" s="236">
        <v>2025</v>
      </c>
      <c r="B6592" s="236">
        <v>1</v>
      </c>
      <c r="C6592" s="236">
        <v>9</v>
      </c>
      <c r="D6592" s="237">
        <f t="shared" si="756"/>
        <v>45666</v>
      </c>
      <c r="E6592" s="238">
        <f t="shared" si="760"/>
        <v>45666</v>
      </c>
      <c r="F6592" s="476" t="s">
        <v>1121</v>
      </c>
      <c r="G6592" s="239" t="s">
        <v>86</v>
      </c>
      <c r="H6592" s="239"/>
      <c r="I6592" s="240"/>
      <c r="J6592" s="241" t="s">
        <v>89</v>
      </c>
      <c r="K6592" s="242">
        <v>71665.069383541908</v>
      </c>
      <c r="L6592" s="242"/>
    </row>
    <row r="6593" spans="1:12" ht="11.25" customHeight="1" x14ac:dyDescent="0.2">
      <c r="A6593" s="243">
        <v>2025</v>
      </c>
      <c r="B6593" s="243">
        <v>1</v>
      </c>
      <c r="C6593" s="243">
        <v>9</v>
      </c>
      <c r="D6593" s="248">
        <f t="shared" si="756"/>
        <v>45666</v>
      </c>
      <c r="E6593" s="249">
        <f t="shared" si="760"/>
        <v>45666</v>
      </c>
      <c r="F6593" s="477"/>
      <c r="G6593" s="244" t="s">
        <v>86</v>
      </c>
      <c r="H6593" s="244"/>
      <c r="I6593" s="245"/>
      <c r="J6593" s="246" t="s">
        <v>50</v>
      </c>
      <c r="K6593" s="247"/>
      <c r="L6593" s="247">
        <v>71665.069383541908</v>
      </c>
    </row>
    <row r="6594" spans="1:12" ht="11.25" customHeight="1" x14ac:dyDescent="0.2">
      <c r="A6594" s="236">
        <v>2025</v>
      </c>
      <c r="B6594" s="236">
        <v>1</v>
      </c>
      <c r="C6594" s="236">
        <v>9</v>
      </c>
      <c r="D6594" s="237">
        <f t="shared" si="756"/>
        <v>45666</v>
      </c>
      <c r="E6594" s="238">
        <f t="shared" si="760"/>
        <v>45666</v>
      </c>
      <c r="F6594" s="476" t="s">
        <v>1122</v>
      </c>
      <c r="G6594" s="239" t="s">
        <v>86</v>
      </c>
      <c r="H6594" s="239"/>
      <c r="I6594" s="240"/>
      <c r="J6594" s="241" t="s">
        <v>91</v>
      </c>
      <c r="K6594" s="242">
        <v>3342.8688537924795</v>
      </c>
      <c r="L6594" s="242"/>
    </row>
    <row r="6595" spans="1:12" ht="11.25" customHeight="1" x14ac:dyDescent="0.2">
      <c r="A6595" s="243">
        <v>2025</v>
      </c>
      <c r="B6595" s="243">
        <v>1</v>
      </c>
      <c r="C6595" s="243">
        <v>9</v>
      </c>
      <c r="D6595" s="248">
        <f t="shared" si="756"/>
        <v>45666</v>
      </c>
      <c r="E6595" s="249">
        <f t="shared" si="760"/>
        <v>45666</v>
      </c>
      <c r="F6595" s="477"/>
      <c r="G6595" s="244" t="s">
        <v>86</v>
      </c>
      <c r="H6595" s="244"/>
      <c r="I6595" s="245"/>
      <c r="J6595" s="246" t="s">
        <v>51</v>
      </c>
      <c r="K6595" s="247"/>
      <c r="L6595" s="247">
        <v>3342.8688537924795</v>
      </c>
    </row>
    <row r="6596" spans="1:12" ht="11.25" customHeight="1" x14ac:dyDescent="0.2">
      <c r="A6596" s="164">
        <v>2025</v>
      </c>
      <c r="B6596" s="164">
        <v>1</v>
      </c>
      <c r="C6596" s="164">
        <v>13</v>
      </c>
      <c r="D6596" s="156">
        <f t="shared" si="756"/>
        <v>45670</v>
      </c>
      <c r="E6596" s="235">
        <f t="shared" si="760"/>
        <v>45670</v>
      </c>
      <c r="F6596" s="478" t="s">
        <v>1808</v>
      </c>
      <c r="G6596" s="208" t="s">
        <v>1111</v>
      </c>
      <c r="J6596" s="165" t="s">
        <v>478</v>
      </c>
      <c r="K6596" s="205">
        <v>164215.69</v>
      </c>
      <c r="L6596" s="205"/>
    </row>
    <row r="6597" spans="1:12" ht="11.25" customHeight="1" x14ac:dyDescent="0.2">
      <c r="A6597" s="164">
        <v>2025</v>
      </c>
      <c r="B6597" s="164">
        <v>1</v>
      </c>
      <c r="C6597" s="164">
        <v>13</v>
      </c>
      <c r="D6597" s="156">
        <f t="shared" si="756"/>
        <v>45670</v>
      </c>
      <c r="E6597" s="235">
        <f t="shared" ref="E6597" si="761">DATE(A6597,B6597,C6597)</f>
        <v>45670</v>
      </c>
      <c r="F6597" s="480"/>
      <c r="G6597" s="208" t="s">
        <v>1111</v>
      </c>
      <c r="J6597" s="165" t="s">
        <v>1708</v>
      </c>
      <c r="K6597" s="205">
        <v>250</v>
      </c>
      <c r="L6597" s="205"/>
    </row>
    <row r="6598" spans="1:12" ht="11.25" customHeight="1" x14ac:dyDescent="0.2">
      <c r="A6598" s="226">
        <v>2025</v>
      </c>
      <c r="B6598" s="226">
        <v>1</v>
      </c>
      <c r="C6598" s="226">
        <v>13</v>
      </c>
      <c r="D6598" s="232">
        <f t="shared" si="756"/>
        <v>45670</v>
      </c>
      <c r="E6598" s="234">
        <f t="shared" si="760"/>
        <v>45670</v>
      </c>
      <c r="F6598" s="479"/>
      <c r="G6598" s="227" t="s">
        <v>1111</v>
      </c>
      <c r="H6598" s="228"/>
      <c r="I6598" s="228"/>
      <c r="J6598" s="229" t="s">
        <v>55</v>
      </c>
      <c r="K6598" s="230"/>
      <c r="L6598" s="230">
        <v>164465.69</v>
      </c>
    </row>
    <row r="6599" spans="1:12" ht="11.25" customHeight="1" x14ac:dyDescent="0.2">
      <c r="A6599" s="164">
        <v>2025</v>
      </c>
      <c r="B6599" s="164">
        <v>1</v>
      </c>
      <c r="C6599" s="164">
        <v>14</v>
      </c>
      <c r="D6599" s="231">
        <f t="shared" si="756"/>
        <v>45671</v>
      </c>
      <c r="E6599" s="233">
        <f t="shared" si="760"/>
        <v>45671</v>
      </c>
      <c r="F6599" s="478" t="s">
        <v>1837</v>
      </c>
      <c r="G6599" s="222" t="s">
        <v>1111</v>
      </c>
      <c r="H6599" s="223"/>
      <c r="I6599" s="223"/>
      <c r="J6599" s="224" t="s">
        <v>55</v>
      </c>
      <c r="K6599" s="225">
        <v>444118.4</v>
      </c>
      <c r="L6599" s="225"/>
    </row>
    <row r="6600" spans="1:12" ht="11.25" customHeight="1" x14ac:dyDescent="0.2">
      <c r="A6600" s="226">
        <v>2025</v>
      </c>
      <c r="B6600" s="226">
        <v>1</v>
      </c>
      <c r="C6600" s="226">
        <v>14</v>
      </c>
      <c r="D6600" s="232">
        <f t="shared" si="756"/>
        <v>45671</v>
      </c>
      <c r="E6600" s="234">
        <f t="shared" si="760"/>
        <v>45671</v>
      </c>
      <c r="F6600" s="479"/>
      <c r="G6600" s="227" t="s">
        <v>1111</v>
      </c>
      <c r="H6600" s="228"/>
      <c r="I6600" s="228"/>
      <c r="J6600" s="229" t="s">
        <v>192</v>
      </c>
      <c r="K6600" s="230"/>
      <c r="L6600" s="230">
        <v>444118.4</v>
      </c>
    </row>
    <row r="6601" spans="1:12" ht="11.25" customHeight="1" x14ac:dyDescent="0.2">
      <c r="A6601" s="164">
        <v>2025</v>
      </c>
      <c r="B6601" s="164">
        <v>1</v>
      </c>
      <c r="C6601" s="164">
        <v>16</v>
      </c>
      <c r="D6601" s="231">
        <f t="shared" ref="D6601:D6664" si="762">DATE(A6601,B6601,C6601)</f>
        <v>45673</v>
      </c>
      <c r="E6601" s="233">
        <f t="shared" si="760"/>
        <v>45673</v>
      </c>
      <c r="F6601" s="478" t="s">
        <v>1838</v>
      </c>
      <c r="G6601" s="222" t="s">
        <v>86</v>
      </c>
      <c r="H6601" s="223"/>
      <c r="I6601" s="223"/>
      <c r="J6601" s="224" t="s">
        <v>55</v>
      </c>
      <c r="K6601" s="225">
        <v>68250</v>
      </c>
      <c r="L6601" s="225"/>
    </row>
    <row r="6602" spans="1:12" ht="11.25" customHeight="1" x14ac:dyDescent="0.2">
      <c r="A6602" s="226">
        <v>2025</v>
      </c>
      <c r="B6602" s="226">
        <v>1</v>
      </c>
      <c r="C6602" s="226">
        <v>16</v>
      </c>
      <c r="D6602" s="156">
        <f t="shared" si="762"/>
        <v>45673</v>
      </c>
      <c r="E6602" s="235">
        <f t="shared" si="760"/>
        <v>45673</v>
      </c>
      <c r="F6602" s="480"/>
      <c r="G6602" s="208" t="s">
        <v>86</v>
      </c>
      <c r="J6602" s="165" t="s">
        <v>192</v>
      </c>
      <c r="K6602" s="230"/>
      <c r="L6602" s="230">
        <v>68250</v>
      </c>
    </row>
    <row r="6603" spans="1:12" ht="11.25" customHeight="1" x14ac:dyDescent="0.2">
      <c r="A6603" s="280">
        <v>2025</v>
      </c>
      <c r="B6603" s="280">
        <v>1</v>
      </c>
      <c r="C6603" s="280">
        <v>16</v>
      </c>
      <c r="D6603" s="281">
        <f t="shared" si="762"/>
        <v>45673</v>
      </c>
      <c r="E6603" s="282">
        <f t="shared" si="760"/>
        <v>45673</v>
      </c>
      <c r="F6603" s="472" t="s">
        <v>1744</v>
      </c>
      <c r="G6603" s="283" t="s">
        <v>86</v>
      </c>
      <c r="H6603" s="284"/>
      <c r="I6603" s="284"/>
      <c r="J6603" s="285" t="s">
        <v>131</v>
      </c>
      <c r="K6603" s="286">
        <v>19358.330000000002</v>
      </c>
      <c r="L6603" s="286"/>
    </row>
    <row r="6604" spans="1:12" ht="11.25" customHeight="1" x14ac:dyDescent="0.2">
      <c r="A6604" s="287">
        <v>2025</v>
      </c>
      <c r="B6604" s="287">
        <v>1</v>
      </c>
      <c r="C6604" s="287">
        <v>16</v>
      </c>
      <c r="D6604" s="288">
        <f t="shared" si="762"/>
        <v>45673</v>
      </c>
      <c r="E6604" s="289">
        <f t="shared" si="760"/>
        <v>45673</v>
      </c>
      <c r="F6604" s="473"/>
      <c r="G6604" s="290" t="s">
        <v>86</v>
      </c>
      <c r="H6604" s="291"/>
      <c r="I6604" s="291"/>
      <c r="J6604" s="292" t="s">
        <v>174</v>
      </c>
      <c r="K6604" s="293"/>
      <c r="L6604" s="293">
        <v>19358.330000000002</v>
      </c>
    </row>
    <row r="6605" spans="1:12" ht="11.25" customHeight="1" x14ac:dyDescent="0.2">
      <c r="A6605" s="280">
        <v>2025</v>
      </c>
      <c r="B6605" s="280">
        <v>1</v>
      </c>
      <c r="C6605" s="280">
        <v>16</v>
      </c>
      <c r="D6605" s="281">
        <f t="shared" si="762"/>
        <v>45673</v>
      </c>
      <c r="E6605" s="282">
        <f t="shared" si="760"/>
        <v>45673</v>
      </c>
      <c r="F6605" s="472" t="s">
        <v>1584</v>
      </c>
      <c r="G6605" s="283" t="s">
        <v>86</v>
      </c>
      <c r="H6605" s="284"/>
      <c r="I6605" s="284"/>
      <c r="J6605" s="285" t="s">
        <v>131</v>
      </c>
      <c r="K6605" s="286">
        <v>8846.15</v>
      </c>
      <c r="L6605" s="286"/>
    </row>
    <row r="6606" spans="1:12" ht="11.25" customHeight="1" x14ac:dyDescent="0.2">
      <c r="A6606" s="287">
        <v>2025</v>
      </c>
      <c r="B6606" s="287">
        <v>1</v>
      </c>
      <c r="C6606" s="287">
        <v>16</v>
      </c>
      <c r="D6606" s="288">
        <f t="shared" si="762"/>
        <v>45673</v>
      </c>
      <c r="E6606" s="289">
        <f t="shared" si="760"/>
        <v>45673</v>
      </c>
      <c r="F6606" s="473"/>
      <c r="G6606" s="290" t="s">
        <v>86</v>
      </c>
      <c r="H6606" s="291"/>
      <c r="I6606" s="291"/>
      <c r="J6606" s="292" t="s">
        <v>174</v>
      </c>
      <c r="K6606" s="293"/>
      <c r="L6606" s="293">
        <v>8846.15</v>
      </c>
    </row>
    <row r="6607" spans="1:12" ht="11.25" customHeight="1" x14ac:dyDescent="0.2">
      <c r="A6607" s="280">
        <v>2025</v>
      </c>
      <c r="B6607" s="280">
        <v>1</v>
      </c>
      <c r="C6607" s="280">
        <v>16</v>
      </c>
      <c r="D6607" s="281">
        <f t="shared" si="762"/>
        <v>45673</v>
      </c>
      <c r="E6607" s="282">
        <f t="shared" si="760"/>
        <v>45673</v>
      </c>
      <c r="F6607" s="472" t="s">
        <v>1830</v>
      </c>
      <c r="G6607" s="283" t="s">
        <v>86</v>
      </c>
      <c r="H6607" s="284"/>
      <c r="I6607" s="284"/>
      <c r="J6607" s="285" t="s">
        <v>131</v>
      </c>
      <c r="K6607" s="286">
        <v>4741.3515384615257</v>
      </c>
      <c r="L6607" s="286"/>
    </row>
    <row r="6608" spans="1:12" ht="11.25" customHeight="1" x14ac:dyDescent="0.2">
      <c r="A6608" s="287">
        <v>2025</v>
      </c>
      <c r="B6608" s="287">
        <v>1</v>
      </c>
      <c r="C6608" s="287">
        <v>16</v>
      </c>
      <c r="D6608" s="288">
        <f t="shared" si="762"/>
        <v>45673</v>
      </c>
      <c r="E6608" s="289">
        <f t="shared" si="760"/>
        <v>45673</v>
      </c>
      <c r="F6608" s="473"/>
      <c r="G6608" s="290" t="s">
        <v>86</v>
      </c>
      <c r="H6608" s="291"/>
      <c r="I6608" s="291"/>
      <c r="J6608" s="292" t="s">
        <v>174</v>
      </c>
      <c r="K6608" s="293"/>
      <c r="L6608" s="293">
        <v>4741.3515384615257</v>
      </c>
    </row>
    <row r="6609" spans="1:12" ht="11.25" customHeight="1" x14ac:dyDescent="0.2">
      <c r="A6609" s="341">
        <v>2025</v>
      </c>
      <c r="B6609" s="341">
        <v>1</v>
      </c>
      <c r="C6609" s="341">
        <v>16</v>
      </c>
      <c r="D6609" s="328">
        <f t="shared" si="762"/>
        <v>45673</v>
      </c>
      <c r="E6609" s="329">
        <f t="shared" si="760"/>
        <v>45673</v>
      </c>
      <c r="F6609" s="474" t="s">
        <v>1767</v>
      </c>
      <c r="G6609" s="330" t="s">
        <v>86</v>
      </c>
      <c r="H6609" s="332"/>
      <c r="I6609" s="332"/>
      <c r="J6609" s="342" t="s">
        <v>67</v>
      </c>
      <c r="K6609" s="343">
        <v>48894.22</v>
      </c>
      <c r="L6609" s="343"/>
    </row>
    <row r="6610" spans="1:12" ht="11.25" customHeight="1" x14ac:dyDescent="0.2">
      <c r="A6610" s="344">
        <v>2025</v>
      </c>
      <c r="B6610" s="344">
        <v>1</v>
      </c>
      <c r="C6610" s="344">
        <v>16</v>
      </c>
      <c r="D6610" s="337">
        <f t="shared" si="762"/>
        <v>45673</v>
      </c>
      <c r="E6610" s="338">
        <f t="shared" si="760"/>
        <v>45673</v>
      </c>
      <c r="F6610" s="475"/>
      <c r="G6610" s="339" t="s">
        <v>86</v>
      </c>
      <c r="H6610" s="340"/>
      <c r="I6610" s="340"/>
      <c r="J6610" s="345" t="s">
        <v>174</v>
      </c>
      <c r="K6610" s="346"/>
      <c r="L6610" s="346">
        <v>48894.22</v>
      </c>
    </row>
    <row r="6611" spans="1:12" ht="11.25" customHeight="1" x14ac:dyDescent="0.2">
      <c r="A6611" s="358">
        <v>2025</v>
      </c>
      <c r="B6611" s="358">
        <v>1</v>
      </c>
      <c r="C6611" s="358">
        <v>16</v>
      </c>
      <c r="D6611" s="312">
        <f t="shared" si="762"/>
        <v>45673</v>
      </c>
      <c r="E6611" s="313">
        <f>DATE(A6611,B6611,C6611)</f>
        <v>45673</v>
      </c>
      <c r="F6611" s="482" t="s">
        <v>1627</v>
      </c>
      <c r="G6611" s="314" t="s">
        <v>86</v>
      </c>
      <c r="H6611" s="324"/>
      <c r="I6611" s="324"/>
      <c r="J6611" s="364" t="s">
        <v>1613</v>
      </c>
      <c r="K6611" s="365">
        <v>0</v>
      </c>
      <c r="L6611" s="365"/>
    </row>
    <row r="6612" spans="1:12" ht="11.25" customHeight="1" x14ac:dyDescent="0.2">
      <c r="A6612" s="320">
        <v>2025</v>
      </c>
      <c r="B6612" s="320">
        <v>1</v>
      </c>
      <c r="C6612" s="320">
        <v>16</v>
      </c>
      <c r="D6612" s="323">
        <f t="shared" si="762"/>
        <v>45673</v>
      </c>
      <c r="E6612" s="321">
        <f t="shared" ref="E6612" si="763">DATE(A6612,B6612,C6612)</f>
        <v>45673</v>
      </c>
      <c r="F6612" s="483"/>
      <c r="G6612" s="322" t="s">
        <v>86</v>
      </c>
      <c r="H6612" s="325"/>
      <c r="I6612" s="325"/>
      <c r="J6612" s="366" t="s">
        <v>1621</v>
      </c>
      <c r="K6612" s="367"/>
      <c r="L6612" s="367">
        <v>0</v>
      </c>
    </row>
    <row r="6613" spans="1:12" ht="11.25" customHeight="1" x14ac:dyDescent="0.2">
      <c r="A6613" s="358">
        <v>2025</v>
      </c>
      <c r="B6613" s="358">
        <v>1</v>
      </c>
      <c r="C6613" s="358">
        <v>16</v>
      </c>
      <c r="D6613" s="312">
        <f t="shared" si="762"/>
        <v>45673</v>
      </c>
      <c r="E6613" s="313">
        <f>DATE(A6613,B6613,C6613)</f>
        <v>45673</v>
      </c>
      <c r="F6613" s="482" t="s">
        <v>1713</v>
      </c>
      <c r="G6613" s="314" t="s">
        <v>86</v>
      </c>
      <c r="H6613" s="324"/>
      <c r="I6613" s="324"/>
      <c r="J6613" s="364" t="s">
        <v>1622</v>
      </c>
      <c r="K6613" s="365">
        <v>99504.710000004619</v>
      </c>
      <c r="L6613" s="365"/>
    </row>
    <row r="6614" spans="1:12" ht="11.25" customHeight="1" x14ac:dyDescent="0.2">
      <c r="A6614" s="320">
        <v>2025</v>
      </c>
      <c r="B6614" s="320">
        <v>1</v>
      </c>
      <c r="C6614" s="320">
        <v>16</v>
      </c>
      <c r="D6614" s="323">
        <f t="shared" si="762"/>
        <v>45673</v>
      </c>
      <c r="E6614" s="321">
        <f t="shared" ref="E6614:E6631" si="764">DATE(A6614,B6614,C6614)</f>
        <v>45673</v>
      </c>
      <c r="F6614" s="483"/>
      <c r="G6614" s="322" t="s">
        <v>86</v>
      </c>
      <c r="H6614" s="325"/>
      <c r="I6614" s="325"/>
      <c r="J6614" s="366" t="s">
        <v>1614</v>
      </c>
      <c r="K6614" s="367"/>
      <c r="L6614" s="367">
        <v>99504.710000004619</v>
      </c>
    </row>
    <row r="6615" spans="1:12" ht="11.25" customHeight="1" x14ac:dyDescent="0.2">
      <c r="A6615" s="236">
        <v>2025</v>
      </c>
      <c r="B6615" s="236">
        <v>1</v>
      </c>
      <c r="C6615" s="236">
        <v>16</v>
      </c>
      <c r="D6615" s="237">
        <f t="shared" si="762"/>
        <v>45673</v>
      </c>
      <c r="E6615" s="238">
        <f t="shared" si="764"/>
        <v>45673</v>
      </c>
      <c r="F6615" s="476" t="s">
        <v>1118</v>
      </c>
      <c r="G6615" s="239" t="s">
        <v>86</v>
      </c>
      <c r="H6615" s="239"/>
      <c r="I6615" s="240"/>
      <c r="J6615" s="241" t="s">
        <v>82</v>
      </c>
      <c r="K6615" s="242">
        <v>1029931.68</v>
      </c>
      <c r="L6615" s="242"/>
    </row>
    <row r="6616" spans="1:12" ht="11.25" customHeight="1" x14ac:dyDescent="0.2">
      <c r="A6616" s="243">
        <v>2025</v>
      </c>
      <c r="B6616" s="243">
        <v>1</v>
      </c>
      <c r="C6616" s="243">
        <v>16</v>
      </c>
      <c r="D6616" s="248">
        <f t="shared" si="762"/>
        <v>45673</v>
      </c>
      <c r="E6616" s="249">
        <f t="shared" si="764"/>
        <v>45673</v>
      </c>
      <c r="F6616" s="477"/>
      <c r="G6616" s="244" t="s">
        <v>86</v>
      </c>
      <c r="H6616" s="244"/>
      <c r="I6616" s="245"/>
      <c r="J6616" s="246" t="s">
        <v>98</v>
      </c>
      <c r="K6616" s="247"/>
      <c r="L6616" s="247">
        <v>1029931.68</v>
      </c>
    </row>
    <row r="6617" spans="1:12" ht="11.25" customHeight="1" x14ac:dyDescent="0.2">
      <c r="A6617" s="236">
        <v>2025</v>
      </c>
      <c r="B6617" s="236">
        <v>1</v>
      </c>
      <c r="C6617" s="236">
        <v>16</v>
      </c>
      <c r="D6617" s="237">
        <f t="shared" si="762"/>
        <v>45673</v>
      </c>
      <c r="E6617" s="238">
        <f t="shared" si="764"/>
        <v>45673</v>
      </c>
      <c r="F6617" s="476" t="s">
        <v>1120</v>
      </c>
      <c r="G6617" s="239" t="s">
        <v>86</v>
      </c>
      <c r="H6617" s="239"/>
      <c r="I6617" s="240"/>
      <c r="J6617" s="241" t="s">
        <v>87</v>
      </c>
      <c r="K6617" s="242">
        <v>2747.2527472527472</v>
      </c>
      <c r="L6617" s="242"/>
    </row>
    <row r="6618" spans="1:12" ht="11.25" customHeight="1" x14ac:dyDescent="0.2">
      <c r="A6618" s="243">
        <v>2025</v>
      </c>
      <c r="B6618" s="243">
        <v>1</v>
      </c>
      <c r="C6618" s="243">
        <v>16</v>
      </c>
      <c r="D6618" s="248">
        <f t="shared" si="762"/>
        <v>45673</v>
      </c>
      <c r="E6618" s="249">
        <f t="shared" si="764"/>
        <v>45673</v>
      </c>
      <c r="F6618" s="477"/>
      <c r="G6618" s="244" t="s">
        <v>86</v>
      </c>
      <c r="H6618" s="244"/>
      <c r="I6618" s="245"/>
      <c r="J6618" s="246" t="s">
        <v>64</v>
      </c>
      <c r="K6618" s="247"/>
      <c r="L6618" s="247">
        <v>2747.2527472527472</v>
      </c>
    </row>
    <row r="6619" spans="1:12" ht="11.25" customHeight="1" x14ac:dyDescent="0.2">
      <c r="A6619" s="236">
        <v>2025</v>
      </c>
      <c r="B6619" s="236">
        <v>1</v>
      </c>
      <c r="C6619" s="236">
        <v>16</v>
      </c>
      <c r="D6619" s="237">
        <f t="shared" si="762"/>
        <v>45673</v>
      </c>
      <c r="E6619" s="238">
        <f t="shared" si="764"/>
        <v>45673</v>
      </c>
      <c r="F6619" s="476" t="s">
        <v>1121</v>
      </c>
      <c r="G6619" s="239" t="s">
        <v>86</v>
      </c>
      <c r="H6619" s="239"/>
      <c r="I6619" s="240"/>
      <c r="J6619" s="241" t="s">
        <v>89</v>
      </c>
      <c r="K6619" s="242">
        <v>71522.268765214496</v>
      </c>
      <c r="L6619" s="242"/>
    </row>
    <row r="6620" spans="1:12" ht="11.25" customHeight="1" x14ac:dyDescent="0.2">
      <c r="A6620" s="243">
        <v>2025</v>
      </c>
      <c r="B6620" s="243">
        <v>1</v>
      </c>
      <c r="C6620" s="243">
        <v>16</v>
      </c>
      <c r="D6620" s="248">
        <f t="shared" si="762"/>
        <v>45673</v>
      </c>
      <c r="E6620" s="249">
        <f t="shared" si="764"/>
        <v>45673</v>
      </c>
      <c r="F6620" s="477"/>
      <c r="G6620" s="244" t="s">
        <v>86</v>
      </c>
      <c r="H6620" s="244"/>
      <c r="I6620" s="245"/>
      <c r="J6620" s="246" t="s">
        <v>50</v>
      </c>
      <c r="K6620" s="247"/>
      <c r="L6620" s="247">
        <v>71522.268765214496</v>
      </c>
    </row>
    <row r="6621" spans="1:12" ht="11.25" customHeight="1" x14ac:dyDescent="0.2">
      <c r="A6621" s="236">
        <v>2025</v>
      </c>
      <c r="B6621" s="236">
        <v>1</v>
      </c>
      <c r="C6621" s="236">
        <v>16</v>
      </c>
      <c r="D6621" s="237">
        <f t="shared" si="762"/>
        <v>45673</v>
      </c>
      <c r="E6621" s="238">
        <f t="shared" si="764"/>
        <v>45673</v>
      </c>
      <c r="F6621" s="476" t="s">
        <v>1122</v>
      </c>
      <c r="G6621" s="239" t="s">
        <v>86</v>
      </c>
      <c r="H6621" s="239"/>
      <c r="I6621" s="240"/>
      <c r="J6621" s="241" t="s">
        <v>91</v>
      </c>
      <c r="K6621" s="242">
        <v>3335.728822876109</v>
      </c>
      <c r="L6621" s="242"/>
    </row>
    <row r="6622" spans="1:12" ht="11.25" customHeight="1" x14ac:dyDescent="0.2">
      <c r="A6622" s="243">
        <v>2025</v>
      </c>
      <c r="B6622" s="243">
        <v>1</v>
      </c>
      <c r="C6622" s="243">
        <v>16</v>
      </c>
      <c r="D6622" s="248">
        <f t="shared" si="762"/>
        <v>45673</v>
      </c>
      <c r="E6622" s="249">
        <f t="shared" si="764"/>
        <v>45673</v>
      </c>
      <c r="F6622" s="477"/>
      <c r="G6622" s="244" t="s">
        <v>86</v>
      </c>
      <c r="H6622" s="244"/>
      <c r="I6622" s="245"/>
      <c r="J6622" s="246" t="s">
        <v>51</v>
      </c>
      <c r="K6622" s="247"/>
      <c r="L6622" s="247">
        <v>3335.728822876109</v>
      </c>
    </row>
    <row r="6623" spans="1:12" ht="11.25" customHeight="1" x14ac:dyDescent="0.2">
      <c r="A6623" s="221">
        <v>2025</v>
      </c>
      <c r="B6623" s="221">
        <v>1</v>
      </c>
      <c r="C6623" s="221">
        <v>19</v>
      </c>
      <c r="D6623" s="231">
        <f t="shared" si="762"/>
        <v>45676</v>
      </c>
      <c r="E6623" s="233">
        <f t="shared" si="764"/>
        <v>45676</v>
      </c>
      <c r="F6623" s="478" t="s">
        <v>1839</v>
      </c>
      <c r="G6623" s="222" t="s">
        <v>86</v>
      </c>
      <c r="H6623" s="223"/>
      <c r="I6623" s="223"/>
      <c r="J6623" s="224" t="s">
        <v>88</v>
      </c>
      <c r="K6623" s="225">
        <v>9000000</v>
      </c>
      <c r="L6623" s="225"/>
    </row>
    <row r="6624" spans="1:12" ht="11.25" customHeight="1" x14ac:dyDescent="0.2">
      <c r="A6624" s="226">
        <v>2025</v>
      </c>
      <c r="B6624" s="226">
        <v>1</v>
      </c>
      <c r="C6624" s="226">
        <v>19</v>
      </c>
      <c r="D6624" s="232">
        <f t="shared" si="762"/>
        <v>45676</v>
      </c>
      <c r="E6624" s="234">
        <f t="shared" si="764"/>
        <v>45676</v>
      </c>
      <c r="F6624" s="479"/>
      <c r="G6624" s="227" t="s">
        <v>86</v>
      </c>
      <c r="H6624" s="228"/>
      <c r="I6624" s="228"/>
      <c r="J6624" s="229" t="s">
        <v>55</v>
      </c>
      <c r="K6624" s="230"/>
      <c r="L6624" s="230">
        <v>9000000</v>
      </c>
    </row>
    <row r="6625" spans="1:13" ht="11.25" customHeight="1" x14ac:dyDescent="0.2">
      <c r="A6625" s="221">
        <v>2025</v>
      </c>
      <c r="B6625" s="221">
        <v>1</v>
      </c>
      <c r="C6625" s="221">
        <v>19</v>
      </c>
      <c r="D6625" s="231">
        <f t="shared" si="762"/>
        <v>45676</v>
      </c>
      <c r="E6625" s="233">
        <f t="shared" si="764"/>
        <v>45676</v>
      </c>
      <c r="F6625" s="478" t="s">
        <v>1670</v>
      </c>
      <c r="G6625" s="222" t="s">
        <v>1111</v>
      </c>
      <c r="H6625" s="223"/>
      <c r="I6625" s="223"/>
      <c r="J6625" s="224" t="s">
        <v>63</v>
      </c>
      <c r="K6625" s="225">
        <v>100</v>
      </c>
      <c r="L6625" s="225"/>
    </row>
    <row r="6626" spans="1:13" ht="11.25" customHeight="1" x14ac:dyDescent="0.2">
      <c r="A6626" s="226">
        <v>2025</v>
      </c>
      <c r="B6626" s="226">
        <v>1</v>
      </c>
      <c r="C6626" s="226">
        <v>19</v>
      </c>
      <c r="D6626" s="232">
        <f t="shared" si="762"/>
        <v>45676</v>
      </c>
      <c r="E6626" s="234">
        <f t="shared" si="764"/>
        <v>45676</v>
      </c>
      <c r="F6626" s="479"/>
      <c r="G6626" s="227" t="s">
        <v>1111</v>
      </c>
      <c r="H6626" s="228"/>
      <c r="I6626" s="228"/>
      <c r="J6626" s="229" t="s">
        <v>55</v>
      </c>
      <c r="K6626" s="230"/>
      <c r="L6626" s="230">
        <v>100</v>
      </c>
    </row>
    <row r="6627" spans="1:13" ht="11.25" customHeight="1" x14ac:dyDescent="0.2">
      <c r="A6627" s="164">
        <v>2025</v>
      </c>
      <c r="B6627" s="164">
        <v>1</v>
      </c>
      <c r="C6627" s="221">
        <v>19</v>
      </c>
      <c r="D6627" s="156">
        <f t="shared" si="762"/>
        <v>45676</v>
      </c>
      <c r="E6627" s="235">
        <f t="shared" si="764"/>
        <v>45676</v>
      </c>
      <c r="F6627" s="478" t="s">
        <v>1808</v>
      </c>
      <c r="G6627" s="208" t="s">
        <v>1111</v>
      </c>
      <c r="J6627" s="165" t="s">
        <v>478</v>
      </c>
      <c r="K6627" s="205">
        <v>14.73</v>
      </c>
      <c r="L6627" s="205"/>
    </row>
    <row r="6628" spans="1:13" ht="11.25" customHeight="1" x14ac:dyDescent="0.2">
      <c r="A6628" s="226">
        <v>2025</v>
      </c>
      <c r="B6628" s="226">
        <v>1</v>
      </c>
      <c r="C6628" s="226">
        <v>19</v>
      </c>
      <c r="D6628" s="232">
        <f t="shared" si="762"/>
        <v>45676</v>
      </c>
      <c r="E6628" s="234">
        <f t="shared" si="764"/>
        <v>45676</v>
      </c>
      <c r="F6628" s="479"/>
      <c r="G6628" s="227" t="s">
        <v>1111</v>
      </c>
      <c r="H6628" s="228"/>
      <c r="I6628" s="228"/>
      <c r="J6628" s="229" t="s">
        <v>55</v>
      </c>
      <c r="K6628" s="230"/>
      <c r="L6628" s="230">
        <v>14.73</v>
      </c>
    </row>
    <row r="6629" spans="1:13" ht="11.25" customHeight="1" x14ac:dyDescent="0.2">
      <c r="A6629" s="221">
        <v>2025</v>
      </c>
      <c r="B6629" s="221">
        <v>1</v>
      </c>
      <c r="C6629" s="221">
        <v>21</v>
      </c>
      <c r="D6629" s="231">
        <f t="shared" si="762"/>
        <v>45678</v>
      </c>
      <c r="E6629" s="233">
        <f t="shared" si="764"/>
        <v>45678</v>
      </c>
      <c r="F6629" s="478" t="s">
        <v>1196</v>
      </c>
      <c r="G6629" s="222" t="s">
        <v>1111</v>
      </c>
      <c r="H6629" s="223"/>
      <c r="I6629" s="223"/>
      <c r="J6629" s="224" t="s">
        <v>95</v>
      </c>
      <c r="K6629" s="225">
        <v>147.33000000000001</v>
      </c>
      <c r="L6629" s="225"/>
      <c r="M6629" s="166"/>
    </row>
    <row r="6630" spans="1:13" ht="11.25" customHeight="1" x14ac:dyDescent="0.2">
      <c r="A6630" s="164">
        <v>2025</v>
      </c>
      <c r="B6630" s="164">
        <v>1</v>
      </c>
      <c r="C6630" s="164">
        <v>21</v>
      </c>
      <c r="D6630" s="156">
        <f t="shared" si="762"/>
        <v>45678</v>
      </c>
      <c r="E6630" s="235">
        <f t="shared" si="764"/>
        <v>45678</v>
      </c>
      <c r="F6630" s="480"/>
      <c r="G6630" s="208" t="s">
        <v>1111</v>
      </c>
      <c r="J6630" s="165" t="s">
        <v>478</v>
      </c>
      <c r="K6630" s="205"/>
      <c r="L6630" s="205">
        <v>14.73</v>
      </c>
    </row>
    <row r="6631" spans="1:13" ht="11.25" customHeight="1" x14ac:dyDescent="0.2">
      <c r="A6631" s="226">
        <v>2025</v>
      </c>
      <c r="B6631" s="226">
        <v>1</v>
      </c>
      <c r="C6631" s="226">
        <v>21</v>
      </c>
      <c r="D6631" s="232">
        <f t="shared" si="762"/>
        <v>45678</v>
      </c>
      <c r="E6631" s="234">
        <f t="shared" si="764"/>
        <v>45678</v>
      </c>
      <c r="F6631" s="479"/>
      <c r="G6631" s="227" t="s">
        <v>1111</v>
      </c>
      <c r="H6631" s="228"/>
      <c r="I6631" s="228"/>
      <c r="J6631" s="229" t="s">
        <v>55</v>
      </c>
      <c r="K6631" s="230"/>
      <c r="L6631" s="230">
        <v>132.6</v>
      </c>
    </row>
    <row r="6632" spans="1:13" ht="11.25" customHeight="1" x14ac:dyDescent="0.2">
      <c r="A6632" s="280">
        <v>2025</v>
      </c>
      <c r="B6632" s="280">
        <v>1</v>
      </c>
      <c r="C6632" s="280">
        <v>22</v>
      </c>
      <c r="D6632" s="281">
        <f t="shared" si="762"/>
        <v>45679</v>
      </c>
      <c r="E6632" s="282">
        <f>DATE(A6632,B6632,C6632)</f>
        <v>45679</v>
      </c>
      <c r="F6632" s="472" t="s">
        <v>1744</v>
      </c>
      <c r="G6632" s="283" t="s">
        <v>86</v>
      </c>
      <c r="H6632" s="284"/>
      <c r="I6632" s="284"/>
      <c r="J6632" s="285" t="s">
        <v>131</v>
      </c>
      <c r="K6632" s="286">
        <v>14518.75</v>
      </c>
      <c r="L6632" s="286"/>
    </row>
    <row r="6633" spans="1:13" ht="11.25" customHeight="1" x14ac:dyDescent="0.2">
      <c r="A6633" s="287">
        <v>2025</v>
      </c>
      <c r="B6633" s="287">
        <v>1</v>
      </c>
      <c r="C6633" s="287">
        <v>22</v>
      </c>
      <c r="D6633" s="288">
        <f t="shared" si="762"/>
        <v>45679</v>
      </c>
      <c r="E6633" s="289">
        <f>DATE(A6633,B6633,C6633)</f>
        <v>45679</v>
      </c>
      <c r="F6633" s="473"/>
      <c r="G6633" s="290" t="s">
        <v>86</v>
      </c>
      <c r="H6633" s="291"/>
      <c r="I6633" s="291"/>
      <c r="J6633" s="292" t="s">
        <v>174</v>
      </c>
      <c r="K6633" s="293"/>
      <c r="L6633" s="293">
        <v>14518.75</v>
      </c>
    </row>
    <row r="6634" spans="1:13" ht="11.25" customHeight="1" x14ac:dyDescent="0.2">
      <c r="A6634" s="280">
        <v>2025</v>
      </c>
      <c r="B6634" s="280">
        <v>1</v>
      </c>
      <c r="C6634" s="280">
        <v>22</v>
      </c>
      <c r="D6634" s="281">
        <f t="shared" si="762"/>
        <v>45679</v>
      </c>
      <c r="E6634" s="282">
        <f>DATE(A6634,B6634,C6634)</f>
        <v>45679</v>
      </c>
      <c r="F6634" s="472" t="s">
        <v>1744</v>
      </c>
      <c r="G6634" s="283" t="s">
        <v>86</v>
      </c>
      <c r="H6634" s="284"/>
      <c r="I6634" s="284"/>
      <c r="J6634" s="285" t="s">
        <v>131</v>
      </c>
      <c r="K6634" s="286">
        <v>14518.75</v>
      </c>
      <c r="L6634" s="286"/>
    </row>
    <row r="6635" spans="1:13" ht="11.25" customHeight="1" x14ac:dyDescent="0.2">
      <c r="A6635" s="287">
        <v>2025</v>
      </c>
      <c r="B6635" s="287">
        <v>1</v>
      </c>
      <c r="C6635" s="287">
        <v>22</v>
      </c>
      <c r="D6635" s="288">
        <f t="shared" si="762"/>
        <v>45679</v>
      </c>
      <c r="E6635" s="289">
        <f>DATE(A6635,B6635,C6635)</f>
        <v>45679</v>
      </c>
      <c r="F6635" s="473"/>
      <c r="G6635" s="290" t="s">
        <v>86</v>
      </c>
      <c r="H6635" s="291"/>
      <c r="I6635" s="291"/>
      <c r="J6635" s="292" t="s">
        <v>174</v>
      </c>
      <c r="K6635" s="293"/>
      <c r="L6635" s="293">
        <v>14518.75</v>
      </c>
    </row>
    <row r="6636" spans="1:13" ht="11.25" customHeight="1" x14ac:dyDescent="0.2">
      <c r="A6636" s="221">
        <v>2025</v>
      </c>
      <c r="B6636" s="221">
        <v>1</v>
      </c>
      <c r="C6636" s="231">
        <v>22</v>
      </c>
      <c r="D6636" s="231">
        <f t="shared" si="762"/>
        <v>45679</v>
      </c>
      <c r="E6636" s="233">
        <f t="shared" ref="E6636:E6639" si="765">DATE(A6636,B6636,C6636)</f>
        <v>45679</v>
      </c>
      <c r="F6636" s="478" t="s">
        <v>1821</v>
      </c>
      <c r="G6636" s="222" t="s">
        <v>1111</v>
      </c>
      <c r="H6636" s="223"/>
      <c r="I6636" s="223"/>
      <c r="J6636" s="165" t="s">
        <v>55</v>
      </c>
      <c r="K6636" s="225">
        <v>14518.75</v>
      </c>
      <c r="L6636" s="225"/>
    </row>
    <row r="6637" spans="1:13" ht="11.25" customHeight="1" x14ac:dyDescent="0.2">
      <c r="A6637" s="226">
        <v>2025</v>
      </c>
      <c r="B6637" s="226">
        <v>1</v>
      </c>
      <c r="C6637" s="232">
        <v>22</v>
      </c>
      <c r="D6637" s="232">
        <f t="shared" si="762"/>
        <v>45679</v>
      </c>
      <c r="E6637" s="234">
        <f t="shared" si="765"/>
        <v>45679</v>
      </c>
      <c r="F6637" s="479"/>
      <c r="G6637" s="227" t="s">
        <v>1111</v>
      </c>
      <c r="H6637" s="228"/>
      <c r="I6637" s="228"/>
      <c r="J6637" s="229" t="s">
        <v>131</v>
      </c>
      <c r="K6637" s="230"/>
      <c r="L6637" s="230">
        <v>14518.75</v>
      </c>
    </row>
    <row r="6638" spans="1:13" ht="11.25" customHeight="1" x14ac:dyDescent="0.2">
      <c r="A6638" s="221">
        <v>2025</v>
      </c>
      <c r="B6638" s="221">
        <v>1</v>
      </c>
      <c r="C6638" s="231">
        <v>22</v>
      </c>
      <c r="D6638" s="231">
        <f t="shared" si="762"/>
        <v>45679</v>
      </c>
      <c r="E6638" s="233">
        <f t="shared" si="765"/>
        <v>45679</v>
      </c>
      <c r="F6638" s="478" t="s">
        <v>1821</v>
      </c>
      <c r="G6638" s="222" t="s">
        <v>1111</v>
      </c>
      <c r="H6638" s="223"/>
      <c r="I6638" s="223"/>
      <c r="J6638" s="165" t="s">
        <v>55</v>
      </c>
      <c r="K6638" s="225">
        <v>14518.75</v>
      </c>
      <c r="L6638" s="225"/>
    </row>
    <row r="6639" spans="1:13" ht="11.25" customHeight="1" x14ac:dyDescent="0.2">
      <c r="A6639" s="226">
        <v>2025</v>
      </c>
      <c r="B6639" s="226">
        <v>1</v>
      </c>
      <c r="C6639" s="232">
        <v>22</v>
      </c>
      <c r="D6639" s="232">
        <f t="shared" si="762"/>
        <v>45679</v>
      </c>
      <c r="E6639" s="234">
        <f t="shared" si="765"/>
        <v>45679</v>
      </c>
      <c r="F6639" s="479"/>
      <c r="G6639" s="227" t="s">
        <v>1111</v>
      </c>
      <c r="H6639" s="228"/>
      <c r="I6639" s="228"/>
      <c r="J6639" s="229" t="s">
        <v>131</v>
      </c>
      <c r="K6639" s="230"/>
      <c r="L6639" s="230">
        <v>14518.75</v>
      </c>
    </row>
    <row r="6640" spans="1:13" ht="11.25" customHeight="1" x14ac:dyDescent="0.2">
      <c r="A6640" s="221">
        <v>2025</v>
      </c>
      <c r="B6640" s="221">
        <v>1</v>
      </c>
      <c r="C6640" s="221">
        <v>23</v>
      </c>
      <c r="D6640" s="231">
        <f t="shared" si="762"/>
        <v>45680</v>
      </c>
      <c r="E6640" s="233">
        <f>DATE(A6640,B6640,C6640)</f>
        <v>45680</v>
      </c>
      <c r="F6640" s="478" t="s">
        <v>1178</v>
      </c>
      <c r="G6640" s="222" t="s">
        <v>1111</v>
      </c>
      <c r="H6640" s="223"/>
      <c r="I6640" s="223"/>
      <c r="J6640" s="224" t="s">
        <v>189</v>
      </c>
      <c r="K6640" s="225">
        <v>5750</v>
      </c>
      <c r="L6640" s="225"/>
    </row>
    <row r="6641" spans="1:13" ht="11.25" customHeight="1" x14ac:dyDescent="0.2">
      <c r="A6641" s="164">
        <v>2025</v>
      </c>
      <c r="B6641" s="164">
        <v>1</v>
      </c>
      <c r="C6641" s="164">
        <v>23</v>
      </c>
      <c r="D6641" s="156">
        <f t="shared" si="762"/>
        <v>45680</v>
      </c>
      <c r="E6641" s="235">
        <f>DATE(A6641,B6641,C6641)</f>
        <v>45680</v>
      </c>
      <c r="F6641" s="480"/>
      <c r="G6641" s="208" t="s">
        <v>1111</v>
      </c>
      <c r="J6641" s="165" t="s">
        <v>1708</v>
      </c>
      <c r="K6641" s="205"/>
      <c r="L6641" s="205">
        <v>250</v>
      </c>
    </row>
    <row r="6642" spans="1:13" ht="11.25" customHeight="1" x14ac:dyDescent="0.2">
      <c r="A6642" s="226">
        <v>2025</v>
      </c>
      <c r="B6642" s="226">
        <v>1</v>
      </c>
      <c r="C6642" s="226">
        <v>23</v>
      </c>
      <c r="D6642" s="232">
        <f t="shared" si="762"/>
        <v>45680</v>
      </c>
      <c r="E6642" s="234">
        <f>DATE(A6642,B6642,C6642)</f>
        <v>45680</v>
      </c>
      <c r="F6642" s="479"/>
      <c r="G6642" s="227" t="s">
        <v>1111</v>
      </c>
      <c r="H6642" s="228"/>
      <c r="I6642" s="228"/>
      <c r="J6642" s="229" t="s">
        <v>55</v>
      </c>
      <c r="K6642" s="230"/>
      <c r="L6642" s="230">
        <v>5500</v>
      </c>
    </row>
    <row r="6643" spans="1:13" ht="11.25" customHeight="1" x14ac:dyDescent="0.2">
      <c r="A6643" s="280">
        <v>2025</v>
      </c>
      <c r="B6643" s="280">
        <v>1</v>
      </c>
      <c r="C6643" s="280">
        <v>23</v>
      </c>
      <c r="D6643" s="281">
        <f t="shared" si="762"/>
        <v>45680</v>
      </c>
      <c r="E6643" s="282">
        <f t="shared" ref="E6643:E6652" si="766">DATE(A6643,B6643,C6643)</f>
        <v>45680</v>
      </c>
      <c r="F6643" s="472" t="s">
        <v>1744</v>
      </c>
      <c r="G6643" s="283" t="s">
        <v>86</v>
      </c>
      <c r="H6643" s="284"/>
      <c r="I6643" s="284"/>
      <c r="J6643" s="285" t="s">
        <v>131</v>
      </c>
      <c r="K6643" s="286">
        <v>19358.330000000002</v>
      </c>
      <c r="L6643" s="286"/>
    </row>
    <row r="6644" spans="1:13" ht="11.25" customHeight="1" x14ac:dyDescent="0.2">
      <c r="A6644" s="287">
        <v>2025</v>
      </c>
      <c r="B6644" s="287">
        <v>1</v>
      </c>
      <c r="C6644" s="287">
        <v>23</v>
      </c>
      <c r="D6644" s="288">
        <f t="shared" si="762"/>
        <v>45680</v>
      </c>
      <c r="E6644" s="289">
        <f t="shared" si="766"/>
        <v>45680</v>
      </c>
      <c r="F6644" s="473"/>
      <c r="G6644" s="290" t="s">
        <v>86</v>
      </c>
      <c r="H6644" s="291"/>
      <c r="I6644" s="291"/>
      <c r="J6644" s="292" t="s">
        <v>174</v>
      </c>
      <c r="K6644" s="293"/>
      <c r="L6644" s="293">
        <v>19358.330000000002</v>
      </c>
    </row>
    <row r="6645" spans="1:13" ht="11.25" customHeight="1" x14ac:dyDescent="0.2">
      <c r="A6645" s="280">
        <v>2025</v>
      </c>
      <c r="B6645" s="280">
        <v>1</v>
      </c>
      <c r="C6645" s="280">
        <v>23</v>
      </c>
      <c r="D6645" s="281">
        <f t="shared" si="762"/>
        <v>45680</v>
      </c>
      <c r="E6645" s="282">
        <f t="shared" si="766"/>
        <v>45680</v>
      </c>
      <c r="F6645" s="472" t="s">
        <v>1584</v>
      </c>
      <c r="G6645" s="283" t="s">
        <v>86</v>
      </c>
      <c r="H6645" s="284"/>
      <c r="I6645" s="284"/>
      <c r="J6645" s="285" t="s">
        <v>131</v>
      </c>
      <c r="K6645" s="286">
        <v>8846.15</v>
      </c>
      <c r="L6645" s="286"/>
    </row>
    <row r="6646" spans="1:13" ht="11.25" customHeight="1" x14ac:dyDescent="0.2">
      <c r="A6646" s="287">
        <v>2025</v>
      </c>
      <c r="B6646" s="287">
        <v>1</v>
      </c>
      <c r="C6646" s="287">
        <v>23</v>
      </c>
      <c r="D6646" s="288">
        <f t="shared" si="762"/>
        <v>45680</v>
      </c>
      <c r="E6646" s="289">
        <f t="shared" si="766"/>
        <v>45680</v>
      </c>
      <c r="F6646" s="473"/>
      <c r="G6646" s="290" t="s">
        <v>86</v>
      </c>
      <c r="H6646" s="291"/>
      <c r="I6646" s="291"/>
      <c r="J6646" s="292" t="s">
        <v>174</v>
      </c>
      <c r="K6646" s="293"/>
      <c r="L6646" s="293">
        <v>8846.15</v>
      </c>
    </row>
    <row r="6647" spans="1:13" ht="11.25" customHeight="1" x14ac:dyDescent="0.2">
      <c r="A6647" s="280">
        <v>2025</v>
      </c>
      <c r="B6647" s="280">
        <v>1</v>
      </c>
      <c r="C6647" s="280">
        <v>23</v>
      </c>
      <c r="D6647" s="281">
        <f t="shared" si="762"/>
        <v>45680</v>
      </c>
      <c r="E6647" s="282">
        <f t="shared" si="766"/>
        <v>45680</v>
      </c>
      <c r="F6647" s="472" t="s">
        <v>1836</v>
      </c>
      <c r="G6647" s="283" t="s">
        <v>86</v>
      </c>
      <c r="H6647" s="284"/>
      <c r="I6647" s="284"/>
      <c r="J6647" s="285" t="s">
        <v>131</v>
      </c>
      <c r="K6647" s="286">
        <v>4653.8461538461543</v>
      </c>
      <c r="L6647" s="286"/>
    </row>
    <row r="6648" spans="1:13" ht="11.25" customHeight="1" x14ac:dyDescent="0.2">
      <c r="A6648" s="287">
        <v>2025</v>
      </c>
      <c r="B6648" s="287">
        <v>1</v>
      </c>
      <c r="C6648" s="287">
        <v>23</v>
      </c>
      <c r="D6648" s="288">
        <f t="shared" si="762"/>
        <v>45680</v>
      </c>
      <c r="E6648" s="289">
        <f t="shared" si="766"/>
        <v>45680</v>
      </c>
      <c r="F6648" s="473"/>
      <c r="G6648" s="290" t="s">
        <v>86</v>
      </c>
      <c r="H6648" s="291"/>
      <c r="I6648" s="291"/>
      <c r="J6648" s="292" t="s">
        <v>174</v>
      </c>
      <c r="K6648" s="293"/>
      <c r="L6648" s="293">
        <v>4653.8461538461543</v>
      </c>
    </row>
    <row r="6649" spans="1:13" ht="11.25" customHeight="1" x14ac:dyDescent="0.2">
      <c r="A6649" s="280">
        <v>2025</v>
      </c>
      <c r="B6649" s="280">
        <v>1</v>
      </c>
      <c r="C6649" s="280">
        <v>23</v>
      </c>
      <c r="D6649" s="281">
        <f t="shared" si="762"/>
        <v>45680</v>
      </c>
      <c r="E6649" s="282">
        <f t="shared" si="766"/>
        <v>45680</v>
      </c>
      <c r="F6649" s="472" t="s">
        <v>1830</v>
      </c>
      <c r="G6649" s="283" t="s">
        <v>86</v>
      </c>
      <c r="H6649" s="284"/>
      <c r="I6649" s="284"/>
      <c r="J6649" s="285" t="s">
        <v>131</v>
      </c>
      <c r="K6649" s="286">
        <v>4741.3515384615257</v>
      </c>
      <c r="L6649" s="286"/>
    </row>
    <row r="6650" spans="1:13" ht="11.25" customHeight="1" x14ac:dyDescent="0.2">
      <c r="A6650" s="287">
        <v>2025</v>
      </c>
      <c r="B6650" s="287">
        <v>1</v>
      </c>
      <c r="C6650" s="287">
        <v>23</v>
      </c>
      <c r="D6650" s="288">
        <f t="shared" si="762"/>
        <v>45680</v>
      </c>
      <c r="E6650" s="289">
        <f t="shared" si="766"/>
        <v>45680</v>
      </c>
      <c r="F6650" s="473"/>
      <c r="G6650" s="290" t="s">
        <v>86</v>
      </c>
      <c r="H6650" s="291"/>
      <c r="I6650" s="291"/>
      <c r="J6650" s="292" t="s">
        <v>174</v>
      </c>
      <c r="K6650" s="293"/>
      <c r="L6650" s="293">
        <v>4741.3515384615257</v>
      </c>
    </row>
    <row r="6651" spans="1:13" ht="11.25" customHeight="1" x14ac:dyDescent="0.2">
      <c r="A6651" s="341">
        <v>2025</v>
      </c>
      <c r="B6651" s="341">
        <v>1</v>
      </c>
      <c r="C6651" s="341">
        <v>23</v>
      </c>
      <c r="D6651" s="328">
        <f t="shared" si="762"/>
        <v>45680</v>
      </c>
      <c r="E6651" s="329">
        <f t="shared" si="766"/>
        <v>45680</v>
      </c>
      <c r="F6651" s="474" t="s">
        <v>1767</v>
      </c>
      <c r="G6651" s="330" t="s">
        <v>86</v>
      </c>
      <c r="H6651" s="332"/>
      <c r="I6651" s="332"/>
      <c r="J6651" s="342" t="s">
        <v>67</v>
      </c>
      <c r="K6651" s="343">
        <v>36015.85</v>
      </c>
      <c r="L6651" s="343"/>
    </row>
    <row r="6652" spans="1:13" ht="11.25" customHeight="1" x14ac:dyDescent="0.2">
      <c r="A6652" s="344">
        <v>2025</v>
      </c>
      <c r="B6652" s="344">
        <v>1</v>
      </c>
      <c r="C6652" s="344">
        <v>23</v>
      </c>
      <c r="D6652" s="337">
        <f t="shared" si="762"/>
        <v>45680</v>
      </c>
      <c r="E6652" s="338">
        <f t="shared" si="766"/>
        <v>45680</v>
      </c>
      <c r="F6652" s="475"/>
      <c r="G6652" s="339" t="s">
        <v>86</v>
      </c>
      <c r="H6652" s="340"/>
      <c r="I6652" s="340"/>
      <c r="J6652" s="345" t="s">
        <v>174</v>
      </c>
      <c r="K6652" s="346"/>
      <c r="L6652" s="346">
        <f>K6651</f>
        <v>36015.85</v>
      </c>
    </row>
    <row r="6653" spans="1:13" ht="11.25" customHeight="1" x14ac:dyDescent="0.2">
      <c r="A6653" s="358">
        <v>2025</v>
      </c>
      <c r="B6653" s="358">
        <v>1</v>
      </c>
      <c r="C6653" s="358">
        <v>23</v>
      </c>
      <c r="D6653" s="312">
        <f t="shared" si="762"/>
        <v>45680</v>
      </c>
      <c r="E6653" s="313">
        <f>DATE(A6653,B6653,C6653)</f>
        <v>45680</v>
      </c>
      <c r="F6653" s="482" t="s">
        <v>1627</v>
      </c>
      <c r="G6653" s="314" t="s">
        <v>86</v>
      </c>
      <c r="H6653" s="324"/>
      <c r="I6653" s="324"/>
      <c r="J6653" s="364" t="s">
        <v>1613</v>
      </c>
      <c r="K6653" s="365">
        <v>0</v>
      </c>
      <c r="L6653" s="365"/>
      <c r="M6653" s="156">
        <f>BS!I12</f>
        <v>0</v>
      </c>
    </row>
    <row r="6654" spans="1:13" ht="11.25" customHeight="1" x14ac:dyDescent="0.2">
      <c r="A6654" s="320">
        <v>2025</v>
      </c>
      <c r="B6654" s="320">
        <v>1</v>
      </c>
      <c r="C6654" s="320">
        <v>23</v>
      </c>
      <c r="D6654" s="323">
        <f t="shared" si="762"/>
        <v>45680</v>
      </c>
      <c r="E6654" s="321">
        <f t="shared" ref="E6654" si="767">DATE(A6654,B6654,C6654)</f>
        <v>45680</v>
      </c>
      <c r="F6654" s="483"/>
      <c r="G6654" s="322" t="s">
        <v>86</v>
      </c>
      <c r="H6654" s="325"/>
      <c r="I6654" s="325"/>
      <c r="J6654" s="366" t="s">
        <v>1621</v>
      </c>
      <c r="K6654" s="367"/>
      <c r="L6654" s="367">
        <f>K6653</f>
        <v>0</v>
      </c>
    </row>
    <row r="6655" spans="1:13" ht="11.25" customHeight="1" x14ac:dyDescent="0.2">
      <c r="A6655" s="358">
        <v>2025</v>
      </c>
      <c r="B6655" s="358">
        <v>1</v>
      </c>
      <c r="C6655" s="358">
        <v>23</v>
      </c>
      <c r="D6655" s="312">
        <f t="shared" si="762"/>
        <v>45680</v>
      </c>
      <c r="E6655" s="313">
        <f>DATE(A6655,B6655,C6655)</f>
        <v>45680</v>
      </c>
      <c r="F6655" s="482" t="s">
        <v>1713</v>
      </c>
      <c r="G6655" s="314" t="s">
        <v>86</v>
      </c>
      <c r="H6655" s="324"/>
      <c r="I6655" s="324"/>
      <c r="J6655" s="364" t="s">
        <v>1622</v>
      </c>
      <c r="K6655" s="365">
        <v>47186.214999996126</v>
      </c>
      <c r="L6655" s="365"/>
      <c r="M6655" s="156">
        <f>BS!I15</f>
        <v>0</v>
      </c>
    </row>
    <row r="6656" spans="1:13" ht="11.25" customHeight="1" x14ac:dyDescent="0.2">
      <c r="A6656" s="320">
        <v>2025</v>
      </c>
      <c r="B6656" s="320">
        <v>1</v>
      </c>
      <c r="C6656" s="320">
        <v>23</v>
      </c>
      <c r="D6656" s="323">
        <f t="shared" si="762"/>
        <v>45680</v>
      </c>
      <c r="E6656" s="321">
        <f t="shared" ref="E6656:E6680" si="768">DATE(A6656,B6656,C6656)</f>
        <v>45680</v>
      </c>
      <c r="F6656" s="483"/>
      <c r="G6656" s="322" t="s">
        <v>86</v>
      </c>
      <c r="H6656" s="325"/>
      <c r="I6656" s="325"/>
      <c r="J6656" s="366" t="s">
        <v>1614</v>
      </c>
      <c r="K6656" s="367"/>
      <c r="L6656" s="367">
        <f>K6655</f>
        <v>47186.214999996126</v>
      </c>
    </row>
    <row r="6657" spans="1:13" ht="11.25" customHeight="1" x14ac:dyDescent="0.2">
      <c r="A6657" s="236">
        <v>2025</v>
      </c>
      <c r="B6657" s="236">
        <v>1</v>
      </c>
      <c r="C6657" s="236">
        <v>23</v>
      </c>
      <c r="D6657" s="237">
        <f t="shared" si="762"/>
        <v>45680</v>
      </c>
      <c r="E6657" s="238">
        <f t="shared" si="768"/>
        <v>45680</v>
      </c>
      <c r="F6657" s="476" t="s">
        <v>1118</v>
      </c>
      <c r="G6657" s="239" t="s">
        <v>86</v>
      </c>
      <c r="H6657" s="239"/>
      <c r="I6657" s="240"/>
      <c r="J6657" s="241" t="s">
        <v>98</v>
      </c>
      <c r="K6657" s="242">
        <v>1122259.7399999429</v>
      </c>
      <c r="L6657" s="242"/>
      <c r="M6657" s="156">
        <f>BS!I8</f>
        <v>0</v>
      </c>
    </row>
    <row r="6658" spans="1:13" ht="11.25" customHeight="1" x14ac:dyDescent="0.2">
      <c r="A6658" s="243">
        <v>2025</v>
      </c>
      <c r="B6658" s="243">
        <v>1</v>
      </c>
      <c r="C6658" s="243">
        <v>23</v>
      </c>
      <c r="D6658" s="248">
        <f t="shared" si="762"/>
        <v>45680</v>
      </c>
      <c r="E6658" s="249">
        <f t="shared" si="768"/>
        <v>45680</v>
      </c>
      <c r="F6658" s="477"/>
      <c r="G6658" s="244" t="s">
        <v>86</v>
      </c>
      <c r="H6658" s="244"/>
      <c r="I6658" s="245"/>
      <c r="J6658" s="246" t="s">
        <v>82</v>
      </c>
      <c r="K6658" s="247"/>
      <c r="L6658" s="247">
        <f>K6657</f>
        <v>1122259.7399999429</v>
      </c>
    </row>
    <row r="6659" spans="1:13" ht="11.25" customHeight="1" x14ac:dyDescent="0.2">
      <c r="A6659" s="236">
        <v>2025</v>
      </c>
      <c r="B6659" s="236">
        <v>1</v>
      </c>
      <c r="C6659" s="236">
        <v>23</v>
      </c>
      <c r="D6659" s="237">
        <f t="shared" si="762"/>
        <v>45680</v>
      </c>
      <c r="E6659" s="238">
        <f t="shared" si="768"/>
        <v>45680</v>
      </c>
      <c r="F6659" s="476" t="s">
        <v>1120</v>
      </c>
      <c r="G6659" s="239" t="s">
        <v>86</v>
      </c>
      <c r="H6659" s="239"/>
      <c r="I6659" s="240"/>
      <c r="J6659" s="241" t="s">
        <v>87</v>
      </c>
      <c r="K6659" s="242">
        <v>2747.2527472527472</v>
      </c>
      <c r="L6659" s="242"/>
    </row>
    <row r="6660" spans="1:13" ht="11.25" customHeight="1" x14ac:dyDescent="0.2">
      <c r="A6660" s="243">
        <v>2025</v>
      </c>
      <c r="B6660" s="243">
        <v>1</v>
      </c>
      <c r="C6660" s="243">
        <v>23</v>
      </c>
      <c r="D6660" s="248">
        <f t="shared" si="762"/>
        <v>45680</v>
      </c>
      <c r="E6660" s="249">
        <f t="shared" si="768"/>
        <v>45680</v>
      </c>
      <c r="F6660" s="477"/>
      <c r="G6660" s="244" t="s">
        <v>86</v>
      </c>
      <c r="H6660" s="244"/>
      <c r="I6660" s="245"/>
      <c r="J6660" s="246" t="s">
        <v>64</v>
      </c>
      <c r="K6660" s="247"/>
      <c r="L6660" s="247">
        <v>2747.2527472527472</v>
      </c>
    </row>
    <row r="6661" spans="1:13" ht="11.25" customHeight="1" x14ac:dyDescent="0.2">
      <c r="A6661" s="236">
        <v>2025</v>
      </c>
      <c r="B6661" s="236">
        <v>1</v>
      </c>
      <c r="C6661" s="236">
        <v>23</v>
      </c>
      <c r="D6661" s="237">
        <f t="shared" si="762"/>
        <v>45680</v>
      </c>
      <c r="E6661" s="238">
        <f t="shared" si="768"/>
        <v>45680</v>
      </c>
      <c r="F6661" s="476" t="s">
        <v>1121</v>
      </c>
      <c r="G6661" s="239" t="s">
        <v>86</v>
      </c>
      <c r="H6661" s="239"/>
      <c r="I6661" s="240"/>
      <c r="J6661" s="241" t="s">
        <v>89</v>
      </c>
      <c r="K6661" s="242">
        <v>71955.352940409532</v>
      </c>
      <c r="L6661" s="242"/>
    </row>
    <row r="6662" spans="1:13" ht="11.25" customHeight="1" x14ac:dyDescent="0.2">
      <c r="A6662" s="243">
        <v>2025</v>
      </c>
      <c r="B6662" s="243">
        <v>1</v>
      </c>
      <c r="C6662" s="243">
        <v>23</v>
      </c>
      <c r="D6662" s="248">
        <f t="shared" si="762"/>
        <v>45680</v>
      </c>
      <c r="E6662" s="249">
        <f t="shared" si="768"/>
        <v>45680</v>
      </c>
      <c r="F6662" s="477"/>
      <c r="G6662" s="244" t="s">
        <v>86</v>
      </c>
      <c r="H6662" s="244"/>
      <c r="I6662" s="245"/>
      <c r="J6662" s="246" t="s">
        <v>50</v>
      </c>
      <c r="K6662" s="247"/>
      <c r="L6662" s="247">
        <f>K6661</f>
        <v>71955.352940409532</v>
      </c>
    </row>
    <row r="6663" spans="1:13" ht="11.25" customHeight="1" x14ac:dyDescent="0.2">
      <c r="A6663" s="236">
        <v>2025</v>
      </c>
      <c r="B6663" s="236">
        <v>1</v>
      </c>
      <c r="C6663" s="236">
        <v>23</v>
      </c>
      <c r="D6663" s="237">
        <f t="shared" si="762"/>
        <v>45680</v>
      </c>
      <c r="E6663" s="238">
        <f t="shared" si="768"/>
        <v>45680</v>
      </c>
      <c r="F6663" s="476" t="s">
        <v>1122</v>
      </c>
      <c r="G6663" s="239" t="s">
        <v>86</v>
      </c>
      <c r="H6663" s="239"/>
      <c r="I6663" s="240"/>
      <c r="J6663" s="241" t="s">
        <v>91</v>
      </c>
      <c r="K6663" s="242">
        <v>3357.3830316358608</v>
      </c>
      <c r="L6663" s="242"/>
    </row>
    <row r="6664" spans="1:13" ht="11.25" customHeight="1" x14ac:dyDescent="0.2">
      <c r="A6664" s="243">
        <v>2025</v>
      </c>
      <c r="B6664" s="243">
        <v>1</v>
      </c>
      <c r="C6664" s="243">
        <v>23</v>
      </c>
      <c r="D6664" s="248">
        <f t="shared" si="762"/>
        <v>45680</v>
      </c>
      <c r="E6664" s="249">
        <f t="shared" si="768"/>
        <v>45680</v>
      </c>
      <c r="F6664" s="477"/>
      <c r="G6664" s="244" t="s">
        <v>86</v>
      </c>
      <c r="H6664" s="244"/>
      <c r="I6664" s="245"/>
      <c r="J6664" s="246" t="s">
        <v>51</v>
      </c>
      <c r="K6664" s="247"/>
      <c r="L6664" s="247">
        <f>K6663</f>
        <v>3357.3830316358608</v>
      </c>
    </row>
    <row r="6665" spans="1:13" ht="11.25" customHeight="1" x14ac:dyDescent="0.2">
      <c r="A6665" s="221">
        <v>2025</v>
      </c>
      <c r="B6665" s="221">
        <v>1</v>
      </c>
      <c r="C6665" s="221">
        <v>26</v>
      </c>
      <c r="D6665" s="231">
        <f t="shared" ref="D6665:D6728" si="769">DATE(A6665,B6665,C6665)</f>
        <v>45683</v>
      </c>
      <c r="E6665" s="233">
        <f t="shared" si="768"/>
        <v>45683</v>
      </c>
      <c r="F6665" s="478" t="s">
        <v>1132</v>
      </c>
      <c r="G6665" s="222" t="s">
        <v>1111</v>
      </c>
      <c r="H6665" s="223"/>
      <c r="I6665" s="223"/>
      <c r="J6665" s="224" t="s">
        <v>55</v>
      </c>
      <c r="K6665" s="167">
        <v>9000</v>
      </c>
      <c r="L6665" s="225"/>
    </row>
    <row r="6666" spans="1:13" ht="11.25" customHeight="1" x14ac:dyDescent="0.2">
      <c r="A6666" s="164">
        <v>2025</v>
      </c>
      <c r="B6666" s="164">
        <v>1</v>
      </c>
      <c r="C6666" s="164">
        <v>26</v>
      </c>
      <c r="D6666" s="156">
        <f t="shared" si="769"/>
        <v>45683</v>
      </c>
      <c r="E6666" s="235">
        <f t="shared" si="768"/>
        <v>45683</v>
      </c>
      <c r="F6666" s="480"/>
      <c r="G6666" s="208" t="s">
        <v>1111</v>
      </c>
      <c r="J6666" s="165" t="s">
        <v>14</v>
      </c>
      <c r="L6666" s="205">
        <v>8290</v>
      </c>
    </row>
    <row r="6667" spans="1:13" ht="11.25" customHeight="1" x14ac:dyDescent="0.2">
      <c r="A6667" s="226">
        <v>2025</v>
      </c>
      <c r="B6667" s="226">
        <v>1</v>
      </c>
      <c r="C6667" s="226">
        <v>26</v>
      </c>
      <c r="D6667" s="232">
        <f t="shared" si="769"/>
        <v>45683</v>
      </c>
      <c r="E6667" s="234">
        <f t="shared" si="768"/>
        <v>45683</v>
      </c>
      <c r="F6667" s="479"/>
      <c r="G6667" s="227" t="s">
        <v>1111</v>
      </c>
      <c r="H6667" s="228"/>
      <c r="I6667" s="228"/>
      <c r="J6667" s="229" t="s">
        <v>1112</v>
      </c>
      <c r="K6667" s="230"/>
      <c r="L6667" s="230">
        <v>710</v>
      </c>
    </row>
    <row r="6668" spans="1:13" ht="11.25" customHeight="1" x14ac:dyDescent="0.2">
      <c r="A6668" s="221">
        <v>2025</v>
      </c>
      <c r="B6668" s="221">
        <v>1</v>
      </c>
      <c r="C6668" s="221">
        <v>27</v>
      </c>
      <c r="D6668" s="231">
        <f t="shared" si="769"/>
        <v>45684</v>
      </c>
      <c r="E6668" s="233">
        <f t="shared" si="768"/>
        <v>45684</v>
      </c>
      <c r="F6668" s="478" t="s">
        <v>1142</v>
      </c>
      <c r="G6668" s="222" t="s">
        <v>1111</v>
      </c>
      <c r="H6668" s="223"/>
      <c r="I6668" s="223"/>
      <c r="J6668" s="224" t="s">
        <v>189</v>
      </c>
      <c r="K6668" s="225">
        <v>1575</v>
      </c>
      <c r="L6668" s="225"/>
    </row>
    <row r="6669" spans="1:13" ht="11.25" customHeight="1" x14ac:dyDescent="0.2">
      <c r="A6669" s="164">
        <v>2025</v>
      </c>
      <c r="B6669" s="164">
        <v>1</v>
      </c>
      <c r="C6669" s="164">
        <v>27</v>
      </c>
      <c r="D6669" s="156">
        <f t="shared" si="769"/>
        <v>45684</v>
      </c>
      <c r="E6669" s="235">
        <f t="shared" si="768"/>
        <v>45684</v>
      </c>
      <c r="F6669" s="480"/>
      <c r="G6669" s="208" t="s">
        <v>1111</v>
      </c>
      <c r="J6669" s="165" t="s">
        <v>1707</v>
      </c>
      <c r="K6669" s="205"/>
      <c r="L6669" s="205">
        <v>150</v>
      </c>
    </row>
    <row r="6670" spans="1:13" ht="11.25" customHeight="1" x14ac:dyDescent="0.2">
      <c r="A6670" s="226">
        <v>2025</v>
      </c>
      <c r="B6670" s="226">
        <v>1</v>
      </c>
      <c r="C6670" s="226">
        <v>27</v>
      </c>
      <c r="D6670" s="232">
        <f t="shared" si="769"/>
        <v>45684</v>
      </c>
      <c r="E6670" s="234">
        <f t="shared" si="768"/>
        <v>45684</v>
      </c>
      <c r="F6670" s="479"/>
      <c r="G6670" s="227" t="s">
        <v>1111</v>
      </c>
      <c r="H6670" s="228"/>
      <c r="I6670" s="228"/>
      <c r="J6670" s="229" t="s">
        <v>55</v>
      </c>
      <c r="K6670" s="230"/>
      <c r="L6670" s="230">
        <v>1425</v>
      </c>
    </row>
    <row r="6671" spans="1:13" ht="11.25" customHeight="1" x14ac:dyDescent="0.2">
      <c r="A6671" s="164">
        <v>2025</v>
      </c>
      <c r="B6671" s="164">
        <v>1</v>
      </c>
      <c r="C6671" s="164">
        <v>27</v>
      </c>
      <c r="D6671" s="231">
        <f t="shared" si="769"/>
        <v>45684</v>
      </c>
      <c r="E6671" s="233">
        <f t="shared" si="768"/>
        <v>45684</v>
      </c>
      <c r="F6671" s="478" t="s">
        <v>1837</v>
      </c>
      <c r="G6671" s="222" t="s">
        <v>1111</v>
      </c>
      <c r="H6671" s="223"/>
      <c r="I6671" s="223"/>
      <c r="J6671" s="224" t="s">
        <v>55</v>
      </c>
      <c r="K6671" s="225">
        <v>111029.6</v>
      </c>
      <c r="L6671" s="225"/>
    </row>
    <row r="6672" spans="1:13" ht="11.25" customHeight="1" x14ac:dyDescent="0.2">
      <c r="A6672" s="226">
        <v>2025</v>
      </c>
      <c r="B6672" s="226">
        <v>1</v>
      </c>
      <c r="C6672" s="226">
        <v>27</v>
      </c>
      <c r="D6672" s="232">
        <f t="shared" si="769"/>
        <v>45684</v>
      </c>
      <c r="E6672" s="234">
        <f t="shared" si="768"/>
        <v>45684</v>
      </c>
      <c r="F6672" s="479"/>
      <c r="G6672" s="227" t="s">
        <v>1111</v>
      </c>
      <c r="H6672" s="228"/>
      <c r="I6672" s="228"/>
      <c r="J6672" s="229" t="s">
        <v>192</v>
      </c>
      <c r="K6672" s="230"/>
      <c r="L6672" s="230">
        <v>111029.6</v>
      </c>
    </row>
    <row r="6673" spans="1:13" ht="11.25" customHeight="1" x14ac:dyDescent="0.2">
      <c r="A6673" s="221">
        <v>2025</v>
      </c>
      <c r="B6673" s="221">
        <v>1</v>
      </c>
      <c r="C6673" s="221">
        <v>28</v>
      </c>
      <c r="D6673" s="231">
        <f t="shared" si="769"/>
        <v>45685</v>
      </c>
      <c r="E6673" s="233">
        <f t="shared" si="768"/>
        <v>45685</v>
      </c>
      <c r="F6673" s="478" t="s">
        <v>1670</v>
      </c>
      <c r="G6673" s="222" t="s">
        <v>1111</v>
      </c>
      <c r="H6673" s="223"/>
      <c r="I6673" s="223"/>
      <c r="J6673" s="224" t="s">
        <v>63</v>
      </c>
      <c r="K6673" s="225">
        <v>100</v>
      </c>
      <c r="L6673" s="225"/>
    </row>
    <row r="6674" spans="1:13" ht="11.25" customHeight="1" x14ac:dyDescent="0.2">
      <c r="A6674" s="226">
        <v>2025</v>
      </c>
      <c r="B6674" s="226">
        <v>1</v>
      </c>
      <c r="C6674" s="226">
        <v>28</v>
      </c>
      <c r="D6674" s="232">
        <f t="shared" si="769"/>
        <v>45685</v>
      </c>
      <c r="E6674" s="234">
        <f t="shared" si="768"/>
        <v>45685</v>
      </c>
      <c r="F6674" s="479"/>
      <c r="G6674" s="227" t="s">
        <v>1111</v>
      </c>
      <c r="H6674" s="228"/>
      <c r="I6674" s="228"/>
      <c r="J6674" s="229" t="s">
        <v>55</v>
      </c>
      <c r="K6674" s="230"/>
      <c r="L6674" s="230">
        <v>100</v>
      </c>
    </row>
    <row r="6675" spans="1:13" ht="11.25" customHeight="1" x14ac:dyDescent="0.2">
      <c r="A6675" s="221">
        <v>2025</v>
      </c>
      <c r="B6675" s="221">
        <v>1</v>
      </c>
      <c r="C6675" s="221">
        <v>28</v>
      </c>
      <c r="D6675" s="221">
        <f t="shared" si="769"/>
        <v>45685</v>
      </c>
      <c r="E6675" s="233">
        <f t="shared" si="768"/>
        <v>45685</v>
      </c>
      <c r="F6675" s="478" t="s">
        <v>1589</v>
      </c>
      <c r="G6675" s="222" t="s">
        <v>86</v>
      </c>
      <c r="H6675" s="222"/>
      <c r="I6675" s="223"/>
      <c r="J6675" s="374" t="s">
        <v>199</v>
      </c>
      <c r="K6675" s="375">
        <v>1325714.5105999999</v>
      </c>
      <c r="L6675" s="225"/>
    </row>
    <row r="6676" spans="1:13" ht="11.25" customHeight="1" x14ac:dyDescent="0.2">
      <c r="A6676" s="164">
        <v>2025</v>
      </c>
      <c r="B6676" s="164">
        <v>1</v>
      </c>
      <c r="C6676" s="164">
        <v>28</v>
      </c>
      <c r="D6676" s="164">
        <f t="shared" si="769"/>
        <v>45685</v>
      </c>
      <c r="E6676" s="235">
        <f t="shared" si="768"/>
        <v>45685</v>
      </c>
      <c r="F6676" s="480"/>
      <c r="G6676" s="208" t="s">
        <v>86</v>
      </c>
      <c r="H6676" s="208"/>
      <c r="J6676" s="165" t="s">
        <v>960</v>
      </c>
      <c r="K6676" s="205">
        <v>2390.5893999999998</v>
      </c>
      <c r="L6676" s="205"/>
      <c r="M6676" s="401"/>
    </row>
    <row r="6677" spans="1:13" ht="11.25" customHeight="1" x14ac:dyDescent="0.2">
      <c r="A6677" s="164">
        <v>2025</v>
      </c>
      <c r="B6677" s="164">
        <v>1</v>
      </c>
      <c r="C6677" s="164">
        <v>28</v>
      </c>
      <c r="D6677" s="164">
        <f t="shared" si="769"/>
        <v>45685</v>
      </c>
      <c r="E6677" s="235">
        <f t="shared" si="768"/>
        <v>45685</v>
      </c>
      <c r="F6677" s="480"/>
      <c r="G6677" s="208" t="s">
        <v>86</v>
      </c>
      <c r="H6677" s="208"/>
      <c r="J6677" s="165" t="s">
        <v>200</v>
      </c>
      <c r="K6677" s="205">
        <v>574008.35</v>
      </c>
      <c r="L6677" s="205"/>
    </row>
    <row r="6678" spans="1:13" ht="11.25" customHeight="1" x14ac:dyDescent="0.2">
      <c r="A6678" s="226">
        <v>2025</v>
      </c>
      <c r="B6678" s="226">
        <v>1</v>
      </c>
      <c r="C6678" s="226">
        <v>28</v>
      </c>
      <c r="D6678" s="226">
        <f t="shared" si="769"/>
        <v>45685</v>
      </c>
      <c r="E6678" s="234">
        <f t="shared" si="768"/>
        <v>45685</v>
      </c>
      <c r="F6678" s="479"/>
      <c r="G6678" s="227" t="s">
        <v>86</v>
      </c>
      <c r="H6678" s="228"/>
      <c r="I6678" s="228"/>
      <c r="J6678" s="229" t="s">
        <v>80</v>
      </c>
      <c r="K6678" s="230"/>
      <c r="L6678" s="230">
        <v>1902113.45</v>
      </c>
    </row>
    <row r="6679" spans="1:13" ht="11.25" customHeight="1" x14ac:dyDescent="0.2">
      <c r="A6679" s="221">
        <v>2025</v>
      </c>
      <c r="B6679" s="221">
        <v>1</v>
      </c>
      <c r="C6679" s="221">
        <v>29</v>
      </c>
      <c r="D6679" s="231">
        <f t="shared" si="769"/>
        <v>45686</v>
      </c>
      <c r="E6679" s="233">
        <f t="shared" si="768"/>
        <v>45686</v>
      </c>
      <c r="F6679" s="478" t="s">
        <v>1789</v>
      </c>
      <c r="G6679" s="222" t="s">
        <v>1111</v>
      </c>
      <c r="H6679" s="222"/>
      <c r="I6679" s="223"/>
      <c r="J6679" s="224" t="s">
        <v>1615</v>
      </c>
      <c r="K6679" s="357">
        <v>3170886.37</v>
      </c>
      <c r="L6679" s="225"/>
    </row>
    <row r="6680" spans="1:13" ht="11.25" customHeight="1" x14ac:dyDescent="0.2">
      <c r="A6680" s="226">
        <v>2025</v>
      </c>
      <c r="B6680" s="226">
        <v>1</v>
      </c>
      <c r="C6680" s="226">
        <v>29</v>
      </c>
      <c r="D6680" s="226">
        <f t="shared" si="769"/>
        <v>45686</v>
      </c>
      <c r="E6680" s="234">
        <f t="shared" si="768"/>
        <v>45686</v>
      </c>
      <c r="F6680" s="479"/>
      <c r="G6680" s="227" t="s">
        <v>1111</v>
      </c>
      <c r="H6680" s="227"/>
      <c r="I6680" s="228"/>
      <c r="J6680" s="229" t="s">
        <v>55</v>
      </c>
      <c r="K6680" s="294"/>
      <c r="L6680" s="230">
        <v>3170886.37</v>
      </c>
    </row>
    <row r="6681" spans="1:13" ht="11.25" customHeight="1" x14ac:dyDescent="0.2">
      <c r="A6681" s="221">
        <v>2025</v>
      </c>
      <c r="B6681" s="221">
        <v>1</v>
      </c>
      <c r="C6681" s="221">
        <v>29</v>
      </c>
      <c r="D6681" s="221">
        <f t="shared" si="769"/>
        <v>45686</v>
      </c>
      <c r="E6681" s="233">
        <f t="shared" ref="E6681:E6699" si="770">DATE(A6681,B6681,C6681)</f>
        <v>45686</v>
      </c>
      <c r="F6681" s="478" t="s">
        <v>1589</v>
      </c>
      <c r="G6681" s="222" t="s">
        <v>86</v>
      </c>
      <c r="H6681" s="222"/>
      <c r="I6681" s="223"/>
      <c r="J6681" s="165" t="s">
        <v>199</v>
      </c>
      <c r="K6681" s="225">
        <v>2102131</v>
      </c>
      <c r="L6681" s="225"/>
    </row>
    <row r="6682" spans="1:13" ht="11.25" customHeight="1" x14ac:dyDescent="0.2">
      <c r="A6682" s="164">
        <v>2025</v>
      </c>
      <c r="B6682" s="164">
        <v>1</v>
      </c>
      <c r="C6682" s="164">
        <v>29</v>
      </c>
      <c r="D6682" s="164">
        <f t="shared" si="769"/>
        <v>45686</v>
      </c>
      <c r="E6682" s="235">
        <f t="shared" si="770"/>
        <v>45686</v>
      </c>
      <c r="F6682" s="480"/>
      <c r="G6682" s="208" t="s">
        <v>86</v>
      </c>
      <c r="H6682" s="208"/>
      <c r="J6682" s="165" t="s">
        <v>960</v>
      </c>
      <c r="K6682" s="205">
        <v>3790.9</v>
      </c>
      <c r="L6682" s="205"/>
      <c r="M6682" s="401"/>
    </row>
    <row r="6683" spans="1:13" ht="11.25" customHeight="1" x14ac:dyDescent="0.2">
      <c r="A6683" s="164">
        <v>2025</v>
      </c>
      <c r="B6683" s="164">
        <v>1</v>
      </c>
      <c r="C6683" s="164">
        <v>29</v>
      </c>
      <c r="D6683" s="164">
        <f t="shared" si="769"/>
        <v>45686</v>
      </c>
      <c r="E6683" s="235">
        <f t="shared" si="770"/>
        <v>45686</v>
      </c>
      <c r="F6683" s="480"/>
      <c r="G6683" s="208" t="s">
        <v>86</v>
      </c>
      <c r="H6683" s="208"/>
      <c r="J6683" s="165" t="s">
        <v>200</v>
      </c>
      <c r="K6683" s="205">
        <v>1015065.85</v>
      </c>
      <c r="L6683" s="205"/>
    </row>
    <row r="6684" spans="1:13" ht="11.25" customHeight="1" x14ac:dyDescent="0.2">
      <c r="A6684" s="226">
        <v>2025</v>
      </c>
      <c r="B6684" s="226">
        <v>1</v>
      </c>
      <c r="C6684" s="226">
        <v>29</v>
      </c>
      <c r="D6684" s="226">
        <f t="shared" si="769"/>
        <v>45686</v>
      </c>
      <c r="E6684" s="234">
        <f t="shared" si="770"/>
        <v>45686</v>
      </c>
      <c r="F6684" s="479"/>
      <c r="G6684" s="227" t="s">
        <v>86</v>
      </c>
      <c r="H6684" s="228"/>
      <c r="I6684" s="228"/>
      <c r="J6684" s="229" t="s">
        <v>80</v>
      </c>
      <c r="K6684" s="230"/>
      <c r="L6684" s="230">
        <v>3120987.75</v>
      </c>
    </row>
    <row r="6685" spans="1:13" ht="11.25" customHeight="1" x14ac:dyDescent="0.2">
      <c r="A6685" s="221">
        <v>2025</v>
      </c>
      <c r="B6685" s="221">
        <v>1</v>
      </c>
      <c r="C6685" s="221">
        <v>30</v>
      </c>
      <c r="D6685" s="221">
        <f t="shared" si="769"/>
        <v>45687</v>
      </c>
      <c r="E6685" s="233">
        <f t="shared" si="770"/>
        <v>45687</v>
      </c>
      <c r="F6685" s="478" t="s">
        <v>1593</v>
      </c>
      <c r="G6685" s="222" t="s">
        <v>86</v>
      </c>
      <c r="H6685" s="222"/>
      <c r="I6685" s="223"/>
      <c r="J6685" s="224" t="s">
        <v>80</v>
      </c>
      <c r="K6685" s="225">
        <v>377500</v>
      </c>
      <c r="L6685" s="225"/>
    </row>
    <row r="6686" spans="1:13" ht="11.25" customHeight="1" x14ac:dyDescent="0.2">
      <c r="A6686" s="164">
        <v>2025</v>
      </c>
      <c r="B6686" s="164">
        <v>1</v>
      </c>
      <c r="C6686" s="164">
        <v>30</v>
      </c>
      <c r="D6686" s="164">
        <f t="shared" si="769"/>
        <v>45687</v>
      </c>
      <c r="E6686" s="235">
        <f t="shared" si="770"/>
        <v>45687</v>
      </c>
      <c r="F6686" s="480"/>
      <c r="G6686" s="208" t="s">
        <v>86</v>
      </c>
      <c r="H6686" s="208"/>
      <c r="J6686" s="165" t="s">
        <v>960</v>
      </c>
      <c r="K6686" s="205">
        <v>679.5</v>
      </c>
      <c r="L6686" s="205"/>
    </row>
    <row r="6687" spans="1:13" ht="11.25" customHeight="1" x14ac:dyDescent="0.2">
      <c r="A6687" s="226">
        <v>2025</v>
      </c>
      <c r="B6687" s="226">
        <v>1</v>
      </c>
      <c r="C6687" s="226">
        <v>30</v>
      </c>
      <c r="D6687" s="226">
        <f t="shared" si="769"/>
        <v>45687</v>
      </c>
      <c r="E6687" s="234">
        <f t="shared" si="770"/>
        <v>45687</v>
      </c>
      <c r="F6687" s="479"/>
      <c r="G6687" s="227" t="s">
        <v>86</v>
      </c>
      <c r="H6687" s="227"/>
      <c r="I6687" s="228"/>
      <c r="J6687" s="229" t="s">
        <v>961</v>
      </c>
      <c r="K6687" s="294"/>
      <c r="L6687" s="230">
        <v>378179.5</v>
      </c>
    </row>
    <row r="6688" spans="1:13" ht="11.25" customHeight="1" x14ac:dyDescent="0.2">
      <c r="A6688" s="221">
        <v>2025</v>
      </c>
      <c r="B6688" s="221">
        <v>1</v>
      </c>
      <c r="C6688" s="231">
        <v>30</v>
      </c>
      <c r="D6688" s="231">
        <f t="shared" si="769"/>
        <v>45687</v>
      </c>
      <c r="E6688" s="233">
        <f t="shared" si="770"/>
        <v>45687</v>
      </c>
      <c r="F6688" s="478" t="s">
        <v>1809</v>
      </c>
      <c r="G6688" s="222" t="s">
        <v>1111</v>
      </c>
      <c r="H6688" s="223"/>
      <c r="I6688" s="223"/>
      <c r="J6688" s="419" t="s">
        <v>55</v>
      </c>
      <c r="K6688" s="420">
        <v>1321923</v>
      </c>
      <c r="L6688" s="420"/>
    </row>
    <row r="6689" spans="1:13" ht="11.25" customHeight="1" x14ac:dyDescent="0.2">
      <c r="A6689" s="226">
        <v>2025</v>
      </c>
      <c r="B6689" s="226">
        <v>1</v>
      </c>
      <c r="C6689" s="232">
        <v>30</v>
      </c>
      <c r="D6689" s="232">
        <f t="shared" si="769"/>
        <v>45687</v>
      </c>
      <c r="E6689" s="234">
        <f t="shared" si="770"/>
        <v>45687</v>
      </c>
      <c r="F6689" s="479"/>
      <c r="G6689" s="227" t="s">
        <v>1111</v>
      </c>
      <c r="H6689" s="228"/>
      <c r="I6689" s="228"/>
      <c r="J6689" s="421" t="s">
        <v>199</v>
      </c>
      <c r="K6689" s="422"/>
      <c r="L6689" s="422">
        <v>1321923</v>
      </c>
    </row>
    <row r="6690" spans="1:13" ht="11.25" customHeight="1" x14ac:dyDescent="0.2">
      <c r="A6690" s="280">
        <v>2025</v>
      </c>
      <c r="B6690" s="280">
        <v>1</v>
      </c>
      <c r="C6690" s="280">
        <v>30</v>
      </c>
      <c r="D6690" s="281">
        <f t="shared" si="769"/>
        <v>45687</v>
      </c>
      <c r="E6690" s="282">
        <f t="shared" si="770"/>
        <v>45687</v>
      </c>
      <c r="F6690" s="472" t="s">
        <v>1744</v>
      </c>
      <c r="G6690" s="283" t="s">
        <v>86</v>
      </c>
      <c r="H6690" s="284"/>
      <c r="I6690" s="284"/>
      <c r="J6690" s="285" t="s">
        <v>131</v>
      </c>
      <c r="K6690" s="286">
        <v>19358.330000000002</v>
      </c>
      <c r="L6690" s="286"/>
    </row>
    <row r="6691" spans="1:13" ht="11.25" customHeight="1" x14ac:dyDescent="0.2">
      <c r="A6691" s="287">
        <v>2025</v>
      </c>
      <c r="B6691" s="287">
        <v>1</v>
      </c>
      <c r="C6691" s="287">
        <v>30</v>
      </c>
      <c r="D6691" s="288">
        <f t="shared" si="769"/>
        <v>45687</v>
      </c>
      <c r="E6691" s="289">
        <f t="shared" si="770"/>
        <v>45687</v>
      </c>
      <c r="F6691" s="473"/>
      <c r="G6691" s="290" t="s">
        <v>86</v>
      </c>
      <c r="H6691" s="291"/>
      <c r="I6691" s="291"/>
      <c r="J6691" s="292" t="s">
        <v>174</v>
      </c>
      <c r="K6691" s="293"/>
      <c r="L6691" s="293">
        <v>19358.330000000002</v>
      </c>
    </row>
    <row r="6692" spans="1:13" ht="11.25" customHeight="1" x14ac:dyDescent="0.2">
      <c r="A6692" s="280">
        <v>2025</v>
      </c>
      <c r="B6692" s="280">
        <v>1</v>
      </c>
      <c r="C6692" s="280">
        <v>30</v>
      </c>
      <c r="D6692" s="281">
        <f t="shared" si="769"/>
        <v>45687</v>
      </c>
      <c r="E6692" s="282">
        <f t="shared" si="770"/>
        <v>45687</v>
      </c>
      <c r="F6692" s="472" t="s">
        <v>1584</v>
      </c>
      <c r="G6692" s="283" t="s">
        <v>86</v>
      </c>
      <c r="H6692" s="284"/>
      <c r="I6692" s="284"/>
      <c r="J6692" s="285" t="s">
        <v>131</v>
      </c>
      <c r="K6692" s="286">
        <v>8846.15</v>
      </c>
      <c r="L6692" s="286"/>
    </row>
    <row r="6693" spans="1:13" ht="11.25" customHeight="1" x14ac:dyDescent="0.2">
      <c r="A6693" s="287">
        <v>2025</v>
      </c>
      <c r="B6693" s="287">
        <v>1</v>
      </c>
      <c r="C6693" s="287">
        <v>30</v>
      </c>
      <c r="D6693" s="288">
        <f t="shared" si="769"/>
        <v>45687</v>
      </c>
      <c r="E6693" s="289">
        <f t="shared" si="770"/>
        <v>45687</v>
      </c>
      <c r="F6693" s="473"/>
      <c r="G6693" s="290" t="s">
        <v>86</v>
      </c>
      <c r="H6693" s="291"/>
      <c r="I6693" s="291"/>
      <c r="J6693" s="292" t="s">
        <v>174</v>
      </c>
      <c r="K6693" s="293"/>
      <c r="L6693" s="293">
        <v>8846.15</v>
      </c>
    </row>
    <row r="6694" spans="1:13" ht="11.25" customHeight="1" x14ac:dyDescent="0.2">
      <c r="A6694" s="280">
        <v>2025</v>
      </c>
      <c r="B6694" s="280">
        <v>1</v>
      </c>
      <c r="C6694" s="280">
        <v>30</v>
      </c>
      <c r="D6694" s="281">
        <f t="shared" si="769"/>
        <v>45687</v>
      </c>
      <c r="E6694" s="282">
        <f t="shared" si="770"/>
        <v>45687</v>
      </c>
      <c r="F6694" s="472" t="s">
        <v>1836</v>
      </c>
      <c r="G6694" s="283" t="s">
        <v>86</v>
      </c>
      <c r="H6694" s="284"/>
      <c r="I6694" s="284"/>
      <c r="J6694" s="285" t="s">
        <v>131</v>
      </c>
      <c r="K6694" s="286">
        <v>4653.8500000000004</v>
      </c>
      <c r="L6694" s="286"/>
    </row>
    <row r="6695" spans="1:13" ht="11.25" customHeight="1" x14ac:dyDescent="0.2">
      <c r="A6695" s="287">
        <v>2025</v>
      </c>
      <c r="B6695" s="287">
        <v>1</v>
      </c>
      <c r="C6695" s="287">
        <v>30</v>
      </c>
      <c r="D6695" s="288">
        <f t="shared" si="769"/>
        <v>45687</v>
      </c>
      <c r="E6695" s="289">
        <f t="shared" si="770"/>
        <v>45687</v>
      </c>
      <c r="F6695" s="473"/>
      <c r="G6695" s="290" t="s">
        <v>86</v>
      </c>
      <c r="H6695" s="291"/>
      <c r="I6695" s="291"/>
      <c r="J6695" s="292" t="s">
        <v>174</v>
      </c>
      <c r="K6695" s="293"/>
      <c r="L6695" s="293">
        <v>4653.8500000000004</v>
      </c>
    </row>
    <row r="6696" spans="1:13" ht="11.25" customHeight="1" x14ac:dyDescent="0.2">
      <c r="A6696" s="280">
        <v>2025</v>
      </c>
      <c r="B6696" s="280">
        <v>1</v>
      </c>
      <c r="C6696" s="280">
        <v>30</v>
      </c>
      <c r="D6696" s="281">
        <f t="shared" si="769"/>
        <v>45687</v>
      </c>
      <c r="E6696" s="282">
        <f t="shared" si="770"/>
        <v>45687</v>
      </c>
      <c r="F6696" s="472" t="s">
        <v>1830</v>
      </c>
      <c r="G6696" s="283" t="s">
        <v>86</v>
      </c>
      <c r="H6696" s="284"/>
      <c r="I6696" s="284"/>
      <c r="J6696" s="285" t="s">
        <v>131</v>
      </c>
      <c r="K6696" s="286">
        <v>4741.3515384615257</v>
      </c>
      <c r="L6696" s="286"/>
    </row>
    <row r="6697" spans="1:13" ht="11.25" customHeight="1" x14ac:dyDescent="0.2">
      <c r="A6697" s="287">
        <v>2025</v>
      </c>
      <c r="B6697" s="287">
        <v>1</v>
      </c>
      <c r="C6697" s="287">
        <v>30</v>
      </c>
      <c r="D6697" s="288">
        <f t="shared" si="769"/>
        <v>45687</v>
      </c>
      <c r="E6697" s="289">
        <f t="shared" si="770"/>
        <v>45687</v>
      </c>
      <c r="F6697" s="473"/>
      <c r="G6697" s="290" t="s">
        <v>86</v>
      </c>
      <c r="H6697" s="291"/>
      <c r="I6697" s="291"/>
      <c r="J6697" s="292" t="s">
        <v>174</v>
      </c>
      <c r="K6697" s="293"/>
      <c r="L6697" s="293">
        <v>4741.3515384615257</v>
      </c>
    </row>
    <row r="6698" spans="1:13" ht="11.25" customHeight="1" x14ac:dyDescent="0.2">
      <c r="A6698" s="341">
        <v>2025</v>
      </c>
      <c r="B6698" s="341">
        <v>1</v>
      </c>
      <c r="C6698" s="341">
        <v>30</v>
      </c>
      <c r="D6698" s="328">
        <f t="shared" si="769"/>
        <v>45687</v>
      </c>
      <c r="E6698" s="329">
        <f t="shared" si="770"/>
        <v>45687</v>
      </c>
      <c r="F6698" s="474" t="s">
        <v>1767</v>
      </c>
      <c r="G6698" s="330" t="s">
        <v>86</v>
      </c>
      <c r="H6698" s="332"/>
      <c r="I6698" s="332"/>
      <c r="J6698" s="342" t="s">
        <v>67</v>
      </c>
      <c r="K6698" s="343">
        <v>34138.6</v>
      </c>
      <c r="L6698" s="343"/>
    </row>
    <row r="6699" spans="1:13" ht="11.25" customHeight="1" x14ac:dyDescent="0.2">
      <c r="A6699" s="344">
        <v>2025</v>
      </c>
      <c r="B6699" s="344">
        <v>1</v>
      </c>
      <c r="C6699" s="344">
        <v>30</v>
      </c>
      <c r="D6699" s="337">
        <f t="shared" si="769"/>
        <v>45687</v>
      </c>
      <c r="E6699" s="338">
        <f t="shared" si="770"/>
        <v>45687</v>
      </c>
      <c r="F6699" s="475"/>
      <c r="G6699" s="339" t="s">
        <v>86</v>
      </c>
      <c r="H6699" s="340"/>
      <c r="I6699" s="340"/>
      <c r="J6699" s="345" t="s">
        <v>174</v>
      </c>
      <c r="K6699" s="346"/>
      <c r="L6699" s="346">
        <f>K6698</f>
        <v>34138.6</v>
      </c>
    </row>
    <row r="6700" spans="1:13" ht="11.25" customHeight="1" x14ac:dyDescent="0.2">
      <c r="A6700" s="358">
        <v>2025</v>
      </c>
      <c r="B6700" s="358">
        <v>1</v>
      </c>
      <c r="C6700" s="358">
        <v>30</v>
      </c>
      <c r="D6700" s="312">
        <f t="shared" si="769"/>
        <v>45687</v>
      </c>
      <c r="E6700" s="313">
        <f>DATE(A6700,B6700,C6700)</f>
        <v>45687</v>
      </c>
      <c r="F6700" s="482" t="s">
        <v>1627</v>
      </c>
      <c r="G6700" s="314" t="s">
        <v>86</v>
      </c>
      <c r="H6700" s="324"/>
      <c r="I6700" s="324"/>
      <c r="J6700" s="364" t="s">
        <v>1613</v>
      </c>
      <c r="K6700" s="365">
        <v>0</v>
      </c>
      <c r="L6700" s="365"/>
      <c r="M6700" s="156">
        <f>BS!$I$12</f>
        <v>0</v>
      </c>
    </row>
    <row r="6701" spans="1:13" ht="11.25" customHeight="1" x14ac:dyDescent="0.2">
      <c r="A6701" s="320">
        <v>2025</v>
      </c>
      <c r="B6701" s="320">
        <v>1</v>
      </c>
      <c r="C6701" s="320">
        <v>30</v>
      </c>
      <c r="D6701" s="323">
        <f t="shared" si="769"/>
        <v>45687</v>
      </c>
      <c r="E6701" s="321">
        <f t="shared" ref="E6701" si="771">DATE(A6701,B6701,C6701)</f>
        <v>45687</v>
      </c>
      <c r="F6701" s="483"/>
      <c r="G6701" s="322" t="s">
        <v>86</v>
      </c>
      <c r="H6701" s="325"/>
      <c r="I6701" s="325"/>
      <c r="J6701" s="366" t="s">
        <v>1621</v>
      </c>
      <c r="K6701" s="367"/>
      <c r="L6701" s="367">
        <f>K6700</f>
        <v>0</v>
      </c>
    </row>
    <row r="6702" spans="1:13" ht="11.25" customHeight="1" x14ac:dyDescent="0.2">
      <c r="A6702" s="358">
        <v>2025</v>
      </c>
      <c r="B6702" s="358">
        <v>1</v>
      </c>
      <c r="C6702" s="358">
        <v>30</v>
      </c>
      <c r="D6702" s="312">
        <f t="shared" si="769"/>
        <v>45687</v>
      </c>
      <c r="E6702" s="313">
        <f>DATE(A6702,B6702,C6702)</f>
        <v>45687</v>
      </c>
      <c r="F6702" s="482" t="s">
        <v>1713</v>
      </c>
      <c r="G6702" s="314" t="s">
        <v>86</v>
      </c>
      <c r="H6702" s="324"/>
      <c r="I6702" s="324"/>
      <c r="J6702" s="364" t="s">
        <v>1622</v>
      </c>
      <c r="K6702" s="365">
        <v>32409.279999997467</v>
      </c>
      <c r="L6702" s="365"/>
      <c r="M6702" s="156">
        <f>BS!$I$15</f>
        <v>0</v>
      </c>
    </row>
    <row r="6703" spans="1:13" ht="11.25" customHeight="1" x14ac:dyDescent="0.2">
      <c r="A6703" s="320">
        <v>2025</v>
      </c>
      <c r="B6703" s="320">
        <v>1</v>
      </c>
      <c r="C6703" s="320">
        <v>30</v>
      </c>
      <c r="D6703" s="323">
        <f t="shared" si="769"/>
        <v>45687</v>
      </c>
      <c r="E6703" s="321">
        <f t="shared" ref="E6703:E6714" si="772">DATE(A6703,B6703,C6703)</f>
        <v>45687</v>
      </c>
      <c r="F6703" s="483"/>
      <c r="G6703" s="322" t="s">
        <v>86</v>
      </c>
      <c r="H6703" s="325"/>
      <c r="I6703" s="325"/>
      <c r="J6703" s="366" t="s">
        <v>1614</v>
      </c>
      <c r="K6703" s="367"/>
      <c r="L6703" s="367">
        <f>K6702</f>
        <v>32409.279999997467</v>
      </c>
    </row>
    <row r="6704" spans="1:13" ht="11.25" customHeight="1" x14ac:dyDescent="0.2">
      <c r="A6704" s="236">
        <v>2025</v>
      </c>
      <c r="B6704" s="236">
        <v>1</v>
      </c>
      <c r="C6704" s="236">
        <v>30</v>
      </c>
      <c r="D6704" s="237">
        <f t="shared" si="769"/>
        <v>45687</v>
      </c>
      <c r="E6704" s="238">
        <f t="shared" si="772"/>
        <v>45687</v>
      </c>
      <c r="F6704" s="476" t="s">
        <v>1118</v>
      </c>
      <c r="G6704" s="239" t="s">
        <v>86</v>
      </c>
      <c r="H6704" s="239"/>
      <c r="I6704" s="240"/>
      <c r="J6704" s="241" t="s">
        <v>98</v>
      </c>
      <c r="K6704" s="242">
        <v>2250279.3999999911</v>
      </c>
      <c r="L6704" s="242"/>
      <c r="M6704" s="156">
        <f>BS!$I$8</f>
        <v>0</v>
      </c>
    </row>
    <row r="6705" spans="1:13" ht="11.25" customHeight="1" x14ac:dyDescent="0.2">
      <c r="A6705" s="243">
        <v>2025</v>
      </c>
      <c r="B6705" s="243">
        <v>1</v>
      </c>
      <c r="C6705" s="243">
        <v>30</v>
      </c>
      <c r="D6705" s="248">
        <f t="shared" si="769"/>
        <v>45687</v>
      </c>
      <c r="E6705" s="249">
        <f t="shared" si="772"/>
        <v>45687</v>
      </c>
      <c r="F6705" s="477"/>
      <c r="G6705" s="244" t="s">
        <v>86</v>
      </c>
      <c r="H6705" s="244"/>
      <c r="I6705" s="245"/>
      <c r="J6705" s="246" t="s">
        <v>82</v>
      </c>
      <c r="K6705" s="247"/>
      <c r="L6705" s="247">
        <f>K6704</f>
        <v>2250279.3999999911</v>
      </c>
    </row>
    <row r="6706" spans="1:13" ht="11.25" customHeight="1" x14ac:dyDescent="0.2">
      <c r="A6706" s="236">
        <v>2025</v>
      </c>
      <c r="B6706" s="236">
        <v>1</v>
      </c>
      <c r="C6706" s="236">
        <v>30</v>
      </c>
      <c r="D6706" s="237">
        <f t="shared" si="769"/>
        <v>45687</v>
      </c>
      <c r="E6706" s="238">
        <f t="shared" si="772"/>
        <v>45687</v>
      </c>
      <c r="F6706" s="476" t="s">
        <v>1120</v>
      </c>
      <c r="G6706" s="239" t="s">
        <v>86</v>
      </c>
      <c r="H6706" s="239"/>
      <c r="I6706" s="240"/>
      <c r="J6706" s="241" t="s">
        <v>87</v>
      </c>
      <c r="K6706" s="242">
        <v>2747.2527472527472</v>
      </c>
      <c r="L6706" s="242"/>
    </row>
    <row r="6707" spans="1:13" ht="11.25" customHeight="1" x14ac:dyDescent="0.2">
      <c r="A6707" s="243">
        <v>2025</v>
      </c>
      <c r="B6707" s="243">
        <v>1</v>
      </c>
      <c r="C6707" s="243">
        <v>30</v>
      </c>
      <c r="D6707" s="248">
        <f t="shared" si="769"/>
        <v>45687</v>
      </c>
      <c r="E6707" s="249">
        <f t="shared" si="772"/>
        <v>45687</v>
      </c>
      <c r="F6707" s="477"/>
      <c r="G6707" s="244" t="s">
        <v>86</v>
      </c>
      <c r="H6707" s="244"/>
      <c r="I6707" s="245"/>
      <c r="J6707" s="246" t="s">
        <v>64</v>
      </c>
      <c r="K6707" s="247"/>
      <c r="L6707" s="247">
        <v>2747.2527472527472</v>
      </c>
    </row>
    <row r="6708" spans="1:13" ht="11.25" customHeight="1" x14ac:dyDescent="0.2">
      <c r="A6708" s="236">
        <v>2025</v>
      </c>
      <c r="B6708" s="236">
        <v>1</v>
      </c>
      <c r="C6708" s="236">
        <v>30</v>
      </c>
      <c r="D6708" s="237">
        <f t="shared" si="769"/>
        <v>45687</v>
      </c>
      <c r="E6708" s="238">
        <f t="shared" si="772"/>
        <v>45687</v>
      </c>
      <c r="F6708" s="476" t="s">
        <v>1121</v>
      </c>
      <c r="G6708" s="239" t="s">
        <v>86</v>
      </c>
      <c r="H6708" s="239"/>
      <c r="I6708" s="240"/>
      <c r="J6708" s="241" t="s">
        <v>89</v>
      </c>
      <c r="K6708" s="242">
        <f>M6708</f>
        <v>72226.27489879854</v>
      </c>
      <c r="L6708" s="242"/>
      <c r="M6708" s="156">
        <v>72226.27489879854</v>
      </c>
    </row>
    <row r="6709" spans="1:13" ht="11.25" customHeight="1" x14ac:dyDescent="0.2">
      <c r="A6709" s="243">
        <v>2025</v>
      </c>
      <c r="B6709" s="243">
        <v>1</v>
      </c>
      <c r="C6709" s="243">
        <v>30</v>
      </c>
      <c r="D6709" s="248">
        <f t="shared" si="769"/>
        <v>45687</v>
      </c>
      <c r="E6709" s="249">
        <f t="shared" si="772"/>
        <v>45687</v>
      </c>
      <c r="F6709" s="477"/>
      <c r="G6709" s="244" t="s">
        <v>86</v>
      </c>
      <c r="H6709" s="244"/>
      <c r="I6709" s="245"/>
      <c r="J6709" s="246" t="s">
        <v>50</v>
      </c>
      <c r="K6709" s="247"/>
      <c r="L6709" s="247">
        <f>K6708</f>
        <v>72226.27489879854</v>
      </c>
      <c r="M6709" s="156">
        <v>3370.9291295553121</v>
      </c>
    </row>
    <row r="6710" spans="1:13" ht="11.25" customHeight="1" x14ac:dyDescent="0.2">
      <c r="A6710" s="236">
        <v>2025</v>
      </c>
      <c r="B6710" s="236">
        <v>1</v>
      </c>
      <c r="C6710" s="236">
        <v>30</v>
      </c>
      <c r="D6710" s="237">
        <f t="shared" si="769"/>
        <v>45687</v>
      </c>
      <c r="E6710" s="238">
        <f t="shared" si="772"/>
        <v>45687</v>
      </c>
      <c r="F6710" s="476" t="s">
        <v>1122</v>
      </c>
      <c r="G6710" s="239" t="s">
        <v>86</v>
      </c>
      <c r="H6710" s="239"/>
      <c r="I6710" s="240"/>
      <c r="J6710" s="241" t="s">
        <v>91</v>
      </c>
      <c r="K6710" s="242">
        <f>M6709</f>
        <v>3370.9291295553121</v>
      </c>
      <c r="L6710" s="242"/>
    </row>
    <row r="6711" spans="1:13" ht="11.25" customHeight="1" x14ac:dyDescent="0.2">
      <c r="A6711" s="243">
        <v>2025</v>
      </c>
      <c r="B6711" s="243">
        <v>1</v>
      </c>
      <c r="C6711" s="243">
        <v>30</v>
      </c>
      <c r="D6711" s="248">
        <f t="shared" si="769"/>
        <v>45687</v>
      </c>
      <c r="E6711" s="249">
        <f t="shared" si="772"/>
        <v>45687</v>
      </c>
      <c r="F6711" s="477"/>
      <c r="G6711" s="244" t="s">
        <v>86</v>
      </c>
      <c r="H6711" s="244"/>
      <c r="I6711" s="245"/>
      <c r="J6711" s="246" t="s">
        <v>51</v>
      </c>
      <c r="K6711" s="247"/>
      <c r="L6711" s="247">
        <f>K6710</f>
        <v>3370.9291295553121</v>
      </c>
    </row>
    <row r="6712" spans="1:13" ht="11.25" customHeight="1" x14ac:dyDescent="0.2">
      <c r="A6712" s="221">
        <v>2025</v>
      </c>
      <c r="B6712" s="221">
        <v>2</v>
      </c>
      <c r="C6712" s="221">
        <v>2</v>
      </c>
      <c r="D6712" s="221">
        <f t="shared" si="769"/>
        <v>45690</v>
      </c>
      <c r="E6712" s="233">
        <f t="shared" si="772"/>
        <v>45690</v>
      </c>
      <c r="F6712" s="478" t="s">
        <v>1593</v>
      </c>
      <c r="G6712" s="222" t="s">
        <v>86</v>
      </c>
      <c r="H6712" s="222"/>
      <c r="I6712" s="223"/>
      <c r="J6712" s="224" t="s">
        <v>80</v>
      </c>
      <c r="K6712" s="225">
        <v>245411.5</v>
      </c>
      <c r="L6712" s="225"/>
    </row>
    <row r="6713" spans="1:13" ht="11.25" customHeight="1" x14ac:dyDescent="0.2">
      <c r="A6713" s="164">
        <v>2025</v>
      </c>
      <c r="B6713" s="164">
        <v>2</v>
      </c>
      <c r="C6713" s="164">
        <v>2</v>
      </c>
      <c r="D6713" s="164">
        <f t="shared" si="769"/>
        <v>45690</v>
      </c>
      <c r="E6713" s="235">
        <f t="shared" si="772"/>
        <v>45690</v>
      </c>
      <c r="F6713" s="480"/>
      <c r="G6713" s="208" t="s">
        <v>86</v>
      </c>
      <c r="H6713" s="208"/>
      <c r="J6713" s="165" t="s">
        <v>960</v>
      </c>
      <c r="K6713" s="205">
        <v>441.74</v>
      </c>
      <c r="L6713" s="205"/>
    </row>
    <row r="6714" spans="1:13" ht="11.25" customHeight="1" x14ac:dyDescent="0.2">
      <c r="A6714" s="226">
        <v>2025</v>
      </c>
      <c r="B6714" s="226">
        <v>2</v>
      </c>
      <c r="C6714" s="226">
        <v>2</v>
      </c>
      <c r="D6714" s="226">
        <f t="shared" si="769"/>
        <v>45690</v>
      </c>
      <c r="E6714" s="234">
        <f t="shared" si="772"/>
        <v>45690</v>
      </c>
      <c r="F6714" s="479"/>
      <c r="G6714" s="227" t="s">
        <v>86</v>
      </c>
      <c r="H6714" s="227"/>
      <c r="I6714" s="228"/>
      <c r="J6714" s="229" t="s">
        <v>961</v>
      </c>
      <c r="K6714" s="294"/>
      <c r="L6714" s="230">
        <v>245853.24</v>
      </c>
    </row>
    <row r="6715" spans="1:13" ht="11.25" customHeight="1" x14ac:dyDescent="0.2">
      <c r="A6715" s="221">
        <v>2025</v>
      </c>
      <c r="B6715" s="221">
        <v>2</v>
      </c>
      <c r="C6715" s="231">
        <v>3</v>
      </c>
      <c r="D6715" s="231">
        <f t="shared" si="769"/>
        <v>45691</v>
      </c>
      <c r="E6715" s="233">
        <f>DATE(A6715,B6715,C6715)</f>
        <v>45691</v>
      </c>
      <c r="F6715" s="478" t="s">
        <v>1814</v>
      </c>
      <c r="G6715" s="222" t="s">
        <v>1111</v>
      </c>
      <c r="H6715" s="223"/>
      <c r="I6715" s="223"/>
      <c r="J6715" s="224" t="s">
        <v>961</v>
      </c>
      <c r="K6715" s="225">
        <v>378179.5</v>
      </c>
      <c r="L6715" s="225"/>
    </row>
    <row r="6716" spans="1:13" ht="11.25" customHeight="1" x14ac:dyDescent="0.2">
      <c r="A6716" s="226">
        <v>2025</v>
      </c>
      <c r="B6716" s="226">
        <v>2</v>
      </c>
      <c r="C6716" s="232">
        <v>3</v>
      </c>
      <c r="D6716" s="232">
        <f t="shared" si="769"/>
        <v>45691</v>
      </c>
      <c r="E6716" s="234">
        <f>DATE(A6716,B6716,C6716)</f>
        <v>45691</v>
      </c>
      <c r="F6716" s="479"/>
      <c r="G6716" s="227" t="s">
        <v>1111</v>
      </c>
      <c r="H6716" s="228"/>
      <c r="I6716" s="228"/>
      <c r="J6716" s="229" t="s">
        <v>55</v>
      </c>
      <c r="K6716" s="230"/>
      <c r="L6716" s="230">
        <v>378179.5</v>
      </c>
    </row>
    <row r="6717" spans="1:13" ht="11.25" customHeight="1" x14ac:dyDescent="0.2">
      <c r="A6717" s="221">
        <v>2025</v>
      </c>
      <c r="B6717" s="221">
        <v>2</v>
      </c>
      <c r="C6717" s="231">
        <v>3</v>
      </c>
      <c r="D6717" s="231">
        <f t="shared" si="769"/>
        <v>45691</v>
      </c>
      <c r="E6717" s="233">
        <f t="shared" ref="E6717:E6720" si="773">DATE(A6717,B6717,C6717)</f>
        <v>45691</v>
      </c>
      <c r="F6717" s="478" t="s">
        <v>1809</v>
      </c>
      <c r="G6717" s="222" t="s">
        <v>1111</v>
      </c>
      <c r="H6717" s="223"/>
      <c r="I6717" s="223"/>
      <c r="J6717" s="224" t="s">
        <v>55</v>
      </c>
      <c r="K6717" s="225">
        <v>2102131</v>
      </c>
      <c r="L6717" s="225"/>
    </row>
    <row r="6718" spans="1:13" ht="11.25" customHeight="1" x14ac:dyDescent="0.2">
      <c r="A6718" s="226">
        <v>2025</v>
      </c>
      <c r="B6718" s="226">
        <v>2</v>
      </c>
      <c r="C6718" s="232">
        <v>3</v>
      </c>
      <c r="D6718" s="232">
        <f t="shared" si="769"/>
        <v>45691</v>
      </c>
      <c r="E6718" s="234">
        <f t="shared" si="773"/>
        <v>45691</v>
      </c>
      <c r="F6718" s="479"/>
      <c r="G6718" s="227" t="s">
        <v>1111</v>
      </c>
      <c r="H6718" s="228"/>
      <c r="I6718" s="228"/>
      <c r="J6718" s="229" t="s">
        <v>199</v>
      </c>
      <c r="K6718" s="230"/>
      <c r="L6718" s="230">
        <v>2102131</v>
      </c>
    </row>
    <row r="6719" spans="1:13" ht="11.25" customHeight="1" x14ac:dyDescent="0.2">
      <c r="A6719" s="221">
        <v>2025</v>
      </c>
      <c r="B6719" s="221">
        <v>2</v>
      </c>
      <c r="C6719" s="231">
        <v>3</v>
      </c>
      <c r="D6719" s="231">
        <f t="shared" si="769"/>
        <v>45691</v>
      </c>
      <c r="E6719" s="233">
        <f t="shared" si="773"/>
        <v>45691</v>
      </c>
      <c r="F6719" s="478" t="s">
        <v>1670</v>
      </c>
      <c r="G6719" s="222" t="s">
        <v>1111</v>
      </c>
      <c r="H6719" s="223"/>
      <c r="I6719" s="223"/>
      <c r="J6719" s="224" t="s">
        <v>63</v>
      </c>
      <c r="K6719" s="225">
        <v>58</v>
      </c>
      <c r="L6719" s="225"/>
    </row>
    <row r="6720" spans="1:13" ht="11.25" customHeight="1" x14ac:dyDescent="0.2">
      <c r="A6720" s="226">
        <v>2025</v>
      </c>
      <c r="B6720" s="226">
        <v>2</v>
      </c>
      <c r="C6720" s="232">
        <v>3</v>
      </c>
      <c r="D6720" s="232">
        <f t="shared" si="769"/>
        <v>45691</v>
      </c>
      <c r="E6720" s="234">
        <f t="shared" si="773"/>
        <v>45691</v>
      </c>
      <c r="F6720" s="479"/>
      <c r="G6720" s="227" t="s">
        <v>1111</v>
      </c>
      <c r="H6720" s="228"/>
      <c r="I6720" s="228"/>
      <c r="J6720" s="229" t="s">
        <v>55</v>
      </c>
      <c r="K6720" s="230"/>
      <c r="L6720" s="230">
        <v>58</v>
      </c>
    </row>
    <row r="6721" spans="1:12" ht="11.25" customHeight="1" x14ac:dyDescent="0.2">
      <c r="A6721" s="221">
        <v>2025</v>
      </c>
      <c r="B6721" s="221">
        <v>2</v>
      </c>
      <c r="C6721" s="221">
        <v>4</v>
      </c>
      <c r="D6721" s="221">
        <f t="shared" si="769"/>
        <v>45692</v>
      </c>
      <c r="E6721" s="233">
        <f t="shared" ref="E6721:E6728" si="774">DATE(A6721,B6721,C6721)</f>
        <v>45692</v>
      </c>
      <c r="F6721" s="478" t="s">
        <v>1593</v>
      </c>
      <c r="G6721" s="222" t="s">
        <v>86</v>
      </c>
      <c r="H6721" s="222"/>
      <c r="I6721" s="223"/>
      <c r="J6721" s="224" t="s">
        <v>80</v>
      </c>
      <c r="K6721" s="225">
        <v>1176680</v>
      </c>
      <c r="L6721" s="225"/>
    </row>
    <row r="6722" spans="1:12" ht="11.25" customHeight="1" x14ac:dyDescent="0.2">
      <c r="A6722" s="164">
        <v>2025</v>
      </c>
      <c r="B6722" s="164">
        <v>2</v>
      </c>
      <c r="C6722" s="164">
        <v>4</v>
      </c>
      <c r="D6722" s="164">
        <f t="shared" si="769"/>
        <v>45692</v>
      </c>
      <c r="E6722" s="235">
        <f t="shared" si="774"/>
        <v>45692</v>
      </c>
      <c r="F6722" s="480"/>
      <c r="G6722" s="208" t="s">
        <v>86</v>
      </c>
      <c r="H6722" s="208"/>
      <c r="J6722" s="165" t="s">
        <v>960</v>
      </c>
      <c r="K6722" s="205">
        <v>2118.02</v>
      </c>
      <c r="L6722" s="205"/>
    </row>
    <row r="6723" spans="1:12" ht="11.25" customHeight="1" x14ac:dyDescent="0.2">
      <c r="A6723" s="226">
        <v>2025</v>
      </c>
      <c r="B6723" s="226">
        <v>2</v>
      </c>
      <c r="C6723" s="226">
        <v>4</v>
      </c>
      <c r="D6723" s="226">
        <f t="shared" si="769"/>
        <v>45692</v>
      </c>
      <c r="E6723" s="234">
        <f t="shared" si="774"/>
        <v>45692</v>
      </c>
      <c r="F6723" s="479"/>
      <c r="G6723" s="227" t="s">
        <v>86</v>
      </c>
      <c r="H6723" s="227"/>
      <c r="I6723" s="228"/>
      <c r="J6723" s="229" t="s">
        <v>961</v>
      </c>
      <c r="K6723" s="294"/>
      <c r="L6723" s="230">
        <v>1178798.02</v>
      </c>
    </row>
    <row r="6724" spans="1:12" ht="11.25" customHeight="1" x14ac:dyDescent="0.2">
      <c r="A6724" s="221">
        <v>2025</v>
      </c>
      <c r="B6724" s="221">
        <v>2</v>
      </c>
      <c r="C6724" s="221">
        <v>5</v>
      </c>
      <c r="D6724" s="221">
        <f t="shared" si="769"/>
        <v>45693</v>
      </c>
      <c r="E6724" s="233">
        <f t="shared" si="774"/>
        <v>45693</v>
      </c>
      <c r="F6724" s="478" t="s">
        <v>1769</v>
      </c>
      <c r="G6724" s="222" t="s">
        <v>86</v>
      </c>
      <c r="H6724" s="222"/>
      <c r="I6724" s="223"/>
      <c r="J6724" s="224" t="s">
        <v>80</v>
      </c>
      <c r="K6724" s="225">
        <v>925613.2</v>
      </c>
      <c r="L6724" s="225"/>
    </row>
    <row r="6725" spans="1:12" ht="11.25" customHeight="1" x14ac:dyDescent="0.2">
      <c r="A6725" s="164">
        <v>2025</v>
      </c>
      <c r="B6725" s="164">
        <v>2</v>
      </c>
      <c r="C6725" s="164">
        <v>5</v>
      </c>
      <c r="D6725" s="164">
        <f t="shared" si="769"/>
        <v>45693</v>
      </c>
      <c r="E6725" s="235">
        <f t="shared" si="774"/>
        <v>45693</v>
      </c>
      <c r="F6725" s="480"/>
      <c r="G6725" s="208" t="s">
        <v>86</v>
      </c>
      <c r="H6725" s="208"/>
      <c r="J6725" s="165" t="s">
        <v>960</v>
      </c>
      <c r="K6725" s="205">
        <v>2095.5500000000002</v>
      </c>
      <c r="L6725" s="205"/>
    </row>
    <row r="6726" spans="1:12" ht="11.25" customHeight="1" x14ac:dyDescent="0.2">
      <c r="A6726" s="164">
        <v>2025</v>
      </c>
      <c r="B6726" s="164">
        <v>2</v>
      </c>
      <c r="C6726" s="164">
        <v>5</v>
      </c>
      <c r="D6726" s="164">
        <f t="shared" si="769"/>
        <v>45693</v>
      </c>
      <c r="E6726" s="235">
        <f t="shared" si="774"/>
        <v>45693</v>
      </c>
      <c r="F6726" s="480"/>
      <c r="G6726" s="208" t="s">
        <v>86</v>
      </c>
      <c r="H6726" s="208"/>
      <c r="J6726" s="165" t="s">
        <v>961</v>
      </c>
      <c r="K6726" s="205"/>
      <c r="L6726" s="205">
        <v>689128.75</v>
      </c>
    </row>
    <row r="6727" spans="1:12" ht="11.25" customHeight="1" x14ac:dyDescent="0.2">
      <c r="A6727" s="164">
        <v>2025</v>
      </c>
      <c r="B6727" s="164">
        <v>2</v>
      </c>
      <c r="C6727" s="164">
        <v>5</v>
      </c>
      <c r="D6727" s="164">
        <f t="shared" si="769"/>
        <v>45693</v>
      </c>
      <c r="E6727" s="235">
        <f t="shared" si="774"/>
        <v>45693</v>
      </c>
      <c r="F6727" s="480"/>
      <c r="G6727" s="208" t="s">
        <v>86</v>
      </c>
      <c r="H6727" s="208"/>
      <c r="J6727" s="165" t="s">
        <v>200</v>
      </c>
      <c r="K6727" s="263"/>
      <c r="L6727" s="205">
        <v>8692.11</v>
      </c>
    </row>
    <row r="6728" spans="1:12" ht="11.25" customHeight="1" x14ac:dyDescent="0.2">
      <c r="A6728" s="226">
        <v>2025</v>
      </c>
      <c r="B6728" s="226">
        <v>2</v>
      </c>
      <c r="C6728" s="226">
        <v>5</v>
      </c>
      <c r="D6728" s="226">
        <f t="shared" si="769"/>
        <v>45693</v>
      </c>
      <c r="E6728" s="234">
        <f t="shared" si="774"/>
        <v>45693</v>
      </c>
      <c r="F6728" s="479"/>
      <c r="G6728" s="227" t="s">
        <v>86</v>
      </c>
      <c r="H6728" s="228"/>
      <c r="I6728" s="228"/>
      <c r="J6728" s="229" t="s">
        <v>80</v>
      </c>
      <c r="K6728" s="230"/>
      <c r="L6728" s="230">
        <v>229887.89</v>
      </c>
    </row>
    <row r="6729" spans="1:12" ht="11.25" customHeight="1" x14ac:dyDescent="0.2">
      <c r="A6729" s="221">
        <v>2025</v>
      </c>
      <c r="B6729" s="221">
        <v>2</v>
      </c>
      <c r="C6729" s="231">
        <v>5</v>
      </c>
      <c r="D6729" s="231">
        <f t="shared" ref="D6729:D6792" si="775">DATE(A6729,B6729,C6729)</f>
        <v>45693</v>
      </c>
      <c r="E6729" s="233">
        <f>DATE(A6729,B6729,C6729)</f>
        <v>45693</v>
      </c>
      <c r="F6729" s="478" t="s">
        <v>1840</v>
      </c>
      <c r="G6729" s="222" t="s">
        <v>1111</v>
      </c>
      <c r="H6729" s="223"/>
      <c r="I6729" s="223"/>
      <c r="J6729" s="224" t="s">
        <v>961</v>
      </c>
      <c r="K6729" s="225">
        <v>245853.24</v>
      </c>
      <c r="L6729" s="225"/>
    </row>
    <row r="6730" spans="1:12" ht="11.25" customHeight="1" x14ac:dyDescent="0.2">
      <c r="A6730" s="226">
        <v>2025</v>
      </c>
      <c r="B6730" s="226">
        <v>2</v>
      </c>
      <c r="C6730" s="232">
        <v>5</v>
      </c>
      <c r="D6730" s="232">
        <f t="shared" si="775"/>
        <v>45693</v>
      </c>
      <c r="E6730" s="234">
        <f>DATE(A6730,B6730,C6730)</f>
        <v>45693</v>
      </c>
      <c r="F6730" s="479"/>
      <c r="G6730" s="227" t="s">
        <v>1111</v>
      </c>
      <c r="H6730" s="228"/>
      <c r="I6730" s="228"/>
      <c r="J6730" s="229" t="s">
        <v>55</v>
      </c>
      <c r="K6730" s="230"/>
      <c r="L6730" s="230">
        <v>245853.24</v>
      </c>
    </row>
    <row r="6731" spans="1:12" ht="11.25" customHeight="1" x14ac:dyDescent="0.2">
      <c r="A6731" s="221">
        <v>2025</v>
      </c>
      <c r="B6731" s="221">
        <v>2</v>
      </c>
      <c r="C6731" s="231">
        <v>5</v>
      </c>
      <c r="D6731" s="231">
        <f t="shared" si="775"/>
        <v>45693</v>
      </c>
      <c r="E6731" s="233">
        <f>DATE(A6731,B6731,C6731)</f>
        <v>45693</v>
      </c>
      <c r="F6731" s="478" t="s">
        <v>1814</v>
      </c>
      <c r="G6731" s="222" t="s">
        <v>1111</v>
      </c>
      <c r="H6731" s="223"/>
      <c r="I6731" s="223"/>
      <c r="J6731" s="224" t="s">
        <v>961</v>
      </c>
      <c r="K6731" s="225">
        <v>1178798.02</v>
      </c>
      <c r="L6731" s="225"/>
    </row>
    <row r="6732" spans="1:12" ht="11.25" customHeight="1" x14ac:dyDescent="0.2">
      <c r="A6732" s="226">
        <v>2025</v>
      </c>
      <c r="B6732" s="226">
        <v>2</v>
      </c>
      <c r="C6732" s="232">
        <v>5</v>
      </c>
      <c r="D6732" s="232">
        <f t="shared" si="775"/>
        <v>45693</v>
      </c>
      <c r="E6732" s="234">
        <f>DATE(A6732,B6732,C6732)</f>
        <v>45693</v>
      </c>
      <c r="F6732" s="479"/>
      <c r="G6732" s="227" t="s">
        <v>1111</v>
      </c>
      <c r="H6732" s="228"/>
      <c r="I6732" s="228"/>
      <c r="J6732" s="229" t="s">
        <v>55</v>
      </c>
      <c r="K6732" s="230"/>
      <c r="L6732" s="230">
        <v>1178798.02</v>
      </c>
    </row>
    <row r="6733" spans="1:12" ht="11.25" customHeight="1" x14ac:dyDescent="0.2">
      <c r="A6733" s="221">
        <v>2025</v>
      </c>
      <c r="B6733" s="221">
        <v>2</v>
      </c>
      <c r="C6733" s="231">
        <v>5</v>
      </c>
      <c r="D6733" s="231">
        <f t="shared" si="775"/>
        <v>45693</v>
      </c>
      <c r="E6733" s="233">
        <f t="shared" ref="E6733:E6734" si="776">DATE(A6733,B6733,C6733)</f>
        <v>45693</v>
      </c>
      <c r="F6733" s="478" t="s">
        <v>1670</v>
      </c>
      <c r="G6733" s="222" t="s">
        <v>1111</v>
      </c>
      <c r="H6733" s="223"/>
      <c r="I6733" s="223"/>
      <c r="J6733" s="224" t="s">
        <v>63</v>
      </c>
      <c r="K6733" s="225">
        <v>158</v>
      </c>
      <c r="L6733" s="225"/>
    </row>
    <row r="6734" spans="1:12" ht="11.25" customHeight="1" x14ac:dyDescent="0.2">
      <c r="A6734" s="226">
        <v>2025</v>
      </c>
      <c r="B6734" s="226">
        <v>2</v>
      </c>
      <c r="C6734" s="232">
        <v>5</v>
      </c>
      <c r="D6734" s="232">
        <f t="shared" si="775"/>
        <v>45693</v>
      </c>
      <c r="E6734" s="234">
        <f t="shared" si="776"/>
        <v>45693</v>
      </c>
      <c r="F6734" s="479"/>
      <c r="G6734" s="227" t="s">
        <v>1111</v>
      </c>
      <c r="H6734" s="228"/>
      <c r="I6734" s="228"/>
      <c r="J6734" s="229" t="s">
        <v>55</v>
      </c>
      <c r="K6734" s="230"/>
      <c r="L6734" s="230">
        <v>158</v>
      </c>
    </row>
    <row r="6735" spans="1:12" ht="11.25" customHeight="1" x14ac:dyDescent="0.2">
      <c r="A6735" s="221">
        <v>2025</v>
      </c>
      <c r="B6735" s="221">
        <v>2</v>
      </c>
      <c r="C6735" s="231">
        <v>6</v>
      </c>
      <c r="D6735" s="231">
        <f t="shared" si="775"/>
        <v>45694</v>
      </c>
      <c r="E6735" s="233">
        <f>DATE(A6735,B6735,C6735)</f>
        <v>45694</v>
      </c>
      <c r="F6735" s="478" t="s">
        <v>1814</v>
      </c>
      <c r="G6735" s="222" t="s">
        <v>1111</v>
      </c>
      <c r="H6735" s="223"/>
      <c r="I6735" s="223"/>
      <c r="J6735" s="224" t="s">
        <v>961</v>
      </c>
      <c r="K6735" s="225">
        <v>689128.75</v>
      </c>
      <c r="L6735" s="225"/>
    </row>
    <row r="6736" spans="1:12" ht="11.25" customHeight="1" x14ac:dyDescent="0.2">
      <c r="A6736" s="226">
        <v>2025</v>
      </c>
      <c r="B6736" s="226">
        <v>2</v>
      </c>
      <c r="C6736" s="232">
        <v>6</v>
      </c>
      <c r="D6736" s="232">
        <f t="shared" si="775"/>
        <v>45694</v>
      </c>
      <c r="E6736" s="234">
        <f>DATE(A6736,B6736,C6736)</f>
        <v>45694</v>
      </c>
      <c r="F6736" s="479"/>
      <c r="G6736" s="227" t="s">
        <v>1111</v>
      </c>
      <c r="H6736" s="228"/>
      <c r="I6736" s="228"/>
      <c r="J6736" s="229" t="s">
        <v>55</v>
      </c>
      <c r="K6736" s="230"/>
      <c r="L6736" s="230">
        <v>689128.75</v>
      </c>
    </row>
    <row r="6737" spans="1:13" ht="11.25" customHeight="1" x14ac:dyDescent="0.2">
      <c r="A6737" s="221">
        <v>2025</v>
      </c>
      <c r="B6737" s="221">
        <v>2</v>
      </c>
      <c r="C6737" s="231">
        <v>6</v>
      </c>
      <c r="D6737" s="231">
        <f t="shared" si="775"/>
        <v>45694</v>
      </c>
      <c r="E6737" s="233">
        <f t="shared" ref="E6737:E6751" si="777">DATE(A6737,B6737,C6737)</f>
        <v>45694</v>
      </c>
      <c r="F6737" s="478" t="s">
        <v>1670</v>
      </c>
      <c r="G6737" s="222" t="s">
        <v>1111</v>
      </c>
      <c r="H6737" s="223"/>
      <c r="I6737" s="223"/>
      <c r="J6737" s="224" t="s">
        <v>63</v>
      </c>
      <c r="K6737" s="225">
        <v>100</v>
      </c>
      <c r="L6737" s="225"/>
    </row>
    <row r="6738" spans="1:13" ht="11.25" customHeight="1" x14ac:dyDescent="0.2">
      <c r="A6738" s="226">
        <v>2025</v>
      </c>
      <c r="B6738" s="226">
        <v>2</v>
      </c>
      <c r="C6738" s="232">
        <v>6</v>
      </c>
      <c r="D6738" s="232">
        <f t="shared" si="775"/>
        <v>45694</v>
      </c>
      <c r="E6738" s="234">
        <f t="shared" si="777"/>
        <v>45694</v>
      </c>
      <c r="F6738" s="479"/>
      <c r="G6738" s="227" t="s">
        <v>1111</v>
      </c>
      <c r="H6738" s="228"/>
      <c r="I6738" s="228"/>
      <c r="J6738" s="229" t="s">
        <v>55</v>
      </c>
      <c r="K6738" s="230"/>
      <c r="L6738" s="230">
        <v>100</v>
      </c>
    </row>
    <row r="6739" spans="1:13" ht="11.25" customHeight="1" x14ac:dyDescent="0.2">
      <c r="A6739" s="221">
        <v>2025</v>
      </c>
      <c r="B6739" s="221">
        <v>2</v>
      </c>
      <c r="C6739" s="221">
        <v>6</v>
      </c>
      <c r="D6739" s="221">
        <f t="shared" si="775"/>
        <v>45694</v>
      </c>
      <c r="E6739" s="233">
        <f t="shared" si="777"/>
        <v>45694</v>
      </c>
      <c r="F6739" s="478" t="s">
        <v>1593</v>
      </c>
      <c r="G6739" s="222" t="s">
        <v>86</v>
      </c>
      <c r="H6739" s="222"/>
      <c r="I6739" s="223"/>
      <c r="J6739" s="224" t="s">
        <v>80</v>
      </c>
      <c r="K6739" s="225">
        <v>458000</v>
      </c>
      <c r="L6739" s="225"/>
    </row>
    <row r="6740" spans="1:13" ht="11.25" customHeight="1" x14ac:dyDescent="0.2">
      <c r="A6740" s="164">
        <v>2025</v>
      </c>
      <c r="B6740" s="164">
        <v>2</v>
      </c>
      <c r="C6740" s="164">
        <v>6</v>
      </c>
      <c r="D6740" s="164">
        <f t="shared" si="775"/>
        <v>45694</v>
      </c>
      <c r="E6740" s="235">
        <f t="shared" si="777"/>
        <v>45694</v>
      </c>
      <c r="F6740" s="480"/>
      <c r="G6740" s="208" t="s">
        <v>86</v>
      </c>
      <c r="H6740" s="208"/>
      <c r="J6740" s="165" t="s">
        <v>960</v>
      </c>
      <c r="K6740" s="205">
        <v>824.4</v>
      </c>
      <c r="L6740" s="205"/>
    </row>
    <row r="6741" spans="1:13" ht="11.25" customHeight="1" x14ac:dyDescent="0.2">
      <c r="A6741" s="226">
        <v>2025</v>
      </c>
      <c r="B6741" s="226">
        <v>2</v>
      </c>
      <c r="C6741" s="226">
        <v>6</v>
      </c>
      <c r="D6741" s="226">
        <f t="shared" si="775"/>
        <v>45694</v>
      </c>
      <c r="E6741" s="234">
        <f t="shared" si="777"/>
        <v>45694</v>
      </c>
      <c r="F6741" s="479"/>
      <c r="G6741" s="227" t="s">
        <v>86</v>
      </c>
      <c r="H6741" s="227"/>
      <c r="I6741" s="228"/>
      <c r="J6741" s="229" t="s">
        <v>961</v>
      </c>
      <c r="K6741" s="294"/>
      <c r="L6741" s="230">
        <v>458824.4</v>
      </c>
    </row>
    <row r="6742" spans="1:13" ht="11.25" customHeight="1" x14ac:dyDescent="0.2">
      <c r="A6742" s="280">
        <v>2025</v>
      </c>
      <c r="B6742" s="280">
        <v>2</v>
      </c>
      <c r="C6742" s="280">
        <v>6</v>
      </c>
      <c r="D6742" s="281">
        <f t="shared" si="775"/>
        <v>45694</v>
      </c>
      <c r="E6742" s="282">
        <f t="shared" si="777"/>
        <v>45694</v>
      </c>
      <c r="F6742" s="472" t="s">
        <v>1744</v>
      </c>
      <c r="G6742" s="283" t="s">
        <v>86</v>
      </c>
      <c r="H6742" s="284"/>
      <c r="I6742" s="284"/>
      <c r="J6742" s="285" t="s">
        <v>131</v>
      </c>
      <c r="K6742" s="286">
        <v>19358.330000000002</v>
      </c>
      <c r="L6742" s="286"/>
    </row>
    <row r="6743" spans="1:13" ht="11.25" customHeight="1" x14ac:dyDescent="0.2">
      <c r="A6743" s="287">
        <v>2025</v>
      </c>
      <c r="B6743" s="287">
        <v>2</v>
      </c>
      <c r="C6743" s="287">
        <v>6</v>
      </c>
      <c r="D6743" s="288">
        <f t="shared" si="775"/>
        <v>45694</v>
      </c>
      <c r="E6743" s="289">
        <f t="shared" si="777"/>
        <v>45694</v>
      </c>
      <c r="F6743" s="473"/>
      <c r="G6743" s="290" t="s">
        <v>86</v>
      </c>
      <c r="H6743" s="291"/>
      <c r="I6743" s="291"/>
      <c r="J6743" s="292" t="s">
        <v>174</v>
      </c>
      <c r="K6743" s="293"/>
      <c r="L6743" s="293">
        <v>19358.330000000002</v>
      </c>
    </row>
    <row r="6744" spans="1:13" ht="11.25" customHeight="1" x14ac:dyDescent="0.2">
      <c r="A6744" s="280">
        <v>2025</v>
      </c>
      <c r="B6744" s="280">
        <v>2</v>
      </c>
      <c r="C6744" s="280">
        <v>6</v>
      </c>
      <c r="D6744" s="281">
        <f t="shared" si="775"/>
        <v>45694</v>
      </c>
      <c r="E6744" s="282">
        <f t="shared" si="777"/>
        <v>45694</v>
      </c>
      <c r="F6744" s="472" t="s">
        <v>1584</v>
      </c>
      <c r="G6744" s="283" t="s">
        <v>86</v>
      </c>
      <c r="H6744" s="284"/>
      <c r="I6744" s="284"/>
      <c r="J6744" s="285" t="s">
        <v>131</v>
      </c>
      <c r="K6744" s="286">
        <v>8846.15</v>
      </c>
      <c r="L6744" s="286"/>
    </row>
    <row r="6745" spans="1:13" ht="11.25" customHeight="1" x14ac:dyDescent="0.2">
      <c r="A6745" s="287">
        <v>2025</v>
      </c>
      <c r="B6745" s="287">
        <v>2</v>
      </c>
      <c r="C6745" s="287">
        <v>6</v>
      </c>
      <c r="D6745" s="288">
        <f t="shared" si="775"/>
        <v>45694</v>
      </c>
      <c r="E6745" s="289">
        <f t="shared" si="777"/>
        <v>45694</v>
      </c>
      <c r="F6745" s="473"/>
      <c r="G6745" s="290" t="s">
        <v>86</v>
      </c>
      <c r="H6745" s="291"/>
      <c r="I6745" s="291"/>
      <c r="J6745" s="292" t="s">
        <v>174</v>
      </c>
      <c r="K6745" s="293"/>
      <c r="L6745" s="293">
        <v>8846.15</v>
      </c>
    </row>
    <row r="6746" spans="1:13" ht="11.25" customHeight="1" x14ac:dyDescent="0.2">
      <c r="A6746" s="280">
        <v>2025</v>
      </c>
      <c r="B6746" s="280">
        <v>2</v>
      </c>
      <c r="C6746" s="280">
        <v>6</v>
      </c>
      <c r="D6746" s="281">
        <f t="shared" si="775"/>
        <v>45694</v>
      </c>
      <c r="E6746" s="282">
        <f t="shared" si="777"/>
        <v>45694</v>
      </c>
      <c r="F6746" s="472" t="s">
        <v>1836</v>
      </c>
      <c r="G6746" s="283" t="s">
        <v>86</v>
      </c>
      <c r="H6746" s="284"/>
      <c r="I6746" s="284"/>
      <c r="J6746" s="285" t="s">
        <v>131</v>
      </c>
      <c r="K6746" s="286">
        <v>4653.8500000000004</v>
      </c>
      <c r="L6746" s="286"/>
    </row>
    <row r="6747" spans="1:13" ht="11.25" customHeight="1" x14ac:dyDescent="0.2">
      <c r="A6747" s="287">
        <v>2025</v>
      </c>
      <c r="B6747" s="287">
        <v>2</v>
      </c>
      <c r="C6747" s="287">
        <v>6</v>
      </c>
      <c r="D6747" s="288">
        <f t="shared" si="775"/>
        <v>45694</v>
      </c>
      <c r="E6747" s="289">
        <f t="shared" si="777"/>
        <v>45694</v>
      </c>
      <c r="F6747" s="473"/>
      <c r="G6747" s="290" t="s">
        <v>86</v>
      </c>
      <c r="H6747" s="291"/>
      <c r="I6747" s="291"/>
      <c r="J6747" s="292" t="s">
        <v>174</v>
      </c>
      <c r="K6747" s="293"/>
      <c r="L6747" s="293">
        <v>4653.8500000000004</v>
      </c>
    </row>
    <row r="6748" spans="1:13" ht="11.25" customHeight="1" x14ac:dyDescent="0.2">
      <c r="A6748" s="280">
        <v>2025</v>
      </c>
      <c r="B6748" s="280">
        <v>2</v>
      </c>
      <c r="C6748" s="280">
        <v>6</v>
      </c>
      <c r="D6748" s="281">
        <f t="shared" si="775"/>
        <v>45694</v>
      </c>
      <c r="E6748" s="282">
        <f t="shared" si="777"/>
        <v>45694</v>
      </c>
      <c r="F6748" s="472" t="s">
        <v>1830</v>
      </c>
      <c r="G6748" s="283" t="s">
        <v>86</v>
      </c>
      <c r="H6748" s="284"/>
      <c r="I6748" s="284"/>
      <c r="J6748" s="285" t="s">
        <v>131</v>
      </c>
      <c r="K6748" s="286">
        <v>4741.3515384615257</v>
      </c>
      <c r="L6748" s="286"/>
    </row>
    <row r="6749" spans="1:13" ht="11.25" customHeight="1" x14ac:dyDescent="0.2">
      <c r="A6749" s="287">
        <v>2025</v>
      </c>
      <c r="B6749" s="287">
        <v>2</v>
      </c>
      <c r="C6749" s="287">
        <v>6</v>
      </c>
      <c r="D6749" s="288">
        <f t="shared" si="775"/>
        <v>45694</v>
      </c>
      <c r="E6749" s="289">
        <f t="shared" si="777"/>
        <v>45694</v>
      </c>
      <c r="F6749" s="473"/>
      <c r="G6749" s="290" t="s">
        <v>86</v>
      </c>
      <c r="H6749" s="291"/>
      <c r="I6749" s="291"/>
      <c r="J6749" s="292" t="s">
        <v>174</v>
      </c>
      <c r="K6749" s="293"/>
      <c r="L6749" s="293">
        <v>4741.3515384615257</v>
      </c>
    </row>
    <row r="6750" spans="1:13" ht="11.25" customHeight="1" x14ac:dyDescent="0.2">
      <c r="A6750" s="341">
        <v>2025</v>
      </c>
      <c r="B6750" s="341">
        <v>2</v>
      </c>
      <c r="C6750" s="341">
        <v>6</v>
      </c>
      <c r="D6750" s="328">
        <f t="shared" si="775"/>
        <v>45694</v>
      </c>
      <c r="E6750" s="329">
        <f t="shared" si="777"/>
        <v>45694</v>
      </c>
      <c r="F6750" s="474" t="s">
        <v>1767</v>
      </c>
      <c r="G6750" s="330" t="s">
        <v>86</v>
      </c>
      <c r="H6750" s="332"/>
      <c r="I6750" s="332"/>
      <c r="J6750" s="342" t="s">
        <v>67</v>
      </c>
      <c r="K6750" s="343">
        <v>34894.15</v>
      </c>
      <c r="L6750" s="343"/>
    </row>
    <row r="6751" spans="1:13" ht="11.25" customHeight="1" x14ac:dyDescent="0.2">
      <c r="A6751" s="344">
        <v>2025</v>
      </c>
      <c r="B6751" s="344">
        <v>2</v>
      </c>
      <c r="C6751" s="344">
        <v>6</v>
      </c>
      <c r="D6751" s="337">
        <f t="shared" si="775"/>
        <v>45694</v>
      </c>
      <c r="E6751" s="338">
        <f t="shared" si="777"/>
        <v>45694</v>
      </c>
      <c r="F6751" s="475"/>
      <c r="G6751" s="339" t="s">
        <v>86</v>
      </c>
      <c r="H6751" s="340"/>
      <c r="I6751" s="340"/>
      <c r="J6751" s="345" t="s">
        <v>174</v>
      </c>
      <c r="K6751" s="346"/>
      <c r="L6751" s="346">
        <f>K6750</f>
        <v>34894.15</v>
      </c>
    </row>
    <row r="6752" spans="1:13" ht="11.25" customHeight="1" x14ac:dyDescent="0.2">
      <c r="A6752" s="358">
        <v>2025</v>
      </c>
      <c r="B6752" s="358">
        <v>2</v>
      </c>
      <c r="C6752" s="358">
        <v>6</v>
      </c>
      <c r="D6752" s="312">
        <f t="shared" si="775"/>
        <v>45694</v>
      </c>
      <c r="E6752" s="313">
        <f>DATE(A6752,B6752,C6752)</f>
        <v>45694</v>
      </c>
      <c r="F6752" s="482" t="s">
        <v>1627</v>
      </c>
      <c r="G6752" s="314" t="s">
        <v>86</v>
      </c>
      <c r="H6752" s="324"/>
      <c r="I6752" s="324"/>
      <c r="J6752" s="364" t="s">
        <v>1613</v>
      </c>
      <c r="K6752" s="365">
        <v>0</v>
      </c>
      <c r="L6752" s="365"/>
      <c r="M6752" s="156">
        <f>BS!$I$12</f>
        <v>0</v>
      </c>
    </row>
    <row r="6753" spans="1:13" ht="11.25" customHeight="1" x14ac:dyDescent="0.2">
      <c r="A6753" s="320">
        <v>2025</v>
      </c>
      <c r="B6753" s="320">
        <v>2</v>
      </c>
      <c r="C6753" s="320">
        <v>6</v>
      </c>
      <c r="D6753" s="323">
        <f t="shared" si="775"/>
        <v>45694</v>
      </c>
      <c r="E6753" s="321">
        <f t="shared" ref="E6753" si="778">DATE(A6753,B6753,C6753)</f>
        <v>45694</v>
      </c>
      <c r="F6753" s="483"/>
      <c r="G6753" s="322" t="s">
        <v>86</v>
      </c>
      <c r="H6753" s="325"/>
      <c r="I6753" s="325"/>
      <c r="J6753" s="366" t="s">
        <v>1621</v>
      </c>
      <c r="K6753" s="367"/>
      <c r="L6753" s="367">
        <f>K6752</f>
        <v>0</v>
      </c>
    </row>
    <row r="6754" spans="1:13" ht="11.25" customHeight="1" x14ac:dyDescent="0.2">
      <c r="A6754" s="358">
        <v>2025</v>
      </c>
      <c r="B6754" s="358">
        <v>2</v>
      </c>
      <c r="C6754" s="358">
        <v>6</v>
      </c>
      <c r="D6754" s="312">
        <f t="shared" si="775"/>
        <v>45694</v>
      </c>
      <c r="E6754" s="313">
        <f>DATE(A6754,B6754,C6754)</f>
        <v>45694</v>
      </c>
      <c r="F6754" s="482" t="s">
        <v>1713</v>
      </c>
      <c r="G6754" s="314" t="s">
        <v>86</v>
      </c>
      <c r="H6754" s="324"/>
      <c r="I6754" s="324"/>
      <c r="J6754" s="364" t="s">
        <v>1622</v>
      </c>
      <c r="K6754" s="365">
        <v>380278.13500000536</v>
      </c>
      <c r="L6754" s="365"/>
      <c r="M6754" s="156">
        <f>BS!$I$15</f>
        <v>0</v>
      </c>
    </row>
    <row r="6755" spans="1:13" ht="11.25" customHeight="1" x14ac:dyDescent="0.2">
      <c r="A6755" s="320">
        <v>2025</v>
      </c>
      <c r="B6755" s="320">
        <v>2</v>
      </c>
      <c r="C6755" s="320">
        <v>6</v>
      </c>
      <c r="D6755" s="323">
        <f t="shared" si="775"/>
        <v>45694</v>
      </c>
      <c r="E6755" s="321">
        <f t="shared" ref="E6755:E6763" si="779">DATE(A6755,B6755,C6755)</f>
        <v>45694</v>
      </c>
      <c r="F6755" s="483"/>
      <c r="G6755" s="322" t="s">
        <v>86</v>
      </c>
      <c r="H6755" s="325"/>
      <c r="I6755" s="325"/>
      <c r="J6755" s="366" t="s">
        <v>1614</v>
      </c>
      <c r="K6755" s="367"/>
      <c r="L6755" s="367">
        <f>K6754</f>
        <v>380278.13500000536</v>
      </c>
    </row>
    <row r="6756" spans="1:13" ht="11.25" customHeight="1" x14ac:dyDescent="0.2">
      <c r="A6756" s="236">
        <v>2025</v>
      </c>
      <c r="B6756" s="236">
        <v>2</v>
      </c>
      <c r="C6756" s="236">
        <v>6</v>
      </c>
      <c r="D6756" s="237">
        <f t="shared" si="775"/>
        <v>45694</v>
      </c>
      <c r="E6756" s="238">
        <f t="shared" si="779"/>
        <v>45694</v>
      </c>
      <c r="F6756" s="476" t="s">
        <v>1118</v>
      </c>
      <c r="G6756" s="239" t="s">
        <v>86</v>
      </c>
      <c r="H6756" s="239"/>
      <c r="I6756" s="240"/>
      <c r="J6756" s="241" t="s">
        <v>98</v>
      </c>
      <c r="K6756" s="242">
        <v>832075.89000001596</v>
      </c>
      <c r="L6756" s="242"/>
      <c r="M6756" s="156">
        <f>BS!$I$8</f>
        <v>0</v>
      </c>
    </row>
    <row r="6757" spans="1:13" ht="11.25" customHeight="1" x14ac:dyDescent="0.2">
      <c r="A6757" s="243">
        <v>2025</v>
      </c>
      <c r="B6757" s="243">
        <v>2</v>
      </c>
      <c r="C6757" s="243">
        <v>6</v>
      </c>
      <c r="D6757" s="248">
        <f t="shared" si="775"/>
        <v>45694</v>
      </c>
      <c r="E6757" s="249">
        <f t="shared" si="779"/>
        <v>45694</v>
      </c>
      <c r="F6757" s="477"/>
      <c r="G6757" s="244" t="s">
        <v>86</v>
      </c>
      <c r="H6757" s="244"/>
      <c r="I6757" s="245"/>
      <c r="J6757" s="246" t="s">
        <v>82</v>
      </c>
      <c r="K6757" s="247"/>
      <c r="L6757" s="247">
        <f>K6756</f>
        <v>832075.89000001596</v>
      </c>
    </row>
    <row r="6758" spans="1:13" ht="11.25" customHeight="1" x14ac:dyDescent="0.2">
      <c r="A6758" s="236">
        <v>2025</v>
      </c>
      <c r="B6758" s="236">
        <v>2</v>
      </c>
      <c r="C6758" s="236">
        <v>6</v>
      </c>
      <c r="D6758" s="237">
        <f t="shared" si="775"/>
        <v>45694</v>
      </c>
      <c r="E6758" s="238">
        <f t="shared" si="779"/>
        <v>45694</v>
      </c>
      <c r="F6758" s="476" t="s">
        <v>1120</v>
      </c>
      <c r="G6758" s="239" t="s">
        <v>86</v>
      </c>
      <c r="H6758" s="239"/>
      <c r="I6758" s="240"/>
      <c r="J6758" s="241" t="s">
        <v>87</v>
      </c>
      <c r="K6758" s="242">
        <v>2747.2527472527472</v>
      </c>
      <c r="L6758" s="242"/>
    </row>
    <row r="6759" spans="1:13" ht="11.25" customHeight="1" x14ac:dyDescent="0.2">
      <c r="A6759" s="243">
        <v>2025</v>
      </c>
      <c r="B6759" s="243">
        <v>2</v>
      </c>
      <c r="C6759" s="243">
        <v>6</v>
      </c>
      <c r="D6759" s="248">
        <f t="shared" si="775"/>
        <v>45694</v>
      </c>
      <c r="E6759" s="249">
        <f t="shared" si="779"/>
        <v>45694</v>
      </c>
      <c r="F6759" s="477"/>
      <c r="G6759" s="244" t="s">
        <v>86</v>
      </c>
      <c r="H6759" s="244"/>
      <c r="I6759" s="245"/>
      <c r="J6759" s="246" t="s">
        <v>64</v>
      </c>
      <c r="K6759" s="247"/>
      <c r="L6759" s="247">
        <v>2747.2527472527472</v>
      </c>
    </row>
    <row r="6760" spans="1:13" ht="11.25" customHeight="1" x14ac:dyDescent="0.2">
      <c r="A6760" s="236">
        <v>2025</v>
      </c>
      <c r="B6760" s="236">
        <v>2</v>
      </c>
      <c r="C6760" s="236">
        <v>6</v>
      </c>
      <c r="D6760" s="237">
        <f t="shared" si="775"/>
        <v>45694</v>
      </c>
      <c r="E6760" s="238">
        <f t="shared" si="779"/>
        <v>45694</v>
      </c>
      <c r="F6760" s="476" t="s">
        <v>1121</v>
      </c>
      <c r="G6760" s="239" t="s">
        <v>86</v>
      </c>
      <c r="H6760" s="239"/>
      <c r="I6760" s="240"/>
      <c r="J6760" s="241" t="s">
        <v>89</v>
      </c>
      <c r="K6760" s="242">
        <f>M6760</f>
        <v>72698.007601988415</v>
      </c>
      <c r="L6760" s="242"/>
      <c r="M6760" s="156">
        <v>72698.007601988415</v>
      </c>
    </row>
    <row r="6761" spans="1:13" ht="11.25" customHeight="1" x14ac:dyDescent="0.2">
      <c r="A6761" s="243">
        <v>2025</v>
      </c>
      <c r="B6761" s="243">
        <v>2</v>
      </c>
      <c r="C6761" s="243">
        <v>6</v>
      </c>
      <c r="D6761" s="248">
        <f t="shared" si="775"/>
        <v>45694</v>
      </c>
      <c r="E6761" s="249">
        <f t="shared" si="779"/>
        <v>45694</v>
      </c>
      <c r="F6761" s="477"/>
      <c r="G6761" s="244" t="s">
        <v>86</v>
      </c>
      <c r="H6761" s="244"/>
      <c r="I6761" s="245"/>
      <c r="J6761" s="246" t="s">
        <v>50</v>
      </c>
      <c r="K6761" s="247"/>
      <c r="L6761" s="247">
        <f>K6760</f>
        <v>72698.007601988415</v>
      </c>
      <c r="M6761" s="156">
        <v>3394.5157647148053</v>
      </c>
    </row>
    <row r="6762" spans="1:13" ht="11.25" customHeight="1" x14ac:dyDescent="0.2">
      <c r="A6762" s="236">
        <v>2025</v>
      </c>
      <c r="B6762" s="236">
        <v>2</v>
      </c>
      <c r="C6762" s="236">
        <v>6</v>
      </c>
      <c r="D6762" s="237">
        <f t="shared" si="775"/>
        <v>45694</v>
      </c>
      <c r="E6762" s="238">
        <f t="shared" si="779"/>
        <v>45694</v>
      </c>
      <c r="F6762" s="476" t="s">
        <v>1122</v>
      </c>
      <c r="G6762" s="239" t="s">
        <v>86</v>
      </c>
      <c r="H6762" s="239"/>
      <c r="I6762" s="240"/>
      <c r="J6762" s="241" t="s">
        <v>91</v>
      </c>
      <c r="K6762" s="242">
        <f>M6761</f>
        <v>3394.5157647148053</v>
      </c>
      <c r="L6762" s="242"/>
    </row>
    <row r="6763" spans="1:13" ht="11.25" customHeight="1" x14ac:dyDescent="0.2">
      <c r="A6763" s="243">
        <v>2025</v>
      </c>
      <c r="B6763" s="243">
        <v>2</v>
      </c>
      <c r="C6763" s="243">
        <v>6</v>
      </c>
      <c r="D6763" s="248">
        <f t="shared" si="775"/>
        <v>45694</v>
      </c>
      <c r="E6763" s="249">
        <f t="shared" si="779"/>
        <v>45694</v>
      </c>
      <c r="F6763" s="477"/>
      <c r="G6763" s="244" t="s">
        <v>86</v>
      </c>
      <c r="H6763" s="244"/>
      <c r="I6763" s="245"/>
      <c r="J6763" s="246" t="s">
        <v>51</v>
      </c>
      <c r="K6763" s="247"/>
      <c r="L6763" s="247">
        <f>K6762</f>
        <v>3394.5157647148053</v>
      </c>
    </row>
    <row r="6764" spans="1:13" ht="11.25" customHeight="1" x14ac:dyDescent="0.2">
      <c r="A6764" s="221">
        <v>2025</v>
      </c>
      <c r="B6764" s="221">
        <v>2</v>
      </c>
      <c r="C6764" s="231">
        <v>9</v>
      </c>
      <c r="D6764" s="231">
        <f t="shared" si="775"/>
        <v>45697</v>
      </c>
      <c r="E6764" s="233">
        <f>DATE(A6764,B6764,C6764)</f>
        <v>45697</v>
      </c>
      <c r="F6764" s="478" t="s">
        <v>1814</v>
      </c>
      <c r="G6764" s="222" t="s">
        <v>1111</v>
      </c>
      <c r="H6764" s="223"/>
      <c r="I6764" s="223"/>
      <c r="J6764" s="224" t="s">
        <v>961</v>
      </c>
      <c r="K6764" s="225">
        <v>458824.4</v>
      </c>
      <c r="L6764" s="225"/>
    </row>
    <row r="6765" spans="1:13" ht="11.25" customHeight="1" x14ac:dyDescent="0.2">
      <c r="A6765" s="226">
        <v>2025</v>
      </c>
      <c r="B6765" s="226">
        <v>2</v>
      </c>
      <c r="C6765" s="232">
        <v>9</v>
      </c>
      <c r="D6765" s="232">
        <f t="shared" si="775"/>
        <v>45697</v>
      </c>
      <c r="E6765" s="234">
        <f>DATE(A6765,B6765,C6765)</f>
        <v>45697</v>
      </c>
      <c r="F6765" s="479"/>
      <c r="G6765" s="227" t="s">
        <v>1111</v>
      </c>
      <c r="H6765" s="228"/>
      <c r="I6765" s="228"/>
      <c r="J6765" s="229" t="s">
        <v>55</v>
      </c>
      <c r="K6765" s="230"/>
      <c r="L6765" s="230">
        <v>458824.4</v>
      </c>
    </row>
    <row r="6766" spans="1:13" ht="11.25" customHeight="1" x14ac:dyDescent="0.2">
      <c r="A6766" s="221">
        <v>2025</v>
      </c>
      <c r="B6766" s="221">
        <v>2</v>
      </c>
      <c r="C6766" s="231">
        <v>9</v>
      </c>
      <c r="D6766" s="231">
        <f t="shared" si="775"/>
        <v>45697</v>
      </c>
      <c r="E6766" s="233">
        <f t="shared" ref="E6766:E6787" si="780">DATE(A6766,B6766,C6766)</f>
        <v>45697</v>
      </c>
      <c r="F6766" s="478" t="s">
        <v>1670</v>
      </c>
      <c r="G6766" s="222" t="s">
        <v>1111</v>
      </c>
      <c r="H6766" s="223"/>
      <c r="I6766" s="223"/>
      <c r="J6766" s="224" t="s">
        <v>63</v>
      </c>
      <c r="K6766" s="225">
        <v>58</v>
      </c>
      <c r="L6766" s="225"/>
    </row>
    <row r="6767" spans="1:13" ht="11.25" customHeight="1" x14ac:dyDescent="0.2">
      <c r="A6767" s="226">
        <v>2025</v>
      </c>
      <c r="B6767" s="226">
        <v>2</v>
      </c>
      <c r="C6767" s="232">
        <v>9</v>
      </c>
      <c r="D6767" s="232">
        <f t="shared" si="775"/>
        <v>45697</v>
      </c>
      <c r="E6767" s="234">
        <f t="shared" si="780"/>
        <v>45697</v>
      </c>
      <c r="F6767" s="479"/>
      <c r="G6767" s="227" t="s">
        <v>1111</v>
      </c>
      <c r="H6767" s="228"/>
      <c r="I6767" s="228"/>
      <c r="J6767" s="229" t="s">
        <v>55</v>
      </c>
      <c r="K6767" s="230"/>
      <c r="L6767" s="230">
        <v>58</v>
      </c>
    </row>
    <row r="6768" spans="1:13" ht="11.25" customHeight="1" x14ac:dyDescent="0.2">
      <c r="A6768" s="221">
        <v>2025</v>
      </c>
      <c r="B6768" s="221">
        <v>2</v>
      </c>
      <c r="C6768" s="221">
        <v>9</v>
      </c>
      <c r="D6768" s="221">
        <f t="shared" si="775"/>
        <v>45697</v>
      </c>
      <c r="E6768" s="233">
        <f t="shared" si="780"/>
        <v>45697</v>
      </c>
      <c r="F6768" s="478" t="s">
        <v>1841</v>
      </c>
      <c r="G6768" s="222" t="s">
        <v>1111</v>
      </c>
      <c r="H6768" s="222"/>
      <c r="I6768" s="223"/>
      <c r="J6768" s="224" t="s">
        <v>50</v>
      </c>
      <c r="K6768" s="225">
        <v>75000</v>
      </c>
      <c r="L6768" s="225"/>
    </row>
    <row r="6769" spans="1:12" ht="11.25" customHeight="1" x14ac:dyDescent="0.2">
      <c r="A6769" s="164">
        <v>2025</v>
      </c>
      <c r="B6769" s="164">
        <v>2</v>
      </c>
      <c r="C6769" s="164">
        <v>9</v>
      </c>
      <c r="D6769" s="156">
        <f t="shared" si="775"/>
        <v>45697</v>
      </c>
      <c r="E6769" s="235">
        <f t="shared" si="780"/>
        <v>45697</v>
      </c>
      <c r="F6769" s="480"/>
      <c r="G6769" s="208" t="s">
        <v>1111</v>
      </c>
      <c r="J6769" s="165" t="s">
        <v>478</v>
      </c>
      <c r="K6769" s="205"/>
      <c r="L6769" s="205">
        <v>11250</v>
      </c>
    </row>
    <row r="6770" spans="1:12" ht="11.25" customHeight="1" x14ac:dyDescent="0.2">
      <c r="A6770" s="226">
        <v>2025</v>
      </c>
      <c r="B6770" s="226">
        <v>2</v>
      </c>
      <c r="C6770" s="226">
        <v>9</v>
      </c>
      <c r="D6770" s="226">
        <f t="shared" si="775"/>
        <v>45697</v>
      </c>
      <c r="E6770" s="234">
        <f t="shared" si="780"/>
        <v>45697</v>
      </c>
      <c r="F6770" s="479"/>
      <c r="G6770" s="227" t="s">
        <v>1111</v>
      </c>
      <c r="H6770" s="227"/>
      <c r="I6770" s="228"/>
      <c r="J6770" s="229" t="s">
        <v>55</v>
      </c>
      <c r="K6770" s="230"/>
      <c r="L6770" s="230">
        <v>63750</v>
      </c>
    </row>
    <row r="6771" spans="1:12" ht="11.25" customHeight="1" x14ac:dyDescent="0.2">
      <c r="A6771" s="164">
        <v>2025</v>
      </c>
      <c r="B6771" s="164">
        <v>2</v>
      </c>
      <c r="C6771" s="221">
        <v>12</v>
      </c>
      <c r="D6771" s="156">
        <f t="shared" si="775"/>
        <v>45700</v>
      </c>
      <c r="E6771" s="235">
        <f t="shared" si="780"/>
        <v>45700</v>
      </c>
      <c r="F6771" s="478" t="s">
        <v>1808</v>
      </c>
      <c r="G6771" s="208" t="s">
        <v>1111</v>
      </c>
      <c r="J6771" s="165" t="s">
        <v>478</v>
      </c>
      <c r="K6771" s="205">
        <v>11250</v>
      </c>
      <c r="L6771" s="205"/>
    </row>
    <row r="6772" spans="1:12" ht="11.25" customHeight="1" x14ac:dyDescent="0.2">
      <c r="A6772" s="164">
        <v>2025</v>
      </c>
      <c r="B6772" s="164">
        <v>2</v>
      </c>
      <c r="C6772" s="164">
        <v>12</v>
      </c>
      <c r="D6772" s="156">
        <f t="shared" si="775"/>
        <v>45700</v>
      </c>
      <c r="E6772" s="235">
        <f t="shared" si="780"/>
        <v>45700</v>
      </c>
      <c r="F6772" s="480"/>
      <c r="G6772" s="208" t="s">
        <v>1111</v>
      </c>
      <c r="J6772" s="165" t="s">
        <v>1708</v>
      </c>
      <c r="K6772" s="205">
        <v>500</v>
      </c>
      <c r="L6772" s="205"/>
    </row>
    <row r="6773" spans="1:12" ht="11.25" customHeight="1" x14ac:dyDescent="0.2">
      <c r="A6773" s="164">
        <v>2025</v>
      </c>
      <c r="B6773" s="164">
        <v>2</v>
      </c>
      <c r="C6773" s="164">
        <v>12</v>
      </c>
      <c r="D6773" s="156">
        <f t="shared" si="775"/>
        <v>45700</v>
      </c>
      <c r="E6773" s="235">
        <f t="shared" ref="E6773" si="781">DATE(A6773,B6773,C6773)</f>
        <v>45700</v>
      </c>
      <c r="F6773" s="480"/>
      <c r="G6773" s="208" t="s">
        <v>1111</v>
      </c>
      <c r="J6773" s="165" t="s">
        <v>1707</v>
      </c>
      <c r="K6773" s="205">
        <v>300</v>
      </c>
      <c r="L6773" s="205"/>
    </row>
    <row r="6774" spans="1:12" ht="11.25" customHeight="1" x14ac:dyDescent="0.2">
      <c r="A6774" s="226">
        <v>2025</v>
      </c>
      <c r="B6774" s="226">
        <v>2</v>
      </c>
      <c r="C6774" s="226">
        <v>12</v>
      </c>
      <c r="D6774" s="232">
        <f t="shared" si="775"/>
        <v>45700</v>
      </c>
      <c r="E6774" s="234">
        <f t="shared" si="780"/>
        <v>45700</v>
      </c>
      <c r="F6774" s="479"/>
      <c r="G6774" s="227" t="s">
        <v>1111</v>
      </c>
      <c r="H6774" s="228"/>
      <c r="I6774" s="228"/>
      <c r="J6774" s="229" t="s">
        <v>55</v>
      </c>
      <c r="K6774" s="230"/>
      <c r="L6774" s="230">
        <v>12050</v>
      </c>
    </row>
    <row r="6775" spans="1:12" ht="11.25" customHeight="1" x14ac:dyDescent="0.2">
      <c r="A6775" s="221">
        <v>2025</v>
      </c>
      <c r="B6775" s="221">
        <v>2</v>
      </c>
      <c r="C6775" s="221">
        <v>13</v>
      </c>
      <c r="D6775" s="221">
        <f t="shared" si="775"/>
        <v>45701</v>
      </c>
      <c r="E6775" s="233">
        <f t="shared" si="780"/>
        <v>45701</v>
      </c>
      <c r="F6775" s="478" t="s">
        <v>1593</v>
      </c>
      <c r="G6775" s="222" t="s">
        <v>86</v>
      </c>
      <c r="H6775" s="222"/>
      <c r="I6775" s="223"/>
      <c r="J6775" s="224" t="s">
        <v>80</v>
      </c>
      <c r="K6775" s="225">
        <v>493600</v>
      </c>
      <c r="L6775" s="225"/>
    </row>
    <row r="6776" spans="1:12" ht="11.25" customHeight="1" x14ac:dyDescent="0.2">
      <c r="A6776" s="164">
        <v>2025</v>
      </c>
      <c r="B6776" s="164">
        <v>2</v>
      </c>
      <c r="C6776" s="164">
        <v>13</v>
      </c>
      <c r="D6776" s="164">
        <f t="shared" si="775"/>
        <v>45701</v>
      </c>
      <c r="E6776" s="235">
        <f t="shared" si="780"/>
        <v>45701</v>
      </c>
      <c r="F6776" s="480"/>
      <c r="G6776" s="208" t="s">
        <v>86</v>
      </c>
      <c r="H6776" s="208"/>
      <c r="J6776" s="165" t="s">
        <v>960</v>
      </c>
      <c r="K6776" s="205">
        <v>888.48</v>
      </c>
      <c r="L6776" s="205"/>
    </row>
    <row r="6777" spans="1:12" ht="11.25" customHeight="1" x14ac:dyDescent="0.2">
      <c r="A6777" s="226">
        <v>2025</v>
      </c>
      <c r="B6777" s="226">
        <v>2</v>
      </c>
      <c r="C6777" s="226">
        <v>13</v>
      </c>
      <c r="D6777" s="226">
        <f t="shared" si="775"/>
        <v>45701</v>
      </c>
      <c r="E6777" s="234">
        <f t="shared" si="780"/>
        <v>45701</v>
      </c>
      <c r="F6777" s="479"/>
      <c r="G6777" s="227" t="s">
        <v>86</v>
      </c>
      <c r="H6777" s="227"/>
      <c r="I6777" s="228"/>
      <c r="J6777" s="229" t="s">
        <v>961</v>
      </c>
      <c r="K6777" s="294"/>
      <c r="L6777" s="230">
        <v>494488.48</v>
      </c>
    </row>
    <row r="6778" spans="1:12" ht="11.25" customHeight="1" x14ac:dyDescent="0.2">
      <c r="A6778" s="280">
        <v>2025</v>
      </c>
      <c r="B6778" s="280">
        <v>2</v>
      </c>
      <c r="C6778" s="280">
        <v>13</v>
      </c>
      <c r="D6778" s="281">
        <f t="shared" si="775"/>
        <v>45701</v>
      </c>
      <c r="E6778" s="282">
        <f t="shared" si="780"/>
        <v>45701</v>
      </c>
      <c r="F6778" s="472" t="s">
        <v>1744</v>
      </c>
      <c r="G6778" s="283" t="s">
        <v>86</v>
      </c>
      <c r="H6778" s="284"/>
      <c r="I6778" s="284"/>
      <c r="J6778" s="285" t="s">
        <v>131</v>
      </c>
      <c r="K6778" s="286">
        <v>19358.330000000002</v>
      </c>
      <c r="L6778" s="286"/>
    </row>
    <row r="6779" spans="1:12" ht="11.25" customHeight="1" x14ac:dyDescent="0.2">
      <c r="A6779" s="287">
        <v>2025</v>
      </c>
      <c r="B6779" s="287">
        <v>2</v>
      </c>
      <c r="C6779" s="287">
        <v>13</v>
      </c>
      <c r="D6779" s="288">
        <f t="shared" si="775"/>
        <v>45701</v>
      </c>
      <c r="E6779" s="289">
        <f t="shared" si="780"/>
        <v>45701</v>
      </c>
      <c r="F6779" s="473"/>
      <c r="G6779" s="290" t="s">
        <v>86</v>
      </c>
      <c r="H6779" s="291"/>
      <c r="I6779" s="291"/>
      <c r="J6779" s="292" t="s">
        <v>174</v>
      </c>
      <c r="K6779" s="293"/>
      <c r="L6779" s="293">
        <v>19358.330000000002</v>
      </c>
    </row>
    <row r="6780" spans="1:12" ht="11.25" customHeight="1" x14ac:dyDescent="0.2">
      <c r="A6780" s="280">
        <v>2025</v>
      </c>
      <c r="B6780" s="280">
        <v>2</v>
      </c>
      <c r="C6780" s="280">
        <v>13</v>
      </c>
      <c r="D6780" s="281">
        <f t="shared" si="775"/>
        <v>45701</v>
      </c>
      <c r="E6780" s="282">
        <f t="shared" si="780"/>
        <v>45701</v>
      </c>
      <c r="F6780" s="472" t="s">
        <v>1584</v>
      </c>
      <c r="G6780" s="283" t="s">
        <v>86</v>
      </c>
      <c r="H6780" s="284"/>
      <c r="I6780" s="284"/>
      <c r="J6780" s="285" t="s">
        <v>131</v>
      </c>
      <c r="K6780" s="286">
        <v>8846.15</v>
      </c>
      <c r="L6780" s="286"/>
    </row>
    <row r="6781" spans="1:12" ht="11.25" customHeight="1" x14ac:dyDescent="0.2">
      <c r="A6781" s="287">
        <v>2025</v>
      </c>
      <c r="B6781" s="287">
        <v>2</v>
      </c>
      <c r="C6781" s="287">
        <v>13</v>
      </c>
      <c r="D6781" s="288">
        <f t="shared" si="775"/>
        <v>45701</v>
      </c>
      <c r="E6781" s="289">
        <f t="shared" si="780"/>
        <v>45701</v>
      </c>
      <c r="F6781" s="473"/>
      <c r="G6781" s="290" t="s">
        <v>86</v>
      </c>
      <c r="H6781" s="291"/>
      <c r="I6781" s="291"/>
      <c r="J6781" s="292" t="s">
        <v>174</v>
      </c>
      <c r="K6781" s="293"/>
      <c r="L6781" s="293">
        <v>8846.15</v>
      </c>
    </row>
    <row r="6782" spans="1:12" ht="11.25" customHeight="1" x14ac:dyDescent="0.2">
      <c r="A6782" s="280">
        <v>2025</v>
      </c>
      <c r="B6782" s="280">
        <v>2</v>
      </c>
      <c r="C6782" s="280">
        <v>13</v>
      </c>
      <c r="D6782" s="281">
        <f t="shared" si="775"/>
        <v>45701</v>
      </c>
      <c r="E6782" s="282">
        <f t="shared" si="780"/>
        <v>45701</v>
      </c>
      <c r="F6782" s="472" t="s">
        <v>1836</v>
      </c>
      <c r="G6782" s="283" t="s">
        <v>86</v>
      </c>
      <c r="H6782" s="284"/>
      <c r="I6782" s="284"/>
      <c r="J6782" s="285" t="s">
        <v>131</v>
      </c>
      <c r="K6782" s="286">
        <v>4653.8500000000004</v>
      </c>
      <c r="L6782" s="286"/>
    </row>
    <row r="6783" spans="1:12" ht="11.25" customHeight="1" x14ac:dyDescent="0.2">
      <c r="A6783" s="287">
        <v>2025</v>
      </c>
      <c r="B6783" s="287">
        <v>2</v>
      </c>
      <c r="C6783" s="287">
        <v>13</v>
      </c>
      <c r="D6783" s="288">
        <f t="shared" si="775"/>
        <v>45701</v>
      </c>
      <c r="E6783" s="289">
        <f t="shared" si="780"/>
        <v>45701</v>
      </c>
      <c r="F6783" s="473"/>
      <c r="G6783" s="290" t="s">
        <v>86</v>
      </c>
      <c r="H6783" s="291"/>
      <c r="I6783" s="291"/>
      <c r="J6783" s="292" t="s">
        <v>174</v>
      </c>
      <c r="K6783" s="293"/>
      <c r="L6783" s="293">
        <v>4653.8500000000004</v>
      </c>
    </row>
    <row r="6784" spans="1:12" ht="11.25" customHeight="1" x14ac:dyDescent="0.2">
      <c r="A6784" s="280">
        <v>2025</v>
      </c>
      <c r="B6784" s="280">
        <v>2</v>
      </c>
      <c r="C6784" s="280">
        <v>13</v>
      </c>
      <c r="D6784" s="281">
        <f t="shared" si="775"/>
        <v>45701</v>
      </c>
      <c r="E6784" s="282">
        <f t="shared" si="780"/>
        <v>45701</v>
      </c>
      <c r="F6784" s="472" t="s">
        <v>1830</v>
      </c>
      <c r="G6784" s="283" t="s">
        <v>86</v>
      </c>
      <c r="H6784" s="284"/>
      <c r="I6784" s="284"/>
      <c r="J6784" s="285" t="s">
        <v>131</v>
      </c>
      <c r="K6784" s="286">
        <v>4741.3515384615257</v>
      </c>
      <c r="L6784" s="286"/>
    </row>
    <row r="6785" spans="1:13" ht="11.25" customHeight="1" x14ac:dyDescent="0.2">
      <c r="A6785" s="287">
        <v>2025</v>
      </c>
      <c r="B6785" s="287">
        <v>2</v>
      </c>
      <c r="C6785" s="287">
        <v>13</v>
      </c>
      <c r="D6785" s="288">
        <f t="shared" si="775"/>
        <v>45701</v>
      </c>
      <c r="E6785" s="289">
        <f t="shared" si="780"/>
        <v>45701</v>
      </c>
      <c r="F6785" s="473"/>
      <c r="G6785" s="290" t="s">
        <v>86</v>
      </c>
      <c r="H6785" s="291"/>
      <c r="I6785" s="291"/>
      <c r="J6785" s="292" t="s">
        <v>174</v>
      </c>
      <c r="K6785" s="293"/>
      <c r="L6785" s="293">
        <v>4741.3515384615257</v>
      </c>
    </row>
    <row r="6786" spans="1:13" ht="11.25" customHeight="1" x14ac:dyDescent="0.2">
      <c r="A6786" s="341">
        <v>2025</v>
      </c>
      <c r="B6786" s="341">
        <v>2</v>
      </c>
      <c r="C6786" s="341">
        <v>13</v>
      </c>
      <c r="D6786" s="328">
        <f t="shared" si="775"/>
        <v>45701</v>
      </c>
      <c r="E6786" s="329">
        <f t="shared" si="780"/>
        <v>45701</v>
      </c>
      <c r="F6786" s="474" t="s">
        <v>1767</v>
      </c>
      <c r="G6786" s="330" t="s">
        <v>86</v>
      </c>
      <c r="H6786" s="332"/>
      <c r="I6786" s="332"/>
      <c r="J6786" s="342" t="s">
        <v>67</v>
      </c>
      <c r="K6786" s="343">
        <v>33016.22</v>
      </c>
      <c r="L6786" s="343"/>
    </row>
    <row r="6787" spans="1:13" ht="11.25" customHeight="1" x14ac:dyDescent="0.2">
      <c r="A6787" s="344">
        <v>2025</v>
      </c>
      <c r="B6787" s="344">
        <v>2</v>
      </c>
      <c r="C6787" s="344">
        <v>13</v>
      </c>
      <c r="D6787" s="337">
        <f t="shared" si="775"/>
        <v>45701</v>
      </c>
      <c r="E6787" s="338">
        <f t="shared" si="780"/>
        <v>45701</v>
      </c>
      <c r="F6787" s="475"/>
      <c r="G6787" s="339" t="s">
        <v>86</v>
      </c>
      <c r="H6787" s="340"/>
      <c r="I6787" s="340"/>
      <c r="J6787" s="345" t="s">
        <v>174</v>
      </c>
      <c r="K6787" s="346"/>
      <c r="L6787" s="346">
        <f>K6786</f>
        <v>33016.22</v>
      </c>
    </row>
    <row r="6788" spans="1:13" ht="11.25" customHeight="1" x14ac:dyDescent="0.2">
      <c r="A6788" s="358">
        <v>2025</v>
      </c>
      <c r="B6788" s="358">
        <v>2</v>
      </c>
      <c r="C6788" s="358">
        <v>13</v>
      </c>
      <c r="D6788" s="312">
        <f t="shared" si="775"/>
        <v>45701</v>
      </c>
      <c r="E6788" s="313">
        <f>DATE(A6788,B6788,C6788)</f>
        <v>45701</v>
      </c>
      <c r="F6788" s="482" t="s">
        <v>1627</v>
      </c>
      <c r="G6788" s="314" t="s">
        <v>86</v>
      </c>
      <c r="H6788" s="324"/>
      <c r="I6788" s="324"/>
      <c r="J6788" s="364" t="s">
        <v>1613</v>
      </c>
      <c r="K6788" s="365">
        <v>0</v>
      </c>
      <c r="L6788" s="365"/>
      <c r="M6788" s="156">
        <f>BS!$I$12</f>
        <v>0</v>
      </c>
    </row>
    <row r="6789" spans="1:13" ht="11.25" customHeight="1" x14ac:dyDescent="0.2">
      <c r="A6789" s="320">
        <v>2025</v>
      </c>
      <c r="B6789" s="320">
        <v>2</v>
      </c>
      <c r="C6789" s="320">
        <v>13</v>
      </c>
      <c r="D6789" s="323">
        <f t="shared" si="775"/>
        <v>45701</v>
      </c>
      <c r="E6789" s="321">
        <f t="shared" ref="E6789" si="782">DATE(A6789,B6789,C6789)</f>
        <v>45701</v>
      </c>
      <c r="F6789" s="483"/>
      <c r="G6789" s="322" t="s">
        <v>86</v>
      </c>
      <c r="H6789" s="325"/>
      <c r="I6789" s="325"/>
      <c r="J6789" s="366" t="s">
        <v>1621</v>
      </c>
      <c r="K6789" s="367"/>
      <c r="L6789" s="367">
        <f>K6788</f>
        <v>0</v>
      </c>
    </row>
    <row r="6790" spans="1:13" ht="11.25" customHeight="1" x14ac:dyDescent="0.2">
      <c r="A6790" s="358">
        <v>2025</v>
      </c>
      <c r="B6790" s="358">
        <v>2</v>
      </c>
      <c r="C6790" s="358">
        <v>13</v>
      </c>
      <c r="D6790" s="312">
        <f t="shared" si="775"/>
        <v>45701</v>
      </c>
      <c r="E6790" s="313">
        <f>DATE(A6790,B6790,C6790)</f>
        <v>45701</v>
      </c>
      <c r="F6790" s="482" t="s">
        <v>1713</v>
      </c>
      <c r="G6790" s="314" t="s">
        <v>86</v>
      </c>
      <c r="H6790" s="324"/>
      <c r="I6790" s="324"/>
      <c r="J6790" s="364" t="s">
        <v>1622</v>
      </c>
      <c r="K6790" s="365">
        <v>309405.5700000003</v>
      </c>
      <c r="L6790" s="365"/>
      <c r="M6790" s="156">
        <f>BS!$I$15</f>
        <v>0</v>
      </c>
    </row>
    <row r="6791" spans="1:13" ht="11.25" customHeight="1" x14ac:dyDescent="0.2">
      <c r="A6791" s="320">
        <v>2025</v>
      </c>
      <c r="B6791" s="320">
        <v>2</v>
      </c>
      <c r="C6791" s="320">
        <v>13</v>
      </c>
      <c r="D6791" s="323">
        <f t="shared" si="775"/>
        <v>45701</v>
      </c>
      <c r="E6791" s="321">
        <f t="shared" ref="E6791:E6814" si="783">DATE(A6791,B6791,C6791)</f>
        <v>45701</v>
      </c>
      <c r="F6791" s="483"/>
      <c r="G6791" s="322" t="s">
        <v>86</v>
      </c>
      <c r="H6791" s="325"/>
      <c r="I6791" s="325"/>
      <c r="J6791" s="366" t="s">
        <v>1614</v>
      </c>
      <c r="K6791" s="367"/>
      <c r="L6791" s="367">
        <f>K6790</f>
        <v>309405.5700000003</v>
      </c>
    </row>
    <row r="6792" spans="1:13" ht="11.25" customHeight="1" x14ac:dyDescent="0.2">
      <c r="A6792" s="236">
        <v>2025</v>
      </c>
      <c r="B6792" s="236">
        <v>2</v>
      </c>
      <c r="C6792" s="236">
        <v>13</v>
      </c>
      <c r="D6792" s="237">
        <f t="shared" si="775"/>
        <v>45701</v>
      </c>
      <c r="E6792" s="238">
        <f t="shared" si="783"/>
        <v>45701</v>
      </c>
      <c r="F6792" s="476" t="s">
        <v>1118</v>
      </c>
      <c r="G6792" s="239" t="s">
        <v>86</v>
      </c>
      <c r="H6792" s="239"/>
      <c r="I6792" s="240"/>
      <c r="J6792" s="241" t="s">
        <v>98</v>
      </c>
      <c r="K6792" s="242">
        <v>100993.29999998212</v>
      </c>
      <c r="L6792" s="242"/>
      <c r="M6792" s="156">
        <f>BS!$I$8</f>
        <v>0</v>
      </c>
    </row>
    <row r="6793" spans="1:13" ht="11.25" customHeight="1" x14ac:dyDescent="0.2">
      <c r="A6793" s="243">
        <v>2025</v>
      </c>
      <c r="B6793" s="243">
        <v>2</v>
      </c>
      <c r="C6793" s="243">
        <v>13</v>
      </c>
      <c r="D6793" s="248">
        <f t="shared" ref="D6793:D6856" si="784">DATE(A6793,B6793,C6793)</f>
        <v>45701</v>
      </c>
      <c r="E6793" s="249">
        <f t="shared" si="783"/>
        <v>45701</v>
      </c>
      <c r="F6793" s="477"/>
      <c r="G6793" s="244" t="s">
        <v>86</v>
      </c>
      <c r="H6793" s="244"/>
      <c r="I6793" s="245"/>
      <c r="J6793" s="246" t="s">
        <v>82</v>
      </c>
      <c r="K6793" s="247"/>
      <c r="L6793" s="247">
        <f>K6792</f>
        <v>100993.29999998212</v>
      </c>
    </row>
    <row r="6794" spans="1:13" ht="11.25" customHeight="1" x14ac:dyDescent="0.2">
      <c r="A6794" s="236">
        <v>2025</v>
      </c>
      <c r="B6794" s="236">
        <v>2</v>
      </c>
      <c r="C6794" s="236">
        <v>13</v>
      </c>
      <c r="D6794" s="237">
        <f t="shared" si="784"/>
        <v>45701</v>
      </c>
      <c r="E6794" s="238">
        <f t="shared" si="783"/>
        <v>45701</v>
      </c>
      <c r="F6794" s="476" t="s">
        <v>1120</v>
      </c>
      <c r="G6794" s="239" t="s">
        <v>86</v>
      </c>
      <c r="H6794" s="239"/>
      <c r="I6794" s="240"/>
      <c r="J6794" s="241" t="s">
        <v>87</v>
      </c>
      <c r="K6794" s="242">
        <v>2747.2527472527472</v>
      </c>
      <c r="L6794" s="242"/>
    </row>
    <row r="6795" spans="1:13" ht="11.25" customHeight="1" x14ac:dyDescent="0.2">
      <c r="A6795" s="243">
        <v>2025</v>
      </c>
      <c r="B6795" s="243">
        <v>2</v>
      </c>
      <c r="C6795" s="243">
        <v>13</v>
      </c>
      <c r="D6795" s="248">
        <f t="shared" si="784"/>
        <v>45701</v>
      </c>
      <c r="E6795" s="249">
        <f t="shared" si="783"/>
        <v>45701</v>
      </c>
      <c r="F6795" s="477"/>
      <c r="G6795" s="244" t="s">
        <v>86</v>
      </c>
      <c r="H6795" s="244"/>
      <c r="I6795" s="245"/>
      <c r="J6795" s="246" t="s">
        <v>64</v>
      </c>
      <c r="K6795" s="247"/>
      <c r="L6795" s="247">
        <v>2747.2527472527472</v>
      </c>
    </row>
    <row r="6796" spans="1:13" ht="11.25" customHeight="1" x14ac:dyDescent="0.2">
      <c r="A6796" s="236">
        <v>2025</v>
      </c>
      <c r="B6796" s="236">
        <v>2</v>
      </c>
      <c r="C6796" s="236">
        <v>13</v>
      </c>
      <c r="D6796" s="237">
        <f t="shared" si="784"/>
        <v>45701</v>
      </c>
      <c r="E6796" s="238">
        <f t="shared" si="783"/>
        <v>45701</v>
      </c>
      <c r="F6796" s="476" t="s">
        <v>1121</v>
      </c>
      <c r="G6796" s="239" t="s">
        <v>86</v>
      </c>
      <c r="H6796" s="239"/>
      <c r="I6796" s="240"/>
      <c r="J6796" s="241" t="s">
        <v>89</v>
      </c>
      <c r="K6796" s="242">
        <f>M6796</f>
        <v>72856.320941944577</v>
      </c>
      <c r="L6796" s="242"/>
      <c r="M6796" s="156">
        <v>72856.320941944577</v>
      </c>
    </row>
    <row r="6797" spans="1:13" ht="11.25" customHeight="1" x14ac:dyDescent="0.2">
      <c r="A6797" s="243">
        <v>2025</v>
      </c>
      <c r="B6797" s="243">
        <v>2</v>
      </c>
      <c r="C6797" s="243">
        <v>13</v>
      </c>
      <c r="D6797" s="248">
        <f t="shared" si="784"/>
        <v>45701</v>
      </c>
      <c r="E6797" s="249">
        <f t="shared" si="783"/>
        <v>45701</v>
      </c>
      <c r="F6797" s="477"/>
      <c r="G6797" s="244" t="s">
        <v>86</v>
      </c>
      <c r="H6797" s="244"/>
      <c r="I6797" s="245"/>
      <c r="J6797" s="246" t="s">
        <v>50</v>
      </c>
      <c r="K6797" s="247"/>
      <c r="L6797" s="247">
        <f>K6796</f>
        <v>72856.320941944577</v>
      </c>
      <c r="M6797" s="156">
        <v>3402.4314317126136</v>
      </c>
    </row>
    <row r="6798" spans="1:13" ht="11.25" customHeight="1" x14ac:dyDescent="0.2">
      <c r="A6798" s="236">
        <v>2025</v>
      </c>
      <c r="B6798" s="236">
        <v>2</v>
      </c>
      <c r="C6798" s="236">
        <v>13</v>
      </c>
      <c r="D6798" s="237">
        <f t="shared" si="784"/>
        <v>45701</v>
      </c>
      <c r="E6798" s="238">
        <f t="shared" si="783"/>
        <v>45701</v>
      </c>
      <c r="F6798" s="476" t="s">
        <v>1122</v>
      </c>
      <c r="G6798" s="239" t="s">
        <v>86</v>
      </c>
      <c r="H6798" s="239"/>
      <c r="I6798" s="240"/>
      <c r="J6798" s="241" t="s">
        <v>91</v>
      </c>
      <c r="K6798" s="242">
        <f>M6797</f>
        <v>3402.4314317126136</v>
      </c>
      <c r="L6798" s="242"/>
    </row>
    <row r="6799" spans="1:13" ht="11.25" customHeight="1" x14ac:dyDescent="0.2">
      <c r="A6799" s="243">
        <v>2025</v>
      </c>
      <c r="B6799" s="243">
        <v>2</v>
      </c>
      <c r="C6799" s="243">
        <v>13</v>
      </c>
      <c r="D6799" s="248">
        <f t="shared" si="784"/>
        <v>45701</v>
      </c>
      <c r="E6799" s="249">
        <f t="shared" si="783"/>
        <v>45701</v>
      </c>
      <c r="F6799" s="477"/>
      <c r="G6799" s="244" t="s">
        <v>86</v>
      </c>
      <c r="H6799" s="244"/>
      <c r="I6799" s="245"/>
      <c r="J6799" s="246" t="s">
        <v>51</v>
      </c>
      <c r="K6799" s="247"/>
      <c r="L6799" s="247">
        <f>K6798</f>
        <v>3402.4314317126136</v>
      </c>
    </row>
    <row r="6800" spans="1:13" ht="11.25" customHeight="1" x14ac:dyDescent="0.2">
      <c r="A6800" s="221">
        <v>2025</v>
      </c>
      <c r="B6800" s="221">
        <v>2</v>
      </c>
      <c r="C6800" s="231">
        <v>16</v>
      </c>
      <c r="D6800" s="231">
        <f t="shared" si="784"/>
        <v>45704</v>
      </c>
      <c r="E6800" s="233">
        <f>DATE(A6800,B6800,C6800)</f>
        <v>45704</v>
      </c>
      <c r="F6800" s="478" t="s">
        <v>1814</v>
      </c>
      <c r="G6800" s="222" t="s">
        <v>1111</v>
      </c>
      <c r="H6800" s="223"/>
      <c r="I6800" s="223"/>
      <c r="J6800" s="224" t="s">
        <v>961</v>
      </c>
      <c r="K6800" s="225">
        <v>494488.48</v>
      </c>
      <c r="L6800" s="225"/>
    </row>
    <row r="6801" spans="1:12" ht="11.25" customHeight="1" x14ac:dyDescent="0.2">
      <c r="A6801" s="226">
        <v>2025</v>
      </c>
      <c r="B6801" s="226">
        <v>2</v>
      </c>
      <c r="C6801" s="232">
        <v>16</v>
      </c>
      <c r="D6801" s="232">
        <f t="shared" si="784"/>
        <v>45704</v>
      </c>
      <c r="E6801" s="234">
        <f>DATE(A6801,B6801,C6801)</f>
        <v>45704</v>
      </c>
      <c r="F6801" s="479"/>
      <c r="G6801" s="227" t="s">
        <v>1111</v>
      </c>
      <c r="H6801" s="228"/>
      <c r="I6801" s="228"/>
      <c r="J6801" s="229" t="s">
        <v>55</v>
      </c>
      <c r="K6801" s="230"/>
      <c r="L6801" s="230">
        <v>494488.48</v>
      </c>
    </row>
    <row r="6802" spans="1:12" ht="11.25" customHeight="1" x14ac:dyDescent="0.2">
      <c r="A6802" s="221">
        <v>2025</v>
      </c>
      <c r="B6802" s="221">
        <v>2</v>
      </c>
      <c r="C6802" s="231">
        <v>16</v>
      </c>
      <c r="D6802" s="231">
        <f t="shared" si="784"/>
        <v>45704</v>
      </c>
      <c r="E6802" s="233">
        <f t="shared" ref="E6802:E6803" si="785">DATE(A6802,B6802,C6802)</f>
        <v>45704</v>
      </c>
      <c r="F6802" s="478" t="s">
        <v>1670</v>
      </c>
      <c r="G6802" s="222" t="s">
        <v>1111</v>
      </c>
      <c r="H6802" s="223"/>
      <c r="I6802" s="223"/>
      <c r="J6802" s="224" t="s">
        <v>63</v>
      </c>
      <c r="K6802" s="225">
        <v>58</v>
      </c>
      <c r="L6802" s="225"/>
    </row>
    <row r="6803" spans="1:12" ht="11.25" customHeight="1" x14ac:dyDescent="0.2">
      <c r="A6803" s="226">
        <v>2025</v>
      </c>
      <c r="B6803" s="226">
        <v>2</v>
      </c>
      <c r="C6803" s="232">
        <v>16</v>
      </c>
      <c r="D6803" s="232">
        <f t="shared" si="784"/>
        <v>45704</v>
      </c>
      <c r="E6803" s="234">
        <f t="shared" si="785"/>
        <v>45704</v>
      </c>
      <c r="F6803" s="479"/>
      <c r="G6803" s="227" t="s">
        <v>1111</v>
      </c>
      <c r="H6803" s="228"/>
      <c r="I6803" s="228"/>
      <c r="J6803" s="229" t="s">
        <v>55</v>
      </c>
      <c r="K6803" s="230"/>
      <c r="L6803" s="230">
        <v>58</v>
      </c>
    </row>
    <row r="6804" spans="1:12" ht="11.25" customHeight="1" x14ac:dyDescent="0.2">
      <c r="A6804" s="221">
        <v>2025</v>
      </c>
      <c r="B6804" s="221">
        <v>2</v>
      </c>
      <c r="C6804" s="221">
        <v>17</v>
      </c>
      <c r="D6804" s="221">
        <f t="shared" si="784"/>
        <v>45705</v>
      </c>
      <c r="E6804" s="233">
        <f t="shared" si="783"/>
        <v>45705</v>
      </c>
      <c r="F6804" s="478" t="s">
        <v>1841</v>
      </c>
      <c r="G6804" s="222" t="s">
        <v>1111</v>
      </c>
      <c r="H6804" s="222"/>
      <c r="I6804" s="223"/>
      <c r="J6804" s="224" t="s">
        <v>50</v>
      </c>
      <c r="K6804" s="225">
        <v>842977.53843998746</v>
      </c>
      <c r="L6804" s="225"/>
    </row>
    <row r="6805" spans="1:12" ht="11.25" customHeight="1" x14ac:dyDescent="0.2">
      <c r="A6805" s="164">
        <v>2025</v>
      </c>
      <c r="B6805" s="164">
        <v>2</v>
      </c>
      <c r="C6805" s="164">
        <v>17</v>
      </c>
      <c r="D6805" s="156">
        <f t="shared" si="784"/>
        <v>45705</v>
      </c>
      <c r="E6805" s="235">
        <f t="shared" si="783"/>
        <v>45705</v>
      </c>
      <c r="F6805" s="480"/>
      <c r="G6805" s="208" t="s">
        <v>1111</v>
      </c>
      <c r="J6805" s="165" t="s">
        <v>478</v>
      </c>
      <c r="K6805" s="205"/>
      <c r="L6805" s="205">
        <v>126446.63076599811</v>
      </c>
    </row>
    <row r="6806" spans="1:12" ht="11.25" customHeight="1" x14ac:dyDescent="0.2">
      <c r="A6806" s="226">
        <v>2025</v>
      </c>
      <c r="B6806" s="226">
        <v>2</v>
      </c>
      <c r="C6806" s="226">
        <v>17</v>
      </c>
      <c r="D6806" s="226">
        <f t="shared" si="784"/>
        <v>45705</v>
      </c>
      <c r="E6806" s="234">
        <f t="shared" si="783"/>
        <v>45705</v>
      </c>
      <c r="F6806" s="479"/>
      <c r="G6806" s="227" t="s">
        <v>1111</v>
      </c>
      <c r="H6806" s="227"/>
      <c r="I6806" s="228"/>
      <c r="J6806" s="229" t="s">
        <v>55</v>
      </c>
      <c r="K6806" s="230"/>
      <c r="L6806" s="230">
        <v>716530.90767398931</v>
      </c>
    </row>
    <row r="6807" spans="1:12" ht="11.25" customHeight="1" x14ac:dyDescent="0.2">
      <c r="A6807" s="221">
        <v>2025</v>
      </c>
      <c r="B6807" s="221">
        <v>2</v>
      </c>
      <c r="C6807" s="221">
        <v>17</v>
      </c>
      <c r="D6807" s="231">
        <f t="shared" si="784"/>
        <v>45705</v>
      </c>
      <c r="E6807" s="233">
        <f t="shared" si="783"/>
        <v>45705</v>
      </c>
      <c r="F6807" s="478" t="s">
        <v>1115</v>
      </c>
      <c r="G6807" s="222" t="s">
        <v>1111</v>
      </c>
      <c r="H6807" s="223"/>
      <c r="I6807" s="223" t="s">
        <v>320</v>
      </c>
      <c r="J6807" s="224" t="s">
        <v>14</v>
      </c>
      <c r="K6807" s="167">
        <v>366950</v>
      </c>
      <c r="L6807" s="225"/>
    </row>
    <row r="6808" spans="1:12" ht="11.25" customHeight="1" x14ac:dyDescent="0.2">
      <c r="A6808" s="164">
        <v>2025</v>
      </c>
      <c r="B6808" s="164">
        <v>2</v>
      </c>
      <c r="C6808" s="164">
        <v>17</v>
      </c>
      <c r="D6808" s="156">
        <f t="shared" si="784"/>
        <v>45705</v>
      </c>
      <c r="E6808" s="235">
        <f t="shared" si="783"/>
        <v>45705</v>
      </c>
      <c r="F6808" s="480"/>
      <c r="G6808" s="208" t="s">
        <v>1111</v>
      </c>
      <c r="I6808" s="206" t="s">
        <v>320</v>
      </c>
      <c r="J6808" s="165" t="s">
        <v>1112</v>
      </c>
      <c r="K6808" s="205">
        <v>18050</v>
      </c>
      <c r="L6808" s="156"/>
    </row>
    <row r="6809" spans="1:12" ht="11.25" customHeight="1" x14ac:dyDescent="0.2">
      <c r="A6809" s="226">
        <v>2025</v>
      </c>
      <c r="B6809" s="226">
        <v>2</v>
      </c>
      <c r="C6809" s="226">
        <v>17</v>
      </c>
      <c r="D6809" s="232">
        <f t="shared" si="784"/>
        <v>45705</v>
      </c>
      <c r="E6809" s="234">
        <f t="shared" si="783"/>
        <v>45705</v>
      </c>
      <c r="F6809" s="479"/>
      <c r="G6809" s="227" t="s">
        <v>1111</v>
      </c>
      <c r="H6809" s="228"/>
      <c r="I6809" s="228" t="s">
        <v>320</v>
      </c>
      <c r="J6809" s="229" t="s">
        <v>55</v>
      </c>
      <c r="K6809" s="230"/>
      <c r="L6809" s="230">
        <v>385000</v>
      </c>
    </row>
    <row r="6810" spans="1:12" ht="11.25" customHeight="1" x14ac:dyDescent="0.2">
      <c r="A6810" s="221">
        <v>2025</v>
      </c>
      <c r="B6810" s="221">
        <v>2</v>
      </c>
      <c r="C6810" s="221">
        <v>17</v>
      </c>
      <c r="D6810" s="221">
        <f t="shared" si="784"/>
        <v>45705</v>
      </c>
      <c r="E6810" s="233">
        <f t="shared" si="783"/>
        <v>45705</v>
      </c>
      <c r="F6810" s="478" t="s">
        <v>1769</v>
      </c>
      <c r="G6810" s="222" t="s">
        <v>86</v>
      </c>
      <c r="H6810" s="222"/>
      <c r="I6810" s="223"/>
      <c r="J6810" s="224" t="s">
        <v>80</v>
      </c>
      <c r="K6810" s="225">
        <v>567550</v>
      </c>
      <c r="L6810" s="225"/>
    </row>
    <row r="6811" spans="1:12" ht="11.25" customHeight="1" x14ac:dyDescent="0.2">
      <c r="A6811" s="164">
        <v>2025</v>
      </c>
      <c r="B6811" s="164">
        <v>2</v>
      </c>
      <c r="C6811" s="164">
        <v>17</v>
      </c>
      <c r="D6811" s="164">
        <f t="shared" si="784"/>
        <v>45705</v>
      </c>
      <c r="E6811" s="235">
        <f t="shared" si="783"/>
        <v>45705</v>
      </c>
      <c r="F6811" s="480"/>
      <c r="G6811" s="208" t="s">
        <v>86</v>
      </c>
      <c r="H6811" s="208"/>
      <c r="J6811" s="165" t="s">
        <v>960</v>
      </c>
      <c r="K6811" s="205">
        <v>2264.5</v>
      </c>
      <c r="L6811" s="205"/>
    </row>
    <row r="6812" spans="1:12" ht="11.25" customHeight="1" x14ac:dyDescent="0.2">
      <c r="A6812" s="164">
        <v>2025</v>
      </c>
      <c r="B6812" s="164">
        <v>2</v>
      </c>
      <c r="C6812" s="164">
        <v>17</v>
      </c>
      <c r="D6812" s="164">
        <f t="shared" si="784"/>
        <v>45705</v>
      </c>
      <c r="E6812" s="235">
        <f t="shared" si="783"/>
        <v>45705</v>
      </c>
      <c r="F6812" s="480"/>
      <c r="G6812" s="208" t="s">
        <v>86</v>
      </c>
      <c r="H6812" s="208"/>
      <c r="J6812" s="165" t="s">
        <v>199</v>
      </c>
      <c r="K6812" s="205">
        <v>120235</v>
      </c>
      <c r="L6812" s="205"/>
    </row>
    <row r="6813" spans="1:12" ht="11.25" customHeight="1" x14ac:dyDescent="0.2">
      <c r="A6813" s="164">
        <v>2025</v>
      </c>
      <c r="B6813" s="164">
        <v>2</v>
      </c>
      <c r="C6813" s="164">
        <v>17</v>
      </c>
      <c r="D6813" s="164">
        <f t="shared" si="784"/>
        <v>45705</v>
      </c>
      <c r="E6813" s="235">
        <f t="shared" si="783"/>
        <v>45705</v>
      </c>
      <c r="F6813" s="480"/>
      <c r="G6813" s="208" t="s">
        <v>86</v>
      </c>
      <c r="H6813" s="208"/>
      <c r="J6813" s="165" t="s">
        <v>200</v>
      </c>
      <c r="K6813" s="263"/>
      <c r="L6813" s="205">
        <v>29750.080000000002</v>
      </c>
    </row>
    <row r="6814" spans="1:12" ht="11.25" customHeight="1" x14ac:dyDescent="0.2">
      <c r="A6814" s="226">
        <v>2025</v>
      </c>
      <c r="B6814" s="226">
        <v>2</v>
      </c>
      <c r="C6814" s="226">
        <v>17</v>
      </c>
      <c r="D6814" s="226">
        <f t="shared" si="784"/>
        <v>45705</v>
      </c>
      <c r="E6814" s="234">
        <f t="shared" si="783"/>
        <v>45705</v>
      </c>
      <c r="F6814" s="479"/>
      <c r="G6814" s="227" t="s">
        <v>86</v>
      </c>
      <c r="H6814" s="228"/>
      <c r="I6814" s="228"/>
      <c r="J6814" s="229" t="s">
        <v>80</v>
      </c>
      <c r="K6814" s="230"/>
      <c r="L6814" s="230">
        <v>660299.42000000004</v>
      </c>
    </row>
    <row r="6815" spans="1:12" ht="11.25" customHeight="1" x14ac:dyDescent="0.2">
      <c r="A6815" s="221">
        <v>2025</v>
      </c>
      <c r="B6815" s="221">
        <v>2</v>
      </c>
      <c r="C6815" s="221">
        <v>18</v>
      </c>
      <c r="D6815" s="221">
        <f t="shared" si="784"/>
        <v>45706</v>
      </c>
      <c r="E6815" s="233">
        <f t="shared" ref="E6815:E6823" si="786">DATE(A6815,B6815,C6815)</f>
        <v>45706</v>
      </c>
      <c r="F6815" s="478" t="s">
        <v>1769</v>
      </c>
      <c r="G6815" s="222" t="s">
        <v>86</v>
      </c>
      <c r="H6815" s="222"/>
      <c r="I6815" s="223"/>
      <c r="J6815" s="224" t="s">
        <v>80</v>
      </c>
      <c r="K6815" s="225">
        <v>565700</v>
      </c>
      <c r="L6815" s="225"/>
    </row>
    <row r="6816" spans="1:12" ht="11.25" customHeight="1" x14ac:dyDescent="0.2">
      <c r="A6816" s="164">
        <v>2025</v>
      </c>
      <c r="B6816" s="164">
        <v>2</v>
      </c>
      <c r="C6816" s="164">
        <v>18</v>
      </c>
      <c r="D6816" s="164">
        <f t="shared" si="784"/>
        <v>45706</v>
      </c>
      <c r="E6816" s="235">
        <f t="shared" si="786"/>
        <v>45706</v>
      </c>
      <c r="F6816" s="480"/>
      <c r="G6816" s="208" t="s">
        <v>86</v>
      </c>
      <c r="H6816" s="208"/>
      <c r="J6816" s="165" t="s">
        <v>960</v>
      </c>
      <c r="K6816" s="205">
        <v>1330.92</v>
      </c>
      <c r="L6816" s="205"/>
    </row>
    <row r="6817" spans="1:13" ht="11.25" customHeight="1" x14ac:dyDescent="0.2">
      <c r="A6817" s="164">
        <v>2025</v>
      </c>
      <c r="B6817" s="164">
        <v>2</v>
      </c>
      <c r="C6817" s="164">
        <v>18</v>
      </c>
      <c r="D6817" s="164">
        <f t="shared" si="784"/>
        <v>45706</v>
      </c>
      <c r="E6817" s="235">
        <f t="shared" si="786"/>
        <v>45706</v>
      </c>
      <c r="F6817" s="480"/>
      <c r="G6817" s="208" t="s">
        <v>86</v>
      </c>
      <c r="H6817" s="208"/>
      <c r="J6817" s="165" t="s">
        <v>143</v>
      </c>
      <c r="K6817" s="205"/>
      <c r="L6817" s="205">
        <v>393330.92</v>
      </c>
    </row>
    <row r="6818" spans="1:13" ht="11.25" customHeight="1" x14ac:dyDescent="0.2">
      <c r="A6818" s="164">
        <v>2025</v>
      </c>
      <c r="B6818" s="164">
        <v>2</v>
      </c>
      <c r="C6818" s="164">
        <v>18</v>
      </c>
      <c r="D6818" s="164">
        <f t="shared" si="784"/>
        <v>45706</v>
      </c>
      <c r="E6818" s="235">
        <f t="shared" si="786"/>
        <v>45706</v>
      </c>
      <c r="F6818" s="480"/>
      <c r="G6818" s="208" t="s">
        <v>86</v>
      </c>
      <c r="H6818" s="208"/>
      <c r="J6818" s="165" t="s">
        <v>200</v>
      </c>
      <c r="K6818" s="263"/>
      <c r="L6818" s="205">
        <v>8625.14</v>
      </c>
    </row>
    <row r="6819" spans="1:13" ht="11.25" customHeight="1" x14ac:dyDescent="0.2">
      <c r="A6819" s="226">
        <v>2025</v>
      </c>
      <c r="B6819" s="226">
        <v>2</v>
      </c>
      <c r="C6819" s="226">
        <v>18</v>
      </c>
      <c r="D6819" s="226">
        <f t="shared" si="784"/>
        <v>45706</v>
      </c>
      <c r="E6819" s="234">
        <f t="shared" si="786"/>
        <v>45706</v>
      </c>
      <c r="F6819" s="479"/>
      <c r="G6819" s="227" t="s">
        <v>86</v>
      </c>
      <c r="H6819" s="228"/>
      <c r="I6819" s="228"/>
      <c r="J6819" s="229" t="s">
        <v>80</v>
      </c>
      <c r="K6819" s="230"/>
      <c r="L6819" s="230">
        <v>165074.85999999999</v>
      </c>
    </row>
    <row r="6820" spans="1:13" ht="11.25" customHeight="1" x14ac:dyDescent="0.2">
      <c r="A6820" s="221">
        <v>2025</v>
      </c>
      <c r="B6820" s="221">
        <v>2</v>
      </c>
      <c r="C6820" s="221">
        <v>18</v>
      </c>
      <c r="D6820" s="221">
        <f t="shared" si="784"/>
        <v>45706</v>
      </c>
      <c r="E6820" s="233">
        <f t="shared" si="786"/>
        <v>45706</v>
      </c>
      <c r="F6820" s="478" t="s">
        <v>1842</v>
      </c>
      <c r="G6820" s="222" t="s">
        <v>86</v>
      </c>
      <c r="H6820" s="222"/>
      <c r="I6820" s="223"/>
      <c r="J6820" s="165" t="s">
        <v>199</v>
      </c>
      <c r="K6820" s="225">
        <v>691364.20039999997</v>
      </c>
      <c r="L6820" s="225"/>
    </row>
    <row r="6821" spans="1:13" ht="11.25" customHeight="1" x14ac:dyDescent="0.2">
      <c r="A6821" s="164">
        <v>2025</v>
      </c>
      <c r="B6821" s="164">
        <v>2</v>
      </c>
      <c r="C6821" s="164">
        <v>18</v>
      </c>
      <c r="D6821" s="164">
        <f t="shared" si="784"/>
        <v>45706</v>
      </c>
      <c r="E6821" s="235">
        <f t="shared" si="786"/>
        <v>45706</v>
      </c>
      <c r="F6821" s="480"/>
      <c r="G6821" s="208" t="s">
        <v>86</v>
      </c>
      <c r="H6821" s="208"/>
      <c r="J6821" s="165" t="s">
        <v>960</v>
      </c>
      <c r="K6821" s="205">
        <v>1246.6995999999999</v>
      </c>
      <c r="L6821" s="205"/>
      <c r="M6821" s="401"/>
    </row>
    <row r="6822" spans="1:13" ht="11.25" customHeight="1" x14ac:dyDescent="0.2">
      <c r="A6822" s="164">
        <v>2025</v>
      </c>
      <c r="B6822" s="164">
        <v>2</v>
      </c>
      <c r="C6822" s="164">
        <v>18</v>
      </c>
      <c r="D6822" s="164">
        <f t="shared" si="784"/>
        <v>45706</v>
      </c>
      <c r="E6822" s="235">
        <f t="shared" si="786"/>
        <v>45706</v>
      </c>
      <c r="F6822" s="480"/>
      <c r="G6822" s="208" t="s">
        <v>86</v>
      </c>
      <c r="H6822" s="208"/>
      <c r="J6822" s="165" t="s">
        <v>200</v>
      </c>
      <c r="K6822" s="205"/>
      <c r="L6822" s="205">
        <v>32311.48</v>
      </c>
    </row>
    <row r="6823" spans="1:13" ht="11.25" customHeight="1" x14ac:dyDescent="0.2">
      <c r="A6823" s="226">
        <v>2025</v>
      </c>
      <c r="B6823" s="226">
        <v>2</v>
      </c>
      <c r="C6823" s="226">
        <v>18</v>
      </c>
      <c r="D6823" s="226">
        <f t="shared" si="784"/>
        <v>45706</v>
      </c>
      <c r="E6823" s="234">
        <f t="shared" si="786"/>
        <v>45706</v>
      </c>
      <c r="F6823" s="479"/>
      <c r="G6823" s="227" t="s">
        <v>86</v>
      </c>
      <c r="H6823" s="228"/>
      <c r="I6823" s="228"/>
      <c r="J6823" s="229" t="s">
        <v>80</v>
      </c>
      <c r="K6823" s="230"/>
      <c r="L6823" s="230">
        <v>660299.42000000004</v>
      </c>
    </row>
    <row r="6824" spans="1:13" ht="11.25" customHeight="1" x14ac:dyDescent="0.2">
      <c r="A6824" s="221">
        <v>2025</v>
      </c>
      <c r="B6824" s="221">
        <v>2</v>
      </c>
      <c r="C6824" s="231">
        <v>19</v>
      </c>
      <c r="D6824" s="231">
        <f t="shared" si="784"/>
        <v>45707</v>
      </c>
      <c r="E6824" s="233">
        <f>DATE(A6824,B6824,C6824)</f>
        <v>45707</v>
      </c>
      <c r="F6824" s="478" t="s">
        <v>1814</v>
      </c>
      <c r="G6824" s="222" t="s">
        <v>1111</v>
      </c>
      <c r="H6824" s="223"/>
      <c r="I6824" s="223"/>
      <c r="J6824" s="224" t="s">
        <v>961</v>
      </c>
      <c r="K6824" s="225">
        <v>393330.92</v>
      </c>
      <c r="L6824" s="225"/>
    </row>
    <row r="6825" spans="1:13" ht="11.25" customHeight="1" x14ac:dyDescent="0.2">
      <c r="A6825" s="226">
        <v>2025</v>
      </c>
      <c r="B6825" s="226">
        <v>2</v>
      </c>
      <c r="C6825" s="232">
        <v>19</v>
      </c>
      <c r="D6825" s="232">
        <f t="shared" si="784"/>
        <v>45707</v>
      </c>
      <c r="E6825" s="234">
        <f>DATE(A6825,B6825,C6825)</f>
        <v>45707</v>
      </c>
      <c r="F6825" s="479"/>
      <c r="G6825" s="227" t="s">
        <v>1111</v>
      </c>
      <c r="H6825" s="228"/>
      <c r="I6825" s="228"/>
      <c r="J6825" s="229" t="s">
        <v>55</v>
      </c>
      <c r="K6825" s="230"/>
      <c r="L6825" s="230">
        <v>393330.92</v>
      </c>
    </row>
    <row r="6826" spans="1:13" ht="11.25" customHeight="1" x14ac:dyDescent="0.2">
      <c r="A6826" s="164">
        <v>2025</v>
      </c>
      <c r="B6826" s="164">
        <v>2</v>
      </c>
      <c r="C6826" s="221">
        <v>19</v>
      </c>
      <c r="D6826" s="156">
        <f t="shared" si="784"/>
        <v>45707</v>
      </c>
      <c r="E6826" s="235">
        <f t="shared" ref="E6826:E6847" si="787">DATE(A6826,B6826,C6826)</f>
        <v>45707</v>
      </c>
      <c r="F6826" s="478" t="s">
        <v>1808</v>
      </c>
      <c r="G6826" s="208" t="s">
        <v>1111</v>
      </c>
      <c r="J6826" s="165" t="s">
        <v>478</v>
      </c>
      <c r="K6826" s="205">
        <v>5390.97</v>
      </c>
      <c r="L6826" s="205"/>
    </row>
    <row r="6827" spans="1:13" ht="11.25" customHeight="1" x14ac:dyDescent="0.2">
      <c r="A6827" s="164">
        <v>2025</v>
      </c>
      <c r="B6827" s="164">
        <v>2</v>
      </c>
      <c r="C6827" s="164">
        <v>19</v>
      </c>
      <c r="D6827" s="156">
        <f t="shared" si="784"/>
        <v>45707</v>
      </c>
      <c r="E6827" s="235">
        <f t="shared" si="787"/>
        <v>45707</v>
      </c>
      <c r="F6827" s="480"/>
      <c r="G6827" s="208" t="s">
        <v>1111</v>
      </c>
      <c r="J6827" s="165" t="s">
        <v>478</v>
      </c>
      <c r="K6827" s="205">
        <v>56.01</v>
      </c>
      <c r="L6827" s="205"/>
    </row>
    <row r="6828" spans="1:13" ht="11.25" customHeight="1" x14ac:dyDescent="0.2">
      <c r="A6828" s="226">
        <v>2025</v>
      </c>
      <c r="B6828" s="226">
        <v>2</v>
      </c>
      <c r="C6828" s="226">
        <v>19</v>
      </c>
      <c r="D6828" s="232">
        <f t="shared" si="784"/>
        <v>45707</v>
      </c>
      <c r="E6828" s="234">
        <f t="shared" si="787"/>
        <v>45707</v>
      </c>
      <c r="F6828" s="479"/>
      <c r="G6828" s="227" t="s">
        <v>1111</v>
      </c>
      <c r="H6828" s="228"/>
      <c r="I6828" s="228"/>
      <c r="J6828" s="229" t="s">
        <v>55</v>
      </c>
      <c r="K6828" s="230"/>
      <c r="L6828" s="230">
        <v>5446.98</v>
      </c>
    </row>
    <row r="6829" spans="1:13" ht="11.25" customHeight="1" x14ac:dyDescent="0.2">
      <c r="A6829" s="221">
        <v>2025</v>
      </c>
      <c r="B6829" s="221">
        <v>2</v>
      </c>
      <c r="C6829" s="231">
        <v>19</v>
      </c>
      <c r="D6829" s="231">
        <f t="shared" si="784"/>
        <v>45707</v>
      </c>
      <c r="E6829" s="233">
        <f t="shared" si="787"/>
        <v>45707</v>
      </c>
      <c r="F6829" s="478" t="s">
        <v>1670</v>
      </c>
      <c r="G6829" s="222" t="s">
        <v>1111</v>
      </c>
      <c r="H6829" s="223"/>
      <c r="I6829" s="223"/>
      <c r="J6829" s="224" t="s">
        <v>63</v>
      </c>
      <c r="K6829" s="225">
        <v>58</v>
      </c>
      <c r="L6829" s="225"/>
    </row>
    <row r="6830" spans="1:13" ht="11.25" customHeight="1" x14ac:dyDescent="0.2">
      <c r="A6830" s="226">
        <v>2025</v>
      </c>
      <c r="B6830" s="226">
        <v>2</v>
      </c>
      <c r="C6830" s="232">
        <v>19</v>
      </c>
      <c r="D6830" s="232">
        <f t="shared" si="784"/>
        <v>45707</v>
      </c>
      <c r="E6830" s="234">
        <f t="shared" si="787"/>
        <v>45707</v>
      </c>
      <c r="F6830" s="479"/>
      <c r="G6830" s="227" t="s">
        <v>1111</v>
      </c>
      <c r="H6830" s="228"/>
      <c r="I6830" s="228"/>
      <c r="J6830" s="229" t="s">
        <v>55</v>
      </c>
      <c r="K6830" s="230"/>
      <c r="L6830" s="230">
        <v>58</v>
      </c>
    </row>
    <row r="6831" spans="1:13" ht="11.25" customHeight="1" x14ac:dyDescent="0.2">
      <c r="A6831" s="221">
        <v>2025</v>
      </c>
      <c r="B6831" s="221">
        <v>2</v>
      </c>
      <c r="C6831" s="231">
        <v>20</v>
      </c>
      <c r="D6831" s="231">
        <f t="shared" si="784"/>
        <v>45708</v>
      </c>
      <c r="E6831" s="233">
        <f t="shared" si="787"/>
        <v>45708</v>
      </c>
      <c r="F6831" s="478" t="s">
        <v>1843</v>
      </c>
      <c r="G6831" s="222" t="s">
        <v>1111</v>
      </c>
      <c r="H6831" s="223"/>
      <c r="I6831" s="223"/>
      <c r="J6831" s="224" t="s">
        <v>55</v>
      </c>
      <c r="K6831" s="225">
        <v>120235</v>
      </c>
      <c r="L6831" s="225"/>
    </row>
    <row r="6832" spans="1:13" ht="11.25" customHeight="1" x14ac:dyDescent="0.2">
      <c r="A6832" s="226">
        <v>2025</v>
      </c>
      <c r="B6832" s="226">
        <v>2</v>
      </c>
      <c r="C6832" s="232">
        <v>20</v>
      </c>
      <c r="D6832" s="232">
        <f t="shared" si="784"/>
        <v>45708</v>
      </c>
      <c r="E6832" s="234">
        <f t="shared" si="787"/>
        <v>45708</v>
      </c>
      <c r="F6832" s="479"/>
      <c r="G6832" s="227" t="s">
        <v>1111</v>
      </c>
      <c r="H6832" s="228"/>
      <c r="I6832" s="228"/>
      <c r="J6832" s="229" t="s">
        <v>199</v>
      </c>
      <c r="K6832" s="230"/>
      <c r="L6832" s="230">
        <v>120235</v>
      </c>
    </row>
    <row r="6833" spans="1:13" ht="11.25" customHeight="1" x14ac:dyDescent="0.2">
      <c r="A6833" s="221">
        <v>2025</v>
      </c>
      <c r="B6833" s="221">
        <v>2</v>
      </c>
      <c r="C6833" s="221">
        <v>20</v>
      </c>
      <c r="D6833" s="221">
        <f t="shared" si="784"/>
        <v>45708</v>
      </c>
      <c r="E6833" s="233">
        <f t="shared" si="787"/>
        <v>45708</v>
      </c>
      <c r="F6833" s="478" t="s">
        <v>1593</v>
      </c>
      <c r="G6833" s="222" t="s">
        <v>86</v>
      </c>
      <c r="H6833" s="222"/>
      <c r="I6833" s="223"/>
      <c r="J6833" s="224" t="s">
        <v>80</v>
      </c>
      <c r="K6833" s="225">
        <v>432000</v>
      </c>
      <c r="L6833" s="225"/>
    </row>
    <row r="6834" spans="1:13" ht="11.25" customHeight="1" x14ac:dyDescent="0.2">
      <c r="A6834" s="164">
        <v>2025</v>
      </c>
      <c r="B6834" s="164">
        <v>2</v>
      </c>
      <c r="C6834" s="164">
        <v>20</v>
      </c>
      <c r="D6834" s="164">
        <f t="shared" si="784"/>
        <v>45708</v>
      </c>
      <c r="E6834" s="235">
        <f t="shared" si="787"/>
        <v>45708</v>
      </c>
      <c r="F6834" s="480"/>
      <c r="G6834" s="208" t="s">
        <v>86</v>
      </c>
      <c r="H6834" s="208"/>
      <c r="J6834" s="165" t="s">
        <v>960</v>
      </c>
      <c r="K6834" s="205">
        <v>777.6</v>
      </c>
      <c r="L6834" s="205"/>
    </row>
    <row r="6835" spans="1:13" ht="11.25" customHeight="1" x14ac:dyDescent="0.2">
      <c r="A6835" s="226">
        <v>2025</v>
      </c>
      <c r="B6835" s="226">
        <v>2</v>
      </c>
      <c r="C6835" s="226">
        <v>20</v>
      </c>
      <c r="D6835" s="226">
        <f t="shared" si="784"/>
        <v>45708</v>
      </c>
      <c r="E6835" s="234">
        <f t="shared" si="787"/>
        <v>45708</v>
      </c>
      <c r="F6835" s="479"/>
      <c r="G6835" s="227" t="s">
        <v>86</v>
      </c>
      <c r="H6835" s="228"/>
      <c r="I6835" s="228"/>
      <c r="J6835" s="229" t="s">
        <v>143</v>
      </c>
      <c r="K6835" s="230"/>
      <c r="L6835" s="230">
        <v>432777.6</v>
      </c>
    </row>
    <row r="6836" spans="1:13" ht="11.25" customHeight="1" x14ac:dyDescent="0.2">
      <c r="A6836" s="221">
        <v>2025</v>
      </c>
      <c r="B6836" s="221">
        <v>2</v>
      </c>
      <c r="C6836" s="231">
        <v>20</v>
      </c>
      <c r="D6836" s="231">
        <f t="shared" si="784"/>
        <v>45708</v>
      </c>
      <c r="E6836" s="233">
        <f t="shared" ref="E6836:E6837" si="788">DATE(A6836,B6836,C6836)</f>
        <v>45708</v>
      </c>
      <c r="F6836" s="478" t="s">
        <v>1844</v>
      </c>
      <c r="G6836" s="222" t="s">
        <v>1111</v>
      </c>
      <c r="H6836" s="223"/>
      <c r="I6836" s="223"/>
      <c r="J6836" s="224" t="s">
        <v>55</v>
      </c>
      <c r="K6836" s="225">
        <v>691364.2</v>
      </c>
      <c r="L6836" s="225"/>
    </row>
    <row r="6837" spans="1:13" ht="11.25" customHeight="1" x14ac:dyDescent="0.2">
      <c r="A6837" s="226">
        <v>2025</v>
      </c>
      <c r="B6837" s="226">
        <v>2</v>
      </c>
      <c r="C6837" s="232">
        <v>20</v>
      </c>
      <c r="D6837" s="232">
        <f t="shared" si="784"/>
        <v>45708</v>
      </c>
      <c r="E6837" s="234">
        <f t="shared" si="788"/>
        <v>45708</v>
      </c>
      <c r="F6837" s="479"/>
      <c r="G6837" s="227" t="s">
        <v>1111</v>
      </c>
      <c r="H6837" s="228"/>
      <c r="I6837" s="228"/>
      <c r="J6837" s="229" t="s">
        <v>199</v>
      </c>
      <c r="K6837" s="230"/>
      <c r="L6837" s="230">
        <v>691364.2</v>
      </c>
    </row>
    <row r="6838" spans="1:13" ht="11.25" customHeight="1" x14ac:dyDescent="0.2">
      <c r="A6838" s="280">
        <v>2025</v>
      </c>
      <c r="B6838" s="280">
        <v>2</v>
      </c>
      <c r="C6838" s="280">
        <v>20</v>
      </c>
      <c r="D6838" s="281">
        <f t="shared" si="784"/>
        <v>45708</v>
      </c>
      <c r="E6838" s="282">
        <f t="shared" si="787"/>
        <v>45708</v>
      </c>
      <c r="F6838" s="472" t="s">
        <v>1744</v>
      </c>
      <c r="G6838" s="283" t="s">
        <v>86</v>
      </c>
      <c r="H6838" s="284"/>
      <c r="I6838" s="284"/>
      <c r="J6838" s="285" t="s">
        <v>131</v>
      </c>
      <c r="K6838" s="286">
        <v>19358.330000000002</v>
      </c>
      <c r="L6838" s="286"/>
    </row>
    <row r="6839" spans="1:13" ht="11.25" customHeight="1" x14ac:dyDescent="0.2">
      <c r="A6839" s="287">
        <v>2025</v>
      </c>
      <c r="B6839" s="287">
        <v>2</v>
      </c>
      <c r="C6839" s="287">
        <v>20</v>
      </c>
      <c r="D6839" s="288">
        <f t="shared" si="784"/>
        <v>45708</v>
      </c>
      <c r="E6839" s="289">
        <f t="shared" si="787"/>
        <v>45708</v>
      </c>
      <c r="F6839" s="473"/>
      <c r="G6839" s="290" t="s">
        <v>86</v>
      </c>
      <c r="H6839" s="291"/>
      <c r="I6839" s="291"/>
      <c r="J6839" s="292" t="s">
        <v>174</v>
      </c>
      <c r="K6839" s="293"/>
      <c r="L6839" s="293">
        <v>19358.330000000002</v>
      </c>
    </row>
    <row r="6840" spans="1:13" ht="11.25" customHeight="1" x14ac:dyDescent="0.2">
      <c r="A6840" s="280">
        <v>2025</v>
      </c>
      <c r="B6840" s="280">
        <v>2</v>
      </c>
      <c r="C6840" s="280">
        <v>20</v>
      </c>
      <c r="D6840" s="281">
        <f t="shared" si="784"/>
        <v>45708</v>
      </c>
      <c r="E6840" s="282">
        <f t="shared" si="787"/>
        <v>45708</v>
      </c>
      <c r="F6840" s="472" t="s">
        <v>1584</v>
      </c>
      <c r="G6840" s="283" t="s">
        <v>86</v>
      </c>
      <c r="H6840" s="284"/>
      <c r="I6840" s="284"/>
      <c r="J6840" s="285" t="s">
        <v>131</v>
      </c>
      <c r="K6840" s="286">
        <v>8846.15</v>
      </c>
      <c r="L6840" s="286"/>
    </row>
    <row r="6841" spans="1:13" ht="11.25" customHeight="1" x14ac:dyDescent="0.2">
      <c r="A6841" s="287">
        <v>2025</v>
      </c>
      <c r="B6841" s="287">
        <v>2</v>
      </c>
      <c r="C6841" s="287">
        <v>20</v>
      </c>
      <c r="D6841" s="288">
        <f t="shared" si="784"/>
        <v>45708</v>
      </c>
      <c r="E6841" s="289">
        <f t="shared" si="787"/>
        <v>45708</v>
      </c>
      <c r="F6841" s="473"/>
      <c r="G6841" s="290" t="s">
        <v>86</v>
      </c>
      <c r="H6841" s="291"/>
      <c r="I6841" s="291"/>
      <c r="J6841" s="292" t="s">
        <v>174</v>
      </c>
      <c r="K6841" s="293"/>
      <c r="L6841" s="293">
        <v>8846.15</v>
      </c>
    </row>
    <row r="6842" spans="1:13" ht="11.25" customHeight="1" x14ac:dyDescent="0.2">
      <c r="A6842" s="280">
        <v>2025</v>
      </c>
      <c r="B6842" s="280">
        <v>2</v>
      </c>
      <c r="C6842" s="280">
        <v>20</v>
      </c>
      <c r="D6842" s="281">
        <f t="shared" si="784"/>
        <v>45708</v>
      </c>
      <c r="E6842" s="282">
        <f t="shared" si="787"/>
        <v>45708</v>
      </c>
      <c r="F6842" s="472" t="s">
        <v>1836</v>
      </c>
      <c r="G6842" s="283" t="s">
        <v>86</v>
      </c>
      <c r="H6842" s="284"/>
      <c r="I6842" s="284"/>
      <c r="J6842" s="285" t="s">
        <v>131</v>
      </c>
      <c r="K6842" s="286">
        <v>4653.8500000000004</v>
      </c>
      <c r="L6842" s="286"/>
    </row>
    <row r="6843" spans="1:13" ht="11.25" customHeight="1" x14ac:dyDescent="0.2">
      <c r="A6843" s="287">
        <v>2025</v>
      </c>
      <c r="B6843" s="287">
        <v>2</v>
      </c>
      <c r="C6843" s="287">
        <v>20</v>
      </c>
      <c r="D6843" s="288">
        <f t="shared" si="784"/>
        <v>45708</v>
      </c>
      <c r="E6843" s="289">
        <f t="shared" si="787"/>
        <v>45708</v>
      </c>
      <c r="F6843" s="473"/>
      <c r="G6843" s="290" t="s">
        <v>86</v>
      </c>
      <c r="H6843" s="291"/>
      <c r="I6843" s="291"/>
      <c r="J6843" s="292" t="s">
        <v>174</v>
      </c>
      <c r="K6843" s="293"/>
      <c r="L6843" s="293">
        <v>4653.8500000000004</v>
      </c>
    </row>
    <row r="6844" spans="1:13" ht="11.25" customHeight="1" x14ac:dyDescent="0.2">
      <c r="A6844" s="280">
        <v>2025</v>
      </c>
      <c r="B6844" s="280">
        <v>2</v>
      </c>
      <c r="C6844" s="280">
        <v>20</v>
      </c>
      <c r="D6844" s="281">
        <f t="shared" si="784"/>
        <v>45708</v>
      </c>
      <c r="E6844" s="282">
        <f t="shared" si="787"/>
        <v>45708</v>
      </c>
      <c r="F6844" s="472" t="s">
        <v>1830</v>
      </c>
      <c r="G6844" s="283" t="s">
        <v>86</v>
      </c>
      <c r="H6844" s="284"/>
      <c r="I6844" s="284"/>
      <c r="J6844" s="285" t="s">
        <v>131</v>
      </c>
      <c r="K6844" s="286">
        <v>4741.3515384615257</v>
      </c>
      <c r="L6844" s="286"/>
    </row>
    <row r="6845" spans="1:13" ht="11.25" customHeight="1" x14ac:dyDescent="0.2">
      <c r="A6845" s="287">
        <v>2025</v>
      </c>
      <c r="B6845" s="287">
        <v>2</v>
      </c>
      <c r="C6845" s="287">
        <v>20</v>
      </c>
      <c r="D6845" s="288">
        <f t="shared" si="784"/>
        <v>45708</v>
      </c>
      <c r="E6845" s="289">
        <f t="shared" si="787"/>
        <v>45708</v>
      </c>
      <c r="F6845" s="473"/>
      <c r="G6845" s="290" t="s">
        <v>86</v>
      </c>
      <c r="H6845" s="291"/>
      <c r="I6845" s="291"/>
      <c r="J6845" s="292" t="s">
        <v>174</v>
      </c>
      <c r="K6845" s="293"/>
      <c r="L6845" s="293">
        <v>4741.3515384615257</v>
      </c>
    </row>
    <row r="6846" spans="1:13" ht="11.25" customHeight="1" x14ac:dyDescent="0.2">
      <c r="A6846" s="341">
        <v>2025</v>
      </c>
      <c r="B6846" s="341">
        <v>2</v>
      </c>
      <c r="C6846" s="341">
        <v>20</v>
      </c>
      <c r="D6846" s="328">
        <f t="shared" si="784"/>
        <v>45708</v>
      </c>
      <c r="E6846" s="329">
        <f t="shared" si="787"/>
        <v>45708</v>
      </c>
      <c r="F6846" s="474" t="s">
        <v>1767</v>
      </c>
      <c r="G6846" s="330" t="s">
        <v>86</v>
      </c>
      <c r="H6846" s="332"/>
      <c r="I6846" s="332"/>
      <c r="J6846" s="342" t="s">
        <v>67</v>
      </c>
      <c r="K6846" s="343">
        <v>30650.43</v>
      </c>
      <c r="L6846" s="343"/>
    </row>
    <row r="6847" spans="1:13" ht="11.25" customHeight="1" x14ac:dyDescent="0.2">
      <c r="A6847" s="344">
        <v>2025</v>
      </c>
      <c r="B6847" s="344">
        <v>2</v>
      </c>
      <c r="C6847" s="344">
        <v>20</v>
      </c>
      <c r="D6847" s="337">
        <f t="shared" si="784"/>
        <v>45708</v>
      </c>
      <c r="E6847" s="338">
        <f t="shared" si="787"/>
        <v>45708</v>
      </c>
      <c r="F6847" s="475"/>
      <c r="G6847" s="339" t="s">
        <v>86</v>
      </c>
      <c r="H6847" s="340"/>
      <c r="I6847" s="340"/>
      <c r="J6847" s="345" t="s">
        <v>174</v>
      </c>
      <c r="K6847" s="346"/>
      <c r="L6847" s="346">
        <f>K6846</f>
        <v>30650.43</v>
      </c>
    </row>
    <row r="6848" spans="1:13" ht="11.25" customHeight="1" x14ac:dyDescent="0.2">
      <c r="A6848" s="358">
        <v>2025</v>
      </c>
      <c r="B6848" s="358">
        <v>2</v>
      </c>
      <c r="C6848" s="358">
        <v>20</v>
      </c>
      <c r="D6848" s="312">
        <f t="shared" si="784"/>
        <v>45708</v>
      </c>
      <c r="E6848" s="313">
        <f>DATE(A6848,B6848,C6848)</f>
        <v>45708</v>
      </c>
      <c r="F6848" s="482" t="s">
        <v>1627</v>
      </c>
      <c r="G6848" s="314" t="s">
        <v>86</v>
      </c>
      <c r="H6848" s="324"/>
      <c r="I6848" s="324"/>
      <c r="J6848" s="364" t="s">
        <v>1613</v>
      </c>
      <c r="K6848" s="365">
        <v>0</v>
      </c>
      <c r="L6848" s="365"/>
      <c r="M6848" s="156">
        <f>BS!$I$12</f>
        <v>0</v>
      </c>
    </row>
    <row r="6849" spans="1:13" ht="11.25" customHeight="1" x14ac:dyDescent="0.2">
      <c r="A6849" s="320">
        <v>2025</v>
      </c>
      <c r="B6849" s="320">
        <v>2</v>
      </c>
      <c r="C6849" s="320">
        <v>20</v>
      </c>
      <c r="D6849" s="323">
        <f t="shared" si="784"/>
        <v>45708</v>
      </c>
      <c r="E6849" s="321">
        <f t="shared" ref="E6849" si="789">DATE(A6849,B6849,C6849)</f>
        <v>45708</v>
      </c>
      <c r="F6849" s="483"/>
      <c r="G6849" s="322" t="s">
        <v>86</v>
      </c>
      <c r="H6849" s="325"/>
      <c r="I6849" s="325"/>
      <c r="J6849" s="366" t="s">
        <v>1621</v>
      </c>
      <c r="K6849" s="367"/>
      <c r="L6849" s="367">
        <f>K6848</f>
        <v>0</v>
      </c>
    </row>
    <row r="6850" spans="1:13" ht="11.25" customHeight="1" x14ac:dyDescent="0.2">
      <c r="A6850" s="358">
        <v>2025</v>
      </c>
      <c r="B6850" s="358">
        <v>2</v>
      </c>
      <c r="C6850" s="358">
        <v>20</v>
      </c>
      <c r="D6850" s="312">
        <f t="shared" si="784"/>
        <v>45708</v>
      </c>
      <c r="E6850" s="313">
        <f>DATE(A6850,B6850,C6850)</f>
        <v>45708</v>
      </c>
      <c r="F6850" s="482" t="s">
        <v>1713</v>
      </c>
      <c r="G6850" s="314" t="s">
        <v>86</v>
      </c>
      <c r="H6850" s="324"/>
      <c r="I6850" s="324"/>
      <c r="J6850" s="364" t="s">
        <v>1622</v>
      </c>
      <c r="K6850" s="365">
        <v>267509.7349999994</v>
      </c>
      <c r="L6850" s="365"/>
      <c r="M6850" s="156">
        <f>BS!$I$15</f>
        <v>0</v>
      </c>
    </row>
    <row r="6851" spans="1:13" ht="11.25" customHeight="1" x14ac:dyDescent="0.2">
      <c r="A6851" s="320">
        <v>2025</v>
      </c>
      <c r="B6851" s="320">
        <v>2</v>
      </c>
      <c r="C6851" s="320">
        <v>20</v>
      </c>
      <c r="D6851" s="323">
        <f t="shared" si="784"/>
        <v>45708</v>
      </c>
      <c r="E6851" s="321">
        <f t="shared" ref="E6851:E6881" si="790">DATE(A6851,B6851,C6851)</f>
        <v>45708</v>
      </c>
      <c r="F6851" s="483"/>
      <c r="G6851" s="322" t="s">
        <v>86</v>
      </c>
      <c r="H6851" s="325"/>
      <c r="I6851" s="325"/>
      <c r="J6851" s="366" t="s">
        <v>1614</v>
      </c>
      <c r="K6851" s="367"/>
      <c r="L6851" s="367">
        <f>K6850</f>
        <v>267509.7349999994</v>
      </c>
    </row>
    <row r="6852" spans="1:13" ht="11.25" customHeight="1" x14ac:dyDescent="0.2">
      <c r="A6852" s="236">
        <v>2025</v>
      </c>
      <c r="B6852" s="236">
        <v>2</v>
      </c>
      <c r="C6852" s="236">
        <v>20</v>
      </c>
      <c r="D6852" s="237">
        <f t="shared" si="784"/>
        <v>45708</v>
      </c>
      <c r="E6852" s="238">
        <f t="shared" si="790"/>
        <v>45708</v>
      </c>
      <c r="F6852" s="476" t="s">
        <v>1118</v>
      </c>
      <c r="G6852" s="239" t="s">
        <v>86</v>
      </c>
      <c r="H6852" s="239"/>
      <c r="I6852" s="240"/>
      <c r="J6852" s="241" t="s">
        <v>98</v>
      </c>
      <c r="K6852" s="242">
        <v>512791.98000001907</v>
      </c>
      <c r="L6852" s="242"/>
      <c r="M6852" s="156">
        <f>BS!$I$8</f>
        <v>0</v>
      </c>
    </row>
    <row r="6853" spans="1:13" ht="11.25" customHeight="1" x14ac:dyDescent="0.2">
      <c r="A6853" s="243">
        <v>2025</v>
      </c>
      <c r="B6853" s="243">
        <v>2</v>
      </c>
      <c r="C6853" s="243">
        <v>20</v>
      </c>
      <c r="D6853" s="248">
        <f t="shared" si="784"/>
        <v>45708</v>
      </c>
      <c r="E6853" s="249">
        <f t="shared" si="790"/>
        <v>45708</v>
      </c>
      <c r="F6853" s="477"/>
      <c r="G6853" s="244" t="s">
        <v>86</v>
      </c>
      <c r="H6853" s="244"/>
      <c r="I6853" s="245"/>
      <c r="J6853" s="246" t="s">
        <v>82</v>
      </c>
      <c r="K6853" s="247"/>
      <c r="L6853" s="247">
        <f>K6852</f>
        <v>512791.98000001907</v>
      </c>
    </row>
    <row r="6854" spans="1:13" ht="11.25" customHeight="1" x14ac:dyDescent="0.2">
      <c r="A6854" s="236">
        <v>2025</v>
      </c>
      <c r="B6854" s="236">
        <v>2</v>
      </c>
      <c r="C6854" s="236">
        <v>20</v>
      </c>
      <c r="D6854" s="237">
        <f t="shared" si="784"/>
        <v>45708</v>
      </c>
      <c r="E6854" s="238">
        <f t="shared" si="790"/>
        <v>45708</v>
      </c>
      <c r="F6854" s="476" t="s">
        <v>1120</v>
      </c>
      <c r="G6854" s="239" t="s">
        <v>86</v>
      </c>
      <c r="H6854" s="239"/>
      <c r="I6854" s="240"/>
      <c r="J6854" s="241" t="s">
        <v>87</v>
      </c>
      <c r="K6854" s="242">
        <v>2747.2527472527472</v>
      </c>
      <c r="L6854" s="242"/>
    </row>
    <row r="6855" spans="1:13" ht="11.25" customHeight="1" x14ac:dyDescent="0.2">
      <c r="A6855" s="243">
        <v>2025</v>
      </c>
      <c r="B6855" s="243">
        <v>2</v>
      </c>
      <c r="C6855" s="243">
        <v>20</v>
      </c>
      <c r="D6855" s="248">
        <f t="shared" si="784"/>
        <v>45708</v>
      </c>
      <c r="E6855" s="249">
        <f t="shared" si="790"/>
        <v>45708</v>
      </c>
      <c r="F6855" s="477"/>
      <c r="G6855" s="244" t="s">
        <v>86</v>
      </c>
      <c r="H6855" s="244"/>
      <c r="I6855" s="245"/>
      <c r="J6855" s="246" t="s">
        <v>64</v>
      </c>
      <c r="K6855" s="247"/>
      <c r="L6855" s="247">
        <v>2747.2527472527472</v>
      </c>
    </row>
    <row r="6856" spans="1:13" ht="11.25" customHeight="1" x14ac:dyDescent="0.2">
      <c r="A6856" s="236">
        <v>2025</v>
      </c>
      <c r="B6856" s="236">
        <v>2</v>
      </c>
      <c r="C6856" s="236">
        <v>20</v>
      </c>
      <c r="D6856" s="237">
        <f t="shared" si="784"/>
        <v>45708</v>
      </c>
      <c r="E6856" s="238">
        <f t="shared" si="790"/>
        <v>45708</v>
      </c>
      <c r="F6856" s="476" t="s">
        <v>1121</v>
      </c>
      <c r="G6856" s="239" t="s">
        <v>86</v>
      </c>
      <c r="H6856" s="239"/>
      <c r="I6856" s="240"/>
      <c r="J6856" s="241" t="s">
        <v>89</v>
      </c>
      <c r="K6856" s="242">
        <f>M6856</f>
        <v>69941.769545898089</v>
      </c>
      <c r="L6856" s="242"/>
      <c r="M6856" s="156">
        <v>69941.769545898089</v>
      </c>
    </row>
    <row r="6857" spans="1:13" ht="11.25" customHeight="1" x14ac:dyDescent="0.2">
      <c r="A6857" s="243">
        <v>2025</v>
      </c>
      <c r="B6857" s="243">
        <v>2</v>
      </c>
      <c r="C6857" s="243">
        <v>20</v>
      </c>
      <c r="D6857" s="248">
        <f t="shared" ref="D6857:D6920" si="791">DATE(A6857,B6857,C6857)</f>
        <v>45708</v>
      </c>
      <c r="E6857" s="249">
        <f t="shared" si="790"/>
        <v>45708</v>
      </c>
      <c r="F6857" s="477"/>
      <c r="G6857" s="244" t="s">
        <v>86</v>
      </c>
      <c r="H6857" s="244"/>
      <c r="I6857" s="245"/>
      <c r="J6857" s="246" t="s">
        <v>50</v>
      </c>
      <c r="K6857" s="247"/>
      <c r="L6857" s="247">
        <f>K6856</f>
        <v>69941.769545898089</v>
      </c>
      <c r="M6857" s="156">
        <v>3256.7038619102891</v>
      </c>
    </row>
    <row r="6858" spans="1:13" ht="11.25" customHeight="1" x14ac:dyDescent="0.2">
      <c r="A6858" s="236">
        <v>2025</v>
      </c>
      <c r="B6858" s="236">
        <v>2</v>
      </c>
      <c r="C6858" s="236">
        <v>20</v>
      </c>
      <c r="D6858" s="237">
        <f t="shared" si="791"/>
        <v>45708</v>
      </c>
      <c r="E6858" s="238">
        <f t="shared" si="790"/>
        <v>45708</v>
      </c>
      <c r="F6858" s="476" t="s">
        <v>1122</v>
      </c>
      <c r="G6858" s="239" t="s">
        <v>86</v>
      </c>
      <c r="H6858" s="239"/>
      <c r="I6858" s="240"/>
      <c r="J6858" s="241" t="s">
        <v>91</v>
      </c>
      <c r="K6858" s="242">
        <f>M6857</f>
        <v>3256.7038619102891</v>
      </c>
      <c r="L6858" s="242"/>
    </row>
    <row r="6859" spans="1:13" ht="11.25" customHeight="1" x14ac:dyDescent="0.2">
      <c r="A6859" s="243">
        <v>2025</v>
      </c>
      <c r="B6859" s="243">
        <v>2</v>
      </c>
      <c r="C6859" s="243">
        <v>20</v>
      </c>
      <c r="D6859" s="248">
        <f t="shared" si="791"/>
        <v>45708</v>
      </c>
      <c r="E6859" s="249">
        <f t="shared" si="790"/>
        <v>45708</v>
      </c>
      <c r="F6859" s="477"/>
      <c r="G6859" s="244" t="s">
        <v>86</v>
      </c>
      <c r="H6859" s="244"/>
      <c r="I6859" s="245"/>
      <c r="J6859" s="246" t="s">
        <v>51</v>
      </c>
      <c r="K6859" s="247"/>
      <c r="L6859" s="247">
        <f>K6858</f>
        <v>3256.7038619102891</v>
      </c>
    </row>
    <row r="6860" spans="1:13" ht="11.25" customHeight="1" x14ac:dyDescent="0.2">
      <c r="A6860" s="221">
        <v>2025</v>
      </c>
      <c r="B6860" s="221">
        <v>2</v>
      </c>
      <c r="C6860" s="221">
        <v>23</v>
      </c>
      <c r="D6860" s="231">
        <f t="shared" si="791"/>
        <v>45711</v>
      </c>
      <c r="E6860" s="233">
        <f t="shared" si="790"/>
        <v>45711</v>
      </c>
      <c r="F6860" s="478" t="s">
        <v>1196</v>
      </c>
      <c r="G6860" s="222" t="s">
        <v>1111</v>
      </c>
      <c r="H6860" s="223"/>
      <c r="I6860" s="223"/>
      <c r="J6860" s="224" t="s">
        <v>95</v>
      </c>
      <c r="K6860" s="225">
        <v>560.14</v>
      </c>
      <c r="L6860" s="225"/>
      <c r="M6860" s="166"/>
    </row>
    <row r="6861" spans="1:13" ht="11.25" customHeight="1" x14ac:dyDescent="0.2">
      <c r="A6861" s="164">
        <v>2025</v>
      </c>
      <c r="B6861" s="164">
        <v>2</v>
      </c>
      <c r="C6861" s="164">
        <v>23</v>
      </c>
      <c r="D6861" s="156">
        <f t="shared" si="791"/>
        <v>45711</v>
      </c>
      <c r="E6861" s="235">
        <f t="shared" si="790"/>
        <v>45711</v>
      </c>
      <c r="F6861" s="480"/>
      <c r="G6861" s="208" t="s">
        <v>1111</v>
      </c>
      <c r="J6861" s="165" t="s">
        <v>478</v>
      </c>
      <c r="K6861" s="205"/>
      <c r="L6861" s="205">
        <v>56.01</v>
      </c>
    </row>
    <row r="6862" spans="1:13" ht="11.25" customHeight="1" x14ac:dyDescent="0.2">
      <c r="A6862" s="226">
        <v>2025</v>
      </c>
      <c r="B6862" s="226">
        <v>2</v>
      </c>
      <c r="C6862" s="226">
        <v>23</v>
      </c>
      <c r="D6862" s="232">
        <f t="shared" si="791"/>
        <v>45711</v>
      </c>
      <c r="E6862" s="234">
        <f t="shared" si="790"/>
        <v>45711</v>
      </c>
      <c r="F6862" s="479"/>
      <c r="G6862" s="227" t="s">
        <v>1111</v>
      </c>
      <c r="H6862" s="228"/>
      <c r="I6862" s="228"/>
      <c r="J6862" s="229" t="s">
        <v>55</v>
      </c>
      <c r="K6862" s="230"/>
      <c r="L6862" s="230">
        <v>504.13</v>
      </c>
    </row>
    <row r="6863" spans="1:13" ht="11.25" customHeight="1" x14ac:dyDescent="0.2">
      <c r="A6863" s="221">
        <v>2025</v>
      </c>
      <c r="B6863" s="221">
        <v>2</v>
      </c>
      <c r="C6863" s="221">
        <v>23</v>
      </c>
      <c r="D6863" s="231">
        <f t="shared" si="791"/>
        <v>45711</v>
      </c>
      <c r="E6863" s="233">
        <f t="shared" si="790"/>
        <v>45711</v>
      </c>
      <c r="F6863" s="478" t="s">
        <v>1845</v>
      </c>
      <c r="G6863" s="222" t="s">
        <v>1111</v>
      </c>
      <c r="H6863" s="223"/>
      <c r="I6863" s="223"/>
      <c r="J6863" s="224" t="s">
        <v>194</v>
      </c>
      <c r="K6863" s="225">
        <v>61996.11</v>
      </c>
      <c r="L6863" s="225"/>
    </row>
    <row r="6864" spans="1:13" ht="11.25" customHeight="1" x14ac:dyDescent="0.2">
      <c r="A6864" s="164">
        <v>2025</v>
      </c>
      <c r="B6864" s="164">
        <v>2</v>
      </c>
      <c r="C6864" s="164">
        <v>23</v>
      </c>
      <c r="D6864" s="156">
        <f t="shared" si="791"/>
        <v>45711</v>
      </c>
      <c r="E6864" s="235">
        <f t="shared" si="790"/>
        <v>45711</v>
      </c>
      <c r="F6864" s="480"/>
      <c r="G6864" s="208" t="s">
        <v>1111</v>
      </c>
      <c r="J6864" s="165" t="s">
        <v>478</v>
      </c>
      <c r="K6864" s="205"/>
      <c r="L6864" s="205">
        <v>5390.97</v>
      </c>
    </row>
    <row r="6865" spans="1:12" ht="11.25" customHeight="1" x14ac:dyDescent="0.2">
      <c r="A6865" s="226">
        <v>2025</v>
      </c>
      <c r="B6865" s="226">
        <v>2</v>
      </c>
      <c r="C6865" s="226">
        <v>23</v>
      </c>
      <c r="D6865" s="232">
        <f t="shared" si="791"/>
        <v>45711</v>
      </c>
      <c r="E6865" s="234">
        <f t="shared" si="790"/>
        <v>45711</v>
      </c>
      <c r="F6865" s="479"/>
      <c r="G6865" s="227" t="s">
        <v>1111</v>
      </c>
      <c r="H6865" s="228"/>
      <c r="I6865" s="228"/>
      <c r="J6865" s="229" t="s">
        <v>55</v>
      </c>
      <c r="K6865" s="230"/>
      <c r="L6865" s="230">
        <v>56605.14</v>
      </c>
    </row>
    <row r="6866" spans="1:12" ht="11.25" customHeight="1" x14ac:dyDescent="0.2">
      <c r="A6866" s="221">
        <v>2025</v>
      </c>
      <c r="B6866" s="221">
        <v>2</v>
      </c>
      <c r="C6866" s="231">
        <v>23</v>
      </c>
      <c r="D6866" s="231">
        <f t="shared" si="791"/>
        <v>45711</v>
      </c>
      <c r="E6866" s="233">
        <f>DATE(A6866,B6866,C6866)</f>
        <v>45711</v>
      </c>
      <c r="F6866" s="478" t="s">
        <v>1814</v>
      </c>
      <c r="G6866" s="222" t="s">
        <v>1111</v>
      </c>
      <c r="H6866" s="223"/>
      <c r="I6866" s="223"/>
      <c r="J6866" s="224" t="s">
        <v>961</v>
      </c>
      <c r="K6866" s="225">
        <v>432777.6</v>
      </c>
      <c r="L6866" s="225"/>
    </row>
    <row r="6867" spans="1:12" ht="11.25" customHeight="1" x14ac:dyDescent="0.2">
      <c r="A6867" s="226">
        <v>2025</v>
      </c>
      <c r="B6867" s="226">
        <v>2</v>
      </c>
      <c r="C6867" s="232">
        <v>23</v>
      </c>
      <c r="D6867" s="232">
        <f t="shared" si="791"/>
        <v>45711</v>
      </c>
      <c r="E6867" s="234">
        <f>DATE(A6867,B6867,C6867)</f>
        <v>45711</v>
      </c>
      <c r="F6867" s="479"/>
      <c r="G6867" s="227" t="s">
        <v>1111</v>
      </c>
      <c r="H6867" s="228"/>
      <c r="I6867" s="228"/>
      <c r="J6867" s="229" t="s">
        <v>55</v>
      </c>
      <c r="K6867" s="230"/>
      <c r="L6867" s="230">
        <v>432777.6</v>
      </c>
    </row>
    <row r="6868" spans="1:12" ht="11.25" customHeight="1" x14ac:dyDescent="0.2">
      <c r="A6868" s="221">
        <v>2025</v>
      </c>
      <c r="B6868" s="221">
        <v>2</v>
      </c>
      <c r="C6868" s="231">
        <v>23</v>
      </c>
      <c r="D6868" s="231">
        <f t="shared" si="791"/>
        <v>45711</v>
      </c>
      <c r="E6868" s="233">
        <f t="shared" ref="E6868:E6871" si="792">DATE(A6868,B6868,C6868)</f>
        <v>45711</v>
      </c>
      <c r="F6868" s="478" t="s">
        <v>1670</v>
      </c>
      <c r="G6868" s="222" t="s">
        <v>1111</v>
      </c>
      <c r="H6868" s="223"/>
      <c r="I6868" s="223"/>
      <c r="J6868" s="224" t="s">
        <v>63</v>
      </c>
      <c r="K6868" s="225">
        <v>58</v>
      </c>
      <c r="L6868" s="225"/>
    </row>
    <row r="6869" spans="1:12" ht="11.25" customHeight="1" x14ac:dyDescent="0.2">
      <c r="A6869" s="226">
        <v>2025</v>
      </c>
      <c r="B6869" s="226">
        <v>2</v>
      </c>
      <c r="C6869" s="232">
        <v>23</v>
      </c>
      <c r="D6869" s="232">
        <f t="shared" si="791"/>
        <v>45711</v>
      </c>
      <c r="E6869" s="234">
        <f t="shared" si="792"/>
        <v>45711</v>
      </c>
      <c r="F6869" s="479"/>
      <c r="G6869" s="227" t="s">
        <v>1111</v>
      </c>
      <c r="H6869" s="228"/>
      <c r="I6869" s="228"/>
      <c r="J6869" s="229" t="s">
        <v>55</v>
      </c>
      <c r="K6869" s="230"/>
      <c r="L6869" s="230">
        <v>58</v>
      </c>
    </row>
    <row r="6870" spans="1:12" ht="11.25" customHeight="1" x14ac:dyDescent="0.2">
      <c r="A6870" s="221">
        <v>2025</v>
      </c>
      <c r="B6870" s="221">
        <v>2</v>
      </c>
      <c r="C6870" s="231">
        <v>23</v>
      </c>
      <c r="D6870" s="231">
        <f t="shared" si="791"/>
        <v>45711</v>
      </c>
      <c r="E6870" s="233">
        <f t="shared" si="792"/>
        <v>45711</v>
      </c>
      <c r="F6870" s="478" t="s">
        <v>1847</v>
      </c>
      <c r="G6870" s="222" t="s">
        <v>1111</v>
      </c>
      <c r="H6870" s="223"/>
      <c r="I6870" s="223"/>
      <c r="J6870" s="224" t="s">
        <v>192</v>
      </c>
      <c r="K6870" s="225">
        <v>261756</v>
      </c>
      <c r="L6870" s="225"/>
    </row>
    <row r="6871" spans="1:12" ht="11.25" customHeight="1" x14ac:dyDescent="0.2">
      <c r="A6871" s="226">
        <v>2025</v>
      </c>
      <c r="B6871" s="226">
        <v>2</v>
      </c>
      <c r="C6871" s="232">
        <v>23</v>
      </c>
      <c r="D6871" s="232">
        <f t="shared" si="791"/>
        <v>45711</v>
      </c>
      <c r="E6871" s="234">
        <f t="shared" si="792"/>
        <v>45711</v>
      </c>
      <c r="F6871" s="485"/>
      <c r="G6871" s="227" t="s">
        <v>1111</v>
      </c>
      <c r="H6871" s="228"/>
      <c r="I6871" s="228"/>
      <c r="J6871" s="229" t="s">
        <v>191</v>
      </c>
      <c r="K6871" s="230"/>
      <c r="L6871" s="230">
        <v>261756</v>
      </c>
    </row>
    <row r="6872" spans="1:12" ht="11.25" customHeight="1" x14ac:dyDescent="0.2">
      <c r="A6872" s="221">
        <v>2025</v>
      </c>
      <c r="B6872" s="221">
        <v>2</v>
      </c>
      <c r="C6872" s="221">
        <v>24</v>
      </c>
      <c r="D6872" s="231">
        <f t="shared" si="791"/>
        <v>45712</v>
      </c>
      <c r="E6872" s="233">
        <f>DATE(A6872,B6872,C6872)</f>
        <v>45712</v>
      </c>
      <c r="F6872" s="478" t="s">
        <v>1178</v>
      </c>
      <c r="G6872" s="222" t="s">
        <v>1111</v>
      </c>
      <c r="H6872" s="223"/>
      <c r="I6872" s="223"/>
      <c r="J6872" s="224" t="s">
        <v>189</v>
      </c>
      <c r="K6872" s="225">
        <v>5750</v>
      </c>
      <c r="L6872" s="225"/>
    </row>
    <row r="6873" spans="1:12" ht="11.25" customHeight="1" x14ac:dyDescent="0.2">
      <c r="A6873" s="164">
        <v>2025</v>
      </c>
      <c r="B6873" s="164">
        <v>2</v>
      </c>
      <c r="C6873" s="164">
        <v>24</v>
      </c>
      <c r="D6873" s="156">
        <f t="shared" si="791"/>
        <v>45712</v>
      </c>
      <c r="E6873" s="235">
        <f>DATE(A6873,B6873,C6873)</f>
        <v>45712</v>
      </c>
      <c r="F6873" s="480"/>
      <c r="G6873" s="208" t="s">
        <v>1111</v>
      </c>
      <c r="J6873" s="165" t="s">
        <v>1708</v>
      </c>
      <c r="K6873" s="205"/>
      <c r="L6873" s="205">
        <v>250</v>
      </c>
    </row>
    <row r="6874" spans="1:12" ht="11.25" customHeight="1" x14ac:dyDescent="0.2">
      <c r="A6874" s="226">
        <v>2025</v>
      </c>
      <c r="B6874" s="226">
        <v>2</v>
      </c>
      <c r="C6874" s="226">
        <v>24</v>
      </c>
      <c r="D6874" s="232">
        <f t="shared" si="791"/>
        <v>45712</v>
      </c>
      <c r="E6874" s="234">
        <f>DATE(A6874,B6874,C6874)</f>
        <v>45712</v>
      </c>
      <c r="F6874" s="479"/>
      <c r="G6874" s="227" t="s">
        <v>1111</v>
      </c>
      <c r="H6874" s="228"/>
      <c r="I6874" s="228"/>
      <c r="J6874" s="229" t="s">
        <v>55</v>
      </c>
      <c r="K6874" s="230"/>
      <c r="L6874" s="230">
        <v>5500</v>
      </c>
    </row>
    <row r="6875" spans="1:12" ht="11.25" customHeight="1" x14ac:dyDescent="0.2">
      <c r="A6875" s="221">
        <v>2025</v>
      </c>
      <c r="B6875" s="221">
        <v>2</v>
      </c>
      <c r="C6875" s="231">
        <v>24</v>
      </c>
      <c r="D6875" s="231">
        <f t="shared" si="791"/>
        <v>45712</v>
      </c>
      <c r="E6875" s="233">
        <f t="shared" ref="E6875:E6876" si="793">DATE(A6875,B6875,C6875)</f>
        <v>45712</v>
      </c>
      <c r="F6875" s="478" t="s">
        <v>1843</v>
      </c>
      <c r="G6875" s="222" t="s">
        <v>1111</v>
      </c>
      <c r="H6875" s="223"/>
      <c r="I6875" s="223"/>
      <c r="J6875" s="224" t="s">
        <v>55</v>
      </c>
      <c r="K6875" s="225">
        <v>3792</v>
      </c>
      <c r="L6875" s="225"/>
    </row>
    <row r="6876" spans="1:12" ht="11.25" customHeight="1" x14ac:dyDescent="0.2">
      <c r="A6876" s="226">
        <v>2025</v>
      </c>
      <c r="B6876" s="226">
        <v>2</v>
      </c>
      <c r="C6876" s="232">
        <v>24</v>
      </c>
      <c r="D6876" s="232">
        <f t="shared" si="791"/>
        <v>45712</v>
      </c>
      <c r="E6876" s="234">
        <f t="shared" si="793"/>
        <v>45712</v>
      </c>
      <c r="F6876" s="479"/>
      <c r="G6876" s="227" t="s">
        <v>1111</v>
      </c>
      <c r="H6876" s="228"/>
      <c r="I6876" s="228"/>
      <c r="J6876" s="229" t="s">
        <v>199</v>
      </c>
      <c r="K6876" s="230"/>
      <c r="L6876" s="230">
        <v>3792</v>
      </c>
    </row>
    <row r="6877" spans="1:12" ht="11.25" customHeight="1" x14ac:dyDescent="0.2">
      <c r="A6877" s="221">
        <v>2025</v>
      </c>
      <c r="B6877" s="221">
        <v>2</v>
      </c>
      <c r="C6877" s="221">
        <v>24</v>
      </c>
      <c r="D6877" s="221">
        <f t="shared" si="791"/>
        <v>45712</v>
      </c>
      <c r="E6877" s="233">
        <f t="shared" si="790"/>
        <v>45712</v>
      </c>
      <c r="F6877" s="478" t="s">
        <v>1593</v>
      </c>
      <c r="G6877" s="222" t="s">
        <v>86</v>
      </c>
      <c r="H6877" s="222"/>
      <c r="I6877" s="223"/>
      <c r="J6877" s="224" t="s">
        <v>80</v>
      </c>
      <c r="K6877" s="225">
        <v>990135.2</v>
      </c>
      <c r="L6877" s="225"/>
    </row>
    <row r="6878" spans="1:12" ht="11.25" customHeight="1" x14ac:dyDescent="0.2">
      <c r="A6878" s="164">
        <v>2025</v>
      </c>
      <c r="B6878" s="164">
        <v>2</v>
      </c>
      <c r="C6878" s="164">
        <v>24</v>
      </c>
      <c r="D6878" s="164">
        <f t="shared" si="791"/>
        <v>45712</v>
      </c>
      <c r="E6878" s="235">
        <f t="shared" si="790"/>
        <v>45712</v>
      </c>
      <c r="F6878" s="480"/>
      <c r="G6878" s="208" t="s">
        <v>86</v>
      </c>
      <c r="H6878" s="208"/>
      <c r="J6878" s="165" t="s">
        <v>960</v>
      </c>
      <c r="K6878" s="205">
        <v>1782.24</v>
      </c>
      <c r="L6878" s="205"/>
    </row>
    <row r="6879" spans="1:12" ht="11.25" customHeight="1" x14ac:dyDescent="0.2">
      <c r="A6879" s="226">
        <v>2025</v>
      </c>
      <c r="B6879" s="226">
        <v>2</v>
      </c>
      <c r="C6879" s="226">
        <v>24</v>
      </c>
      <c r="D6879" s="226">
        <f t="shared" si="791"/>
        <v>45712</v>
      </c>
      <c r="E6879" s="234">
        <f t="shared" si="790"/>
        <v>45712</v>
      </c>
      <c r="F6879" s="479"/>
      <c r="G6879" s="227" t="s">
        <v>86</v>
      </c>
      <c r="H6879" s="228"/>
      <c r="I6879" s="228"/>
      <c r="J6879" s="229" t="s">
        <v>143</v>
      </c>
      <c r="K6879" s="230"/>
      <c r="L6879" s="230">
        <v>991917.44</v>
      </c>
    </row>
    <row r="6880" spans="1:12" ht="11.25" customHeight="1" x14ac:dyDescent="0.2">
      <c r="A6880" s="221">
        <v>2025</v>
      </c>
      <c r="B6880" s="221">
        <v>2</v>
      </c>
      <c r="C6880" s="231">
        <v>25</v>
      </c>
      <c r="D6880" s="231">
        <f t="shared" si="791"/>
        <v>45713</v>
      </c>
      <c r="E6880" s="233">
        <f t="shared" si="790"/>
        <v>45713</v>
      </c>
      <c r="F6880" s="478" t="s">
        <v>1670</v>
      </c>
      <c r="G6880" s="222" t="s">
        <v>1111</v>
      </c>
      <c r="H6880" s="223"/>
      <c r="I6880" s="223"/>
      <c r="J6880" s="224" t="s">
        <v>63</v>
      </c>
      <c r="K6880" s="225">
        <v>100</v>
      </c>
      <c r="L6880" s="225"/>
    </row>
    <row r="6881" spans="1:12" ht="11.25" customHeight="1" x14ac:dyDescent="0.2">
      <c r="A6881" s="226">
        <v>2025</v>
      </c>
      <c r="B6881" s="226">
        <v>2</v>
      </c>
      <c r="C6881" s="232">
        <v>25</v>
      </c>
      <c r="D6881" s="232">
        <f t="shared" si="791"/>
        <v>45713</v>
      </c>
      <c r="E6881" s="234">
        <f t="shared" si="790"/>
        <v>45713</v>
      </c>
      <c r="F6881" s="479"/>
      <c r="G6881" s="227" t="s">
        <v>1111</v>
      </c>
      <c r="H6881" s="228"/>
      <c r="I6881" s="228"/>
      <c r="J6881" s="229" t="s">
        <v>55</v>
      </c>
      <c r="K6881" s="230"/>
      <c r="L6881" s="230">
        <v>100</v>
      </c>
    </row>
    <row r="6882" spans="1:12" ht="11.25" customHeight="1" x14ac:dyDescent="0.2">
      <c r="A6882" s="221">
        <v>2025</v>
      </c>
      <c r="B6882" s="221">
        <v>2</v>
      </c>
      <c r="C6882" s="231">
        <v>25</v>
      </c>
      <c r="D6882" s="231">
        <f t="shared" si="791"/>
        <v>45713</v>
      </c>
      <c r="E6882" s="233">
        <f>DATE(A6882,B6882,C6882)</f>
        <v>45713</v>
      </c>
      <c r="F6882" s="478" t="s">
        <v>1814</v>
      </c>
      <c r="G6882" s="222" t="s">
        <v>1111</v>
      </c>
      <c r="H6882" s="223"/>
      <c r="I6882" s="223"/>
      <c r="J6882" s="224" t="s">
        <v>961</v>
      </c>
      <c r="K6882" s="225">
        <v>991917.44</v>
      </c>
      <c r="L6882" s="225"/>
    </row>
    <row r="6883" spans="1:12" ht="11.25" customHeight="1" x14ac:dyDescent="0.2">
      <c r="A6883" s="226">
        <v>2025</v>
      </c>
      <c r="B6883" s="226">
        <v>2</v>
      </c>
      <c r="C6883" s="232">
        <v>25</v>
      </c>
      <c r="D6883" s="232">
        <f t="shared" si="791"/>
        <v>45713</v>
      </c>
      <c r="E6883" s="234">
        <f>DATE(A6883,B6883,C6883)</f>
        <v>45713</v>
      </c>
      <c r="F6883" s="479"/>
      <c r="G6883" s="227" t="s">
        <v>1111</v>
      </c>
      <c r="H6883" s="228"/>
      <c r="I6883" s="228"/>
      <c r="J6883" s="229" t="s">
        <v>55</v>
      </c>
      <c r="K6883" s="230"/>
      <c r="L6883" s="230">
        <v>991917.44</v>
      </c>
    </row>
    <row r="6884" spans="1:12" ht="11.25" customHeight="1" x14ac:dyDescent="0.2">
      <c r="A6884" s="221">
        <v>2025</v>
      </c>
      <c r="B6884" s="221">
        <v>2</v>
      </c>
      <c r="C6884" s="221">
        <v>25</v>
      </c>
      <c r="D6884" s="231">
        <f t="shared" si="791"/>
        <v>45713</v>
      </c>
      <c r="E6884" s="233">
        <f t="shared" ref="E6884:E6890" si="794">DATE(A6884,B6884,C6884)</f>
        <v>45713</v>
      </c>
      <c r="F6884" s="478" t="s">
        <v>1142</v>
      </c>
      <c r="G6884" s="222" t="s">
        <v>1111</v>
      </c>
      <c r="H6884" s="223"/>
      <c r="I6884" s="223"/>
      <c r="J6884" s="224" t="s">
        <v>189</v>
      </c>
      <c r="K6884" s="225">
        <v>1575</v>
      </c>
      <c r="L6884" s="225"/>
    </row>
    <row r="6885" spans="1:12" ht="11.25" customHeight="1" x14ac:dyDescent="0.2">
      <c r="A6885" s="164">
        <v>2025</v>
      </c>
      <c r="B6885" s="164">
        <v>2</v>
      </c>
      <c r="C6885" s="164">
        <v>25</v>
      </c>
      <c r="D6885" s="156">
        <f t="shared" si="791"/>
        <v>45713</v>
      </c>
      <c r="E6885" s="235">
        <f t="shared" si="794"/>
        <v>45713</v>
      </c>
      <c r="F6885" s="480"/>
      <c r="G6885" s="208" t="s">
        <v>1111</v>
      </c>
      <c r="J6885" s="165" t="s">
        <v>1707</v>
      </c>
      <c r="K6885" s="205"/>
      <c r="L6885" s="205">
        <v>150</v>
      </c>
    </row>
    <row r="6886" spans="1:12" ht="11.25" customHeight="1" x14ac:dyDescent="0.2">
      <c r="A6886" s="226">
        <v>2025</v>
      </c>
      <c r="B6886" s="226">
        <v>2</v>
      </c>
      <c r="C6886" s="226">
        <v>25</v>
      </c>
      <c r="D6886" s="232">
        <f t="shared" si="791"/>
        <v>45713</v>
      </c>
      <c r="E6886" s="234">
        <f t="shared" si="794"/>
        <v>45713</v>
      </c>
      <c r="F6886" s="479"/>
      <c r="G6886" s="227" t="s">
        <v>1111</v>
      </c>
      <c r="H6886" s="228"/>
      <c r="I6886" s="228"/>
      <c r="J6886" s="229" t="s">
        <v>55</v>
      </c>
      <c r="K6886" s="230"/>
      <c r="L6886" s="230">
        <v>1425</v>
      </c>
    </row>
    <row r="6887" spans="1:12" ht="11.25" customHeight="1" x14ac:dyDescent="0.2">
      <c r="A6887" s="164">
        <v>2025</v>
      </c>
      <c r="B6887" s="164">
        <v>2</v>
      </c>
      <c r="C6887" s="221">
        <v>25</v>
      </c>
      <c r="D6887" s="156">
        <f t="shared" si="791"/>
        <v>45713</v>
      </c>
      <c r="E6887" s="235">
        <f t="shared" si="794"/>
        <v>45713</v>
      </c>
      <c r="F6887" s="478" t="s">
        <v>1808</v>
      </c>
      <c r="G6887" s="208" t="s">
        <v>1111</v>
      </c>
      <c r="J6887" s="165" t="s">
        <v>53</v>
      </c>
      <c r="K6887" s="205">
        <v>3500</v>
      </c>
      <c r="L6887" s="205"/>
    </row>
    <row r="6888" spans="1:12" ht="11.25" customHeight="1" x14ac:dyDescent="0.2">
      <c r="A6888" s="164">
        <v>2025</v>
      </c>
      <c r="B6888" s="164">
        <v>2</v>
      </c>
      <c r="C6888" s="164">
        <v>25</v>
      </c>
      <c r="D6888" s="156">
        <f t="shared" si="791"/>
        <v>45713</v>
      </c>
      <c r="E6888" s="235">
        <f t="shared" si="794"/>
        <v>45713</v>
      </c>
      <c r="F6888" s="480"/>
      <c r="G6888" s="208" t="s">
        <v>1111</v>
      </c>
      <c r="J6888" s="165" t="s">
        <v>478</v>
      </c>
      <c r="K6888" s="205"/>
      <c r="L6888" s="205">
        <v>3500</v>
      </c>
    </row>
    <row r="6889" spans="1:12" ht="11.25" customHeight="1" x14ac:dyDescent="0.2">
      <c r="A6889" s="164">
        <v>2025</v>
      </c>
      <c r="B6889" s="164">
        <v>2</v>
      </c>
      <c r="C6889" s="164">
        <v>25</v>
      </c>
      <c r="D6889" s="156">
        <f t="shared" si="791"/>
        <v>45713</v>
      </c>
      <c r="E6889" s="235">
        <f t="shared" si="794"/>
        <v>45713</v>
      </c>
      <c r="F6889" s="480"/>
      <c r="G6889" s="208" t="s">
        <v>1111</v>
      </c>
      <c r="J6889" s="165" t="s">
        <v>478</v>
      </c>
      <c r="K6889" s="205">
        <v>3500</v>
      </c>
      <c r="L6889" s="205"/>
    </row>
    <row r="6890" spans="1:12" ht="11.25" customHeight="1" x14ac:dyDescent="0.2">
      <c r="A6890" s="226">
        <v>2025</v>
      </c>
      <c r="B6890" s="226">
        <v>2</v>
      </c>
      <c r="C6890" s="226">
        <v>25</v>
      </c>
      <c r="D6890" s="232">
        <f t="shared" si="791"/>
        <v>45713</v>
      </c>
      <c r="E6890" s="234">
        <f t="shared" si="794"/>
        <v>45713</v>
      </c>
      <c r="F6890" s="479"/>
      <c r="G6890" s="227" t="s">
        <v>1111</v>
      </c>
      <c r="H6890" s="228"/>
      <c r="I6890" s="228"/>
      <c r="J6890" s="229" t="s">
        <v>55</v>
      </c>
      <c r="K6890" s="230"/>
      <c r="L6890" s="230">
        <v>3500</v>
      </c>
    </row>
    <row r="6891" spans="1:12" ht="11.25" customHeight="1" x14ac:dyDescent="0.2">
      <c r="A6891" s="221">
        <v>2025</v>
      </c>
      <c r="B6891" s="221">
        <v>2</v>
      </c>
      <c r="C6891" s="221">
        <v>25</v>
      </c>
      <c r="D6891" s="221">
        <f t="shared" si="791"/>
        <v>45713</v>
      </c>
      <c r="E6891" s="233">
        <f t="shared" ref="E6891:E6921" si="795">DATE(A6891,B6891,C6891)</f>
        <v>45713</v>
      </c>
      <c r="F6891" s="478" t="s">
        <v>1593</v>
      </c>
      <c r="G6891" s="222" t="s">
        <v>86</v>
      </c>
      <c r="H6891" s="222"/>
      <c r="I6891" s="223"/>
      <c r="J6891" s="224" t="s">
        <v>80</v>
      </c>
      <c r="K6891" s="225">
        <v>1571859.3</v>
      </c>
      <c r="L6891" s="225"/>
    </row>
    <row r="6892" spans="1:12" ht="11.25" customHeight="1" x14ac:dyDescent="0.2">
      <c r="A6892" s="164">
        <v>2025</v>
      </c>
      <c r="B6892" s="164">
        <v>2</v>
      </c>
      <c r="C6892" s="164">
        <v>25</v>
      </c>
      <c r="D6892" s="164">
        <f t="shared" si="791"/>
        <v>45713</v>
      </c>
      <c r="E6892" s="235">
        <f t="shared" si="795"/>
        <v>45713</v>
      </c>
      <c r="F6892" s="480"/>
      <c r="G6892" s="208" t="s">
        <v>86</v>
      </c>
      <c r="H6892" s="208"/>
      <c r="J6892" s="165" t="s">
        <v>960</v>
      </c>
      <c r="K6892" s="205">
        <v>2829.35</v>
      </c>
      <c r="L6892" s="205"/>
    </row>
    <row r="6893" spans="1:12" ht="11.25" customHeight="1" x14ac:dyDescent="0.2">
      <c r="A6893" s="226">
        <v>2025</v>
      </c>
      <c r="B6893" s="226">
        <v>2</v>
      </c>
      <c r="C6893" s="226">
        <v>25</v>
      </c>
      <c r="D6893" s="226">
        <f t="shared" si="791"/>
        <v>45713</v>
      </c>
      <c r="E6893" s="234">
        <f t="shared" si="795"/>
        <v>45713</v>
      </c>
      <c r="F6893" s="479"/>
      <c r="G6893" s="227" t="s">
        <v>86</v>
      </c>
      <c r="H6893" s="228"/>
      <c r="I6893" s="228"/>
      <c r="J6893" s="229" t="s">
        <v>143</v>
      </c>
      <c r="K6893" s="230"/>
      <c r="L6893" s="230">
        <v>1574688.65</v>
      </c>
    </row>
    <row r="6894" spans="1:12" ht="11.25" customHeight="1" x14ac:dyDescent="0.2">
      <c r="A6894" s="221">
        <v>2025</v>
      </c>
      <c r="B6894" s="221">
        <v>2</v>
      </c>
      <c r="C6894" s="231">
        <v>26</v>
      </c>
      <c r="D6894" s="231">
        <f t="shared" si="791"/>
        <v>45714</v>
      </c>
      <c r="E6894" s="233">
        <f t="shared" si="795"/>
        <v>45714</v>
      </c>
      <c r="F6894" s="478" t="s">
        <v>1670</v>
      </c>
      <c r="G6894" s="222" t="s">
        <v>1111</v>
      </c>
      <c r="H6894" s="223"/>
      <c r="I6894" s="223"/>
      <c r="J6894" s="224" t="s">
        <v>63</v>
      </c>
      <c r="K6894" s="225">
        <v>100</v>
      </c>
      <c r="L6894" s="225"/>
    </row>
    <row r="6895" spans="1:12" ht="11.25" customHeight="1" x14ac:dyDescent="0.2">
      <c r="A6895" s="226">
        <v>2025</v>
      </c>
      <c r="B6895" s="226">
        <v>2</v>
      </c>
      <c r="C6895" s="232">
        <v>26</v>
      </c>
      <c r="D6895" s="232">
        <f t="shared" si="791"/>
        <v>45714</v>
      </c>
      <c r="E6895" s="234">
        <f t="shared" si="795"/>
        <v>45714</v>
      </c>
      <c r="F6895" s="479"/>
      <c r="G6895" s="227" t="s">
        <v>1111</v>
      </c>
      <c r="H6895" s="228"/>
      <c r="I6895" s="228"/>
      <c r="J6895" s="229" t="s">
        <v>55</v>
      </c>
      <c r="K6895" s="230"/>
      <c r="L6895" s="230">
        <v>100</v>
      </c>
    </row>
    <row r="6896" spans="1:12" ht="11.25" customHeight="1" x14ac:dyDescent="0.2">
      <c r="A6896" s="221">
        <v>2025</v>
      </c>
      <c r="B6896" s="221">
        <v>2</v>
      </c>
      <c r="C6896" s="231">
        <v>26</v>
      </c>
      <c r="D6896" s="231">
        <f t="shared" si="791"/>
        <v>45714</v>
      </c>
      <c r="E6896" s="233">
        <f>DATE(A6896,B6896,C6896)</f>
        <v>45714</v>
      </c>
      <c r="F6896" s="478" t="s">
        <v>1814</v>
      </c>
      <c r="G6896" s="222" t="s">
        <v>1111</v>
      </c>
      <c r="H6896" s="223"/>
      <c r="I6896" s="223"/>
      <c r="J6896" s="224" t="s">
        <v>961</v>
      </c>
      <c r="K6896" s="225">
        <v>1574688.65</v>
      </c>
      <c r="L6896" s="225"/>
    </row>
    <row r="6897" spans="1:12" ht="11.25" customHeight="1" x14ac:dyDescent="0.2">
      <c r="A6897" s="226">
        <v>2025</v>
      </c>
      <c r="B6897" s="226">
        <v>2</v>
      </c>
      <c r="C6897" s="232">
        <v>26</v>
      </c>
      <c r="D6897" s="232">
        <f t="shared" si="791"/>
        <v>45714</v>
      </c>
      <c r="E6897" s="234">
        <f>DATE(A6897,B6897,C6897)</f>
        <v>45714</v>
      </c>
      <c r="F6897" s="479"/>
      <c r="G6897" s="227" t="s">
        <v>1111</v>
      </c>
      <c r="H6897" s="228"/>
      <c r="I6897" s="228"/>
      <c r="J6897" s="229" t="s">
        <v>55</v>
      </c>
      <c r="K6897" s="230"/>
      <c r="L6897" s="230">
        <v>1574688.65</v>
      </c>
    </row>
    <row r="6898" spans="1:12" ht="11.25" customHeight="1" x14ac:dyDescent="0.2">
      <c r="A6898" s="221">
        <v>2025</v>
      </c>
      <c r="B6898" s="221">
        <v>2</v>
      </c>
      <c r="C6898" s="221">
        <v>26</v>
      </c>
      <c r="D6898" s="231">
        <f t="shared" si="791"/>
        <v>45714</v>
      </c>
      <c r="E6898" s="233">
        <f t="shared" si="795"/>
        <v>45714</v>
      </c>
      <c r="F6898" s="478" t="s">
        <v>1132</v>
      </c>
      <c r="G6898" s="222" t="s">
        <v>1111</v>
      </c>
      <c r="H6898" s="223"/>
      <c r="I6898" s="223"/>
      <c r="J6898" s="224" t="s">
        <v>55</v>
      </c>
      <c r="K6898" s="167">
        <v>7000</v>
      </c>
      <c r="L6898" s="225"/>
    </row>
    <row r="6899" spans="1:12" ht="11.25" customHeight="1" x14ac:dyDescent="0.2">
      <c r="A6899" s="164">
        <v>2025</v>
      </c>
      <c r="B6899" s="164">
        <v>2</v>
      </c>
      <c r="C6899" s="164">
        <v>26</v>
      </c>
      <c r="D6899" s="156">
        <f t="shared" si="791"/>
        <v>45714</v>
      </c>
      <c r="E6899" s="235">
        <f t="shared" si="795"/>
        <v>45714</v>
      </c>
      <c r="F6899" s="480"/>
      <c r="G6899" s="208" t="s">
        <v>1111</v>
      </c>
      <c r="J6899" s="165" t="s">
        <v>14</v>
      </c>
      <c r="L6899" s="205">
        <v>6640</v>
      </c>
    </row>
    <row r="6900" spans="1:12" ht="11.25" customHeight="1" x14ac:dyDescent="0.2">
      <c r="A6900" s="226">
        <v>2025</v>
      </c>
      <c r="B6900" s="226">
        <v>2</v>
      </c>
      <c r="C6900" s="226">
        <v>26</v>
      </c>
      <c r="D6900" s="232">
        <f t="shared" si="791"/>
        <v>45714</v>
      </c>
      <c r="E6900" s="234">
        <f t="shared" si="795"/>
        <v>45714</v>
      </c>
      <c r="F6900" s="479"/>
      <c r="G6900" s="227" t="s">
        <v>1111</v>
      </c>
      <c r="H6900" s="228"/>
      <c r="I6900" s="228"/>
      <c r="J6900" s="229" t="s">
        <v>1112</v>
      </c>
      <c r="K6900" s="230"/>
      <c r="L6900" s="230">
        <v>360</v>
      </c>
    </row>
    <row r="6901" spans="1:12" ht="11.25" customHeight="1" x14ac:dyDescent="0.2">
      <c r="A6901" s="221">
        <v>2025</v>
      </c>
      <c r="B6901" s="221">
        <v>2</v>
      </c>
      <c r="C6901" s="221">
        <v>26</v>
      </c>
      <c r="D6901" s="221">
        <f t="shared" si="791"/>
        <v>45714</v>
      </c>
      <c r="E6901" s="233">
        <f t="shared" ref="E6901:E6907" si="796">DATE(A6901,B6901,C6901)</f>
        <v>45714</v>
      </c>
      <c r="F6901" s="478" t="s">
        <v>1593</v>
      </c>
      <c r="G6901" s="222" t="s">
        <v>86</v>
      </c>
      <c r="H6901" s="222"/>
      <c r="I6901" s="223"/>
      <c r="J6901" s="224" t="s">
        <v>80</v>
      </c>
      <c r="K6901" s="225">
        <v>1022725.5</v>
      </c>
      <c r="L6901" s="225"/>
    </row>
    <row r="6902" spans="1:12" ht="11.25" customHeight="1" x14ac:dyDescent="0.2">
      <c r="A6902" s="164">
        <v>2025</v>
      </c>
      <c r="B6902" s="164">
        <v>2</v>
      </c>
      <c r="C6902" s="164">
        <v>26</v>
      </c>
      <c r="D6902" s="164">
        <f t="shared" si="791"/>
        <v>45714</v>
      </c>
      <c r="E6902" s="235">
        <f t="shared" si="796"/>
        <v>45714</v>
      </c>
      <c r="F6902" s="480"/>
      <c r="G6902" s="208" t="s">
        <v>86</v>
      </c>
      <c r="H6902" s="208"/>
      <c r="J6902" s="165" t="s">
        <v>960</v>
      </c>
      <c r="K6902" s="205">
        <v>1840.91</v>
      </c>
      <c r="L6902" s="205"/>
    </row>
    <row r="6903" spans="1:12" ht="11.25" customHeight="1" x14ac:dyDescent="0.2">
      <c r="A6903" s="226">
        <v>2025</v>
      </c>
      <c r="B6903" s="226">
        <v>2</v>
      </c>
      <c r="C6903" s="226">
        <v>26</v>
      </c>
      <c r="D6903" s="226">
        <f t="shared" si="791"/>
        <v>45714</v>
      </c>
      <c r="E6903" s="234">
        <f t="shared" si="796"/>
        <v>45714</v>
      </c>
      <c r="F6903" s="479"/>
      <c r="G6903" s="227" t="s">
        <v>86</v>
      </c>
      <c r="H6903" s="228"/>
      <c r="I6903" s="228"/>
      <c r="J6903" s="229" t="s">
        <v>143</v>
      </c>
      <c r="K6903" s="230"/>
      <c r="L6903" s="230">
        <v>1024566.41</v>
      </c>
    </row>
    <row r="6904" spans="1:12" ht="11.25" customHeight="1" x14ac:dyDescent="0.2">
      <c r="A6904" s="221">
        <v>2025</v>
      </c>
      <c r="B6904" s="221">
        <v>2</v>
      </c>
      <c r="C6904" s="231">
        <v>26</v>
      </c>
      <c r="D6904" s="231">
        <f t="shared" si="791"/>
        <v>45714</v>
      </c>
      <c r="E6904" s="233">
        <f t="shared" ref="E6904:E6905" si="797">DATE(A6904,B6904,C6904)</f>
        <v>45714</v>
      </c>
      <c r="F6904" s="478" t="s">
        <v>1848</v>
      </c>
      <c r="G6904" s="222" t="s">
        <v>1111</v>
      </c>
      <c r="H6904" s="223"/>
      <c r="I6904" s="223"/>
      <c r="J6904" s="224" t="s">
        <v>192</v>
      </c>
      <c r="K6904" s="225">
        <v>175848</v>
      </c>
      <c r="L6904" s="225"/>
    </row>
    <row r="6905" spans="1:12" ht="11.25" customHeight="1" x14ac:dyDescent="0.2">
      <c r="A6905" s="226">
        <v>2025</v>
      </c>
      <c r="B6905" s="226">
        <v>2</v>
      </c>
      <c r="C6905" s="232">
        <v>26</v>
      </c>
      <c r="D6905" s="232">
        <f t="shared" si="791"/>
        <v>45714</v>
      </c>
      <c r="E6905" s="234">
        <f t="shared" si="797"/>
        <v>45714</v>
      </c>
      <c r="F6905" s="479"/>
      <c r="G6905" s="227" t="s">
        <v>1111</v>
      </c>
      <c r="H6905" s="228"/>
      <c r="I6905" s="228"/>
      <c r="J6905" s="229" t="s">
        <v>191</v>
      </c>
      <c r="K6905" s="230"/>
      <c r="L6905" s="230">
        <v>175848</v>
      </c>
    </row>
    <row r="6906" spans="1:12" ht="11.25" customHeight="1" x14ac:dyDescent="0.2">
      <c r="A6906" s="221">
        <v>2025</v>
      </c>
      <c r="B6906" s="221">
        <v>2</v>
      </c>
      <c r="C6906" s="231">
        <v>26</v>
      </c>
      <c r="D6906" s="231">
        <f t="shared" si="791"/>
        <v>45714</v>
      </c>
      <c r="E6906" s="233">
        <f t="shared" si="796"/>
        <v>45714</v>
      </c>
      <c r="F6906" s="478" t="s">
        <v>1846</v>
      </c>
      <c r="G6906" s="222" t="s">
        <v>1111</v>
      </c>
      <c r="H6906" s="223"/>
      <c r="I6906" s="223"/>
      <c r="J6906" s="224" t="s">
        <v>192</v>
      </c>
      <c r="K6906" s="225">
        <v>125175</v>
      </c>
      <c r="L6906" s="225"/>
    </row>
    <row r="6907" spans="1:12" ht="11.25" customHeight="1" x14ac:dyDescent="0.2">
      <c r="A6907" s="226">
        <v>2025</v>
      </c>
      <c r="B6907" s="226">
        <v>2</v>
      </c>
      <c r="C6907" s="232">
        <v>26</v>
      </c>
      <c r="D6907" s="232">
        <f t="shared" si="791"/>
        <v>45714</v>
      </c>
      <c r="E6907" s="234">
        <f t="shared" si="796"/>
        <v>45714</v>
      </c>
      <c r="F6907" s="479"/>
      <c r="G6907" s="227" t="s">
        <v>1111</v>
      </c>
      <c r="H6907" s="228"/>
      <c r="I6907" s="228"/>
      <c r="J6907" s="229" t="s">
        <v>191</v>
      </c>
      <c r="K6907" s="230"/>
      <c r="L6907" s="230">
        <v>125175</v>
      </c>
    </row>
    <row r="6908" spans="1:12" ht="11.25" customHeight="1" x14ac:dyDescent="0.2">
      <c r="A6908" s="221">
        <v>2025</v>
      </c>
      <c r="B6908" s="221">
        <v>2</v>
      </c>
      <c r="C6908" s="231">
        <v>27</v>
      </c>
      <c r="D6908" s="231">
        <f t="shared" si="791"/>
        <v>45715</v>
      </c>
      <c r="E6908" s="233">
        <f>DATE(A6908,B6908,C6908)</f>
        <v>45715</v>
      </c>
      <c r="F6908" s="478" t="s">
        <v>1814</v>
      </c>
      <c r="G6908" s="222" t="s">
        <v>1111</v>
      </c>
      <c r="H6908" s="223"/>
      <c r="I6908" s="223"/>
      <c r="J6908" s="224" t="s">
        <v>961</v>
      </c>
      <c r="K6908" s="225">
        <v>1024566.41</v>
      </c>
      <c r="L6908" s="225"/>
    </row>
    <row r="6909" spans="1:12" ht="11.25" customHeight="1" x14ac:dyDescent="0.2">
      <c r="A6909" s="226">
        <v>2025</v>
      </c>
      <c r="B6909" s="226">
        <v>2</v>
      </c>
      <c r="C6909" s="232">
        <v>27</v>
      </c>
      <c r="D6909" s="232">
        <f t="shared" si="791"/>
        <v>45715</v>
      </c>
      <c r="E6909" s="234">
        <f>DATE(A6909,B6909,C6909)</f>
        <v>45715</v>
      </c>
      <c r="F6909" s="479"/>
      <c r="G6909" s="227" t="s">
        <v>1111</v>
      </c>
      <c r="H6909" s="228"/>
      <c r="I6909" s="228"/>
      <c r="J6909" s="229" t="s">
        <v>55</v>
      </c>
      <c r="K6909" s="230"/>
      <c r="L6909" s="230">
        <v>1024566.41</v>
      </c>
    </row>
    <row r="6910" spans="1:12" ht="11.25" customHeight="1" x14ac:dyDescent="0.2">
      <c r="A6910" s="221">
        <v>2025</v>
      </c>
      <c r="B6910" s="221">
        <v>2</v>
      </c>
      <c r="C6910" s="231">
        <v>27</v>
      </c>
      <c r="D6910" s="231">
        <f t="shared" si="791"/>
        <v>45715</v>
      </c>
      <c r="E6910" s="233">
        <f t="shared" ref="E6910:E6911" si="798">DATE(A6910,B6910,C6910)</f>
        <v>45715</v>
      </c>
      <c r="F6910" s="478" t="s">
        <v>1670</v>
      </c>
      <c r="G6910" s="222" t="s">
        <v>1111</v>
      </c>
      <c r="H6910" s="223"/>
      <c r="I6910" s="223"/>
      <c r="J6910" s="224" t="s">
        <v>63</v>
      </c>
      <c r="K6910" s="225">
        <v>100</v>
      </c>
      <c r="L6910" s="225"/>
    </row>
    <row r="6911" spans="1:12" ht="11.25" customHeight="1" x14ac:dyDescent="0.2">
      <c r="A6911" s="226">
        <v>2025</v>
      </c>
      <c r="B6911" s="226">
        <v>2</v>
      </c>
      <c r="C6911" s="232">
        <v>27</v>
      </c>
      <c r="D6911" s="232">
        <f t="shared" si="791"/>
        <v>45715</v>
      </c>
      <c r="E6911" s="234">
        <f t="shared" si="798"/>
        <v>45715</v>
      </c>
      <c r="F6911" s="479"/>
      <c r="G6911" s="227" t="s">
        <v>1111</v>
      </c>
      <c r="H6911" s="228"/>
      <c r="I6911" s="228"/>
      <c r="J6911" s="229" t="s">
        <v>55</v>
      </c>
      <c r="K6911" s="230"/>
      <c r="L6911" s="230">
        <v>100</v>
      </c>
    </row>
    <row r="6912" spans="1:12" ht="11.25" customHeight="1" x14ac:dyDescent="0.2">
      <c r="A6912" s="280">
        <v>2025</v>
      </c>
      <c r="B6912" s="280">
        <v>2</v>
      </c>
      <c r="C6912" s="280">
        <v>27</v>
      </c>
      <c r="D6912" s="281">
        <f t="shared" si="791"/>
        <v>45715</v>
      </c>
      <c r="E6912" s="282">
        <f t="shared" si="795"/>
        <v>45715</v>
      </c>
      <c r="F6912" s="472" t="s">
        <v>1744</v>
      </c>
      <c r="G6912" s="283" t="s">
        <v>86</v>
      </c>
      <c r="H6912" s="284"/>
      <c r="I6912" s="284"/>
      <c r="J6912" s="285" t="s">
        <v>131</v>
      </c>
      <c r="K6912" s="286">
        <v>19358.330000000002</v>
      </c>
      <c r="L6912" s="286"/>
    </row>
    <row r="6913" spans="1:13" ht="11.25" customHeight="1" x14ac:dyDescent="0.2">
      <c r="A6913" s="287">
        <v>2025</v>
      </c>
      <c r="B6913" s="287">
        <v>2</v>
      </c>
      <c r="C6913" s="287">
        <v>27</v>
      </c>
      <c r="D6913" s="288">
        <f t="shared" si="791"/>
        <v>45715</v>
      </c>
      <c r="E6913" s="289">
        <f t="shared" si="795"/>
        <v>45715</v>
      </c>
      <c r="F6913" s="473"/>
      <c r="G6913" s="290" t="s">
        <v>86</v>
      </c>
      <c r="H6913" s="291"/>
      <c r="I6913" s="291"/>
      <c r="J6913" s="292" t="s">
        <v>174</v>
      </c>
      <c r="K6913" s="293"/>
      <c r="L6913" s="293">
        <v>19358.330000000002</v>
      </c>
    </row>
    <row r="6914" spans="1:13" ht="11.25" customHeight="1" x14ac:dyDescent="0.2">
      <c r="A6914" s="280">
        <v>2025</v>
      </c>
      <c r="B6914" s="280">
        <v>2</v>
      </c>
      <c r="C6914" s="280">
        <v>27</v>
      </c>
      <c r="D6914" s="281">
        <f t="shared" si="791"/>
        <v>45715</v>
      </c>
      <c r="E6914" s="282">
        <f t="shared" si="795"/>
        <v>45715</v>
      </c>
      <c r="F6914" s="472" t="s">
        <v>1584</v>
      </c>
      <c r="G6914" s="283" t="s">
        <v>86</v>
      </c>
      <c r="H6914" s="284"/>
      <c r="I6914" s="284"/>
      <c r="J6914" s="285" t="s">
        <v>131</v>
      </c>
      <c r="K6914" s="286">
        <v>8846.15</v>
      </c>
      <c r="L6914" s="286"/>
    </row>
    <row r="6915" spans="1:13" ht="11.25" customHeight="1" x14ac:dyDescent="0.2">
      <c r="A6915" s="287">
        <v>2025</v>
      </c>
      <c r="B6915" s="287">
        <v>2</v>
      </c>
      <c r="C6915" s="287">
        <v>27</v>
      </c>
      <c r="D6915" s="288">
        <f t="shared" si="791"/>
        <v>45715</v>
      </c>
      <c r="E6915" s="289">
        <f t="shared" si="795"/>
        <v>45715</v>
      </c>
      <c r="F6915" s="473"/>
      <c r="G6915" s="290" t="s">
        <v>86</v>
      </c>
      <c r="H6915" s="291"/>
      <c r="I6915" s="291"/>
      <c r="J6915" s="292" t="s">
        <v>174</v>
      </c>
      <c r="K6915" s="293"/>
      <c r="L6915" s="293">
        <v>8846.15</v>
      </c>
    </row>
    <row r="6916" spans="1:13" ht="11.25" customHeight="1" x14ac:dyDescent="0.2">
      <c r="A6916" s="280">
        <v>2025</v>
      </c>
      <c r="B6916" s="280">
        <v>2</v>
      </c>
      <c r="C6916" s="280">
        <v>27</v>
      </c>
      <c r="D6916" s="281">
        <f t="shared" si="791"/>
        <v>45715</v>
      </c>
      <c r="E6916" s="282">
        <f t="shared" si="795"/>
        <v>45715</v>
      </c>
      <c r="F6916" s="472" t="s">
        <v>1836</v>
      </c>
      <c r="G6916" s="283" t="s">
        <v>86</v>
      </c>
      <c r="H6916" s="284"/>
      <c r="I6916" s="284"/>
      <c r="J6916" s="285" t="s">
        <v>131</v>
      </c>
      <c r="K6916" s="286">
        <v>4653.8500000000004</v>
      </c>
      <c r="L6916" s="286"/>
    </row>
    <row r="6917" spans="1:13" ht="11.25" customHeight="1" x14ac:dyDescent="0.2">
      <c r="A6917" s="287">
        <v>2025</v>
      </c>
      <c r="B6917" s="287">
        <v>2</v>
      </c>
      <c r="C6917" s="287">
        <v>27</v>
      </c>
      <c r="D6917" s="288">
        <f t="shared" si="791"/>
        <v>45715</v>
      </c>
      <c r="E6917" s="289">
        <f t="shared" si="795"/>
        <v>45715</v>
      </c>
      <c r="F6917" s="473"/>
      <c r="G6917" s="290" t="s">
        <v>86</v>
      </c>
      <c r="H6917" s="291"/>
      <c r="I6917" s="291"/>
      <c r="J6917" s="292" t="s">
        <v>174</v>
      </c>
      <c r="K6917" s="293"/>
      <c r="L6917" s="293">
        <v>4653.8500000000004</v>
      </c>
    </row>
    <row r="6918" spans="1:13" ht="11.25" customHeight="1" x14ac:dyDescent="0.2">
      <c r="A6918" s="280">
        <v>2025</v>
      </c>
      <c r="B6918" s="280">
        <v>2</v>
      </c>
      <c r="C6918" s="280">
        <v>27</v>
      </c>
      <c r="D6918" s="281">
        <f t="shared" si="791"/>
        <v>45715</v>
      </c>
      <c r="E6918" s="282">
        <f t="shared" si="795"/>
        <v>45715</v>
      </c>
      <c r="F6918" s="472" t="s">
        <v>1830</v>
      </c>
      <c r="G6918" s="283" t="s">
        <v>86</v>
      </c>
      <c r="H6918" s="284"/>
      <c r="I6918" s="284"/>
      <c r="J6918" s="285" t="s">
        <v>131</v>
      </c>
      <c r="K6918" s="286">
        <v>4515.2115384613589</v>
      </c>
      <c r="L6918" s="286"/>
    </row>
    <row r="6919" spans="1:13" ht="11.25" customHeight="1" x14ac:dyDescent="0.2">
      <c r="A6919" s="287">
        <v>2025</v>
      </c>
      <c r="B6919" s="287">
        <v>2</v>
      </c>
      <c r="C6919" s="287">
        <v>27</v>
      </c>
      <c r="D6919" s="288">
        <f t="shared" si="791"/>
        <v>45715</v>
      </c>
      <c r="E6919" s="289">
        <f t="shared" si="795"/>
        <v>45715</v>
      </c>
      <c r="F6919" s="473"/>
      <c r="G6919" s="290" t="s">
        <v>86</v>
      </c>
      <c r="H6919" s="291"/>
      <c r="I6919" s="291"/>
      <c r="J6919" s="292" t="s">
        <v>174</v>
      </c>
      <c r="K6919" s="293"/>
      <c r="L6919" s="293">
        <v>4515.2115384613589</v>
      </c>
    </row>
    <row r="6920" spans="1:13" ht="11.25" customHeight="1" x14ac:dyDescent="0.2">
      <c r="A6920" s="341">
        <v>2025</v>
      </c>
      <c r="B6920" s="341">
        <v>2</v>
      </c>
      <c r="C6920" s="341">
        <v>27</v>
      </c>
      <c r="D6920" s="328">
        <f t="shared" si="791"/>
        <v>45715</v>
      </c>
      <c r="E6920" s="329">
        <f t="shared" si="795"/>
        <v>45715</v>
      </c>
      <c r="F6920" s="474" t="s">
        <v>1767</v>
      </c>
      <c r="G6920" s="330" t="s">
        <v>86</v>
      </c>
      <c r="H6920" s="332"/>
      <c r="I6920" s="332"/>
      <c r="J6920" s="342" t="s">
        <v>67</v>
      </c>
      <c r="K6920" s="343">
        <v>27609.06</v>
      </c>
      <c r="L6920" s="343"/>
    </row>
    <row r="6921" spans="1:13" ht="11.25" customHeight="1" x14ac:dyDescent="0.2">
      <c r="A6921" s="344">
        <v>2025</v>
      </c>
      <c r="B6921" s="344">
        <v>2</v>
      </c>
      <c r="C6921" s="344">
        <v>27</v>
      </c>
      <c r="D6921" s="337">
        <f t="shared" ref="D6921:D6984" si="799">DATE(A6921,B6921,C6921)</f>
        <v>45715</v>
      </c>
      <c r="E6921" s="338">
        <f t="shared" si="795"/>
        <v>45715</v>
      </c>
      <c r="F6921" s="475"/>
      <c r="G6921" s="339" t="s">
        <v>86</v>
      </c>
      <c r="H6921" s="340"/>
      <c r="I6921" s="340"/>
      <c r="J6921" s="345" t="s">
        <v>174</v>
      </c>
      <c r="K6921" s="346"/>
      <c r="L6921" s="346">
        <f>K6920</f>
        <v>27609.06</v>
      </c>
    </row>
    <row r="6922" spans="1:13" ht="11.25" customHeight="1" x14ac:dyDescent="0.2">
      <c r="A6922" s="358">
        <v>2025</v>
      </c>
      <c r="B6922" s="358">
        <v>2</v>
      </c>
      <c r="C6922" s="358">
        <v>27</v>
      </c>
      <c r="D6922" s="312">
        <f t="shared" si="799"/>
        <v>45715</v>
      </c>
      <c r="E6922" s="313">
        <f>DATE(A6922,B6922,C6922)</f>
        <v>45715</v>
      </c>
      <c r="F6922" s="482" t="s">
        <v>1627</v>
      </c>
      <c r="G6922" s="314" t="s">
        <v>86</v>
      </c>
      <c r="H6922" s="324"/>
      <c r="I6922" s="324"/>
      <c r="J6922" s="364" t="s">
        <v>1613</v>
      </c>
      <c r="K6922" s="365">
        <v>0</v>
      </c>
      <c r="L6922" s="365"/>
      <c r="M6922" s="156">
        <f>BS!$I$12</f>
        <v>0</v>
      </c>
    </row>
    <row r="6923" spans="1:13" ht="11.25" customHeight="1" x14ac:dyDescent="0.2">
      <c r="A6923" s="320">
        <v>2025</v>
      </c>
      <c r="B6923" s="320">
        <v>2</v>
      </c>
      <c r="C6923" s="320">
        <v>27</v>
      </c>
      <c r="D6923" s="323">
        <f t="shared" si="799"/>
        <v>45715</v>
      </c>
      <c r="E6923" s="321">
        <f t="shared" ref="E6923" si="800">DATE(A6923,B6923,C6923)</f>
        <v>45715</v>
      </c>
      <c r="F6923" s="483"/>
      <c r="G6923" s="322" t="s">
        <v>86</v>
      </c>
      <c r="H6923" s="325"/>
      <c r="I6923" s="325"/>
      <c r="J6923" s="366" t="s">
        <v>1621</v>
      </c>
      <c r="K6923" s="367"/>
      <c r="L6923" s="367">
        <f>K6922</f>
        <v>0</v>
      </c>
    </row>
    <row r="6924" spans="1:13" ht="11.25" customHeight="1" x14ac:dyDescent="0.2">
      <c r="A6924" s="358">
        <v>2025</v>
      </c>
      <c r="B6924" s="358">
        <v>2</v>
      </c>
      <c r="C6924" s="358">
        <v>27</v>
      </c>
      <c r="D6924" s="312">
        <f t="shared" si="799"/>
        <v>45715</v>
      </c>
      <c r="E6924" s="313">
        <f>DATE(A6924,B6924,C6924)</f>
        <v>45715</v>
      </c>
      <c r="F6924" s="482" t="s">
        <v>1713</v>
      </c>
      <c r="G6924" s="314" t="s">
        <v>86</v>
      </c>
      <c r="H6924" s="324"/>
      <c r="I6924" s="324"/>
      <c r="J6924" s="364" t="s">
        <v>1622</v>
      </c>
      <c r="K6924" s="365">
        <v>160656.53000000119</v>
      </c>
      <c r="L6924" s="365"/>
      <c r="M6924" s="156">
        <f>BS!$I$15</f>
        <v>0</v>
      </c>
    </row>
    <row r="6925" spans="1:13" ht="11.25" customHeight="1" x14ac:dyDescent="0.2">
      <c r="A6925" s="320">
        <v>2025</v>
      </c>
      <c r="B6925" s="320">
        <v>2</v>
      </c>
      <c r="C6925" s="320">
        <v>27</v>
      </c>
      <c r="D6925" s="323">
        <f t="shared" si="799"/>
        <v>45715</v>
      </c>
      <c r="E6925" s="321">
        <f t="shared" ref="E6925:E6949" si="801">DATE(A6925,B6925,C6925)</f>
        <v>45715</v>
      </c>
      <c r="F6925" s="483"/>
      <c r="G6925" s="322" t="s">
        <v>86</v>
      </c>
      <c r="H6925" s="325"/>
      <c r="I6925" s="325"/>
      <c r="J6925" s="366" t="s">
        <v>1614</v>
      </c>
      <c r="K6925" s="367"/>
      <c r="L6925" s="367">
        <f>K6924</f>
        <v>160656.53000000119</v>
      </c>
    </row>
    <row r="6926" spans="1:13" ht="11.25" customHeight="1" x14ac:dyDescent="0.2">
      <c r="A6926" s="236">
        <v>2025</v>
      </c>
      <c r="B6926" s="236">
        <v>2</v>
      </c>
      <c r="C6926" s="236">
        <v>27</v>
      </c>
      <c r="D6926" s="237">
        <f t="shared" si="799"/>
        <v>45715</v>
      </c>
      <c r="E6926" s="238">
        <f t="shared" si="801"/>
        <v>45715</v>
      </c>
      <c r="F6926" s="476" t="s">
        <v>1118</v>
      </c>
      <c r="G6926" s="239" t="s">
        <v>86</v>
      </c>
      <c r="H6926" s="239"/>
      <c r="I6926" s="240"/>
      <c r="J6926" s="241" t="s">
        <v>82</v>
      </c>
      <c r="K6926" s="242">
        <v>374045.22000001371</v>
      </c>
      <c r="L6926" s="242"/>
      <c r="M6926" s="156">
        <f>BS!$I$8</f>
        <v>0</v>
      </c>
    </row>
    <row r="6927" spans="1:13" ht="11.25" customHeight="1" x14ac:dyDescent="0.2">
      <c r="A6927" s="243">
        <v>2025</v>
      </c>
      <c r="B6927" s="243">
        <v>2</v>
      </c>
      <c r="C6927" s="243">
        <v>27</v>
      </c>
      <c r="D6927" s="248">
        <f t="shared" si="799"/>
        <v>45715</v>
      </c>
      <c r="E6927" s="249">
        <f t="shared" si="801"/>
        <v>45715</v>
      </c>
      <c r="F6927" s="477"/>
      <c r="G6927" s="244" t="s">
        <v>86</v>
      </c>
      <c r="H6927" s="244"/>
      <c r="I6927" s="245"/>
      <c r="J6927" s="246" t="s">
        <v>98</v>
      </c>
      <c r="K6927" s="247"/>
      <c r="L6927" s="247">
        <f>K6926</f>
        <v>374045.22000001371</v>
      </c>
    </row>
    <row r="6928" spans="1:13" ht="11.25" customHeight="1" x14ac:dyDescent="0.2">
      <c r="A6928" s="236">
        <v>2025</v>
      </c>
      <c r="B6928" s="236">
        <v>2</v>
      </c>
      <c r="C6928" s="236">
        <v>27</v>
      </c>
      <c r="D6928" s="237">
        <f t="shared" si="799"/>
        <v>45715</v>
      </c>
      <c r="E6928" s="238">
        <f t="shared" si="801"/>
        <v>45715</v>
      </c>
      <c r="F6928" s="476" t="s">
        <v>1120</v>
      </c>
      <c r="G6928" s="239" t="s">
        <v>86</v>
      </c>
      <c r="H6928" s="239"/>
      <c r="I6928" s="240"/>
      <c r="J6928" s="241" t="s">
        <v>87</v>
      </c>
      <c r="K6928" s="242">
        <v>2747.2527472527472</v>
      </c>
      <c r="L6928" s="242"/>
    </row>
    <row r="6929" spans="1:13" ht="11.25" customHeight="1" x14ac:dyDescent="0.2">
      <c r="A6929" s="243">
        <v>2025</v>
      </c>
      <c r="B6929" s="243">
        <v>2</v>
      </c>
      <c r="C6929" s="243">
        <v>27</v>
      </c>
      <c r="D6929" s="248">
        <f t="shared" si="799"/>
        <v>45715</v>
      </c>
      <c r="E6929" s="249">
        <f t="shared" si="801"/>
        <v>45715</v>
      </c>
      <c r="F6929" s="477"/>
      <c r="G6929" s="244" t="s">
        <v>86</v>
      </c>
      <c r="H6929" s="244"/>
      <c r="I6929" s="245"/>
      <c r="J6929" s="246" t="s">
        <v>64</v>
      </c>
      <c r="K6929" s="247"/>
      <c r="L6929" s="247">
        <v>2747.2527472527472</v>
      </c>
    </row>
    <row r="6930" spans="1:13" ht="11.25" customHeight="1" x14ac:dyDescent="0.2">
      <c r="A6930" s="236">
        <v>2025</v>
      </c>
      <c r="B6930" s="236">
        <v>2</v>
      </c>
      <c r="C6930" s="236">
        <v>27</v>
      </c>
      <c r="D6930" s="237">
        <f t="shared" si="799"/>
        <v>45715</v>
      </c>
      <c r="E6930" s="238">
        <f t="shared" si="801"/>
        <v>45715</v>
      </c>
      <c r="F6930" s="476" t="s">
        <v>1121</v>
      </c>
      <c r="G6930" s="239" t="s">
        <v>86</v>
      </c>
      <c r="H6930" s="239"/>
      <c r="I6930" s="240"/>
      <c r="J6930" s="241" t="s">
        <v>89</v>
      </c>
      <c r="K6930" s="242">
        <f>M6930</f>
        <v>70051.547293530748</v>
      </c>
      <c r="L6930" s="242"/>
      <c r="M6930" s="156">
        <v>70051.547293530748</v>
      </c>
    </row>
    <row r="6931" spans="1:13" ht="11.25" customHeight="1" x14ac:dyDescent="0.2">
      <c r="A6931" s="243">
        <v>2025</v>
      </c>
      <c r="B6931" s="243">
        <v>2</v>
      </c>
      <c r="C6931" s="243">
        <v>27</v>
      </c>
      <c r="D6931" s="248">
        <f t="shared" si="799"/>
        <v>45715</v>
      </c>
      <c r="E6931" s="249">
        <f t="shared" si="801"/>
        <v>45715</v>
      </c>
      <c r="F6931" s="477"/>
      <c r="G6931" s="244" t="s">
        <v>86</v>
      </c>
      <c r="H6931" s="244"/>
      <c r="I6931" s="245"/>
      <c r="J6931" s="246" t="s">
        <v>50</v>
      </c>
      <c r="K6931" s="247"/>
      <c r="L6931" s="247">
        <f>K6930</f>
        <v>70051.547293530748</v>
      </c>
      <c r="M6931" s="156">
        <v>3262.1927492919222</v>
      </c>
    </row>
    <row r="6932" spans="1:13" ht="11.25" customHeight="1" x14ac:dyDescent="0.2">
      <c r="A6932" s="236">
        <v>2025</v>
      </c>
      <c r="B6932" s="236">
        <v>2</v>
      </c>
      <c r="C6932" s="236">
        <v>27</v>
      </c>
      <c r="D6932" s="237">
        <f t="shared" si="799"/>
        <v>45715</v>
      </c>
      <c r="E6932" s="238">
        <f t="shared" si="801"/>
        <v>45715</v>
      </c>
      <c r="F6932" s="476" t="s">
        <v>1122</v>
      </c>
      <c r="G6932" s="239" t="s">
        <v>86</v>
      </c>
      <c r="H6932" s="239"/>
      <c r="I6932" s="240"/>
      <c r="J6932" s="241" t="s">
        <v>91</v>
      </c>
      <c r="K6932" s="242">
        <f>M6931</f>
        <v>3262.1927492919222</v>
      </c>
      <c r="L6932" s="242"/>
    </row>
    <row r="6933" spans="1:13" ht="11.25" customHeight="1" x14ac:dyDescent="0.2">
      <c r="A6933" s="243">
        <v>2025</v>
      </c>
      <c r="B6933" s="243">
        <v>2</v>
      </c>
      <c r="C6933" s="243">
        <v>27</v>
      </c>
      <c r="D6933" s="248">
        <f t="shared" si="799"/>
        <v>45715</v>
      </c>
      <c r="E6933" s="249">
        <f t="shared" si="801"/>
        <v>45715</v>
      </c>
      <c r="F6933" s="477"/>
      <c r="G6933" s="244" t="s">
        <v>86</v>
      </c>
      <c r="H6933" s="244"/>
      <c r="I6933" s="245"/>
      <c r="J6933" s="246" t="s">
        <v>51</v>
      </c>
      <c r="K6933" s="247"/>
      <c r="L6933" s="247">
        <f>K6932</f>
        <v>3262.1927492919222</v>
      </c>
    </row>
    <row r="6934" spans="1:13" ht="11.25" customHeight="1" x14ac:dyDescent="0.2">
      <c r="A6934" s="221">
        <v>2025</v>
      </c>
      <c r="B6934" s="221">
        <v>2</v>
      </c>
      <c r="C6934" s="221">
        <v>28</v>
      </c>
      <c r="D6934" s="231">
        <f t="shared" si="799"/>
        <v>45716</v>
      </c>
      <c r="E6934" s="233">
        <f t="shared" si="801"/>
        <v>45716</v>
      </c>
      <c r="F6934" s="478" t="s">
        <v>1829</v>
      </c>
      <c r="G6934" s="222" t="s">
        <v>86</v>
      </c>
      <c r="H6934" s="223"/>
      <c r="I6934" s="223"/>
      <c r="J6934" s="224" t="s">
        <v>88</v>
      </c>
      <c r="K6934" s="225">
        <v>2119137.5699999998</v>
      </c>
      <c r="L6934" s="225"/>
    </row>
    <row r="6935" spans="1:13" ht="11.25" customHeight="1" x14ac:dyDescent="0.2">
      <c r="A6935" s="164">
        <v>2025</v>
      </c>
      <c r="B6935" s="164">
        <v>2</v>
      </c>
      <c r="C6935" s="164">
        <v>28</v>
      </c>
      <c r="D6935" s="156">
        <f t="shared" si="799"/>
        <v>45716</v>
      </c>
      <c r="E6935" s="235">
        <f t="shared" ref="E6935" si="802">DATE(A6935,B6935,C6935)</f>
        <v>45716</v>
      </c>
      <c r="F6935" s="480"/>
      <c r="G6935" s="208" t="s">
        <v>86</v>
      </c>
      <c r="J6935" s="165" t="s">
        <v>63</v>
      </c>
      <c r="K6935" s="205">
        <v>3000</v>
      </c>
      <c r="L6935" s="205"/>
    </row>
    <row r="6936" spans="1:13" ht="11.25" customHeight="1" x14ac:dyDescent="0.2">
      <c r="A6936" s="164">
        <v>2025</v>
      </c>
      <c r="B6936" s="164">
        <v>2</v>
      </c>
      <c r="C6936" s="164">
        <v>28</v>
      </c>
      <c r="D6936" s="156">
        <f t="shared" si="799"/>
        <v>45716</v>
      </c>
      <c r="E6936" s="235">
        <f t="shared" si="801"/>
        <v>45716</v>
      </c>
      <c r="F6936" s="480"/>
      <c r="G6936" s="208" t="s">
        <v>86</v>
      </c>
      <c r="J6936" s="165" t="s">
        <v>131</v>
      </c>
      <c r="K6936" s="205"/>
      <c r="L6936" s="205">
        <v>61637.569999999832</v>
      </c>
    </row>
    <row r="6937" spans="1:13" ht="11.25" customHeight="1" x14ac:dyDescent="0.2">
      <c r="A6937" s="226">
        <v>2025</v>
      </c>
      <c r="B6937" s="226">
        <v>2</v>
      </c>
      <c r="C6937" s="226">
        <v>28</v>
      </c>
      <c r="D6937" s="232">
        <f t="shared" si="799"/>
        <v>45716</v>
      </c>
      <c r="E6937" s="234">
        <f t="shared" si="801"/>
        <v>45716</v>
      </c>
      <c r="F6937" s="479"/>
      <c r="G6937" s="227" t="s">
        <v>86</v>
      </c>
      <c r="H6937" s="228"/>
      <c r="I6937" s="228"/>
      <c r="J6937" s="229" t="s">
        <v>88</v>
      </c>
      <c r="K6937" s="230"/>
      <c r="L6937" s="230">
        <v>2060500</v>
      </c>
    </row>
    <row r="6938" spans="1:13" ht="11.25" customHeight="1" x14ac:dyDescent="0.2">
      <c r="A6938" s="221">
        <v>2025</v>
      </c>
      <c r="B6938" s="221">
        <v>3</v>
      </c>
      <c r="C6938" s="221">
        <v>2</v>
      </c>
      <c r="D6938" s="231">
        <f t="shared" si="799"/>
        <v>45718</v>
      </c>
      <c r="E6938" s="233">
        <f t="shared" si="801"/>
        <v>45718</v>
      </c>
      <c r="F6938" s="478" t="s">
        <v>1849</v>
      </c>
      <c r="G6938" s="222" t="s">
        <v>1111</v>
      </c>
      <c r="H6938" s="223"/>
      <c r="I6938" s="223"/>
      <c r="J6938" s="224" t="s">
        <v>53</v>
      </c>
      <c r="K6938" s="225">
        <v>36750</v>
      </c>
      <c r="L6938" s="225"/>
    </row>
    <row r="6939" spans="1:13" ht="11.25" customHeight="1" x14ac:dyDescent="0.2">
      <c r="A6939" s="226">
        <v>2025</v>
      </c>
      <c r="B6939" s="226">
        <v>3</v>
      </c>
      <c r="C6939" s="226">
        <v>2</v>
      </c>
      <c r="D6939" s="232">
        <f t="shared" si="799"/>
        <v>45718</v>
      </c>
      <c r="E6939" s="234">
        <f t="shared" si="801"/>
        <v>45718</v>
      </c>
      <c r="F6939" s="479"/>
      <c r="G6939" s="227" t="s">
        <v>1111</v>
      </c>
      <c r="H6939" s="228"/>
      <c r="I6939" s="228"/>
      <c r="J6939" s="229" t="s">
        <v>55</v>
      </c>
      <c r="K6939" s="230"/>
      <c r="L6939" s="230">
        <v>36750</v>
      </c>
    </row>
    <row r="6940" spans="1:13" ht="11.25" customHeight="1" x14ac:dyDescent="0.2">
      <c r="A6940" s="280">
        <v>2025</v>
      </c>
      <c r="B6940" s="280">
        <v>3</v>
      </c>
      <c r="C6940" s="280">
        <v>6</v>
      </c>
      <c r="D6940" s="281">
        <f t="shared" si="799"/>
        <v>45722</v>
      </c>
      <c r="E6940" s="282">
        <f t="shared" si="801"/>
        <v>45722</v>
      </c>
      <c r="F6940" s="472" t="s">
        <v>1744</v>
      </c>
      <c r="G6940" s="283" t="s">
        <v>86</v>
      </c>
      <c r="H6940" s="284"/>
      <c r="I6940" s="284"/>
      <c r="J6940" s="285" t="s">
        <v>131</v>
      </c>
      <c r="K6940" s="286">
        <v>19358.330000000002</v>
      </c>
      <c r="L6940" s="286"/>
    </row>
    <row r="6941" spans="1:13" ht="11.25" customHeight="1" x14ac:dyDescent="0.2">
      <c r="A6941" s="287">
        <v>2025</v>
      </c>
      <c r="B6941" s="287">
        <v>3</v>
      </c>
      <c r="C6941" s="287">
        <v>6</v>
      </c>
      <c r="D6941" s="288">
        <f t="shared" si="799"/>
        <v>45722</v>
      </c>
      <c r="E6941" s="289">
        <f t="shared" si="801"/>
        <v>45722</v>
      </c>
      <c r="F6941" s="473"/>
      <c r="G6941" s="290" t="s">
        <v>86</v>
      </c>
      <c r="H6941" s="291"/>
      <c r="I6941" s="291"/>
      <c r="J6941" s="292" t="s">
        <v>174</v>
      </c>
      <c r="K6941" s="293"/>
      <c r="L6941" s="293">
        <v>19358.330000000002</v>
      </c>
    </row>
    <row r="6942" spans="1:13" ht="11.25" customHeight="1" x14ac:dyDescent="0.2">
      <c r="A6942" s="280">
        <v>2025</v>
      </c>
      <c r="B6942" s="280">
        <v>3</v>
      </c>
      <c r="C6942" s="280">
        <v>6</v>
      </c>
      <c r="D6942" s="281">
        <f t="shared" si="799"/>
        <v>45722</v>
      </c>
      <c r="E6942" s="282">
        <f t="shared" si="801"/>
        <v>45722</v>
      </c>
      <c r="F6942" s="472" t="s">
        <v>1584</v>
      </c>
      <c r="G6942" s="283" t="s">
        <v>86</v>
      </c>
      <c r="H6942" s="284"/>
      <c r="I6942" s="284"/>
      <c r="J6942" s="285" t="s">
        <v>131</v>
      </c>
      <c r="K6942" s="286">
        <v>8846.15</v>
      </c>
      <c r="L6942" s="286"/>
    </row>
    <row r="6943" spans="1:13" ht="11.25" customHeight="1" x14ac:dyDescent="0.2">
      <c r="A6943" s="287">
        <v>2025</v>
      </c>
      <c r="B6943" s="287">
        <v>3</v>
      </c>
      <c r="C6943" s="287">
        <v>6</v>
      </c>
      <c r="D6943" s="288">
        <f t="shared" si="799"/>
        <v>45722</v>
      </c>
      <c r="E6943" s="289">
        <f t="shared" si="801"/>
        <v>45722</v>
      </c>
      <c r="F6943" s="473"/>
      <c r="G6943" s="290" t="s">
        <v>86</v>
      </c>
      <c r="H6943" s="291"/>
      <c r="I6943" s="291"/>
      <c r="J6943" s="292" t="s">
        <v>174</v>
      </c>
      <c r="K6943" s="293"/>
      <c r="L6943" s="293">
        <v>8846.15</v>
      </c>
    </row>
    <row r="6944" spans="1:13" ht="11.25" customHeight="1" x14ac:dyDescent="0.2">
      <c r="A6944" s="280">
        <v>2025</v>
      </c>
      <c r="B6944" s="280">
        <v>3</v>
      </c>
      <c r="C6944" s="280">
        <v>6</v>
      </c>
      <c r="D6944" s="281">
        <f t="shared" si="799"/>
        <v>45722</v>
      </c>
      <c r="E6944" s="282">
        <f t="shared" si="801"/>
        <v>45722</v>
      </c>
      <c r="F6944" s="472" t="s">
        <v>1836</v>
      </c>
      <c r="G6944" s="283" t="s">
        <v>86</v>
      </c>
      <c r="H6944" s="284"/>
      <c r="I6944" s="284"/>
      <c r="J6944" s="285" t="s">
        <v>131</v>
      </c>
      <c r="K6944" s="286">
        <v>4653.8500000000004</v>
      </c>
      <c r="L6944" s="286"/>
    </row>
    <row r="6945" spans="1:13" ht="11.25" customHeight="1" x14ac:dyDescent="0.2">
      <c r="A6945" s="287">
        <v>2025</v>
      </c>
      <c r="B6945" s="287">
        <v>3</v>
      </c>
      <c r="C6945" s="287">
        <v>6</v>
      </c>
      <c r="D6945" s="288">
        <f t="shared" si="799"/>
        <v>45722</v>
      </c>
      <c r="E6945" s="289">
        <f t="shared" si="801"/>
        <v>45722</v>
      </c>
      <c r="F6945" s="473"/>
      <c r="G6945" s="290" t="s">
        <v>86</v>
      </c>
      <c r="H6945" s="291"/>
      <c r="I6945" s="291"/>
      <c r="J6945" s="292" t="s">
        <v>174</v>
      </c>
      <c r="K6945" s="293"/>
      <c r="L6945" s="293">
        <v>4653.8500000000004</v>
      </c>
    </row>
    <row r="6946" spans="1:13" ht="11.25" customHeight="1" x14ac:dyDescent="0.2">
      <c r="A6946" s="280">
        <v>2025</v>
      </c>
      <c r="B6946" s="280">
        <v>3</v>
      </c>
      <c r="C6946" s="280">
        <v>6</v>
      </c>
      <c r="D6946" s="281">
        <f t="shared" si="799"/>
        <v>45722</v>
      </c>
      <c r="E6946" s="282">
        <f t="shared" si="801"/>
        <v>45722</v>
      </c>
      <c r="F6946" s="472" t="s">
        <v>1830</v>
      </c>
      <c r="G6946" s="283" t="s">
        <v>86</v>
      </c>
      <c r="H6946" s="284"/>
      <c r="I6946" s="284"/>
      <c r="J6946" s="285" t="s">
        <v>131</v>
      </c>
      <c r="K6946" s="286">
        <v>5040.6492307692261</v>
      </c>
      <c r="L6946" s="286"/>
    </row>
    <row r="6947" spans="1:13" ht="11.25" customHeight="1" x14ac:dyDescent="0.2">
      <c r="A6947" s="287">
        <v>2025</v>
      </c>
      <c r="B6947" s="287">
        <v>3</v>
      </c>
      <c r="C6947" s="287">
        <v>6</v>
      </c>
      <c r="D6947" s="288">
        <f t="shared" si="799"/>
        <v>45722</v>
      </c>
      <c r="E6947" s="289">
        <f t="shared" si="801"/>
        <v>45722</v>
      </c>
      <c r="F6947" s="473"/>
      <c r="G6947" s="290" t="s">
        <v>86</v>
      </c>
      <c r="H6947" s="291"/>
      <c r="I6947" s="291"/>
      <c r="J6947" s="292" t="s">
        <v>174</v>
      </c>
      <c r="K6947" s="293"/>
      <c r="L6947" s="293">
        <v>5040.6492307692261</v>
      </c>
    </row>
    <row r="6948" spans="1:13" ht="11.25" customHeight="1" x14ac:dyDescent="0.2">
      <c r="A6948" s="341">
        <v>2025</v>
      </c>
      <c r="B6948" s="341">
        <v>3</v>
      </c>
      <c r="C6948" s="341">
        <v>6</v>
      </c>
      <c r="D6948" s="328">
        <f t="shared" si="799"/>
        <v>45722</v>
      </c>
      <c r="E6948" s="329">
        <f t="shared" si="801"/>
        <v>45722</v>
      </c>
      <c r="F6948" s="474" t="s">
        <v>1767</v>
      </c>
      <c r="G6948" s="330" t="s">
        <v>86</v>
      </c>
      <c r="H6948" s="332"/>
      <c r="I6948" s="332"/>
      <c r="J6948" s="342" t="s">
        <v>67</v>
      </c>
      <c r="K6948" s="343">
        <v>25304.21</v>
      </c>
      <c r="L6948" s="343"/>
    </row>
    <row r="6949" spans="1:13" ht="11.25" customHeight="1" x14ac:dyDescent="0.2">
      <c r="A6949" s="344">
        <v>2025</v>
      </c>
      <c r="B6949" s="344">
        <v>3</v>
      </c>
      <c r="C6949" s="344">
        <v>6</v>
      </c>
      <c r="D6949" s="337">
        <f t="shared" si="799"/>
        <v>45722</v>
      </c>
      <c r="E6949" s="338">
        <f t="shared" si="801"/>
        <v>45722</v>
      </c>
      <c r="F6949" s="475"/>
      <c r="G6949" s="339" t="s">
        <v>86</v>
      </c>
      <c r="H6949" s="340"/>
      <c r="I6949" s="340"/>
      <c r="J6949" s="345" t="s">
        <v>174</v>
      </c>
      <c r="K6949" s="346"/>
      <c r="L6949" s="346">
        <f>K6948</f>
        <v>25304.21</v>
      </c>
    </row>
    <row r="6950" spans="1:13" ht="11.25" customHeight="1" x14ac:dyDescent="0.2">
      <c r="A6950" s="358">
        <v>2025</v>
      </c>
      <c r="B6950" s="358">
        <v>3</v>
      </c>
      <c r="C6950" s="358">
        <v>6</v>
      </c>
      <c r="D6950" s="312">
        <f t="shared" si="799"/>
        <v>45722</v>
      </c>
      <c r="E6950" s="313">
        <f>DATE(A6950,B6950,C6950)</f>
        <v>45722</v>
      </c>
      <c r="F6950" s="482" t="s">
        <v>1627</v>
      </c>
      <c r="G6950" s="314" t="s">
        <v>86</v>
      </c>
      <c r="H6950" s="324"/>
      <c r="I6950" s="324"/>
      <c r="J6950" s="364" t="s">
        <v>1613</v>
      </c>
      <c r="K6950" s="365">
        <v>0</v>
      </c>
      <c r="L6950" s="365"/>
      <c r="M6950" s="156">
        <f>BS!$I$12</f>
        <v>0</v>
      </c>
    </row>
    <row r="6951" spans="1:13" ht="11.25" customHeight="1" x14ac:dyDescent="0.2">
      <c r="A6951" s="320">
        <v>2025</v>
      </c>
      <c r="B6951" s="320">
        <v>3</v>
      </c>
      <c r="C6951" s="320">
        <v>6</v>
      </c>
      <c r="D6951" s="323">
        <f t="shared" si="799"/>
        <v>45722</v>
      </c>
      <c r="E6951" s="321">
        <f t="shared" ref="E6951" si="803">DATE(A6951,B6951,C6951)</f>
        <v>45722</v>
      </c>
      <c r="F6951" s="483"/>
      <c r="G6951" s="322" t="s">
        <v>86</v>
      </c>
      <c r="H6951" s="325"/>
      <c r="I6951" s="325"/>
      <c r="J6951" s="366" t="s">
        <v>1621</v>
      </c>
      <c r="K6951" s="367"/>
      <c r="L6951" s="367">
        <f>K6950</f>
        <v>0</v>
      </c>
    </row>
    <row r="6952" spans="1:13" ht="11.25" customHeight="1" x14ac:dyDescent="0.2">
      <c r="A6952" s="358">
        <v>2025</v>
      </c>
      <c r="B6952" s="358">
        <v>3</v>
      </c>
      <c r="C6952" s="358">
        <v>6</v>
      </c>
      <c r="D6952" s="312">
        <f t="shared" si="799"/>
        <v>45722</v>
      </c>
      <c r="E6952" s="313">
        <f>DATE(A6952,B6952,C6952)</f>
        <v>45722</v>
      </c>
      <c r="F6952" s="482" t="s">
        <v>1713</v>
      </c>
      <c r="G6952" s="314" t="s">
        <v>86</v>
      </c>
      <c r="H6952" s="324"/>
      <c r="I6952" s="324"/>
      <c r="J6952" s="364" t="s">
        <v>1614</v>
      </c>
      <c r="K6952" s="365">
        <v>9329.3650000020862</v>
      </c>
      <c r="L6952" s="365"/>
      <c r="M6952" s="156">
        <f>BS!$I$15</f>
        <v>0</v>
      </c>
    </row>
    <row r="6953" spans="1:13" ht="11.25" customHeight="1" x14ac:dyDescent="0.2">
      <c r="A6953" s="320">
        <v>2025</v>
      </c>
      <c r="B6953" s="320">
        <v>3</v>
      </c>
      <c r="C6953" s="320">
        <v>6</v>
      </c>
      <c r="D6953" s="323">
        <f t="shared" si="799"/>
        <v>45722</v>
      </c>
      <c r="E6953" s="321">
        <f t="shared" ref="E6953:E6976" si="804">DATE(A6953,B6953,C6953)</f>
        <v>45722</v>
      </c>
      <c r="F6953" s="483"/>
      <c r="G6953" s="322" t="s">
        <v>86</v>
      </c>
      <c r="H6953" s="325"/>
      <c r="I6953" s="325"/>
      <c r="J6953" s="366" t="s">
        <v>1622</v>
      </c>
      <c r="K6953" s="367"/>
      <c r="L6953" s="367">
        <f>K6952</f>
        <v>9329.3650000020862</v>
      </c>
    </row>
    <row r="6954" spans="1:13" ht="11.25" customHeight="1" x14ac:dyDescent="0.2">
      <c r="A6954" s="236">
        <v>2025</v>
      </c>
      <c r="B6954" s="236">
        <v>3</v>
      </c>
      <c r="C6954" s="236">
        <v>6</v>
      </c>
      <c r="D6954" s="237">
        <f t="shared" si="799"/>
        <v>45722</v>
      </c>
      <c r="E6954" s="238">
        <f t="shared" si="804"/>
        <v>45722</v>
      </c>
      <c r="F6954" s="476" t="s">
        <v>1118</v>
      </c>
      <c r="G6954" s="239" t="s">
        <v>86</v>
      </c>
      <c r="H6954" s="239"/>
      <c r="I6954" s="240"/>
      <c r="J6954" s="241" t="s">
        <v>82</v>
      </c>
      <c r="K6954" s="242">
        <v>404796.92000000179</v>
      </c>
      <c r="L6954" s="242"/>
      <c r="M6954" s="156">
        <f>BS!$I$8</f>
        <v>0</v>
      </c>
    </row>
    <row r="6955" spans="1:13" ht="11.25" customHeight="1" x14ac:dyDescent="0.2">
      <c r="A6955" s="243">
        <v>2025</v>
      </c>
      <c r="B6955" s="243">
        <v>3</v>
      </c>
      <c r="C6955" s="243">
        <v>6</v>
      </c>
      <c r="D6955" s="248">
        <f t="shared" si="799"/>
        <v>45722</v>
      </c>
      <c r="E6955" s="249">
        <f t="shared" si="804"/>
        <v>45722</v>
      </c>
      <c r="F6955" s="477"/>
      <c r="G6955" s="244" t="s">
        <v>86</v>
      </c>
      <c r="H6955" s="244"/>
      <c r="I6955" s="245"/>
      <c r="J6955" s="246" t="s">
        <v>98</v>
      </c>
      <c r="K6955" s="247"/>
      <c r="L6955" s="247">
        <f>K6954</f>
        <v>404796.92000000179</v>
      </c>
    </row>
    <row r="6956" spans="1:13" ht="11.25" customHeight="1" x14ac:dyDescent="0.2">
      <c r="A6956" s="236">
        <v>2025</v>
      </c>
      <c r="B6956" s="236">
        <v>3</v>
      </c>
      <c r="C6956" s="236">
        <v>6</v>
      </c>
      <c r="D6956" s="237">
        <f t="shared" si="799"/>
        <v>45722</v>
      </c>
      <c r="E6956" s="238">
        <f t="shared" si="804"/>
        <v>45722</v>
      </c>
      <c r="F6956" s="476" t="s">
        <v>1120</v>
      </c>
      <c r="G6956" s="239" t="s">
        <v>86</v>
      </c>
      <c r="H6956" s="239"/>
      <c r="I6956" s="240"/>
      <c r="J6956" s="241" t="s">
        <v>87</v>
      </c>
      <c r="K6956" s="242">
        <v>2747.2527472527472</v>
      </c>
      <c r="L6956" s="242"/>
    </row>
    <row r="6957" spans="1:13" ht="11.25" customHeight="1" x14ac:dyDescent="0.2">
      <c r="A6957" s="243">
        <v>2025</v>
      </c>
      <c r="B6957" s="243">
        <v>3</v>
      </c>
      <c r="C6957" s="243">
        <v>6</v>
      </c>
      <c r="D6957" s="248">
        <f t="shared" si="799"/>
        <v>45722</v>
      </c>
      <c r="E6957" s="249">
        <f t="shared" si="804"/>
        <v>45722</v>
      </c>
      <c r="F6957" s="477"/>
      <c r="G6957" s="244" t="s">
        <v>86</v>
      </c>
      <c r="H6957" s="244"/>
      <c r="I6957" s="245"/>
      <c r="J6957" s="246" t="s">
        <v>64</v>
      </c>
      <c r="K6957" s="247"/>
      <c r="L6957" s="247">
        <v>2747.2527472527472</v>
      </c>
    </row>
    <row r="6958" spans="1:13" ht="11.25" customHeight="1" x14ac:dyDescent="0.2">
      <c r="A6958" s="236">
        <v>2025</v>
      </c>
      <c r="B6958" s="236">
        <v>3</v>
      </c>
      <c r="C6958" s="236">
        <v>6</v>
      </c>
      <c r="D6958" s="237">
        <f t="shared" si="799"/>
        <v>45722</v>
      </c>
      <c r="E6958" s="238">
        <f t="shared" si="804"/>
        <v>45722</v>
      </c>
      <c r="F6958" s="476" t="s">
        <v>1121</v>
      </c>
      <c r="G6958" s="239" t="s">
        <v>86</v>
      </c>
      <c r="H6958" s="239"/>
      <c r="I6958" s="240"/>
      <c r="J6958" s="241" t="s">
        <v>89</v>
      </c>
      <c r="K6958" s="242">
        <f>M6958</f>
        <v>69893.538517457637</v>
      </c>
      <c r="L6958" s="242"/>
      <c r="M6958" s="156">
        <v>69893.538517457637</v>
      </c>
    </row>
    <row r="6959" spans="1:13" ht="11.25" customHeight="1" x14ac:dyDescent="0.2">
      <c r="A6959" s="243">
        <v>2025</v>
      </c>
      <c r="B6959" s="243">
        <v>3</v>
      </c>
      <c r="C6959" s="243">
        <v>6</v>
      </c>
      <c r="D6959" s="248">
        <f t="shared" si="799"/>
        <v>45722</v>
      </c>
      <c r="E6959" s="249">
        <f t="shared" si="804"/>
        <v>45722</v>
      </c>
      <c r="F6959" s="477"/>
      <c r="G6959" s="244" t="s">
        <v>86</v>
      </c>
      <c r="H6959" s="244"/>
      <c r="I6959" s="245"/>
      <c r="J6959" s="246" t="s">
        <v>50</v>
      </c>
      <c r="K6959" s="247"/>
      <c r="L6959" s="247">
        <f>K6958</f>
        <v>69893.538517457637</v>
      </c>
      <c r="M6959" s="156">
        <v>3254.2923104882666</v>
      </c>
    </row>
    <row r="6960" spans="1:13" ht="11.25" customHeight="1" x14ac:dyDescent="0.2">
      <c r="A6960" s="236">
        <v>2025</v>
      </c>
      <c r="B6960" s="236">
        <v>3</v>
      </c>
      <c r="C6960" s="236">
        <v>6</v>
      </c>
      <c r="D6960" s="237">
        <f t="shared" si="799"/>
        <v>45722</v>
      </c>
      <c r="E6960" s="238">
        <f t="shared" si="804"/>
        <v>45722</v>
      </c>
      <c r="F6960" s="476" t="s">
        <v>1122</v>
      </c>
      <c r="G6960" s="239" t="s">
        <v>86</v>
      </c>
      <c r="H6960" s="239"/>
      <c r="I6960" s="240"/>
      <c r="J6960" s="241" t="s">
        <v>91</v>
      </c>
      <c r="K6960" s="242">
        <f>M6959</f>
        <v>3254.2923104882666</v>
      </c>
      <c r="L6960" s="242"/>
    </row>
    <row r="6961" spans="1:21" ht="11.25" customHeight="1" x14ac:dyDescent="0.2">
      <c r="A6961" s="243">
        <v>2025</v>
      </c>
      <c r="B6961" s="243">
        <v>3</v>
      </c>
      <c r="C6961" s="243">
        <v>6</v>
      </c>
      <c r="D6961" s="248">
        <f t="shared" si="799"/>
        <v>45722</v>
      </c>
      <c r="E6961" s="249">
        <f t="shared" si="804"/>
        <v>45722</v>
      </c>
      <c r="F6961" s="477"/>
      <c r="G6961" s="244" t="s">
        <v>86</v>
      </c>
      <c r="H6961" s="244"/>
      <c r="I6961" s="245"/>
      <c r="J6961" s="246" t="s">
        <v>51</v>
      </c>
      <c r="K6961" s="247"/>
      <c r="L6961" s="247">
        <f>K6960</f>
        <v>3254.2923104882666</v>
      </c>
    </row>
    <row r="6962" spans="1:21" ht="11.25" customHeight="1" x14ac:dyDescent="0.2">
      <c r="A6962" s="164">
        <v>2025</v>
      </c>
      <c r="B6962" s="164">
        <v>3</v>
      </c>
      <c r="C6962" s="221">
        <v>10</v>
      </c>
      <c r="D6962" s="156">
        <f t="shared" si="799"/>
        <v>45726</v>
      </c>
      <c r="E6962" s="235">
        <f t="shared" si="804"/>
        <v>45726</v>
      </c>
      <c r="F6962" s="478" t="s">
        <v>1808</v>
      </c>
      <c r="G6962" s="208" t="s">
        <v>1111</v>
      </c>
      <c r="J6962" s="165" t="s">
        <v>478</v>
      </c>
      <c r="K6962" s="205">
        <v>126446.63</v>
      </c>
      <c r="L6962" s="205"/>
    </row>
    <row r="6963" spans="1:21" ht="11.25" customHeight="1" x14ac:dyDescent="0.2">
      <c r="A6963" s="164">
        <v>2025</v>
      </c>
      <c r="B6963" s="164">
        <v>3</v>
      </c>
      <c r="C6963" s="164">
        <v>10</v>
      </c>
      <c r="D6963" s="156">
        <f t="shared" si="799"/>
        <v>45726</v>
      </c>
      <c r="E6963" s="235">
        <f t="shared" si="804"/>
        <v>45726</v>
      </c>
      <c r="F6963" s="480"/>
      <c r="G6963" s="208" t="s">
        <v>1111</v>
      </c>
      <c r="J6963" s="165" t="s">
        <v>1708</v>
      </c>
      <c r="K6963" s="205">
        <v>250</v>
      </c>
      <c r="L6963" s="205"/>
    </row>
    <row r="6964" spans="1:21" ht="11.25" customHeight="1" x14ac:dyDescent="0.2">
      <c r="A6964" s="164">
        <v>2025</v>
      </c>
      <c r="B6964" s="164">
        <v>3</v>
      </c>
      <c r="C6964" s="164">
        <v>10</v>
      </c>
      <c r="D6964" s="156">
        <f t="shared" si="799"/>
        <v>45726</v>
      </c>
      <c r="E6964" s="235">
        <f t="shared" si="804"/>
        <v>45726</v>
      </c>
      <c r="F6964" s="480"/>
      <c r="G6964" s="208" t="s">
        <v>1111</v>
      </c>
      <c r="J6964" s="165" t="s">
        <v>1707</v>
      </c>
      <c r="K6964" s="205">
        <v>150</v>
      </c>
      <c r="L6964" s="205"/>
    </row>
    <row r="6965" spans="1:21" ht="11.25" customHeight="1" x14ac:dyDescent="0.2">
      <c r="A6965" s="226">
        <v>2025</v>
      </c>
      <c r="B6965" s="226">
        <v>3</v>
      </c>
      <c r="C6965" s="226">
        <v>10</v>
      </c>
      <c r="D6965" s="232">
        <f t="shared" si="799"/>
        <v>45726</v>
      </c>
      <c r="E6965" s="234">
        <f t="shared" si="804"/>
        <v>45726</v>
      </c>
      <c r="F6965" s="479"/>
      <c r="G6965" s="227" t="s">
        <v>1111</v>
      </c>
      <c r="H6965" s="228"/>
      <c r="I6965" s="228"/>
      <c r="J6965" s="229" t="s">
        <v>55</v>
      </c>
      <c r="K6965" s="230"/>
      <c r="L6965" s="230">
        <v>126846.63</v>
      </c>
    </row>
    <row r="6966" spans="1:21" ht="11.25" customHeight="1" x14ac:dyDescent="0.2">
      <c r="A6966" s="221">
        <v>2025</v>
      </c>
      <c r="B6966" s="221">
        <v>3</v>
      </c>
      <c r="C6966" s="221">
        <v>12</v>
      </c>
      <c r="D6966" s="231">
        <f t="shared" si="799"/>
        <v>45728</v>
      </c>
      <c r="E6966" s="233">
        <f t="shared" si="804"/>
        <v>45728</v>
      </c>
      <c r="F6966" s="478" t="s">
        <v>1850</v>
      </c>
      <c r="G6966" s="222" t="s">
        <v>1111</v>
      </c>
      <c r="H6966" s="223"/>
      <c r="I6966" s="223"/>
      <c r="J6966" s="224" t="s">
        <v>316</v>
      </c>
      <c r="K6966" s="225">
        <v>1326305.44</v>
      </c>
      <c r="L6966" s="225"/>
      <c r="U6966" s="166"/>
    </row>
    <row r="6967" spans="1:21" ht="11.25" customHeight="1" x14ac:dyDescent="0.2">
      <c r="A6967" s="226">
        <v>2025</v>
      </c>
      <c r="B6967" s="226">
        <v>3</v>
      </c>
      <c r="C6967" s="226">
        <v>12</v>
      </c>
      <c r="D6967" s="232">
        <f t="shared" si="799"/>
        <v>45728</v>
      </c>
      <c r="E6967" s="234">
        <f t="shared" si="804"/>
        <v>45728</v>
      </c>
      <c r="F6967" s="479"/>
      <c r="G6967" s="227" t="s">
        <v>1111</v>
      </c>
      <c r="H6967" s="228"/>
      <c r="I6967" s="228"/>
      <c r="J6967" s="229" t="s">
        <v>478</v>
      </c>
      <c r="K6967" s="230"/>
      <c r="L6967" s="230">
        <v>1326305.44</v>
      </c>
      <c r="U6967" s="166"/>
    </row>
    <row r="6968" spans="1:21" ht="11.25" customHeight="1" x14ac:dyDescent="0.2">
      <c r="A6968" s="231">
        <v>2025</v>
      </c>
      <c r="B6968" s="221">
        <v>3</v>
      </c>
      <c r="C6968" s="221">
        <v>12</v>
      </c>
      <c r="D6968" s="221">
        <f t="shared" si="799"/>
        <v>45728</v>
      </c>
      <c r="E6968" s="271">
        <f t="shared" si="804"/>
        <v>45728</v>
      </c>
      <c r="F6968" s="478" t="s">
        <v>1851</v>
      </c>
      <c r="G6968" s="222" t="s">
        <v>86</v>
      </c>
      <c r="H6968" s="223"/>
      <c r="I6968" s="223"/>
      <c r="J6968" s="377" t="s">
        <v>316</v>
      </c>
      <c r="K6968" s="225">
        <v>2606400.92</v>
      </c>
      <c r="L6968" s="225"/>
    </row>
    <row r="6969" spans="1:21" ht="11.25" customHeight="1" x14ac:dyDescent="0.2">
      <c r="A6969" s="156">
        <v>2025</v>
      </c>
      <c r="B6969" s="164">
        <v>3</v>
      </c>
      <c r="C6969" s="164">
        <v>12</v>
      </c>
      <c r="D6969" s="164">
        <f t="shared" si="799"/>
        <v>45728</v>
      </c>
      <c r="E6969" s="276">
        <f t="shared" si="804"/>
        <v>45728</v>
      </c>
      <c r="F6969" s="480"/>
      <c r="G6969" s="208" t="s">
        <v>86</v>
      </c>
      <c r="J6969" s="378" t="s">
        <v>14</v>
      </c>
      <c r="K6969" s="205"/>
      <c r="L6969" s="205">
        <v>2473590</v>
      </c>
    </row>
    <row r="6970" spans="1:21" ht="11.25" customHeight="1" x14ac:dyDescent="0.2">
      <c r="A6970" s="232">
        <v>2025</v>
      </c>
      <c r="B6970" s="226">
        <v>3</v>
      </c>
      <c r="C6970" s="226">
        <v>12</v>
      </c>
      <c r="D6970" s="226">
        <f t="shared" si="799"/>
        <v>45728</v>
      </c>
      <c r="E6970" s="272">
        <f t="shared" si="804"/>
        <v>45728</v>
      </c>
      <c r="F6970" s="479"/>
      <c r="G6970" s="227" t="s">
        <v>86</v>
      </c>
      <c r="H6970" s="228"/>
      <c r="I6970" s="228"/>
      <c r="J6970" s="379" t="s">
        <v>56</v>
      </c>
      <c r="K6970" s="230"/>
      <c r="L6970" s="230">
        <v>132810.92000000001</v>
      </c>
    </row>
    <row r="6971" spans="1:21" ht="11.25" customHeight="1" x14ac:dyDescent="0.2">
      <c r="A6971" s="221">
        <v>2025</v>
      </c>
      <c r="B6971" s="221">
        <v>3</v>
      </c>
      <c r="C6971" s="221">
        <v>13</v>
      </c>
      <c r="D6971" s="231">
        <f t="shared" si="799"/>
        <v>45729</v>
      </c>
      <c r="E6971" s="233">
        <f t="shared" si="804"/>
        <v>45729</v>
      </c>
      <c r="F6971" s="478" t="s">
        <v>1115</v>
      </c>
      <c r="G6971" s="222" t="s">
        <v>1111</v>
      </c>
      <c r="H6971" s="223"/>
      <c r="I6971" s="223" t="s">
        <v>481</v>
      </c>
      <c r="J6971" s="224" t="s">
        <v>14</v>
      </c>
      <c r="K6971" s="167">
        <v>1009310</v>
      </c>
      <c r="L6971" s="225"/>
    </row>
    <row r="6972" spans="1:21" ht="11.25" customHeight="1" x14ac:dyDescent="0.2">
      <c r="A6972" s="164">
        <v>2025</v>
      </c>
      <c r="B6972" s="164">
        <v>3</v>
      </c>
      <c r="C6972" s="164">
        <v>13</v>
      </c>
      <c r="D6972" s="156">
        <f t="shared" si="799"/>
        <v>45729</v>
      </c>
      <c r="E6972" s="235">
        <f t="shared" si="804"/>
        <v>45729</v>
      </c>
      <c r="F6972" s="480"/>
      <c r="G6972" s="208" t="s">
        <v>1111</v>
      </c>
      <c r="I6972" s="206" t="s">
        <v>481</v>
      </c>
      <c r="J6972" s="165" t="s">
        <v>1112</v>
      </c>
      <c r="K6972" s="205">
        <v>54199.949999999953</v>
      </c>
      <c r="L6972" s="156"/>
    </row>
    <row r="6973" spans="1:21" ht="11.25" customHeight="1" x14ac:dyDescent="0.2">
      <c r="A6973" s="226">
        <v>2025</v>
      </c>
      <c r="B6973" s="226">
        <v>3</v>
      </c>
      <c r="C6973" s="226">
        <v>13</v>
      </c>
      <c r="D6973" s="232">
        <f t="shared" si="799"/>
        <v>45729</v>
      </c>
      <c r="E6973" s="234">
        <f t="shared" si="804"/>
        <v>45729</v>
      </c>
      <c r="F6973" s="479"/>
      <c r="G6973" s="227" t="s">
        <v>1111</v>
      </c>
      <c r="H6973" s="228"/>
      <c r="I6973" s="228" t="s">
        <v>481</v>
      </c>
      <c r="J6973" s="229" t="s">
        <v>55</v>
      </c>
      <c r="K6973" s="230"/>
      <c r="L6973" s="230">
        <v>1063509.95</v>
      </c>
    </row>
    <row r="6974" spans="1:21" ht="11.25" customHeight="1" x14ac:dyDescent="0.2">
      <c r="A6974" s="221">
        <v>2025</v>
      </c>
      <c r="B6974" s="221">
        <v>3</v>
      </c>
      <c r="C6974" s="221">
        <v>13</v>
      </c>
      <c r="D6974" s="231">
        <f t="shared" si="799"/>
        <v>45729</v>
      </c>
      <c r="E6974" s="233">
        <f t="shared" si="804"/>
        <v>45729</v>
      </c>
      <c r="F6974" s="478" t="s">
        <v>802</v>
      </c>
      <c r="G6974" s="222" t="s">
        <v>1111</v>
      </c>
      <c r="H6974" s="223"/>
      <c r="I6974" s="223" t="s">
        <v>1853</v>
      </c>
      <c r="J6974" s="224" t="s">
        <v>55</v>
      </c>
      <c r="K6974" s="167">
        <v>500000</v>
      </c>
      <c r="L6974" s="225"/>
    </row>
    <row r="6975" spans="1:21" ht="11.25" customHeight="1" x14ac:dyDescent="0.2">
      <c r="A6975" s="164">
        <v>2025</v>
      </c>
      <c r="B6975" s="164">
        <v>3</v>
      </c>
      <c r="C6975" s="164">
        <v>13</v>
      </c>
      <c r="D6975" s="156">
        <f t="shared" si="799"/>
        <v>45729</v>
      </c>
      <c r="E6975" s="235">
        <f t="shared" si="804"/>
        <v>45729</v>
      </c>
      <c r="F6975" s="480"/>
      <c r="G6975" s="208" t="s">
        <v>1111</v>
      </c>
      <c r="I6975" s="206" t="s">
        <v>1853</v>
      </c>
      <c r="J6975" s="165" t="s">
        <v>14</v>
      </c>
      <c r="L6975" s="205">
        <v>474520</v>
      </c>
    </row>
    <row r="6976" spans="1:21" ht="11.25" customHeight="1" x14ac:dyDescent="0.2">
      <c r="A6976" s="226">
        <v>2025</v>
      </c>
      <c r="B6976" s="226">
        <v>3</v>
      </c>
      <c r="C6976" s="226">
        <v>13</v>
      </c>
      <c r="D6976" s="232">
        <f t="shared" si="799"/>
        <v>45729</v>
      </c>
      <c r="E6976" s="234">
        <f t="shared" si="804"/>
        <v>45729</v>
      </c>
      <c r="F6976" s="479"/>
      <c r="G6976" s="227" t="s">
        <v>1111</v>
      </c>
      <c r="H6976" s="228"/>
      <c r="I6976" s="228" t="s">
        <v>1853</v>
      </c>
      <c r="J6976" s="229" t="s">
        <v>1112</v>
      </c>
      <c r="K6976" s="230"/>
      <c r="L6976" s="230">
        <v>25480</v>
      </c>
    </row>
    <row r="6977" spans="1:12" ht="11.25" customHeight="1" x14ac:dyDescent="0.2">
      <c r="A6977" s="221">
        <v>2025</v>
      </c>
      <c r="B6977" s="221">
        <v>3</v>
      </c>
      <c r="C6977" s="221">
        <v>13</v>
      </c>
      <c r="D6977" s="231">
        <f t="shared" si="799"/>
        <v>45729</v>
      </c>
      <c r="E6977" s="233">
        <f t="shared" ref="E6977:E6979" si="805">DATE(A6977,B6977,C6977)</f>
        <v>45729</v>
      </c>
      <c r="F6977" s="478" t="s">
        <v>802</v>
      </c>
      <c r="G6977" s="222" t="s">
        <v>1111</v>
      </c>
      <c r="H6977" s="223"/>
      <c r="I6977" s="223" t="s">
        <v>1853</v>
      </c>
      <c r="J6977" s="224" t="s">
        <v>55</v>
      </c>
      <c r="K6977" s="167">
        <v>500000</v>
      </c>
      <c r="L6977" s="225"/>
    </row>
    <row r="6978" spans="1:12" ht="11.25" customHeight="1" x14ac:dyDescent="0.2">
      <c r="A6978" s="164">
        <v>2025</v>
      </c>
      <c r="B6978" s="164">
        <v>3</v>
      </c>
      <c r="C6978" s="164">
        <v>13</v>
      </c>
      <c r="D6978" s="156">
        <f t="shared" si="799"/>
        <v>45729</v>
      </c>
      <c r="E6978" s="235">
        <f t="shared" si="805"/>
        <v>45729</v>
      </c>
      <c r="F6978" s="480"/>
      <c r="G6978" s="208" t="s">
        <v>1111</v>
      </c>
      <c r="I6978" s="206" t="s">
        <v>1853</v>
      </c>
      <c r="J6978" s="165" t="s">
        <v>14</v>
      </c>
      <c r="L6978" s="205">
        <v>474520</v>
      </c>
    </row>
    <row r="6979" spans="1:12" ht="11.25" customHeight="1" x14ac:dyDescent="0.2">
      <c r="A6979" s="226">
        <v>2025</v>
      </c>
      <c r="B6979" s="226">
        <v>3</v>
      </c>
      <c r="C6979" s="226">
        <v>13</v>
      </c>
      <c r="D6979" s="232">
        <f t="shared" si="799"/>
        <v>45729</v>
      </c>
      <c r="E6979" s="234">
        <f t="shared" si="805"/>
        <v>45729</v>
      </c>
      <c r="F6979" s="479"/>
      <c r="G6979" s="227" t="s">
        <v>1111</v>
      </c>
      <c r="H6979" s="228"/>
      <c r="I6979" s="228" t="s">
        <v>1853</v>
      </c>
      <c r="J6979" s="229" t="s">
        <v>1112</v>
      </c>
      <c r="K6979" s="230"/>
      <c r="L6979" s="230">
        <v>25480</v>
      </c>
    </row>
    <row r="6980" spans="1:12" ht="11.25" customHeight="1" x14ac:dyDescent="0.2">
      <c r="A6980" s="221">
        <v>2025</v>
      </c>
      <c r="B6980" s="221">
        <v>3</v>
      </c>
      <c r="C6980" s="221">
        <v>13</v>
      </c>
      <c r="D6980" s="231">
        <f t="shared" si="799"/>
        <v>45729</v>
      </c>
      <c r="E6980" s="233">
        <f t="shared" ref="E6980:E6982" si="806">DATE(A6980,B6980,C6980)</f>
        <v>45729</v>
      </c>
      <c r="F6980" s="478" t="s">
        <v>802</v>
      </c>
      <c r="G6980" s="222" t="s">
        <v>1111</v>
      </c>
      <c r="H6980" s="223"/>
      <c r="I6980" s="223" t="s">
        <v>545</v>
      </c>
      <c r="J6980" s="224" t="s">
        <v>55</v>
      </c>
      <c r="K6980" s="167">
        <v>400000</v>
      </c>
      <c r="L6980" s="225"/>
    </row>
    <row r="6981" spans="1:12" ht="11.25" customHeight="1" x14ac:dyDescent="0.2">
      <c r="A6981" s="164">
        <v>2025</v>
      </c>
      <c r="B6981" s="164">
        <v>3</v>
      </c>
      <c r="C6981" s="164">
        <v>13</v>
      </c>
      <c r="D6981" s="156">
        <f t="shared" si="799"/>
        <v>45729</v>
      </c>
      <c r="E6981" s="235">
        <f t="shared" si="806"/>
        <v>45729</v>
      </c>
      <c r="F6981" s="480"/>
      <c r="G6981" s="208" t="s">
        <v>1111</v>
      </c>
      <c r="I6981" s="206" t="s">
        <v>545</v>
      </c>
      <c r="J6981" s="165" t="s">
        <v>14</v>
      </c>
      <c r="L6981" s="205">
        <v>379610</v>
      </c>
    </row>
    <row r="6982" spans="1:12" ht="11.25" customHeight="1" x14ac:dyDescent="0.2">
      <c r="A6982" s="226">
        <v>2025</v>
      </c>
      <c r="B6982" s="226">
        <v>3</v>
      </c>
      <c r="C6982" s="226">
        <v>13</v>
      </c>
      <c r="D6982" s="232">
        <f t="shared" si="799"/>
        <v>45729</v>
      </c>
      <c r="E6982" s="234">
        <f t="shared" si="806"/>
        <v>45729</v>
      </c>
      <c r="F6982" s="479"/>
      <c r="G6982" s="227" t="s">
        <v>1111</v>
      </c>
      <c r="H6982" s="228"/>
      <c r="I6982" s="228" t="s">
        <v>545</v>
      </c>
      <c r="J6982" s="229" t="s">
        <v>1112</v>
      </c>
      <c r="K6982" s="230"/>
      <c r="L6982" s="230">
        <v>20390</v>
      </c>
    </row>
    <row r="6983" spans="1:12" ht="11.25" customHeight="1" x14ac:dyDescent="0.2">
      <c r="A6983" s="221">
        <v>2025</v>
      </c>
      <c r="B6983" s="221">
        <v>3</v>
      </c>
      <c r="C6983" s="221">
        <v>13</v>
      </c>
      <c r="D6983" s="231">
        <f t="shared" si="799"/>
        <v>45729</v>
      </c>
      <c r="E6983" s="233">
        <f t="shared" ref="E6983:E7000" si="807">DATE(A6983,B6983,C6983)</f>
        <v>45729</v>
      </c>
      <c r="F6983" s="478" t="s">
        <v>802</v>
      </c>
      <c r="G6983" s="222" t="s">
        <v>1111</v>
      </c>
      <c r="H6983" s="223"/>
      <c r="I6983" s="223" t="s">
        <v>545</v>
      </c>
      <c r="J6983" s="224" t="s">
        <v>55</v>
      </c>
      <c r="K6983" s="167">
        <v>400000</v>
      </c>
      <c r="L6983" s="225"/>
    </row>
    <row r="6984" spans="1:12" ht="11.25" customHeight="1" x14ac:dyDescent="0.2">
      <c r="A6984" s="164">
        <v>2025</v>
      </c>
      <c r="B6984" s="164">
        <v>3</v>
      </c>
      <c r="C6984" s="164">
        <v>13</v>
      </c>
      <c r="D6984" s="156">
        <f t="shared" si="799"/>
        <v>45729</v>
      </c>
      <c r="E6984" s="235">
        <f t="shared" si="807"/>
        <v>45729</v>
      </c>
      <c r="F6984" s="480"/>
      <c r="G6984" s="208" t="s">
        <v>1111</v>
      </c>
      <c r="I6984" s="206" t="s">
        <v>545</v>
      </c>
      <c r="J6984" s="165" t="s">
        <v>14</v>
      </c>
      <c r="L6984" s="205">
        <v>379610</v>
      </c>
    </row>
    <row r="6985" spans="1:12" ht="11.25" customHeight="1" x14ac:dyDescent="0.2">
      <c r="A6985" s="226">
        <v>2025</v>
      </c>
      <c r="B6985" s="226">
        <v>3</v>
      </c>
      <c r="C6985" s="226">
        <v>13</v>
      </c>
      <c r="D6985" s="232">
        <f t="shared" ref="D6985:D7048" si="808">DATE(A6985,B6985,C6985)</f>
        <v>45729</v>
      </c>
      <c r="E6985" s="234">
        <f t="shared" si="807"/>
        <v>45729</v>
      </c>
      <c r="F6985" s="479"/>
      <c r="G6985" s="227" t="s">
        <v>1111</v>
      </c>
      <c r="H6985" s="228"/>
      <c r="I6985" s="228" t="s">
        <v>545</v>
      </c>
      <c r="J6985" s="229" t="s">
        <v>1112</v>
      </c>
      <c r="K6985" s="230"/>
      <c r="L6985" s="230">
        <v>20390</v>
      </c>
    </row>
    <row r="6986" spans="1:12" ht="11.25" customHeight="1" x14ac:dyDescent="0.2">
      <c r="A6986" s="221">
        <v>2025</v>
      </c>
      <c r="B6986" s="221">
        <v>3</v>
      </c>
      <c r="C6986" s="221">
        <v>13</v>
      </c>
      <c r="D6986" s="231">
        <f t="shared" si="808"/>
        <v>45729</v>
      </c>
      <c r="E6986" s="233">
        <f t="shared" ref="E6986:E6988" si="809">DATE(A6986,B6986,C6986)</f>
        <v>45729</v>
      </c>
      <c r="F6986" s="478" t="s">
        <v>802</v>
      </c>
      <c r="G6986" s="222" t="s">
        <v>1111</v>
      </c>
      <c r="H6986" s="223"/>
      <c r="I6986" s="223"/>
      <c r="J6986" s="224" t="s">
        <v>55</v>
      </c>
      <c r="K6986" s="167">
        <v>60000</v>
      </c>
      <c r="L6986" s="225"/>
    </row>
    <row r="6987" spans="1:12" ht="11.25" customHeight="1" x14ac:dyDescent="0.2">
      <c r="A6987" s="164">
        <v>2025</v>
      </c>
      <c r="B6987" s="164">
        <v>3</v>
      </c>
      <c r="C6987" s="164">
        <v>13</v>
      </c>
      <c r="D6987" s="156">
        <f t="shared" si="808"/>
        <v>45729</v>
      </c>
      <c r="E6987" s="235">
        <f t="shared" si="809"/>
        <v>45729</v>
      </c>
      <c r="F6987" s="480"/>
      <c r="G6987" s="208" t="s">
        <v>1111</v>
      </c>
      <c r="J6987" s="165" t="s">
        <v>14</v>
      </c>
      <c r="L6987" s="205">
        <v>56940</v>
      </c>
    </row>
    <row r="6988" spans="1:12" ht="11.25" customHeight="1" x14ac:dyDescent="0.2">
      <c r="A6988" s="226">
        <v>2025</v>
      </c>
      <c r="B6988" s="226">
        <v>3</v>
      </c>
      <c r="C6988" s="226">
        <v>13</v>
      </c>
      <c r="D6988" s="232">
        <f t="shared" si="808"/>
        <v>45729</v>
      </c>
      <c r="E6988" s="234">
        <f t="shared" si="809"/>
        <v>45729</v>
      </c>
      <c r="F6988" s="479"/>
      <c r="G6988" s="227" t="s">
        <v>1111</v>
      </c>
      <c r="H6988" s="228"/>
      <c r="I6988" s="228"/>
      <c r="J6988" s="229" t="s">
        <v>1112</v>
      </c>
      <c r="K6988" s="230"/>
      <c r="L6988" s="230">
        <v>3060</v>
      </c>
    </row>
    <row r="6989" spans="1:12" ht="11.25" customHeight="1" x14ac:dyDescent="0.2">
      <c r="A6989" s="221">
        <v>2025</v>
      </c>
      <c r="B6989" s="221">
        <v>3</v>
      </c>
      <c r="C6989" s="231">
        <v>13</v>
      </c>
      <c r="D6989" s="231">
        <f t="shared" si="808"/>
        <v>45729</v>
      </c>
      <c r="E6989" s="233">
        <f t="shared" si="807"/>
        <v>45729</v>
      </c>
      <c r="F6989" s="478" t="s">
        <v>1670</v>
      </c>
      <c r="G6989" s="222" t="s">
        <v>1111</v>
      </c>
      <c r="H6989" s="223"/>
      <c r="I6989" s="223"/>
      <c r="J6989" s="224" t="s">
        <v>63</v>
      </c>
      <c r="K6989" s="225">
        <v>140</v>
      </c>
      <c r="L6989" s="225"/>
    </row>
    <row r="6990" spans="1:12" ht="11.25" customHeight="1" x14ac:dyDescent="0.2">
      <c r="A6990" s="226">
        <v>2025</v>
      </c>
      <c r="B6990" s="226">
        <v>3</v>
      </c>
      <c r="C6990" s="232">
        <v>13</v>
      </c>
      <c r="D6990" s="232">
        <f t="shared" si="808"/>
        <v>45729</v>
      </c>
      <c r="E6990" s="234">
        <f t="shared" si="807"/>
        <v>45729</v>
      </c>
      <c r="F6990" s="479"/>
      <c r="G6990" s="227" t="s">
        <v>1111</v>
      </c>
      <c r="H6990" s="228"/>
      <c r="I6990" s="228"/>
      <c r="J6990" s="229" t="s">
        <v>55</v>
      </c>
      <c r="K6990" s="230"/>
      <c r="L6990" s="230">
        <v>140</v>
      </c>
    </row>
    <row r="6991" spans="1:12" ht="11.25" customHeight="1" x14ac:dyDescent="0.2">
      <c r="A6991" s="280">
        <v>2025</v>
      </c>
      <c r="B6991" s="280">
        <v>3</v>
      </c>
      <c r="C6991" s="280">
        <v>13</v>
      </c>
      <c r="D6991" s="281">
        <f t="shared" si="808"/>
        <v>45729</v>
      </c>
      <c r="E6991" s="282">
        <f t="shared" si="807"/>
        <v>45729</v>
      </c>
      <c r="F6991" s="472" t="s">
        <v>1744</v>
      </c>
      <c r="G6991" s="283" t="s">
        <v>86</v>
      </c>
      <c r="H6991" s="284"/>
      <c r="I6991" s="284"/>
      <c r="J6991" s="285" t="s">
        <v>131</v>
      </c>
      <c r="K6991" s="286">
        <v>19358.330000000002</v>
      </c>
      <c r="L6991" s="286"/>
    </row>
    <row r="6992" spans="1:12" ht="11.25" customHeight="1" x14ac:dyDescent="0.2">
      <c r="A6992" s="287">
        <v>2025</v>
      </c>
      <c r="B6992" s="287">
        <v>3</v>
      </c>
      <c r="C6992" s="287">
        <v>13</v>
      </c>
      <c r="D6992" s="288">
        <f t="shared" si="808"/>
        <v>45729</v>
      </c>
      <c r="E6992" s="289">
        <f t="shared" si="807"/>
        <v>45729</v>
      </c>
      <c r="F6992" s="473"/>
      <c r="G6992" s="290" t="s">
        <v>86</v>
      </c>
      <c r="H6992" s="291"/>
      <c r="I6992" s="291"/>
      <c r="J6992" s="292" t="s">
        <v>174</v>
      </c>
      <c r="K6992" s="293"/>
      <c r="L6992" s="293">
        <v>19358.330000000002</v>
      </c>
    </row>
    <row r="6993" spans="1:13" ht="11.25" customHeight="1" x14ac:dyDescent="0.2">
      <c r="A6993" s="280">
        <v>2025</v>
      </c>
      <c r="B6993" s="280">
        <v>3</v>
      </c>
      <c r="C6993" s="280">
        <v>13</v>
      </c>
      <c r="D6993" s="281">
        <f t="shared" si="808"/>
        <v>45729</v>
      </c>
      <c r="E6993" s="282">
        <f t="shared" si="807"/>
        <v>45729</v>
      </c>
      <c r="F6993" s="472" t="s">
        <v>1584</v>
      </c>
      <c r="G6993" s="283" t="s">
        <v>86</v>
      </c>
      <c r="H6993" s="284"/>
      <c r="I6993" s="284"/>
      <c r="J6993" s="285" t="s">
        <v>131</v>
      </c>
      <c r="K6993" s="286">
        <v>8846.15</v>
      </c>
      <c r="L6993" s="286"/>
    </row>
    <row r="6994" spans="1:13" ht="11.25" customHeight="1" x14ac:dyDescent="0.2">
      <c r="A6994" s="287">
        <v>2025</v>
      </c>
      <c r="B6994" s="287">
        <v>3</v>
      </c>
      <c r="C6994" s="287">
        <v>13</v>
      </c>
      <c r="D6994" s="288">
        <f t="shared" si="808"/>
        <v>45729</v>
      </c>
      <c r="E6994" s="289">
        <f t="shared" si="807"/>
        <v>45729</v>
      </c>
      <c r="F6994" s="473"/>
      <c r="G6994" s="290" t="s">
        <v>86</v>
      </c>
      <c r="H6994" s="291"/>
      <c r="I6994" s="291"/>
      <c r="J6994" s="292" t="s">
        <v>174</v>
      </c>
      <c r="K6994" s="293"/>
      <c r="L6994" s="293">
        <v>8846.15</v>
      </c>
    </row>
    <row r="6995" spans="1:13" ht="11.25" customHeight="1" x14ac:dyDescent="0.2">
      <c r="A6995" s="280">
        <v>2025</v>
      </c>
      <c r="B6995" s="280">
        <v>3</v>
      </c>
      <c r="C6995" s="280">
        <v>13</v>
      </c>
      <c r="D6995" s="281">
        <f t="shared" si="808"/>
        <v>45729</v>
      </c>
      <c r="E6995" s="282">
        <f t="shared" si="807"/>
        <v>45729</v>
      </c>
      <c r="F6995" s="472" t="s">
        <v>1836</v>
      </c>
      <c r="G6995" s="283" t="s">
        <v>86</v>
      </c>
      <c r="H6995" s="284"/>
      <c r="I6995" s="284"/>
      <c r="J6995" s="285" t="s">
        <v>131</v>
      </c>
      <c r="K6995" s="286">
        <v>4653.8500000000004</v>
      </c>
      <c r="L6995" s="286"/>
    </row>
    <row r="6996" spans="1:13" ht="11.25" customHeight="1" x14ac:dyDescent="0.2">
      <c r="A6996" s="287">
        <v>2025</v>
      </c>
      <c r="B6996" s="287">
        <v>3</v>
      </c>
      <c r="C6996" s="287">
        <v>13</v>
      </c>
      <c r="D6996" s="288">
        <f t="shared" si="808"/>
        <v>45729</v>
      </c>
      <c r="E6996" s="289">
        <f t="shared" si="807"/>
        <v>45729</v>
      </c>
      <c r="F6996" s="473"/>
      <c r="G6996" s="290" t="s">
        <v>86</v>
      </c>
      <c r="H6996" s="291"/>
      <c r="I6996" s="291"/>
      <c r="J6996" s="292" t="s">
        <v>174</v>
      </c>
      <c r="K6996" s="293"/>
      <c r="L6996" s="293">
        <v>4653.8500000000004</v>
      </c>
    </row>
    <row r="6997" spans="1:13" ht="11.25" customHeight="1" x14ac:dyDescent="0.2">
      <c r="A6997" s="280">
        <v>2025</v>
      </c>
      <c r="B6997" s="280">
        <v>3</v>
      </c>
      <c r="C6997" s="280">
        <v>13</v>
      </c>
      <c r="D6997" s="281">
        <f t="shared" si="808"/>
        <v>45729</v>
      </c>
      <c r="E6997" s="282">
        <f t="shared" si="807"/>
        <v>45729</v>
      </c>
      <c r="F6997" s="472" t="s">
        <v>1830</v>
      </c>
      <c r="G6997" s="283" t="s">
        <v>86</v>
      </c>
      <c r="H6997" s="284"/>
      <c r="I6997" s="284"/>
      <c r="J6997" s="285" t="s">
        <v>131</v>
      </c>
      <c r="K6997" s="286">
        <v>5040.6492307692261</v>
      </c>
      <c r="L6997" s="286"/>
    </row>
    <row r="6998" spans="1:13" ht="11.25" customHeight="1" x14ac:dyDescent="0.2">
      <c r="A6998" s="287">
        <v>2025</v>
      </c>
      <c r="B6998" s="287">
        <v>3</v>
      </c>
      <c r="C6998" s="287">
        <v>13</v>
      </c>
      <c r="D6998" s="288">
        <f t="shared" si="808"/>
        <v>45729</v>
      </c>
      <c r="E6998" s="289">
        <f t="shared" si="807"/>
        <v>45729</v>
      </c>
      <c r="F6998" s="473"/>
      <c r="G6998" s="290" t="s">
        <v>86</v>
      </c>
      <c r="H6998" s="291"/>
      <c r="I6998" s="291"/>
      <c r="J6998" s="292" t="s">
        <v>174</v>
      </c>
      <c r="K6998" s="293"/>
      <c r="L6998" s="293">
        <v>5040.6492307692261</v>
      </c>
    </row>
    <row r="6999" spans="1:13" ht="11.25" customHeight="1" x14ac:dyDescent="0.2">
      <c r="A6999" s="341">
        <v>2025</v>
      </c>
      <c r="B6999" s="341">
        <v>3</v>
      </c>
      <c r="C6999" s="341">
        <v>13</v>
      </c>
      <c r="D6999" s="328">
        <f t="shared" si="808"/>
        <v>45729</v>
      </c>
      <c r="E6999" s="329">
        <f t="shared" si="807"/>
        <v>45729</v>
      </c>
      <c r="F6999" s="474" t="s">
        <v>1767</v>
      </c>
      <c r="G6999" s="330" t="s">
        <v>86</v>
      </c>
      <c r="H6999" s="332"/>
      <c r="I6999" s="332"/>
      <c r="J6999" s="342" t="s">
        <v>67</v>
      </c>
      <c r="K6999" s="343">
        <v>25605.96</v>
      </c>
      <c r="L6999" s="343"/>
    </row>
    <row r="7000" spans="1:13" ht="11.25" customHeight="1" x14ac:dyDescent="0.2">
      <c r="A7000" s="344">
        <v>2025</v>
      </c>
      <c r="B7000" s="344">
        <v>3</v>
      </c>
      <c r="C7000" s="344">
        <v>13</v>
      </c>
      <c r="D7000" s="337">
        <f t="shared" si="808"/>
        <v>45729</v>
      </c>
      <c r="E7000" s="338">
        <f t="shared" si="807"/>
        <v>45729</v>
      </c>
      <c r="F7000" s="475"/>
      <c r="G7000" s="339" t="s">
        <v>86</v>
      </c>
      <c r="H7000" s="340"/>
      <c r="I7000" s="340"/>
      <c r="J7000" s="345" t="s">
        <v>174</v>
      </c>
      <c r="K7000" s="346"/>
      <c r="L7000" s="346">
        <f>K6999</f>
        <v>25605.96</v>
      </c>
    </row>
    <row r="7001" spans="1:13" ht="11.25" customHeight="1" x14ac:dyDescent="0.2">
      <c r="A7001" s="358">
        <v>2025</v>
      </c>
      <c r="B7001" s="358">
        <v>3</v>
      </c>
      <c r="C7001" s="358">
        <v>13</v>
      </c>
      <c r="D7001" s="312">
        <f t="shared" si="808"/>
        <v>45729</v>
      </c>
      <c r="E7001" s="313">
        <f>DATE(A7001,B7001,C7001)</f>
        <v>45729</v>
      </c>
      <c r="F7001" s="482" t="s">
        <v>1627</v>
      </c>
      <c r="G7001" s="314" t="s">
        <v>86</v>
      </c>
      <c r="H7001" s="324"/>
      <c r="I7001" s="324"/>
      <c r="J7001" s="364" t="s">
        <v>1613</v>
      </c>
      <c r="K7001" s="365">
        <v>0</v>
      </c>
      <c r="L7001" s="365"/>
      <c r="M7001" s="156">
        <f>BS!$I$12</f>
        <v>0</v>
      </c>
    </row>
    <row r="7002" spans="1:13" ht="11.25" customHeight="1" x14ac:dyDescent="0.2">
      <c r="A7002" s="320">
        <v>2025</v>
      </c>
      <c r="B7002" s="320">
        <v>3</v>
      </c>
      <c r="C7002" s="320">
        <v>13</v>
      </c>
      <c r="D7002" s="323">
        <f t="shared" si="808"/>
        <v>45729</v>
      </c>
      <c r="E7002" s="321">
        <f t="shared" ref="E7002" si="810">DATE(A7002,B7002,C7002)</f>
        <v>45729</v>
      </c>
      <c r="F7002" s="483"/>
      <c r="G7002" s="322" t="s">
        <v>86</v>
      </c>
      <c r="H7002" s="325"/>
      <c r="I7002" s="325"/>
      <c r="J7002" s="366" t="s">
        <v>1621</v>
      </c>
      <c r="K7002" s="367"/>
      <c r="L7002" s="367">
        <f>K7001</f>
        <v>0</v>
      </c>
    </row>
    <row r="7003" spans="1:13" ht="11.25" customHeight="1" x14ac:dyDescent="0.2">
      <c r="A7003" s="358">
        <v>2025</v>
      </c>
      <c r="B7003" s="358">
        <v>3</v>
      </c>
      <c r="C7003" s="358">
        <v>13</v>
      </c>
      <c r="D7003" s="312">
        <f t="shared" si="808"/>
        <v>45729</v>
      </c>
      <c r="E7003" s="313">
        <f>DATE(A7003,B7003,C7003)</f>
        <v>45729</v>
      </c>
      <c r="F7003" s="482" t="s">
        <v>1713</v>
      </c>
      <c r="G7003" s="314" t="s">
        <v>86</v>
      </c>
      <c r="H7003" s="324"/>
      <c r="I7003" s="324"/>
      <c r="J7003" s="364" t="s">
        <v>1614</v>
      </c>
      <c r="K7003" s="365">
        <v>94642.469999998808</v>
      </c>
      <c r="L7003" s="365"/>
      <c r="M7003" s="156">
        <f>BS!$I$15</f>
        <v>0</v>
      </c>
    </row>
    <row r="7004" spans="1:13" ht="11.25" customHeight="1" x14ac:dyDescent="0.2">
      <c r="A7004" s="320">
        <v>2025</v>
      </c>
      <c r="B7004" s="320">
        <v>3</v>
      </c>
      <c r="C7004" s="320">
        <v>13</v>
      </c>
      <c r="D7004" s="323">
        <f t="shared" si="808"/>
        <v>45729</v>
      </c>
      <c r="E7004" s="321">
        <f t="shared" ref="E7004:E7026" si="811">DATE(A7004,B7004,C7004)</f>
        <v>45729</v>
      </c>
      <c r="F7004" s="483"/>
      <c r="G7004" s="322" t="s">
        <v>86</v>
      </c>
      <c r="H7004" s="325"/>
      <c r="I7004" s="325"/>
      <c r="J7004" s="366" t="s">
        <v>1622</v>
      </c>
      <c r="K7004" s="367"/>
      <c r="L7004" s="367">
        <f>K7003</f>
        <v>94642.469999998808</v>
      </c>
    </row>
    <row r="7005" spans="1:13" ht="11.25" customHeight="1" x14ac:dyDescent="0.2">
      <c r="A7005" s="236">
        <v>2025</v>
      </c>
      <c r="B7005" s="236">
        <v>3</v>
      </c>
      <c r="C7005" s="236">
        <v>13</v>
      </c>
      <c r="D7005" s="237">
        <f t="shared" si="808"/>
        <v>45729</v>
      </c>
      <c r="E7005" s="238">
        <f t="shared" si="811"/>
        <v>45729</v>
      </c>
      <c r="F7005" s="476" t="s">
        <v>1118</v>
      </c>
      <c r="G7005" s="239" t="s">
        <v>86</v>
      </c>
      <c r="H7005" s="239"/>
      <c r="I7005" s="240"/>
      <c r="J7005" s="241" t="s">
        <v>98</v>
      </c>
      <c r="K7005" s="242">
        <v>683898.51999999583</v>
      </c>
      <c r="L7005" s="242"/>
      <c r="M7005" s="156">
        <f>BS!$I$8</f>
        <v>0</v>
      </c>
    </row>
    <row r="7006" spans="1:13" ht="11.25" customHeight="1" x14ac:dyDescent="0.2">
      <c r="A7006" s="243">
        <v>2025</v>
      </c>
      <c r="B7006" s="243">
        <v>3</v>
      </c>
      <c r="C7006" s="243">
        <v>13</v>
      </c>
      <c r="D7006" s="248">
        <f t="shared" si="808"/>
        <v>45729</v>
      </c>
      <c r="E7006" s="249">
        <f t="shared" si="811"/>
        <v>45729</v>
      </c>
      <c r="F7006" s="477"/>
      <c r="G7006" s="244" t="s">
        <v>86</v>
      </c>
      <c r="H7006" s="244"/>
      <c r="I7006" s="245"/>
      <c r="J7006" s="246" t="s">
        <v>82</v>
      </c>
      <c r="K7006" s="247"/>
      <c r="L7006" s="247">
        <f>K7005</f>
        <v>683898.51999999583</v>
      </c>
    </row>
    <row r="7007" spans="1:13" ht="11.25" customHeight="1" x14ac:dyDescent="0.2">
      <c r="A7007" s="236">
        <v>2025</v>
      </c>
      <c r="B7007" s="236">
        <v>3</v>
      </c>
      <c r="C7007" s="236">
        <v>13</v>
      </c>
      <c r="D7007" s="237">
        <f t="shared" si="808"/>
        <v>45729</v>
      </c>
      <c r="E7007" s="238">
        <f t="shared" si="811"/>
        <v>45729</v>
      </c>
      <c r="F7007" s="476" t="s">
        <v>1120</v>
      </c>
      <c r="G7007" s="239" t="s">
        <v>86</v>
      </c>
      <c r="H7007" s="239"/>
      <c r="I7007" s="240"/>
      <c r="J7007" s="241" t="s">
        <v>87</v>
      </c>
      <c r="K7007" s="242">
        <v>2747.2527472527472</v>
      </c>
      <c r="L7007" s="242"/>
    </row>
    <row r="7008" spans="1:13" ht="11.25" customHeight="1" x14ac:dyDescent="0.2">
      <c r="A7008" s="243">
        <v>2025</v>
      </c>
      <c r="B7008" s="243">
        <v>3</v>
      </c>
      <c r="C7008" s="243">
        <v>13</v>
      </c>
      <c r="D7008" s="248">
        <f t="shared" si="808"/>
        <v>45729</v>
      </c>
      <c r="E7008" s="249">
        <f t="shared" si="811"/>
        <v>45729</v>
      </c>
      <c r="F7008" s="477"/>
      <c r="G7008" s="244" t="s">
        <v>86</v>
      </c>
      <c r="H7008" s="244"/>
      <c r="I7008" s="245"/>
      <c r="J7008" s="246" t="s">
        <v>64</v>
      </c>
      <c r="K7008" s="247"/>
      <c r="L7008" s="247">
        <v>2747.2527472527472</v>
      </c>
    </row>
    <row r="7009" spans="1:13" ht="11.25" customHeight="1" x14ac:dyDescent="0.2">
      <c r="A7009" s="236">
        <v>2025</v>
      </c>
      <c r="B7009" s="236">
        <v>3</v>
      </c>
      <c r="C7009" s="236">
        <v>13</v>
      </c>
      <c r="D7009" s="237">
        <f t="shared" si="808"/>
        <v>45729</v>
      </c>
      <c r="E7009" s="238">
        <f t="shared" si="811"/>
        <v>45729</v>
      </c>
      <c r="F7009" s="476" t="s">
        <v>1121</v>
      </c>
      <c r="G7009" s="239" t="s">
        <v>86</v>
      </c>
      <c r="H7009" s="239"/>
      <c r="I7009" s="240"/>
      <c r="J7009" s="241" t="s">
        <v>89</v>
      </c>
      <c r="K7009" s="242">
        <f>M7009</f>
        <v>71407.353189159476</v>
      </c>
      <c r="L7009" s="242"/>
      <c r="M7009" s="156">
        <v>71407.353189159476</v>
      </c>
    </row>
    <row r="7010" spans="1:13" ht="11.25" customHeight="1" x14ac:dyDescent="0.2">
      <c r="A7010" s="243">
        <v>2025</v>
      </c>
      <c r="B7010" s="243">
        <v>3</v>
      </c>
      <c r="C7010" s="243">
        <v>13</v>
      </c>
      <c r="D7010" s="248">
        <f t="shared" si="808"/>
        <v>45729</v>
      </c>
      <c r="E7010" s="249">
        <f t="shared" si="811"/>
        <v>45729</v>
      </c>
      <c r="F7010" s="477"/>
      <c r="G7010" s="244" t="s">
        <v>86</v>
      </c>
      <c r="H7010" s="244"/>
      <c r="I7010" s="245"/>
      <c r="J7010" s="246" t="s">
        <v>50</v>
      </c>
      <c r="K7010" s="247"/>
      <c r="L7010" s="247">
        <f>K7009</f>
        <v>71407.353189159476</v>
      </c>
      <c r="M7010" s="156">
        <v>3329.983044073359</v>
      </c>
    </row>
    <row r="7011" spans="1:13" ht="11.25" customHeight="1" x14ac:dyDescent="0.2">
      <c r="A7011" s="236">
        <v>2025</v>
      </c>
      <c r="B7011" s="236">
        <v>3</v>
      </c>
      <c r="C7011" s="236">
        <v>13</v>
      </c>
      <c r="D7011" s="237">
        <f t="shared" si="808"/>
        <v>45729</v>
      </c>
      <c r="E7011" s="238">
        <f t="shared" si="811"/>
        <v>45729</v>
      </c>
      <c r="F7011" s="476" t="s">
        <v>1122</v>
      </c>
      <c r="G7011" s="239" t="s">
        <v>86</v>
      </c>
      <c r="H7011" s="239"/>
      <c r="I7011" s="240"/>
      <c r="J7011" s="241" t="s">
        <v>91</v>
      </c>
      <c r="K7011" s="242">
        <f>M7010</f>
        <v>3329.983044073359</v>
      </c>
      <c r="L7011" s="242"/>
    </row>
    <row r="7012" spans="1:13" ht="11.25" customHeight="1" x14ac:dyDescent="0.2">
      <c r="A7012" s="243">
        <v>2025</v>
      </c>
      <c r="B7012" s="243">
        <v>3</v>
      </c>
      <c r="C7012" s="243">
        <v>13</v>
      </c>
      <c r="D7012" s="248">
        <f t="shared" si="808"/>
        <v>45729</v>
      </c>
      <c r="E7012" s="249">
        <f t="shared" si="811"/>
        <v>45729</v>
      </c>
      <c r="F7012" s="477"/>
      <c r="G7012" s="244" t="s">
        <v>86</v>
      </c>
      <c r="H7012" s="244"/>
      <c r="I7012" s="245"/>
      <c r="J7012" s="246" t="s">
        <v>51</v>
      </c>
      <c r="K7012" s="247"/>
      <c r="L7012" s="247">
        <f>K7011</f>
        <v>3329.983044073359</v>
      </c>
    </row>
    <row r="7013" spans="1:13" ht="11.25" customHeight="1" x14ac:dyDescent="0.2">
      <c r="A7013" s="164">
        <v>2025</v>
      </c>
      <c r="B7013" s="164">
        <v>3</v>
      </c>
      <c r="C7013" s="221">
        <v>16</v>
      </c>
      <c r="D7013" s="156">
        <f t="shared" si="808"/>
        <v>45732</v>
      </c>
      <c r="E7013" s="235">
        <f t="shared" si="811"/>
        <v>45732</v>
      </c>
      <c r="F7013" s="478" t="s">
        <v>1808</v>
      </c>
      <c r="G7013" s="208" t="s">
        <v>1111</v>
      </c>
      <c r="J7013" s="165" t="s">
        <v>478</v>
      </c>
      <c r="K7013" s="205">
        <v>119.53</v>
      </c>
      <c r="L7013" s="205"/>
    </row>
    <row r="7014" spans="1:13" ht="11.25" customHeight="1" x14ac:dyDescent="0.2">
      <c r="A7014" s="226">
        <v>2025</v>
      </c>
      <c r="B7014" s="226">
        <v>3</v>
      </c>
      <c r="C7014" s="226">
        <v>16</v>
      </c>
      <c r="D7014" s="232">
        <f t="shared" si="808"/>
        <v>45732</v>
      </c>
      <c r="E7014" s="234">
        <f t="shared" si="811"/>
        <v>45732</v>
      </c>
      <c r="F7014" s="479"/>
      <c r="G7014" s="227" t="s">
        <v>1111</v>
      </c>
      <c r="H7014" s="228"/>
      <c r="I7014" s="228"/>
      <c r="J7014" s="229" t="s">
        <v>55</v>
      </c>
      <c r="K7014" s="230"/>
      <c r="L7014" s="230">
        <v>119.53</v>
      </c>
    </row>
    <row r="7015" spans="1:13" ht="11.25" customHeight="1" x14ac:dyDescent="0.2">
      <c r="A7015" s="221">
        <v>2025</v>
      </c>
      <c r="B7015" s="221">
        <v>3</v>
      </c>
      <c r="C7015" s="221">
        <v>17</v>
      </c>
      <c r="D7015" s="231">
        <f t="shared" si="808"/>
        <v>45733</v>
      </c>
      <c r="E7015" s="233">
        <f t="shared" ref="E7015:E7017" si="812">DATE(A7015,B7015,C7015)</f>
        <v>45733</v>
      </c>
      <c r="F7015" s="478" t="s">
        <v>1115</v>
      </c>
      <c r="G7015" s="222" t="s">
        <v>1111</v>
      </c>
      <c r="H7015" s="223"/>
      <c r="I7015" s="223" t="s">
        <v>465</v>
      </c>
      <c r="J7015" s="224" t="s">
        <v>14</v>
      </c>
      <c r="K7015" s="167">
        <v>60000</v>
      </c>
      <c r="L7015" s="225"/>
    </row>
    <row r="7016" spans="1:13" ht="11.25" customHeight="1" x14ac:dyDescent="0.2">
      <c r="A7016" s="164">
        <v>2025</v>
      </c>
      <c r="B7016" s="164">
        <v>3</v>
      </c>
      <c r="C7016" s="164">
        <v>17</v>
      </c>
      <c r="D7016" s="156">
        <f t="shared" si="808"/>
        <v>45733</v>
      </c>
      <c r="E7016" s="235">
        <f t="shared" si="812"/>
        <v>45733</v>
      </c>
      <c r="F7016" s="480"/>
      <c r="G7016" s="208" t="s">
        <v>1111</v>
      </c>
      <c r="I7016" s="206" t="s">
        <v>465</v>
      </c>
      <c r="J7016" s="165" t="s">
        <v>1112</v>
      </c>
      <c r="K7016" s="205">
        <v>3444</v>
      </c>
      <c r="L7016" s="156"/>
    </row>
    <row r="7017" spans="1:13" ht="11.25" customHeight="1" x14ac:dyDescent="0.2">
      <c r="A7017" s="226">
        <v>2025</v>
      </c>
      <c r="B7017" s="226">
        <v>3</v>
      </c>
      <c r="C7017" s="226">
        <v>17</v>
      </c>
      <c r="D7017" s="232">
        <f t="shared" si="808"/>
        <v>45733</v>
      </c>
      <c r="E7017" s="234">
        <f t="shared" si="812"/>
        <v>45733</v>
      </c>
      <c r="F7017" s="479"/>
      <c r="G7017" s="227" t="s">
        <v>1111</v>
      </c>
      <c r="H7017" s="228"/>
      <c r="I7017" s="228" t="s">
        <v>465</v>
      </c>
      <c r="J7017" s="229" t="s">
        <v>55</v>
      </c>
      <c r="K7017" s="230"/>
      <c r="L7017" s="230">
        <v>63444</v>
      </c>
    </row>
    <row r="7018" spans="1:13" ht="11.25" customHeight="1" x14ac:dyDescent="0.2">
      <c r="A7018" s="231">
        <v>2025</v>
      </c>
      <c r="B7018" s="221">
        <v>3</v>
      </c>
      <c r="C7018" s="221">
        <v>18</v>
      </c>
      <c r="D7018" s="221">
        <f t="shared" si="808"/>
        <v>45734</v>
      </c>
      <c r="E7018" s="271">
        <f t="shared" si="811"/>
        <v>45734</v>
      </c>
      <c r="F7018" s="478" t="s">
        <v>1854</v>
      </c>
      <c r="G7018" s="222" t="s">
        <v>86</v>
      </c>
      <c r="H7018" s="223"/>
      <c r="I7018" s="223"/>
      <c r="J7018" s="377" t="s">
        <v>316</v>
      </c>
      <c r="K7018" s="225">
        <v>4111084.64</v>
      </c>
      <c r="L7018" s="225"/>
    </row>
    <row r="7019" spans="1:13" ht="11.25" customHeight="1" x14ac:dyDescent="0.2">
      <c r="A7019" s="232">
        <v>2025</v>
      </c>
      <c r="B7019" s="226">
        <v>3</v>
      </c>
      <c r="C7019" s="226">
        <v>18</v>
      </c>
      <c r="D7019" s="226">
        <f t="shared" si="808"/>
        <v>45734</v>
      </c>
      <c r="E7019" s="272">
        <f t="shared" si="811"/>
        <v>45734</v>
      </c>
      <c r="F7019" s="479"/>
      <c r="G7019" s="227" t="s">
        <v>86</v>
      </c>
      <c r="H7019" s="228"/>
      <c r="I7019" s="228"/>
      <c r="J7019" s="379" t="s">
        <v>55</v>
      </c>
      <c r="K7019" s="230"/>
      <c r="L7019" s="230">
        <v>4111084.64</v>
      </c>
    </row>
    <row r="7020" spans="1:13" ht="11.25" customHeight="1" x14ac:dyDescent="0.2">
      <c r="A7020" s="221">
        <v>2025</v>
      </c>
      <c r="B7020" s="221">
        <v>3</v>
      </c>
      <c r="C7020" s="221">
        <v>19</v>
      </c>
      <c r="D7020" s="221">
        <f t="shared" si="808"/>
        <v>45735</v>
      </c>
      <c r="E7020" s="233">
        <f t="shared" si="811"/>
        <v>45735</v>
      </c>
      <c r="F7020" s="478" t="s">
        <v>1589</v>
      </c>
      <c r="G7020" s="222" t="s">
        <v>86</v>
      </c>
      <c r="H7020" s="222"/>
      <c r="I7020" s="223"/>
      <c r="J7020" s="165" t="s">
        <v>199</v>
      </c>
      <c r="K7020" s="225">
        <v>256038.3</v>
      </c>
      <c r="L7020" s="225"/>
    </row>
    <row r="7021" spans="1:13" ht="11.25" customHeight="1" x14ac:dyDescent="0.2">
      <c r="A7021" s="164">
        <v>2025</v>
      </c>
      <c r="B7021" s="164">
        <v>3</v>
      </c>
      <c r="C7021" s="164">
        <v>19</v>
      </c>
      <c r="D7021" s="164">
        <f t="shared" si="808"/>
        <v>45735</v>
      </c>
      <c r="E7021" s="235">
        <f t="shared" si="811"/>
        <v>45735</v>
      </c>
      <c r="F7021" s="480"/>
      <c r="G7021" s="208" t="s">
        <v>86</v>
      </c>
      <c r="H7021" s="208"/>
      <c r="J7021" s="165" t="s">
        <v>960</v>
      </c>
      <c r="K7021" s="205">
        <v>461.7</v>
      </c>
      <c r="L7021" s="205"/>
      <c r="M7021" s="401"/>
    </row>
    <row r="7022" spans="1:13" ht="11.25" customHeight="1" x14ac:dyDescent="0.2">
      <c r="A7022" s="164">
        <v>2025</v>
      </c>
      <c r="B7022" s="164">
        <v>3</v>
      </c>
      <c r="C7022" s="164">
        <v>19</v>
      </c>
      <c r="D7022" s="164">
        <f t="shared" si="808"/>
        <v>45735</v>
      </c>
      <c r="E7022" s="235">
        <f t="shared" si="811"/>
        <v>45735</v>
      </c>
      <c r="F7022" s="480"/>
      <c r="G7022" s="208" t="s">
        <v>86</v>
      </c>
      <c r="H7022" s="208"/>
      <c r="J7022" s="165" t="s">
        <v>200</v>
      </c>
      <c r="K7022" s="205"/>
      <c r="L7022" s="205">
        <v>20881.240000000002</v>
      </c>
    </row>
    <row r="7023" spans="1:13" ht="11.25" customHeight="1" x14ac:dyDescent="0.2">
      <c r="A7023" s="226">
        <v>2025</v>
      </c>
      <c r="B7023" s="226">
        <v>3</v>
      </c>
      <c r="C7023" s="226">
        <v>19</v>
      </c>
      <c r="D7023" s="226">
        <f t="shared" si="808"/>
        <v>45735</v>
      </c>
      <c r="E7023" s="234">
        <f t="shared" si="811"/>
        <v>45735</v>
      </c>
      <c r="F7023" s="479"/>
      <c r="G7023" s="227" t="s">
        <v>86</v>
      </c>
      <c r="H7023" s="228"/>
      <c r="I7023" s="228"/>
      <c r="J7023" s="229" t="s">
        <v>80</v>
      </c>
      <c r="K7023" s="230"/>
      <c r="L7023" s="230">
        <v>235618.76</v>
      </c>
    </row>
    <row r="7024" spans="1:13" ht="11.25" customHeight="1" x14ac:dyDescent="0.2">
      <c r="A7024" s="221">
        <v>2025</v>
      </c>
      <c r="B7024" s="221">
        <v>3</v>
      </c>
      <c r="C7024" s="221">
        <v>20</v>
      </c>
      <c r="D7024" s="231">
        <f t="shared" si="808"/>
        <v>45736</v>
      </c>
      <c r="E7024" s="233">
        <f t="shared" si="811"/>
        <v>45736</v>
      </c>
      <c r="F7024" s="478" t="s">
        <v>1115</v>
      </c>
      <c r="G7024" s="222" t="s">
        <v>1111</v>
      </c>
      <c r="H7024" s="223"/>
      <c r="I7024" s="223" t="s">
        <v>390</v>
      </c>
      <c r="J7024" s="224" t="s">
        <v>14</v>
      </c>
      <c r="K7024" s="167">
        <v>23640</v>
      </c>
      <c r="L7024" s="225"/>
    </row>
    <row r="7025" spans="1:13" ht="11.25" customHeight="1" x14ac:dyDescent="0.2">
      <c r="A7025" s="164">
        <v>2025</v>
      </c>
      <c r="B7025" s="164">
        <v>3</v>
      </c>
      <c r="C7025" s="164">
        <v>20</v>
      </c>
      <c r="D7025" s="156">
        <f t="shared" si="808"/>
        <v>45736</v>
      </c>
      <c r="E7025" s="235">
        <f t="shared" si="811"/>
        <v>45736</v>
      </c>
      <c r="F7025" s="480"/>
      <c r="G7025" s="208" t="s">
        <v>1111</v>
      </c>
      <c r="I7025" s="206" t="s">
        <v>390</v>
      </c>
      <c r="J7025" s="165" t="s">
        <v>1112</v>
      </c>
      <c r="K7025" s="205">
        <v>1360</v>
      </c>
      <c r="L7025" s="156"/>
    </row>
    <row r="7026" spans="1:13" ht="11.25" customHeight="1" x14ac:dyDescent="0.2">
      <c r="A7026" s="226">
        <v>2025</v>
      </c>
      <c r="B7026" s="226">
        <v>3</v>
      </c>
      <c r="C7026" s="226">
        <v>20</v>
      </c>
      <c r="D7026" s="232">
        <f t="shared" si="808"/>
        <v>45736</v>
      </c>
      <c r="E7026" s="234">
        <f t="shared" si="811"/>
        <v>45736</v>
      </c>
      <c r="F7026" s="479"/>
      <c r="G7026" s="227" t="s">
        <v>1111</v>
      </c>
      <c r="H7026" s="228"/>
      <c r="I7026" s="228" t="s">
        <v>390</v>
      </c>
      <c r="J7026" s="229" t="s">
        <v>55</v>
      </c>
      <c r="K7026" s="230"/>
      <c r="L7026" s="230">
        <v>25000</v>
      </c>
    </row>
    <row r="7027" spans="1:13" ht="11.25" customHeight="1" x14ac:dyDescent="0.2">
      <c r="A7027" s="221">
        <v>2025</v>
      </c>
      <c r="B7027" s="221">
        <v>3</v>
      </c>
      <c r="C7027" s="221">
        <v>20</v>
      </c>
      <c r="D7027" s="221">
        <f t="shared" si="808"/>
        <v>45736</v>
      </c>
      <c r="E7027" s="233">
        <f t="shared" ref="E7027:E7048" si="813">DATE(A7027,B7027,C7027)</f>
        <v>45736</v>
      </c>
      <c r="F7027" s="478" t="s">
        <v>1589</v>
      </c>
      <c r="G7027" s="222" t="s">
        <v>86</v>
      </c>
      <c r="H7027" s="222"/>
      <c r="I7027" s="223"/>
      <c r="J7027" s="165" t="s">
        <v>199</v>
      </c>
      <c r="K7027" s="225">
        <v>434217</v>
      </c>
      <c r="L7027" s="225"/>
    </row>
    <row r="7028" spans="1:13" ht="11.25" customHeight="1" x14ac:dyDescent="0.2">
      <c r="A7028" s="164">
        <v>2025</v>
      </c>
      <c r="B7028" s="164">
        <v>3</v>
      </c>
      <c r="C7028" s="164">
        <v>20</v>
      </c>
      <c r="D7028" s="164">
        <f t="shared" si="808"/>
        <v>45736</v>
      </c>
      <c r="E7028" s="235">
        <f t="shared" si="813"/>
        <v>45736</v>
      </c>
      <c r="F7028" s="480"/>
      <c r="G7028" s="208" t="s">
        <v>86</v>
      </c>
      <c r="H7028" s="208"/>
      <c r="J7028" s="165" t="s">
        <v>960</v>
      </c>
      <c r="K7028" s="205">
        <v>783</v>
      </c>
      <c r="L7028" s="205"/>
      <c r="M7028" s="401"/>
    </row>
    <row r="7029" spans="1:13" ht="11.25" customHeight="1" x14ac:dyDescent="0.2">
      <c r="A7029" s="164">
        <v>2025</v>
      </c>
      <c r="B7029" s="164">
        <v>3</v>
      </c>
      <c r="C7029" s="164">
        <v>20</v>
      </c>
      <c r="D7029" s="164">
        <f t="shared" si="808"/>
        <v>45736</v>
      </c>
      <c r="E7029" s="235">
        <f t="shared" si="813"/>
        <v>45736</v>
      </c>
      <c r="F7029" s="480"/>
      <c r="G7029" s="208" t="s">
        <v>86</v>
      </c>
      <c r="H7029" s="208"/>
      <c r="J7029" s="165" t="s">
        <v>200</v>
      </c>
      <c r="K7029" s="205"/>
      <c r="L7029" s="205">
        <v>42964.74</v>
      </c>
    </row>
    <row r="7030" spans="1:13" ht="11.25" customHeight="1" x14ac:dyDescent="0.2">
      <c r="A7030" s="226">
        <v>2025</v>
      </c>
      <c r="B7030" s="226">
        <v>3</v>
      </c>
      <c r="C7030" s="226">
        <v>20</v>
      </c>
      <c r="D7030" s="226">
        <f t="shared" si="808"/>
        <v>45736</v>
      </c>
      <c r="E7030" s="234">
        <f t="shared" si="813"/>
        <v>45736</v>
      </c>
      <c r="F7030" s="479"/>
      <c r="G7030" s="227" t="s">
        <v>86</v>
      </c>
      <c r="H7030" s="228"/>
      <c r="I7030" s="228"/>
      <c r="J7030" s="229" t="s">
        <v>80</v>
      </c>
      <c r="K7030" s="230"/>
      <c r="L7030" s="230">
        <v>392035.26</v>
      </c>
    </row>
    <row r="7031" spans="1:13" ht="11.25" customHeight="1" x14ac:dyDescent="0.2">
      <c r="A7031" s="221">
        <v>2025</v>
      </c>
      <c r="B7031" s="221">
        <v>3</v>
      </c>
      <c r="C7031" s="221">
        <v>20</v>
      </c>
      <c r="D7031" s="231">
        <f t="shared" si="808"/>
        <v>45736</v>
      </c>
      <c r="E7031" s="233">
        <f>DATE(A7031,B7031,C7031)</f>
        <v>45736</v>
      </c>
      <c r="F7031" s="478" t="s">
        <v>1178</v>
      </c>
      <c r="G7031" s="222" t="s">
        <v>1111</v>
      </c>
      <c r="H7031" s="223"/>
      <c r="I7031" s="223"/>
      <c r="J7031" s="224" t="s">
        <v>189</v>
      </c>
      <c r="K7031" s="225">
        <v>5750</v>
      </c>
      <c r="L7031" s="225"/>
    </row>
    <row r="7032" spans="1:13" ht="11.25" customHeight="1" x14ac:dyDescent="0.2">
      <c r="A7032" s="164">
        <v>2025</v>
      </c>
      <c r="B7032" s="164">
        <v>3</v>
      </c>
      <c r="C7032" s="164">
        <v>20</v>
      </c>
      <c r="D7032" s="156">
        <f t="shared" si="808"/>
        <v>45736</v>
      </c>
      <c r="E7032" s="235">
        <f>DATE(A7032,B7032,C7032)</f>
        <v>45736</v>
      </c>
      <c r="F7032" s="480"/>
      <c r="G7032" s="208" t="s">
        <v>1111</v>
      </c>
      <c r="J7032" s="165" t="s">
        <v>1708</v>
      </c>
      <c r="K7032" s="205"/>
      <c r="L7032" s="205">
        <v>250</v>
      </c>
    </row>
    <row r="7033" spans="1:13" ht="11.25" customHeight="1" x14ac:dyDescent="0.2">
      <c r="A7033" s="226">
        <v>2025</v>
      </c>
      <c r="B7033" s="226">
        <v>3</v>
      </c>
      <c r="C7033" s="226">
        <v>20</v>
      </c>
      <c r="D7033" s="232">
        <f t="shared" si="808"/>
        <v>45736</v>
      </c>
      <c r="E7033" s="234">
        <f>DATE(A7033,B7033,C7033)</f>
        <v>45736</v>
      </c>
      <c r="F7033" s="479"/>
      <c r="G7033" s="227" t="s">
        <v>1111</v>
      </c>
      <c r="H7033" s="228"/>
      <c r="I7033" s="228"/>
      <c r="J7033" s="229" t="s">
        <v>55</v>
      </c>
      <c r="K7033" s="230"/>
      <c r="L7033" s="230">
        <v>5500</v>
      </c>
    </row>
    <row r="7034" spans="1:13" ht="11.25" customHeight="1" x14ac:dyDescent="0.2">
      <c r="A7034" s="221">
        <v>2025</v>
      </c>
      <c r="B7034" s="221">
        <v>3</v>
      </c>
      <c r="C7034" s="221">
        <v>20</v>
      </c>
      <c r="D7034" s="231">
        <f t="shared" si="808"/>
        <v>45736</v>
      </c>
      <c r="E7034" s="233">
        <f t="shared" si="813"/>
        <v>45736</v>
      </c>
      <c r="F7034" s="478" t="s">
        <v>1142</v>
      </c>
      <c r="G7034" s="222" t="s">
        <v>1111</v>
      </c>
      <c r="H7034" s="223"/>
      <c r="I7034" s="223"/>
      <c r="J7034" s="224" t="s">
        <v>189</v>
      </c>
      <c r="K7034" s="225">
        <v>1575</v>
      </c>
      <c r="L7034" s="225"/>
    </row>
    <row r="7035" spans="1:13" ht="11.25" customHeight="1" x14ac:dyDescent="0.2">
      <c r="A7035" s="164">
        <v>2025</v>
      </c>
      <c r="B7035" s="164">
        <v>3</v>
      </c>
      <c r="C7035" s="164">
        <v>20</v>
      </c>
      <c r="D7035" s="156">
        <f t="shared" si="808"/>
        <v>45736</v>
      </c>
      <c r="E7035" s="235">
        <f t="shared" si="813"/>
        <v>45736</v>
      </c>
      <c r="F7035" s="480"/>
      <c r="G7035" s="208" t="s">
        <v>1111</v>
      </c>
      <c r="J7035" s="165" t="s">
        <v>1707</v>
      </c>
      <c r="K7035" s="205"/>
      <c r="L7035" s="205">
        <v>150</v>
      </c>
    </row>
    <row r="7036" spans="1:13" ht="11.25" customHeight="1" x14ac:dyDescent="0.2">
      <c r="A7036" s="226">
        <v>2025</v>
      </c>
      <c r="B7036" s="226">
        <v>3</v>
      </c>
      <c r="C7036" s="226">
        <v>20</v>
      </c>
      <c r="D7036" s="232">
        <f t="shared" si="808"/>
        <v>45736</v>
      </c>
      <c r="E7036" s="234">
        <f t="shared" si="813"/>
        <v>45736</v>
      </c>
      <c r="F7036" s="479"/>
      <c r="G7036" s="227" t="s">
        <v>1111</v>
      </c>
      <c r="H7036" s="228"/>
      <c r="I7036" s="228"/>
      <c r="J7036" s="229" t="s">
        <v>55</v>
      </c>
      <c r="K7036" s="230"/>
      <c r="L7036" s="230">
        <v>1425</v>
      </c>
    </row>
    <row r="7037" spans="1:13" ht="11.25" customHeight="1" x14ac:dyDescent="0.2">
      <c r="A7037" s="164">
        <v>2025</v>
      </c>
      <c r="B7037" s="221">
        <v>3</v>
      </c>
      <c r="C7037" s="231">
        <v>20</v>
      </c>
      <c r="D7037" s="231">
        <f t="shared" si="808"/>
        <v>45736</v>
      </c>
      <c r="E7037" s="233">
        <f t="shared" si="813"/>
        <v>45736</v>
      </c>
      <c r="F7037" s="478" t="s">
        <v>1856</v>
      </c>
      <c r="G7037" s="222" t="s">
        <v>1111</v>
      </c>
      <c r="H7037" s="223"/>
      <c r="I7037" s="223"/>
      <c r="J7037" s="224" t="s">
        <v>55</v>
      </c>
      <c r="K7037" s="225">
        <v>356610</v>
      </c>
      <c r="L7037" s="225"/>
    </row>
    <row r="7038" spans="1:13" ht="11.25" customHeight="1" x14ac:dyDescent="0.2">
      <c r="A7038" s="226">
        <v>2025</v>
      </c>
      <c r="B7038" s="226">
        <v>3</v>
      </c>
      <c r="C7038" s="232">
        <v>20</v>
      </c>
      <c r="D7038" s="232">
        <f t="shared" si="808"/>
        <v>45736</v>
      </c>
      <c r="E7038" s="234">
        <f t="shared" si="813"/>
        <v>45736</v>
      </c>
      <c r="F7038" s="479"/>
      <c r="G7038" s="227" t="s">
        <v>1111</v>
      </c>
      <c r="H7038" s="228"/>
      <c r="I7038" s="228"/>
      <c r="J7038" s="229" t="s">
        <v>192</v>
      </c>
      <c r="K7038" s="230"/>
      <c r="L7038" s="230">
        <v>356610</v>
      </c>
    </row>
    <row r="7039" spans="1:13" ht="11.25" customHeight="1" x14ac:dyDescent="0.2">
      <c r="A7039" s="280">
        <v>2025</v>
      </c>
      <c r="B7039" s="280">
        <v>3</v>
      </c>
      <c r="C7039" s="280">
        <v>20</v>
      </c>
      <c r="D7039" s="281">
        <f t="shared" si="808"/>
        <v>45736</v>
      </c>
      <c r="E7039" s="282">
        <f t="shared" si="813"/>
        <v>45736</v>
      </c>
      <c r="F7039" s="472" t="s">
        <v>1744</v>
      </c>
      <c r="G7039" s="283" t="s">
        <v>86</v>
      </c>
      <c r="H7039" s="284"/>
      <c r="I7039" s="284"/>
      <c r="J7039" s="285" t="s">
        <v>131</v>
      </c>
      <c r="K7039" s="286">
        <v>19358.330000000002</v>
      </c>
      <c r="L7039" s="286"/>
    </row>
    <row r="7040" spans="1:13" ht="11.25" customHeight="1" x14ac:dyDescent="0.2">
      <c r="A7040" s="287">
        <v>2025</v>
      </c>
      <c r="B7040" s="287">
        <v>3</v>
      </c>
      <c r="C7040" s="287">
        <v>20</v>
      </c>
      <c r="D7040" s="288">
        <f t="shared" si="808"/>
        <v>45736</v>
      </c>
      <c r="E7040" s="289">
        <f t="shared" si="813"/>
        <v>45736</v>
      </c>
      <c r="F7040" s="473"/>
      <c r="G7040" s="290" t="s">
        <v>86</v>
      </c>
      <c r="H7040" s="291"/>
      <c r="I7040" s="291"/>
      <c r="J7040" s="292" t="s">
        <v>174</v>
      </c>
      <c r="K7040" s="293"/>
      <c r="L7040" s="293">
        <v>19358.330000000002</v>
      </c>
    </row>
    <row r="7041" spans="1:13" ht="11.25" customHeight="1" x14ac:dyDescent="0.2">
      <c r="A7041" s="280">
        <v>2025</v>
      </c>
      <c r="B7041" s="280">
        <v>3</v>
      </c>
      <c r="C7041" s="280">
        <v>20</v>
      </c>
      <c r="D7041" s="281">
        <f t="shared" si="808"/>
        <v>45736</v>
      </c>
      <c r="E7041" s="282">
        <f t="shared" si="813"/>
        <v>45736</v>
      </c>
      <c r="F7041" s="472" t="s">
        <v>1584</v>
      </c>
      <c r="G7041" s="283" t="s">
        <v>86</v>
      </c>
      <c r="H7041" s="284"/>
      <c r="I7041" s="284"/>
      <c r="J7041" s="285" t="s">
        <v>131</v>
      </c>
      <c r="K7041" s="286">
        <v>8846.15</v>
      </c>
      <c r="L7041" s="286"/>
    </row>
    <row r="7042" spans="1:13" ht="11.25" customHeight="1" x14ac:dyDescent="0.2">
      <c r="A7042" s="287">
        <v>2025</v>
      </c>
      <c r="B7042" s="287">
        <v>3</v>
      </c>
      <c r="C7042" s="287">
        <v>20</v>
      </c>
      <c r="D7042" s="288">
        <f t="shared" si="808"/>
        <v>45736</v>
      </c>
      <c r="E7042" s="289">
        <f t="shared" si="813"/>
        <v>45736</v>
      </c>
      <c r="F7042" s="473"/>
      <c r="G7042" s="290" t="s">
        <v>86</v>
      </c>
      <c r="H7042" s="291"/>
      <c r="I7042" s="291"/>
      <c r="J7042" s="292" t="s">
        <v>174</v>
      </c>
      <c r="K7042" s="293"/>
      <c r="L7042" s="293">
        <v>8846.15</v>
      </c>
    </row>
    <row r="7043" spans="1:13" ht="11.25" customHeight="1" x14ac:dyDescent="0.2">
      <c r="A7043" s="280">
        <v>2025</v>
      </c>
      <c r="B7043" s="280">
        <v>3</v>
      </c>
      <c r="C7043" s="280">
        <v>20</v>
      </c>
      <c r="D7043" s="281">
        <f t="shared" si="808"/>
        <v>45736</v>
      </c>
      <c r="E7043" s="282">
        <f t="shared" si="813"/>
        <v>45736</v>
      </c>
      <c r="F7043" s="472" t="s">
        <v>1836</v>
      </c>
      <c r="G7043" s="283" t="s">
        <v>86</v>
      </c>
      <c r="H7043" s="284"/>
      <c r="I7043" s="284"/>
      <c r="J7043" s="285" t="s">
        <v>131</v>
      </c>
      <c r="K7043" s="286">
        <v>4653.8500000000004</v>
      </c>
      <c r="L7043" s="286"/>
    </row>
    <row r="7044" spans="1:13" ht="11.25" customHeight="1" x14ac:dyDescent="0.2">
      <c r="A7044" s="287">
        <v>2025</v>
      </c>
      <c r="B7044" s="287">
        <v>3</v>
      </c>
      <c r="C7044" s="287">
        <v>20</v>
      </c>
      <c r="D7044" s="288">
        <f t="shared" si="808"/>
        <v>45736</v>
      </c>
      <c r="E7044" s="289">
        <f t="shared" si="813"/>
        <v>45736</v>
      </c>
      <c r="F7044" s="473"/>
      <c r="G7044" s="290" t="s">
        <v>86</v>
      </c>
      <c r="H7044" s="291"/>
      <c r="I7044" s="291"/>
      <c r="J7044" s="292" t="s">
        <v>174</v>
      </c>
      <c r="K7044" s="293"/>
      <c r="L7044" s="293">
        <v>4653.8500000000004</v>
      </c>
    </row>
    <row r="7045" spans="1:13" ht="11.25" customHeight="1" x14ac:dyDescent="0.2">
      <c r="A7045" s="280">
        <v>2025</v>
      </c>
      <c r="B7045" s="280">
        <v>3</v>
      </c>
      <c r="C7045" s="280">
        <v>20</v>
      </c>
      <c r="D7045" s="281">
        <f t="shared" si="808"/>
        <v>45736</v>
      </c>
      <c r="E7045" s="282">
        <f t="shared" si="813"/>
        <v>45736</v>
      </c>
      <c r="F7045" s="472" t="s">
        <v>1830</v>
      </c>
      <c r="G7045" s="283" t="s">
        <v>86</v>
      </c>
      <c r="H7045" s="284"/>
      <c r="I7045" s="284"/>
      <c r="J7045" s="285" t="s">
        <v>131</v>
      </c>
      <c r="K7045" s="286">
        <v>5040.6492307692261</v>
      </c>
      <c r="L7045" s="286"/>
    </row>
    <row r="7046" spans="1:13" ht="11.25" customHeight="1" x14ac:dyDescent="0.2">
      <c r="A7046" s="287">
        <v>2025</v>
      </c>
      <c r="B7046" s="287">
        <v>3</v>
      </c>
      <c r="C7046" s="287">
        <v>20</v>
      </c>
      <c r="D7046" s="288">
        <f t="shared" si="808"/>
        <v>45736</v>
      </c>
      <c r="E7046" s="289">
        <f t="shared" si="813"/>
        <v>45736</v>
      </c>
      <c r="F7046" s="473"/>
      <c r="G7046" s="290" t="s">
        <v>86</v>
      </c>
      <c r="H7046" s="291"/>
      <c r="I7046" s="291"/>
      <c r="J7046" s="292" t="s">
        <v>174</v>
      </c>
      <c r="K7046" s="293"/>
      <c r="L7046" s="293">
        <v>5040.6492307692261</v>
      </c>
    </row>
    <row r="7047" spans="1:13" ht="11.25" customHeight="1" x14ac:dyDescent="0.2">
      <c r="A7047" s="341">
        <v>2025</v>
      </c>
      <c r="B7047" s="341">
        <v>3</v>
      </c>
      <c r="C7047" s="341">
        <v>20</v>
      </c>
      <c r="D7047" s="328">
        <f t="shared" si="808"/>
        <v>45736</v>
      </c>
      <c r="E7047" s="329">
        <f t="shared" si="813"/>
        <v>45736</v>
      </c>
      <c r="F7047" s="474" t="s">
        <v>1767</v>
      </c>
      <c r="G7047" s="330" t="s">
        <v>86</v>
      </c>
      <c r="H7047" s="332"/>
      <c r="I7047" s="332"/>
      <c r="J7047" s="342" t="s">
        <v>67</v>
      </c>
      <c r="K7047" s="343">
        <v>21910.89</v>
      </c>
      <c r="L7047" s="343"/>
    </row>
    <row r="7048" spans="1:13" ht="11.25" customHeight="1" x14ac:dyDescent="0.2">
      <c r="A7048" s="344">
        <v>2025</v>
      </c>
      <c r="B7048" s="344">
        <v>3</v>
      </c>
      <c r="C7048" s="344">
        <v>20</v>
      </c>
      <c r="D7048" s="337">
        <f t="shared" si="808"/>
        <v>45736</v>
      </c>
      <c r="E7048" s="338">
        <f t="shared" si="813"/>
        <v>45736</v>
      </c>
      <c r="F7048" s="475"/>
      <c r="G7048" s="339" t="s">
        <v>86</v>
      </c>
      <c r="H7048" s="340"/>
      <c r="I7048" s="340"/>
      <c r="J7048" s="345" t="s">
        <v>174</v>
      </c>
      <c r="K7048" s="346"/>
      <c r="L7048" s="346">
        <f>K7047</f>
        <v>21910.89</v>
      </c>
    </row>
    <row r="7049" spans="1:13" ht="11.25" customHeight="1" x14ac:dyDescent="0.2">
      <c r="A7049" s="358">
        <v>2025</v>
      </c>
      <c r="B7049" s="358">
        <v>3</v>
      </c>
      <c r="C7049" s="358">
        <v>20</v>
      </c>
      <c r="D7049" s="312">
        <f t="shared" ref="D7049:D7112" si="814">DATE(A7049,B7049,C7049)</f>
        <v>45736</v>
      </c>
      <c r="E7049" s="313">
        <f>DATE(A7049,B7049,C7049)</f>
        <v>45736</v>
      </c>
      <c r="F7049" s="482" t="s">
        <v>1627</v>
      </c>
      <c r="G7049" s="314" t="s">
        <v>86</v>
      </c>
      <c r="H7049" s="324"/>
      <c r="I7049" s="324"/>
      <c r="J7049" s="364" t="s">
        <v>1613</v>
      </c>
      <c r="K7049" s="365">
        <v>0</v>
      </c>
      <c r="L7049" s="365"/>
      <c r="M7049" s="156">
        <f>BS!$I$12</f>
        <v>0</v>
      </c>
    </row>
    <row r="7050" spans="1:13" ht="11.25" customHeight="1" x14ac:dyDescent="0.2">
      <c r="A7050" s="320">
        <v>2025</v>
      </c>
      <c r="B7050" s="320">
        <v>3</v>
      </c>
      <c r="C7050" s="320">
        <v>20</v>
      </c>
      <c r="D7050" s="323">
        <f t="shared" si="814"/>
        <v>45736</v>
      </c>
      <c r="E7050" s="321">
        <f t="shared" ref="E7050" si="815">DATE(A7050,B7050,C7050)</f>
        <v>45736</v>
      </c>
      <c r="F7050" s="483"/>
      <c r="G7050" s="322" t="s">
        <v>86</v>
      </c>
      <c r="H7050" s="325"/>
      <c r="I7050" s="325"/>
      <c r="J7050" s="366" t="s">
        <v>1621</v>
      </c>
      <c r="K7050" s="367"/>
      <c r="L7050" s="367">
        <f>K7049</f>
        <v>0</v>
      </c>
    </row>
    <row r="7051" spans="1:13" ht="11.25" customHeight="1" x14ac:dyDescent="0.2">
      <c r="A7051" s="358">
        <v>2025</v>
      </c>
      <c r="B7051" s="358">
        <v>3</v>
      </c>
      <c r="C7051" s="358">
        <v>20</v>
      </c>
      <c r="D7051" s="312">
        <f t="shared" si="814"/>
        <v>45736</v>
      </c>
      <c r="E7051" s="313">
        <f>DATE(A7051,B7051,C7051)</f>
        <v>45736</v>
      </c>
      <c r="F7051" s="482" t="s">
        <v>1713</v>
      </c>
      <c r="G7051" s="314" t="s">
        <v>86</v>
      </c>
      <c r="H7051" s="324"/>
      <c r="I7051" s="324"/>
      <c r="J7051" s="364" t="s">
        <v>1614</v>
      </c>
      <c r="K7051" s="365">
        <v>169264.2650000006</v>
      </c>
      <c r="L7051" s="365"/>
      <c r="M7051" s="156">
        <f>BS!$I$15</f>
        <v>0</v>
      </c>
    </row>
    <row r="7052" spans="1:13" ht="11.25" customHeight="1" x14ac:dyDescent="0.2">
      <c r="A7052" s="320">
        <v>2025</v>
      </c>
      <c r="B7052" s="320">
        <v>3</v>
      </c>
      <c r="C7052" s="320">
        <v>20</v>
      </c>
      <c r="D7052" s="323">
        <f t="shared" si="814"/>
        <v>45736</v>
      </c>
      <c r="E7052" s="321">
        <f t="shared" ref="E7052:E7074" si="816">DATE(A7052,B7052,C7052)</f>
        <v>45736</v>
      </c>
      <c r="F7052" s="483"/>
      <c r="G7052" s="322" t="s">
        <v>86</v>
      </c>
      <c r="H7052" s="325"/>
      <c r="I7052" s="325"/>
      <c r="J7052" s="366" t="s">
        <v>1622</v>
      </c>
      <c r="K7052" s="367"/>
      <c r="L7052" s="367">
        <f>K7051</f>
        <v>169264.2650000006</v>
      </c>
    </row>
    <row r="7053" spans="1:13" ht="11.25" customHeight="1" x14ac:dyDescent="0.2">
      <c r="A7053" s="236">
        <v>2025</v>
      </c>
      <c r="B7053" s="236">
        <v>3</v>
      </c>
      <c r="C7053" s="236">
        <v>20</v>
      </c>
      <c r="D7053" s="237">
        <f t="shared" si="814"/>
        <v>45736</v>
      </c>
      <c r="E7053" s="238">
        <f t="shared" si="816"/>
        <v>45736</v>
      </c>
      <c r="F7053" s="476" t="s">
        <v>1118</v>
      </c>
      <c r="G7053" s="239" t="s">
        <v>86</v>
      </c>
      <c r="H7053" s="239"/>
      <c r="I7053" s="240"/>
      <c r="J7053" s="241" t="s">
        <v>82</v>
      </c>
      <c r="K7053" s="242">
        <v>270433.29999999702</v>
      </c>
      <c r="L7053" s="242"/>
      <c r="M7053" s="156">
        <f>BS!$I$8</f>
        <v>0</v>
      </c>
    </row>
    <row r="7054" spans="1:13" ht="11.25" customHeight="1" x14ac:dyDescent="0.2">
      <c r="A7054" s="243">
        <v>2025</v>
      </c>
      <c r="B7054" s="243">
        <v>3</v>
      </c>
      <c r="C7054" s="243">
        <v>20</v>
      </c>
      <c r="D7054" s="248">
        <f t="shared" si="814"/>
        <v>45736</v>
      </c>
      <c r="E7054" s="249">
        <f t="shared" si="816"/>
        <v>45736</v>
      </c>
      <c r="F7054" s="477"/>
      <c r="G7054" s="244" t="s">
        <v>86</v>
      </c>
      <c r="H7054" s="244"/>
      <c r="I7054" s="245"/>
      <c r="J7054" s="246" t="s">
        <v>98</v>
      </c>
      <c r="K7054" s="247"/>
      <c r="L7054" s="247">
        <f>K7053</f>
        <v>270433.29999999702</v>
      </c>
    </row>
    <row r="7055" spans="1:13" ht="11.25" customHeight="1" x14ac:dyDescent="0.2">
      <c r="A7055" s="236">
        <v>2025</v>
      </c>
      <c r="B7055" s="236">
        <v>3</v>
      </c>
      <c r="C7055" s="236">
        <v>20</v>
      </c>
      <c r="D7055" s="237">
        <f t="shared" si="814"/>
        <v>45736</v>
      </c>
      <c r="E7055" s="238">
        <f t="shared" si="816"/>
        <v>45736</v>
      </c>
      <c r="F7055" s="476" t="s">
        <v>1120</v>
      </c>
      <c r="G7055" s="239" t="s">
        <v>86</v>
      </c>
      <c r="H7055" s="239"/>
      <c r="I7055" s="240"/>
      <c r="J7055" s="241" t="s">
        <v>87</v>
      </c>
      <c r="K7055" s="242">
        <v>2747.2527472527472</v>
      </c>
      <c r="L7055" s="242"/>
    </row>
    <row r="7056" spans="1:13" ht="11.25" customHeight="1" x14ac:dyDescent="0.2">
      <c r="A7056" s="243">
        <v>2025</v>
      </c>
      <c r="B7056" s="243">
        <v>3</v>
      </c>
      <c r="C7056" s="243">
        <v>20</v>
      </c>
      <c r="D7056" s="248">
        <f t="shared" si="814"/>
        <v>45736</v>
      </c>
      <c r="E7056" s="249">
        <f t="shared" si="816"/>
        <v>45736</v>
      </c>
      <c r="F7056" s="477"/>
      <c r="G7056" s="244" t="s">
        <v>86</v>
      </c>
      <c r="H7056" s="244"/>
      <c r="I7056" s="245"/>
      <c r="J7056" s="246" t="s">
        <v>64</v>
      </c>
      <c r="K7056" s="247"/>
      <c r="L7056" s="247">
        <v>2747.2527472527472</v>
      </c>
    </row>
    <row r="7057" spans="1:13" ht="11.25" customHeight="1" x14ac:dyDescent="0.2">
      <c r="A7057" s="236">
        <v>2025</v>
      </c>
      <c r="B7057" s="236">
        <v>3</v>
      </c>
      <c r="C7057" s="236">
        <v>20</v>
      </c>
      <c r="D7057" s="237">
        <f t="shared" si="814"/>
        <v>45736</v>
      </c>
      <c r="E7057" s="238">
        <f t="shared" si="816"/>
        <v>45736</v>
      </c>
      <c r="F7057" s="476" t="s">
        <v>1121</v>
      </c>
      <c r="G7057" s="239" t="s">
        <v>86</v>
      </c>
      <c r="H7057" s="239"/>
      <c r="I7057" s="240"/>
      <c r="J7057" s="241" t="s">
        <v>89</v>
      </c>
      <c r="K7057" s="242">
        <f>M7057</f>
        <v>71252.11867609006</v>
      </c>
      <c r="L7057" s="242"/>
      <c r="M7057" s="156">
        <v>71252.11867609006</v>
      </c>
    </row>
    <row r="7058" spans="1:13" ht="11.25" customHeight="1" x14ac:dyDescent="0.2">
      <c r="A7058" s="243">
        <v>2025</v>
      </c>
      <c r="B7058" s="243">
        <v>3</v>
      </c>
      <c r="C7058" s="243">
        <v>20</v>
      </c>
      <c r="D7058" s="248">
        <f t="shared" si="814"/>
        <v>45736</v>
      </c>
      <c r="E7058" s="249">
        <f t="shared" si="816"/>
        <v>45736</v>
      </c>
      <c r="F7058" s="477"/>
      <c r="G7058" s="244" t="s">
        <v>86</v>
      </c>
      <c r="H7058" s="244"/>
      <c r="I7058" s="245"/>
      <c r="J7058" s="246" t="s">
        <v>50</v>
      </c>
      <c r="K7058" s="247"/>
      <c r="L7058" s="247">
        <f>K7057</f>
        <v>71252.11867609006</v>
      </c>
      <c r="M7058" s="156">
        <v>3322.2213184198877</v>
      </c>
    </row>
    <row r="7059" spans="1:13" ht="11.25" customHeight="1" x14ac:dyDescent="0.2">
      <c r="A7059" s="236">
        <v>2025</v>
      </c>
      <c r="B7059" s="236">
        <v>3</v>
      </c>
      <c r="C7059" s="236">
        <v>20</v>
      </c>
      <c r="D7059" s="237">
        <f t="shared" si="814"/>
        <v>45736</v>
      </c>
      <c r="E7059" s="238">
        <f t="shared" si="816"/>
        <v>45736</v>
      </c>
      <c r="F7059" s="476" t="s">
        <v>1122</v>
      </c>
      <c r="G7059" s="239" t="s">
        <v>86</v>
      </c>
      <c r="H7059" s="239"/>
      <c r="I7059" s="240"/>
      <c r="J7059" s="241" t="s">
        <v>91</v>
      </c>
      <c r="K7059" s="242">
        <f>M7058</f>
        <v>3322.2213184198877</v>
      </c>
      <c r="L7059" s="242"/>
    </row>
    <row r="7060" spans="1:13" ht="11.25" customHeight="1" x14ac:dyDescent="0.2">
      <c r="A7060" s="243">
        <v>2025</v>
      </c>
      <c r="B7060" s="243">
        <v>3</v>
      </c>
      <c r="C7060" s="243">
        <v>20</v>
      </c>
      <c r="D7060" s="248">
        <f t="shared" si="814"/>
        <v>45736</v>
      </c>
      <c r="E7060" s="249">
        <f t="shared" si="816"/>
        <v>45736</v>
      </c>
      <c r="F7060" s="477"/>
      <c r="G7060" s="244" t="s">
        <v>86</v>
      </c>
      <c r="H7060" s="244"/>
      <c r="I7060" s="245"/>
      <c r="J7060" s="246" t="s">
        <v>51</v>
      </c>
      <c r="K7060" s="247"/>
      <c r="L7060" s="247">
        <f>K7059</f>
        <v>3322.2213184198877</v>
      </c>
    </row>
    <row r="7061" spans="1:13" ht="11.25" customHeight="1" x14ac:dyDescent="0.2">
      <c r="A7061" s="221">
        <v>2025</v>
      </c>
      <c r="B7061" s="221">
        <v>3</v>
      </c>
      <c r="C7061" s="221">
        <v>23</v>
      </c>
      <c r="D7061" s="221">
        <f t="shared" si="814"/>
        <v>45739</v>
      </c>
      <c r="E7061" s="233">
        <f t="shared" si="816"/>
        <v>45739</v>
      </c>
      <c r="F7061" s="478" t="s">
        <v>1769</v>
      </c>
      <c r="G7061" s="222" t="s">
        <v>86</v>
      </c>
      <c r="H7061" s="222"/>
      <c r="I7061" s="223"/>
      <c r="J7061" s="224" t="s">
        <v>80</v>
      </c>
      <c r="K7061" s="225">
        <v>801200</v>
      </c>
      <c r="L7061" s="225"/>
    </row>
    <row r="7062" spans="1:13" ht="11.25" customHeight="1" x14ac:dyDescent="0.2">
      <c r="A7062" s="164">
        <v>2025</v>
      </c>
      <c r="B7062" s="164">
        <v>3</v>
      </c>
      <c r="C7062" s="164">
        <v>23</v>
      </c>
      <c r="D7062" s="164">
        <f t="shared" si="814"/>
        <v>45739</v>
      </c>
      <c r="E7062" s="235">
        <f t="shared" si="816"/>
        <v>45739</v>
      </c>
      <c r="F7062" s="480"/>
      <c r="G7062" s="208" t="s">
        <v>86</v>
      </c>
      <c r="H7062" s="208"/>
      <c r="J7062" s="165" t="s">
        <v>960</v>
      </c>
      <c r="K7062" s="205">
        <v>2794.5</v>
      </c>
      <c r="L7062" s="205"/>
    </row>
    <row r="7063" spans="1:13" ht="11.25" customHeight="1" x14ac:dyDescent="0.2">
      <c r="A7063" s="164">
        <v>2025</v>
      </c>
      <c r="B7063" s="164">
        <v>3</v>
      </c>
      <c r="C7063" s="164">
        <v>23</v>
      </c>
      <c r="D7063" s="164">
        <f t="shared" si="814"/>
        <v>45739</v>
      </c>
      <c r="E7063" s="235">
        <f t="shared" si="816"/>
        <v>45739</v>
      </c>
      <c r="F7063" s="480"/>
      <c r="G7063" s="208" t="s">
        <v>86</v>
      </c>
      <c r="H7063" s="208"/>
      <c r="J7063" s="165" t="s">
        <v>143</v>
      </c>
      <c r="K7063" s="205"/>
      <c r="L7063" s="205">
        <v>52694.5</v>
      </c>
    </row>
    <row r="7064" spans="1:13" ht="11.25" customHeight="1" x14ac:dyDescent="0.2">
      <c r="A7064" s="164">
        <v>2025</v>
      </c>
      <c r="B7064" s="164">
        <v>3</v>
      </c>
      <c r="C7064" s="164">
        <v>23</v>
      </c>
      <c r="D7064" s="164">
        <f t="shared" si="814"/>
        <v>45739</v>
      </c>
      <c r="E7064" s="235">
        <f t="shared" si="816"/>
        <v>45739</v>
      </c>
      <c r="F7064" s="480"/>
      <c r="G7064" s="208" t="s">
        <v>86</v>
      </c>
      <c r="H7064" s="208"/>
      <c r="J7064" s="165" t="s">
        <v>200</v>
      </c>
      <c r="K7064" s="263"/>
      <c r="L7064" s="205">
        <v>124043.58</v>
      </c>
    </row>
    <row r="7065" spans="1:13" ht="11.25" customHeight="1" x14ac:dyDescent="0.2">
      <c r="A7065" s="226">
        <v>2025</v>
      </c>
      <c r="B7065" s="226">
        <v>3</v>
      </c>
      <c r="C7065" s="226">
        <v>23</v>
      </c>
      <c r="D7065" s="226">
        <f t="shared" si="814"/>
        <v>45739</v>
      </c>
      <c r="E7065" s="234">
        <f t="shared" si="816"/>
        <v>45739</v>
      </c>
      <c r="F7065" s="479"/>
      <c r="G7065" s="227" t="s">
        <v>86</v>
      </c>
      <c r="H7065" s="228"/>
      <c r="I7065" s="228"/>
      <c r="J7065" s="229" t="s">
        <v>80</v>
      </c>
      <c r="K7065" s="230"/>
      <c r="L7065" s="230">
        <v>627256.42000000004</v>
      </c>
    </row>
    <row r="7066" spans="1:13" ht="11.25" customHeight="1" x14ac:dyDescent="0.2">
      <c r="A7066" s="221">
        <v>2025</v>
      </c>
      <c r="B7066" s="221">
        <v>3</v>
      </c>
      <c r="C7066" s="231">
        <v>23</v>
      </c>
      <c r="D7066" s="231">
        <f t="shared" si="814"/>
        <v>45739</v>
      </c>
      <c r="E7066" s="233">
        <f t="shared" si="816"/>
        <v>45739</v>
      </c>
      <c r="F7066" s="478" t="s">
        <v>1843</v>
      </c>
      <c r="G7066" s="222" t="s">
        <v>1111</v>
      </c>
      <c r="H7066" s="223"/>
      <c r="I7066" s="223"/>
      <c r="J7066" s="224" t="s">
        <v>55</v>
      </c>
      <c r="K7066" s="225">
        <v>256038</v>
      </c>
      <c r="L7066" s="225"/>
    </row>
    <row r="7067" spans="1:13" ht="11.25" customHeight="1" x14ac:dyDescent="0.2">
      <c r="A7067" s="226">
        <v>2025</v>
      </c>
      <c r="B7067" s="226">
        <v>3</v>
      </c>
      <c r="C7067" s="232">
        <v>23</v>
      </c>
      <c r="D7067" s="232">
        <f t="shared" si="814"/>
        <v>45739</v>
      </c>
      <c r="E7067" s="234">
        <f t="shared" si="816"/>
        <v>45739</v>
      </c>
      <c r="F7067" s="479"/>
      <c r="G7067" s="227" t="s">
        <v>1111</v>
      </c>
      <c r="H7067" s="228"/>
      <c r="I7067" s="228"/>
      <c r="J7067" s="229" t="s">
        <v>199</v>
      </c>
      <c r="K7067" s="230"/>
      <c r="L7067" s="230">
        <v>256038</v>
      </c>
    </row>
    <row r="7068" spans="1:13" ht="11.25" customHeight="1" x14ac:dyDescent="0.2">
      <c r="A7068" s="221">
        <v>2025</v>
      </c>
      <c r="B7068" s="221">
        <v>3</v>
      </c>
      <c r="C7068" s="221">
        <v>23</v>
      </c>
      <c r="D7068" s="231">
        <f t="shared" si="814"/>
        <v>45739</v>
      </c>
      <c r="E7068" s="233">
        <f t="shared" si="816"/>
        <v>45739</v>
      </c>
      <c r="F7068" s="478" t="s">
        <v>1196</v>
      </c>
      <c r="G7068" s="222" t="s">
        <v>1111</v>
      </c>
      <c r="H7068" s="223"/>
      <c r="I7068" s="223"/>
      <c r="J7068" s="224" t="s">
        <v>95</v>
      </c>
      <c r="K7068" s="225">
        <v>1195.31</v>
      </c>
      <c r="L7068" s="225"/>
      <c r="M7068" s="166"/>
    </row>
    <row r="7069" spans="1:13" ht="11.25" customHeight="1" x14ac:dyDescent="0.2">
      <c r="A7069" s="164">
        <v>2025</v>
      </c>
      <c r="B7069" s="164">
        <v>3</v>
      </c>
      <c r="C7069" s="164">
        <v>23</v>
      </c>
      <c r="D7069" s="156">
        <f t="shared" si="814"/>
        <v>45739</v>
      </c>
      <c r="E7069" s="235">
        <f t="shared" si="816"/>
        <v>45739</v>
      </c>
      <c r="F7069" s="480"/>
      <c r="G7069" s="208" t="s">
        <v>1111</v>
      </c>
      <c r="J7069" s="165" t="s">
        <v>478</v>
      </c>
      <c r="K7069" s="205"/>
      <c r="L7069" s="205">
        <v>119.53</v>
      </c>
    </row>
    <row r="7070" spans="1:13" ht="11.25" customHeight="1" x14ac:dyDescent="0.2">
      <c r="A7070" s="226">
        <v>2025</v>
      </c>
      <c r="B7070" s="226">
        <v>3</v>
      </c>
      <c r="C7070" s="226">
        <v>23</v>
      </c>
      <c r="D7070" s="232">
        <f t="shared" si="814"/>
        <v>45739</v>
      </c>
      <c r="E7070" s="234">
        <f t="shared" si="816"/>
        <v>45739</v>
      </c>
      <c r="F7070" s="479"/>
      <c r="G7070" s="227" t="s">
        <v>1111</v>
      </c>
      <c r="H7070" s="228"/>
      <c r="I7070" s="228"/>
      <c r="J7070" s="229" t="s">
        <v>55</v>
      </c>
      <c r="K7070" s="230"/>
      <c r="L7070" s="230">
        <v>1075.78</v>
      </c>
    </row>
    <row r="7071" spans="1:13" ht="11.25" customHeight="1" x14ac:dyDescent="0.2">
      <c r="A7071" s="221">
        <v>2025</v>
      </c>
      <c r="B7071" s="221">
        <v>3</v>
      </c>
      <c r="C7071" s="221">
        <v>24</v>
      </c>
      <c r="D7071" s="221">
        <f t="shared" si="814"/>
        <v>45740</v>
      </c>
      <c r="E7071" s="233">
        <f t="shared" si="816"/>
        <v>45740</v>
      </c>
      <c r="F7071" s="478" t="s">
        <v>1842</v>
      </c>
      <c r="G7071" s="222" t="s">
        <v>86</v>
      </c>
      <c r="H7071" s="222"/>
      <c r="I7071" s="223"/>
      <c r="J7071" s="165" t="s">
        <v>199</v>
      </c>
      <c r="K7071" s="225">
        <v>500054.27</v>
      </c>
      <c r="L7071" s="225"/>
    </row>
    <row r="7072" spans="1:13" ht="11.25" customHeight="1" x14ac:dyDescent="0.2">
      <c r="A7072" s="164">
        <v>2025</v>
      </c>
      <c r="B7072" s="164">
        <v>3</v>
      </c>
      <c r="C7072" s="164">
        <v>24</v>
      </c>
      <c r="D7072" s="164">
        <f t="shared" si="814"/>
        <v>45740</v>
      </c>
      <c r="E7072" s="235">
        <f t="shared" si="816"/>
        <v>45740</v>
      </c>
      <c r="F7072" s="480"/>
      <c r="G7072" s="208" t="s">
        <v>86</v>
      </c>
      <c r="H7072" s="208"/>
      <c r="J7072" s="165" t="s">
        <v>960</v>
      </c>
      <c r="K7072" s="205">
        <v>901.73</v>
      </c>
      <c r="L7072" s="205"/>
      <c r="M7072" s="401"/>
    </row>
    <row r="7073" spans="1:12" ht="11.25" customHeight="1" x14ac:dyDescent="0.2">
      <c r="A7073" s="164">
        <v>2025</v>
      </c>
      <c r="B7073" s="164">
        <v>3</v>
      </c>
      <c r="C7073" s="164">
        <v>24</v>
      </c>
      <c r="D7073" s="164">
        <f t="shared" si="814"/>
        <v>45740</v>
      </c>
      <c r="E7073" s="235">
        <f t="shared" si="816"/>
        <v>45740</v>
      </c>
      <c r="F7073" s="480"/>
      <c r="G7073" s="208" t="s">
        <v>86</v>
      </c>
      <c r="H7073" s="208"/>
      <c r="J7073" s="165" t="s">
        <v>200</v>
      </c>
      <c r="K7073" s="205"/>
      <c r="L7073" s="205">
        <v>108920.74</v>
      </c>
    </row>
    <row r="7074" spans="1:12" ht="11.25" customHeight="1" x14ac:dyDescent="0.2">
      <c r="A7074" s="226">
        <v>2025</v>
      </c>
      <c r="B7074" s="226">
        <v>3</v>
      </c>
      <c r="C7074" s="226">
        <v>24</v>
      </c>
      <c r="D7074" s="226">
        <f t="shared" si="814"/>
        <v>45740</v>
      </c>
      <c r="E7074" s="234">
        <f t="shared" si="816"/>
        <v>45740</v>
      </c>
      <c r="F7074" s="479"/>
      <c r="G7074" s="227" t="s">
        <v>86</v>
      </c>
      <c r="H7074" s="228"/>
      <c r="I7074" s="228"/>
      <c r="J7074" s="229" t="s">
        <v>80</v>
      </c>
      <c r="K7074" s="230"/>
      <c r="L7074" s="230">
        <v>392035.26</v>
      </c>
    </row>
    <row r="7075" spans="1:12" ht="11.25" customHeight="1" x14ac:dyDescent="0.2">
      <c r="A7075" s="221">
        <v>2025</v>
      </c>
      <c r="B7075" s="221">
        <v>3</v>
      </c>
      <c r="C7075" s="221">
        <v>24</v>
      </c>
      <c r="D7075" s="221">
        <f t="shared" si="814"/>
        <v>45740</v>
      </c>
      <c r="E7075" s="233">
        <f t="shared" ref="E7075:E7120" si="817">DATE(A7075,B7075,C7075)</f>
        <v>45740</v>
      </c>
      <c r="F7075" s="478" t="s">
        <v>1769</v>
      </c>
      <c r="G7075" s="222" t="s">
        <v>86</v>
      </c>
      <c r="H7075" s="222"/>
      <c r="I7075" s="223"/>
      <c r="J7075" s="224" t="s">
        <v>80</v>
      </c>
      <c r="K7075" s="225">
        <v>939200</v>
      </c>
      <c r="L7075" s="225"/>
    </row>
    <row r="7076" spans="1:12" ht="11.25" customHeight="1" x14ac:dyDescent="0.2">
      <c r="A7076" s="164">
        <v>2025</v>
      </c>
      <c r="B7076" s="164">
        <v>3</v>
      </c>
      <c r="C7076" s="164">
        <v>24</v>
      </c>
      <c r="D7076" s="164">
        <f t="shared" si="814"/>
        <v>45740</v>
      </c>
      <c r="E7076" s="235">
        <f t="shared" si="817"/>
        <v>45740</v>
      </c>
      <c r="F7076" s="480"/>
      <c r="G7076" s="208" t="s">
        <v>86</v>
      </c>
      <c r="H7076" s="208"/>
      <c r="J7076" s="165" t="s">
        <v>960</v>
      </c>
      <c r="K7076" s="205">
        <v>4585.8999999999996</v>
      </c>
      <c r="L7076" s="205"/>
    </row>
    <row r="7077" spans="1:12" ht="11.25" customHeight="1" x14ac:dyDescent="0.2">
      <c r="A7077" s="164">
        <v>2025</v>
      </c>
      <c r="B7077" s="164">
        <v>3</v>
      </c>
      <c r="C7077" s="164">
        <v>24</v>
      </c>
      <c r="D7077" s="164">
        <f t="shared" si="814"/>
        <v>45740</v>
      </c>
      <c r="E7077" s="235">
        <f t="shared" si="817"/>
        <v>45740</v>
      </c>
      <c r="F7077" s="480"/>
      <c r="G7077" s="208" t="s">
        <v>86</v>
      </c>
      <c r="H7077" s="208"/>
      <c r="J7077" s="374" t="s">
        <v>199</v>
      </c>
      <c r="K7077" s="418">
        <v>664696</v>
      </c>
      <c r="L7077" s="418"/>
    </row>
    <row r="7078" spans="1:12" ht="11.25" customHeight="1" x14ac:dyDescent="0.2">
      <c r="A7078" s="164">
        <v>2025</v>
      </c>
      <c r="B7078" s="164">
        <v>3</v>
      </c>
      <c r="C7078" s="164">
        <v>24</v>
      </c>
      <c r="D7078" s="164">
        <f t="shared" si="814"/>
        <v>45740</v>
      </c>
      <c r="E7078" s="235">
        <f t="shared" si="817"/>
        <v>45740</v>
      </c>
      <c r="F7078" s="480"/>
      <c r="G7078" s="208" t="s">
        <v>86</v>
      </c>
      <c r="H7078" s="208"/>
      <c r="J7078" s="165" t="s">
        <v>200</v>
      </c>
      <c r="K7078" s="263"/>
      <c r="L7078" s="205">
        <v>361417.74</v>
      </c>
    </row>
    <row r="7079" spans="1:12" ht="11.25" customHeight="1" x14ac:dyDescent="0.2">
      <c r="A7079" s="226">
        <v>2025</v>
      </c>
      <c r="B7079" s="226">
        <v>3</v>
      </c>
      <c r="C7079" s="226">
        <v>24</v>
      </c>
      <c r="D7079" s="226">
        <f t="shared" si="814"/>
        <v>45740</v>
      </c>
      <c r="E7079" s="234">
        <f t="shared" si="817"/>
        <v>45740</v>
      </c>
      <c r="F7079" s="479"/>
      <c r="G7079" s="227" t="s">
        <v>86</v>
      </c>
      <c r="H7079" s="228"/>
      <c r="I7079" s="228"/>
      <c r="J7079" s="229" t="s">
        <v>80</v>
      </c>
      <c r="K7079" s="230"/>
      <c r="L7079" s="230">
        <v>1247064.1599999999</v>
      </c>
    </row>
    <row r="7080" spans="1:12" ht="11.25" customHeight="1" x14ac:dyDescent="0.2">
      <c r="A7080" s="221">
        <v>2025</v>
      </c>
      <c r="B7080" s="221">
        <v>3</v>
      </c>
      <c r="C7080" s="231">
        <v>24</v>
      </c>
      <c r="D7080" s="231">
        <f t="shared" si="814"/>
        <v>45740</v>
      </c>
      <c r="E7080" s="233">
        <f>DATE(A7080,B7080,C7080)</f>
        <v>45740</v>
      </c>
      <c r="F7080" s="478" t="s">
        <v>1814</v>
      </c>
      <c r="G7080" s="222" t="s">
        <v>1111</v>
      </c>
      <c r="H7080" s="223"/>
      <c r="I7080" s="223"/>
      <c r="J7080" s="224" t="s">
        <v>961</v>
      </c>
      <c r="K7080" s="225">
        <v>52694.5</v>
      </c>
      <c r="L7080" s="225"/>
    </row>
    <row r="7081" spans="1:12" ht="11.25" customHeight="1" x14ac:dyDescent="0.2">
      <c r="A7081" s="226">
        <v>2025</v>
      </c>
      <c r="B7081" s="226">
        <v>3</v>
      </c>
      <c r="C7081" s="232">
        <v>24</v>
      </c>
      <c r="D7081" s="232">
        <f t="shared" si="814"/>
        <v>45740</v>
      </c>
      <c r="E7081" s="234">
        <f>DATE(A7081,B7081,C7081)</f>
        <v>45740</v>
      </c>
      <c r="F7081" s="479"/>
      <c r="G7081" s="227" t="s">
        <v>1111</v>
      </c>
      <c r="H7081" s="228"/>
      <c r="I7081" s="228"/>
      <c r="J7081" s="229" t="s">
        <v>55</v>
      </c>
      <c r="K7081" s="230"/>
      <c r="L7081" s="230">
        <v>52694.5</v>
      </c>
    </row>
    <row r="7082" spans="1:12" ht="11.25" customHeight="1" x14ac:dyDescent="0.2">
      <c r="A7082" s="221">
        <v>2025</v>
      </c>
      <c r="B7082" s="221">
        <v>3</v>
      </c>
      <c r="C7082" s="231">
        <v>24</v>
      </c>
      <c r="D7082" s="231">
        <f t="shared" si="814"/>
        <v>45740</v>
      </c>
      <c r="E7082" s="233">
        <f t="shared" ref="E7082:E7086" si="818">DATE(A7082,B7082,C7082)</f>
        <v>45740</v>
      </c>
      <c r="F7082" s="478" t="s">
        <v>1855</v>
      </c>
      <c r="G7082" s="222" t="s">
        <v>1111</v>
      </c>
      <c r="H7082" s="223"/>
      <c r="I7082" s="223"/>
      <c r="J7082" s="224" t="s">
        <v>199</v>
      </c>
      <c r="K7082" s="225">
        <v>2000</v>
      </c>
      <c r="L7082" s="225"/>
    </row>
    <row r="7083" spans="1:12" ht="11.25" customHeight="1" x14ac:dyDescent="0.2">
      <c r="A7083" s="226">
        <v>2025</v>
      </c>
      <c r="B7083" s="226">
        <v>3</v>
      </c>
      <c r="C7083" s="232">
        <v>24</v>
      </c>
      <c r="D7083" s="232">
        <f t="shared" si="814"/>
        <v>45740</v>
      </c>
      <c r="E7083" s="234">
        <f t="shared" si="818"/>
        <v>45740</v>
      </c>
      <c r="F7083" s="479"/>
      <c r="G7083" s="227" t="s">
        <v>1111</v>
      </c>
      <c r="H7083" s="228"/>
      <c r="I7083" s="228"/>
      <c r="J7083" s="229" t="s">
        <v>55</v>
      </c>
      <c r="K7083" s="230"/>
      <c r="L7083" s="230">
        <v>2000</v>
      </c>
    </row>
    <row r="7084" spans="1:12" ht="11.25" customHeight="1" x14ac:dyDescent="0.2">
      <c r="A7084" s="221">
        <v>2025</v>
      </c>
      <c r="B7084" s="221">
        <v>3</v>
      </c>
      <c r="C7084" s="221">
        <v>25</v>
      </c>
      <c r="D7084" s="221">
        <f t="shared" si="814"/>
        <v>45741</v>
      </c>
      <c r="E7084" s="233">
        <f t="shared" si="818"/>
        <v>45741</v>
      </c>
      <c r="F7084" s="478" t="s">
        <v>1593</v>
      </c>
      <c r="G7084" s="222" t="s">
        <v>86</v>
      </c>
      <c r="H7084" s="222"/>
      <c r="I7084" s="223"/>
      <c r="J7084" s="224" t="s">
        <v>80</v>
      </c>
      <c r="K7084" s="225">
        <v>255000</v>
      </c>
      <c r="L7084" s="225"/>
    </row>
    <row r="7085" spans="1:12" ht="11.25" customHeight="1" x14ac:dyDescent="0.2">
      <c r="A7085" s="164">
        <v>2025</v>
      </c>
      <c r="B7085" s="164">
        <v>3</v>
      </c>
      <c r="C7085" s="164">
        <v>25</v>
      </c>
      <c r="D7085" s="164">
        <f t="shared" si="814"/>
        <v>45741</v>
      </c>
      <c r="E7085" s="235">
        <f t="shared" si="818"/>
        <v>45741</v>
      </c>
      <c r="F7085" s="480"/>
      <c r="G7085" s="208" t="s">
        <v>86</v>
      </c>
      <c r="H7085" s="208"/>
      <c r="J7085" s="165" t="s">
        <v>960</v>
      </c>
      <c r="K7085" s="205">
        <v>459</v>
      </c>
      <c r="L7085" s="205"/>
    </row>
    <row r="7086" spans="1:12" ht="11.25" customHeight="1" x14ac:dyDescent="0.2">
      <c r="A7086" s="164">
        <v>2025</v>
      </c>
      <c r="B7086" s="164">
        <v>3</v>
      </c>
      <c r="C7086" s="164">
        <v>25</v>
      </c>
      <c r="D7086" s="164">
        <f t="shared" si="814"/>
        <v>45741</v>
      </c>
      <c r="E7086" s="235">
        <f t="shared" si="818"/>
        <v>45741</v>
      </c>
      <c r="F7086" s="480"/>
      <c r="G7086" s="208" t="s">
        <v>86</v>
      </c>
      <c r="H7086" s="208"/>
      <c r="J7086" s="165" t="s">
        <v>143</v>
      </c>
      <c r="K7086" s="205"/>
      <c r="L7086" s="205">
        <v>255459</v>
      </c>
    </row>
    <row r="7087" spans="1:12" ht="11.25" customHeight="1" x14ac:dyDescent="0.2">
      <c r="A7087" s="221">
        <v>2025</v>
      </c>
      <c r="B7087" s="221">
        <v>3</v>
      </c>
      <c r="C7087" s="231">
        <v>25</v>
      </c>
      <c r="D7087" s="231">
        <f t="shared" si="814"/>
        <v>45741</v>
      </c>
      <c r="E7087" s="233">
        <f t="shared" si="817"/>
        <v>45741</v>
      </c>
      <c r="F7087" s="478" t="s">
        <v>1843</v>
      </c>
      <c r="G7087" s="222" t="s">
        <v>1111</v>
      </c>
      <c r="H7087" s="223"/>
      <c r="I7087" s="223"/>
      <c r="J7087" s="224" t="s">
        <v>55</v>
      </c>
      <c r="K7087" s="225">
        <v>436217</v>
      </c>
      <c r="L7087" s="225"/>
    </row>
    <row r="7088" spans="1:12" ht="11.25" customHeight="1" x14ac:dyDescent="0.2">
      <c r="A7088" s="226">
        <v>2025</v>
      </c>
      <c r="B7088" s="226">
        <v>3</v>
      </c>
      <c r="C7088" s="232">
        <v>25</v>
      </c>
      <c r="D7088" s="232">
        <f t="shared" si="814"/>
        <v>45741</v>
      </c>
      <c r="E7088" s="234">
        <f t="shared" si="817"/>
        <v>45741</v>
      </c>
      <c r="F7088" s="479"/>
      <c r="G7088" s="227" t="s">
        <v>1111</v>
      </c>
      <c r="H7088" s="228"/>
      <c r="I7088" s="228"/>
      <c r="J7088" s="229" t="s">
        <v>199</v>
      </c>
      <c r="K7088" s="230"/>
      <c r="L7088" s="230">
        <v>436217</v>
      </c>
    </row>
    <row r="7089" spans="1:13" ht="11.25" customHeight="1" x14ac:dyDescent="0.2">
      <c r="A7089" s="221">
        <v>2025</v>
      </c>
      <c r="B7089" s="221">
        <v>3</v>
      </c>
      <c r="C7089" s="231">
        <v>25</v>
      </c>
      <c r="D7089" s="231">
        <f t="shared" si="814"/>
        <v>45741</v>
      </c>
      <c r="E7089" s="233">
        <f t="shared" si="817"/>
        <v>45741</v>
      </c>
      <c r="F7089" s="478" t="s">
        <v>1857</v>
      </c>
      <c r="G7089" s="222" t="s">
        <v>1111</v>
      </c>
      <c r="H7089" s="223"/>
      <c r="I7089" s="223"/>
      <c r="J7089" s="224" t="s">
        <v>55</v>
      </c>
      <c r="K7089" s="225">
        <v>261756</v>
      </c>
      <c r="L7089" s="225"/>
    </row>
    <row r="7090" spans="1:13" ht="11.25" customHeight="1" x14ac:dyDescent="0.2">
      <c r="A7090" s="226">
        <v>2025</v>
      </c>
      <c r="B7090" s="226">
        <v>3</v>
      </c>
      <c r="C7090" s="232">
        <v>25</v>
      </c>
      <c r="D7090" s="232">
        <f t="shared" si="814"/>
        <v>45741</v>
      </c>
      <c r="E7090" s="234">
        <f t="shared" si="817"/>
        <v>45741</v>
      </c>
      <c r="F7090" s="479"/>
      <c r="G7090" s="227" t="s">
        <v>1111</v>
      </c>
      <c r="H7090" s="228"/>
      <c r="I7090" s="228"/>
      <c r="J7090" s="229" t="s">
        <v>192</v>
      </c>
      <c r="K7090" s="230"/>
      <c r="L7090" s="230">
        <v>261756</v>
      </c>
    </row>
    <row r="7091" spans="1:13" ht="11.25" customHeight="1" x14ac:dyDescent="0.2">
      <c r="A7091" s="221">
        <v>2025</v>
      </c>
      <c r="B7091" s="221">
        <v>3</v>
      </c>
      <c r="C7091" s="221">
        <v>25</v>
      </c>
      <c r="D7091" s="221">
        <f t="shared" si="814"/>
        <v>45741</v>
      </c>
      <c r="E7091" s="233">
        <f t="shared" si="817"/>
        <v>45741</v>
      </c>
      <c r="F7091" s="478" t="s">
        <v>1593</v>
      </c>
      <c r="G7091" s="222" t="s">
        <v>86</v>
      </c>
      <c r="H7091" s="222"/>
      <c r="I7091" s="223"/>
      <c r="J7091" s="224" t="s">
        <v>80</v>
      </c>
      <c r="K7091" s="225">
        <v>111000</v>
      </c>
      <c r="L7091" s="225"/>
    </row>
    <row r="7092" spans="1:13" ht="11.25" customHeight="1" x14ac:dyDescent="0.2">
      <c r="A7092" s="164">
        <v>2025</v>
      </c>
      <c r="B7092" s="164">
        <v>3</v>
      </c>
      <c r="C7092" s="164">
        <v>25</v>
      </c>
      <c r="D7092" s="164">
        <f t="shared" si="814"/>
        <v>45741</v>
      </c>
      <c r="E7092" s="235">
        <f t="shared" si="817"/>
        <v>45741</v>
      </c>
      <c r="F7092" s="480"/>
      <c r="G7092" s="208" t="s">
        <v>86</v>
      </c>
      <c r="H7092" s="208"/>
      <c r="J7092" s="165" t="s">
        <v>960</v>
      </c>
      <c r="K7092" s="205">
        <v>199.8</v>
      </c>
      <c r="L7092" s="205"/>
    </row>
    <row r="7093" spans="1:13" ht="11.25" customHeight="1" x14ac:dyDescent="0.2">
      <c r="A7093" s="226">
        <v>2025</v>
      </c>
      <c r="B7093" s="226">
        <v>3</v>
      </c>
      <c r="C7093" s="226">
        <v>25</v>
      </c>
      <c r="D7093" s="226">
        <f t="shared" si="814"/>
        <v>45741</v>
      </c>
      <c r="E7093" s="234">
        <f t="shared" si="817"/>
        <v>45741</v>
      </c>
      <c r="F7093" s="479"/>
      <c r="G7093" s="227" t="s">
        <v>86</v>
      </c>
      <c r="H7093" s="227"/>
      <c r="I7093" s="228"/>
      <c r="J7093" s="229" t="s">
        <v>143</v>
      </c>
      <c r="K7093" s="230"/>
      <c r="L7093" s="230">
        <v>111199.8</v>
      </c>
    </row>
    <row r="7094" spans="1:13" ht="11.25" customHeight="1" x14ac:dyDescent="0.2">
      <c r="A7094" s="164">
        <v>2025</v>
      </c>
      <c r="B7094" s="164">
        <v>3</v>
      </c>
      <c r="C7094" s="164">
        <v>27</v>
      </c>
      <c r="D7094" s="164">
        <f t="shared" si="814"/>
        <v>45743</v>
      </c>
      <c r="E7094" s="235">
        <f t="shared" si="817"/>
        <v>45743</v>
      </c>
      <c r="F7094" s="480" t="s">
        <v>1842</v>
      </c>
      <c r="G7094" s="208" t="s">
        <v>86</v>
      </c>
      <c r="H7094" s="208"/>
      <c r="J7094" s="165" t="s">
        <v>199</v>
      </c>
      <c r="K7094" s="205">
        <v>497291.47</v>
      </c>
      <c r="L7094" s="205"/>
    </row>
    <row r="7095" spans="1:13" ht="11.25" customHeight="1" x14ac:dyDescent="0.2">
      <c r="A7095" s="164">
        <v>2025</v>
      </c>
      <c r="B7095" s="164">
        <v>3</v>
      </c>
      <c r="C7095" s="164">
        <v>27</v>
      </c>
      <c r="D7095" s="164">
        <f t="shared" si="814"/>
        <v>45743</v>
      </c>
      <c r="E7095" s="235">
        <f t="shared" si="817"/>
        <v>45743</v>
      </c>
      <c r="F7095" s="480"/>
      <c r="G7095" s="208" t="s">
        <v>86</v>
      </c>
      <c r="H7095" s="208"/>
      <c r="J7095" s="165" t="s">
        <v>960</v>
      </c>
      <c r="K7095" s="205">
        <v>896.73</v>
      </c>
      <c r="L7095" s="205"/>
      <c r="M7095" s="401"/>
    </row>
    <row r="7096" spans="1:13" ht="11.25" customHeight="1" x14ac:dyDescent="0.2">
      <c r="A7096" s="164">
        <v>2025</v>
      </c>
      <c r="B7096" s="164">
        <v>3</v>
      </c>
      <c r="C7096" s="164">
        <v>27</v>
      </c>
      <c r="D7096" s="164">
        <f t="shared" si="814"/>
        <v>45743</v>
      </c>
      <c r="E7096" s="235">
        <f t="shared" si="817"/>
        <v>45743</v>
      </c>
      <c r="F7096" s="480"/>
      <c r="G7096" s="208" t="s">
        <v>86</v>
      </c>
      <c r="H7096" s="208"/>
      <c r="J7096" s="165" t="s">
        <v>200</v>
      </c>
      <c r="K7096" s="205"/>
      <c r="L7096" s="205">
        <v>106152.94</v>
      </c>
    </row>
    <row r="7097" spans="1:13" ht="11.25" customHeight="1" x14ac:dyDescent="0.2">
      <c r="A7097" s="226">
        <v>2025</v>
      </c>
      <c r="B7097" s="226">
        <v>3</v>
      </c>
      <c r="C7097" s="226">
        <v>27</v>
      </c>
      <c r="D7097" s="226">
        <f t="shared" si="814"/>
        <v>45743</v>
      </c>
      <c r="E7097" s="234">
        <f t="shared" si="817"/>
        <v>45743</v>
      </c>
      <c r="F7097" s="479"/>
      <c r="G7097" s="227" t="s">
        <v>86</v>
      </c>
      <c r="H7097" s="228"/>
      <c r="I7097" s="228"/>
      <c r="J7097" s="229" t="s">
        <v>80</v>
      </c>
      <c r="K7097" s="230"/>
      <c r="L7097" s="230">
        <v>392035.26</v>
      </c>
    </row>
    <row r="7098" spans="1:13" ht="11.25" customHeight="1" x14ac:dyDescent="0.2">
      <c r="A7098" s="221">
        <v>2025</v>
      </c>
      <c r="B7098" s="221">
        <v>3</v>
      </c>
      <c r="C7098" s="221">
        <v>27</v>
      </c>
      <c r="D7098" s="221">
        <f t="shared" si="814"/>
        <v>45743</v>
      </c>
      <c r="E7098" s="233">
        <f t="shared" ref="E7098:E7101" si="819">DATE(A7098,B7098,C7098)</f>
        <v>45743</v>
      </c>
      <c r="F7098" s="478" t="s">
        <v>1757</v>
      </c>
      <c r="G7098" s="222" t="s">
        <v>86</v>
      </c>
      <c r="H7098" s="222"/>
      <c r="I7098" s="223"/>
      <c r="J7098" s="165" t="s">
        <v>199</v>
      </c>
      <c r="K7098" s="225">
        <v>978346</v>
      </c>
      <c r="L7098" s="225"/>
    </row>
    <row r="7099" spans="1:13" ht="11.25" customHeight="1" x14ac:dyDescent="0.2">
      <c r="A7099" s="164">
        <v>2025</v>
      </c>
      <c r="B7099" s="164">
        <v>3</v>
      </c>
      <c r="C7099" s="164">
        <v>27</v>
      </c>
      <c r="D7099" s="164">
        <f t="shared" si="814"/>
        <v>45743</v>
      </c>
      <c r="E7099" s="235">
        <f t="shared" si="819"/>
        <v>45743</v>
      </c>
      <c r="F7099" s="480"/>
      <c r="G7099" s="208" t="s">
        <v>86</v>
      </c>
      <c r="H7099" s="208"/>
      <c r="J7099" s="165" t="s">
        <v>960</v>
      </c>
      <c r="K7099" s="205">
        <v>1764.2</v>
      </c>
      <c r="L7099" s="205"/>
      <c r="M7099" s="401"/>
    </row>
    <row r="7100" spans="1:13" ht="11.25" customHeight="1" x14ac:dyDescent="0.2">
      <c r="A7100" s="164">
        <v>2025</v>
      </c>
      <c r="B7100" s="164">
        <v>3</v>
      </c>
      <c r="C7100" s="164">
        <v>27</v>
      </c>
      <c r="D7100" s="164">
        <f t="shared" si="814"/>
        <v>45743</v>
      </c>
      <c r="E7100" s="235">
        <f t="shared" si="819"/>
        <v>45743</v>
      </c>
      <c r="F7100" s="480"/>
      <c r="G7100" s="208" t="s">
        <v>86</v>
      </c>
      <c r="H7100" s="208"/>
      <c r="J7100" s="165" t="s">
        <v>200</v>
      </c>
      <c r="K7100" s="205"/>
      <c r="L7100" s="205">
        <v>196039.67999999999</v>
      </c>
    </row>
    <row r="7101" spans="1:13" ht="11.25" customHeight="1" x14ac:dyDescent="0.2">
      <c r="A7101" s="226">
        <v>2025</v>
      </c>
      <c r="B7101" s="226">
        <v>3</v>
      </c>
      <c r="C7101" s="226">
        <v>27</v>
      </c>
      <c r="D7101" s="226">
        <f t="shared" si="814"/>
        <v>45743</v>
      </c>
      <c r="E7101" s="234">
        <f t="shared" si="819"/>
        <v>45743</v>
      </c>
      <c r="F7101" s="479"/>
      <c r="G7101" s="227" t="s">
        <v>86</v>
      </c>
      <c r="H7101" s="228"/>
      <c r="I7101" s="228"/>
      <c r="J7101" s="229" t="s">
        <v>80</v>
      </c>
      <c r="K7101" s="230"/>
      <c r="L7101" s="230">
        <v>784070.52</v>
      </c>
    </row>
    <row r="7102" spans="1:13" ht="11.25" customHeight="1" x14ac:dyDescent="0.2">
      <c r="A7102" s="221">
        <v>2025</v>
      </c>
      <c r="B7102" s="221">
        <v>3</v>
      </c>
      <c r="C7102" s="231">
        <v>27</v>
      </c>
      <c r="D7102" s="231">
        <f t="shared" si="814"/>
        <v>45743</v>
      </c>
      <c r="E7102" s="233">
        <f>DATE(A7102,B7102,C7102)</f>
        <v>45743</v>
      </c>
      <c r="F7102" s="478" t="s">
        <v>1840</v>
      </c>
      <c r="G7102" s="222" t="s">
        <v>1111</v>
      </c>
      <c r="H7102" s="223"/>
      <c r="I7102" s="223"/>
      <c r="J7102" s="224" t="s">
        <v>961</v>
      </c>
      <c r="K7102" s="225">
        <v>111199.8</v>
      </c>
      <c r="L7102" s="225"/>
    </row>
    <row r="7103" spans="1:13" ht="11.25" customHeight="1" x14ac:dyDescent="0.2">
      <c r="A7103" s="226">
        <v>2025</v>
      </c>
      <c r="B7103" s="226">
        <v>3</v>
      </c>
      <c r="C7103" s="232">
        <v>27</v>
      </c>
      <c r="D7103" s="232">
        <f t="shared" si="814"/>
        <v>45743</v>
      </c>
      <c r="E7103" s="234">
        <f>DATE(A7103,B7103,C7103)</f>
        <v>45743</v>
      </c>
      <c r="F7103" s="479"/>
      <c r="G7103" s="227" t="s">
        <v>1111</v>
      </c>
      <c r="H7103" s="228"/>
      <c r="I7103" s="228"/>
      <c r="J7103" s="229" t="s">
        <v>55</v>
      </c>
      <c r="K7103" s="230"/>
      <c r="L7103" s="230">
        <v>111199.8</v>
      </c>
    </row>
    <row r="7104" spans="1:13" ht="11.25" customHeight="1" x14ac:dyDescent="0.2">
      <c r="A7104" s="221">
        <v>2025</v>
      </c>
      <c r="B7104" s="221">
        <v>3</v>
      </c>
      <c r="C7104" s="231">
        <v>27</v>
      </c>
      <c r="D7104" s="231">
        <f t="shared" si="814"/>
        <v>45743</v>
      </c>
      <c r="E7104" s="233">
        <f t="shared" ref="E7104:E7105" si="820">DATE(A7104,B7104,C7104)</f>
        <v>45743</v>
      </c>
      <c r="F7104" s="478" t="s">
        <v>1844</v>
      </c>
      <c r="G7104" s="222" t="s">
        <v>1111</v>
      </c>
      <c r="H7104" s="223"/>
      <c r="I7104" s="223"/>
      <c r="J7104" s="224" t="s">
        <v>55</v>
      </c>
      <c r="K7104" s="225">
        <v>500054.27</v>
      </c>
      <c r="L7104" s="225"/>
    </row>
    <row r="7105" spans="1:13" ht="11.25" customHeight="1" x14ac:dyDescent="0.2">
      <c r="A7105" s="226">
        <v>2025</v>
      </c>
      <c r="B7105" s="226">
        <v>3</v>
      </c>
      <c r="C7105" s="232">
        <v>27</v>
      </c>
      <c r="D7105" s="232">
        <f t="shared" si="814"/>
        <v>45743</v>
      </c>
      <c r="E7105" s="234">
        <f t="shared" si="820"/>
        <v>45743</v>
      </c>
      <c r="F7105" s="479"/>
      <c r="G7105" s="227" t="s">
        <v>1111</v>
      </c>
      <c r="H7105" s="228"/>
      <c r="I7105" s="228"/>
      <c r="J7105" s="229" t="s">
        <v>199</v>
      </c>
      <c r="K7105" s="230"/>
      <c r="L7105" s="230">
        <v>500054.27</v>
      </c>
    </row>
    <row r="7106" spans="1:13" ht="11.25" customHeight="1" x14ac:dyDescent="0.2">
      <c r="A7106" s="221">
        <v>2025</v>
      </c>
      <c r="B7106" s="221">
        <v>3</v>
      </c>
      <c r="C7106" s="231">
        <v>27</v>
      </c>
      <c r="D7106" s="231">
        <f t="shared" si="814"/>
        <v>45743</v>
      </c>
      <c r="E7106" s="233">
        <f t="shared" ref="E7106:E7110" si="821">DATE(A7106,B7106,C7106)</f>
        <v>45743</v>
      </c>
      <c r="F7106" s="478" t="s">
        <v>1843</v>
      </c>
      <c r="G7106" s="222" t="s">
        <v>1111</v>
      </c>
      <c r="H7106" s="223"/>
      <c r="I7106" s="223"/>
      <c r="J7106" s="224" t="s">
        <v>55</v>
      </c>
      <c r="K7106" s="225">
        <v>664696</v>
      </c>
      <c r="L7106" s="225"/>
    </row>
    <row r="7107" spans="1:13" ht="11.25" customHeight="1" x14ac:dyDescent="0.2">
      <c r="A7107" s="226">
        <v>2025</v>
      </c>
      <c r="B7107" s="226">
        <v>3</v>
      </c>
      <c r="C7107" s="232">
        <v>27</v>
      </c>
      <c r="D7107" s="232">
        <f t="shared" si="814"/>
        <v>45743</v>
      </c>
      <c r="E7107" s="234">
        <f t="shared" si="821"/>
        <v>45743</v>
      </c>
      <c r="F7107" s="479"/>
      <c r="G7107" s="227" t="s">
        <v>1111</v>
      </c>
      <c r="H7107" s="228"/>
      <c r="I7107" s="228"/>
      <c r="J7107" s="229" t="s">
        <v>199</v>
      </c>
      <c r="K7107" s="230"/>
      <c r="L7107" s="230">
        <v>664696</v>
      </c>
    </row>
    <row r="7108" spans="1:13" ht="11.25" customHeight="1" x14ac:dyDescent="0.2">
      <c r="A7108" s="221">
        <v>2025</v>
      </c>
      <c r="B7108" s="221">
        <v>3</v>
      </c>
      <c r="C7108" s="221">
        <v>27</v>
      </c>
      <c r="D7108" s="231">
        <f t="shared" si="814"/>
        <v>45743</v>
      </c>
      <c r="E7108" s="233">
        <f t="shared" si="821"/>
        <v>45743</v>
      </c>
      <c r="F7108" s="478" t="s">
        <v>1132</v>
      </c>
      <c r="G7108" s="222" t="s">
        <v>1111</v>
      </c>
      <c r="H7108" s="223"/>
      <c r="I7108" s="223"/>
      <c r="J7108" s="224" t="s">
        <v>55</v>
      </c>
      <c r="K7108" s="167">
        <v>7000</v>
      </c>
      <c r="L7108" s="225"/>
    </row>
    <row r="7109" spans="1:13" ht="11.25" customHeight="1" x14ac:dyDescent="0.2">
      <c r="A7109" s="164">
        <v>2025</v>
      </c>
      <c r="B7109" s="164">
        <v>3</v>
      </c>
      <c r="C7109" s="164">
        <v>27</v>
      </c>
      <c r="D7109" s="156">
        <f t="shared" si="814"/>
        <v>45743</v>
      </c>
      <c r="E7109" s="235">
        <f t="shared" si="821"/>
        <v>45743</v>
      </c>
      <c r="F7109" s="480"/>
      <c r="G7109" s="208" t="s">
        <v>1111</v>
      </c>
      <c r="J7109" s="165" t="s">
        <v>14</v>
      </c>
      <c r="L7109" s="205">
        <v>6640</v>
      </c>
    </row>
    <row r="7110" spans="1:13" ht="11.25" customHeight="1" x14ac:dyDescent="0.2">
      <c r="A7110" s="226">
        <v>2025</v>
      </c>
      <c r="B7110" s="226">
        <v>3</v>
      </c>
      <c r="C7110" s="226">
        <v>27</v>
      </c>
      <c r="D7110" s="232">
        <f t="shared" si="814"/>
        <v>45743</v>
      </c>
      <c r="E7110" s="234">
        <f t="shared" si="821"/>
        <v>45743</v>
      </c>
      <c r="F7110" s="479"/>
      <c r="G7110" s="227" t="s">
        <v>1111</v>
      </c>
      <c r="H7110" s="228"/>
      <c r="I7110" s="228"/>
      <c r="J7110" s="229" t="s">
        <v>1112</v>
      </c>
      <c r="K7110" s="230"/>
      <c r="L7110" s="230">
        <v>360</v>
      </c>
    </row>
    <row r="7111" spans="1:13" ht="11.25" customHeight="1" x14ac:dyDescent="0.2">
      <c r="A7111" s="280">
        <v>2025</v>
      </c>
      <c r="B7111" s="280">
        <v>3</v>
      </c>
      <c r="C7111" s="280">
        <v>27</v>
      </c>
      <c r="D7111" s="281">
        <f t="shared" si="814"/>
        <v>45743</v>
      </c>
      <c r="E7111" s="282">
        <f t="shared" si="817"/>
        <v>45743</v>
      </c>
      <c r="F7111" s="472" t="s">
        <v>1744</v>
      </c>
      <c r="G7111" s="283" t="s">
        <v>86</v>
      </c>
      <c r="H7111" s="284"/>
      <c r="I7111" s="284"/>
      <c r="J7111" s="285" t="s">
        <v>131</v>
      </c>
      <c r="K7111" s="286">
        <v>38716.660000000003</v>
      </c>
      <c r="L7111" s="286"/>
      <c r="M7111" s="401"/>
    </row>
    <row r="7112" spans="1:13" ht="11.25" customHeight="1" x14ac:dyDescent="0.2">
      <c r="A7112" s="287">
        <v>2025</v>
      </c>
      <c r="B7112" s="287">
        <v>3</v>
      </c>
      <c r="C7112" s="287">
        <v>27</v>
      </c>
      <c r="D7112" s="288">
        <f t="shared" si="814"/>
        <v>45743</v>
      </c>
      <c r="E7112" s="289">
        <f t="shared" si="817"/>
        <v>45743</v>
      </c>
      <c r="F7112" s="473"/>
      <c r="G7112" s="290" t="s">
        <v>86</v>
      </c>
      <c r="H7112" s="291"/>
      <c r="I7112" s="291"/>
      <c r="J7112" s="292" t="s">
        <v>174</v>
      </c>
      <c r="K7112" s="293"/>
      <c r="L7112" s="293">
        <f>K7111</f>
        <v>38716.660000000003</v>
      </c>
    </row>
    <row r="7113" spans="1:13" ht="11.25" customHeight="1" x14ac:dyDescent="0.2">
      <c r="A7113" s="280">
        <v>2025</v>
      </c>
      <c r="B7113" s="280">
        <v>3</v>
      </c>
      <c r="C7113" s="280">
        <v>27</v>
      </c>
      <c r="D7113" s="281">
        <f t="shared" ref="D7113:D7176" si="822">DATE(A7113,B7113,C7113)</f>
        <v>45743</v>
      </c>
      <c r="E7113" s="282">
        <f t="shared" si="817"/>
        <v>45743</v>
      </c>
      <c r="F7113" s="472" t="s">
        <v>1584</v>
      </c>
      <c r="G7113" s="283" t="s">
        <v>86</v>
      </c>
      <c r="H7113" s="284"/>
      <c r="I7113" s="284"/>
      <c r="J7113" s="285" t="s">
        <v>131</v>
      </c>
      <c r="K7113" s="286">
        <v>17692.3</v>
      </c>
      <c r="L7113" s="286"/>
      <c r="M7113" s="401"/>
    </row>
    <row r="7114" spans="1:13" ht="11.25" customHeight="1" x14ac:dyDescent="0.2">
      <c r="A7114" s="287">
        <v>2025</v>
      </c>
      <c r="B7114" s="287">
        <v>3</v>
      </c>
      <c r="C7114" s="287">
        <v>27</v>
      </c>
      <c r="D7114" s="288">
        <f t="shared" si="822"/>
        <v>45743</v>
      </c>
      <c r="E7114" s="289">
        <f t="shared" si="817"/>
        <v>45743</v>
      </c>
      <c r="F7114" s="473"/>
      <c r="G7114" s="290" t="s">
        <v>86</v>
      </c>
      <c r="H7114" s="291"/>
      <c r="I7114" s="291"/>
      <c r="J7114" s="292" t="s">
        <v>174</v>
      </c>
      <c r="K7114" s="293"/>
      <c r="L7114" s="293">
        <f>K7113</f>
        <v>17692.3</v>
      </c>
    </row>
    <row r="7115" spans="1:13" ht="11.25" customHeight="1" x14ac:dyDescent="0.2">
      <c r="A7115" s="280">
        <v>2025</v>
      </c>
      <c r="B7115" s="280">
        <v>3</v>
      </c>
      <c r="C7115" s="280">
        <v>27</v>
      </c>
      <c r="D7115" s="281">
        <f t="shared" si="822"/>
        <v>45743</v>
      </c>
      <c r="E7115" s="282">
        <f t="shared" si="817"/>
        <v>45743</v>
      </c>
      <c r="F7115" s="472" t="s">
        <v>1836</v>
      </c>
      <c r="G7115" s="283" t="s">
        <v>86</v>
      </c>
      <c r="H7115" s="284"/>
      <c r="I7115" s="284"/>
      <c r="J7115" s="285" t="s">
        <v>131</v>
      </c>
      <c r="K7115" s="286">
        <v>9307.7000000000007</v>
      </c>
      <c r="L7115" s="286"/>
      <c r="M7115" s="401"/>
    </row>
    <row r="7116" spans="1:13" ht="11.25" customHeight="1" x14ac:dyDescent="0.2">
      <c r="A7116" s="287">
        <v>2025</v>
      </c>
      <c r="B7116" s="287">
        <v>3</v>
      </c>
      <c r="C7116" s="287">
        <v>27</v>
      </c>
      <c r="D7116" s="288">
        <f t="shared" si="822"/>
        <v>45743</v>
      </c>
      <c r="E7116" s="289">
        <f t="shared" si="817"/>
        <v>45743</v>
      </c>
      <c r="F7116" s="473"/>
      <c r="G7116" s="290" t="s">
        <v>86</v>
      </c>
      <c r="H7116" s="291"/>
      <c r="I7116" s="291"/>
      <c r="J7116" s="292" t="s">
        <v>174</v>
      </c>
      <c r="K7116" s="293"/>
      <c r="L7116" s="293">
        <f>K7115</f>
        <v>9307.7000000000007</v>
      </c>
    </row>
    <row r="7117" spans="1:13" ht="11.25" customHeight="1" x14ac:dyDescent="0.2">
      <c r="A7117" s="280">
        <v>2025</v>
      </c>
      <c r="B7117" s="280">
        <v>3</v>
      </c>
      <c r="C7117" s="280">
        <v>27</v>
      </c>
      <c r="D7117" s="281">
        <f t="shared" si="822"/>
        <v>45743</v>
      </c>
      <c r="E7117" s="282">
        <f t="shared" si="817"/>
        <v>45743</v>
      </c>
      <c r="F7117" s="472" t="s">
        <v>1830</v>
      </c>
      <c r="G7117" s="283" t="s">
        <v>86</v>
      </c>
      <c r="H7117" s="284"/>
      <c r="I7117" s="284"/>
      <c r="J7117" s="285" t="s">
        <v>131</v>
      </c>
      <c r="K7117" s="286">
        <v>5040.6492307692261</v>
      </c>
      <c r="L7117" s="286"/>
      <c r="M7117" s="401"/>
    </row>
    <row r="7118" spans="1:13" ht="11.25" customHeight="1" x14ac:dyDescent="0.2">
      <c r="A7118" s="287">
        <v>2025</v>
      </c>
      <c r="B7118" s="287">
        <v>3</v>
      </c>
      <c r="C7118" s="287">
        <v>27</v>
      </c>
      <c r="D7118" s="288">
        <f t="shared" si="822"/>
        <v>45743</v>
      </c>
      <c r="E7118" s="289">
        <f t="shared" si="817"/>
        <v>45743</v>
      </c>
      <c r="F7118" s="473"/>
      <c r="G7118" s="290" t="s">
        <v>86</v>
      </c>
      <c r="H7118" s="291"/>
      <c r="I7118" s="291"/>
      <c r="J7118" s="292" t="s">
        <v>174</v>
      </c>
      <c r="K7118" s="293"/>
      <c r="L7118" s="293">
        <v>5040.6492307692261</v>
      </c>
    </row>
    <row r="7119" spans="1:13" ht="11.25" customHeight="1" x14ac:dyDescent="0.2">
      <c r="A7119" s="341">
        <v>2025</v>
      </c>
      <c r="B7119" s="341">
        <v>3</v>
      </c>
      <c r="C7119" s="341">
        <v>27</v>
      </c>
      <c r="D7119" s="328">
        <f t="shared" si="822"/>
        <v>45743</v>
      </c>
      <c r="E7119" s="329">
        <f t="shared" si="817"/>
        <v>45743</v>
      </c>
      <c r="F7119" s="474" t="s">
        <v>1767</v>
      </c>
      <c r="G7119" s="330" t="s">
        <v>86</v>
      </c>
      <c r="H7119" s="332"/>
      <c r="I7119" s="332"/>
      <c r="J7119" s="342" t="s">
        <v>67</v>
      </c>
      <c r="K7119" s="343">
        <v>43673.78</v>
      </c>
      <c r="L7119" s="343"/>
    </row>
    <row r="7120" spans="1:13" ht="11.25" customHeight="1" x14ac:dyDescent="0.2">
      <c r="A7120" s="344">
        <v>2025</v>
      </c>
      <c r="B7120" s="344">
        <v>3</v>
      </c>
      <c r="C7120" s="344">
        <v>27</v>
      </c>
      <c r="D7120" s="337">
        <f t="shared" si="822"/>
        <v>45743</v>
      </c>
      <c r="E7120" s="338">
        <f t="shared" si="817"/>
        <v>45743</v>
      </c>
      <c r="F7120" s="475"/>
      <c r="G7120" s="339" t="s">
        <v>86</v>
      </c>
      <c r="H7120" s="340"/>
      <c r="I7120" s="340"/>
      <c r="J7120" s="345" t="s">
        <v>174</v>
      </c>
      <c r="K7120" s="346"/>
      <c r="L7120" s="346">
        <f>K7119</f>
        <v>43673.78</v>
      </c>
    </row>
    <row r="7121" spans="1:13" ht="11.25" customHeight="1" x14ac:dyDescent="0.2">
      <c r="A7121" s="358">
        <v>2025</v>
      </c>
      <c r="B7121" s="358">
        <v>3</v>
      </c>
      <c r="C7121" s="358">
        <v>27</v>
      </c>
      <c r="D7121" s="312">
        <f t="shared" si="822"/>
        <v>45743</v>
      </c>
      <c r="E7121" s="313">
        <f>DATE(A7121,B7121,C7121)</f>
        <v>45743</v>
      </c>
      <c r="F7121" s="482" t="s">
        <v>1627</v>
      </c>
      <c r="G7121" s="314" t="s">
        <v>86</v>
      </c>
      <c r="H7121" s="324"/>
      <c r="I7121" s="324"/>
      <c r="J7121" s="364" t="s">
        <v>1613</v>
      </c>
      <c r="K7121" s="365">
        <v>0</v>
      </c>
      <c r="L7121" s="365"/>
      <c r="M7121" s="156">
        <f>BS!$I$12</f>
        <v>0</v>
      </c>
    </row>
    <row r="7122" spans="1:13" ht="11.25" customHeight="1" x14ac:dyDescent="0.2">
      <c r="A7122" s="320">
        <v>2025</v>
      </c>
      <c r="B7122" s="320">
        <v>3</v>
      </c>
      <c r="C7122" s="320">
        <v>27</v>
      </c>
      <c r="D7122" s="323">
        <f t="shared" si="822"/>
        <v>45743</v>
      </c>
      <c r="E7122" s="321">
        <f t="shared" ref="E7122" si="823">DATE(A7122,B7122,C7122)</f>
        <v>45743</v>
      </c>
      <c r="F7122" s="483"/>
      <c r="G7122" s="322" t="s">
        <v>86</v>
      </c>
      <c r="H7122" s="325"/>
      <c r="I7122" s="325"/>
      <c r="J7122" s="366" t="s">
        <v>1621</v>
      </c>
      <c r="K7122" s="367"/>
      <c r="L7122" s="367">
        <f>K7121</f>
        <v>0</v>
      </c>
    </row>
    <row r="7123" spans="1:13" ht="11.25" customHeight="1" x14ac:dyDescent="0.2">
      <c r="A7123" s="358">
        <v>2025</v>
      </c>
      <c r="B7123" s="358">
        <v>3</v>
      </c>
      <c r="C7123" s="358">
        <v>27</v>
      </c>
      <c r="D7123" s="312">
        <f t="shared" si="822"/>
        <v>45743</v>
      </c>
      <c r="E7123" s="313">
        <f>DATE(A7123,B7123,C7123)</f>
        <v>45743</v>
      </c>
      <c r="F7123" s="482" t="s">
        <v>1713</v>
      </c>
      <c r="G7123" s="314" t="s">
        <v>86</v>
      </c>
      <c r="H7123" s="324"/>
      <c r="I7123" s="324"/>
      <c r="J7123" s="364" t="s">
        <v>1614</v>
      </c>
      <c r="K7123" s="365">
        <v>615559.44000000134</v>
      </c>
      <c r="L7123" s="365"/>
      <c r="M7123" s="156">
        <f>BS!$I$15</f>
        <v>0</v>
      </c>
    </row>
    <row r="7124" spans="1:13" ht="11.25" customHeight="1" x14ac:dyDescent="0.2">
      <c r="A7124" s="320">
        <v>2025</v>
      </c>
      <c r="B7124" s="320">
        <v>3</v>
      </c>
      <c r="C7124" s="320">
        <v>27</v>
      </c>
      <c r="D7124" s="323">
        <f t="shared" si="822"/>
        <v>45743</v>
      </c>
      <c r="E7124" s="321">
        <f t="shared" ref="E7124:E7139" si="824">DATE(A7124,B7124,C7124)</f>
        <v>45743</v>
      </c>
      <c r="F7124" s="483"/>
      <c r="G7124" s="322" t="s">
        <v>86</v>
      </c>
      <c r="H7124" s="325"/>
      <c r="I7124" s="325"/>
      <c r="J7124" s="366" t="s">
        <v>1622</v>
      </c>
      <c r="K7124" s="367"/>
      <c r="L7124" s="367">
        <f>K7123</f>
        <v>615559.44000000134</v>
      </c>
    </row>
    <row r="7125" spans="1:13" ht="11.25" customHeight="1" x14ac:dyDescent="0.2">
      <c r="A7125" s="236">
        <v>2025</v>
      </c>
      <c r="B7125" s="236">
        <v>3</v>
      </c>
      <c r="C7125" s="236">
        <v>27</v>
      </c>
      <c r="D7125" s="237">
        <f t="shared" si="822"/>
        <v>45743</v>
      </c>
      <c r="E7125" s="238">
        <f t="shared" si="824"/>
        <v>45743</v>
      </c>
      <c r="F7125" s="476" t="s">
        <v>1118</v>
      </c>
      <c r="G7125" s="239" t="s">
        <v>86</v>
      </c>
      <c r="H7125" s="239"/>
      <c r="I7125" s="240"/>
      <c r="J7125" s="241" t="s">
        <v>98</v>
      </c>
      <c r="K7125" s="242">
        <v>287518.42000000179</v>
      </c>
      <c r="L7125" s="242"/>
      <c r="M7125" s="156">
        <f>BS!$I$8</f>
        <v>0</v>
      </c>
    </row>
    <row r="7126" spans="1:13" ht="11.25" customHeight="1" x14ac:dyDescent="0.2">
      <c r="A7126" s="243">
        <v>2025</v>
      </c>
      <c r="B7126" s="243">
        <v>3</v>
      </c>
      <c r="C7126" s="243">
        <v>27</v>
      </c>
      <c r="D7126" s="248">
        <f t="shared" si="822"/>
        <v>45743</v>
      </c>
      <c r="E7126" s="249">
        <f t="shared" si="824"/>
        <v>45743</v>
      </c>
      <c r="F7126" s="477"/>
      <c r="G7126" s="244" t="s">
        <v>86</v>
      </c>
      <c r="H7126" s="244"/>
      <c r="I7126" s="245"/>
      <c r="J7126" s="246" t="s">
        <v>82</v>
      </c>
      <c r="K7126" s="247"/>
      <c r="L7126" s="247">
        <f>K7125</f>
        <v>287518.42000000179</v>
      </c>
    </row>
    <row r="7127" spans="1:13" ht="11.25" customHeight="1" x14ac:dyDescent="0.2">
      <c r="A7127" s="236">
        <v>2025</v>
      </c>
      <c r="B7127" s="236">
        <v>3</v>
      </c>
      <c r="C7127" s="236">
        <v>27</v>
      </c>
      <c r="D7127" s="237">
        <f t="shared" si="822"/>
        <v>45743</v>
      </c>
      <c r="E7127" s="238">
        <f t="shared" si="824"/>
        <v>45743</v>
      </c>
      <c r="F7127" s="476" t="s">
        <v>1120</v>
      </c>
      <c r="G7127" s="239" t="s">
        <v>86</v>
      </c>
      <c r="H7127" s="239"/>
      <c r="I7127" s="240"/>
      <c r="J7127" s="241" t="s">
        <v>87</v>
      </c>
      <c r="K7127" s="242">
        <v>5494.5054945054944</v>
      </c>
      <c r="L7127" s="242"/>
      <c r="M7127" s="401"/>
    </row>
    <row r="7128" spans="1:13" ht="11.25" customHeight="1" x14ac:dyDescent="0.2">
      <c r="A7128" s="243">
        <v>2025</v>
      </c>
      <c r="B7128" s="243">
        <v>3</v>
      </c>
      <c r="C7128" s="243">
        <v>27</v>
      </c>
      <c r="D7128" s="248">
        <f t="shared" si="822"/>
        <v>45743</v>
      </c>
      <c r="E7128" s="249">
        <f t="shared" si="824"/>
        <v>45743</v>
      </c>
      <c r="F7128" s="477"/>
      <c r="G7128" s="244" t="s">
        <v>86</v>
      </c>
      <c r="H7128" s="244"/>
      <c r="I7128" s="245"/>
      <c r="J7128" s="246" t="s">
        <v>64</v>
      </c>
      <c r="K7128" s="247"/>
      <c r="L7128" s="247">
        <f>K7127</f>
        <v>5494.5054945054944</v>
      </c>
    </row>
    <row r="7129" spans="1:13" ht="11.25" customHeight="1" x14ac:dyDescent="0.2">
      <c r="A7129" s="236">
        <v>2025</v>
      </c>
      <c r="B7129" s="236">
        <v>3</v>
      </c>
      <c r="C7129" s="236">
        <v>27</v>
      </c>
      <c r="D7129" s="237">
        <f t="shared" si="822"/>
        <v>45743</v>
      </c>
      <c r="E7129" s="238">
        <f t="shared" si="824"/>
        <v>45743</v>
      </c>
      <c r="F7129" s="476" t="s">
        <v>1121</v>
      </c>
      <c r="G7129" s="239" t="s">
        <v>86</v>
      </c>
      <c r="H7129" s="239"/>
      <c r="I7129" s="240"/>
      <c r="J7129" s="241" t="s">
        <v>89</v>
      </c>
      <c r="K7129" s="242">
        <f>M7129</f>
        <v>143262.71180949628</v>
      </c>
      <c r="L7129" s="242"/>
      <c r="M7129" s="156">
        <v>143262.71180949628</v>
      </c>
    </row>
    <row r="7130" spans="1:13" ht="11.25" customHeight="1" x14ac:dyDescent="0.2">
      <c r="A7130" s="243">
        <v>2025</v>
      </c>
      <c r="B7130" s="243">
        <v>3</v>
      </c>
      <c r="C7130" s="243">
        <v>27</v>
      </c>
      <c r="D7130" s="248">
        <f t="shared" si="822"/>
        <v>45743</v>
      </c>
      <c r="E7130" s="249">
        <f t="shared" si="824"/>
        <v>45743</v>
      </c>
      <c r="F7130" s="477"/>
      <c r="G7130" s="244" t="s">
        <v>86</v>
      </c>
      <c r="H7130" s="244"/>
      <c r="I7130" s="245"/>
      <c r="J7130" s="246" t="s">
        <v>50</v>
      </c>
      <c r="K7130" s="247"/>
      <c r="L7130" s="247">
        <f>K7129</f>
        <v>143262.71180949628</v>
      </c>
      <c r="M7130" s="156">
        <v>6682.3663597055838</v>
      </c>
    </row>
    <row r="7131" spans="1:13" ht="11.25" customHeight="1" x14ac:dyDescent="0.2">
      <c r="A7131" s="236">
        <v>2025</v>
      </c>
      <c r="B7131" s="236">
        <v>3</v>
      </c>
      <c r="C7131" s="236">
        <v>27</v>
      </c>
      <c r="D7131" s="237">
        <f t="shared" si="822"/>
        <v>45743</v>
      </c>
      <c r="E7131" s="238">
        <f t="shared" si="824"/>
        <v>45743</v>
      </c>
      <c r="F7131" s="476" t="s">
        <v>1122</v>
      </c>
      <c r="G7131" s="239" t="s">
        <v>86</v>
      </c>
      <c r="H7131" s="239"/>
      <c r="I7131" s="240"/>
      <c r="J7131" s="241" t="s">
        <v>91</v>
      </c>
      <c r="K7131" s="242">
        <f>M7130</f>
        <v>6682.3663597055838</v>
      </c>
      <c r="L7131" s="242"/>
    </row>
    <row r="7132" spans="1:13" ht="11.25" customHeight="1" x14ac:dyDescent="0.2">
      <c r="A7132" s="243">
        <v>2025</v>
      </c>
      <c r="B7132" s="243">
        <v>3</v>
      </c>
      <c r="C7132" s="243">
        <v>27</v>
      </c>
      <c r="D7132" s="248">
        <f t="shared" si="822"/>
        <v>45743</v>
      </c>
      <c r="E7132" s="249">
        <f t="shared" si="824"/>
        <v>45743</v>
      </c>
      <c r="F7132" s="477"/>
      <c r="G7132" s="244" t="s">
        <v>86</v>
      </c>
      <c r="H7132" s="244"/>
      <c r="I7132" s="245"/>
      <c r="J7132" s="246" t="s">
        <v>51</v>
      </c>
      <c r="K7132" s="247"/>
      <c r="L7132" s="247">
        <f>K7131</f>
        <v>6682.3663597055838</v>
      </c>
    </row>
    <row r="7133" spans="1:13" ht="11.25" customHeight="1" x14ac:dyDescent="0.2">
      <c r="A7133" s="221">
        <v>2025</v>
      </c>
      <c r="B7133" s="221">
        <v>4</v>
      </c>
      <c r="C7133" s="221">
        <v>6</v>
      </c>
      <c r="D7133" s="221">
        <f t="shared" si="822"/>
        <v>45753</v>
      </c>
      <c r="E7133" s="233">
        <f t="shared" si="824"/>
        <v>45753</v>
      </c>
      <c r="F7133" s="478" t="s">
        <v>1769</v>
      </c>
      <c r="G7133" s="222" t="s">
        <v>86</v>
      </c>
      <c r="H7133" s="222"/>
      <c r="I7133" s="223"/>
      <c r="J7133" s="224" t="s">
        <v>80</v>
      </c>
      <c r="K7133" s="225">
        <v>1259176.3999999999</v>
      </c>
      <c r="L7133" s="225"/>
    </row>
    <row r="7134" spans="1:13" ht="11.25" customHeight="1" x14ac:dyDescent="0.2">
      <c r="A7134" s="164">
        <v>2025</v>
      </c>
      <c r="B7134" s="164">
        <v>4</v>
      </c>
      <c r="C7134" s="164">
        <v>6</v>
      </c>
      <c r="D7134" s="164">
        <f t="shared" si="822"/>
        <v>45753</v>
      </c>
      <c r="E7134" s="235">
        <f t="shared" si="824"/>
        <v>45753</v>
      </c>
      <c r="F7134" s="480"/>
      <c r="G7134" s="208" t="s">
        <v>86</v>
      </c>
      <c r="H7134" s="208"/>
      <c r="J7134" s="165" t="s">
        <v>960</v>
      </c>
      <c r="K7134" s="205">
        <v>3179.12</v>
      </c>
      <c r="L7134" s="205"/>
    </row>
    <row r="7135" spans="1:13" ht="11.25" customHeight="1" x14ac:dyDescent="0.2">
      <c r="A7135" s="164">
        <v>2025</v>
      </c>
      <c r="B7135" s="164">
        <v>4</v>
      </c>
      <c r="C7135" s="164">
        <v>6</v>
      </c>
      <c r="D7135" s="164">
        <f t="shared" si="822"/>
        <v>45753</v>
      </c>
      <c r="E7135" s="235">
        <f t="shared" si="824"/>
        <v>45753</v>
      </c>
      <c r="F7135" s="480"/>
      <c r="G7135" s="208" t="s">
        <v>86</v>
      </c>
      <c r="H7135" s="208"/>
      <c r="J7135" s="165" t="s">
        <v>143</v>
      </c>
      <c r="K7135" s="205"/>
      <c r="L7135" s="205">
        <v>755355.52</v>
      </c>
    </row>
    <row r="7136" spans="1:13" ht="11.25" customHeight="1" x14ac:dyDescent="0.2">
      <c r="A7136" s="164">
        <v>2025</v>
      </c>
      <c r="B7136" s="164">
        <v>4</v>
      </c>
      <c r="C7136" s="164">
        <v>6</v>
      </c>
      <c r="D7136" s="164">
        <f t="shared" si="822"/>
        <v>45753</v>
      </c>
      <c r="E7136" s="235">
        <f t="shared" si="824"/>
        <v>45753</v>
      </c>
      <c r="F7136" s="480"/>
      <c r="G7136" s="208" t="s">
        <v>86</v>
      </c>
      <c r="H7136" s="208"/>
      <c r="J7136" s="165" t="s">
        <v>200</v>
      </c>
      <c r="K7136" s="263"/>
      <c r="L7136" s="205">
        <v>114964.74</v>
      </c>
    </row>
    <row r="7137" spans="1:12" ht="11.25" customHeight="1" x14ac:dyDescent="0.2">
      <c r="A7137" s="226">
        <v>2025</v>
      </c>
      <c r="B7137" s="226">
        <v>4</v>
      </c>
      <c r="C7137" s="226">
        <v>6</v>
      </c>
      <c r="D7137" s="226">
        <f t="shared" si="822"/>
        <v>45753</v>
      </c>
      <c r="E7137" s="234">
        <f t="shared" si="824"/>
        <v>45753</v>
      </c>
      <c r="F7137" s="479"/>
      <c r="G7137" s="227" t="s">
        <v>86</v>
      </c>
      <c r="H7137" s="228"/>
      <c r="I7137" s="228"/>
      <c r="J7137" s="229" t="s">
        <v>80</v>
      </c>
      <c r="K7137" s="230"/>
      <c r="L7137" s="230">
        <v>392035.26</v>
      </c>
    </row>
    <row r="7138" spans="1:12" ht="11.25" customHeight="1" x14ac:dyDescent="0.2">
      <c r="A7138" s="221">
        <v>2025</v>
      </c>
      <c r="B7138" s="221">
        <v>4</v>
      </c>
      <c r="C7138" s="221">
        <v>6</v>
      </c>
      <c r="D7138" s="231">
        <f t="shared" si="822"/>
        <v>45753</v>
      </c>
      <c r="E7138" s="233">
        <f t="shared" si="824"/>
        <v>45753</v>
      </c>
      <c r="F7138" s="478" t="s">
        <v>1858</v>
      </c>
      <c r="G7138" s="222" t="s">
        <v>86</v>
      </c>
      <c r="H7138" s="223"/>
      <c r="I7138" s="223"/>
      <c r="J7138" s="224" t="s">
        <v>55</v>
      </c>
      <c r="K7138" s="225">
        <v>600000</v>
      </c>
      <c r="L7138" s="225"/>
    </row>
    <row r="7139" spans="1:12" ht="11.25" customHeight="1" x14ac:dyDescent="0.2">
      <c r="A7139" s="226">
        <v>2025</v>
      </c>
      <c r="B7139" s="164">
        <v>4</v>
      </c>
      <c r="C7139" s="164">
        <v>6</v>
      </c>
      <c r="D7139" s="232">
        <f t="shared" si="822"/>
        <v>45753</v>
      </c>
      <c r="E7139" s="234">
        <f t="shared" si="824"/>
        <v>45753</v>
      </c>
      <c r="F7139" s="479"/>
      <c r="G7139" s="227" t="s">
        <v>86</v>
      </c>
      <c r="H7139" s="228"/>
      <c r="I7139" s="228"/>
      <c r="J7139" s="229" t="s">
        <v>1616</v>
      </c>
      <c r="K7139" s="230"/>
      <c r="L7139" s="230">
        <v>600000</v>
      </c>
    </row>
    <row r="7140" spans="1:12" ht="11.25" customHeight="1" x14ac:dyDescent="0.2">
      <c r="A7140" s="221">
        <v>2025</v>
      </c>
      <c r="B7140" s="221">
        <v>4</v>
      </c>
      <c r="C7140" s="221">
        <v>6</v>
      </c>
      <c r="D7140" s="231">
        <f t="shared" si="822"/>
        <v>45753</v>
      </c>
      <c r="E7140" s="233">
        <f>DATE(A7140,B7140,C7140)</f>
        <v>45753</v>
      </c>
      <c r="F7140" s="478" t="s">
        <v>1814</v>
      </c>
      <c r="G7140" s="222" t="s">
        <v>1111</v>
      </c>
      <c r="H7140" s="223"/>
      <c r="I7140" s="223"/>
      <c r="J7140" s="224" t="s">
        <v>961</v>
      </c>
      <c r="K7140" s="225">
        <v>255459</v>
      </c>
      <c r="L7140" s="225"/>
    </row>
    <row r="7141" spans="1:12" ht="11.25" customHeight="1" x14ac:dyDescent="0.2">
      <c r="A7141" s="226">
        <v>2025</v>
      </c>
      <c r="B7141" s="164">
        <v>4</v>
      </c>
      <c r="C7141" s="164">
        <v>6</v>
      </c>
      <c r="D7141" s="232">
        <f t="shared" si="822"/>
        <v>45753</v>
      </c>
      <c r="E7141" s="234">
        <f>DATE(A7141,B7141,C7141)</f>
        <v>45753</v>
      </c>
      <c r="F7141" s="479"/>
      <c r="G7141" s="227" t="s">
        <v>1111</v>
      </c>
      <c r="H7141" s="228"/>
      <c r="I7141" s="228"/>
      <c r="J7141" s="229" t="s">
        <v>55</v>
      </c>
      <c r="K7141" s="230"/>
      <c r="L7141" s="230">
        <v>255459</v>
      </c>
    </row>
    <row r="7142" spans="1:12" ht="11.25" customHeight="1" x14ac:dyDescent="0.2">
      <c r="A7142" s="221">
        <v>2025</v>
      </c>
      <c r="B7142" s="221">
        <v>4</v>
      </c>
      <c r="C7142" s="221">
        <v>6</v>
      </c>
      <c r="D7142" s="231">
        <f t="shared" si="822"/>
        <v>45753</v>
      </c>
      <c r="E7142" s="233">
        <f t="shared" ref="E7142:E7143" si="825">DATE(A7142,B7142,C7142)</f>
        <v>45753</v>
      </c>
      <c r="F7142" s="478" t="s">
        <v>1670</v>
      </c>
      <c r="G7142" s="222" t="s">
        <v>1111</v>
      </c>
      <c r="H7142" s="223"/>
      <c r="I7142" s="223"/>
      <c r="J7142" s="224" t="s">
        <v>63</v>
      </c>
      <c r="K7142" s="225">
        <v>58</v>
      </c>
      <c r="L7142" s="225"/>
    </row>
    <row r="7143" spans="1:12" ht="11.25" customHeight="1" x14ac:dyDescent="0.2">
      <c r="A7143" s="226">
        <v>2025</v>
      </c>
      <c r="B7143" s="164">
        <v>4</v>
      </c>
      <c r="C7143" s="164">
        <v>6</v>
      </c>
      <c r="D7143" s="232">
        <f t="shared" si="822"/>
        <v>45753</v>
      </c>
      <c r="E7143" s="234">
        <f t="shared" si="825"/>
        <v>45753</v>
      </c>
      <c r="F7143" s="479"/>
      <c r="G7143" s="227" t="s">
        <v>1111</v>
      </c>
      <c r="H7143" s="228"/>
      <c r="I7143" s="228"/>
      <c r="J7143" s="229" t="s">
        <v>55</v>
      </c>
      <c r="K7143" s="230"/>
      <c r="L7143" s="230">
        <v>58</v>
      </c>
    </row>
    <row r="7144" spans="1:12" ht="11.25" customHeight="1" x14ac:dyDescent="0.2">
      <c r="A7144" s="221">
        <v>2025</v>
      </c>
      <c r="B7144" s="221">
        <v>4</v>
      </c>
      <c r="C7144" s="221">
        <v>7</v>
      </c>
      <c r="D7144" s="221">
        <f t="shared" si="822"/>
        <v>45754</v>
      </c>
      <c r="E7144" s="233">
        <f t="shared" ref="E7144:E7161" si="826">DATE(A7144,B7144,C7144)</f>
        <v>45754</v>
      </c>
      <c r="F7144" s="478" t="s">
        <v>1769</v>
      </c>
      <c r="G7144" s="222" t="s">
        <v>86</v>
      </c>
      <c r="H7144" s="222"/>
      <c r="I7144" s="223"/>
      <c r="J7144" s="224" t="s">
        <v>80</v>
      </c>
      <c r="K7144" s="225">
        <v>1501600</v>
      </c>
      <c r="L7144" s="225"/>
    </row>
    <row r="7145" spans="1:12" ht="11.25" customHeight="1" x14ac:dyDescent="0.2">
      <c r="A7145" s="164">
        <v>2025</v>
      </c>
      <c r="B7145" s="164">
        <v>4</v>
      </c>
      <c r="C7145" s="164">
        <v>7</v>
      </c>
      <c r="D7145" s="164">
        <f t="shared" si="822"/>
        <v>45754</v>
      </c>
      <c r="E7145" s="235">
        <f t="shared" si="826"/>
        <v>45754</v>
      </c>
      <c r="F7145" s="480"/>
      <c r="G7145" s="208" t="s">
        <v>86</v>
      </c>
      <c r="H7145" s="208"/>
      <c r="J7145" s="165" t="s">
        <v>960</v>
      </c>
      <c r="K7145" s="205">
        <v>3708.18</v>
      </c>
      <c r="L7145" s="205"/>
    </row>
    <row r="7146" spans="1:12" ht="11.25" customHeight="1" x14ac:dyDescent="0.2">
      <c r="A7146" s="164">
        <v>2025</v>
      </c>
      <c r="B7146" s="164">
        <v>4</v>
      </c>
      <c r="C7146" s="164">
        <v>7</v>
      </c>
      <c r="D7146" s="164">
        <f t="shared" si="822"/>
        <v>45754</v>
      </c>
      <c r="E7146" s="235">
        <f t="shared" si="826"/>
        <v>45754</v>
      </c>
      <c r="F7146" s="480"/>
      <c r="G7146" s="208" t="s">
        <v>86</v>
      </c>
      <c r="H7146" s="208"/>
      <c r="J7146" s="165" t="s">
        <v>143</v>
      </c>
      <c r="K7146" s="205"/>
      <c r="L7146" s="205">
        <v>946808.18</v>
      </c>
    </row>
    <row r="7147" spans="1:12" ht="11.25" customHeight="1" x14ac:dyDescent="0.2">
      <c r="A7147" s="164">
        <v>2025</v>
      </c>
      <c r="B7147" s="164">
        <v>4</v>
      </c>
      <c r="C7147" s="164">
        <v>7</v>
      </c>
      <c r="D7147" s="164">
        <f t="shared" si="822"/>
        <v>45754</v>
      </c>
      <c r="E7147" s="235">
        <f t="shared" si="826"/>
        <v>45754</v>
      </c>
      <c r="F7147" s="480"/>
      <c r="G7147" s="208" t="s">
        <v>86</v>
      </c>
      <c r="H7147" s="208"/>
      <c r="J7147" s="165" t="s">
        <v>200</v>
      </c>
      <c r="K7147" s="263"/>
      <c r="L7147" s="205">
        <v>166464.74</v>
      </c>
    </row>
    <row r="7148" spans="1:12" ht="11.25" customHeight="1" x14ac:dyDescent="0.2">
      <c r="A7148" s="226">
        <v>2025</v>
      </c>
      <c r="B7148" s="226">
        <v>4</v>
      </c>
      <c r="C7148" s="226">
        <v>7</v>
      </c>
      <c r="D7148" s="226">
        <f t="shared" si="822"/>
        <v>45754</v>
      </c>
      <c r="E7148" s="234">
        <f t="shared" si="826"/>
        <v>45754</v>
      </c>
      <c r="F7148" s="479"/>
      <c r="G7148" s="227" t="s">
        <v>86</v>
      </c>
      <c r="H7148" s="228"/>
      <c r="I7148" s="228"/>
      <c r="J7148" s="229" t="s">
        <v>80</v>
      </c>
      <c r="K7148" s="230"/>
      <c r="L7148" s="230">
        <v>392035.26</v>
      </c>
    </row>
    <row r="7149" spans="1:12" ht="11.25" customHeight="1" x14ac:dyDescent="0.2">
      <c r="A7149" s="221">
        <v>2025</v>
      </c>
      <c r="B7149" s="221">
        <v>4</v>
      </c>
      <c r="C7149" s="221">
        <v>7</v>
      </c>
      <c r="D7149" s="231">
        <f t="shared" si="822"/>
        <v>45754</v>
      </c>
      <c r="E7149" s="233">
        <f>DATE(A7149,B7149,C7149)</f>
        <v>45754</v>
      </c>
      <c r="F7149" s="478" t="s">
        <v>1814</v>
      </c>
      <c r="G7149" s="222" t="s">
        <v>1111</v>
      </c>
      <c r="H7149" s="223"/>
      <c r="I7149" s="223"/>
      <c r="J7149" s="224" t="s">
        <v>961</v>
      </c>
      <c r="K7149" s="225">
        <v>755355.52</v>
      </c>
      <c r="L7149" s="225"/>
    </row>
    <row r="7150" spans="1:12" ht="11.25" customHeight="1" x14ac:dyDescent="0.2">
      <c r="A7150" s="226">
        <v>2025</v>
      </c>
      <c r="B7150" s="164">
        <v>4</v>
      </c>
      <c r="C7150" s="164">
        <v>7</v>
      </c>
      <c r="D7150" s="232">
        <f t="shared" si="822"/>
        <v>45754</v>
      </c>
      <c r="E7150" s="234">
        <f>DATE(A7150,B7150,C7150)</f>
        <v>45754</v>
      </c>
      <c r="F7150" s="479"/>
      <c r="G7150" s="227" t="s">
        <v>1111</v>
      </c>
      <c r="H7150" s="228"/>
      <c r="I7150" s="228"/>
      <c r="J7150" s="229" t="s">
        <v>55</v>
      </c>
      <c r="K7150" s="230"/>
      <c r="L7150" s="230">
        <v>755355.52</v>
      </c>
    </row>
    <row r="7151" spans="1:12" ht="11.25" customHeight="1" x14ac:dyDescent="0.2">
      <c r="A7151" s="221">
        <v>2025</v>
      </c>
      <c r="B7151" s="221">
        <v>4</v>
      </c>
      <c r="C7151" s="231">
        <v>7</v>
      </c>
      <c r="D7151" s="231">
        <f t="shared" si="822"/>
        <v>45754</v>
      </c>
      <c r="E7151" s="233">
        <f t="shared" ref="E7151:E7152" si="827">DATE(A7151,B7151,C7151)</f>
        <v>45754</v>
      </c>
      <c r="F7151" s="478" t="s">
        <v>1859</v>
      </c>
      <c r="G7151" s="222" t="s">
        <v>1111</v>
      </c>
      <c r="H7151" s="223"/>
      <c r="I7151" s="223"/>
      <c r="J7151" s="224" t="s">
        <v>55</v>
      </c>
      <c r="K7151" s="225">
        <v>978346</v>
      </c>
      <c r="L7151" s="225"/>
    </row>
    <row r="7152" spans="1:12" ht="11.25" customHeight="1" x14ac:dyDescent="0.2">
      <c r="A7152" s="226">
        <v>2025</v>
      </c>
      <c r="B7152" s="226">
        <v>4</v>
      </c>
      <c r="C7152" s="232">
        <v>7</v>
      </c>
      <c r="D7152" s="232">
        <f t="shared" si="822"/>
        <v>45754</v>
      </c>
      <c r="E7152" s="234">
        <f t="shared" si="827"/>
        <v>45754</v>
      </c>
      <c r="F7152" s="479"/>
      <c r="G7152" s="227" t="s">
        <v>1111</v>
      </c>
      <c r="H7152" s="228"/>
      <c r="I7152" s="228"/>
      <c r="J7152" s="229" t="s">
        <v>199</v>
      </c>
      <c r="K7152" s="230"/>
      <c r="L7152" s="230">
        <v>978346</v>
      </c>
    </row>
    <row r="7153" spans="1:12" ht="11.25" customHeight="1" x14ac:dyDescent="0.2">
      <c r="A7153" s="221">
        <v>2025</v>
      </c>
      <c r="B7153" s="221">
        <v>4</v>
      </c>
      <c r="C7153" s="231">
        <v>7</v>
      </c>
      <c r="D7153" s="231">
        <f t="shared" si="822"/>
        <v>45754</v>
      </c>
      <c r="E7153" s="233">
        <f t="shared" ref="E7153:E7156" si="828">DATE(A7153,B7153,C7153)</f>
        <v>45754</v>
      </c>
      <c r="F7153" s="478" t="s">
        <v>1844</v>
      </c>
      <c r="G7153" s="222" t="s">
        <v>1111</v>
      </c>
      <c r="H7153" s="223"/>
      <c r="I7153" s="223"/>
      <c r="J7153" s="224" t="s">
        <v>55</v>
      </c>
      <c r="K7153" s="225">
        <v>497291.47</v>
      </c>
      <c r="L7153" s="225"/>
    </row>
    <row r="7154" spans="1:12" ht="11.25" customHeight="1" x14ac:dyDescent="0.2">
      <c r="A7154" s="226">
        <v>2025</v>
      </c>
      <c r="B7154" s="226">
        <v>4</v>
      </c>
      <c r="C7154" s="232">
        <v>7</v>
      </c>
      <c r="D7154" s="232">
        <f t="shared" si="822"/>
        <v>45754</v>
      </c>
      <c r="E7154" s="234">
        <f t="shared" si="828"/>
        <v>45754</v>
      </c>
      <c r="F7154" s="479"/>
      <c r="G7154" s="227" t="s">
        <v>1111</v>
      </c>
      <c r="H7154" s="228"/>
      <c r="I7154" s="228"/>
      <c r="J7154" s="229" t="s">
        <v>199</v>
      </c>
      <c r="K7154" s="230"/>
      <c r="L7154" s="230">
        <v>497291.47</v>
      </c>
    </row>
    <row r="7155" spans="1:12" ht="11.25" customHeight="1" x14ac:dyDescent="0.2">
      <c r="A7155" s="221">
        <v>2025</v>
      </c>
      <c r="B7155" s="221">
        <v>4</v>
      </c>
      <c r="C7155" s="221">
        <v>7</v>
      </c>
      <c r="D7155" s="231">
        <f t="shared" si="822"/>
        <v>45754</v>
      </c>
      <c r="E7155" s="233">
        <f t="shared" si="828"/>
        <v>45754</v>
      </c>
      <c r="F7155" s="478" t="s">
        <v>1670</v>
      </c>
      <c r="G7155" s="222" t="s">
        <v>1111</v>
      </c>
      <c r="H7155" s="223"/>
      <c r="I7155" s="223"/>
      <c r="J7155" s="224" t="s">
        <v>63</v>
      </c>
      <c r="K7155" s="225">
        <v>100</v>
      </c>
      <c r="L7155" s="225"/>
    </row>
    <row r="7156" spans="1:12" ht="11.25" customHeight="1" x14ac:dyDescent="0.2">
      <c r="A7156" s="226">
        <v>2025</v>
      </c>
      <c r="B7156" s="164">
        <v>4</v>
      </c>
      <c r="C7156" s="164">
        <v>7</v>
      </c>
      <c r="D7156" s="232">
        <f t="shared" si="822"/>
        <v>45754</v>
      </c>
      <c r="E7156" s="234">
        <f t="shared" si="828"/>
        <v>45754</v>
      </c>
      <c r="F7156" s="479"/>
      <c r="G7156" s="227" t="s">
        <v>1111</v>
      </c>
      <c r="H7156" s="228"/>
      <c r="I7156" s="228"/>
      <c r="J7156" s="229" t="s">
        <v>55</v>
      </c>
      <c r="K7156" s="230"/>
      <c r="L7156" s="230">
        <v>100</v>
      </c>
    </row>
    <row r="7157" spans="1:12" ht="11.25" customHeight="1" x14ac:dyDescent="0.2">
      <c r="A7157" s="221">
        <v>2025</v>
      </c>
      <c r="B7157" s="221">
        <v>4</v>
      </c>
      <c r="C7157" s="221">
        <v>8</v>
      </c>
      <c r="D7157" s="231">
        <f t="shared" si="822"/>
        <v>45755</v>
      </c>
      <c r="E7157" s="233">
        <f t="shared" ref="E7157:E7158" si="829">DATE(A7157,B7157,C7157)</f>
        <v>45755</v>
      </c>
      <c r="F7157" s="478" t="s">
        <v>1670</v>
      </c>
      <c r="G7157" s="222" t="s">
        <v>1111</v>
      </c>
      <c r="H7157" s="223"/>
      <c r="I7157" s="223"/>
      <c r="J7157" s="224" t="s">
        <v>63</v>
      </c>
      <c r="K7157" s="225">
        <v>100</v>
      </c>
      <c r="L7157" s="225"/>
    </row>
    <row r="7158" spans="1:12" ht="11.25" customHeight="1" x14ac:dyDescent="0.2">
      <c r="A7158" s="226">
        <v>2025</v>
      </c>
      <c r="B7158" s="164">
        <v>4</v>
      </c>
      <c r="C7158" s="164">
        <v>8</v>
      </c>
      <c r="D7158" s="232">
        <f t="shared" si="822"/>
        <v>45755</v>
      </c>
      <c r="E7158" s="234">
        <f t="shared" si="829"/>
        <v>45755</v>
      </c>
      <c r="F7158" s="479"/>
      <c r="G7158" s="227" t="s">
        <v>1111</v>
      </c>
      <c r="H7158" s="228"/>
      <c r="I7158" s="228"/>
      <c r="J7158" s="229" t="s">
        <v>55</v>
      </c>
      <c r="K7158" s="230"/>
      <c r="L7158" s="230">
        <v>100</v>
      </c>
    </row>
    <row r="7159" spans="1:12" ht="11.25" customHeight="1" x14ac:dyDescent="0.2">
      <c r="A7159" s="221">
        <v>2025</v>
      </c>
      <c r="B7159" s="221">
        <v>4</v>
      </c>
      <c r="C7159" s="221">
        <v>8</v>
      </c>
      <c r="D7159" s="221">
        <f t="shared" si="822"/>
        <v>45755</v>
      </c>
      <c r="E7159" s="233">
        <f t="shared" si="826"/>
        <v>45755</v>
      </c>
      <c r="F7159" s="478" t="s">
        <v>1593</v>
      </c>
      <c r="G7159" s="222" t="s">
        <v>86</v>
      </c>
      <c r="H7159" s="222"/>
      <c r="I7159" s="223"/>
      <c r="J7159" s="224" t="s">
        <v>80</v>
      </c>
      <c r="K7159" s="225">
        <v>482500</v>
      </c>
      <c r="L7159" s="225"/>
    </row>
    <row r="7160" spans="1:12" ht="11.25" customHeight="1" x14ac:dyDescent="0.2">
      <c r="A7160" s="164">
        <v>2025</v>
      </c>
      <c r="B7160" s="164">
        <v>4</v>
      </c>
      <c r="C7160" s="164">
        <v>8</v>
      </c>
      <c r="D7160" s="164">
        <f t="shared" si="822"/>
        <v>45755</v>
      </c>
      <c r="E7160" s="235">
        <f t="shared" si="826"/>
        <v>45755</v>
      </c>
      <c r="F7160" s="480"/>
      <c r="G7160" s="208" t="s">
        <v>86</v>
      </c>
      <c r="H7160" s="208"/>
      <c r="J7160" s="165" t="s">
        <v>960</v>
      </c>
      <c r="K7160" s="205">
        <v>868.5</v>
      </c>
      <c r="L7160" s="205"/>
    </row>
    <row r="7161" spans="1:12" ht="11.25" customHeight="1" x14ac:dyDescent="0.2">
      <c r="A7161" s="226">
        <v>2025</v>
      </c>
      <c r="B7161" s="226">
        <v>4</v>
      </c>
      <c r="C7161" s="226">
        <v>8</v>
      </c>
      <c r="D7161" s="226">
        <f t="shared" si="822"/>
        <v>45755</v>
      </c>
      <c r="E7161" s="234">
        <f t="shared" si="826"/>
        <v>45755</v>
      </c>
      <c r="F7161" s="479"/>
      <c r="G7161" s="227" t="s">
        <v>86</v>
      </c>
      <c r="H7161" s="227"/>
      <c r="I7161" s="228"/>
      <c r="J7161" s="229" t="s">
        <v>143</v>
      </c>
      <c r="K7161" s="230"/>
      <c r="L7161" s="230">
        <v>483368.5</v>
      </c>
    </row>
    <row r="7162" spans="1:12" ht="11.25" customHeight="1" x14ac:dyDescent="0.2">
      <c r="A7162" s="221">
        <v>2025</v>
      </c>
      <c r="B7162" s="221">
        <v>4</v>
      </c>
      <c r="C7162" s="221">
        <v>8</v>
      </c>
      <c r="D7162" s="231">
        <f t="shared" si="822"/>
        <v>45755</v>
      </c>
      <c r="E7162" s="233">
        <f>DATE(A7162,B7162,C7162)</f>
        <v>45755</v>
      </c>
      <c r="F7162" s="478" t="s">
        <v>1814</v>
      </c>
      <c r="G7162" s="222" t="s">
        <v>1111</v>
      </c>
      <c r="H7162" s="223"/>
      <c r="I7162" s="223"/>
      <c r="J7162" s="224" t="s">
        <v>961</v>
      </c>
      <c r="K7162" s="225">
        <v>946808.18</v>
      </c>
      <c r="L7162" s="225"/>
    </row>
    <row r="7163" spans="1:12" ht="11.25" customHeight="1" x14ac:dyDescent="0.2">
      <c r="A7163" s="226">
        <v>2025</v>
      </c>
      <c r="B7163" s="226">
        <v>4</v>
      </c>
      <c r="C7163" s="226">
        <v>8</v>
      </c>
      <c r="D7163" s="232">
        <f t="shared" si="822"/>
        <v>45755</v>
      </c>
      <c r="E7163" s="234">
        <f>DATE(A7163,B7163,C7163)</f>
        <v>45755</v>
      </c>
      <c r="F7163" s="479"/>
      <c r="G7163" s="227" t="s">
        <v>1111</v>
      </c>
      <c r="H7163" s="228"/>
      <c r="I7163" s="228"/>
      <c r="J7163" s="229" t="s">
        <v>55</v>
      </c>
      <c r="K7163" s="230"/>
      <c r="L7163" s="230">
        <v>946808.18</v>
      </c>
    </row>
    <row r="7164" spans="1:12" ht="11.25" customHeight="1" x14ac:dyDescent="0.2">
      <c r="A7164" s="221">
        <v>2025</v>
      </c>
      <c r="B7164" s="221">
        <v>4</v>
      </c>
      <c r="C7164" s="221">
        <v>9</v>
      </c>
      <c r="D7164" s="221">
        <f t="shared" si="822"/>
        <v>45756</v>
      </c>
      <c r="E7164" s="233">
        <f t="shared" ref="E7164:E7166" si="830">DATE(A7164,B7164,C7164)</f>
        <v>45756</v>
      </c>
      <c r="F7164" s="478" t="s">
        <v>1593</v>
      </c>
      <c r="G7164" s="222" t="s">
        <v>86</v>
      </c>
      <c r="H7164" s="222"/>
      <c r="I7164" s="223"/>
      <c r="J7164" s="224" t="s">
        <v>80</v>
      </c>
      <c r="K7164" s="225">
        <v>773000</v>
      </c>
      <c r="L7164" s="225"/>
    </row>
    <row r="7165" spans="1:12" ht="11.25" customHeight="1" x14ac:dyDescent="0.2">
      <c r="A7165" s="164">
        <v>2025</v>
      </c>
      <c r="B7165" s="164">
        <v>4</v>
      </c>
      <c r="C7165" s="164">
        <v>9</v>
      </c>
      <c r="D7165" s="164">
        <f t="shared" si="822"/>
        <v>45756</v>
      </c>
      <c r="E7165" s="235">
        <f t="shared" si="830"/>
        <v>45756</v>
      </c>
      <c r="F7165" s="480"/>
      <c r="G7165" s="208" t="s">
        <v>86</v>
      </c>
      <c r="H7165" s="208"/>
      <c r="J7165" s="165" t="s">
        <v>960</v>
      </c>
      <c r="K7165" s="205">
        <v>1391.4</v>
      </c>
      <c r="L7165" s="205"/>
    </row>
    <row r="7166" spans="1:12" ht="11.25" customHeight="1" x14ac:dyDescent="0.2">
      <c r="A7166" s="226">
        <v>2025</v>
      </c>
      <c r="B7166" s="226">
        <v>4</v>
      </c>
      <c r="C7166" s="226">
        <v>9</v>
      </c>
      <c r="D7166" s="226">
        <f t="shared" si="822"/>
        <v>45756</v>
      </c>
      <c r="E7166" s="234">
        <f t="shared" si="830"/>
        <v>45756</v>
      </c>
      <c r="F7166" s="479"/>
      <c r="G7166" s="227" t="s">
        <v>86</v>
      </c>
      <c r="H7166" s="227"/>
      <c r="I7166" s="228"/>
      <c r="J7166" s="229" t="s">
        <v>143</v>
      </c>
      <c r="K7166" s="230"/>
      <c r="L7166" s="230">
        <v>774391.4</v>
      </c>
    </row>
    <row r="7167" spans="1:12" ht="11.25" customHeight="1" x14ac:dyDescent="0.2">
      <c r="A7167" s="221">
        <v>2025</v>
      </c>
      <c r="B7167" s="221">
        <v>4</v>
      </c>
      <c r="C7167" s="221">
        <v>9</v>
      </c>
      <c r="D7167" s="231">
        <f t="shared" si="822"/>
        <v>45756</v>
      </c>
      <c r="E7167" s="233">
        <f>DATE(A7167,B7167,C7167)</f>
        <v>45756</v>
      </c>
      <c r="F7167" s="478" t="s">
        <v>1814</v>
      </c>
      <c r="G7167" s="222" t="s">
        <v>1111</v>
      </c>
      <c r="H7167" s="223"/>
      <c r="I7167" s="223"/>
      <c r="J7167" s="224" t="s">
        <v>961</v>
      </c>
      <c r="K7167" s="225">
        <v>483368.5</v>
      </c>
      <c r="L7167" s="225"/>
    </row>
    <row r="7168" spans="1:12" ht="11.25" customHeight="1" x14ac:dyDescent="0.2">
      <c r="A7168" s="226">
        <v>2025</v>
      </c>
      <c r="B7168" s="226">
        <v>4</v>
      </c>
      <c r="C7168" s="226">
        <v>9</v>
      </c>
      <c r="D7168" s="232">
        <f t="shared" si="822"/>
        <v>45756</v>
      </c>
      <c r="E7168" s="234">
        <f>DATE(A7168,B7168,C7168)</f>
        <v>45756</v>
      </c>
      <c r="F7168" s="479"/>
      <c r="G7168" s="227" t="s">
        <v>1111</v>
      </c>
      <c r="H7168" s="228"/>
      <c r="I7168" s="228"/>
      <c r="J7168" s="229" t="s">
        <v>55</v>
      </c>
      <c r="K7168" s="230"/>
      <c r="L7168" s="230">
        <v>483368.5</v>
      </c>
    </row>
    <row r="7169" spans="1:13" ht="11.25" customHeight="1" x14ac:dyDescent="0.2">
      <c r="A7169" s="221">
        <v>2025</v>
      </c>
      <c r="B7169" s="221">
        <v>4</v>
      </c>
      <c r="C7169" s="221">
        <v>9</v>
      </c>
      <c r="D7169" s="231">
        <f t="shared" si="822"/>
        <v>45756</v>
      </c>
      <c r="E7169" s="233">
        <f t="shared" ref="E7169:E7170" si="831">DATE(A7169,B7169,C7169)</f>
        <v>45756</v>
      </c>
      <c r="F7169" s="478" t="s">
        <v>1670</v>
      </c>
      <c r="G7169" s="222" t="s">
        <v>1111</v>
      </c>
      <c r="H7169" s="223"/>
      <c r="I7169" s="223"/>
      <c r="J7169" s="224" t="s">
        <v>63</v>
      </c>
      <c r="K7169" s="225">
        <v>58</v>
      </c>
      <c r="L7169" s="225"/>
    </row>
    <row r="7170" spans="1:13" ht="11.25" customHeight="1" x14ac:dyDescent="0.2">
      <c r="A7170" s="226">
        <v>2025</v>
      </c>
      <c r="B7170" s="164">
        <v>4</v>
      </c>
      <c r="C7170" s="164">
        <v>9</v>
      </c>
      <c r="D7170" s="232">
        <f t="shared" si="822"/>
        <v>45756</v>
      </c>
      <c r="E7170" s="234">
        <f t="shared" si="831"/>
        <v>45756</v>
      </c>
      <c r="F7170" s="479"/>
      <c r="G7170" s="227" t="s">
        <v>1111</v>
      </c>
      <c r="H7170" s="228"/>
      <c r="I7170" s="228"/>
      <c r="J7170" s="229" t="s">
        <v>55</v>
      </c>
      <c r="K7170" s="230"/>
      <c r="L7170" s="230">
        <v>58</v>
      </c>
    </row>
    <row r="7171" spans="1:13" ht="11.25" customHeight="1" x14ac:dyDescent="0.2">
      <c r="A7171" s="221">
        <v>2025</v>
      </c>
      <c r="B7171" s="221">
        <v>4</v>
      </c>
      <c r="C7171" s="221">
        <v>10</v>
      </c>
      <c r="D7171" s="231">
        <f t="shared" si="822"/>
        <v>45757</v>
      </c>
      <c r="E7171" s="233">
        <f>DATE(A7171,B7171,C7171)</f>
        <v>45757</v>
      </c>
      <c r="F7171" s="478" t="s">
        <v>1814</v>
      </c>
      <c r="G7171" s="222" t="s">
        <v>1111</v>
      </c>
      <c r="H7171" s="223"/>
      <c r="I7171" s="223"/>
      <c r="J7171" s="224" t="s">
        <v>961</v>
      </c>
      <c r="K7171" s="225">
        <v>774391.4</v>
      </c>
      <c r="L7171" s="225"/>
    </row>
    <row r="7172" spans="1:13" ht="11.25" customHeight="1" x14ac:dyDescent="0.2">
      <c r="A7172" s="226">
        <v>2025</v>
      </c>
      <c r="B7172" s="226">
        <v>4</v>
      </c>
      <c r="C7172" s="226">
        <v>10</v>
      </c>
      <c r="D7172" s="232">
        <f t="shared" si="822"/>
        <v>45757</v>
      </c>
      <c r="E7172" s="234">
        <f>DATE(A7172,B7172,C7172)</f>
        <v>45757</v>
      </c>
      <c r="F7172" s="479"/>
      <c r="G7172" s="227" t="s">
        <v>1111</v>
      </c>
      <c r="H7172" s="228"/>
      <c r="I7172" s="228"/>
      <c r="J7172" s="229" t="s">
        <v>55</v>
      </c>
      <c r="K7172" s="230"/>
      <c r="L7172" s="230">
        <v>774391.4</v>
      </c>
    </row>
    <row r="7173" spans="1:13" ht="11.25" customHeight="1" x14ac:dyDescent="0.2">
      <c r="A7173" s="221">
        <v>2025</v>
      </c>
      <c r="B7173" s="221">
        <v>4</v>
      </c>
      <c r="C7173" s="221">
        <v>10</v>
      </c>
      <c r="D7173" s="231">
        <f t="shared" si="822"/>
        <v>45757</v>
      </c>
      <c r="E7173" s="233">
        <f t="shared" ref="E7173:E7184" si="832">DATE(A7173,B7173,C7173)</f>
        <v>45757</v>
      </c>
      <c r="F7173" s="478" t="s">
        <v>1670</v>
      </c>
      <c r="G7173" s="222" t="s">
        <v>1111</v>
      </c>
      <c r="H7173" s="223"/>
      <c r="I7173" s="223"/>
      <c r="J7173" s="224" t="s">
        <v>63</v>
      </c>
      <c r="K7173" s="225">
        <v>100</v>
      </c>
      <c r="L7173" s="225"/>
    </row>
    <row r="7174" spans="1:13" ht="11.25" customHeight="1" x14ac:dyDescent="0.2">
      <c r="A7174" s="226">
        <v>2025</v>
      </c>
      <c r="B7174" s="226">
        <v>4</v>
      </c>
      <c r="C7174" s="226">
        <v>10</v>
      </c>
      <c r="D7174" s="232">
        <f t="shared" si="822"/>
        <v>45757</v>
      </c>
      <c r="E7174" s="234">
        <f t="shared" si="832"/>
        <v>45757</v>
      </c>
      <c r="F7174" s="479"/>
      <c r="G7174" s="227" t="s">
        <v>1111</v>
      </c>
      <c r="H7174" s="228"/>
      <c r="I7174" s="228"/>
      <c r="J7174" s="229" t="s">
        <v>55</v>
      </c>
      <c r="K7174" s="230"/>
      <c r="L7174" s="230">
        <v>100</v>
      </c>
    </row>
    <row r="7175" spans="1:13" ht="11.25" customHeight="1" x14ac:dyDescent="0.2">
      <c r="A7175" s="280">
        <v>2025</v>
      </c>
      <c r="B7175" s="280">
        <v>4</v>
      </c>
      <c r="C7175" s="280">
        <v>10</v>
      </c>
      <c r="D7175" s="281">
        <f t="shared" si="822"/>
        <v>45757</v>
      </c>
      <c r="E7175" s="282">
        <f t="shared" si="832"/>
        <v>45757</v>
      </c>
      <c r="F7175" s="472" t="s">
        <v>1744</v>
      </c>
      <c r="G7175" s="283" t="s">
        <v>86</v>
      </c>
      <c r="H7175" s="284"/>
      <c r="I7175" s="284"/>
      <c r="J7175" s="285" t="s">
        <v>131</v>
      </c>
      <c r="K7175" s="286">
        <v>19358.330000000002</v>
      </c>
      <c r="L7175" s="286"/>
      <c r="M7175" s="401"/>
    </row>
    <row r="7176" spans="1:13" ht="11.25" customHeight="1" x14ac:dyDescent="0.2">
      <c r="A7176" s="287">
        <v>2025</v>
      </c>
      <c r="B7176" s="287">
        <v>4</v>
      </c>
      <c r="C7176" s="287">
        <v>10</v>
      </c>
      <c r="D7176" s="288">
        <f t="shared" si="822"/>
        <v>45757</v>
      </c>
      <c r="E7176" s="289">
        <f t="shared" si="832"/>
        <v>45757</v>
      </c>
      <c r="F7176" s="473"/>
      <c r="G7176" s="290" t="s">
        <v>86</v>
      </c>
      <c r="H7176" s="291"/>
      <c r="I7176" s="291"/>
      <c r="J7176" s="292" t="s">
        <v>174</v>
      </c>
      <c r="K7176" s="293"/>
      <c r="L7176" s="293">
        <f>K7175</f>
        <v>19358.330000000002</v>
      </c>
    </row>
    <row r="7177" spans="1:13" ht="11.25" customHeight="1" x14ac:dyDescent="0.2">
      <c r="A7177" s="280">
        <v>2025</v>
      </c>
      <c r="B7177" s="280">
        <v>4</v>
      </c>
      <c r="C7177" s="280">
        <v>10</v>
      </c>
      <c r="D7177" s="281">
        <f t="shared" ref="D7177:D7240" si="833">DATE(A7177,B7177,C7177)</f>
        <v>45757</v>
      </c>
      <c r="E7177" s="282">
        <f t="shared" si="832"/>
        <v>45757</v>
      </c>
      <c r="F7177" s="472" t="s">
        <v>1584</v>
      </c>
      <c r="G7177" s="283" t="s">
        <v>86</v>
      </c>
      <c r="H7177" s="284"/>
      <c r="I7177" s="284"/>
      <c r="J7177" s="285" t="s">
        <v>131</v>
      </c>
      <c r="K7177" s="286">
        <v>8846.15</v>
      </c>
      <c r="L7177" s="286"/>
      <c r="M7177" s="401"/>
    </row>
    <row r="7178" spans="1:13" ht="11.25" customHeight="1" x14ac:dyDescent="0.2">
      <c r="A7178" s="287">
        <v>2025</v>
      </c>
      <c r="B7178" s="287">
        <v>4</v>
      </c>
      <c r="C7178" s="287">
        <v>10</v>
      </c>
      <c r="D7178" s="288">
        <f t="shared" si="833"/>
        <v>45757</v>
      </c>
      <c r="E7178" s="289">
        <f t="shared" si="832"/>
        <v>45757</v>
      </c>
      <c r="F7178" s="473"/>
      <c r="G7178" s="290" t="s">
        <v>86</v>
      </c>
      <c r="H7178" s="291"/>
      <c r="I7178" s="291"/>
      <c r="J7178" s="292" t="s">
        <v>174</v>
      </c>
      <c r="K7178" s="293"/>
      <c r="L7178" s="293">
        <f>K7177</f>
        <v>8846.15</v>
      </c>
    </row>
    <row r="7179" spans="1:13" ht="11.25" customHeight="1" x14ac:dyDescent="0.2">
      <c r="A7179" s="280">
        <v>2025</v>
      </c>
      <c r="B7179" s="280">
        <v>4</v>
      </c>
      <c r="C7179" s="280">
        <v>10</v>
      </c>
      <c r="D7179" s="281">
        <f t="shared" si="833"/>
        <v>45757</v>
      </c>
      <c r="E7179" s="282">
        <f t="shared" si="832"/>
        <v>45757</v>
      </c>
      <c r="F7179" s="472" t="s">
        <v>1836</v>
      </c>
      <c r="G7179" s="283" t="s">
        <v>86</v>
      </c>
      <c r="H7179" s="284"/>
      <c r="I7179" s="284"/>
      <c r="J7179" s="285" t="s">
        <v>131</v>
      </c>
      <c r="K7179" s="286">
        <v>4653.8500000000004</v>
      </c>
      <c r="L7179" s="286"/>
      <c r="M7179" s="401"/>
    </row>
    <row r="7180" spans="1:13" ht="11.25" customHeight="1" x14ac:dyDescent="0.2">
      <c r="A7180" s="287">
        <v>2025</v>
      </c>
      <c r="B7180" s="287">
        <v>4</v>
      </c>
      <c r="C7180" s="287">
        <v>10</v>
      </c>
      <c r="D7180" s="288">
        <f t="shared" si="833"/>
        <v>45757</v>
      </c>
      <c r="E7180" s="289">
        <f t="shared" si="832"/>
        <v>45757</v>
      </c>
      <c r="F7180" s="473"/>
      <c r="G7180" s="290" t="s">
        <v>86</v>
      </c>
      <c r="H7180" s="291"/>
      <c r="I7180" s="291"/>
      <c r="J7180" s="292" t="s">
        <v>174</v>
      </c>
      <c r="K7180" s="293"/>
      <c r="L7180" s="293">
        <f>K7179</f>
        <v>4653.8500000000004</v>
      </c>
    </row>
    <row r="7181" spans="1:13" ht="11.25" customHeight="1" x14ac:dyDescent="0.2">
      <c r="A7181" s="280">
        <v>2025</v>
      </c>
      <c r="B7181" s="280">
        <v>4</v>
      </c>
      <c r="C7181" s="280">
        <v>10</v>
      </c>
      <c r="D7181" s="281">
        <f t="shared" si="833"/>
        <v>45757</v>
      </c>
      <c r="E7181" s="282">
        <f t="shared" si="832"/>
        <v>45757</v>
      </c>
      <c r="F7181" s="472" t="s">
        <v>1830</v>
      </c>
      <c r="G7181" s="283" t="s">
        <v>86</v>
      </c>
      <c r="H7181" s="284"/>
      <c r="I7181" s="284"/>
      <c r="J7181" s="285" t="s">
        <v>131</v>
      </c>
      <c r="K7181" s="286">
        <v>5040.6492307692261</v>
      </c>
      <c r="L7181" s="286"/>
      <c r="M7181" s="401"/>
    </row>
    <row r="7182" spans="1:13" ht="11.25" customHeight="1" x14ac:dyDescent="0.2">
      <c r="A7182" s="287">
        <v>2025</v>
      </c>
      <c r="B7182" s="287">
        <v>4</v>
      </c>
      <c r="C7182" s="287">
        <v>10</v>
      </c>
      <c r="D7182" s="288">
        <f t="shared" si="833"/>
        <v>45757</v>
      </c>
      <c r="E7182" s="289">
        <f t="shared" si="832"/>
        <v>45757</v>
      </c>
      <c r="F7182" s="473"/>
      <c r="G7182" s="290" t="s">
        <v>86</v>
      </c>
      <c r="H7182" s="291"/>
      <c r="I7182" s="291"/>
      <c r="J7182" s="292" t="s">
        <v>174</v>
      </c>
      <c r="K7182" s="293"/>
      <c r="L7182" s="293">
        <f>K7181</f>
        <v>5040.6492307692261</v>
      </c>
    </row>
    <row r="7183" spans="1:13" ht="11.25" customHeight="1" x14ac:dyDescent="0.2">
      <c r="A7183" s="341">
        <v>2025</v>
      </c>
      <c r="B7183" s="341">
        <v>4</v>
      </c>
      <c r="C7183" s="341">
        <v>10</v>
      </c>
      <c r="D7183" s="328">
        <f t="shared" si="833"/>
        <v>45757</v>
      </c>
      <c r="E7183" s="329">
        <f t="shared" si="832"/>
        <v>45757</v>
      </c>
      <c r="F7183" s="474" t="s">
        <v>1767</v>
      </c>
      <c r="G7183" s="330" t="s">
        <v>86</v>
      </c>
      <c r="H7183" s="332"/>
      <c r="I7183" s="332"/>
      <c r="J7183" s="342" t="s">
        <v>67</v>
      </c>
      <c r="K7183" s="343">
        <v>23048.48</v>
      </c>
      <c r="L7183" s="343"/>
    </row>
    <row r="7184" spans="1:13" ht="11.25" customHeight="1" x14ac:dyDescent="0.2">
      <c r="A7184" s="344">
        <v>2025</v>
      </c>
      <c r="B7184" s="344">
        <v>4</v>
      </c>
      <c r="C7184" s="344">
        <v>10</v>
      </c>
      <c r="D7184" s="337">
        <f t="shared" si="833"/>
        <v>45757</v>
      </c>
      <c r="E7184" s="338">
        <f t="shared" si="832"/>
        <v>45757</v>
      </c>
      <c r="F7184" s="475"/>
      <c r="G7184" s="339" t="s">
        <v>86</v>
      </c>
      <c r="H7184" s="340"/>
      <c r="I7184" s="340"/>
      <c r="J7184" s="345" t="s">
        <v>174</v>
      </c>
      <c r="K7184" s="346"/>
      <c r="L7184" s="346">
        <f>K7183</f>
        <v>23048.48</v>
      </c>
    </row>
    <row r="7185" spans="1:13" ht="11.25" customHeight="1" x14ac:dyDescent="0.2">
      <c r="A7185" s="358">
        <v>2025</v>
      </c>
      <c r="B7185" s="358">
        <v>4</v>
      </c>
      <c r="C7185" s="358">
        <v>10</v>
      </c>
      <c r="D7185" s="312">
        <f t="shared" si="833"/>
        <v>45757</v>
      </c>
      <c r="E7185" s="313">
        <f>DATE(A7185,B7185,C7185)</f>
        <v>45757</v>
      </c>
      <c r="F7185" s="482" t="s">
        <v>1627</v>
      </c>
      <c r="G7185" s="314" t="s">
        <v>86</v>
      </c>
      <c r="H7185" s="324"/>
      <c r="I7185" s="324"/>
      <c r="J7185" s="364" t="s">
        <v>1613</v>
      </c>
      <c r="K7185" s="365">
        <v>0</v>
      </c>
      <c r="L7185" s="365"/>
      <c r="M7185" s="156">
        <f>BS!$I$12</f>
        <v>0</v>
      </c>
    </row>
    <row r="7186" spans="1:13" ht="11.25" customHeight="1" x14ac:dyDescent="0.2">
      <c r="A7186" s="320">
        <v>2025</v>
      </c>
      <c r="B7186" s="320">
        <v>4</v>
      </c>
      <c r="C7186" s="320">
        <v>10</v>
      </c>
      <c r="D7186" s="323">
        <f t="shared" si="833"/>
        <v>45757</v>
      </c>
      <c r="E7186" s="321">
        <f t="shared" ref="E7186" si="834">DATE(A7186,B7186,C7186)</f>
        <v>45757</v>
      </c>
      <c r="F7186" s="483"/>
      <c r="G7186" s="322" t="s">
        <v>86</v>
      </c>
      <c r="H7186" s="325"/>
      <c r="I7186" s="325"/>
      <c r="J7186" s="366" t="s">
        <v>1621</v>
      </c>
      <c r="K7186" s="367"/>
      <c r="L7186" s="367">
        <f>K7185</f>
        <v>0</v>
      </c>
    </row>
    <row r="7187" spans="1:13" ht="11.25" customHeight="1" x14ac:dyDescent="0.2">
      <c r="A7187" s="358">
        <v>2025</v>
      </c>
      <c r="B7187" s="358">
        <v>4</v>
      </c>
      <c r="C7187" s="358">
        <v>10</v>
      </c>
      <c r="D7187" s="312">
        <f t="shared" si="833"/>
        <v>45757</v>
      </c>
      <c r="E7187" s="313">
        <f>DATE(A7187,B7187,C7187)</f>
        <v>45757</v>
      </c>
      <c r="F7187" s="482" t="s">
        <v>1713</v>
      </c>
      <c r="G7187" s="314" t="s">
        <v>86</v>
      </c>
      <c r="H7187" s="324"/>
      <c r="I7187" s="324"/>
      <c r="J7187" s="364" t="s">
        <v>1614</v>
      </c>
      <c r="K7187" s="365">
        <v>217829.96499999613</v>
      </c>
      <c r="L7187" s="365"/>
      <c r="M7187" s="156">
        <f>BS!$I$15</f>
        <v>0</v>
      </c>
    </row>
    <row r="7188" spans="1:13" ht="11.25" customHeight="1" x14ac:dyDescent="0.2">
      <c r="A7188" s="320">
        <v>2025</v>
      </c>
      <c r="B7188" s="320">
        <v>4</v>
      </c>
      <c r="C7188" s="320">
        <v>10</v>
      </c>
      <c r="D7188" s="323">
        <f t="shared" si="833"/>
        <v>45757</v>
      </c>
      <c r="E7188" s="321">
        <f t="shared" ref="E7188:E7206" si="835">DATE(A7188,B7188,C7188)</f>
        <v>45757</v>
      </c>
      <c r="F7188" s="483"/>
      <c r="G7188" s="322" t="s">
        <v>86</v>
      </c>
      <c r="H7188" s="325"/>
      <c r="I7188" s="325"/>
      <c r="J7188" s="366" t="s">
        <v>1622</v>
      </c>
      <c r="K7188" s="367"/>
      <c r="L7188" s="367">
        <f>K7187</f>
        <v>217829.96499999613</v>
      </c>
    </row>
    <row r="7189" spans="1:13" ht="11.25" customHeight="1" x14ac:dyDescent="0.2">
      <c r="A7189" s="236">
        <v>2025</v>
      </c>
      <c r="B7189" s="236">
        <v>4</v>
      </c>
      <c r="C7189" s="236">
        <v>10</v>
      </c>
      <c r="D7189" s="237">
        <f t="shared" si="833"/>
        <v>45757</v>
      </c>
      <c r="E7189" s="238">
        <f t="shared" si="835"/>
        <v>45757</v>
      </c>
      <c r="F7189" s="476" t="s">
        <v>1118</v>
      </c>
      <c r="G7189" s="239" t="s">
        <v>86</v>
      </c>
      <c r="H7189" s="239"/>
      <c r="I7189" s="240"/>
      <c r="J7189" s="241" t="s">
        <v>82</v>
      </c>
      <c r="K7189" s="242">
        <v>771703.3599999994</v>
      </c>
      <c r="L7189" s="242"/>
      <c r="M7189" s="156">
        <f>BS!$I$8</f>
        <v>0</v>
      </c>
    </row>
    <row r="7190" spans="1:13" ht="11.25" customHeight="1" x14ac:dyDescent="0.2">
      <c r="A7190" s="243">
        <v>2025</v>
      </c>
      <c r="B7190" s="243">
        <v>4</v>
      </c>
      <c r="C7190" s="243">
        <v>10</v>
      </c>
      <c r="D7190" s="248">
        <f t="shared" si="833"/>
        <v>45757</v>
      </c>
      <c r="E7190" s="249">
        <f t="shared" si="835"/>
        <v>45757</v>
      </c>
      <c r="F7190" s="477"/>
      <c r="G7190" s="244" t="s">
        <v>86</v>
      </c>
      <c r="H7190" s="244"/>
      <c r="I7190" s="245"/>
      <c r="J7190" s="246" t="s">
        <v>98</v>
      </c>
      <c r="K7190" s="247"/>
      <c r="L7190" s="247">
        <f>K7189</f>
        <v>771703.3599999994</v>
      </c>
    </row>
    <row r="7191" spans="1:13" ht="11.25" customHeight="1" x14ac:dyDescent="0.2">
      <c r="A7191" s="236">
        <v>2025</v>
      </c>
      <c r="B7191" s="236">
        <v>4</v>
      </c>
      <c r="C7191" s="236">
        <v>10</v>
      </c>
      <c r="D7191" s="237">
        <f t="shared" si="833"/>
        <v>45757</v>
      </c>
      <c r="E7191" s="238">
        <f t="shared" si="835"/>
        <v>45757</v>
      </c>
      <c r="F7191" s="476" t="s">
        <v>1120</v>
      </c>
      <c r="G7191" s="239" t="s">
        <v>86</v>
      </c>
      <c r="H7191" s="239"/>
      <c r="I7191" s="240"/>
      <c r="J7191" s="241" t="s">
        <v>87</v>
      </c>
      <c r="K7191" s="242">
        <v>2747.2527472527472</v>
      </c>
      <c r="L7191" s="242"/>
      <c r="M7191" s="401"/>
    </row>
    <row r="7192" spans="1:13" ht="11.25" customHeight="1" x14ac:dyDescent="0.2">
      <c r="A7192" s="243">
        <v>2025</v>
      </c>
      <c r="B7192" s="243">
        <v>4</v>
      </c>
      <c r="C7192" s="243">
        <v>10</v>
      </c>
      <c r="D7192" s="248">
        <f t="shared" si="833"/>
        <v>45757</v>
      </c>
      <c r="E7192" s="249">
        <f t="shared" si="835"/>
        <v>45757</v>
      </c>
      <c r="F7192" s="477"/>
      <c r="G7192" s="244" t="s">
        <v>86</v>
      </c>
      <c r="H7192" s="244"/>
      <c r="I7192" s="245"/>
      <c r="J7192" s="246" t="s">
        <v>64</v>
      </c>
      <c r="K7192" s="247"/>
      <c r="L7192" s="247">
        <f>K7191</f>
        <v>2747.2527472527472</v>
      </c>
    </row>
    <row r="7193" spans="1:13" ht="11.25" customHeight="1" x14ac:dyDescent="0.2">
      <c r="A7193" s="236">
        <v>2025</v>
      </c>
      <c r="B7193" s="236">
        <v>4</v>
      </c>
      <c r="C7193" s="236">
        <v>10</v>
      </c>
      <c r="D7193" s="237">
        <f t="shared" si="833"/>
        <v>45757</v>
      </c>
      <c r="E7193" s="238">
        <f t="shared" si="835"/>
        <v>45757</v>
      </c>
      <c r="F7193" s="476" t="s">
        <v>1121</v>
      </c>
      <c r="G7193" s="239" t="s">
        <v>86</v>
      </c>
      <c r="H7193" s="239"/>
      <c r="I7193" s="240"/>
      <c r="J7193" s="241" t="s">
        <v>89</v>
      </c>
      <c r="K7193" s="242">
        <f>M7193</f>
        <v>71554.777244780271</v>
      </c>
      <c r="L7193" s="242"/>
      <c r="M7193" s="156">
        <v>71554.777244780271</v>
      </c>
    </row>
    <row r="7194" spans="1:13" ht="11.25" customHeight="1" x14ac:dyDescent="0.2">
      <c r="A7194" s="243">
        <v>2025</v>
      </c>
      <c r="B7194" s="243">
        <v>4</v>
      </c>
      <c r="C7194" s="243">
        <v>10</v>
      </c>
      <c r="D7194" s="248">
        <f t="shared" si="833"/>
        <v>45757</v>
      </c>
      <c r="E7194" s="249">
        <f t="shared" si="835"/>
        <v>45757</v>
      </c>
      <c r="F7194" s="477"/>
      <c r="G7194" s="244" t="s">
        <v>86</v>
      </c>
      <c r="H7194" s="244"/>
      <c r="I7194" s="245"/>
      <c r="J7194" s="246" t="s">
        <v>50</v>
      </c>
      <c r="K7194" s="247"/>
      <c r="L7194" s="247">
        <f>K7193</f>
        <v>71554.777244780271</v>
      </c>
      <c r="M7194" s="156">
        <v>3337.3542468543983</v>
      </c>
    </row>
    <row r="7195" spans="1:13" ht="11.25" customHeight="1" x14ac:dyDescent="0.2">
      <c r="A7195" s="236">
        <v>2025</v>
      </c>
      <c r="B7195" s="236">
        <v>4</v>
      </c>
      <c r="C7195" s="236">
        <v>10</v>
      </c>
      <c r="D7195" s="237">
        <f t="shared" si="833"/>
        <v>45757</v>
      </c>
      <c r="E7195" s="238">
        <f t="shared" si="835"/>
        <v>45757</v>
      </c>
      <c r="F7195" s="476" t="s">
        <v>1122</v>
      </c>
      <c r="G7195" s="239" t="s">
        <v>86</v>
      </c>
      <c r="H7195" s="239"/>
      <c r="I7195" s="240"/>
      <c r="J7195" s="241" t="s">
        <v>91</v>
      </c>
      <c r="K7195" s="242">
        <f>M7194</f>
        <v>3337.3542468543983</v>
      </c>
      <c r="L7195" s="242"/>
    </row>
    <row r="7196" spans="1:13" ht="11.25" customHeight="1" x14ac:dyDescent="0.2">
      <c r="A7196" s="243">
        <v>2025</v>
      </c>
      <c r="B7196" s="243">
        <v>4</v>
      </c>
      <c r="C7196" s="243">
        <v>10</v>
      </c>
      <c r="D7196" s="248">
        <f t="shared" si="833"/>
        <v>45757</v>
      </c>
      <c r="E7196" s="249">
        <f t="shared" si="835"/>
        <v>45757</v>
      </c>
      <c r="F7196" s="477"/>
      <c r="G7196" s="244" t="s">
        <v>86</v>
      </c>
      <c r="H7196" s="244"/>
      <c r="I7196" s="245"/>
      <c r="J7196" s="246" t="s">
        <v>51</v>
      </c>
      <c r="K7196" s="247"/>
      <c r="L7196" s="247">
        <f>K7195</f>
        <v>3337.3542468543983</v>
      </c>
    </row>
    <row r="7197" spans="1:13" ht="11.25" customHeight="1" x14ac:dyDescent="0.2">
      <c r="A7197" s="164">
        <v>2025</v>
      </c>
      <c r="B7197" s="164">
        <v>4</v>
      </c>
      <c r="C7197" s="164">
        <v>13</v>
      </c>
      <c r="D7197" s="164">
        <f t="shared" si="833"/>
        <v>45760</v>
      </c>
      <c r="E7197" s="235">
        <f t="shared" si="835"/>
        <v>45760</v>
      </c>
      <c r="F7197" s="480" t="s">
        <v>1589</v>
      </c>
      <c r="G7197" s="208" t="s">
        <v>86</v>
      </c>
      <c r="H7197" s="208"/>
      <c r="J7197" s="165" t="s">
        <v>199</v>
      </c>
      <c r="K7197" s="205">
        <v>674634</v>
      </c>
      <c r="L7197" s="205"/>
    </row>
    <row r="7198" spans="1:13" ht="11.25" customHeight="1" x14ac:dyDescent="0.2">
      <c r="A7198" s="164">
        <v>2025</v>
      </c>
      <c r="B7198" s="164">
        <v>4</v>
      </c>
      <c r="C7198" s="164">
        <v>13</v>
      </c>
      <c r="D7198" s="164">
        <f t="shared" si="833"/>
        <v>45760</v>
      </c>
      <c r="E7198" s="235">
        <f t="shared" si="835"/>
        <v>45760</v>
      </c>
      <c r="F7198" s="480"/>
      <c r="G7198" s="208" t="s">
        <v>86</v>
      </c>
      <c r="H7198" s="208"/>
      <c r="J7198" s="165" t="s">
        <v>960</v>
      </c>
      <c r="K7198" s="205">
        <v>1216</v>
      </c>
      <c r="L7198" s="205"/>
      <c r="M7198" s="401"/>
    </row>
    <row r="7199" spans="1:13" ht="11.25" customHeight="1" x14ac:dyDescent="0.2">
      <c r="A7199" s="164">
        <v>2025</v>
      </c>
      <c r="B7199" s="164">
        <v>4</v>
      </c>
      <c r="C7199" s="164">
        <v>13</v>
      </c>
      <c r="D7199" s="164">
        <f t="shared" si="833"/>
        <v>45760</v>
      </c>
      <c r="E7199" s="235">
        <f t="shared" si="835"/>
        <v>45760</v>
      </c>
      <c r="F7199" s="480"/>
      <c r="G7199" s="208" t="s">
        <v>86</v>
      </c>
      <c r="H7199" s="208"/>
      <c r="J7199" s="165" t="s">
        <v>200</v>
      </c>
      <c r="K7199" s="205">
        <v>53770.74</v>
      </c>
      <c r="L7199" s="205"/>
    </row>
    <row r="7200" spans="1:13" ht="11.25" customHeight="1" x14ac:dyDescent="0.2">
      <c r="A7200" s="226">
        <v>2025</v>
      </c>
      <c r="B7200" s="226">
        <v>4</v>
      </c>
      <c r="C7200" s="226">
        <v>13</v>
      </c>
      <c r="D7200" s="226">
        <f t="shared" si="833"/>
        <v>45760</v>
      </c>
      <c r="E7200" s="234">
        <f t="shared" si="835"/>
        <v>45760</v>
      </c>
      <c r="F7200" s="479"/>
      <c r="G7200" s="227" t="s">
        <v>86</v>
      </c>
      <c r="H7200" s="228"/>
      <c r="I7200" s="228"/>
      <c r="J7200" s="229" t="s">
        <v>80</v>
      </c>
      <c r="K7200" s="230"/>
      <c r="L7200" s="230">
        <v>729620.74</v>
      </c>
    </row>
    <row r="7201" spans="1:13" ht="11.25" customHeight="1" x14ac:dyDescent="0.2">
      <c r="A7201" s="221">
        <v>2025</v>
      </c>
      <c r="B7201" s="221">
        <v>4</v>
      </c>
      <c r="C7201" s="231">
        <v>13</v>
      </c>
      <c r="D7201" s="231">
        <f t="shared" si="833"/>
        <v>45760</v>
      </c>
      <c r="E7201" s="233">
        <f t="shared" si="835"/>
        <v>45760</v>
      </c>
      <c r="F7201" s="478" t="s">
        <v>1821</v>
      </c>
      <c r="G7201" s="222" t="s">
        <v>1111</v>
      </c>
      <c r="H7201" s="223"/>
      <c r="I7201" s="223"/>
      <c r="J7201" s="165" t="s">
        <v>55</v>
      </c>
      <c r="K7201" s="225">
        <v>145187.5</v>
      </c>
      <c r="L7201" s="225"/>
    </row>
    <row r="7202" spans="1:13" ht="11.25" customHeight="1" x14ac:dyDescent="0.2">
      <c r="A7202" s="226">
        <v>2025</v>
      </c>
      <c r="B7202" s="226">
        <v>4</v>
      </c>
      <c r="C7202" s="232">
        <v>13</v>
      </c>
      <c r="D7202" s="232">
        <f t="shared" si="833"/>
        <v>45760</v>
      </c>
      <c r="E7202" s="234">
        <f t="shared" si="835"/>
        <v>45760</v>
      </c>
      <c r="F7202" s="479"/>
      <c r="G7202" s="227" t="s">
        <v>1111</v>
      </c>
      <c r="H7202" s="228"/>
      <c r="I7202" s="228"/>
      <c r="J7202" s="229" t="s">
        <v>131</v>
      </c>
      <c r="K7202" s="230"/>
      <c r="L7202" s="230">
        <v>145187.5</v>
      </c>
    </row>
    <row r="7203" spans="1:13" ht="11.25" customHeight="1" x14ac:dyDescent="0.2">
      <c r="A7203" s="221">
        <v>2025</v>
      </c>
      <c r="B7203" s="221">
        <v>4</v>
      </c>
      <c r="C7203" s="231">
        <v>13</v>
      </c>
      <c r="D7203" s="231">
        <f t="shared" si="833"/>
        <v>45760</v>
      </c>
      <c r="E7203" s="233">
        <f t="shared" si="835"/>
        <v>45760</v>
      </c>
      <c r="F7203" s="478" t="s">
        <v>1821</v>
      </c>
      <c r="G7203" s="222" t="s">
        <v>1111</v>
      </c>
      <c r="H7203" s="223"/>
      <c r="I7203" s="223"/>
      <c r="J7203" s="165" t="s">
        <v>55</v>
      </c>
      <c r="K7203" s="225">
        <v>145187.5</v>
      </c>
      <c r="L7203" s="225"/>
    </row>
    <row r="7204" spans="1:13" ht="11.25" customHeight="1" x14ac:dyDescent="0.2">
      <c r="A7204" s="226">
        <v>2025</v>
      </c>
      <c r="B7204" s="226">
        <v>4</v>
      </c>
      <c r="C7204" s="232">
        <v>13</v>
      </c>
      <c r="D7204" s="232">
        <f t="shared" si="833"/>
        <v>45760</v>
      </c>
      <c r="E7204" s="234">
        <f t="shared" si="835"/>
        <v>45760</v>
      </c>
      <c r="F7204" s="479"/>
      <c r="G7204" s="227" t="s">
        <v>1111</v>
      </c>
      <c r="H7204" s="228"/>
      <c r="I7204" s="228"/>
      <c r="J7204" s="229" t="s">
        <v>131</v>
      </c>
      <c r="K7204" s="230"/>
      <c r="L7204" s="230">
        <v>145187.5</v>
      </c>
    </row>
    <row r="7205" spans="1:13" ht="11.25" customHeight="1" x14ac:dyDescent="0.2">
      <c r="A7205" s="221">
        <v>2025</v>
      </c>
      <c r="B7205" s="221">
        <v>4</v>
      </c>
      <c r="C7205" s="221">
        <v>15</v>
      </c>
      <c r="D7205" s="231">
        <f t="shared" si="833"/>
        <v>45762</v>
      </c>
      <c r="E7205" s="233">
        <f t="shared" si="835"/>
        <v>45762</v>
      </c>
      <c r="F7205" s="478" t="s">
        <v>1860</v>
      </c>
      <c r="G7205" s="222" t="s">
        <v>1111</v>
      </c>
      <c r="H7205" s="222"/>
      <c r="I7205" s="223"/>
      <c r="J7205" s="224" t="s">
        <v>1615</v>
      </c>
      <c r="K7205" s="357">
        <v>1016890.27</v>
      </c>
      <c r="L7205" s="225"/>
    </row>
    <row r="7206" spans="1:13" ht="11.25" customHeight="1" x14ac:dyDescent="0.2">
      <c r="A7206" s="226">
        <v>2025</v>
      </c>
      <c r="B7206" s="226">
        <v>4</v>
      </c>
      <c r="C7206" s="226">
        <v>15</v>
      </c>
      <c r="D7206" s="226">
        <f t="shared" si="833"/>
        <v>45762</v>
      </c>
      <c r="E7206" s="234">
        <f t="shared" si="835"/>
        <v>45762</v>
      </c>
      <c r="F7206" s="479"/>
      <c r="G7206" s="227" t="s">
        <v>1111</v>
      </c>
      <c r="H7206" s="227"/>
      <c r="I7206" s="228"/>
      <c r="J7206" s="229" t="s">
        <v>55</v>
      </c>
      <c r="K7206" s="294"/>
      <c r="L7206" s="230">
        <v>1016890.27</v>
      </c>
    </row>
    <row r="7207" spans="1:13" ht="11.25" customHeight="1" x14ac:dyDescent="0.2">
      <c r="A7207" s="221">
        <v>2025</v>
      </c>
      <c r="B7207" s="221">
        <v>4</v>
      </c>
      <c r="C7207" s="221">
        <v>15</v>
      </c>
      <c r="D7207" s="231">
        <f t="shared" si="833"/>
        <v>45762</v>
      </c>
      <c r="E7207" s="233">
        <f t="shared" ref="E7207:E7223" si="836">DATE(A7207,B7207,C7207)</f>
        <v>45762</v>
      </c>
      <c r="F7207" s="478" t="s">
        <v>1861</v>
      </c>
      <c r="G7207" s="222" t="s">
        <v>1111</v>
      </c>
      <c r="H7207" s="222"/>
      <c r="I7207" s="223"/>
      <c r="J7207" s="224" t="s">
        <v>1615</v>
      </c>
      <c r="K7207" s="357">
        <v>1973753.8</v>
      </c>
      <c r="L7207" s="225"/>
    </row>
    <row r="7208" spans="1:13" ht="11.25" customHeight="1" x14ac:dyDescent="0.2">
      <c r="A7208" s="226">
        <v>2025</v>
      </c>
      <c r="B7208" s="226">
        <v>4</v>
      </c>
      <c r="C7208" s="226">
        <v>15</v>
      </c>
      <c r="D7208" s="226">
        <f t="shared" si="833"/>
        <v>45762</v>
      </c>
      <c r="E7208" s="234">
        <f t="shared" si="836"/>
        <v>45762</v>
      </c>
      <c r="F7208" s="479"/>
      <c r="G7208" s="227" t="s">
        <v>1111</v>
      </c>
      <c r="H7208" s="227"/>
      <c r="I7208" s="228"/>
      <c r="J7208" s="229" t="s">
        <v>55</v>
      </c>
      <c r="K7208" s="294"/>
      <c r="L7208" s="230">
        <v>1973753.8</v>
      </c>
    </row>
    <row r="7209" spans="1:13" ht="11.25" customHeight="1" x14ac:dyDescent="0.2">
      <c r="A7209" s="221">
        <v>2025</v>
      </c>
      <c r="B7209" s="221">
        <v>4</v>
      </c>
      <c r="C7209" s="231">
        <v>16</v>
      </c>
      <c r="D7209" s="231">
        <f t="shared" si="833"/>
        <v>45763</v>
      </c>
      <c r="E7209" s="233">
        <f t="shared" si="836"/>
        <v>45763</v>
      </c>
      <c r="F7209" s="478" t="s">
        <v>1843</v>
      </c>
      <c r="G7209" s="222" t="s">
        <v>1111</v>
      </c>
      <c r="H7209" s="223"/>
      <c r="I7209" s="223"/>
      <c r="J7209" s="224" t="s">
        <v>55</v>
      </c>
      <c r="K7209" s="225">
        <v>674634</v>
      </c>
      <c r="L7209" s="225"/>
    </row>
    <row r="7210" spans="1:13" ht="11.25" customHeight="1" x14ac:dyDescent="0.2">
      <c r="A7210" s="226">
        <v>2025</v>
      </c>
      <c r="B7210" s="226">
        <v>4</v>
      </c>
      <c r="C7210" s="232">
        <v>16</v>
      </c>
      <c r="D7210" s="232">
        <f t="shared" si="833"/>
        <v>45763</v>
      </c>
      <c r="E7210" s="234">
        <f t="shared" si="836"/>
        <v>45763</v>
      </c>
      <c r="F7210" s="479"/>
      <c r="G7210" s="227" t="s">
        <v>1111</v>
      </c>
      <c r="H7210" s="228"/>
      <c r="I7210" s="228"/>
      <c r="J7210" s="229" t="s">
        <v>199</v>
      </c>
      <c r="K7210" s="230"/>
      <c r="L7210" s="230">
        <v>674634</v>
      </c>
    </row>
    <row r="7211" spans="1:13" ht="11.25" customHeight="1" x14ac:dyDescent="0.2">
      <c r="A7211" s="221">
        <v>2025</v>
      </c>
      <c r="B7211" s="221">
        <v>4</v>
      </c>
      <c r="C7211" s="221">
        <v>17</v>
      </c>
      <c r="D7211" s="221">
        <f t="shared" si="833"/>
        <v>45764</v>
      </c>
      <c r="E7211" s="233">
        <f t="shared" si="836"/>
        <v>45764</v>
      </c>
      <c r="F7211" s="478" t="s">
        <v>1593</v>
      </c>
      <c r="G7211" s="222" t="s">
        <v>86</v>
      </c>
      <c r="H7211" s="222"/>
      <c r="I7211" s="223"/>
      <c r="J7211" s="224" t="s">
        <v>80</v>
      </c>
      <c r="K7211" s="225">
        <v>289500</v>
      </c>
      <c r="L7211" s="225"/>
    </row>
    <row r="7212" spans="1:13" ht="11.25" customHeight="1" x14ac:dyDescent="0.2">
      <c r="A7212" s="164">
        <v>2025</v>
      </c>
      <c r="B7212" s="164">
        <v>4</v>
      </c>
      <c r="C7212" s="164">
        <v>17</v>
      </c>
      <c r="D7212" s="164">
        <f t="shared" si="833"/>
        <v>45764</v>
      </c>
      <c r="E7212" s="235">
        <f t="shared" si="836"/>
        <v>45764</v>
      </c>
      <c r="F7212" s="480"/>
      <c r="G7212" s="208" t="s">
        <v>86</v>
      </c>
      <c r="H7212" s="208"/>
      <c r="J7212" s="165" t="s">
        <v>960</v>
      </c>
      <c r="K7212" s="205">
        <v>521.1</v>
      </c>
      <c r="L7212" s="205"/>
    </row>
    <row r="7213" spans="1:13" ht="11.25" customHeight="1" x14ac:dyDescent="0.2">
      <c r="A7213" s="226">
        <v>2025</v>
      </c>
      <c r="B7213" s="226">
        <v>4</v>
      </c>
      <c r="C7213" s="226">
        <v>17</v>
      </c>
      <c r="D7213" s="226">
        <f t="shared" si="833"/>
        <v>45764</v>
      </c>
      <c r="E7213" s="234">
        <f t="shared" si="836"/>
        <v>45764</v>
      </c>
      <c r="F7213" s="479"/>
      <c r="G7213" s="227" t="s">
        <v>86</v>
      </c>
      <c r="H7213" s="227"/>
      <c r="I7213" s="228"/>
      <c r="J7213" s="229" t="s">
        <v>143</v>
      </c>
      <c r="K7213" s="230"/>
      <c r="L7213" s="230">
        <v>290021.09999999998</v>
      </c>
    </row>
    <row r="7214" spans="1:13" ht="11.25" customHeight="1" x14ac:dyDescent="0.2">
      <c r="A7214" s="280">
        <v>2025</v>
      </c>
      <c r="B7214" s="280">
        <v>4</v>
      </c>
      <c r="C7214" s="280">
        <v>17</v>
      </c>
      <c r="D7214" s="281">
        <f t="shared" si="833"/>
        <v>45764</v>
      </c>
      <c r="E7214" s="282">
        <f t="shared" si="836"/>
        <v>45764</v>
      </c>
      <c r="F7214" s="472" t="s">
        <v>1744</v>
      </c>
      <c r="G7214" s="283" t="s">
        <v>86</v>
      </c>
      <c r="H7214" s="284"/>
      <c r="I7214" s="284"/>
      <c r="J7214" s="285" t="s">
        <v>131</v>
      </c>
      <c r="K7214" s="286">
        <v>19358.330000000002</v>
      </c>
      <c r="L7214" s="286"/>
      <c r="M7214" s="401"/>
    </row>
    <row r="7215" spans="1:13" ht="11.25" customHeight="1" x14ac:dyDescent="0.2">
      <c r="A7215" s="287">
        <v>2025</v>
      </c>
      <c r="B7215" s="287">
        <v>4</v>
      </c>
      <c r="C7215" s="287">
        <v>17</v>
      </c>
      <c r="D7215" s="288">
        <f t="shared" si="833"/>
        <v>45764</v>
      </c>
      <c r="E7215" s="289">
        <f t="shared" si="836"/>
        <v>45764</v>
      </c>
      <c r="F7215" s="473"/>
      <c r="G7215" s="290" t="s">
        <v>86</v>
      </c>
      <c r="H7215" s="291"/>
      <c r="I7215" s="291"/>
      <c r="J7215" s="292" t="s">
        <v>174</v>
      </c>
      <c r="K7215" s="293"/>
      <c r="L7215" s="293">
        <f>K7214</f>
        <v>19358.330000000002</v>
      </c>
    </row>
    <row r="7216" spans="1:13" ht="11.25" customHeight="1" x14ac:dyDescent="0.2">
      <c r="A7216" s="280">
        <v>2025</v>
      </c>
      <c r="B7216" s="280">
        <v>4</v>
      </c>
      <c r="C7216" s="280">
        <v>17</v>
      </c>
      <c r="D7216" s="281">
        <f t="shared" si="833"/>
        <v>45764</v>
      </c>
      <c r="E7216" s="282">
        <f t="shared" si="836"/>
        <v>45764</v>
      </c>
      <c r="F7216" s="472" t="s">
        <v>1584</v>
      </c>
      <c r="G7216" s="283" t="s">
        <v>86</v>
      </c>
      <c r="H7216" s="284"/>
      <c r="I7216" s="284"/>
      <c r="J7216" s="285" t="s">
        <v>131</v>
      </c>
      <c r="K7216" s="286">
        <v>8846.15</v>
      </c>
      <c r="L7216" s="286"/>
      <c r="M7216" s="401"/>
    </row>
    <row r="7217" spans="1:13" ht="11.25" customHeight="1" x14ac:dyDescent="0.2">
      <c r="A7217" s="287">
        <v>2025</v>
      </c>
      <c r="B7217" s="287">
        <v>4</v>
      </c>
      <c r="C7217" s="287">
        <v>17</v>
      </c>
      <c r="D7217" s="288">
        <f t="shared" si="833"/>
        <v>45764</v>
      </c>
      <c r="E7217" s="289">
        <f t="shared" si="836"/>
        <v>45764</v>
      </c>
      <c r="F7217" s="473"/>
      <c r="G7217" s="290" t="s">
        <v>86</v>
      </c>
      <c r="H7217" s="291"/>
      <c r="I7217" s="291"/>
      <c r="J7217" s="292" t="s">
        <v>174</v>
      </c>
      <c r="K7217" s="293"/>
      <c r="L7217" s="293">
        <f>K7216</f>
        <v>8846.15</v>
      </c>
    </row>
    <row r="7218" spans="1:13" ht="11.25" customHeight="1" x14ac:dyDescent="0.2">
      <c r="A7218" s="280">
        <v>2025</v>
      </c>
      <c r="B7218" s="280">
        <v>4</v>
      </c>
      <c r="C7218" s="280">
        <v>17</v>
      </c>
      <c r="D7218" s="281">
        <f t="shared" si="833"/>
        <v>45764</v>
      </c>
      <c r="E7218" s="282">
        <f t="shared" si="836"/>
        <v>45764</v>
      </c>
      <c r="F7218" s="472" t="s">
        <v>1836</v>
      </c>
      <c r="G7218" s="283" t="s">
        <v>86</v>
      </c>
      <c r="H7218" s="284"/>
      <c r="I7218" s="284"/>
      <c r="J7218" s="285" t="s">
        <v>131</v>
      </c>
      <c r="K7218" s="286">
        <v>4653.8500000000004</v>
      </c>
      <c r="L7218" s="286"/>
      <c r="M7218" s="401"/>
    </row>
    <row r="7219" spans="1:13" ht="11.25" customHeight="1" x14ac:dyDescent="0.2">
      <c r="A7219" s="287">
        <v>2025</v>
      </c>
      <c r="B7219" s="287">
        <v>4</v>
      </c>
      <c r="C7219" s="287">
        <v>17</v>
      </c>
      <c r="D7219" s="288">
        <f t="shared" si="833"/>
        <v>45764</v>
      </c>
      <c r="E7219" s="289">
        <f t="shared" si="836"/>
        <v>45764</v>
      </c>
      <c r="F7219" s="473"/>
      <c r="G7219" s="290" t="s">
        <v>86</v>
      </c>
      <c r="H7219" s="291"/>
      <c r="I7219" s="291"/>
      <c r="J7219" s="292" t="s">
        <v>174</v>
      </c>
      <c r="K7219" s="293"/>
      <c r="L7219" s="293">
        <f>K7218</f>
        <v>4653.8500000000004</v>
      </c>
    </row>
    <row r="7220" spans="1:13" ht="11.25" customHeight="1" x14ac:dyDescent="0.2">
      <c r="A7220" s="280">
        <v>2025</v>
      </c>
      <c r="B7220" s="280">
        <v>4</v>
      </c>
      <c r="C7220" s="280">
        <v>17</v>
      </c>
      <c r="D7220" s="281">
        <f t="shared" si="833"/>
        <v>45764</v>
      </c>
      <c r="E7220" s="282">
        <f t="shared" si="836"/>
        <v>45764</v>
      </c>
      <c r="F7220" s="472" t="s">
        <v>1830</v>
      </c>
      <c r="G7220" s="283" t="s">
        <v>86</v>
      </c>
      <c r="H7220" s="284"/>
      <c r="I7220" s="284"/>
      <c r="J7220" s="285" t="s">
        <v>131</v>
      </c>
      <c r="K7220" s="286">
        <v>5040.6492307692261</v>
      </c>
      <c r="L7220" s="286"/>
      <c r="M7220" s="401"/>
    </row>
    <row r="7221" spans="1:13" ht="11.25" customHeight="1" x14ac:dyDescent="0.2">
      <c r="A7221" s="287">
        <v>2025</v>
      </c>
      <c r="B7221" s="287">
        <v>4</v>
      </c>
      <c r="C7221" s="287">
        <v>17</v>
      </c>
      <c r="D7221" s="288">
        <f t="shared" si="833"/>
        <v>45764</v>
      </c>
      <c r="E7221" s="289">
        <f t="shared" si="836"/>
        <v>45764</v>
      </c>
      <c r="F7221" s="473"/>
      <c r="G7221" s="290" t="s">
        <v>86</v>
      </c>
      <c r="H7221" s="291"/>
      <c r="I7221" s="291"/>
      <c r="J7221" s="292" t="s">
        <v>174</v>
      </c>
      <c r="K7221" s="293"/>
      <c r="L7221" s="293">
        <f>K7220</f>
        <v>5040.6492307692261</v>
      </c>
    </row>
    <row r="7222" spans="1:13" ht="11.25" customHeight="1" x14ac:dyDescent="0.2">
      <c r="A7222" s="341">
        <v>2025</v>
      </c>
      <c r="B7222" s="341">
        <v>4</v>
      </c>
      <c r="C7222" s="341">
        <v>17</v>
      </c>
      <c r="D7222" s="328">
        <f t="shared" si="833"/>
        <v>45764</v>
      </c>
      <c r="E7222" s="329">
        <f t="shared" si="836"/>
        <v>45764</v>
      </c>
      <c r="F7222" s="474" t="s">
        <v>1767</v>
      </c>
      <c r="G7222" s="330" t="s">
        <v>86</v>
      </c>
      <c r="H7222" s="332"/>
      <c r="I7222" s="332"/>
      <c r="J7222" s="342" t="s">
        <v>67</v>
      </c>
      <c r="K7222" s="343">
        <v>19777.48</v>
      </c>
      <c r="L7222" s="343"/>
    </row>
    <row r="7223" spans="1:13" ht="11.25" customHeight="1" x14ac:dyDescent="0.2">
      <c r="A7223" s="344">
        <v>2025</v>
      </c>
      <c r="B7223" s="344">
        <v>4</v>
      </c>
      <c r="C7223" s="344">
        <v>17</v>
      </c>
      <c r="D7223" s="337">
        <f t="shared" si="833"/>
        <v>45764</v>
      </c>
      <c r="E7223" s="338">
        <f t="shared" si="836"/>
        <v>45764</v>
      </c>
      <c r="F7223" s="475"/>
      <c r="G7223" s="339" t="s">
        <v>86</v>
      </c>
      <c r="H7223" s="340"/>
      <c r="I7223" s="340"/>
      <c r="J7223" s="345" t="s">
        <v>174</v>
      </c>
      <c r="K7223" s="346"/>
      <c r="L7223" s="346">
        <f>K7222</f>
        <v>19777.48</v>
      </c>
    </row>
    <row r="7224" spans="1:13" ht="11.25" customHeight="1" x14ac:dyDescent="0.2">
      <c r="A7224" s="358">
        <v>2025</v>
      </c>
      <c r="B7224" s="358">
        <v>4</v>
      </c>
      <c r="C7224" s="358">
        <v>17</v>
      </c>
      <c r="D7224" s="312">
        <f t="shared" si="833"/>
        <v>45764</v>
      </c>
      <c r="E7224" s="313">
        <f>DATE(A7224,B7224,C7224)</f>
        <v>45764</v>
      </c>
      <c r="F7224" s="482" t="s">
        <v>1627</v>
      </c>
      <c r="G7224" s="314" t="s">
        <v>86</v>
      </c>
      <c r="H7224" s="324"/>
      <c r="I7224" s="324"/>
      <c r="J7224" s="364" t="s">
        <v>1613</v>
      </c>
      <c r="K7224" s="365">
        <v>0</v>
      </c>
      <c r="L7224" s="365"/>
      <c r="M7224" s="156">
        <f>BS!$I$12</f>
        <v>0</v>
      </c>
    </row>
    <row r="7225" spans="1:13" ht="11.25" customHeight="1" x14ac:dyDescent="0.2">
      <c r="A7225" s="320">
        <v>2025</v>
      </c>
      <c r="B7225" s="320">
        <v>4</v>
      </c>
      <c r="C7225" s="320">
        <v>17</v>
      </c>
      <c r="D7225" s="323">
        <f t="shared" si="833"/>
        <v>45764</v>
      </c>
      <c r="E7225" s="321">
        <f t="shared" ref="E7225" si="837">DATE(A7225,B7225,C7225)</f>
        <v>45764</v>
      </c>
      <c r="F7225" s="483"/>
      <c r="G7225" s="322" t="s">
        <v>86</v>
      </c>
      <c r="H7225" s="325"/>
      <c r="I7225" s="325"/>
      <c r="J7225" s="366" t="s">
        <v>1621</v>
      </c>
      <c r="K7225" s="367"/>
      <c r="L7225" s="367">
        <f>K7224</f>
        <v>0</v>
      </c>
    </row>
    <row r="7226" spans="1:13" ht="11.25" customHeight="1" x14ac:dyDescent="0.2">
      <c r="A7226" s="358">
        <v>2025</v>
      </c>
      <c r="B7226" s="358">
        <v>4</v>
      </c>
      <c r="C7226" s="358">
        <v>17</v>
      </c>
      <c r="D7226" s="312">
        <f t="shared" si="833"/>
        <v>45764</v>
      </c>
      <c r="E7226" s="313">
        <f>DATE(A7226,B7226,C7226)</f>
        <v>45764</v>
      </c>
      <c r="F7226" s="482" t="s">
        <v>1713</v>
      </c>
      <c r="G7226" s="314" t="s">
        <v>86</v>
      </c>
      <c r="H7226" s="324"/>
      <c r="I7226" s="324"/>
      <c r="J7226" s="364" t="s">
        <v>1614</v>
      </c>
      <c r="K7226" s="365">
        <v>51027.990000005811</v>
      </c>
      <c r="L7226" s="365"/>
      <c r="M7226" s="156">
        <f>BS!$I$15</f>
        <v>0</v>
      </c>
    </row>
    <row r="7227" spans="1:13" ht="11.25" customHeight="1" x14ac:dyDescent="0.2">
      <c r="A7227" s="320">
        <v>2025</v>
      </c>
      <c r="B7227" s="320">
        <v>4</v>
      </c>
      <c r="C7227" s="320">
        <v>17</v>
      </c>
      <c r="D7227" s="323">
        <f t="shared" si="833"/>
        <v>45764</v>
      </c>
      <c r="E7227" s="321">
        <f t="shared" ref="E7227:E7278" si="838">DATE(A7227,B7227,C7227)</f>
        <v>45764</v>
      </c>
      <c r="F7227" s="483"/>
      <c r="G7227" s="322" t="s">
        <v>86</v>
      </c>
      <c r="H7227" s="325"/>
      <c r="I7227" s="325"/>
      <c r="J7227" s="366" t="s">
        <v>1622</v>
      </c>
      <c r="K7227" s="367"/>
      <c r="L7227" s="367">
        <f>K7226</f>
        <v>51027.990000005811</v>
      </c>
    </row>
    <row r="7228" spans="1:13" ht="11.25" customHeight="1" x14ac:dyDescent="0.2">
      <c r="A7228" s="236">
        <v>2025</v>
      </c>
      <c r="B7228" s="236">
        <v>4</v>
      </c>
      <c r="C7228" s="236">
        <v>17</v>
      </c>
      <c r="D7228" s="237">
        <f t="shared" si="833"/>
        <v>45764</v>
      </c>
      <c r="E7228" s="238">
        <f t="shared" si="838"/>
        <v>45764</v>
      </c>
      <c r="F7228" s="476" t="s">
        <v>1118</v>
      </c>
      <c r="G7228" s="239" t="s">
        <v>86</v>
      </c>
      <c r="H7228" s="239"/>
      <c r="I7228" s="240"/>
      <c r="J7228" s="241" t="s">
        <v>82</v>
      </c>
      <c r="K7228" s="242">
        <v>178782.97999998927</v>
      </c>
      <c r="L7228" s="242"/>
      <c r="M7228" s="156">
        <f>BS!$I$8</f>
        <v>0</v>
      </c>
    </row>
    <row r="7229" spans="1:13" ht="11.25" customHeight="1" x14ac:dyDescent="0.2">
      <c r="A7229" s="243">
        <v>2025</v>
      </c>
      <c r="B7229" s="243">
        <v>4</v>
      </c>
      <c r="C7229" s="243">
        <v>17</v>
      </c>
      <c r="D7229" s="248">
        <f t="shared" si="833"/>
        <v>45764</v>
      </c>
      <c r="E7229" s="249">
        <f t="shared" si="838"/>
        <v>45764</v>
      </c>
      <c r="F7229" s="477"/>
      <c r="G7229" s="244" t="s">
        <v>86</v>
      </c>
      <c r="H7229" s="244"/>
      <c r="I7229" s="245"/>
      <c r="J7229" s="246" t="s">
        <v>98</v>
      </c>
      <c r="K7229" s="247"/>
      <c r="L7229" s="247">
        <f>K7228</f>
        <v>178782.97999998927</v>
      </c>
    </row>
    <row r="7230" spans="1:13" ht="11.25" customHeight="1" x14ac:dyDescent="0.2">
      <c r="A7230" s="236">
        <v>2025</v>
      </c>
      <c r="B7230" s="236">
        <v>4</v>
      </c>
      <c r="C7230" s="236">
        <v>17</v>
      </c>
      <c r="D7230" s="237">
        <f t="shared" si="833"/>
        <v>45764</v>
      </c>
      <c r="E7230" s="238">
        <f t="shared" si="838"/>
        <v>45764</v>
      </c>
      <c r="F7230" s="476" t="s">
        <v>1120</v>
      </c>
      <c r="G7230" s="239" t="s">
        <v>86</v>
      </c>
      <c r="H7230" s="239"/>
      <c r="I7230" s="240"/>
      <c r="J7230" s="241" t="s">
        <v>87</v>
      </c>
      <c r="K7230" s="242">
        <v>2747.2527472527472</v>
      </c>
      <c r="L7230" s="242"/>
      <c r="M7230" s="401"/>
    </row>
    <row r="7231" spans="1:13" ht="11.25" customHeight="1" x14ac:dyDescent="0.2">
      <c r="A7231" s="243">
        <v>2025</v>
      </c>
      <c r="B7231" s="243">
        <v>4</v>
      </c>
      <c r="C7231" s="243">
        <v>17</v>
      </c>
      <c r="D7231" s="248">
        <f t="shared" si="833"/>
        <v>45764</v>
      </c>
      <c r="E7231" s="249">
        <f t="shared" si="838"/>
        <v>45764</v>
      </c>
      <c r="F7231" s="477"/>
      <c r="G7231" s="244" t="s">
        <v>86</v>
      </c>
      <c r="H7231" s="244"/>
      <c r="I7231" s="245"/>
      <c r="J7231" s="246" t="s">
        <v>64</v>
      </c>
      <c r="K7231" s="247"/>
      <c r="L7231" s="247">
        <f>K7230</f>
        <v>2747.2527472527472</v>
      </c>
    </row>
    <row r="7232" spans="1:13" ht="11.25" customHeight="1" x14ac:dyDescent="0.2">
      <c r="A7232" s="236">
        <v>2025</v>
      </c>
      <c r="B7232" s="236">
        <v>4</v>
      </c>
      <c r="C7232" s="236">
        <v>17</v>
      </c>
      <c r="D7232" s="237">
        <f t="shared" si="833"/>
        <v>45764</v>
      </c>
      <c r="E7232" s="238">
        <f t="shared" si="838"/>
        <v>45764</v>
      </c>
      <c r="F7232" s="476" t="s">
        <v>1121</v>
      </c>
      <c r="G7232" s="239" t="s">
        <v>86</v>
      </c>
      <c r="H7232" s="239"/>
      <c r="I7232" s="240"/>
      <c r="J7232" s="241" t="s">
        <v>89</v>
      </c>
      <c r="K7232" s="242">
        <f>M7232</f>
        <v>70975.919277477908</v>
      </c>
      <c r="L7232" s="242"/>
      <c r="M7232" s="156">
        <v>70975.919277477908</v>
      </c>
    </row>
    <row r="7233" spans="1:13" ht="11.25" customHeight="1" x14ac:dyDescent="0.2">
      <c r="A7233" s="243">
        <v>2025</v>
      </c>
      <c r="B7233" s="243">
        <v>4</v>
      </c>
      <c r="C7233" s="243">
        <v>17</v>
      </c>
      <c r="D7233" s="248">
        <f t="shared" si="833"/>
        <v>45764</v>
      </c>
      <c r="E7233" s="249">
        <f t="shared" si="838"/>
        <v>45764</v>
      </c>
      <c r="F7233" s="477"/>
      <c r="G7233" s="244" t="s">
        <v>86</v>
      </c>
      <c r="H7233" s="244"/>
      <c r="I7233" s="245"/>
      <c r="J7233" s="246" t="s">
        <v>50</v>
      </c>
      <c r="K7233" s="247"/>
      <c r="L7233" s="247">
        <f>K7232</f>
        <v>70975.919277477908</v>
      </c>
      <c r="M7233" s="156">
        <v>3308.41134848928</v>
      </c>
    </row>
    <row r="7234" spans="1:13" ht="11.25" customHeight="1" x14ac:dyDescent="0.2">
      <c r="A7234" s="236">
        <v>2025</v>
      </c>
      <c r="B7234" s="236">
        <v>4</v>
      </c>
      <c r="C7234" s="236">
        <v>17</v>
      </c>
      <c r="D7234" s="237">
        <f t="shared" si="833"/>
        <v>45764</v>
      </c>
      <c r="E7234" s="238">
        <f t="shared" si="838"/>
        <v>45764</v>
      </c>
      <c r="F7234" s="476" t="s">
        <v>1122</v>
      </c>
      <c r="G7234" s="239" t="s">
        <v>86</v>
      </c>
      <c r="H7234" s="239"/>
      <c r="I7234" s="240"/>
      <c r="J7234" s="241" t="s">
        <v>91</v>
      </c>
      <c r="K7234" s="242">
        <f>M7233</f>
        <v>3308.41134848928</v>
      </c>
      <c r="L7234" s="242"/>
    </row>
    <row r="7235" spans="1:13" ht="11.25" customHeight="1" x14ac:dyDescent="0.2">
      <c r="A7235" s="243">
        <v>2025</v>
      </c>
      <c r="B7235" s="243">
        <v>4</v>
      </c>
      <c r="C7235" s="243">
        <v>17</v>
      </c>
      <c r="D7235" s="248">
        <f t="shared" si="833"/>
        <v>45764</v>
      </c>
      <c r="E7235" s="249">
        <f t="shared" si="838"/>
        <v>45764</v>
      </c>
      <c r="F7235" s="477"/>
      <c r="G7235" s="244" t="s">
        <v>86</v>
      </c>
      <c r="H7235" s="244"/>
      <c r="I7235" s="245"/>
      <c r="J7235" s="246" t="s">
        <v>51</v>
      </c>
      <c r="K7235" s="247"/>
      <c r="L7235" s="247">
        <f>K7234</f>
        <v>3308.41134848928</v>
      </c>
    </row>
    <row r="7236" spans="1:13" ht="11.25" customHeight="1" x14ac:dyDescent="0.2">
      <c r="A7236" s="221">
        <v>2025</v>
      </c>
      <c r="B7236" s="221">
        <v>4</v>
      </c>
      <c r="C7236" s="231">
        <v>20</v>
      </c>
      <c r="D7236" s="231">
        <f t="shared" si="833"/>
        <v>45767</v>
      </c>
      <c r="E7236" s="233">
        <f t="shared" si="838"/>
        <v>45767</v>
      </c>
      <c r="F7236" s="478" t="s">
        <v>1814</v>
      </c>
      <c r="G7236" s="222" t="s">
        <v>1111</v>
      </c>
      <c r="H7236" s="223"/>
      <c r="I7236" s="223"/>
      <c r="J7236" s="224" t="s">
        <v>961</v>
      </c>
      <c r="K7236" s="225">
        <v>290021.09999999998</v>
      </c>
      <c r="L7236" s="225"/>
    </row>
    <row r="7237" spans="1:13" ht="11.25" customHeight="1" x14ac:dyDescent="0.2">
      <c r="A7237" s="226">
        <v>2025</v>
      </c>
      <c r="B7237" s="226">
        <v>4</v>
      </c>
      <c r="C7237" s="232">
        <v>20</v>
      </c>
      <c r="D7237" s="232">
        <f t="shared" si="833"/>
        <v>45767</v>
      </c>
      <c r="E7237" s="234">
        <f t="shared" si="838"/>
        <v>45767</v>
      </c>
      <c r="F7237" s="479"/>
      <c r="G7237" s="227" t="s">
        <v>1111</v>
      </c>
      <c r="H7237" s="228"/>
      <c r="I7237" s="228"/>
      <c r="J7237" s="229" t="s">
        <v>55</v>
      </c>
      <c r="K7237" s="230"/>
      <c r="L7237" s="230">
        <v>290021.09999999998</v>
      </c>
    </row>
    <row r="7238" spans="1:13" ht="11.25" customHeight="1" x14ac:dyDescent="0.2">
      <c r="A7238" s="221">
        <v>2025</v>
      </c>
      <c r="B7238" s="221">
        <v>4</v>
      </c>
      <c r="C7238" s="221">
        <v>20</v>
      </c>
      <c r="D7238" s="231">
        <f t="shared" si="833"/>
        <v>45767</v>
      </c>
      <c r="E7238" s="233">
        <f t="shared" si="838"/>
        <v>45767</v>
      </c>
      <c r="F7238" s="478" t="s">
        <v>1803</v>
      </c>
      <c r="G7238" s="222" t="s">
        <v>1111</v>
      </c>
      <c r="H7238" s="223"/>
      <c r="I7238" s="223"/>
      <c r="J7238" s="165" t="s">
        <v>55</v>
      </c>
      <c r="K7238" s="225">
        <v>115000</v>
      </c>
      <c r="L7238" s="225"/>
    </row>
    <row r="7239" spans="1:13" ht="11.25" customHeight="1" x14ac:dyDescent="0.2">
      <c r="A7239" s="226">
        <v>2025</v>
      </c>
      <c r="B7239" s="226">
        <v>4</v>
      </c>
      <c r="C7239" s="226">
        <v>20</v>
      </c>
      <c r="D7239" s="232">
        <f t="shared" si="833"/>
        <v>45767</v>
      </c>
      <c r="E7239" s="234">
        <f t="shared" si="838"/>
        <v>45767</v>
      </c>
      <c r="F7239" s="479"/>
      <c r="G7239" s="227" t="s">
        <v>1111</v>
      </c>
      <c r="H7239" s="228"/>
      <c r="I7239" s="228"/>
      <c r="J7239" s="229" t="s">
        <v>131</v>
      </c>
      <c r="K7239" s="230"/>
      <c r="L7239" s="230">
        <v>115000</v>
      </c>
    </row>
    <row r="7240" spans="1:13" ht="11.25" customHeight="1" x14ac:dyDescent="0.2">
      <c r="A7240" s="221">
        <v>2025</v>
      </c>
      <c r="B7240" s="221">
        <v>4</v>
      </c>
      <c r="C7240" s="221">
        <v>20</v>
      </c>
      <c r="D7240" s="231">
        <f t="shared" si="833"/>
        <v>45767</v>
      </c>
      <c r="E7240" s="233">
        <f t="shared" si="838"/>
        <v>45767</v>
      </c>
      <c r="F7240" s="478" t="s">
        <v>1719</v>
      </c>
      <c r="G7240" s="222" t="s">
        <v>1111</v>
      </c>
      <c r="H7240" s="223"/>
      <c r="I7240" s="223"/>
      <c r="J7240" s="224" t="s">
        <v>63</v>
      </c>
      <c r="K7240" s="225">
        <v>10</v>
      </c>
      <c r="L7240" s="225"/>
    </row>
    <row r="7241" spans="1:13" ht="11.25" customHeight="1" x14ac:dyDescent="0.2">
      <c r="A7241" s="226">
        <v>2025</v>
      </c>
      <c r="B7241" s="164">
        <v>4</v>
      </c>
      <c r="C7241" s="164">
        <v>20</v>
      </c>
      <c r="D7241" s="232">
        <f t="shared" ref="D7241:D7304" si="839">DATE(A7241,B7241,C7241)</f>
        <v>45767</v>
      </c>
      <c r="E7241" s="234">
        <f t="shared" si="838"/>
        <v>45767</v>
      </c>
      <c r="F7241" s="479"/>
      <c r="G7241" s="227" t="s">
        <v>1111</v>
      </c>
      <c r="H7241" s="228"/>
      <c r="I7241" s="228"/>
      <c r="J7241" s="229" t="s">
        <v>55</v>
      </c>
      <c r="K7241" s="230"/>
      <c r="L7241" s="230">
        <v>10</v>
      </c>
    </row>
    <row r="7242" spans="1:13" ht="11.25" customHeight="1" x14ac:dyDescent="0.2">
      <c r="A7242" s="221">
        <v>2025</v>
      </c>
      <c r="B7242" s="221">
        <v>4</v>
      </c>
      <c r="C7242" s="221">
        <v>20</v>
      </c>
      <c r="D7242" s="231">
        <f t="shared" si="839"/>
        <v>45767</v>
      </c>
      <c r="E7242" s="233">
        <f t="shared" si="838"/>
        <v>45767</v>
      </c>
      <c r="F7242" s="478" t="s">
        <v>1670</v>
      </c>
      <c r="G7242" s="222" t="s">
        <v>1111</v>
      </c>
      <c r="H7242" s="223"/>
      <c r="I7242" s="223"/>
      <c r="J7242" s="224" t="s">
        <v>63</v>
      </c>
      <c r="K7242" s="225">
        <v>58</v>
      </c>
      <c r="L7242" s="225"/>
    </row>
    <row r="7243" spans="1:13" ht="11.25" customHeight="1" x14ac:dyDescent="0.2">
      <c r="A7243" s="226">
        <v>2025</v>
      </c>
      <c r="B7243" s="226">
        <v>4</v>
      </c>
      <c r="C7243" s="226">
        <v>20</v>
      </c>
      <c r="D7243" s="232">
        <f t="shared" si="839"/>
        <v>45767</v>
      </c>
      <c r="E7243" s="234">
        <f t="shared" si="838"/>
        <v>45767</v>
      </c>
      <c r="F7243" s="479"/>
      <c r="G7243" s="227" t="s">
        <v>1111</v>
      </c>
      <c r="H7243" s="228"/>
      <c r="I7243" s="228"/>
      <c r="J7243" s="229" t="s">
        <v>55</v>
      </c>
      <c r="K7243" s="230"/>
      <c r="L7243" s="230">
        <v>58</v>
      </c>
    </row>
    <row r="7244" spans="1:13" ht="11.25" customHeight="1" x14ac:dyDescent="0.2">
      <c r="A7244" s="221">
        <v>2025</v>
      </c>
      <c r="B7244" s="221">
        <v>4</v>
      </c>
      <c r="C7244" s="221">
        <v>21</v>
      </c>
      <c r="D7244" s="221">
        <f t="shared" si="839"/>
        <v>45768</v>
      </c>
      <c r="E7244" s="233">
        <f t="shared" si="838"/>
        <v>45768</v>
      </c>
      <c r="F7244" s="478" t="s">
        <v>1769</v>
      </c>
      <c r="G7244" s="222" t="s">
        <v>86</v>
      </c>
      <c r="H7244" s="222"/>
      <c r="I7244" s="223"/>
      <c r="J7244" s="224" t="s">
        <v>80</v>
      </c>
      <c r="K7244" s="225">
        <v>428900</v>
      </c>
      <c r="L7244" s="225"/>
    </row>
    <row r="7245" spans="1:13" ht="11.25" customHeight="1" x14ac:dyDescent="0.2">
      <c r="A7245" s="164">
        <v>2025</v>
      </c>
      <c r="B7245" s="164">
        <v>4</v>
      </c>
      <c r="C7245" s="164">
        <v>21</v>
      </c>
      <c r="D7245" s="164">
        <f t="shared" si="839"/>
        <v>45768</v>
      </c>
      <c r="E7245" s="235">
        <f t="shared" si="838"/>
        <v>45768</v>
      </c>
      <c r="F7245" s="480"/>
      <c r="G7245" s="208" t="s">
        <v>86</v>
      </c>
      <c r="H7245" s="208"/>
      <c r="J7245" s="165" t="s">
        <v>960</v>
      </c>
      <c r="K7245" s="205">
        <v>6946.1</v>
      </c>
      <c r="L7245" s="205"/>
    </row>
    <row r="7246" spans="1:13" ht="11.25" customHeight="1" x14ac:dyDescent="0.2">
      <c r="A7246" s="164">
        <v>2025</v>
      </c>
      <c r="B7246" s="164">
        <v>4</v>
      </c>
      <c r="C7246" s="164">
        <v>21</v>
      </c>
      <c r="D7246" s="164">
        <f t="shared" si="839"/>
        <v>45768</v>
      </c>
      <c r="E7246" s="235">
        <f t="shared" si="838"/>
        <v>45768</v>
      </c>
      <c r="F7246" s="480"/>
      <c r="G7246" s="208" t="s">
        <v>86</v>
      </c>
      <c r="H7246" s="208"/>
      <c r="J7246" s="165" t="s">
        <v>199</v>
      </c>
      <c r="K7246" s="205">
        <v>2994229</v>
      </c>
      <c r="L7246" s="205"/>
    </row>
    <row r="7247" spans="1:13" ht="11.25" customHeight="1" x14ac:dyDescent="0.2">
      <c r="A7247" s="164">
        <v>2025</v>
      </c>
      <c r="B7247" s="164">
        <v>4</v>
      </c>
      <c r="C7247" s="164">
        <v>21</v>
      </c>
      <c r="D7247" s="164">
        <f t="shared" si="839"/>
        <v>45768</v>
      </c>
      <c r="E7247" s="235">
        <f t="shared" si="838"/>
        <v>45768</v>
      </c>
      <c r="F7247" s="480"/>
      <c r="G7247" s="208" t="s">
        <v>86</v>
      </c>
      <c r="H7247" s="208"/>
      <c r="J7247" s="165" t="s">
        <v>200</v>
      </c>
      <c r="K7247" s="263">
        <v>86311.24</v>
      </c>
      <c r="L7247" s="205"/>
    </row>
    <row r="7248" spans="1:13" ht="11.25" customHeight="1" x14ac:dyDescent="0.2">
      <c r="A7248" s="226">
        <v>2025</v>
      </c>
      <c r="B7248" s="226">
        <v>4</v>
      </c>
      <c r="C7248" s="226">
        <v>21</v>
      </c>
      <c r="D7248" s="226">
        <f t="shared" si="839"/>
        <v>45768</v>
      </c>
      <c r="E7248" s="234">
        <f t="shared" si="838"/>
        <v>45768</v>
      </c>
      <c r="F7248" s="479"/>
      <c r="G7248" s="227" t="s">
        <v>86</v>
      </c>
      <c r="H7248" s="228"/>
      <c r="I7248" s="228"/>
      <c r="J7248" s="229" t="s">
        <v>80</v>
      </c>
      <c r="K7248" s="230"/>
      <c r="L7248" s="230">
        <v>3516386.34</v>
      </c>
    </row>
    <row r="7249" spans="1:12" ht="11.25" customHeight="1" x14ac:dyDescent="0.2">
      <c r="A7249" s="221">
        <v>2025</v>
      </c>
      <c r="B7249" s="221">
        <v>4</v>
      </c>
      <c r="C7249" s="231">
        <v>21</v>
      </c>
      <c r="D7249" s="231">
        <f t="shared" si="839"/>
        <v>45768</v>
      </c>
      <c r="E7249" s="233">
        <f t="shared" si="838"/>
        <v>45768</v>
      </c>
      <c r="F7249" s="478" t="s">
        <v>1862</v>
      </c>
      <c r="G7249" s="222" t="s">
        <v>1111</v>
      </c>
      <c r="H7249" s="223"/>
      <c r="I7249" s="223"/>
      <c r="J7249" s="224" t="s">
        <v>55</v>
      </c>
      <c r="K7249" s="225">
        <v>125175</v>
      </c>
      <c r="L7249" s="225"/>
    </row>
    <row r="7250" spans="1:12" ht="11.25" customHeight="1" x14ac:dyDescent="0.2">
      <c r="A7250" s="226">
        <v>2025</v>
      </c>
      <c r="B7250" s="226">
        <v>4</v>
      </c>
      <c r="C7250" s="232">
        <v>21</v>
      </c>
      <c r="D7250" s="232">
        <f t="shared" si="839"/>
        <v>45768</v>
      </c>
      <c r="E7250" s="234">
        <f t="shared" si="838"/>
        <v>45768</v>
      </c>
      <c r="F7250" s="479"/>
      <c r="G7250" s="227" t="s">
        <v>1111</v>
      </c>
      <c r="H7250" s="228"/>
      <c r="I7250" s="228"/>
      <c r="J7250" s="229" t="s">
        <v>192</v>
      </c>
      <c r="K7250" s="230"/>
      <c r="L7250" s="230">
        <v>125175</v>
      </c>
    </row>
    <row r="7251" spans="1:12" ht="11.25" customHeight="1" x14ac:dyDescent="0.2">
      <c r="A7251" s="221">
        <v>2025</v>
      </c>
      <c r="B7251" s="221">
        <v>4</v>
      </c>
      <c r="C7251" s="221">
        <v>21</v>
      </c>
      <c r="D7251" s="231">
        <f t="shared" si="839"/>
        <v>45768</v>
      </c>
      <c r="E7251" s="233">
        <f t="shared" ref="E7251:E7254" si="840">DATE(A7251,B7251,C7251)</f>
        <v>45768</v>
      </c>
      <c r="F7251" s="478" t="s">
        <v>1863</v>
      </c>
      <c r="G7251" s="222" t="s">
        <v>1111</v>
      </c>
      <c r="H7251" s="223"/>
      <c r="I7251" s="223"/>
      <c r="J7251" s="165" t="s">
        <v>55</v>
      </c>
      <c r="K7251" s="225">
        <v>275625</v>
      </c>
      <c r="L7251" s="225"/>
    </row>
    <row r="7252" spans="1:12" ht="11.25" customHeight="1" x14ac:dyDescent="0.2">
      <c r="A7252" s="226">
        <v>2025</v>
      </c>
      <c r="B7252" s="226">
        <v>4</v>
      </c>
      <c r="C7252" s="226">
        <v>21</v>
      </c>
      <c r="D7252" s="232">
        <f t="shared" si="839"/>
        <v>45768</v>
      </c>
      <c r="E7252" s="234">
        <f t="shared" si="840"/>
        <v>45768</v>
      </c>
      <c r="F7252" s="479"/>
      <c r="G7252" s="227" t="s">
        <v>1111</v>
      </c>
      <c r="H7252" s="228"/>
      <c r="I7252" s="228"/>
      <c r="J7252" s="229" t="s">
        <v>131</v>
      </c>
      <c r="K7252" s="230"/>
      <c r="L7252" s="230">
        <v>275625</v>
      </c>
    </row>
    <row r="7253" spans="1:12" ht="11.25" customHeight="1" x14ac:dyDescent="0.2">
      <c r="A7253" s="221">
        <v>2025</v>
      </c>
      <c r="B7253" s="221">
        <v>4</v>
      </c>
      <c r="C7253" s="221">
        <v>21</v>
      </c>
      <c r="D7253" s="231">
        <f t="shared" si="839"/>
        <v>45768</v>
      </c>
      <c r="E7253" s="233">
        <f t="shared" si="840"/>
        <v>45768</v>
      </c>
      <c r="F7253" s="478" t="s">
        <v>1867</v>
      </c>
      <c r="G7253" s="222" t="s">
        <v>1111</v>
      </c>
      <c r="H7253" s="223"/>
      <c r="I7253" s="223"/>
      <c r="J7253" s="224" t="s">
        <v>192</v>
      </c>
      <c r="K7253" s="225">
        <v>726516.24</v>
      </c>
      <c r="L7253" s="225"/>
    </row>
    <row r="7254" spans="1:12" ht="11.25" customHeight="1" x14ac:dyDescent="0.2">
      <c r="A7254" s="226">
        <v>2025</v>
      </c>
      <c r="B7254" s="226">
        <v>4</v>
      </c>
      <c r="C7254" s="226">
        <v>21</v>
      </c>
      <c r="D7254" s="232">
        <f t="shared" si="839"/>
        <v>45768</v>
      </c>
      <c r="E7254" s="234">
        <f t="shared" si="840"/>
        <v>45768</v>
      </c>
      <c r="F7254" s="479"/>
      <c r="G7254" s="227" t="s">
        <v>1111</v>
      </c>
      <c r="H7254" s="228"/>
      <c r="I7254" s="228"/>
      <c r="J7254" s="229" t="s">
        <v>191</v>
      </c>
      <c r="K7254" s="230"/>
      <c r="L7254" s="230">
        <v>726516.24</v>
      </c>
    </row>
    <row r="7255" spans="1:12" ht="11.25" customHeight="1" x14ac:dyDescent="0.2">
      <c r="A7255" s="221">
        <v>2025</v>
      </c>
      <c r="B7255" s="221">
        <v>4</v>
      </c>
      <c r="C7255" s="221">
        <v>22</v>
      </c>
      <c r="D7255" s="221">
        <f t="shared" si="839"/>
        <v>45769</v>
      </c>
      <c r="E7255" s="233">
        <f t="shared" ref="E7255:E7268" si="841">DATE(A7255,B7255,C7255)</f>
        <v>45769</v>
      </c>
      <c r="F7255" s="478" t="s">
        <v>1804</v>
      </c>
      <c r="G7255" s="222" t="s">
        <v>86</v>
      </c>
      <c r="H7255" s="222"/>
      <c r="I7255" s="223"/>
      <c r="J7255" s="224" t="s">
        <v>80</v>
      </c>
      <c r="K7255" s="225">
        <v>428400</v>
      </c>
      <c r="L7255" s="225"/>
    </row>
    <row r="7256" spans="1:12" ht="11.25" customHeight="1" x14ac:dyDescent="0.2">
      <c r="A7256" s="164">
        <v>2025</v>
      </c>
      <c r="B7256" s="164">
        <v>4</v>
      </c>
      <c r="C7256" s="164">
        <v>22</v>
      </c>
      <c r="D7256" s="164">
        <f t="shared" si="839"/>
        <v>45769</v>
      </c>
      <c r="E7256" s="235">
        <f t="shared" si="841"/>
        <v>45769</v>
      </c>
      <c r="F7256" s="480"/>
      <c r="G7256" s="208" t="s">
        <v>86</v>
      </c>
      <c r="H7256" s="208"/>
      <c r="J7256" s="165" t="s">
        <v>960</v>
      </c>
      <c r="K7256" s="205">
        <v>3171.3</v>
      </c>
      <c r="L7256" s="205"/>
    </row>
    <row r="7257" spans="1:12" ht="11.25" customHeight="1" x14ac:dyDescent="0.2">
      <c r="A7257" s="164">
        <v>2025</v>
      </c>
      <c r="B7257" s="164">
        <v>4</v>
      </c>
      <c r="C7257" s="164">
        <v>22</v>
      </c>
      <c r="D7257" s="164">
        <f t="shared" si="839"/>
        <v>45769</v>
      </c>
      <c r="E7257" s="235">
        <f t="shared" si="841"/>
        <v>45769</v>
      </c>
      <c r="F7257" s="480"/>
      <c r="G7257" s="208" t="s">
        <v>86</v>
      </c>
      <c r="H7257" s="208"/>
      <c r="J7257" s="165" t="s">
        <v>199</v>
      </c>
      <c r="K7257" s="205">
        <v>901863.8</v>
      </c>
      <c r="L7257" s="205"/>
    </row>
    <row r="7258" spans="1:12" ht="11.25" customHeight="1" x14ac:dyDescent="0.2">
      <c r="A7258" s="164">
        <v>2025</v>
      </c>
      <c r="B7258" s="164">
        <v>4</v>
      </c>
      <c r="C7258" s="164">
        <v>22</v>
      </c>
      <c r="D7258" s="164">
        <f t="shared" si="839"/>
        <v>45769</v>
      </c>
      <c r="E7258" s="235">
        <f t="shared" si="841"/>
        <v>45769</v>
      </c>
      <c r="F7258" s="480"/>
      <c r="G7258" s="208" t="s">
        <v>86</v>
      </c>
      <c r="H7258" s="208"/>
      <c r="J7258" s="165" t="s">
        <v>200</v>
      </c>
      <c r="K7258" s="263">
        <v>94886.16</v>
      </c>
      <c r="L7258" s="205"/>
    </row>
    <row r="7259" spans="1:12" ht="11.25" customHeight="1" x14ac:dyDescent="0.2">
      <c r="A7259" s="226">
        <v>2025</v>
      </c>
      <c r="B7259" s="226">
        <v>4</v>
      </c>
      <c r="C7259" s="226">
        <v>22</v>
      </c>
      <c r="D7259" s="226">
        <f t="shared" si="839"/>
        <v>45769</v>
      </c>
      <c r="E7259" s="234">
        <f t="shared" si="841"/>
        <v>45769</v>
      </c>
      <c r="F7259" s="479"/>
      <c r="G7259" s="227" t="s">
        <v>86</v>
      </c>
      <c r="H7259" s="228"/>
      <c r="I7259" s="228"/>
      <c r="J7259" s="229" t="s">
        <v>80</v>
      </c>
      <c r="K7259" s="230"/>
      <c r="L7259" s="230">
        <v>1428321.26</v>
      </c>
    </row>
    <row r="7260" spans="1:12" ht="11.25" customHeight="1" x14ac:dyDescent="0.2">
      <c r="A7260" s="221">
        <v>2025</v>
      </c>
      <c r="B7260" s="221">
        <v>4</v>
      </c>
      <c r="C7260" s="221">
        <v>22</v>
      </c>
      <c r="D7260" s="231">
        <f t="shared" si="839"/>
        <v>45769</v>
      </c>
      <c r="E7260" s="233">
        <f t="shared" si="841"/>
        <v>45769</v>
      </c>
      <c r="F7260" s="478" t="s">
        <v>1142</v>
      </c>
      <c r="G7260" s="222" t="s">
        <v>1111</v>
      </c>
      <c r="H7260" s="223"/>
      <c r="I7260" s="223"/>
      <c r="J7260" s="224" t="s">
        <v>189</v>
      </c>
      <c r="K7260" s="225">
        <v>1575</v>
      </c>
      <c r="L7260" s="225"/>
    </row>
    <row r="7261" spans="1:12" ht="11.25" customHeight="1" x14ac:dyDescent="0.2">
      <c r="A7261" s="164">
        <v>2025</v>
      </c>
      <c r="B7261" s="164">
        <v>4</v>
      </c>
      <c r="C7261" s="164">
        <v>22</v>
      </c>
      <c r="D7261" s="156">
        <f t="shared" si="839"/>
        <v>45769</v>
      </c>
      <c r="E7261" s="235">
        <f t="shared" si="841"/>
        <v>45769</v>
      </c>
      <c r="F7261" s="480"/>
      <c r="G7261" s="208" t="s">
        <v>1111</v>
      </c>
      <c r="J7261" s="165" t="s">
        <v>1707</v>
      </c>
      <c r="K7261" s="205"/>
      <c r="L7261" s="205">
        <v>150</v>
      </c>
    </row>
    <row r="7262" spans="1:12" ht="11.25" customHeight="1" x14ac:dyDescent="0.2">
      <c r="A7262" s="226">
        <v>2025</v>
      </c>
      <c r="B7262" s="226">
        <v>4</v>
      </c>
      <c r="C7262" s="226">
        <v>22</v>
      </c>
      <c r="D7262" s="232">
        <f t="shared" si="839"/>
        <v>45769</v>
      </c>
      <c r="E7262" s="234">
        <f t="shared" si="841"/>
        <v>45769</v>
      </c>
      <c r="F7262" s="479"/>
      <c r="G7262" s="227" t="s">
        <v>1111</v>
      </c>
      <c r="H7262" s="228"/>
      <c r="I7262" s="228"/>
      <c r="J7262" s="229" t="s">
        <v>55</v>
      </c>
      <c r="K7262" s="230"/>
      <c r="L7262" s="230">
        <v>1425</v>
      </c>
    </row>
    <row r="7263" spans="1:12" ht="11.25" customHeight="1" x14ac:dyDescent="0.2">
      <c r="A7263" s="164">
        <v>2025</v>
      </c>
      <c r="B7263" s="164">
        <v>4</v>
      </c>
      <c r="C7263" s="221">
        <v>22</v>
      </c>
      <c r="D7263" s="156">
        <f t="shared" si="839"/>
        <v>45769</v>
      </c>
      <c r="E7263" s="235">
        <f t="shared" si="841"/>
        <v>45769</v>
      </c>
      <c r="F7263" s="478" t="s">
        <v>1808</v>
      </c>
      <c r="G7263" s="208" t="s">
        <v>1111</v>
      </c>
      <c r="J7263" s="165" t="s">
        <v>478</v>
      </c>
      <c r="K7263" s="205">
        <v>1326305.44</v>
      </c>
      <c r="L7263" s="205"/>
    </row>
    <row r="7264" spans="1:12" ht="11.25" customHeight="1" x14ac:dyDescent="0.2">
      <c r="A7264" s="164">
        <v>2025</v>
      </c>
      <c r="B7264" s="164">
        <v>4</v>
      </c>
      <c r="C7264" s="164">
        <v>22</v>
      </c>
      <c r="D7264" s="156">
        <f t="shared" si="839"/>
        <v>45769</v>
      </c>
      <c r="E7264" s="235">
        <f t="shared" si="841"/>
        <v>45769</v>
      </c>
      <c r="F7264" s="480"/>
      <c r="G7264" s="208" t="s">
        <v>1111</v>
      </c>
      <c r="J7264" s="165" t="s">
        <v>1708</v>
      </c>
      <c r="K7264" s="205">
        <v>250</v>
      </c>
      <c r="L7264" s="205"/>
    </row>
    <row r="7265" spans="1:13" ht="11.25" customHeight="1" x14ac:dyDescent="0.2">
      <c r="A7265" s="164">
        <v>2025</v>
      </c>
      <c r="B7265" s="164">
        <v>4</v>
      </c>
      <c r="C7265" s="164">
        <v>22</v>
      </c>
      <c r="D7265" s="156">
        <f t="shared" si="839"/>
        <v>45769</v>
      </c>
      <c r="E7265" s="235">
        <f t="shared" ref="E7265" si="842">DATE(A7265,B7265,C7265)</f>
        <v>45769</v>
      </c>
      <c r="F7265" s="480"/>
      <c r="G7265" s="208" t="s">
        <v>1111</v>
      </c>
      <c r="J7265" s="165" t="s">
        <v>1707</v>
      </c>
      <c r="K7265" s="205">
        <v>150</v>
      </c>
      <c r="L7265" s="205"/>
    </row>
    <row r="7266" spans="1:13" ht="11.25" customHeight="1" x14ac:dyDescent="0.2">
      <c r="A7266" s="226">
        <v>2025</v>
      </c>
      <c r="B7266" s="226">
        <v>4</v>
      </c>
      <c r="C7266" s="226">
        <v>22</v>
      </c>
      <c r="D7266" s="232">
        <f t="shared" si="839"/>
        <v>45769</v>
      </c>
      <c r="E7266" s="234">
        <f t="shared" si="841"/>
        <v>45769</v>
      </c>
      <c r="F7266" s="479"/>
      <c r="G7266" s="227" t="s">
        <v>1111</v>
      </c>
      <c r="H7266" s="228"/>
      <c r="I7266" s="228"/>
      <c r="J7266" s="229" t="s">
        <v>55</v>
      </c>
      <c r="K7266" s="230"/>
      <c r="L7266" s="230">
        <v>1326705.44</v>
      </c>
    </row>
    <row r="7267" spans="1:13" ht="11.25" customHeight="1" x14ac:dyDescent="0.2">
      <c r="A7267" s="221">
        <v>2025</v>
      </c>
      <c r="B7267" s="221">
        <v>4</v>
      </c>
      <c r="C7267" s="221">
        <v>22</v>
      </c>
      <c r="D7267" s="231">
        <f t="shared" si="839"/>
        <v>45769</v>
      </c>
      <c r="E7267" s="233">
        <f t="shared" si="841"/>
        <v>45769</v>
      </c>
      <c r="F7267" s="478" t="s">
        <v>1921</v>
      </c>
      <c r="G7267" s="222" t="s">
        <v>1111</v>
      </c>
      <c r="H7267" s="223"/>
      <c r="I7267" s="223"/>
      <c r="J7267" s="224" t="s">
        <v>63</v>
      </c>
      <c r="K7267" s="225">
        <v>100</v>
      </c>
      <c r="L7267" s="225"/>
    </row>
    <row r="7268" spans="1:13" ht="11.25" customHeight="1" x14ac:dyDescent="0.2">
      <c r="A7268" s="226">
        <v>2025</v>
      </c>
      <c r="B7268" s="164">
        <v>4</v>
      </c>
      <c r="C7268" s="164">
        <v>22</v>
      </c>
      <c r="D7268" s="232">
        <f t="shared" si="839"/>
        <v>45769</v>
      </c>
      <c r="E7268" s="234">
        <f t="shared" si="841"/>
        <v>45769</v>
      </c>
      <c r="F7268" s="479"/>
      <c r="G7268" s="227" t="s">
        <v>1111</v>
      </c>
      <c r="H7268" s="228"/>
      <c r="I7268" s="228"/>
      <c r="J7268" s="229" t="s">
        <v>55</v>
      </c>
      <c r="K7268" s="230"/>
      <c r="L7268" s="230">
        <v>100</v>
      </c>
    </row>
    <row r="7269" spans="1:13" ht="11.25" customHeight="1" x14ac:dyDescent="0.2">
      <c r="A7269" s="164">
        <v>2025</v>
      </c>
      <c r="B7269" s="164">
        <v>4</v>
      </c>
      <c r="C7269" s="164">
        <v>23</v>
      </c>
      <c r="D7269" s="164">
        <f t="shared" si="839"/>
        <v>45770</v>
      </c>
      <c r="E7269" s="235">
        <f t="shared" si="838"/>
        <v>45770</v>
      </c>
      <c r="F7269" s="480" t="s">
        <v>1589</v>
      </c>
      <c r="G7269" s="208" t="s">
        <v>86</v>
      </c>
      <c r="H7269" s="208"/>
      <c r="J7269" s="165" t="s">
        <v>199</v>
      </c>
      <c r="K7269" s="205">
        <v>1281499.6399999999</v>
      </c>
      <c r="L7269" s="205"/>
    </row>
    <row r="7270" spans="1:13" ht="11.25" customHeight="1" x14ac:dyDescent="0.2">
      <c r="A7270" s="164">
        <v>2025</v>
      </c>
      <c r="B7270" s="164">
        <v>4</v>
      </c>
      <c r="C7270" s="164">
        <v>23</v>
      </c>
      <c r="D7270" s="164">
        <f t="shared" si="839"/>
        <v>45770</v>
      </c>
      <c r="E7270" s="235">
        <f t="shared" si="838"/>
        <v>45770</v>
      </c>
      <c r="F7270" s="480"/>
      <c r="G7270" s="208" t="s">
        <v>86</v>
      </c>
      <c r="H7270" s="208"/>
      <c r="J7270" s="165" t="s">
        <v>960</v>
      </c>
      <c r="K7270" s="205">
        <v>2310.86</v>
      </c>
      <c r="L7270" s="205"/>
      <c r="M7270" s="401"/>
    </row>
    <row r="7271" spans="1:13" ht="11.25" customHeight="1" x14ac:dyDescent="0.2">
      <c r="A7271" s="164">
        <v>2025</v>
      </c>
      <c r="B7271" s="164">
        <v>4</v>
      </c>
      <c r="C7271" s="164">
        <v>23</v>
      </c>
      <c r="D7271" s="164">
        <f t="shared" si="839"/>
        <v>45770</v>
      </c>
      <c r="E7271" s="235">
        <f t="shared" si="838"/>
        <v>45770</v>
      </c>
      <c r="F7271" s="480"/>
      <c r="G7271" s="208" t="s">
        <v>86</v>
      </c>
      <c r="H7271" s="208"/>
      <c r="J7271" s="165" t="s">
        <v>200</v>
      </c>
      <c r="K7271" s="205">
        <v>36788.339999999997</v>
      </c>
      <c r="L7271" s="205"/>
    </row>
    <row r="7272" spans="1:13" ht="11.25" customHeight="1" x14ac:dyDescent="0.2">
      <c r="A7272" s="226">
        <v>2025</v>
      </c>
      <c r="B7272" s="226">
        <v>4</v>
      </c>
      <c r="C7272" s="226">
        <v>23</v>
      </c>
      <c r="D7272" s="226">
        <f t="shared" si="839"/>
        <v>45770</v>
      </c>
      <c r="E7272" s="234">
        <f t="shared" si="838"/>
        <v>45770</v>
      </c>
      <c r="F7272" s="479"/>
      <c r="G7272" s="227" t="s">
        <v>86</v>
      </c>
      <c r="H7272" s="228"/>
      <c r="I7272" s="228"/>
      <c r="J7272" s="229" t="s">
        <v>80</v>
      </c>
      <c r="K7272" s="230"/>
      <c r="L7272" s="230">
        <v>1320598.8400000001</v>
      </c>
    </row>
    <row r="7273" spans="1:13" ht="11.25" customHeight="1" x14ac:dyDescent="0.2">
      <c r="A7273" s="221">
        <v>2025</v>
      </c>
      <c r="B7273" s="221">
        <v>4</v>
      </c>
      <c r="C7273" s="221">
        <v>23</v>
      </c>
      <c r="D7273" s="231">
        <f t="shared" si="839"/>
        <v>45770</v>
      </c>
      <c r="E7273" s="233">
        <f t="shared" si="838"/>
        <v>45770</v>
      </c>
      <c r="F7273" s="478" t="s">
        <v>1864</v>
      </c>
      <c r="G7273" s="222" t="s">
        <v>1111</v>
      </c>
      <c r="H7273" s="222"/>
      <c r="I7273" s="223"/>
      <c r="J7273" s="224" t="s">
        <v>1615</v>
      </c>
      <c r="K7273" s="357">
        <v>1085824.96</v>
      </c>
      <c r="L7273" s="225"/>
    </row>
    <row r="7274" spans="1:13" ht="11.25" customHeight="1" x14ac:dyDescent="0.2">
      <c r="A7274" s="226">
        <v>2025</v>
      </c>
      <c r="B7274" s="226">
        <v>4</v>
      </c>
      <c r="C7274" s="226">
        <v>23</v>
      </c>
      <c r="D7274" s="226">
        <f t="shared" si="839"/>
        <v>45770</v>
      </c>
      <c r="E7274" s="234">
        <f t="shared" si="838"/>
        <v>45770</v>
      </c>
      <c r="F7274" s="479"/>
      <c r="G7274" s="227" t="s">
        <v>1111</v>
      </c>
      <c r="H7274" s="227"/>
      <c r="I7274" s="228"/>
      <c r="J7274" s="229" t="s">
        <v>55</v>
      </c>
      <c r="K7274" s="294"/>
      <c r="L7274" s="230">
        <v>1085824.96</v>
      </c>
    </row>
    <row r="7275" spans="1:13" ht="11.25" customHeight="1" x14ac:dyDescent="0.2">
      <c r="A7275" s="221">
        <v>2025</v>
      </c>
      <c r="B7275" s="221">
        <v>4</v>
      </c>
      <c r="C7275" s="221">
        <v>23</v>
      </c>
      <c r="D7275" s="231">
        <f t="shared" si="839"/>
        <v>45770</v>
      </c>
      <c r="E7275" s="233">
        <f t="shared" si="838"/>
        <v>45770</v>
      </c>
      <c r="F7275" s="478" t="s">
        <v>1843</v>
      </c>
      <c r="G7275" s="222" t="s">
        <v>1111</v>
      </c>
      <c r="H7275" s="223"/>
      <c r="I7275" s="223"/>
      <c r="J7275" s="224" t="s">
        <v>55</v>
      </c>
      <c r="K7275" s="225">
        <v>2994229</v>
      </c>
      <c r="L7275" s="225"/>
    </row>
    <row r="7276" spans="1:13" ht="11.25" customHeight="1" x14ac:dyDescent="0.2">
      <c r="A7276" s="226">
        <v>2025</v>
      </c>
      <c r="B7276" s="226">
        <v>4</v>
      </c>
      <c r="C7276" s="226">
        <v>23</v>
      </c>
      <c r="D7276" s="232">
        <f t="shared" si="839"/>
        <v>45770</v>
      </c>
      <c r="E7276" s="234">
        <f t="shared" si="838"/>
        <v>45770</v>
      </c>
      <c r="F7276" s="479"/>
      <c r="G7276" s="227" t="s">
        <v>1111</v>
      </c>
      <c r="H7276" s="228"/>
      <c r="I7276" s="228"/>
      <c r="J7276" s="229" t="s">
        <v>199</v>
      </c>
      <c r="K7276" s="230"/>
      <c r="L7276" s="230">
        <v>2994229</v>
      </c>
    </row>
    <row r="7277" spans="1:13" ht="11.25" customHeight="1" x14ac:dyDescent="0.2">
      <c r="A7277" s="221">
        <v>2025</v>
      </c>
      <c r="B7277" s="221">
        <v>4</v>
      </c>
      <c r="C7277" s="221">
        <v>23</v>
      </c>
      <c r="D7277" s="231">
        <f t="shared" si="839"/>
        <v>45770</v>
      </c>
      <c r="E7277" s="233">
        <f t="shared" si="838"/>
        <v>45770</v>
      </c>
      <c r="F7277" s="478" t="s">
        <v>1866</v>
      </c>
      <c r="G7277" s="222" t="s">
        <v>1111</v>
      </c>
      <c r="H7277" s="223"/>
      <c r="I7277" s="223"/>
      <c r="J7277" s="224" t="s">
        <v>192</v>
      </c>
      <c r="K7277" s="225">
        <v>509582.45</v>
      </c>
      <c r="L7277" s="225"/>
    </row>
    <row r="7278" spans="1:13" ht="11.25" customHeight="1" x14ac:dyDescent="0.2">
      <c r="A7278" s="226">
        <v>2025</v>
      </c>
      <c r="B7278" s="226">
        <v>4</v>
      </c>
      <c r="C7278" s="226">
        <v>23</v>
      </c>
      <c r="D7278" s="232">
        <f t="shared" si="839"/>
        <v>45770</v>
      </c>
      <c r="E7278" s="234">
        <f t="shared" si="838"/>
        <v>45770</v>
      </c>
      <c r="F7278" s="479"/>
      <c r="G7278" s="227" t="s">
        <v>1111</v>
      </c>
      <c r="H7278" s="228"/>
      <c r="I7278" s="228"/>
      <c r="J7278" s="229" t="s">
        <v>191</v>
      </c>
      <c r="K7278" s="230"/>
      <c r="L7278" s="230">
        <v>509582.45</v>
      </c>
    </row>
    <row r="7279" spans="1:13" ht="11.25" customHeight="1" x14ac:dyDescent="0.2">
      <c r="A7279" s="164">
        <v>2025</v>
      </c>
      <c r="B7279" s="164">
        <v>4</v>
      </c>
      <c r="C7279" s="164">
        <v>24</v>
      </c>
      <c r="D7279" s="164">
        <f t="shared" si="839"/>
        <v>45771</v>
      </c>
      <c r="E7279" s="235">
        <f t="shared" ref="E7279:E7282" si="843">DATE(A7279,B7279,C7279)</f>
        <v>45771</v>
      </c>
      <c r="F7279" s="480" t="s">
        <v>1589</v>
      </c>
      <c r="G7279" s="208" t="s">
        <v>86</v>
      </c>
      <c r="H7279" s="208"/>
      <c r="J7279" s="165" t="s">
        <v>199</v>
      </c>
      <c r="K7279" s="205">
        <v>2873917</v>
      </c>
      <c r="L7279" s="205"/>
    </row>
    <row r="7280" spans="1:13" ht="11.25" customHeight="1" x14ac:dyDescent="0.2">
      <c r="A7280" s="164">
        <v>2025</v>
      </c>
      <c r="B7280" s="164">
        <v>4</v>
      </c>
      <c r="C7280" s="164">
        <v>24</v>
      </c>
      <c r="D7280" s="164">
        <f t="shared" si="839"/>
        <v>45771</v>
      </c>
      <c r="E7280" s="235">
        <f t="shared" si="843"/>
        <v>45771</v>
      </c>
      <c r="F7280" s="480"/>
      <c r="G7280" s="208" t="s">
        <v>86</v>
      </c>
      <c r="H7280" s="208"/>
      <c r="J7280" s="165" t="s">
        <v>960</v>
      </c>
      <c r="K7280" s="205">
        <v>5183</v>
      </c>
      <c r="L7280" s="205"/>
      <c r="M7280" s="401"/>
    </row>
    <row r="7281" spans="1:13" ht="11.25" customHeight="1" x14ac:dyDescent="0.2">
      <c r="A7281" s="164">
        <v>2025</v>
      </c>
      <c r="B7281" s="164">
        <v>4</v>
      </c>
      <c r="C7281" s="164">
        <v>24</v>
      </c>
      <c r="D7281" s="164">
        <f t="shared" si="839"/>
        <v>45771</v>
      </c>
      <c r="E7281" s="235">
        <f t="shared" si="843"/>
        <v>45771</v>
      </c>
      <c r="F7281" s="480"/>
      <c r="G7281" s="208" t="s">
        <v>86</v>
      </c>
      <c r="H7281" s="208"/>
      <c r="J7281" s="165" t="s">
        <v>200</v>
      </c>
      <c r="K7281" s="205">
        <v>86389.57</v>
      </c>
      <c r="L7281" s="205"/>
    </row>
    <row r="7282" spans="1:13" ht="11.25" customHeight="1" x14ac:dyDescent="0.2">
      <c r="A7282" s="226">
        <v>2025</v>
      </c>
      <c r="B7282" s="226">
        <v>4</v>
      </c>
      <c r="C7282" s="226">
        <v>24</v>
      </c>
      <c r="D7282" s="226">
        <f t="shared" si="839"/>
        <v>45771</v>
      </c>
      <c r="E7282" s="234">
        <f t="shared" si="843"/>
        <v>45771</v>
      </c>
      <c r="F7282" s="479"/>
      <c r="G7282" s="227" t="s">
        <v>86</v>
      </c>
      <c r="H7282" s="228"/>
      <c r="I7282" s="228"/>
      <c r="J7282" s="229" t="s">
        <v>80</v>
      </c>
      <c r="K7282" s="230"/>
      <c r="L7282" s="230">
        <v>2965489.57</v>
      </c>
    </row>
    <row r="7283" spans="1:13" ht="11.25" customHeight="1" x14ac:dyDescent="0.2">
      <c r="A7283" s="164">
        <v>2025</v>
      </c>
      <c r="B7283" s="164">
        <v>4</v>
      </c>
      <c r="C7283" s="164">
        <v>24</v>
      </c>
      <c r="D7283" s="164">
        <f t="shared" si="839"/>
        <v>45771</v>
      </c>
      <c r="E7283" s="235">
        <f t="shared" ref="E7283:E7301" si="844">DATE(A7283,B7283,C7283)</f>
        <v>45771</v>
      </c>
      <c r="F7283" s="480" t="s">
        <v>1757</v>
      </c>
      <c r="G7283" s="208" t="s">
        <v>86</v>
      </c>
      <c r="H7283" s="208"/>
      <c r="J7283" s="165" t="s">
        <v>199</v>
      </c>
      <c r="K7283" s="205">
        <v>1065578.5</v>
      </c>
      <c r="L7283" s="205"/>
    </row>
    <row r="7284" spans="1:13" ht="11.25" customHeight="1" x14ac:dyDescent="0.2">
      <c r="A7284" s="164">
        <v>2025</v>
      </c>
      <c r="B7284" s="164">
        <v>4</v>
      </c>
      <c r="C7284" s="164">
        <v>24</v>
      </c>
      <c r="D7284" s="164">
        <f t="shared" si="839"/>
        <v>45771</v>
      </c>
      <c r="E7284" s="235">
        <f t="shared" si="844"/>
        <v>45771</v>
      </c>
      <c r="F7284" s="480"/>
      <c r="G7284" s="208" t="s">
        <v>86</v>
      </c>
      <c r="H7284" s="208"/>
      <c r="J7284" s="165" t="s">
        <v>960</v>
      </c>
      <c r="K7284" s="205">
        <v>1921.5</v>
      </c>
      <c r="L7284" s="205"/>
      <c r="M7284" s="401"/>
    </row>
    <row r="7285" spans="1:13" ht="11.25" customHeight="1" x14ac:dyDescent="0.2">
      <c r="A7285" s="164">
        <v>2025</v>
      </c>
      <c r="B7285" s="164">
        <v>4</v>
      </c>
      <c r="C7285" s="164">
        <v>24</v>
      </c>
      <c r="D7285" s="164">
        <f t="shared" si="839"/>
        <v>45771</v>
      </c>
      <c r="E7285" s="235">
        <f t="shared" si="844"/>
        <v>45771</v>
      </c>
      <c r="F7285" s="480"/>
      <c r="G7285" s="208" t="s">
        <v>86</v>
      </c>
      <c r="H7285" s="208"/>
      <c r="J7285" s="165" t="s">
        <v>200</v>
      </c>
      <c r="K7285" s="205">
        <v>78525.34</v>
      </c>
      <c r="L7285" s="205"/>
    </row>
    <row r="7286" spans="1:13" ht="11.25" customHeight="1" x14ac:dyDescent="0.2">
      <c r="A7286" s="226">
        <v>2025</v>
      </c>
      <c r="B7286" s="226">
        <v>4</v>
      </c>
      <c r="C7286" s="226">
        <v>24</v>
      </c>
      <c r="D7286" s="226">
        <f t="shared" si="839"/>
        <v>45771</v>
      </c>
      <c r="E7286" s="234">
        <f t="shared" si="844"/>
        <v>45771</v>
      </c>
      <c r="F7286" s="479"/>
      <c r="G7286" s="227" t="s">
        <v>86</v>
      </c>
      <c r="H7286" s="228"/>
      <c r="I7286" s="228"/>
      <c r="J7286" s="229" t="s">
        <v>80</v>
      </c>
      <c r="K7286" s="230"/>
      <c r="L7286" s="230">
        <v>1146025.3400000001</v>
      </c>
    </row>
    <row r="7287" spans="1:13" ht="11.25" customHeight="1" x14ac:dyDescent="0.2">
      <c r="A7287" s="221">
        <v>2025</v>
      </c>
      <c r="B7287" s="221">
        <v>4</v>
      </c>
      <c r="C7287" s="231">
        <v>24</v>
      </c>
      <c r="D7287" s="231">
        <f t="shared" si="839"/>
        <v>45771</v>
      </c>
      <c r="E7287" s="233">
        <f t="shared" si="844"/>
        <v>45771</v>
      </c>
      <c r="F7287" s="478" t="s">
        <v>1865</v>
      </c>
      <c r="G7287" s="222" t="s">
        <v>1111</v>
      </c>
      <c r="H7287" s="223"/>
      <c r="I7287" s="223"/>
      <c r="J7287" s="224" t="s">
        <v>55</v>
      </c>
      <c r="K7287" s="225">
        <v>175848</v>
      </c>
      <c r="L7287" s="225"/>
    </row>
    <row r="7288" spans="1:13" ht="11.25" customHeight="1" x14ac:dyDescent="0.2">
      <c r="A7288" s="226">
        <v>2025</v>
      </c>
      <c r="B7288" s="226">
        <v>4</v>
      </c>
      <c r="C7288" s="232">
        <v>24</v>
      </c>
      <c r="D7288" s="232">
        <f t="shared" si="839"/>
        <v>45771</v>
      </c>
      <c r="E7288" s="234">
        <f t="shared" si="844"/>
        <v>45771</v>
      </c>
      <c r="F7288" s="479"/>
      <c r="G7288" s="227" t="s">
        <v>1111</v>
      </c>
      <c r="H7288" s="228"/>
      <c r="I7288" s="228"/>
      <c r="J7288" s="229" t="s">
        <v>192</v>
      </c>
      <c r="K7288" s="230"/>
      <c r="L7288" s="230">
        <v>175848</v>
      </c>
    </row>
    <row r="7289" spans="1:13" ht="11.25" customHeight="1" x14ac:dyDescent="0.2">
      <c r="A7289" s="164">
        <v>2025</v>
      </c>
      <c r="B7289" s="164">
        <v>4</v>
      </c>
      <c r="C7289" s="221">
        <v>24</v>
      </c>
      <c r="D7289" s="156">
        <f t="shared" si="839"/>
        <v>45771</v>
      </c>
      <c r="E7289" s="235">
        <f t="shared" si="844"/>
        <v>45771</v>
      </c>
      <c r="F7289" s="478" t="s">
        <v>1808</v>
      </c>
      <c r="G7289" s="208" t="s">
        <v>1111</v>
      </c>
      <c r="J7289" s="165" t="s">
        <v>478</v>
      </c>
      <c r="K7289" s="205">
        <v>8841.61</v>
      </c>
      <c r="L7289" s="205"/>
    </row>
    <row r="7290" spans="1:13" ht="11.25" customHeight="1" x14ac:dyDescent="0.2">
      <c r="A7290" s="164">
        <v>2025</v>
      </c>
      <c r="B7290" s="164">
        <v>4</v>
      </c>
      <c r="C7290" s="164">
        <v>24</v>
      </c>
      <c r="D7290" s="156">
        <f t="shared" si="839"/>
        <v>45771</v>
      </c>
      <c r="E7290" s="235">
        <f t="shared" ref="E7290" si="845">DATE(A7290,B7290,C7290)</f>
        <v>45771</v>
      </c>
      <c r="F7290" s="480"/>
      <c r="G7290" s="208" t="s">
        <v>1111</v>
      </c>
      <c r="J7290" s="165" t="s">
        <v>478</v>
      </c>
      <c r="K7290" s="205">
        <v>98.031000000000006</v>
      </c>
      <c r="L7290" s="205"/>
    </row>
    <row r="7291" spans="1:13" ht="11.25" customHeight="1" x14ac:dyDescent="0.2">
      <c r="A7291" s="226">
        <v>2025</v>
      </c>
      <c r="B7291" s="226">
        <v>4</v>
      </c>
      <c r="C7291" s="226">
        <v>24</v>
      </c>
      <c r="D7291" s="232">
        <f t="shared" si="839"/>
        <v>45771</v>
      </c>
      <c r="E7291" s="234">
        <f t="shared" si="844"/>
        <v>45771</v>
      </c>
      <c r="F7291" s="479"/>
      <c r="G7291" s="227" t="s">
        <v>1111</v>
      </c>
      <c r="H7291" s="228"/>
      <c r="I7291" s="228"/>
      <c r="J7291" s="229" t="s">
        <v>55</v>
      </c>
      <c r="K7291" s="230"/>
      <c r="L7291" s="230">
        <v>8939.64</v>
      </c>
    </row>
    <row r="7292" spans="1:13" ht="11.25" customHeight="1" x14ac:dyDescent="0.2">
      <c r="A7292" s="221">
        <v>2025</v>
      </c>
      <c r="B7292" s="221">
        <v>4</v>
      </c>
      <c r="C7292" s="221">
        <v>24</v>
      </c>
      <c r="D7292" s="231">
        <f t="shared" si="839"/>
        <v>45771</v>
      </c>
      <c r="E7292" s="233">
        <f t="shared" si="844"/>
        <v>45771</v>
      </c>
      <c r="F7292" s="478" t="s">
        <v>1868</v>
      </c>
      <c r="G7292" s="222" t="s">
        <v>1111</v>
      </c>
      <c r="H7292" s="223"/>
      <c r="I7292" s="223"/>
      <c r="J7292" s="224" t="s">
        <v>63</v>
      </c>
      <c r="K7292" s="225">
        <v>10350.94</v>
      </c>
      <c r="L7292" s="225"/>
    </row>
    <row r="7293" spans="1:13" ht="11.25" customHeight="1" x14ac:dyDescent="0.2">
      <c r="A7293" s="226">
        <v>2025</v>
      </c>
      <c r="B7293" s="226">
        <v>4</v>
      </c>
      <c r="C7293" s="226">
        <v>24</v>
      </c>
      <c r="D7293" s="232">
        <f t="shared" si="839"/>
        <v>45771</v>
      </c>
      <c r="E7293" s="234">
        <f t="shared" si="844"/>
        <v>45771</v>
      </c>
      <c r="F7293" s="479"/>
      <c r="G7293" s="227" t="s">
        <v>1111</v>
      </c>
      <c r="H7293" s="228"/>
      <c r="I7293" s="228"/>
      <c r="J7293" s="229" t="s">
        <v>55</v>
      </c>
      <c r="K7293" s="230"/>
      <c r="L7293" s="230">
        <v>10350.94</v>
      </c>
    </row>
    <row r="7294" spans="1:13" ht="11.25" customHeight="1" x14ac:dyDescent="0.2">
      <c r="A7294" s="280">
        <v>2025</v>
      </c>
      <c r="B7294" s="280">
        <v>4</v>
      </c>
      <c r="C7294" s="280">
        <v>24</v>
      </c>
      <c r="D7294" s="281">
        <f t="shared" si="839"/>
        <v>45771</v>
      </c>
      <c r="E7294" s="282">
        <f t="shared" si="844"/>
        <v>45771</v>
      </c>
      <c r="F7294" s="472" t="s">
        <v>1744</v>
      </c>
      <c r="G7294" s="283" t="s">
        <v>86</v>
      </c>
      <c r="H7294" s="284"/>
      <c r="I7294" s="284"/>
      <c r="J7294" s="285" t="s">
        <v>131</v>
      </c>
      <c r="K7294" s="286">
        <v>19358.330000000002</v>
      </c>
      <c r="L7294" s="286"/>
      <c r="M7294" s="401"/>
    </row>
    <row r="7295" spans="1:13" ht="11.25" customHeight="1" x14ac:dyDescent="0.2">
      <c r="A7295" s="287">
        <v>2025</v>
      </c>
      <c r="B7295" s="287">
        <v>4</v>
      </c>
      <c r="C7295" s="287">
        <v>24</v>
      </c>
      <c r="D7295" s="288">
        <f t="shared" si="839"/>
        <v>45771</v>
      </c>
      <c r="E7295" s="289">
        <f t="shared" si="844"/>
        <v>45771</v>
      </c>
      <c r="F7295" s="473"/>
      <c r="G7295" s="290" t="s">
        <v>86</v>
      </c>
      <c r="H7295" s="291"/>
      <c r="I7295" s="291"/>
      <c r="J7295" s="292" t="s">
        <v>174</v>
      </c>
      <c r="K7295" s="293"/>
      <c r="L7295" s="293">
        <f>K7294</f>
        <v>19358.330000000002</v>
      </c>
    </row>
    <row r="7296" spans="1:13" ht="11.25" customHeight="1" x14ac:dyDescent="0.2">
      <c r="A7296" s="280">
        <v>2025</v>
      </c>
      <c r="B7296" s="280">
        <v>4</v>
      </c>
      <c r="C7296" s="280">
        <v>24</v>
      </c>
      <c r="D7296" s="281">
        <f t="shared" si="839"/>
        <v>45771</v>
      </c>
      <c r="E7296" s="282">
        <f t="shared" si="844"/>
        <v>45771</v>
      </c>
      <c r="F7296" s="472" t="s">
        <v>1584</v>
      </c>
      <c r="G7296" s="283" t="s">
        <v>86</v>
      </c>
      <c r="H7296" s="284"/>
      <c r="I7296" s="284"/>
      <c r="J7296" s="285" t="s">
        <v>131</v>
      </c>
      <c r="K7296" s="286">
        <v>8846.15</v>
      </c>
      <c r="L7296" s="286"/>
      <c r="M7296" s="401"/>
    </row>
    <row r="7297" spans="1:13" ht="11.25" customHeight="1" x14ac:dyDescent="0.2">
      <c r="A7297" s="287">
        <v>2025</v>
      </c>
      <c r="B7297" s="287">
        <v>4</v>
      </c>
      <c r="C7297" s="287">
        <v>24</v>
      </c>
      <c r="D7297" s="288">
        <f t="shared" si="839"/>
        <v>45771</v>
      </c>
      <c r="E7297" s="289">
        <f t="shared" si="844"/>
        <v>45771</v>
      </c>
      <c r="F7297" s="473"/>
      <c r="G7297" s="290" t="s">
        <v>86</v>
      </c>
      <c r="H7297" s="291"/>
      <c r="I7297" s="291"/>
      <c r="J7297" s="292" t="s">
        <v>174</v>
      </c>
      <c r="K7297" s="293"/>
      <c r="L7297" s="293">
        <f>K7296</f>
        <v>8846.15</v>
      </c>
    </row>
    <row r="7298" spans="1:13" ht="11.25" customHeight="1" x14ac:dyDescent="0.2">
      <c r="A7298" s="280">
        <v>2025</v>
      </c>
      <c r="B7298" s="280">
        <v>4</v>
      </c>
      <c r="C7298" s="280">
        <v>24</v>
      </c>
      <c r="D7298" s="281">
        <f t="shared" si="839"/>
        <v>45771</v>
      </c>
      <c r="E7298" s="282">
        <f t="shared" si="844"/>
        <v>45771</v>
      </c>
      <c r="F7298" s="472" t="s">
        <v>1830</v>
      </c>
      <c r="G7298" s="283" t="s">
        <v>86</v>
      </c>
      <c r="H7298" s="284"/>
      <c r="I7298" s="284"/>
      <c r="J7298" s="285" t="s">
        <v>131</v>
      </c>
      <c r="K7298" s="286">
        <v>5040.6492307692261</v>
      </c>
      <c r="L7298" s="286"/>
      <c r="M7298" s="401"/>
    </row>
    <row r="7299" spans="1:13" ht="11.25" customHeight="1" x14ac:dyDescent="0.2">
      <c r="A7299" s="287">
        <v>2025</v>
      </c>
      <c r="B7299" s="287">
        <v>4</v>
      </c>
      <c r="C7299" s="287">
        <v>24</v>
      </c>
      <c r="D7299" s="288">
        <f t="shared" si="839"/>
        <v>45771</v>
      </c>
      <c r="E7299" s="289">
        <f t="shared" si="844"/>
        <v>45771</v>
      </c>
      <c r="F7299" s="473"/>
      <c r="G7299" s="290" t="s">
        <v>86</v>
      </c>
      <c r="H7299" s="291"/>
      <c r="I7299" s="291"/>
      <c r="J7299" s="292" t="s">
        <v>174</v>
      </c>
      <c r="K7299" s="293"/>
      <c r="L7299" s="293">
        <f>K7298</f>
        <v>5040.6492307692261</v>
      </c>
    </row>
    <row r="7300" spans="1:13" ht="11.25" customHeight="1" x14ac:dyDescent="0.2">
      <c r="A7300" s="341">
        <v>2025</v>
      </c>
      <c r="B7300" s="341">
        <v>4</v>
      </c>
      <c r="C7300" s="341">
        <v>24</v>
      </c>
      <c r="D7300" s="328">
        <f t="shared" si="839"/>
        <v>45771</v>
      </c>
      <c r="E7300" s="329">
        <f t="shared" si="844"/>
        <v>45771</v>
      </c>
      <c r="F7300" s="474" t="s">
        <v>1767</v>
      </c>
      <c r="G7300" s="330" t="s">
        <v>86</v>
      </c>
      <c r="H7300" s="332"/>
      <c r="I7300" s="332"/>
      <c r="J7300" s="342" t="s">
        <v>67</v>
      </c>
      <c r="K7300" s="343">
        <v>19252.38</v>
      </c>
      <c r="L7300" s="343"/>
    </row>
    <row r="7301" spans="1:13" ht="11.25" customHeight="1" x14ac:dyDescent="0.2">
      <c r="A7301" s="344">
        <v>2025</v>
      </c>
      <c r="B7301" s="344">
        <v>4</v>
      </c>
      <c r="C7301" s="344">
        <v>24</v>
      </c>
      <c r="D7301" s="337">
        <f t="shared" si="839"/>
        <v>45771</v>
      </c>
      <c r="E7301" s="338">
        <f t="shared" si="844"/>
        <v>45771</v>
      </c>
      <c r="F7301" s="475"/>
      <c r="G7301" s="339" t="s">
        <v>86</v>
      </c>
      <c r="H7301" s="340"/>
      <c r="I7301" s="340"/>
      <c r="J7301" s="345" t="s">
        <v>174</v>
      </c>
      <c r="K7301" s="346"/>
      <c r="L7301" s="346">
        <f>K7300</f>
        <v>19252.38</v>
      </c>
    </row>
    <row r="7302" spans="1:13" ht="11.25" customHeight="1" x14ac:dyDescent="0.2">
      <c r="A7302" s="358">
        <v>2025</v>
      </c>
      <c r="B7302" s="358">
        <v>4</v>
      </c>
      <c r="C7302" s="358">
        <v>24</v>
      </c>
      <c r="D7302" s="312">
        <f t="shared" si="839"/>
        <v>45771</v>
      </c>
      <c r="E7302" s="313">
        <f>DATE(A7302,B7302,C7302)</f>
        <v>45771</v>
      </c>
      <c r="F7302" s="482" t="s">
        <v>1627</v>
      </c>
      <c r="G7302" s="314" t="s">
        <v>86</v>
      </c>
      <c r="H7302" s="324"/>
      <c r="I7302" s="324"/>
      <c r="J7302" s="364" t="s">
        <v>1613</v>
      </c>
      <c r="K7302" s="365">
        <v>0</v>
      </c>
      <c r="L7302" s="365"/>
      <c r="M7302" s="156">
        <f>BS!$I$12</f>
        <v>0</v>
      </c>
    </row>
    <row r="7303" spans="1:13" ht="11.25" customHeight="1" x14ac:dyDescent="0.2">
      <c r="A7303" s="320">
        <v>2025</v>
      </c>
      <c r="B7303" s="320">
        <v>4</v>
      </c>
      <c r="C7303" s="320">
        <v>24</v>
      </c>
      <c r="D7303" s="323">
        <f t="shared" si="839"/>
        <v>45771</v>
      </c>
      <c r="E7303" s="321">
        <f t="shared" ref="E7303" si="846">DATE(A7303,B7303,C7303)</f>
        <v>45771</v>
      </c>
      <c r="F7303" s="483"/>
      <c r="G7303" s="322" t="s">
        <v>86</v>
      </c>
      <c r="H7303" s="325"/>
      <c r="I7303" s="325"/>
      <c r="J7303" s="366" t="s">
        <v>1621</v>
      </c>
      <c r="K7303" s="367"/>
      <c r="L7303" s="367">
        <f>K7302</f>
        <v>0</v>
      </c>
    </row>
    <row r="7304" spans="1:13" ht="11.25" customHeight="1" x14ac:dyDescent="0.2">
      <c r="A7304" s="358">
        <v>2025</v>
      </c>
      <c r="B7304" s="358">
        <v>4</v>
      </c>
      <c r="C7304" s="358">
        <v>24</v>
      </c>
      <c r="D7304" s="312">
        <f t="shared" si="839"/>
        <v>45771</v>
      </c>
      <c r="E7304" s="313">
        <f>DATE(A7304,B7304,C7304)</f>
        <v>45771</v>
      </c>
      <c r="F7304" s="482" t="s">
        <v>1713</v>
      </c>
      <c r="G7304" s="314" t="s">
        <v>86</v>
      </c>
      <c r="H7304" s="324"/>
      <c r="I7304" s="324"/>
      <c r="J7304" s="364" t="s">
        <v>1622</v>
      </c>
      <c r="K7304" s="365">
        <v>92862.118000004441</v>
      </c>
      <c r="L7304" s="365"/>
      <c r="M7304" s="156">
        <f>BS!$I$15</f>
        <v>0</v>
      </c>
    </row>
    <row r="7305" spans="1:13" ht="11.25" customHeight="1" x14ac:dyDescent="0.2">
      <c r="A7305" s="320">
        <v>2025</v>
      </c>
      <c r="B7305" s="320">
        <v>4</v>
      </c>
      <c r="C7305" s="320">
        <v>24</v>
      </c>
      <c r="D7305" s="323">
        <f t="shared" ref="D7305:D7368" si="847">DATE(A7305,B7305,C7305)</f>
        <v>45771</v>
      </c>
      <c r="E7305" s="321">
        <f t="shared" ref="E7305:E7337" si="848">DATE(A7305,B7305,C7305)</f>
        <v>45771</v>
      </c>
      <c r="F7305" s="483"/>
      <c r="G7305" s="322" t="s">
        <v>86</v>
      </c>
      <c r="H7305" s="325"/>
      <c r="I7305" s="325"/>
      <c r="J7305" s="366" t="s">
        <v>1614</v>
      </c>
      <c r="K7305" s="367"/>
      <c r="L7305" s="367">
        <f>K7304</f>
        <v>92862.118000004441</v>
      </c>
    </row>
    <row r="7306" spans="1:13" ht="11.25" customHeight="1" x14ac:dyDescent="0.2">
      <c r="A7306" s="236">
        <v>2025</v>
      </c>
      <c r="B7306" s="236">
        <v>4</v>
      </c>
      <c r="C7306" s="236">
        <v>24</v>
      </c>
      <c r="D7306" s="237">
        <f t="shared" si="847"/>
        <v>45771</v>
      </c>
      <c r="E7306" s="238">
        <f t="shared" si="848"/>
        <v>45771</v>
      </c>
      <c r="F7306" s="476" t="s">
        <v>1118</v>
      </c>
      <c r="G7306" s="239" t="s">
        <v>86</v>
      </c>
      <c r="H7306" s="239"/>
      <c r="I7306" s="240"/>
      <c r="J7306" s="241" t="s">
        <v>82</v>
      </c>
      <c r="K7306" s="242">
        <v>2230277.8400000031</v>
      </c>
      <c r="L7306" s="242"/>
      <c r="M7306" s="156">
        <f>BS!$I$8</f>
        <v>0</v>
      </c>
    </row>
    <row r="7307" spans="1:13" ht="11.25" customHeight="1" x14ac:dyDescent="0.2">
      <c r="A7307" s="243">
        <v>2025</v>
      </c>
      <c r="B7307" s="243">
        <v>4</v>
      </c>
      <c r="C7307" s="243">
        <v>24</v>
      </c>
      <c r="D7307" s="248">
        <f t="shared" si="847"/>
        <v>45771</v>
      </c>
      <c r="E7307" s="249">
        <f t="shared" si="848"/>
        <v>45771</v>
      </c>
      <c r="F7307" s="477"/>
      <c r="G7307" s="244" t="s">
        <v>86</v>
      </c>
      <c r="H7307" s="244"/>
      <c r="I7307" s="245"/>
      <c r="J7307" s="246" t="s">
        <v>98</v>
      </c>
      <c r="K7307" s="247"/>
      <c r="L7307" s="247">
        <f>K7306</f>
        <v>2230277.8400000031</v>
      </c>
    </row>
    <row r="7308" spans="1:13" ht="11.25" customHeight="1" x14ac:dyDescent="0.2">
      <c r="A7308" s="236">
        <v>2025</v>
      </c>
      <c r="B7308" s="236">
        <v>4</v>
      </c>
      <c r="C7308" s="236">
        <v>24</v>
      </c>
      <c r="D7308" s="237">
        <f t="shared" si="847"/>
        <v>45771</v>
      </c>
      <c r="E7308" s="238">
        <f t="shared" si="848"/>
        <v>45771</v>
      </c>
      <c r="F7308" s="476" t="s">
        <v>1120</v>
      </c>
      <c r="G7308" s="239" t="s">
        <v>86</v>
      </c>
      <c r="H7308" s="239"/>
      <c r="I7308" s="240"/>
      <c r="J7308" s="241" t="s">
        <v>87</v>
      </c>
      <c r="K7308" s="242">
        <v>2747.2527472527472</v>
      </c>
      <c r="L7308" s="242"/>
      <c r="M7308" s="401"/>
    </row>
    <row r="7309" spans="1:13" ht="11.25" customHeight="1" x14ac:dyDescent="0.2">
      <c r="A7309" s="243">
        <v>2025</v>
      </c>
      <c r="B7309" s="243">
        <v>4</v>
      </c>
      <c r="C7309" s="243">
        <v>24</v>
      </c>
      <c r="D7309" s="248">
        <f t="shared" si="847"/>
        <v>45771</v>
      </c>
      <c r="E7309" s="249">
        <f t="shared" si="848"/>
        <v>45771</v>
      </c>
      <c r="F7309" s="477"/>
      <c r="G7309" s="244" t="s">
        <v>86</v>
      </c>
      <c r="H7309" s="244"/>
      <c r="I7309" s="245"/>
      <c r="J7309" s="246" t="s">
        <v>64</v>
      </c>
      <c r="K7309" s="247"/>
      <c r="L7309" s="247">
        <f>K7308</f>
        <v>2747.2527472527472</v>
      </c>
    </row>
    <row r="7310" spans="1:13" ht="11.25" customHeight="1" x14ac:dyDescent="0.2">
      <c r="A7310" s="236">
        <v>2025</v>
      </c>
      <c r="B7310" s="236">
        <v>4</v>
      </c>
      <c r="C7310" s="236">
        <v>24</v>
      </c>
      <c r="D7310" s="237">
        <f t="shared" si="847"/>
        <v>45771</v>
      </c>
      <c r="E7310" s="238">
        <f t="shared" si="848"/>
        <v>45771</v>
      </c>
      <c r="F7310" s="476" t="s">
        <v>1121</v>
      </c>
      <c r="G7310" s="239" t="s">
        <v>86</v>
      </c>
      <c r="H7310" s="239"/>
      <c r="I7310" s="240"/>
      <c r="J7310" s="241" t="s">
        <v>89</v>
      </c>
      <c r="K7310" s="242">
        <f>M7310</f>
        <v>70975.919277477908</v>
      </c>
      <c r="L7310" s="242"/>
      <c r="M7310" s="156">
        <v>70975.919277477908</v>
      </c>
    </row>
    <row r="7311" spans="1:13" ht="11.25" customHeight="1" x14ac:dyDescent="0.2">
      <c r="A7311" s="243">
        <v>2025</v>
      </c>
      <c r="B7311" s="243">
        <v>4</v>
      </c>
      <c r="C7311" s="243">
        <v>24</v>
      </c>
      <c r="D7311" s="248">
        <f t="shared" si="847"/>
        <v>45771</v>
      </c>
      <c r="E7311" s="249">
        <f t="shared" si="848"/>
        <v>45771</v>
      </c>
      <c r="F7311" s="477"/>
      <c r="G7311" s="244" t="s">
        <v>86</v>
      </c>
      <c r="H7311" s="244"/>
      <c r="I7311" s="245"/>
      <c r="J7311" s="246" t="s">
        <v>50</v>
      </c>
      <c r="K7311" s="247"/>
      <c r="L7311" s="247">
        <f>K7310</f>
        <v>70975.919277477908</v>
      </c>
      <c r="M7311" s="156">
        <v>3308.41134848928</v>
      </c>
    </row>
    <row r="7312" spans="1:13" ht="11.25" customHeight="1" x14ac:dyDescent="0.2">
      <c r="A7312" s="236">
        <v>2025</v>
      </c>
      <c r="B7312" s="236">
        <v>4</v>
      </c>
      <c r="C7312" s="236">
        <v>24</v>
      </c>
      <c r="D7312" s="237">
        <f t="shared" si="847"/>
        <v>45771</v>
      </c>
      <c r="E7312" s="238">
        <f t="shared" si="848"/>
        <v>45771</v>
      </c>
      <c r="F7312" s="476" t="s">
        <v>1122</v>
      </c>
      <c r="G7312" s="239" t="s">
        <v>86</v>
      </c>
      <c r="H7312" s="239"/>
      <c r="I7312" s="240"/>
      <c r="J7312" s="241" t="s">
        <v>91</v>
      </c>
      <c r="K7312" s="242">
        <f>M7311</f>
        <v>3308.41134848928</v>
      </c>
      <c r="L7312" s="242"/>
    </row>
    <row r="7313" spans="1:13" ht="11.25" customHeight="1" x14ac:dyDescent="0.2">
      <c r="A7313" s="243">
        <v>2025</v>
      </c>
      <c r="B7313" s="243">
        <v>4</v>
      </c>
      <c r="C7313" s="243">
        <v>24</v>
      </c>
      <c r="D7313" s="248">
        <f t="shared" si="847"/>
        <v>45771</v>
      </c>
      <c r="E7313" s="249">
        <f t="shared" si="848"/>
        <v>45771</v>
      </c>
      <c r="F7313" s="477"/>
      <c r="G7313" s="244" t="s">
        <v>86</v>
      </c>
      <c r="H7313" s="244"/>
      <c r="I7313" s="245"/>
      <c r="J7313" s="246" t="s">
        <v>51</v>
      </c>
      <c r="K7313" s="247"/>
      <c r="L7313" s="247">
        <f>K7312</f>
        <v>3308.41134848928</v>
      </c>
    </row>
    <row r="7314" spans="1:13" ht="11.25" customHeight="1" x14ac:dyDescent="0.2">
      <c r="A7314" s="221">
        <v>2025</v>
      </c>
      <c r="B7314" s="221">
        <v>4</v>
      </c>
      <c r="C7314" s="221">
        <v>27</v>
      </c>
      <c r="D7314" s="231">
        <f t="shared" si="847"/>
        <v>45774</v>
      </c>
      <c r="E7314" s="233">
        <f>DATE(A7314,B7314,C7314)</f>
        <v>45774</v>
      </c>
      <c r="F7314" s="478" t="s">
        <v>1178</v>
      </c>
      <c r="G7314" s="222" t="s">
        <v>1111</v>
      </c>
      <c r="H7314" s="223"/>
      <c r="I7314" s="223"/>
      <c r="J7314" s="224" t="s">
        <v>189</v>
      </c>
      <c r="K7314" s="225">
        <v>5750</v>
      </c>
      <c r="L7314" s="225"/>
    </row>
    <row r="7315" spans="1:13" ht="11.25" customHeight="1" x14ac:dyDescent="0.2">
      <c r="A7315" s="164">
        <v>2025</v>
      </c>
      <c r="B7315" s="164">
        <v>4</v>
      </c>
      <c r="C7315" s="164">
        <v>27</v>
      </c>
      <c r="D7315" s="156">
        <f t="shared" si="847"/>
        <v>45774</v>
      </c>
      <c r="E7315" s="235">
        <f>DATE(A7315,B7315,C7315)</f>
        <v>45774</v>
      </c>
      <c r="F7315" s="480"/>
      <c r="G7315" s="208" t="s">
        <v>1111</v>
      </c>
      <c r="J7315" s="165" t="s">
        <v>1708</v>
      </c>
      <c r="K7315" s="205"/>
      <c r="L7315" s="205">
        <v>250</v>
      </c>
    </row>
    <row r="7316" spans="1:13" ht="11.25" customHeight="1" x14ac:dyDescent="0.2">
      <c r="A7316" s="226">
        <v>2025</v>
      </c>
      <c r="B7316" s="226">
        <v>4</v>
      </c>
      <c r="C7316" s="226">
        <v>27</v>
      </c>
      <c r="D7316" s="232">
        <f t="shared" si="847"/>
        <v>45774</v>
      </c>
      <c r="E7316" s="234">
        <f>DATE(A7316,B7316,C7316)</f>
        <v>45774</v>
      </c>
      <c r="F7316" s="479"/>
      <c r="G7316" s="227" t="s">
        <v>1111</v>
      </c>
      <c r="H7316" s="228"/>
      <c r="I7316" s="228"/>
      <c r="J7316" s="229" t="s">
        <v>55</v>
      </c>
      <c r="K7316" s="230"/>
      <c r="L7316" s="230">
        <v>5500</v>
      </c>
    </row>
    <row r="7317" spans="1:13" ht="11.25" customHeight="1" x14ac:dyDescent="0.2">
      <c r="A7317" s="221">
        <v>2025</v>
      </c>
      <c r="B7317" s="221">
        <v>4</v>
      </c>
      <c r="C7317" s="221">
        <v>27</v>
      </c>
      <c r="D7317" s="221">
        <f t="shared" si="847"/>
        <v>45774</v>
      </c>
      <c r="E7317" s="233">
        <f t="shared" ref="E7317:E7330" si="849">DATE(A7317,B7317,C7317)</f>
        <v>45774</v>
      </c>
      <c r="F7317" s="478" t="s">
        <v>1804</v>
      </c>
      <c r="G7317" s="222" t="s">
        <v>86</v>
      </c>
      <c r="H7317" s="222"/>
      <c r="I7317" s="223"/>
      <c r="J7317" s="224" t="s">
        <v>80</v>
      </c>
      <c r="K7317" s="225">
        <v>432935.9</v>
      </c>
      <c r="L7317" s="225"/>
    </row>
    <row r="7318" spans="1:13" ht="11.25" customHeight="1" x14ac:dyDescent="0.2">
      <c r="A7318" s="164">
        <v>2025</v>
      </c>
      <c r="B7318" s="164">
        <v>4</v>
      </c>
      <c r="C7318" s="164">
        <v>27</v>
      </c>
      <c r="D7318" s="164">
        <f t="shared" si="847"/>
        <v>45774</v>
      </c>
      <c r="E7318" s="235">
        <f t="shared" si="849"/>
        <v>45774</v>
      </c>
      <c r="F7318" s="480"/>
      <c r="G7318" s="208" t="s">
        <v>86</v>
      </c>
      <c r="H7318" s="208"/>
      <c r="J7318" s="165" t="s">
        <v>960</v>
      </c>
      <c r="K7318" s="205">
        <v>3895.67</v>
      </c>
      <c r="L7318" s="205"/>
    </row>
    <row r="7319" spans="1:13" ht="11.25" customHeight="1" x14ac:dyDescent="0.2">
      <c r="A7319" s="164">
        <v>2025</v>
      </c>
      <c r="B7319" s="164">
        <v>4</v>
      </c>
      <c r="C7319" s="164">
        <v>27</v>
      </c>
      <c r="D7319" s="164">
        <f t="shared" si="847"/>
        <v>45774</v>
      </c>
      <c r="E7319" s="235">
        <f t="shared" si="849"/>
        <v>45774</v>
      </c>
      <c r="F7319" s="480"/>
      <c r="G7319" s="208" t="s">
        <v>86</v>
      </c>
      <c r="H7319" s="208"/>
      <c r="J7319" s="165" t="s">
        <v>199</v>
      </c>
      <c r="K7319" s="205">
        <v>1294487.43</v>
      </c>
      <c r="L7319" s="205"/>
    </row>
    <row r="7320" spans="1:13" ht="11.25" customHeight="1" x14ac:dyDescent="0.2">
      <c r="A7320" s="164">
        <v>2025</v>
      </c>
      <c r="B7320" s="164">
        <v>4</v>
      </c>
      <c r="C7320" s="164">
        <v>27</v>
      </c>
      <c r="D7320" s="164">
        <f t="shared" si="847"/>
        <v>45774</v>
      </c>
      <c r="E7320" s="235">
        <f t="shared" si="849"/>
        <v>45774</v>
      </c>
      <c r="F7320" s="480"/>
      <c r="G7320" s="208" t="s">
        <v>86</v>
      </c>
      <c r="H7320" s="208"/>
      <c r="J7320" s="165" t="s">
        <v>200</v>
      </c>
      <c r="K7320" s="205">
        <v>188735.59</v>
      </c>
      <c r="L7320" s="205"/>
    </row>
    <row r="7321" spans="1:13" ht="11.25" customHeight="1" x14ac:dyDescent="0.2">
      <c r="A7321" s="226">
        <v>2025</v>
      </c>
      <c r="B7321" s="226">
        <v>4</v>
      </c>
      <c r="C7321" s="226">
        <v>27</v>
      </c>
      <c r="D7321" s="226">
        <f t="shared" si="847"/>
        <v>45774</v>
      </c>
      <c r="E7321" s="234">
        <f t="shared" si="849"/>
        <v>45774</v>
      </c>
      <c r="F7321" s="479"/>
      <c r="G7321" s="227" t="s">
        <v>86</v>
      </c>
      <c r="H7321" s="228"/>
      <c r="I7321" s="228"/>
      <c r="J7321" s="229" t="s">
        <v>80</v>
      </c>
      <c r="K7321" s="230"/>
      <c r="L7321" s="230">
        <v>1920054.59</v>
      </c>
    </row>
    <row r="7322" spans="1:13" ht="11.25" customHeight="1" x14ac:dyDescent="0.2">
      <c r="A7322" s="164">
        <v>2025</v>
      </c>
      <c r="B7322" s="164">
        <v>4</v>
      </c>
      <c r="C7322" s="164">
        <v>27</v>
      </c>
      <c r="D7322" s="164">
        <f t="shared" si="847"/>
        <v>45774</v>
      </c>
      <c r="E7322" s="235">
        <f t="shared" si="849"/>
        <v>45774</v>
      </c>
      <c r="F7322" s="480" t="s">
        <v>1842</v>
      </c>
      <c r="G7322" s="208" t="s">
        <v>86</v>
      </c>
      <c r="H7322" s="208"/>
      <c r="J7322" s="165" t="s">
        <v>199</v>
      </c>
      <c r="K7322" s="205">
        <v>1212901.3400000001</v>
      </c>
      <c r="L7322" s="205"/>
    </row>
    <row r="7323" spans="1:13" ht="11.25" customHeight="1" x14ac:dyDescent="0.2">
      <c r="A7323" s="164">
        <v>2025</v>
      </c>
      <c r="B7323" s="164">
        <v>4</v>
      </c>
      <c r="C7323" s="164">
        <v>27</v>
      </c>
      <c r="D7323" s="164">
        <f t="shared" si="847"/>
        <v>45774</v>
      </c>
      <c r="E7323" s="235">
        <f t="shared" si="849"/>
        <v>45774</v>
      </c>
      <c r="F7323" s="480"/>
      <c r="G7323" s="208" t="s">
        <v>86</v>
      </c>
      <c r="H7323" s="208"/>
      <c r="J7323" s="165" t="s">
        <v>960</v>
      </c>
      <c r="K7323" s="205">
        <v>2187.16</v>
      </c>
      <c r="L7323" s="205"/>
      <c r="M7323" s="401"/>
    </row>
    <row r="7324" spans="1:13" ht="11.25" customHeight="1" x14ac:dyDescent="0.2">
      <c r="A7324" s="164">
        <v>2025</v>
      </c>
      <c r="B7324" s="164">
        <v>4</v>
      </c>
      <c r="C7324" s="164">
        <v>27</v>
      </c>
      <c r="D7324" s="164">
        <f t="shared" si="847"/>
        <v>45774</v>
      </c>
      <c r="E7324" s="235">
        <f t="shared" si="849"/>
        <v>45774</v>
      </c>
      <c r="F7324" s="480"/>
      <c r="G7324" s="208" t="s">
        <v>86</v>
      </c>
      <c r="H7324" s="208"/>
      <c r="J7324" s="165" t="s">
        <v>200</v>
      </c>
      <c r="K7324" s="205">
        <v>105510.34</v>
      </c>
      <c r="L7324" s="205"/>
    </row>
    <row r="7325" spans="1:13" ht="11.25" customHeight="1" x14ac:dyDescent="0.2">
      <c r="A7325" s="226">
        <v>2025</v>
      </c>
      <c r="B7325" s="226">
        <v>4</v>
      </c>
      <c r="C7325" s="226">
        <v>27</v>
      </c>
      <c r="D7325" s="226">
        <f t="shared" si="847"/>
        <v>45774</v>
      </c>
      <c r="E7325" s="234">
        <f t="shared" si="849"/>
        <v>45774</v>
      </c>
      <c r="F7325" s="479"/>
      <c r="G7325" s="227" t="s">
        <v>86</v>
      </c>
      <c r="H7325" s="228"/>
      <c r="I7325" s="228"/>
      <c r="J7325" s="229" t="s">
        <v>80</v>
      </c>
      <c r="K7325" s="230"/>
      <c r="L7325" s="230">
        <v>1320598.8400000001</v>
      </c>
    </row>
    <row r="7326" spans="1:13" ht="11.25" customHeight="1" x14ac:dyDescent="0.2">
      <c r="A7326" s="221">
        <v>2025</v>
      </c>
      <c r="B7326" s="221">
        <v>4</v>
      </c>
      <c r="C7326" s="221">
        <v>27</v>
      </c>
      <c r="D7326" s="231">
        <f t="shared" si="847"/>
        <v>45774</v>
      </c>
      <c r="E7326" s="233">
        <f t="shared" si="849"/>
        <v>45774</v>
      </c>
      <c r="F7326" s="478" t="s">
        <v>1132</v>
      </c>
      <c r="G7326" s="222" t="s">
        <v>1111</v>
      </c>
      <c r="H7326" s="223"/>
      <c r="I7326" s="223"/>
      <c r="J7326" s="224" t="s">
        <v>55</v>
      </c>
      <c r="K7326" s="167">
        <v>2000</v>
      </c>
      <c r="L7326" s="225"/>
    </row>
    <row r="7327" spans="1:13" ht="11.25" customHeight="1" x14ac:dyDescent="0.2">
      <c r="A7327" s="164">
        <v>2025</v>
      </c>
      <c r="B7327" s="164">
        <v>4</v>
      </c>
      <c r="C7327" s="164">
        <v>27</v>
      </c>
      <c r="D7327" s="156">
        <f t="shared" si="847"/>
        <v>45774</v>
      </c>
      <c r="E7327" s="235">
        <f t="shared" si="849"/>
        <v>45774</v>
      </c>
      <c r="F7327" s="480"/>
      <c r="G7327" s="208" t="s">
        <v>1111</v>
      </c>
      <c r="J7327" s="165" t="s">
        <v>14</v>
      </c>
      <c r="L7327" s="205">
        <v>1900</v>
      </c>
    </row>
    <row r="7328" spans="1:13" ht="11.25" customHeight="1" x14ac:dyDescent="0.2">
      <c r="A7328" s="226">
        <v>2025</v>
      </c>
      <c r="B7328" s="226">
        <v>4</v>
      </c>
      <c r="C7328" s="226">
        <v>27</v>
      </c>
      <c r="D7328" s="232">
        <f t="shared" si="847"/>
        <v>45774</v>
      </c>
      <c r="E7328" s="234">
        <f t="shared" si="849"/>
        <v>45774</v>
      </c>
      <c r="F7328" s="479"/>
      <c r="G7328" s="227" t="s">
        <v>1111</v>
      </c>
      <c r="H7328" s="228"/>
      <c r="I7328" s="228"/>
      <c r="J7328" s="229" t="s">
        <v>1112</v>
      </c>
      <c r="K7328" s="230"/>
      <c r="L7328" s="230">
        <v>100</v>
      </c>
    </row>
    <row r="7329" spans="1:12" ht="11.25" customHeight="1" x14ac:dyDescent="0.2">
      <c r="A7329" s="221">
        <v>2025</v>
      </c>
      <c r="B7329" s="221">
        <v>4</v>
      </c>
      <c r="C7329" s="221">
        <v>28</v>
      </c>
      <c r="D7329" s="231">
        <f t="shared" si="847"/>
        <v>45775</v>
      </c>
      <c r="E7329" s="233">
        <f t="shared" si="849"/>
        <v>45775</v>
      </c>
      <c r="F7329" s="478" t="s">
        <v>1921</v>
      </c>
      <c r="G7329" s="222" t="s">
        <v>1111</v>
      </c>
      <c r="H7329" s="223"/>
      <c r="I7329" s="223"/>
      <c r="J7329" s="224" t="s">
        <v>63</v>
      </c>
      <c r="K7329" s="225">
        <v>100</v>
      </c>
      <c r="L7329" s="225"/>
    </row>
    <row r="7330" spans="1:12" ht="11.25" customHeight="1" x14ac:dyDescent="0.2">
      <c r="A7330" s="226">
        <v>2025</v>
      </c>
      <c r="B7330" s="164">
        <v>4</v>
      </c>
      <c r="C7330" s="164">
        <v>28</v>
      </c>
      <c r="D7330" s="232">
        <f t="shared" si="847"/>
        <v>45775</v>
      </c>
      <c r="E7330" s="234">
        <f t="shared" si="849"/>
        <v>45775</v>
      </c>
      <c r="F7330" s="479"/>
      <c r="G7330" s="227" t="s">
        <v>1111</v>
      </c>
      <c r="H7330" s="228"/>
      <c r="I7330" s="228"/>
      <c r="J7330" s="229" t="s">
        <v>55</v>
      </c>
      <c r="K7330" s="230"/>
      <c r="L7330" s="230">
        <v>100</v>
      </c>
    </row>
    <row r="7331" spans="1:12" ht="11.25" customHeight="1" x14ac:dyDescent="0.2">
      <c r="A7331" s="221">
        <v>2025</v>
      </c>
      <c r="B7331" s="221">
        <v>4</v>
      </c>
      <c r="C7331" s="221">
        <v>28</v>
      </c>
      <c r="D7331" s="231">
        <f t="shared" si="847"/>
        <v>45775</v>
      </c>
      <c r="E7331" s="233">
        <f t="shared" si="848"/>
        <v>45775</v>
      </c>
      <c r="F7331" s="478" t="s">
        <v>1115</v>
      </c>
      <c r="G7331" s="222" t="s">
        <v>1111</v>
      </c>
      <c r="H7331" s="223"/>
      <c r="I7331" s="223" t="s">
        <v>931</v>
      </c>
      <c r="J7331" s="224" t="s">
        <v>14</v>
      </c>
      <c r="K7331" s="167">
        <v>639910</v>
      </c>
      <c r="L7331" s="225"/>
    </row>
    <row r="7332" spans="1:12" ht="11.25" customHeight="1" x14ac:dyDescent="0.2">
      <c r="A7332" s="164">
        <v>2025</v>
      </c>
      <c r="B7332" s="164">
        <v>4</v>
      </c>
      <c r="C7332" s="164">
        <v>28</v>
      </c>
      <c r="D7332" s="156">
        <f t="shared" si="847"/>
        <v>45775</v>
      </c>
      <c r="E7332" s="235">
        <f t="shared" si="848"/>
        <v>45775</v>
      </c>
      <c r="F7332" s="480"/>
      <c r="G7332" s="208" t="s">
        <v>1111</v>
      </c>
      <c r="I7332" s="206" t="s">
        <v>931</v>
      </c>
      <c r="J7332" s="165" t="s">
        <v>1112</v>
      </c>
      <c r="K7332" s="205">
        <v>33147.339999999967</v>
      </c>
      <c r="L7332" s="156"/>
    </row>
    <row r="7333" spans="1:12" ht="11.25" customHeight="1" x14ac:dyDescent="0.2">
      <c r="A7333" s="226">
        <v>2025</v>
      </c>
      <c r="B7333" s="226">
        <v>4</v>
      </c>
      <c r="C7333" s="226">
        <v>28</v>
      </c>
      <c r="D7333" s="232">
        <f t="shared" si="847"/>
        <v>45775</v>
      </c>
      <c r="E7333" s="234">
        <f t="shared" si="848"/>
        <v>45775</v>
      </c>
      <c r="F7333" s="479"/>
      <c r="G7333" s="227" t="s">
        <v>1111</v>
      </c>
      <c r="H7333" s="228"/>
      <c r="I7333" s="228" t="s">
        <v>931</v>
      </c>
      <c r="J7333" s="229" t="s">
        <v>55</v>
      </c>
      <c r="K7333" s="230"/>
      <c r="L7333" s="230">
        <v>673057.34</v>
      </c>
    </row>
    <row r="7334" spans="1:12" ht="11.25" customHeight="1" x14ac:dyDescent="0.2">
      <c r="A7334" s="221">
        <v>2025</v>
      </c>
      <c r="B7334" s="221">
        <v>4</v>
      </c>
      <c r="C7334" s="221">
        <v>28</v>
      </c>
      <c r="D7334" s="231">
        <f t="shared" si="847"/>
        <v>45775</v>
      </c>
      <c r="E7334" s="233">
        <f t="shared" si="848"/>
        <v>45775</v>
      </c>
      <c r="F7334" s="478" t="s">
        <v>1670</v>
      </c>
      <c r="G7334" s="222" t="s">
        <v>1111</v>
      </c>
      <c r="H7334" s="223"/>
      <c r="I7334" s="223"/>
      <c r="J7334" s="224" t="s">
        <v>63</v>
      </c>
      <c r="K7334" s="225">
        <v>100</v>
      </c>
      <c r="L7334" s="225"/>
    </row>
    <row r="7335" spans="1:12" ht="11.25" customHeight="1" x14ac:dyDescent="0.2">
      <c r="A7335" s="226">
        <v>2025</v>
      </c>
      <c r="B7335" s="226">
        <v>4</v>
      </c>
      <c r="C7335" s="226">
        <v>28</v>
      </c>
      <c r="D7335" s="232">
        <f t="shared" si="847"/>
        <v>45775</v>
      </c>
      <c r="E7335" s="234">
        <f t="shared" si="848"/>
        <v>45775</v>
      </c>
      <c r="F7335" s="479"/>
      <c r="G7335" s="227" t="s">
        <v>1111</v>
      </c>
      <c r="H7335" s="228"/>
      <c r="I7335" s="228"/>
      <c r="J7335" s="229" t="s">
        <v>55</v>
      </c>
      <c r="K7335" s="230"/>
      <c r="L7335" s="230">
        <v>100</v>
      </c>
    </row>
    <row r="7336" spans="1:12" ht="11.25" customHeight="1" x14ac:dyDescent="0.2">
      <c r="A7336" s="221">
        <v>2025</v>
      </c>
      <c r="B7336" s="221">
        <v>4</v>
      </c>
      <c r="C7336" s="221">
        <v>28</v>
      </c>
      <c r="D7336" s="231">
        <f t="shared" si="847"/>
        <v>45775</v>
      </c>
      <c r="E7336" s="233">
        <f t="shared" si="848"/>
        <v>45775</v>
      </c>
      <c r="F7336" s="478" t="s">
        <v>1843</v>
      </c>
      <c r="G7336" s="222" t="s">
        <v>1111</v>
      </c>
      <c r="H7336" s="223"/>
      <c r="I7336" s="223"/>
      <c r="J7336" s="224" t="s">
        <v>55</v>
      </c>
      <c r="K7336" s="225">
        <v>1281499</v>
      </c>
      <c r="L7336" s="225"/>
    </row>
    <row r="7337" spans="1:12" ht="11.25" customHeight="1" x14ac:dyDescent="0.2">
      <c r="A7337" s="226">
        <v>2025</v>
      </c>
      <c r="B7337" s="226">
        <v>4</v>
      </c>
      <c r="C7337" s="226">
        <v>28</v>
      </c>
      <c r="D7337" s="232">
        <f t="shared" si="847"/>
        <v>45775</v>
      </c>
      <c r="E7337" s="234">
        <f t="shared" si="848"/>
        <v>45775</v>
      </c>
      <c r="F7337" s="479"/>
      <c r="G7337" s="227" t="s">
        <v>1111</v>
      </c>
      <c r="H7337" s="228"/>
      <c r="I7337" s="228"/>
      <c r="J7337" s="229" t="s">
        <v>199</v>
      </c>
      <c r="K7337" s="230"/>
      <c r="L7337" s="230">
        <v>1281499</v>
      </c>
    </row>
    <row r="7338" spans="1:12" ht="11.25" customHeight="1" x14ac:dyDescent="0.2">
      <c r="A7338" s="221">
        <v>2025</v>
      </c>
      <c r="B7338" s="221">
        <v>4</v>
      </c>
      <c r="C7338" s="221">
        <v>28</v>
      </c>
      <c r="D7338" s="231">
        <f t="shared" si="847"/>
        <v>45775</v>
      </c>
      <c r="E7338" s="233">
        <f>DATE(A7338,B7338,C7338)</f>
        <v>45775</v>
      </c>
      <c r="F7338" s="478" t="s">
        <v>1869</v>
      </c>
      <c r="G7338" s="222" t="s">
        <v>1111</v>
      </c>
      <c r="H7338" s="223"/>
      <c r="I7338" s="223"/>
      <c r="J7338" s="224" t="s">
        <v>51</v>
      </c>
      <c r="K7338" s="225">
        <v>88416.13</v>
      </c>
      <c r="L7338" s="225"/>
    </row>
    <row r="7339" spans="1:12" ht="11.25" customHeight="1" x14ac:dyDescent="0.2">
      <c r="A7339" s="164">
        <v>2025</v>
      </c>
      <c r="B7339" s="164">
        <v>4</v>
      </c>
      <c r="C7339" s="164">
        <v>28</v>
      </c>
      <c r="D7339" s="156">
        <f t="shared" si="847"/>
        <v>45775</v>
      </c>
      <c r="E7339" s="235">
        <f>DATE(A7339,B7339,C7339)</f>
        <v>45775</v>
      </c>
      <c r="F7339" s="480"/>
      <c r="G7339" s="208" t="s">
        <v>1111</v>
      </c>
      <c r="J7339" s="165" t="s">
        <v>478</v>
      </c>
      <c r="K7339" s="205"/>
      <c r="L7339" s="205">
        <v>8841.61</v>
      </c>
    </row>
    <row r="7340" spans="1:12" ht="11.25" customHeight="1" x14ac:dyDescent="0.2">
      <c r="A7340" s="226">
        <v>2025</v>
      </c>
      <c r="B7340" s="226">
        <v>4</v>
      </c>
      <c r="C7340" s="226">
        <v>28</v>
      </c>
      <c r="D7340" s="232">
        <f t="shared" si="847"/>
        <v>45775</v>
      </c>
      <c r="E7340" s="234">
        <f>DATE(A7340,B7340,C7340)</f>
        <v>45775</v>
      </c>
      <c r="F7340" s="479"/>
      <c r="G7340" s="227" t="s">
        <v>1111</v>
      </c>
      <c r="H7340" s="228"/>
      <c r="I7340" s="228"/>
      <c r="J7340" s="229" t="s">
        <v>55</v>
      </c>
      <c r="K7340" s="230"/>
      <c r="L7340" s="230">
        <v>79574.52</v>
      </c>
    </row>
    <row r="7341" spans="1:12" ht="11.25" customHeight="1" x14ac:dyDescent="0.2">
      <c r="A7341" s="221">
        <v>2025</v>
      </c>
      <c r="B7341" s="221">
        <v>4</v>
      </c>
      <c r="C7341" s="221">
        <v>28</v>
      </c>
      <c r="D7341" s="221">
        <f t="shared" si="847"/>
        <v>45775</v>
      </c>
      <c r="E7341" s="233">
        <f t="shared" ref="E7341:E7345" si="850">DATE(A7341,B7341,C7341)</f>
        <v>45775</v>
      </c>
      <c r="F7341" s="478" t="s">
        <v>1870</v>
      </c>
      <c r="G7341" s="222" t="s">
        <v>86</v>
      </c>
      <c r="H7341" s="222"/>
      <c r="I7341" s="223"/>
      <c r="J7341" s="224" t="s">
        <v>80</v>
      </c>
      <c r="K7341" s="225">
        <v>12300000</v>
      </c>
      <c r="L7341" s="225"/>
    </row>
    <row r="7342" spans="1:12" ht="11.25" customHeight="1" x14ac:dyDescent="0.2">
      <c r="A7342" s="164">
        <v>2025</v>
      </c>
      <c r="B7342" s="164">
        <v>4</v>
      </c>
      <c r="C7342" s="164">
        <v>28</v>
      </c>
      <c r="D7342" s="164">
        <f t="shared" si="847"/>
        <v>45775</v>
      </c>
      <c r="E7342" s="235">
        <f t="shared" si="850"/>
        <v>45775</v>
      </c>
      <c r="F7342" s="480"/>
      <c r="G7342" s="208" t="s">
        <v>86</v>
      </c>
      <c r="H7342" s="208"/>
      <c r="J7342" s="165" t="s">
        <v>960</v>
      </c>
      <c r="K7342" s="205">
        <v>22140</v>
      </c>
      <c r="L7342" s="205"/>
    </row>
    <row r="7343" spans="1:12" ht="11.25" customHeight="1" x14ac:dyDescent="0.2">
      <c r="A7343" s="226">
        <v>2025</v>
      </c>
      <c r="B7343" s="226">
        <v>4</v>
      </c>
      <c r="C7343" s="226">
        <v>28</v>
      </c>
      <c r="D7343" s="226">
        <f t="shared" si="847"/>
        <v>45775</v>
      </c>
      <c r="E7343" s="234">
        <f t="shared" si="850"/>
        <v>45775</v>
      </c>
      <c r="F7343" s="479"/>
      <c r="G7343" s="227" t="s">
        <v>86</v>
      </c>
      <c r="H7343" s="227"/>
      <c r="I7343" s="228"/>
      <c r="J7343" s="229" t="s">
        <v>143</v>
      </c>
      <c r="K7343" s="230"/>
      <c r="L7343" s="230">
        <v>12322140</v>
      </c>
    </row>
    <row r="7344" spans="1:12" ht="11.25" customHeight="1" x14ac:dyDescent="0.2">
      <c r="A7344" s="221">
        <v>2025</v>
      </c>
      <c r="B7344" s="221">
        <v>4</v>
      </c>
      <c r="C7344" s="221">
        <v>28</v>
      </c>
      <c r="D7344" s="231">
        <f t="shared" si="847"/>
        <v>45775</v>
      </c>
      <c r="E7344" s="233">
        <f t="shared" si="850"/>
        <v>45775</v>
      </c>
      <c r="F7344" s="478" t="s">
        <v>1859</v>
      </c>
      <c r="G7344" s="222" t="s">
        <v>1111</v>
      </c>
      <c r="H7344" s="223"/>
      <c r="I7344" s="223"/>
      <c r="J7344" s="224" t="s">
        <v>55</v>
      </c>
      <c r="K7344" s="225">
        <v>1967442.3</v>
      </c>
      <c r="L7344" s="225"/>
    </row>
    <row r="7345" spans="1:13" ht="11.25" customHeight="1" x14ac:dyDescent="0.2">
      <c r="A7345" s="226">
        <v>2025</v>
      </c>
      <c r="B7345" s="226">
        <v>4</v>
      </c>
      <c r="C7345" s="226">
        <v>28</v>
      </c>
      <c r="D7345" s="232">
        <f t="shared" si="847"/>
        <v>45775</v>
      </c>
      <c r="E7345" s="234">
        <f t="shared" si="850"/>
        <v>45775</v>
      </c>
      <c r="F7345" s="479"/>
      <c r="G7345" s="227" t="s">
        <v>1111</v>
      </c>
      <c r="H7345" s="228"/>
      <c r="I7345" s="228"/>
      <c r="J7345" s="229" t="s">
        <v>199</v>
      </c>
      <c r="K7345" s="230"/>
      <c r="L7345" s="230">
        <v>1967442.3</v>
      </c>
    </row>
    <row r="7346" spans="1:13" ht="11.25" customHeight="1" x14ac:dyDescent="0.2">
      <c r="A7346" s="221">
        <v>2025</v>
      </c>
      <c r="B7346" s="221">
        <v>4</v>
      </c>
      <c r="C7346" s="221">
        <v>29</v>
      </c>
      <c r="D7346" s="231">
        <f t="shared" si="847"/>
        <v>45776</v>
      </c>
      <c r="E7346" s="233">
        <f t="shared" ref="E7346:E7347" si="851">DATE(A7346,B7346,C7346)</f>
        <v>45776</v>
      </c>
      <c r="F7346" s="478" t="s">
        <v>1859</v>
      </c>
      <c r="G7346" s="222" t="s">
        <v>1111</v>
      </c>
      <c r="H7346" s="223"/>
      <c r="I7346" s="223"/>
      <c r="J7346" s="224" t="s">
        <v>55</v>
      </c>
      <c r="K7346" s="225">
        <v>1294487.43</v>
      </c>
      <c r="L7346" s="225"/>
    </row>
    <row r="7347" spans="1:13" ht="11.25" customHeight="1" x14ac:dyDescent="0.2">
      <c r="A7347" s="226">
        <v>2025</v>
      </c>
      <c r="B7347" s="226">
        <v>4</v>
      </c>
      <c r="C7347" s="226">
        <v>29</v>
      </c>
      <c r="D7347" s="232">
        <f t="shared" si="847"/>
        <v>45776</v>
      </c>
      <c r="E7347" s="234">
        <f t="shared" si="851"/>
        <v>45776</v>
      </c>
      <c r="F7347" s="479"/>
      <c r="G7347" s="227" t="s">
        <v>1111</v>
      </c>
      <c r="H7347" s="228"/>
      <c r="I7347" s="228"/>
      <c r="J7347" s="229" t="s">
        <v>199</v>
      </c>
      <c r="K7347" s="230"/>
      <c r="L7347" s="230">
        <v>1294487.43</v>
      </c>
    </row>
    <row r="7348" spans="1:13" ht="11.25" customHeight="1" x14ac:dyDescent="0.2">
      <c r="A7348" s="221">
        <v>2025</v>
      </c>
      <c r="B7348" s="221">
        <v>4</v>
      </c>
      <c r="C7348" s="221">
        <v>29</v>
      </c>
      <c r="D7348" s="231">
        <f t="shared" si="847"/>
        <v>45776</v>
      </c>
      <c r="E7348" s="233">
        <f t="shared" ref="E7348:E7353" si="852">DATE(A7348,B7348,C7348)</f>
        <v>45776</v>
      </c>
      <c r="F7348" s="478" t="s">
        <v>1843</v>
      </c>
      <c r="G7348" s="222" t="s">
        <v>1111</v>
      </c>
      <c r="H7348" s="223"/>
      <c r="I7348" s="223"/>
      <c r="J7348" s="224" t="s">
        <v>55</v>
      </c>
      <c r="K7348" s="225">
        <v>2873917</v>
      </c>
      <c r="L7348" s="225"/>
    </row>
    <row r="7349" spans="1:13" ht="11.25" customHeight="1" x14ac:dyDescent="0.2">
      <c r="A7349" s="226">
        <v>2025</v>
      </c>
      <c r="B7349" s="226">
        <v>4</v>
      </c>
      <c r="C7349" s="226">
        <v>29</v>
      </c>
      <c r="D7349" s="232">
        <f t="shared" si="847"/>
        <v>45776</v>
      </c>
      <c r="E7349" s="234">
        <f t="shared" si="852"/>
        <v>45776</v>
      </c>
      <c r="F7349" s="479"/>
      <c r="G7349" s="227" t="s">
        <v>1111</v>
      </c>
      <c r="H7349" s="228"/>
      <c r="I7349" s="228"/>
      <c r="J7349" s="229" t="s">
        <v>199</v>
      </c>
      <c r="K7349" s="230"/>
      <c r="L7349" s="230">
        <v>2873917</v>
      </c>
    </row>
    <row r="7350" spans="1:13" ht="11.25" customHeight="1" x14ac:dyDescent="0.2">
      <c r="A7350" s="221">
        <v>2025</v>
      </c>
      <c r="B7350" s="221">
        <v>4</v>
      </c>
      <c r="C7350" s="231">
        <v>29</v>
      </c>
      <c r="D7350" s="231">
        <f t="shared" si="847"/>
        <v>45776</v>
      </c>
      <c r="E7350" s="233">
        <f t="shared" si="852"/>
        <v>45776</v>
      </c>
      <c r="F7350" s="478" t="s">
        <v>1871</v>
      </c>
      <c r="G7350" s="222" t="s">
        <v>1111</v>
      </c>
      <c r="H7350" s="223"/>
      <c r="I7350" s="223"/>
      <c r="J7350" s="224" t="s">
        <v>961</v>
      </c>
      <c r="K7350" s="225">
        <v>12322140</v>
      </c>
      <c r="L7350" s="225"/>
    </row>
    <row r="7351" spans="1:13" ht="11.25" customHeight="1" x14ac:dyDescent="0.2">
      <c r="A7351" s="226">
        <v>2025</v>
      </c>
      <c r="B7351" s="226">
        <v>4</v>
      </c>
      <c r="C7351" s="232">
        <v>29</v>
      </c>
      <c r="D7351" s="232">
        <f t="shared" si="847"/>
        <v>45776</v>
      </c>
      <c r="E7351" s="234">
        <f t="shared" si="852"/>
        <v>45776</v>
      </c>
      <c r="F7351" s="479"/>
      <c r="G7351" s="227" t="s">
        <v>1111</v>
      </c>
      <c r="H7351" s="228"/>
      <c r="I7351" s="228"/>
      <c r="J7351" s="229" t="s">
        <v>55</v>
      </c>
      <c r="K7351" s="230"/>
      <c r="L7351" s="230">
        <v>12322140</v>
      </c>
    </row>
    <row r="7352" spans="1:13" ht="11.25" customHeight="1" x14ac:dyDescent="0.2">
      <c r="A7352" s="221">
        <v>2025</v>
      </c>
      <c r="B7352" s="221">
        <v>4</v>
      </c>
      <c r="C7352" s="221">
        <v>29</v>
      </c>
      <c r="D7352" s="231">
        <f t="shared" si="847"/>
        <v>45776</v>
      </c>
      <c r="E7352" s="233">
        <f t="shared" si="852"/>
        <v>45776</v>
      </c>
      <c r="F7352" s="478" t="s">
        <v>1670</v>
      </c>
      <c r="G7352" s="222" t="s">
        <v>1111</v>
      </c>
      <c r="H7352" s="223"/>
      <c r="I7352" s="223"/>
      <c r="J7352" s="224" t="s">
        <v>63</v>
      </c>
      <c r="K7352" s="225">
        <v>100</v>
      </c>
      <c r="L7352" s="225"/>
    </row>
    <row r="7353" spans="1:13" ht="11.25" customHeight="1" x14ac:dyDescent="0.2">
      <c r="A7353" s="226">
        <v>2025</v>
      </c>
      <c r="B7353" s="226">
        <v>4</v>
      </c>
      <c r="C7353" s="226">
        <v>29</v>
      </c>
      <c r="D7353" s="232">
        <f t="shared" si="847"/>
        <v>45776</v>
      </c>
      <c r="E7353" s="234">
        <f t="shared" si="852"/>
        <v>45776</v>
      </c>
      <c r="F7353" s="479"/>
      <c r="G7353" s="227" t="s">
        <v>1111</v>
      </c>
      <c r="H7353" s="228"/>
      <c r="I7353" s="228"/>
      <c r="J7353" s="229" t="s">
        <v>55</v>
      </c>
      <c r="K7353" s="230"/>
      <c r="L7353" s="230">
        <v>100</v>
      </c>
    </row>
    <row r="7354" spans="1:13" ht="11.25" customHeight="1" x14ac:dyDescent="0.2">
      <c r="A7354" s="221">
        <v>2025</v>
      </c>
      <c r="B7354" s="221">
        <v>4</v>
      </c>
      <c r="C7354" s="221">
        <v>29</v>
      </c>
      <c r="D7354" s="231">
        <f t="shared" si="847"/>
        <v>45776</v>
      </c>
      <c r="E7354" s="233">
        <f t="shared" ref="E7354:E7383" si="853">DATE(A7354,B7354,C7354)</f>
        <v>45776</v>
      </c>
      <c r="F7354" s="478" t="s">
        <v>1844</v>
      </c>
      <c r="G7354" s="222" t="s">
        <v>1111</v>
      </c>
      <c r="H7354" s="223"/>
      <c r="I7354" s="223"/>
      <c r="J7354" s="224" t="s">
        <v>55</v>
      </c>
      <c r="K7354" s="225">
        <v>1212901.3400000001</v>
      </c>
      <c r="L7354" s="225"/>
    </row>
    <row r="7355" spans="1:13" ht="11.25" customHeight="1" x14ac:dyDescent="0.2">
      <c r="A7355" s="226">
        <v>2025</v>
      </c>
      <c r="B7355" s="226">
        <v>4</v>
      </c>
      <c r="C7355" s="226">
        <v>29</v>
      </c>
      <c r="D7355" s="232">
        <f t="shared" si="847"/>
        <v>45776</v>
      </c>
      <c r="E7355" s="234">
        <f t="shared" si="853"/>
        <v>45776</v>
      </c>
      <c r="F7355" s="479"/>
      <c r="G7355" s="227" t="s">
        <v>1111</v>
      </c>
      <c r="H7355" s="228"/>
      <c r="I7355" s="228"/>
      <c r="J7355" s="229" t="s">
        <v>199</v>
      </c>
      <c r="K7355" s="230"/>
      <c r="L7355" s="230">
        <v>1212901.3400000001</v>
      </c>
    </row>
    <row r="7356" spans="1:13" ht="11.25" customHeight="1" x14ac:dyDescent="0.2">
      <c r="A7356" s="164">
        <v>2025</v>
      </c>
      <c r="B7356" s="164">
        <v>4</v>
      </c>
      <c r="C7356" s="164">
        <v>29</v>
      </c>
      <c r="D7356" s="164">
        <f t="shared" si="847"/>
        <v>45776</v>
      </c>
      <c r="E7356" s="235">
        <f t="shared" si="853"/>
        <v>45776</v>
      </c>
      <c r="F7356" s="480" t="s">
        <v>1589</v>
      </c>
      <c r="G7356" s="208" t="s">
        <v>86</v>
      </c>
      <c r="H7356" s="208"/>
      <c r="J7356" s="165" t="s">
        <v>199</v>
      </c>
      <c r="K7356" s="205">
        <v>5726823</v>
      </c>
      <c r="L7356" s="205"/>
    </row>
    <row r="7357" spans="1:13" ht="11.25" customHeight="1" x14ac:dyDescent="0.2">
      <c r="A7357" s="164">
        <v>2025</v>
      </c>
      <c r="B7357" s="164">
        <v>4</v>
      </c>
      <c r="C7357" s="164">
        <v>29</v>
      </c>
      <c r="D7357" s="164">
        <f t="shared" si="847"/>
        <v>45776</v>
      </c>
      <c r="E7357" s="235">
        <f t="shared" si="853"/>
        <v>45776</v>
      </c>
      <c r="F7357" s="480"/>
      <c r="G7357" s="208" t="s">
        <v>86</v>
      </c>
      <c r="H7357" s="208"/>
      <c r="J7357" s="165" t="s">
        <v>960</v>
      </c>
      <c r="K7357" s="205">
        <v>10327.200000000001</v>
      </c>
      <c r="L7357" s="205"/>
      <c r="M7357" s="401"/>
    </row>
    <row r="7358" spans="1:13" ht="11.25" customHeight="1" x14ac:dyDescent="0.2">
      <c r="A7358" s="164">
        <v>2025</v>
      </c>
      <c r="B7358" s="164">
        <v>4</v>
      </c>
      <c r="C7358" s="164">
        <v>29</v>
      </c>
      <c r="D7358" s="164">
        <f t="shared" si="847"/>
        <v>45776</v>
      </c>
      <c r="E7358" s="235">
        <f t="shared" si="853"/>
        <v>45776</v>
      </c>
      <c r="F7358" s="480"/>
      <c r="G7358" s="208" t="s">
        <v>86</v>
      </c>
      <c r="H7358" s="208"/>
      <c r="J7358" s="165" t="s">
        <v>200</v>
      </c>
      <c r="K7358" s="205"/>
      <c r="L7358" s="205">
        <v>705956</v>
      </c>
    </row>
    <row r="7359" spans="1:13" ht="11.25" customHeight="1" x14ac:dyDescent="0.2">
      <c r="A7359" s="226">
        <v>2025</v>
      </c>
      <c r="B7359" s="226">
        <v>4</v>
      </c>
      <c r="C7359" s="226">
        <v>29</v>
      </c>
      <c r="D7359" s="226">
        <f t="shared" si="847"/>
        <v>45776</v>
      </c>
      <c r="E7359" s="234">
        <f t="shared" si="853"/>
        <v>45776</v>
      </c>
      <c r="F7359" s="479"/>
      <c r="G7359" s="227" t="s">
        <v>86</v>
      </c>
      <c r="H7359" s="228"/>
      <c r="I7359" s="228"/>
      <c r="J7359" s="229" t="s">
        <v>80</v>
      </c>
      <c r="K7359" s="230"/>
      <c r="L7359" s="230">
        <v>5031194.2</v>
      </c>
    </row>
    <row r="7360" spans="1:13" ht="11.25" customHeight="1" x14ac:dyDescent="0.2">
      <c r="A7360" s="221">
        <v>2025</v>
      </c>
      <c r="B7360" s="221">
        <v>4</v>
      </c>
      <c r="C7360" s="221">
        <v>30</v>
      </c>
      <c r="D7360" s="231">
        <f t="shared" si="847"/>
        <v>45777</v>
      </c>
      <c r="E7360" s="233">
        <f t="shared" si="853"/>
        <v>45777</v>
      </c>
      <c r="F7360" s="478" t="s">
        <v>1670</v>
      </c>
      <c r="G7360" s="222" t="s">
        <v>1111</v>
      </c>
      <c r="H7360" s="223"/>
      <c r="I7360" s="223"/>
      <c r="J7360" s="224" t="s">
        <v>63</v>
      </c>
      <c r="K7360" s="225">
        <v>100</v>
      </c>
      <c r="L7360" s="225"/>
    </row>
    <row r="7361" spans="1:13" ht="11.25" customHeight="1" x14ac:dyDescent="0.2">
      <c r="A7361" s="226">
        <v>2025</v>
      </c>
      <c r="B7361" s="226">
        <v>4</v>
      </c>
      <c r="C7361" s="226">
        <v>30</v>
      </c>
      <c r="D7361" s="232">
        <f t="shared" si="847"/>
        <v>45777</v>
      </c>
      <c r="E7361" s="234">
        <f t="shared" si="853"/>
        <v>45777</v>
      </c>
      <c r="F7361" s="479"/>
      <c r="G7361" s="227" t="s">
        <v>1111</v>
      </c>
      <c r="H7361" s="228"/>
      <c r="I7361" s="228"/>
      <c r="J7361" s="229" t="s">
        <v>55</v>
      </c>
      <c r="K7361" s="230"/>
      <c r="L7361" s="230">
        <v>100</v>
      </c>
    </row>
    <row r="7362" spans="1:13" ht="11.25" customHeight="1" x14ac:dyDescent="0.2">
      <c r="A7362" s="221">
        <v>2025</v>
      </c>
      <c r="B7362" s="221">
        <v>4</v>
      </c>
      <c r="C7362" s="221">
        <v>30</v>
      </c>
      <c r="D7362" s="231">
        <f t="shared" si="847"/>
        <v>45777</v>
      </c>
      <c r="E7362" s="233">
        <f t="shared" si="853"/>
        <v>45777</v>
      </c>
      <c r="F7362" s="478" t="s">
        <v>1864</v>
      </c>
      <c r="G7362" s="222" t="s">
        <v>1111</v>
      </c>
      <c r="H7362" s="222"/>
      <c r="I7362" s="223"/>
      <c r="J7362" s="224" t="s">
        <v>1615</v>
      </c>
      <c r="K7362" s="357">
        <v>1564438.26</v>
      </c>
      <c r="L7362" s="225"/>
    </row>
    <row r="7363" spans="1:13" ht="11.25" customHeight="1" x14ac:dyDescent="0.2">
      <c r="A7363" s="226">
        <v>2025</v>
      </c>
      <c r="B7363" s="226">
        <v>4</v>
      </c>
      <c r="C7363" s="226">
        <v>30</v>
      </c>
      <c r="D7363" s="226">
        <f t="shared" si="847"/>
        <v>45777</v>
      </c>
      <c r="E7363" s="234">
        <f t="shared" si="853"/>
        <v>45777</v>
      </c>
      <c r="F7363" s="479"/>
      <c r="G7363" s="227" t="s">
        <v>1111</v>
      </c>
      <c r="H7363" s="227"/>
      <c r="I7363" s="228"/>
      <c r="J7363" s="229" t="s">
        <v>55</v>
      </c>
      <c r="K7363" s="294"/>
      <c r="L7363" s="230">
        <v>1564438.26</v>
      </c>
    </row>
    <row r="7364" spans="1:13" ht="11.25" customHeight="1" x14ac:dyDescent="0.2">
      <c r="A7364" s="164">
        <v>2025</v>
      </c>
      <c r="B7364" s="164">
        <v>4</v>
      </c>
      <c r="C7364" s="164">
        <v>30</v>
      </c>
      <c r="D7364" s="164">
        <f t="shared" si="847"/>
        <v>45777</v>
      </c>
      <c r="E7364" s="235">
        <f t="shared" ref="E7364:E7367" si="854">DATE(A7364,B7364,C7364)</f>
        <v>45777</v>
      </c>
      <c r="F7364" s="480" t="s">
        <v>1589</v>
      </c>
      <c r="G7364" s="208" t="s">
        <v>86</v>
      </c>
      <c r="H7364" s="208"/>
      <c r="J7364" s="165" t="s">
        <v>199</v>
      </c>
      <c r="K7364" s="205">
        <v>1650446</v>
      </c>
      <c r="L7364" s="205"/>
    </row>
    <row r="7365" spans="1:13" ht="11.25" customHeight="1" x14ac:dyDescent="0.2">
      <c r="A7365" s="164">
        <v>2025</v>
      </c>
      <c r="B7365" s="164">
        <v>4</v>
      </c>
      <c r="C7365" s="164">
        <v>30</v>
      </c>
      <c r="D7365" s="164">
        <f t="shared" si="847"/>
        <v>45777</v>
      </c>
      <c r="E7365" s="235">
        <f t="shared" si="854"/>
        <v>45777</v>
      </c>
      <c r="F7365" s="480"/>
      <c r="G7365" s="208" t="s">
        <v>86</v>
      </c>
      <c r="H7365" s="208"/>
      <c r="J7365" s="165" t="s">
        <v>960</v>
      </c>
      <c r="K7365" s="205">
        <v>2976.4</v>
      </c>
      <c r="L7365" s="205"/>
      <c r="M7365" s="401"/>
    </row>
    <row r="7366" spans="1:13" ht="11.25" customHeight="1" x14ac:dyDescent="0.2">
      <c r="A7366" s="164">
        <v>2025</v>
      </c>
      <c r="B7366" s="164">
        <v>4</v>
      </c>
      <c r="C7366" s="164">
        <v>30</v>
      </c>
      <c r="D7366" s="164">
        <f t="shared" si="847"/>
        <v>45777</v>
      </c>
      <c r="E7366" s="235">
        <f t="shared" si="854"/>
        <v>45777</v>
      </c>
      <c r="F7366" s="480"/>
      <c r="G7366" s="208" t="s">
        <v>86</v>
      </c>
      <c r="H7366" s="208"/>
      <c r="J7366" s="165" t="s">
        <v>200</v>
      </c>
      <c r="K7366" s="205"/>
      <c r="L7366" s="205">
        <v>66736.98</v>
      </c>
    </row>
    <row r="7367" spans="1:13" ht="11.25" customHeight="1" x14ac:dyDescent="0.2">
      <c r="A7367" s="226">
        <v>2025</v>
      </c>
      <c r="B7367" s="226">
        <v>4</v>
      </c>
      <c r="C7367" s="226">
        <v>30</v>
      </c>
      <c r="D7367" s="226">
        <f t="shared" si="847"/>
        <v>45777</v>
      </c>
      <c r="E7367" s="234">
        <f t="shared" si="854"/>
        <v>45777</v>
      </c>
      <c r="F7367" s="479"/>
      <c r="G7367" s="227" t="s">
        <v>86</v>
      </c>
      <c r="H7367" s="228"/>
      <c r="I7367" s="228"/>
      <c r="J7367" s="229" t="s">
        <v>80</v>
      </c>
      <c r="K7367" s="230"/>
      <c r="L7367" s="230">
        <v>1586685.42</v>
      </c>
    </row>
    <row r="7368" spans="1:13" ht="11.25" customHeight="1" x14ac:dyDescent="0.2">
      <c r="A7368" s="164">
        <v>2025</v>
      </c>
      <c r="B7368" s="164">
        <v>4</v>
      </c>
      <c r="C7368" s="164">
        <v>30</v>
      </c>
      <c r="D7368" s="164">
        <f t="shared" si="847"/>
        <v>45777</v>
      </c>
      <c r="E7368" s="235">
        <f t="shared" ref="E7368:E7371" si="855">DATE(A7368,B7368,C7368)</f>
        <v>45777</v>
      </c>
      <c r="F7368" s="480" t="s">
        <v>1842</v>
      </c>
      <c r="G7368" s="208" t="s">
        <v>86</v>
      </c>
      <c r="H7368" s="208"/>
      <c r="J7368" s="165" t="s">
        <v>199</v>
      </c>
      <c r="K7368" s="205">
        <v>455179.2</v>
      </c>
      <c r="L7368" s="205"/>
    </row>
    <row r="7369" spans="1:13" ht="11.25" customHeight="1" x14ac:dyDescent="0.2">
      <c r="A7369" s="164">
        <v>2025</v>
      </c>
      <c r="B7369" s="164">
        <v>4</v>
      </c>
      <c r="C7369" s="164">
        <v>30</v>
      </c>
      <c r="D7369" s="164">
        <f t="shared" ref="D7369:D7432" si="856">DATE(A7369,B7369,C7369)</f>
        <v>45777</v>
      </c>
      <c r="E7369" s="235">
        <f t="shared" si="855"/>
        <v>45777</v>
      </c>
      <c r="F7369" s="480"/>
      <c r="G7369" s="208" t="s">
        <v>86</v>
      </c>
      <c r="H7369" s="208"/>
      <c r="J7369" s="165" t="s">
        <v>960</v>
      </c>
      <c r="K7369" s="205">
        <v>820.8</v>
      </c>
      <c r="L7369" s="205"/>
      <c r="M7369" s="401"/>
    </row>
    <row r="7370" spans="1:13" ht="11.25" customHeight="1" x14ac:dyDescent="0.2">
      <c r="A7370" s="164">
        <v>2025</v>
      </c>
      <c r="B7370" s="164">
        <v>4</v>
      </c>
      <c r="C7370" s="164">
        <v>30</v>
      </c>
      <c r="D7370" s="164">
        <f t="shared" si="856"/>
        <v>45777</v>
      </c>
      <c r="E7370" s="235">
        <f t="shared" si="855"/>
        <v>45777</v>
      </c>
      <c r="F7370" s="480"/>
      <c r="G7370" s="208" t="s">
        <v>86</v>
      </c>
      <c r="H7370" s="208"/>
      <c r="J7370" s="165" t="s">
        <v>200</v>
      </c>
      <c r="K7370" s="205">
        <v>15600.9</v>
      </c>
      <c r="L7370" s="205"/>
    </row>
    <row r="7371" spans="1:13" ht="11.25" customHeight="1" x14ac:dyDescent="0.2">
      <c r="A7371" s="226">
        <v>2025</v>
      </c>
      <c r="B7371" s="226">
        <v>4</v>
      </c>
      <c r="C7371" s="226">
        <v>30</v>
      </c>
      <c r="D7371" s="226">
        <f t="shared" si="856"/>
        <v>45777</v>
      </c>
      <c r="E7371" s="234">
        <f t="shared" si="855"/>
        <v>45777</v>
      </c>
      <c r="F7371" s="479"/>
      <c r="G7371" s="227" t="s">
        <v>86</v>
      </c>
      <c r="H7371" s="228"/>
      <c r="I7371" s="228"/>
      <c r="J7371" s="229" t="s">
        <v>80</v>
      </c>
      <c r="K7371" s="230"/>
      <c r="L7371" s="230">
        <v>471600.9</v>
      </c>
    </row>
    <row r="7372" spans="1:13" ht="11.25" customHeight="1" x14ac:dyDescent="0.2">
      <c r="A7372" s="164">
        <v>2025</v>
      </c>
      <c r="B7372" s="164">
        <v>4</v>
      </c>
      <c r="C7372" s="164">
        <v>30</v>
      </c>
      <c r="D7372" s="164">
        <f t="shared" si="856"/>
        <v>45777</v>
      </c>
      <c r="E7372" s="235">
        <f t="shared" ref="E7372:E7375" si="857">DATE(A7372,B7372,C7372)</f>
        <v>45777</v>
      </c>
      <c r="F7372" s="480" t="s">
        <v>1872</v>
      </c>
      <c r="G7372" s="208" t="s">
        <v>86</v>
      </c>
      <c r="H7372" s="208"/>
      <c r="J7372" s="165" t="s">
        <v>199</v>
      </c>
      <c r="K7372" s="205">
        <v>1996407.49</v>
      </c>
      <c r="L7372" s="205"/>
    </row>
    <row r="7373" spans="1:13" ht="11.25" customHeight="1" x14ac:dyDescent="0.2">
      <c r="A7373" s="164">
        <v>2025</v>
      </c>
      <c r="B7373" s="164">
        <v>4</v>
      </c>
      <c r="C7373" s="164">
        <v>30</v>
      </c>
      <c r="D7373" s="164">
        <f t="shared" si="856"/>
        <v>45777</v>
      </c>
      <c r="E7373" s="235">
        <f t="shared" si="857"/>
        <v>45777</v>
      </c>
      <c r="F7373" s="480"/>
      <c r="G7373" s="208" t="s">
        <v>86</v>
      </c>
      <c r="H7373" s="208"/>
      <c r="J7373" s="165" t="s">
        <v>960</v>
      </c>
      <c r="K7373" s="205">
        <v>3600.01</v>
      </c>
      <c r="L7373" s="205"/>
      <c r="M7373" s="401"/>
    </row>
    <row r="7374" spans="1:13" ht="11.25" customHeight="1" x14ac:dyDescent="0.2">
      <c r="A7374" s="164">
        <v>2025</v>
      </c>
      <c r="B7374" s="164">
        <v>4</v>
      </c>
      <c r="C7374" s="164">
        <v>30</v>
      </c>
      <c r="D7374" s="164">
        <f t="shared" si="856"/>
        <v>45777</v>
      </c>
      <c r="E7374" s="235">
        <f t="shared" si="857"/>
        <v>45777</v>
      </c>
      <c r="F7374" s="480"/>
      <c r="G7374" s="208" t="s">
        <v>86</v>
      </c>
      <c r="H7374" s="208"/>
      <c r="J7374" s="165" t="s">
        <v>200</v>
      </c>
      <c r="K7374" s="205"/>
      <c r="L7374" s="205">
        <v>41285.5</v>
      </c>
    </row>
    <row r="7375" spans="1:13" ht="11.25" customHeight="1" x14ac:dyDescent="0.2">
      <c r="A7375" s="226">
        <v>2025</v>
      </c>
      <c r="B7375" s="226">
        <v>4</v>
      </c>
      <c r="C7375" s="226">
        <v>30</v>
      </c>
      <c r="D7375" s="226">
        <f t="shared" si="856"/>
        <v>45777</v>
      </c>
      <c r="E7375" s="234">
        <f t="shared" si="857"/>
        <v>45777</v>
      </c>
      <c r="F7375" s="479"/>
      <c r="G7375" s="227" t="s">
        <v>86</v>
      </c>
      <c r="H7375" s="228"/>
      <c r="I7375" s="228"/>
      <c r="J7375" s="229" t="s">
        <v>80</v>
      </c>
      <c r="K7375" s="230"/>
      <c r="L7375" s="230">
        <v>1958722</v>
      </c>
    </row>
    <row r="7376" spans="1:13" ht="11.25" customHeight="1" x14ac:dyDescent="0.2">
      <c r="A7376" s="280">
        <v>2025</v>
      </c>
      <c r="B7376" s="280">
        <v>4</v>
      </c>
      <c r="C7376" s="280">
        <v>30</v>
      </c>
      <c r="D7376" s="281">
        <f t="shared" si="856"/>
        <v>45777</v>
      </c>
      <c r="E7376" s="282">
        <f t="shared" si="853"/>
        <v>45777</v>
      </c>
      <c r="F7376" s="472" t="s">
        <v>1744</v>
      </c>
      <c r="G7376" s="283" t="s">
        <v>86</v>
      </c>
      <c r="H7376" s="284"/>
      <c r="I7376" s="284"/>
      <c r="J7376" s="285" t="s">
        <v>131</v>
      </c>
      <c r="K7376" s="286">
        <v>19358.330000000002</v>
      </c>
      <c r="L7376" s="286"/>
      <c r="M7376" s="401"/>
    </row>
    <row r="7377" spans="1:13" ht="11.25" customHeight="1" x14ac:dyDescent="0.2">
      <c r="A7377" s="287">
        <v>2025</v>
      </c>
      <c r="B7377" s="287">
        <v>4</v>
      </c>
      <c r="C7377" s="287">
        <v>30</v>
      </c>
      <c r="D7377" s="288">
        <f t="shared" si="856"/>
        <v>45777</v>
      </c>
      <c r="E7377" s="289">
        <f t="shared" si="853"/>
        <v>45777</v>
      </c>
      <c r="F7377" s="473"/>
      <c r="G7377" s="290" t="s">
        <v>86</v>
      </c>
      <c r="H7377" s="291"/>
      <c r="I7377" s="291"/>
      <c r="J7377" s="292" t="s">
        <v>174</v>
      </c>
      <c r="K7377" s="293"/>
      <c r="L7377" s="293">
        <f>K7376</f>
        <v>19358.330000000002</v>
      </c>
    </row>
    <row r="7378" spans="1:13" ht="11.25" customHeight="1" x14ac:dyDescent="0.2">
      <c r="A7378" s="280">
        <v>2025</v>
      </c>
      <c r="B7378" s="280">
        <v>4</v>
      </c>
      <c r="C7378" s="280">
        <v>30</v>
      </c>
      <c r="D7378" s="281">
        <f t="shared" si="856"/>
        <v>45777</v>
      </c>
      <c r="E7378" s="282">
        <f t="shared" si="853"/>
        <v>45777</v>
      </c>
      <c r="F7378" s="472" t="s">
        <v>1584</v>
      </c>
      <c r="G7378" s="283" t="s">
        <v>86</v>
      </c>
      <c r="H7378" s="284"/>
      <c r="I7378" s="284"/>
      <c r="J7378" s="285" t="s">
        <v>131</v>
      </c>
      <c r="K7378" s="286">
        <v>8846.15</v>
      </c>
      <c r="L7378" s="286"/>
      <c r="M7378" s="401"/>
    </row>
    <row r="7379" spans="1:13" ht="11.25" customHeight="1" x14ac:dyDescent="0.2">
      <c r="A7379" s="287">
        <v>2025</v>
      </c>
      <c r="B7379" s="287">
        <v>4</v>
      </c>
      <c r="C7379" s="287">
        <v>30</v>
      </c>
      <c r="D7379" s="288">
        <f t="shared" si="856"/>
        <v>45777</v>
      </c>
      <c r="E7379" s="289">
        <f t="shared" si="853"/>
        <v>45777</v>
      </c>
      <c r="F7379" s="473"/>
      <c r="G7379" s="290" t="s">
        <v>86</v>
      </c>
      <c r="H7379" s="291"/>
      <c r="I7379" s="291"/>
      <c r="J7379" s="292" t="s">
        <v>174</v>
      </c>
      <c r="K7379" s="293"/>
      <c r="L7379" s="293">
        <f>K7378</f>
        <v>8846.15</v>
      </c>
    </row>
    <row r="7380" spans="1:13" ht="11.25" customHeight="1" x14ac:dyDescent="0.2">
      <c r="A7380" s="280">
        <v>2025</v>
      </c>
      <c r="B7380" s="280">
        <v>4</v>
      </c>
      <c r="C7380" s="280">
        <v>30</v>
      </c>
      <c r="D7380" s="281">
        <f t="shared" si="856"/>
        <v>45777</v>
      </c>
      <c r="E7380" s="282">
        <f t="shared" si="853"/>
        <v>45777</v>
      </c>
      <c r="F7380" s="472" t="s">
        <v>1830</v>
      </c>
      <c r="G7380" s="283" t="s">
        <v>86</v>
      </c>
      <c r="H7380" s="284"/>
      <c r="I7380" s="284"/>
      <c r="J7380" s="285" t="s">
        <v>131</v>
      </c>
      <c r="K7380" s="286">
        <v>5040.6492307692261</v>
      </c>
      <c r="L7380" s="286"/>
      <c r="M7380" s="401"/>
    </row>
    <row r="7381" spans="1:13" ht="11.25" customHeight="1" x14ac:dyDescent="0.2">
      <c r="A7381" s="287">
        <v>2025</v>
      </c>
      <c r="B7381" s="287">
        <v>4</v>
      </c>
      <c r="C7381" s="287">
        <v>30</v>
      </c>
      <c r="D7381" s="288">
        <f t="shared" si="856"/>
        <v>45777</v>
      </c>
      <c r="E7381" s="289">
        <f t="shared" si="853"/>
        <v>45777</v>
      </c>
      <c r="F7381" s="473"/>
      <c r="G7381" s="290" t="s">
        <v>86</v>
      </c>
      <c r="H7381" s="291"/>
      <c r="I7381" s="291"/>
      <c r="J7381" s="292" t="s">
        <v>174</v>
      </c>
      <c r="K7381" s="293"/>
      <c r="L7381" s="293">
        <f>K7380</f>
        <v>5040.6492307692261</v>
      </c>
    </row>
    <row r="7382" spans="1:13" ht="11.25" customHeight="1" x14ac:dyDescent="0.2">
      <c r="A7382" s="341">
        <v>2025</v>
      </c>
      <c r="B7382" s="341">
        <v>4</v>
      </c>
      <c r="C7382" s="341">
        <v>30</v>
      </c>
      <c r="D7382" s="328">
        <f t="shared" si="856"/>
        <v>45777</v>
      </c>
      <c r="E7382" s="329">
        <f t="shared" si="853"/>
        <v>45777</v>
      </c>
      <c r="F7382" s="474" t="s">
        <v>1767</v>
      </c>
      <c r="G7382" s="330" t="s">
        <v>86</v>
      </c>
      <c r="H7382" s="332"/>
      <c r="I7382" s="332"/>
      <c r="J7382" s="342" t="s">
        <v>67</v>
      </c>
      <c r="K7382" s="343">
        <v>14255.22</v>
      </c>
      <c r="L7382" s="343"/>
    </row>
    <row r="7383" spans="1:13" ht="11.25" customHeight="1" x14ac:dyDescent="0.2">
      <c r="A7383" s="344">
        <v>2025</v>
      </c>
      <c r="B7383" s="344">
        <v>4</v>
      </c>
      <c r="C7383" s="344">
        <v>30</v>
      </c>
      <c r="D7383" s="337">
        <f t="shared" si="856"/>
        <v>45777</v>
      </c>
      <c r="E7383" s="338">
        <f t="shared" si="853"/>
        <v>45777</v>
      </c>
      <c r="F7383" s="475"/>
      <c r="G7383" s="339" t="s">
        <v>86</v>
      </c>
      <c r="H7383" s="340"/>
      <c r="I7383" s="340"/>
      <c r="J7383" s="345" t="s">
        <v>174</v>
      </c>
      <c r="K7383" s="346"/>
      <c r="L7383" s="346">
        <f>K7382</f>
        <v>14255.22</v>
      </c>
    </row>
    <row r="7384" spans="1:13" ht="11.25" customHeight="1" x14ac:dyDescent="0.2">
      <c r="A7384" s="358">
        <v>2025</v>
      </c>
      <c r="B7384" s="358">
        <v>4</v>
      </c>
      <c r="C7384" s="358">
        <v>30</v>
      </c>
      <c r="D7384" s="312">
        <f t="shared" si="856"/>
        <v>45777</v>
      </c>
      <c r="E7384" s="313">
        <f>DATE(A7384,B7384,C7384)</f>
        <v>45777</v>
      </c>
      <c r="F7384" s="482" t="s">
        <v>1627</v>
      </c>
      <c r="G7384" s="314" t="s">
        <v>86</v>
      </c>
      <c r="H7384" s="324"/>
      <c r="I7384" s="324"/>
      <c r="J7384" s="364" t="s">
        <v>1613</v>
      </c>
      <c r="K7384" s="365">
        <v>0</v>
      </c>
      <c r="L7384" s="365"/>
      <c r="M7384" s="156">
        <f>BS!$I$12</f>
        <v>0</v>
      </c>
    </row>
    <row r="7385" spans="1:13" ht="11.25" customHeight="1" x14ac:dyDescent="0.2">
      <c r="A7385" s="320">
        <v>2025</v>
      </c>
      <c r="B7385" s="320">
        <v>4</v>
      </c>
      <c r="C7385" s="320">
        <v>30</v>
      </c>
      <c r="D7385" s="323">
        <f t="shared" si="856"/>
        <v>45777</v>
      </c>
      <c r="E7385" s="321">
        <f t="shared" ref="E7385" si="858">DATE(A7385,B7385,C7385)</f>
        <v>45777</v>
      </c>
      <c r="F7385" s="483"/>
      <c r="G7385" s="322" t="s">
        <v>86</v>
      </c>
      <c r="H7385" s="325"/>
      <c r="I7385" s="325"/>
      <c r="J7385" s="366" t="s">
        <v>1621</v>
      </c>
      <c r="K7385" s="367"/>
      <c r="L7385" s="367">
        <f>K7384</f>
        <v>0</v>
      </c>
    </row>
    <row r="7386" spans="1:13" ht="11.25" customHeight="1" x14ac:dyDescent="0.2">
      <c r="A7386" s="358">
        <v>2025</v>
      </c>
      <c r="B7386" s="358">
        <v>4</v>
      </c>
      <c r="C7386" s="358">
        <v>30</v>
      </c>
      <c r="D7386" s="312">
        <f t="shared" si="856"/>
        <v>45777</v>
      </c>
      <c r="E7386" s="313">
        <f>DATE(A7386,B7386,C7386)</f>
        <v>45777</v>
      </c>
      <c r="F7386" s="482" t="s">
        <v>1713</v>
      </c>
      <c r="G7386" s="314" t="s">
        <v>86</v>
      </c>
      <c r="H7386" s="324"/>
      <c r="I7386" s="324"/>
      <c r="J7386" s="364" t="s">
        <v>1622</v>
      </c>
      <c r="K7386" s="365">
        <v>69842.561999995261</v>
      </c>
      <c r="L7386" s="365"/>
      <c r="M7386" s="156">
        <f>BS!$I$15</f>
        <v>0</v>
      </c>
    </row>
    <row r="7387" spans="1:13" ht="11.25" customHeight="1" x14ac:dyDescent="0.2">
      <c r="A7387" s="320">
        <v>2025</v>
      </c>
      <c r="B7387" s="320">
        <v>4</v>
      </c>
      <c r="C7387" s="320">
        <v>30</v>
      </c>
      <c r="D7387" s="323">
        <f t="shared" si="856"/>
        <v>45777</v>
      </c>
      <c r="E7387" s="321">
        <f t="shared" ref="E7387:E7420" si="859">DATE(A7387,B7387,C7387)</f>
        <v>45777</v>
      </c>
      <c r="F7387" s="483"/>
      <c r="G7387" s="322" t="s">
        <v>86</v>
      </c>
      <c r="H7387" s="325"/>
      <c r="I7387" s="325"/>
      <c r="J7387" s="366" t="s">
        <v>1614</v>
      </c>
      <c r="K7387" s="367"/>
      <c r="L7387" s="367">
        <f>K7386</f>
        <v>69842.561999995261</v>
      </c>
    </row>
    <row r="7388" spans="1:13" ht="11.25" customHeight="1" x14ac:dyDescent="0.2">
      <c r="A7388" s="236">
        <v>2025</v>
      </c>
      <c r="B7388" s="236">
        <v>4</v>
      </c>
      <c r="C7388" s="236">
        <v>30</v>
      </c>
      <c r="D7388" s="237">
        <f t="shared" si="856"/>
        <v>45777</v>
      </c>
      <c r="E7388" s="238">
        <f t="shared" si="859"/>
        <v>45777</v>
      </c>
      <c r="F7388" s="476" t="s">
        <v>1118</v>
      </c>
      <c r="G7388" s="239" t="s">
        <v>86</v>
      </c>
      <c r="H7388" s="239"/>
      <c r="I7388" s="240"/>
      <c r="J7388" s="241" t="s">
        <v>98</v>
      </c>
      <c r="K7388" s="242">
        <v>484980.40999996662</v>
      </c>
      <c r="L7388" s="242"/>
      <c r="M7388" s="156">
        <f>BS!$I$8</f>
        <v>0</v>
      </c>
    </row>
    <row r="7389" spans="1:13" ht="11.25" customHeight="1" x14ac:dyDescent="0.2">
      <c r="A7389" s="243">
        <v>2025</v>
      </c>
      <c r="B7389" s="243">
        <v>4</v>
      </c>
      <c r="C7389" s="243">
        <v>30</v>
      </c>
      <c r="D7389" s="248">
        <f t="shared" si="856"/>
        <v>45777</v>
      </c>
      <c r="E7389" s="249">
        <f t="shared" si="859"/>
        <v>45777</v>
      </c>
      <c r="F7389" s="477"/>
      <c r="G7389" s="244" t="s">
        <v>86</v>
      </c>
      <c r="H7389" s="244"/>
      <c r="I7389" s="245"/>
      <c r="J7389" s="246" t="s">
        <v>82</v>
      </c>
      <c r="K7389" s="247"/>
      <c r="L7389" s="247">
        <f>K7388</f>
        <v>484980.40999996662</v>
      </c>
    </row>
    <row r="7390" spans="1:13" ht="11.25" customHeight="1" x14ac:dyDescent="0.2">
      <c r="A7390" s="236">
        <v>2025</v>
      </c>
      <c r="B7390" s="236">
        <v>4</v>
      </c>
      <c r="C7390" s="236">
        <v>30</v>
      </c>
      <c r="D7390" s="237">
        <f t="shared" si="856"/>
        <v>45777</v>
      </c>
      <c r="E7390" s="238">
        <f t="shared" si="859"/>
        <v>45777</v>
      </c>
      <c r="F7390" s="476" t="s">
        <v>1120</v>
      </c>
      <c r="G7390" s="239" t="s">
        <v>86</v>
      </c>
      <c r="H7390" s="239"/>
      <c r="I7390" s="240"/>
      <c r="J7390" s="241" t="s">
        <v>87</v>
      </c>
      <c r="K7390" s="242">
        <v>2747.2527472527472</v>
      </c>
      <c r="L7390" s="242"/>
      <c r="M7390" s="401"/>
    </row>
    <row r="7391" spans="1:13" ht="11.25" customHeight="1" x14ac:dyDescent="0.2">
      <c r="A7391" s="243">
        <v>2025</v>
      </c>
      <c r="B7391" s="243">
        <v>4</v>
      </c>
      <c r="C7391" s="243">
        <v>30</v>
      </c>
      <c r="D7391" s="248">
        <f t="shared" si="856"/>
        <v>45777</v>
      </c>
      <c r="E7391" s="249">
        <f t="shared" si="859"/>
        <v>45777</v>
      </c>
      <c r="F7391" s="477"/>
      <c r="G7391" s="244" t="s">
        <v>86</v>
      </c>
      <c r="H7391" s="244"/>
      <c r="I7391" s="245"/>
      <c r="J7391" s="246" t="s">
        <v>64</v>
      </c>
      <c r="K7391" s="247"/>
      <c r="L7391" s="247">
        <f>K7390</f>
        <v>2747.2527472527472</v>
      </c>
    </row>
    <row r="7392" spans="1:13" ht="11.25" customHeight="1" x14ac:dyDescent="0.2">
      <c r="A7392" s="236">
        <v>2025</v>
      </c>
      <c r="B7392" s="236">
        <v>4</v>
      </c>
      <c r="C7392" s="236">
        <v>30</v>
      </c>
      <c r="D7392" s="237">
        <f t="shared" si="856"/>
        <v>45777</v>
      </c>
      <c r="E7392" s="238">
        <f t="shared" si="859"/>
        <v>45777</v>
      </c>
      <c r="F7392" s="476" t="s">
        <v>1121</v>
      </c>
      <c r="G7392" s="239" t="s">
        <v>86</v>
      </c>
      <c r="H7392" s="239"/>
      <c r="I7392" s="240"/>
      <c r="J7392" s="241" t="s">
        <v>89</v>
      </c>
      <c r="K7392" s="242">
        <f>M7392</f>
        <v>71069.373173996137</v>
      </c>
      <c r="L7392" s="242"/>
      <c r="M7392" s="156">
        <v>71069.373173996137</v>
      </c>
    </row>
    <row r="7393" spans="1:13" ht="11.25" customHeight="1" x14ac:dyDescent="0.2">
      <c r="A7393" s="243">
        <v>2025</v>
      </c>
      <c r="B7393" s="243">
        <v>4</v>
      </c>
      <c r="C7393" s="243">
        <v>30</v>
      </c>
      <c r="D7393" s="248">
        <f t="shared" si="856"/>
        <v>45777</v>
      </c>
      <c r="E7393" s="249">
        <f t="shared" si="859"/>
        <v>45777</v>
      </c>
      <c r="F7393" s="477"/>
      <c r="G7393" s="244" t="s">
        <v>86</v>
      </c>
      <c r="H7393" s="244"/>
      <c r="I7393" s="245"/>
      <c r="J7393" s="246" t="s">
        <v>50</v>
      </c>
      <c r="K7393" s="247"/>
      <c r="L7393" s="247">
        <f>K7392</f>
        <v>71069.373173996137</v>
      </c>
      <c r="M7393" s="156">
        <v>3313.0840433151916</v>
      </c>
    </row>
    <row r="7394" spans="1:13" ht="11.25" customHeight="1" x14ac:dyDescent="0.2">
      <c r="A7394" s="236">
        <v>2025</v>
      </c>
      <c r="B7394" s="236">
        <v>4</v>
      </c>
      <c r="C7394" s="236">
        <v>30</v>
      </c>
      <c r="D7394" s="237">
        <f t="shared" si="856"/>
        <v>45777</v>
      </c>
      <c r="E7394" s="238">
        <f t="shared" si="859"/>
        <v>45777</v>
      </c>
      <c r="F7394" s="476" t="s">
        <v>1122</v>
      </c>
      <c r="G7394" s="239" t="s">
        <v>86</v>
      </c>
      <c r="H7394" s="239"/>
      <c r="I7394" s="240"/>
      <c r="J7394" s="241" t="s">
        <v>91</v>
      </c>
      <c r="K7394" s="242">
        <f>M7393</f>
        <v>3313.0840433151916</v>
      </c>
      <c r="L7394" s="242"/>
    </row>
    <row r="7395" spans="1:13" ht="11.25" customHeight="1" x14ac:dyDescent="0.2">
      <c r="A7395" s="243">
        <v>2025</v>
      </c>
      <c r="B7395" s="243">
        <v>4</v>
      </c>
      <c r="C7395" s="243">
        <v>30</v>
      </c>
      <c r="D7395" s="248">
        <f t="shared" si="856"/>
        <v>45777</v>
      </c>
      <c r="E7395" s="249">
        <f t="shared" si="859"/>
        <v>45777</v>
      </c>
      <c r="F7395" s="477"/>
      <c r="G7395" s="244" t="s">
        <v>86</v>
      </c>
      <c r="H7395" s="244"/>
      <c r="I7395" s="245"/>
      <c r="J7395" s="246" t="s">
        <v>51</v>
      </c>
      <c r="K7395" s="247"/>
      <c r="L7395" s="247">
        <f>K7394</f>
        <v>3313.0840433151916</v>
      </c>
    </row>
    <row r="7396" spans="1:13" ht="11.25" customHeight="1" x14ac:dyDescent="0.2">
      <c r="A7396" s="221">
        <v>2025</v>
      </c>
      <c r="B7396" s="221">
        <v>5</v>
      </c>
      <c r="C7396" s="221">
        <v>4</v>
      </c>
      <c r="D7396" s="231">
        <f t="shared" si="856"/>
        <v>45781</v>
      </c>
      <c r="E7396" s="233">
        <f t="shared" si="859"/>
        <v>45781</v>
      </c>
      <c r="F7396" s="478" t="s">
        <v>1843</v>
      </c>
      <c r="G7396" s="222" t="s">
        <v>1111</v>
      </c>
      <c r="H7396" s="223"/>
      <c r="I7396" s="223"/>
      <c r="J7396" s="224" t="s">
        <v>55</v>
      </c>
      <c r="K7396" s="225">
        <v>5726823</v>
      </c>
      <c r="L7396" s="225"/>
    </row>
    <row r="7397" spans="1:13" ht="11.25" customHeight="1" x14ac:dyDescent="0.2">
      <c r="A7397" s="226">
        <v>2025</v>
      </c>
      <c r="B7397" s="226">
        <v>5</v>
      </c>
      <c r="C7397" s="226">
        <v>4</v>
      </c>
      <c r="D7397" s="232">
        <f t="shared" si="856"/>
        <v>45781</v>
      </c>
      <c r="E7397" s="234">
        <f t="shared" si="859"/>
        <v>45781</v>
      </c>
      <c r="F7397" s="479"/>
      <c r="G7397" s="227" t="s">
        <v>1111</v>
      </c>
      <c r="H7397" s="228"/>
      <c r="I7397" s="228"/>
      <c r="J7397" s="229" t="s">
        <v>199</v>
      </c>
      <c r="K7397" s="230"/>
      <c r="L7397" s="230">
        <v>5726823</v>
      </c>
    </row>
    <row r="7398" spans="1:13" ht="11.25" customHeight="1" x14ac:dyDescent="0.2">
      <c r="A7398" s="164">
        <v>2025</v>
      </c>
      <c r="B7398" s="164">
        <v>5</v>
      </c>
      <c r="C7398" s="164">
        <v>4</v>
      </c>
      <c r="D7398" s="164">
        <f t="shared" si="856"/>
        <v>45781</v>
      </c>
      <c r="E7398" s="235">
        <f t="shared" si="859"/>
        <v>45781</v>
      </c>
      <c r="F7398" s="480" t="s">
        <v>1872</v>
      </c>
      <c r="G7398" s="208" t="s">
        <v>86</v>
      </c>
      <c r="H7398" s="208"/>
      <c r="J7398" s="165" t="s">
        <v>199</v>
      </c>
      <c r="K7398" s="205">
        <v>936866.6</v>
      </c>
      <c r="L7398" s="205"/>
    </row>
    <row r="7399" spans="1:13" ht="11.25" customHeight="1" x14ac:dyDescent="0.2">
      <c r="A7399" s="164">
        <v>2025</v>
      </c>
      <c r="B7399" s="164">
        <v>5</v>
      </c>
      <c r="C7399" s="164">
        <v>4</v>
      </c>
      <c r="D7399" s="164">
        <f t="shared" si="856"/>
        <v>45781</v>
      </c>
      <c r="E7399" s="235">
        <f t="shared" si="859"/>
        <v>45781</v>
      </c>
      <c r="F7399" s="480"/>
      <c r="G7399" s="208" t="s">
        <v>86</v>
      </c>
      <c r="H7399" s="208"/>
      <c r="J7399" s="165" t="s">
        <v>960</v>
      </c>
      <c r="K7399" s="205">
        <v>1689.4</v>
      </c>
      <c r="L7399" s="205"/>
      <c r="M7399" s="401"/>
    </row>
    <row r="7400" spans="1:13" ht="11.25" customHeight="1" x14ac:dyDescent="0.2">
      <c r="A7400" s="164">
        <v>2025</v>
      </c>
      <c r="B7400" s="164">
        <v>5</v>
      </c>
      <c r="C7400" s="164">
        <v>4</v>
      </c>
      <c r="D7400" s="164">
        <f t="shared" si="856"/>
        <v>45781</v>
      </c>
      <c r="E7400" s="235">
        <f t="shared" si="859"/>
        <v>45781</v>
      </c>
      <c r="F7400" s="480"/>
      <c r="G7400" s="208" t="s">
        <v>86</v>
      </c>
      <c r="H7400" s="208"/>
      <c r="J7400" s="165" t="s">
        <v>200</v>
      </c>
      <c r="K7400" s="205">
        <v>97121.45</v>
      </c>
      <c r="L7400" s="156"/>
    </row>
    <row r="7401" spans="1:13" ht="11.25" customHeight="1" x14ac:dyDescent="0.2">
      <c r="A7401" s="226">
        <v>2025</v>
      </c>
      <c r="B7401" s="226">
        <v>5</v>
      </c>
      <c r="C7401" s="226">
        <v>4</v>
      </c>
      <c r="D7401" s="226">
        <f t="shared" si="856"/>
        <v>45781</v>
      </c>
      <c r="E7401" s="234">
        <f t="shared" si="859"/>
        <v>45781</v>
      </c>
      <c r="F7401" s="479"/>
      <c r="G7401" s="227" t="s">
        <v>86</v>
      </c>
      <c r="H7401" s="228"/>
      <c r="I7401" s="228"/>
      <c r="J7401" s="229" t="s">
        <v>80</v>
      </c>
      <c r="K7401" s="230"/>
      <c r="L7401" s="230">
        <v>1035677.45</v>
      </c>
    </row>
    <row r="7402" spans="1:13" ht="11.25" customHeight="1" x14ac:dyDescent="0.2">
      <c r="A7402" s="221">
        <v>2025</v>
      </c>
      <c r="B7402" s="221">
        <v>5</v>
      </c>
      <c r="C7402" s="221">
        <v>4</v>
      </c>
      <c r="D7402" s="231">
        <f t="shared" si="856"/>
        <v>45781</v>
      </c>
      <c r="E7402" s="233">
        <f t="shared" si="859"/>
        <v>45781</v>
      </c>
      <c r="F7402" s="478" t="s">
        <v>1196</v>
      </c>
      <c r="G7402" s="222" t="s">
        <v>1111</v>
      </c>
      <c r="H7402" s="223"/>
      <c r="I7402" s="223"/>
      <c r="J7402" s="224" t="s">
        <v>95</v>
      </c>
      <c r="K7402" s="225">
        <v>980.31</v>
      </c>
      <c r="L7402" s="225"/>
      <c r="M7402" s="166"/>
    </row>
    <row r="7403" spans="1:13" ht="11.25" customHeight="1" x14ac:dyDescent="0.2">
      <c r="A7403" s="164">
        <v>2025</v>
      </c>
      <c r="B7403" s="164">
        <v>5</v>
      </c>
      <c r="C7403" s="164">
        <v>4</v>
      </c>
      <c r="D7403" s="156">
        <f t="shared" si="856"/>
        <v>45781</v>
      </c>
      <c r="E7403" s="235">
        <f t="shared" si="859"/>
        <v>45781</v>
      </c>
      <c r="F7403" s="480"/>
      <c r="G7403" s="208" t="s">
        <v>1111</v>
      </c>
      <c r="J7403" s="165" t="s">
        <v>478</v>
      </c>
      <c r="K7403" s="205"/>
      <c r="L7403" s="205">
        <v>98.03</v>
      </c>
    </row>
    <row r="7404" spans="1:13" ht="11.25" customHeight="1" x14ac:dyDescent="0.2">
      <c r="A7404" s="226">
        <v>2025</v>
      </c>
      <c r="B7404" s="226">
        <v>5</v>
      </c>
      <c r="C7404" s="226">
        <v>4</v>
      </c>
      <c r="D7404" s="232">
        <f t="shared" si="856"/>
        <v>45781</v>
      </c>
      <c r="E7404" s="234">
        <f t="shared" si="859"/>
        <v>45781</v>
      </c>
      <c r="F7404" s="479"/>
      <c r="G7404" s="227" t="s">
        <v>1111</v>
      </c>
      <c r="H7404" s="228"/>
      <c r="I7404" s="228"/>
      <c r="J7404" s="229" t="s">
        <v>55</v>
      </c>
      <c r="K7404" s="230"/>
      <c r="L7404" s="230">
        <v>882.28</v>
      </c>
    </row>
    <row r="7405" spans="1:13" ht="11.25" customHeight="1" x14ac:dyDescent="0.2">
      <c r="A7405" s="221">
        <v>2025</v>
      </c>
      <c r="B7405" s="221">
        <v>5</v>
      </c>
      <c r="C7405" s="221">
        <v>4</v>
      </c>
      <c r="D7405" s="231">
        <f t="shared" si="856"/>
        <v>45781</v>
      </c>
      <c r="E7405" s="233">
        <f t="shared" si="859"/>
        <v>45781</v>
      </c>
      <c r="F7405" s="478" t="s">
        <v>802</v>
      </c>
      <c r="G7405" s="222" t="s">
        <v>1111</v>
      </c>
      <c r="H7405" s="223"/>
      <c r="I7405" s="223"/>
      <c r="J7405" s="224" t="s">
        <v>55</v>
      </c>
      <c r="K7405" s="167">
        <v>25000</v>
      </c>
      <c r="L7405" s="225"/>
    </row>
    <row r="7406" spans="1:13" ht="11.25" customHeight="1" x14ac:dyDescent="0.2">
      <c r="A7406" s="164">
        <v>2025</v>
      </c>
      <c r="B7406" s="164">
        <v>5</v>
      </c>
      <c r="C7406" s="164">
        <v>4</v>
      </c>
      <c r="D7406" s="156">
        <f t="shared" si="856"/>
        <v>45781</v>
      </c>
      <c r="E7406" s="235">
        <f t="shared" si="859"/>
        <v>45781</v>
      </c>
      <c r="F7406" s="480"/>
      <c r="G7406" s="208" t="s">
        <v>1111</v>
      </c>
      <c r="J7406" s="165" t="s">
        <v>14</v>
      </c>
      <c r="L7406" s="205">
        <v>23660</v>
      </c>
    </row>
    <row r="7407" spans="1:13" ht="11.25" customHeight="1" x14ac:dyDescent="0.2">
      <c r="A7407" s="226">
        <v>2025</v>
      </c>
      <c r="B7407" s="226">
        <v>5</v>
      </c>
      <c r="C7407" s="226">
        <v>4</v>
      </c>
      <c r="D7407" s="232">
        <f t="shared" si="856"/>
        <v>45781</v>
      </c>
      <c r="E7407" s="234">
        <f t="shared" si="859"/>
        <v>45781</v>
      </c>
      <c r="F7407" s="479"/>
      <c r="G7407" s="227" t="s">
        <v>1111</v>
      </c>
      <c r="H7407" s="228"/>
      <c r="I7407" s="228"/>
      <c r="J7407" s="229" t="s">
        <v>1112</v>
      </c>
      <c r="K7407" s="230"/>
      <c r="L7407" s="230">
        <v>1340</v>
      </c>
    </row>
    <row r="7408" spans="1:13" ht="11.25" customHeight="1" x14ac:dyDescent="0.2">
      <c r="A7408" s="221">
        <v>2025</v>
      </c>
      <c r="B7408" s="221">
        <v>5</v>
      </c>
      <c r="C7408" s="221">
        <v>5</v>
      </c>
      <c r="D7408" s="231">
        <f t="shared" si="856"/>
        <v>45782</v>
      </c>
      <c r="E7408" s="233">
        <f t="shared" ref="E7408:E7409" si="860">DATE(A7408,B7408,C7408)</f>
        <v>45782</v>
      </c>
      <c r="F7408" s="478" t="s">
        <v>1877</v>
      </c>
      <c r="G7408" s="222" t="s">
        <v>1111</v>
      </c>
      <c r="H7408" s="223"/>
      <c r="I7408" s="223"/>
      <c r="J7408" s="224" t="s">
        <v>55</v>
      </c>
      <c r="K7408" s="225">
        <v>1996407.49</v>
      </c>
      <c r="L7408" s="225"/>
    </row>
    <row r="7409" spans="1:12" ht="11.25" customHeight="1" x14ac:dyDescent="0.2">
      <c r="A7409" s="226">
        <v>2025</v>
      </c>
      <c r="B7409" s="226">
        <v>5</v>
      </c>
      <c r="C7409" s="226">
        <v>5</v>
      </c>
      <c r="D7409" s="232">
        <f t="shared" si="856"/>
        <v>45782</v>
      </c>
      <c r="E7409" s="234">
        <f t="shared" si="860"/>
        <v>45782</v>
      </c>
      <c r="F7409" s="479"/>
      <c r="G7409" s="227" t="s">
        <v>1111</v>
      </c>
      <c r="H7409" s="228"/>
      <c r="I7409" s="228"/>
      <c r="J7409" s="229" t="s">
        <v>199</v>
      </c>
      <c r="K7409" s="230"/>
      <c r="L7409" s="230">
        <v>1996407.49</v>
      </c>
    </row>
    <row r="7410" spans="1:12" ht="11.25" customHeight="1" x14ac:dyDescent="0.2">
      <c r="A7410" s="221">
        <v>2025</v>
      </c>
      <c r="B7410" s="221">
        <v>5</v>
      </c>
      <c r="C7410" s="221">
        <v>5</v>
      </c>
      <c r="D7410" s="231">
        <f t="shared" si="856"/>
        <v>45782</v>
      </c>
      <c r="E7410" s="233">
        <f t="shared" si="859"/>
        <v>45782</v>
      </c>
      <c r="F7410" s="478" t="s">
        <v>1873</v>
      </c>
      <c r="G7410" s="222" t="s">
        <v>1111</v>
      </c>
      <c r="H7410" s="223"/>
      <c r="I7410" s="223"/>
      <c r="J7410" s="224" t="s">
        <v>55</v>
      </c>
      <c r="K7410" s="225">
        <v>8995000</v>
      </c>
      <c r="L7410" s="225"/>
    </row>
    <row r="7411" spans="1:12" ht="11.25" customHeight="1" x14ac:dyDescent="0.2">
      <c r="A7411" s="164">
        <v>2025</v>
      </c>
      <c r="B7411" s="164">
        <v>5</v>
      </c>
      <c r="C7411" s="164">
        <v>5</v>
      </c>
      <c r="D7411" s="156">
        <f t="shared" si="856"/>
        <v>45782</v>
      </c>
      <c r="E7411" s="235">
        <f t="shared" si="859"/>
        <v>45782</v>
      </c>
      <c r="F7411" s="480"/>
      <c r="G7411" s="208" t="s">
        <v>1111</v>
      </c>
      <c r="J7411" s="165" t="s">
        <v>63</v>
      </c>
      <c r="K7411" s="205">
        <v>5000</v>
      </c>
      <c r="L7411" s="205"/>
    </row>
    <row r="7412" spans="1:12" ht="11.25" customHeight="1" x14ac:dyDescent="0.2">
      <c r="A7412" s="226">
        <v>2025</v>
      </c>
      <c r="B7412" s="226">
        <v>5</v>
      </c>
      <c r="C7412" s="226">
        <v>5</v>
      </c>
      <c r="D7412" s="232">
        <f t="shared" si="856"/>
        <v>45782</v>
      </c>
      <c r="E7412" s="234">
        <f t="shared" si="859"/>
        <v>45782</v>
      </c>
      <c r="F7412" s="479"/>
      <c r="G7412" s="227" t="s">
        <v>1111</v>
      </c>
      <c r="H7412" s="228"/>
      <c r="I7412" s="228"/>
      <c r="J7412" s="229" t="s">
        <v>88</v>
      </c>
      <c r="K7412" s="230"/>
      <c r="L7412" s="230">
        <v>9000000</v>
      </c>
    </row>
    <row r="7413" spans="1:12" ht="11.25" customHeight="1" x14ac:dyDescent="0.2">
      <c r="A7413" s="221">
        <v>2025</v>
      </c>
      <c r="B7413" s="221">
        <v>5</v>
      </c>
      <c r="C7413" s="221">
        <v>5</v>
      </c>
      <c r="D7413" s="221">
        <f t="shared" si="856"/>
        <v>45782</v>
      </c>
      <c r="E7413" s="233">
        <f t="shared" si="859"/>
        <v>45782</v>
      </c>
      <c r="F7413" s="478" t="s">
        <v>1759</v>
      </c>
      <c r="G7413" s="222" t="s">
        <v>86</v>
      </c>
      <c r="H7413" s="222"/>
      <c r="I7413" s="223"/>
      <c r="J7413" s="224" t="s">
        <v>80</v>
      </c>
      <c r="K7413" s="225">
        <v>731000</v>
      </c>
      <c r="L7413" s="225"/>
    </row>
    <row r="7414" spans="1:12" ht="11.25" customHeight="1" x14ac:dyDescent="0.2">
      <c r="A7414" s="164">
        <v>2025</v>
      </c>
      <c r="B7414" s="164">
        <v>5</v>
      </c>
      <c r="C7414" s="164">
        <v>5</v>
      </c>
      <c r="D7414" s="164">
        <f t="shared" si="856"/>
        <v>45782</v>
      </c>
      <c r="E7414" s="235">
        <f t="shared" si="859"/>
        <v>45782</v>
      </c>
      <c r="F7414" s="480"/>
      <c r="G7414" s="208" t="s">
        <v>86</v>
      </c>
      <c r="H7414" s="208"/>
      <c r="J7414" s="165" t="s">
        <v>960</v>
      </c>
      <c r="K7414" s="205">
        <v>1315.8</v>
      </c>
      <c r="L7414" s="205"/>
    </row>
    <row r="7415" spans="1:12" ht="11.25" customHeight="1" x14ac:dyDescent="0.2">
      <c r="A7415" s="226">
        <v>2025</v>
      </c>
      <c r="B7415" s="226">
        <v>5</v>
      </c>
      <c r="C7415" s="226">
        <v>5</v>
      </c>
      <c r="D7415" s="226">
        <f t="shared" si="856"/>
        <v>45782</v>
      </c>
      <c r="E7415" s="234">
        <f t="shared" si="859"/>
        <v>45782</v>
      </c>
      <c r="F7415" s="479"/>
      <c r="G7415" s="227" t="s">
        <v>86</v>
      </c>
      <c r="H7415" s="227"/>
      <c r="I7415" s="228"/>
      <c r="J7415" s="229" t="s">
        <v>143</v>
      </c>
      <c r="K7415" s="230"/>
      <c r="L7415" s="230">
        <v>732315.8</v>
      </c>
    </row>
    <row r="7416" spans="1:12" ht="11.25" customHeight="1" x14ac:dyDescent="0.2">
      <c r="A7416" s="221">
        <v>2025</v>
      </c>
      <c r="B7416" s="221">
        <v>5</v>
      </c>
      <c r="C7416" s="221">
        <v>5</v>
      </c>
      <c r="D7416" s="221">
        <f t="shared" si="856"/>
        <v>45782</v>
      </c>
      <c r="E7416" s="233">
        <f t="shared" si="859"/>
        <v>45782</v>
      </c>
      <c r="F7416" s="478" t="s">
        <v>1874</v>
      </c>
      <c r="G7416" s="222" t="s">
        <v>86</v>
      </c>
      <c r="H7416" s="222"/>
      <c r="I7416" s="223"/>
      <c r="J7416" s="224" t="s">
        <v>80</v>
      </c>
      <c r="K7416" s="225">
        <v>1603000</v>
      </c>
      <c r="L7416" s="225"/>
    </row>
    <row r="7417" spans="1:12" ht="11.25" customHeight="1" x14ac:dyDescent="0.2">
      <c r="A7417" s="164">
        <v>2025</v>
      </c>
      <c r="B7417" s="164">
        <v>5</v>
      </c>
      <c r="C7417" s="164">
        <v>5</v>
      </c>
      <c r="D7417" s="164">
        <f t="shared" si="856"/>
        <v>45782</v>
      </c>
      <c r="E7417" s="235">
        <f t="shared" si="859"/>
        <v>45782</v>
      </c>
      <c r="F7417" s="480"/>
      <c r="G7417" s="208" t="s">
        <v>86</v>
      </c>
      <c r="H7417" s="208"/>
      <c r="J7417" s="165" t="s">
        <v>960</v>
      </c>
      <c r="K7417" s="205">
        <v>6000.06</v>
      </c>
      <c r="L7417" s="205"/>
    </row>
    <row r="7418" spans="1:12" ht="11.25" customHeight="1" x14ac:dyDescent="0.2">
      <c r="A7418" s="164">
        <v>2025</v>
      </c>
      <c r="B7418" s="164">
        <v>5</v>
      </c>
      <c r="C7418" s="164">
        <v>5</v>
      </c>
      <c r="D7418" s="164">
        <f t="shared" si="856"/>
        <v>45782</v>
      </c>
      <c r="E7418" s="235">
        <f t="shared" si="859"/>
        <v>45782</v>
      </c>
      <c r="F7418" s="480"/>
      <c r="G7418" s="208" t="s">
        <v>86</v>
      </c>
      <c r="H7418" s="208"/>
      <c r="J7418" s="165" t="s">
        <v>199</v>
      </c>
      <c r="K7418" s="205">
        <v>121365.64</v>
      </c>
      <c r="L7418" s="205"/>
    </row>
    <row r="7419" spans="1:12" ht="11.25" customHeight="1" x14ac:dyDescent="0.2">
      <c r="A7419" s="164">
        <v>2025</v>
      </c>
      <c r="B7419" s="164">
        <v>5</v>
      </c>
      <c r="C7419" s="164">
        <v>5</v>
      </c>
      <c r="D7419" s="164">
        <f t="shared" si="856"/>
        <v>45782</v>
      </c>
      <c r="E7419" s="235">
        <f t="shared" si="859"/>
        <v>45782</v>
      </c>
      <c r="F7419" s="480"/>
      <c r="G7419" s="208" t="s">
        <v>86</v>
      </c>
      <c r="H7419" s="208"/>
      <c r="J7419" s="165" t="s">
        <v>200</v>
      </c>
      <c r="K7419" s="205"/>
      <c r="L7419" s="205">
        <v>19898.18</v>
      </c>
    </row>
    <row r="7420" spans="1:12" ht="11.25" customHeight="1" x14ac:dyDescent="0.2">
      <c r="A7420" s="226">
        <v>2025</v>
      </c>
      <c r="B7420" s="226">
        <v>5</v>
      </c>
      <c r="C7420" s="226">
        <v>5</v>
      </c>
      <c r="D7420" s="226">
        <f t="shared" si="856"/>
        <v>45782</v>
      </c>
      <c r="E7420" s="234">
        <f t="shared" si="859"/>
        <v>45782</v>
      </c>
      <c r="F7420" s="479"/>
      <c r="G7420" s="227" t="s">
        <v>86</v>
      </c>
      <c r="H7420" s="228"/>
      <c r="I7420" s="228"/>
      <c r="J7420" s="229" t="s">
        <v>80</v>
      </c>
      <c r="K7420" s="230"/>
      <c r="L7420" s="230">
        <v>1710467.52</v>
      </c>
    </row>
    <row r="7421" spans="1:12" ht="11.25" customHeight="1" x14ac:dyDescent="0.2">
      <c r="A7421" s="221">
        <v>2025</v>
      </c>
      <c r="B7421" s="221">
        <v>5</v>
      </c>
      <c r="C7421" s="221">
        <v>5</v>
      </c>
      <c r="D7421" s="221">
        <f t="shared" si="856"/>
        <v>45782</v>
      </c>
      <c r="E7421" s="233">
        <f t="shared" ref="E7421:E7444" si="861">DATE(A7421,B7421,C7421)</f>
        <v>45782</v>
      </c>
      <c r="F7421" s="478" t="s">
        <v>1593</v>
      </c>
      <c r="G7421" s="222" t="s">
        <v>86</v>
      </c>
      <c r="H7421" s="222"/>
      <c r="I7421" s="223"/>
      <c r="J7421" s="224" t="s">
        <v>80</v>
      </c>
      <c r="K7421" s="225">
        <v>731000</v>
      </c>
      <c r="L7421" s="225"/>
    </row>
    <row r="7422" spans="1:12" ht="11.25" customHeight="1" x14ac:dyDescent="0.2">
      <c r="A7422" s="164">
        <v>2025</v>
      </c>
      <c r="B7422" s="164">
        <v>5</v>
      </c>
      <c r="C7422" s="164">
        <v>5</v>
      </c>
      <c r="D7422" s="164">
        <f t="shared" si="856"/>
        <v>45782</v>
      </c>
      <c r="E7422" s="235">
        <f t="shared" si="861"/>
        <v>45782</v>
      </c>
      <c r="F7422" s="480"/>
      <c r="G7422" s="208" t="s">
        <v>86</v>
      </c>
      <c r="H7422" s="208"/>
      <c r="J7422" s="165" t="s">
        <v>960</v>
      </c>
      <c r="K7422" s="205">
        <v>1315.8</v>
      </c>
      <c r="L7422" s="205"/>
    </row>
    <row r="7423" spans="1:12" ht="11.25" customHeight="1" x14ac:dyDescent="0.2">
      <c r="A7423" s="226">
        <v>2025</v>
      </c>
      <c r="B7423" s="226">
        <v>5</v>
      </c>
      <c r="C7423" s="226">
        <v>5</v>
      </c>
      <c r="D7423" s="226">
        <f t="shared" si="856"/>
        <v>45782</v>
      </c>
      <c r="E7423" s="234">
        <f t="shared" si="861"/>
        <v>45782</v>
      </c>
      <c r="F7423" s="479"/>
      <c r="G7423" s="227" t="s">
        <v>86</v>
      </c>
      <c r="H7423" s="227"/>
      <c r="I7423" s="228"/>
      <c r="J7423" s="229" t="s">
        <v>143</v>
      </c>
      <c r="K7423" s="230"/>
      <c r="L7423" s="230">
        <v>732315.8</v>
      </c>
    </row>
    <row r="7424" spans="1:12" ht="11.25" customHeight="1" x14ac:dyDescent="0.2">
      <c r="A7424" s="221">
        <v>2025</v>
      </c>
      <c r="B7424" s="221">
        <v>5</v>
      </c>
      <c r="C7424" s="221">
        <v>6</v>
      </c>
      <c r="D7424" s="231">
        <f t="shared" si="856"/>
        <v>45783</v>
      </c>
      <c r="E7424" s="233">
        <f t="shared" si="861"/>
        <v>45783</v>
      </c>
      <c r="F7424" s="478" t="s">
        <v>1844</v>
      </c>
      <c r="G7424" s="222" t="s">
        <v>1111</v>
      </c>
      <c r="H7424" s="223"/>
      <c r="I7424" s="223"/>
      <c r="J7424" s="224" t="s">
        <v>55</v>
      </c>
      <c r="K7424" s="225">
        <v>455179.2</v>
      </c>
      <c r="L7424" s="225"/>
    </row>
    <row r="7425" spans="1:13" ht="11.25" customHeight="1" x14ac:dyDescent="0.2">
      <c r="A7425" s="226">
        <v>2025</v>
      </c>
      <c r="B7425" s="226">
        <v>5</v>
      </c>
      <c r="C7425" s="226">
        <v>6</v>
      </c>
      <c r="D7425" s="232">
        <f t="shared" si="856"/>
        <v>45783</v>
      </c>
      <c r="E7425" s="234">
        <f t="shared" si="861"/>
        <v>45783</v>
      </c>
      <c r="F7425" s="479"/>
      <c r="G7425" s="227" t="s">
        <v>1111</v>
      </c>
      <c r="H7425" s="228"/>
      <c r="I7425" s="228"/>
      <c r="J7425" s="229" t="s">
        <v>199</v>
      </c>
      <c r="K7425" s="230"/>
      <c r="L7425" s="230">
        <v>455179.2</v>
      </c>
    </row>
    <row r="7426" spans="1:13" ht="11.25" customHeight="1" x14ac:dyDescent="0.2">
      <c r="A7426" s="221">
        <v>2025</v>
      </c>
      <c r="B7426" s="221">
        <v>5</v>
      </c>
      <c r="C7426" s="221">
        <v>6</v>
      </c>
      <c r="D7426" s="231">
        <f t="shared" si="856"/>
        <v>45783</v>
      </c>
      <c r="E7426" s="233">
        <f t="shared" si="861"/>
        <v>45783</v>
      </c>
      <c r="F7426" s="478" t="s">
        <v>1843</v>
      </c>
      <c r="G7426" s="222" t="s">
        <v>1111</v>
      </c>
      <c r="H7426" s="223"/>
      <c r="I7426" s="223"/>
      <c r="J7426" s="224" t="s">
        <v>55</v>
      </c>
      <c r="K7426" s="225">
        <v>1650446</v>
      </c>
      <c r="L7426" s="225"/>
    </row>
    <row r="7427" spans="1:13" ht="11.25" customHeight="1" x14ac:dyDescent="0.2">
      <c r="A7427" s="226">
        <v>2025</v>
      </c>
      <c r="B7427" s="226">
        <v>5</v>
      </c>
      <c r="C7427" s="226">
        <v>6</v>
      </c>
      <c r="D7427" s="232">
        <f t="shared" si="856"/>
        <v>45783</v>
      </c>
      <c r="E7427" s="234">
        <f t="shared" si="861"/>
        <v>45783</v>
      </c>
      <c r="F7427" s="479"/>
      <c r="G7427" s="227" t="s">
        <v>1111</v>
      </c>
      <c r="H7427" s="228"/>
      <c r="I7427" s="228"/>
      <c r="J7427" s="229" t="s">
        <v>199</v>
      </c>
      <c r="K7427" s="230"/>
      <c r="L7427" s="230">
        <v>1650446</v>
      </c>
    </row>
    <row r="7428" spans="1:13" ht="11.25" customHeight="1" x14ac:dyDescent="0.2">
      <c r="A7428" s="221">
        <v>2025</v>
      </c>
      <c r="B7428" s="221">
        <v>5</v>
      </c>
      <c r="C7428" s="221">
        <v>6</v>
      </c>
      <c r="D7428" s="231">
        <f t="shared" si="856"/>
        <v>45783</v>
      </c>
      <c r="E7428" s="233">
        <f t="shared" si="861"/>
        <v>45783</v>
      </c>
      <c r="F7428" s="478" t="s">
        <v>1814</v>
      </c>
      <c r="G7428" s="222" t="s">
        <v>1111</v>
      </c>
      <c r="H7428" s="223"/>
      <c r="I7428" s="223"/>
      <c r="J7428" s="224" t="s">
        <v>961</v>
      </c>
      <c r="K7428" s="225">
        <v>732315.8</v>
      </c>
      <c r="L7428" s="225"/>
    </row>
    <row r="7429" spans="1:13" ht="11.25" customHeight="1" x14ac:dyDescent="0.2">
      <c r="A7429" s="226">
        <v>2025</v>
      </c>
      <c r="B7429" s="226">
        <v>5</v>
      </c>
      <c r="C7429" s="226">
        <v>6</v>
      </c>
      <c r="D7429" s="232">
        <f t="shared" si="856"/>
        <v>45783</v>
      </c>
      <c r="E7429" s="234">
        <f t="shared" si="861"/>
        <v>45783</v>
      </c>
      <c r="F7429" s="479"/>
      <c r="G7429" s="227" t="s">
        <v>1111</v>
      </c>
      <c r="H7429" s="228"/>
      <c r="I7429" s="228"/>
      <c r="J7429" s="229" t="s">
        <v>55</v>
      </c>
      <c r="K7429" s="230"/>
      <c r="L7429" s="230">
        <v>732315.8</v>
      </c>
    </row>
    <row r="7430" spans="1:13" ht="11.25" customHeight="1" x14ac:dyDescent="0.2">
      <c r="A7430" s="221">
        <v>2025</v>
      </c>
      <c r="B7430" s="221">
        <v>5</v>
      </c>
      <c r="C7430" s="221">
        <v>6</v>
      </c>
      <c r="D7430" s="231">
        <f t="shared" si="856"/>
        <v>45783</v>
      </c>
      <c r="E7430" s="233">
        <f t="shared" ref="E7430:E7433" si="862">DATE(A7430,B7430,C7430)</f>
        <v>45783</v>
      </c>
      <c r="F7430" s="478" t="s">
        <v>1840</v>
      </c>
      <c r="G7430" s="222" t="s">
        <v>1111</v>
      </c>
      <c r="H7430" s="223"/>
      <c r="I7430" s="223"/>
      <c r="J7430" s="224" t="s">
        <v>961</v>
      </c>
      <c r="K7430" s="225">
        <v>732315.8</v>
      </c>
      <c r="L7430" s="225"/>
    </row>
    <row r="7431" spans="1:13" ht="11.25" customHeight="1" x14ac:dyDescent="0.2">
      <c r="A7431" s="226">
        <v>2025</v>
      </c>
      <c r="B7431" s="226">
        <v>5</v>
      </c>
      <c r="C7431" s="226">
        <v>6</v>
      </c>
      <c r="D7431" s="232">
        <f t="shared" si="856"/>
        <v>45783</v>
      </c>
      <c r="E7431" s="234">
        <f t="shared" si="862"/>
        <v>45783</v>
      </c>
      <c r="F7431" s="479"/>
      <c r="G7431" s="227" t="s">
        <v>1111</v>
      </c>
      <c r="H7431" s="228"/>
      <c r="I7431" s="228"/>
      <c r="J7431" s="229" t="s">
        <v>55</v>
      </c>
      <c r="K7431" s="230"/>
      <c r="L7431" s="230">
        <v>732315.8</v>
      </c>
    </row>
    <row r="7432" spans="1:13" ht="11.25" customHeight="1" x14ac:dyDescent="0.2">
      <c r="A7432" s="221">
        <v>2025</v>
      </c>
      <c r="B7432" s="221">
        <v>5</v>
      </c>
      <c r="C7432" s="221">
        <v>6</v>
      </c>
      <c r="D7432" s="231">
        <f t="shared" si="856"/>
        <v>45783</v>
      </c>
      <c r="E7432" s="233">
        <f t="shared" si="862"/>
        <v>45783</v>
      </c>
      <c r="F7432" s="478" t="s">
        <v>1877</v>
      </c>
      <c r="G7432" s="222" t="s">
        <v>1111</v>
      </c>
      <c r="H7432" s="223"/>
      <c r="I7432" s="223"/>
      <c r="J7432" s="224" t="s">
        <v>55</v>
      </c>
      <c r="K7432" s="225">
        <v>936866.6</v>
      </c>
      <c r="L7432" s="225"/>
    </row>
    <row r="7433" spans="1:13" ht="11.25" customHeight="1" x14ac:dyDescent="0.2">
      <c r="A7433" s="226">
        <v>2025</v>
      </c>
      <c r="B7433" s="226">
        <v>5</v>
      </c>
      <c r="C7433" s="226">
        <v>6</v>
      </c>
      <c r="D7433" s="232">
        <f t="shared" ref="D7433:D7496" si="863">DATE(A7433,B7433,C7433)</f>
        <v>45783</v>
      </c>
      <c r="E7433" s="234">
        <f t="shared" si="862"/>
        <v>45783</v>
      </c>
      <c r="F7433" s="479"/>
      <c r="G7433" s="227" t="s">
        <v>1111</v>
      </c>
      <c r="H7433" s="228"/>
      <c r="I7433" s="228"/>
      <c r="J7433" s="229" t="s">
        <v>199</v>
      </c>
      <c r="K7433" s="230"/>
      <c r="L7433" s="230">
        <v>936866.6</v>
      </c>
    </row>
    <row r="7434" spans="1:13" ht="11.25" customHeight="1" x14ac:dyDescent="0.2">
      <c r="A7434" s="221">
        <v>2025</v>
      </c>
      <c r="B7434" s="221">
        <v>5</v>
      </c>
      <c r="C7434" s="221">
        <v>6</v>
      </c>
      <c r="D7434" s="221">
        <f t="shared" si="863"/>
        <v>45783</v>
      </c>
      <c r="E7434" s="233">
        <f t="shared" si="861"/>
        <v>45783</v>
      </c>
      <c r="F7434" s="478" t="s">
        <v>1875</v>
      </c>
      <c r="G7434" s="222" t="s">
        <v>86</v>
      </c>
      <c r="H7434" s="222"/>
      <c r="I7434" s="223"/>
      <c r="J7434" s="224" t="s">
        <v>80</v>
      </c>
      <c r="K7434" s="225">
        <v>398000</v>
      </c>
      <c r="L7434" s="225"/>
    </row>
    <row r="7435" spans="1:13" ht="11.25" customHeight="1" x14ac:dyDescent="0.2">
      <c r="A7435" s="164">
        <v>2025</v>
      </c>
      <c r="B7435" s="164">
        <v>5</v>
      </c>
      <c r="C7435" s="164">
        <v>6</v>
      </c>
      <c r="D7435" s="164">
        <f t="shared" si="863"/>
        <v>45783</v>
      </c>
      <c r="E7435" s="235">
        <f t="shared" si="861"/>
        <v>45783</v>
      </c>
      <c r="F7435" s="480"/>
      <c r="G7435" s="208" t="s">
        <v>86</v>
      </c>
      <c r="H7435" s="208"/>
      <c r="J7435" s="165" t="s">
        <v>960</v>
      </c>
      <c r="K7435" s="205">
        <v>6097.12</v>
      </c>
      <c r="L7435" s="205"/>
    </row>
    <row r="7436" spans="1:13" ht="11.25" customHeight="1" x14ac:dyDescent="0.2">
      <c r="A7436" s="164">
        <v>2025</v>
      </c>
      <c r="B7436" s="164">
        <v>5</v>
      </c>
      <c r="C7436" s="164">
        <v>6</v>
      </c>
      <c r="D7436" s="164">
        <f t="shared" si="863"/>
        <v>45783</v>
      </c>
      <c r="E7436" s="235">
        <f t="shared" si="861"/>
        <v>45783</v>
      </c>
      <c r="F7436" s="480"/>
      <c r="G7436" s="208" t="s">
        <v>86</v>
      </c>
      <c r="H7436" s="208"/>
      <c r="J7436" s="165" t="s">
        <v>199</v>
      </c>
      <c r="K7436" s="205">
        <v>2585193.98</v>
      </c>
      <c r="L7436" s="205"/>
    </row>
    <row r="7437" spans="1:13" ht="11.25" customHeight="1" x14ac:dyDescent="0.2">
      <c r="A7437" s="164">
        <v>2025</v>
      </c>
      <c r="B7437" s="164">
        <v>5</v>
      </c>
      <c r="C7437" s="164">
        <v>6</v>
      </c>
      <c r="D7437" s="164">
        <f t="shared" si="863"/>
        <v>45783</v>
      </c>
      <c r="E7437" s="235">
        <f t="shared" si="861"/>
        <v>45783</v>
      </c>
      <c r="F7437" s="480"/>
      <c r="G7437" s="208" t="s">
        <v>86</v>
      </c>
      <c r="H7437" s="208"/>
      <c r="J7437" s="165" t="s">
        <v>200</v>
      </c>
      <c r="K7437" s="205">
        <v>214090.1</v>
      </c>
      <c r="L7437" s="205"/>
    </row>
    <row r="7438" spans="1:13" ht="11.25" customHeight="1" x14ac:dyDescent="0.2">
      <c r="A7438" s="226">
        <v>2025</v>
      </c>
      <c r="B7438" s="226">
        <v>5</v>
      </c>
      <c r="C7438" s="226">
        <v>6</v>
      </c>
      <c r="D7438" s="226">
        <f t="shared" si="863"/>
        <v>45783</v>
      </c>
      <c r="E7438" s="234">
        <f t="shared" si="861"/>
        <v>45783</v>
      </c>
      <c r="F7438" s="479"/>
      <c r="G7438" s="227" t="s">
        <v>86</v>
      </c>
      <c r="H7438" s="228"/>
      <c r="I7438" s="228"/>
      <c r="J7438" s="229" t="s">
        <v>80</v>
      </c>
      <c r="K7438" s="230"/>
      <c r="L7438" s="230">
        <v>3203381.2</v>
      </c>
    </row>
    <row r="7439" spans="1:13" ht="11.25" customHeight="1" x14ac:dyDescent="0.2">
      <c r="A7439" s="164">
        <v>2025</v>
      </c>
      <c r="B7439" s="164">
        <v>5</v>
      </c>
      <c r="C7439" s="164">
        <v>6</v>
      </c>
      <c r="D7439" s="164">
        <f t="shared" si="863"/>
        <v>45783</v>
      </c>
      <c r="E7439" s="235">
        <f t="shared" si="861"/>
        <v>45783</v>
      </c>
      <c r="F7439" s="480" t="s">
        <v>1589</v>
      </c>
      <c r="G7439" s="208" t="s">
        <v>86</v>
      </c>
      <c r="H7439" s="208"/>
      <c r="J7439" s="165" t="s">
        <v>199</v>
      </c>
      <c r="K7439" s="205">
        <v>573965</v>
      </c>
      <c r="L7439" s="205"/>
    </row>
    <row r="7440" spans="1:13" ht="11.25" customHeight="1" x14ac:dyDescent="0.2">
      <c r="A7440" s="164">
        <v>2025</v>
      </c>
      <c r="B7440" s="164">
        <v>5</v>
      </c>
      <c r="C7440" s="164">
        <v>6</v>
      </c>
      <c r="D7440" s="164">
        <f t="shared" si="863"/>
        <v>45783</v>
      </c>
      <c r="E7440" s="235">
        <f t="shared" si="861"/>
        <v>45783</v>
      </c>
      <c r="F7440" s="480"/>
      <c r="G7440" s="208" t="s">
        <v>86</v>
      </c>
      <c r="H7440" s="208"/>
      <c r="J7440" s="165" t="s">
        <v>960</v>
      </c>
      <c r="K7440" s="205">
        <v>1035</v>
      </c>
      <c r="L7440" s="205"/>
      <c r="M7440" s="401"/>
    </row>
    <row r="7441" spans="1:13" ht="11.25" customHeight="1" x14ac:dyDescent="0.2">
      <c r="A7441" s="164">
        <v>2025</v>
      </c>
      <c r="B7441" s="164">
        <v>5</v>
      </c>
      <c r="C7441" s="164">
        <v>6</v>
      </c>
      <c r="D7441" s="164">
        <f t="shared" si="863"/>
        <v>45783</v>
      </c>
      <c r="E7441" s="235">
        <f t="shared" si="861"/>
        <v>45783</v>
      </c>
      <c r="F7441" s="480"/>
      <c r="G7441" s="208" t="s">
        <v>86</v>
      </c>
      <c r="H7441" s="208"/>
      <c r="J7441" s="165" t="s">
        <v>200</v>
      </c>
      <c r="K7441" s="205">
        <v>11334.31</v>
      </c>
      <c r="L7441" s="205"/>
    </row>
    <row r="7442" spans="1:13" ht="11.25" customHeight="1" x14ac:dyDescent="0.2">
      <c r="A7442" s="226">
        <v>2025</v>
      </c>
      <c r="B7442" s="226">
        <v>5</v>
      </c>
      <c r="C7442" s="226">
        <v>6</v>
      </c>
      <c r="D7442" s="226">
        <f t="shared" si="863"/>
        <v>45783</v>
      </c>
      <c r="E7442" s="234">
        <f t="shared" si="861"/>
        <v>45783</v>
      </c>
      <c r="F7442" s="479"/>
      <c r="G7442" s="227" t="s">
        <v>86</v>
      </c>
      <c r="H7442" s="228"/>
      <c r="I7442" s="228"/>
      <c r="J7442" s="229" t="s">
        <v>80</v>
      </c>
      <c r="K7442" s="230"/>
      <c r="L7442" s="230">
        <v>586334.31000000006</v>
      </c>
    </row>
    <row r="7443" spans="1:13" ht="11.25" customHeight="1" x14ac:dyDescent="0.2">
      <c r="A7443" s="221">
        <v>2025</v>
      </c>
      <c r="B7443" s="221">
        <v>5</v>
      </c>
      <c r="C7443" s="221">
        <v>7</v>
      </c>
      <c r="D7443" s="231">
        <f t="shared" si="863"/>
        <v>45784</v>
      </c>
      <c r="E7443" s="233">
        <f t="shared" si="861"/>
        <v>45784</v>
      </c>
      <c r="F7443" s="478" t="s">
        <v>1877</v>
      </c>
      <c r="G7443" s="222" t="s">
        <v>1111</v>
      </c>
      <c r="H7443" s="223"/>
      <c r="I7443" s="223"/>
      <c r="J7443" s="224" t="s">
        <v>55</v>
      </c>
      <c r="K7443" s="225">
        <v>121365.64</v>
      </c>
      <c r="L7443" s="225"/>
    </row>
    <row r="7444" spans="1:13" ht="11.25" customHeight="1" x14ac:dyDescent="0.2">
      <c r="A7444" s="226">
        <v>2025</v>
      </c>
      <c r="B7444" s="226">
        <v>5</v>
      </c>
      <c r="C7444" s="226">
        <v>7</v>
      </c>
      <c r="D7444" s="232">
        <f t="shared" si="863"/>
        <v>45784</v>
      </c>
      <c r="E7444" s="234">
        <f t="shared" si="861"/>
        <v>45784</v>
      </c>
      <c r="F7444" s="479"/>
      <c r="G7444" s="227" t="s">
        <v>1111</v>
      </c>
      <c r="H7444" s="228"/>
      <c r="I7444" s="228"/>
      <c r="J7444" s="229" t="s">
        <v>199</v>
      </c>
      <c r="K7444" s="230"/>
      <c r="L7444" s="230">
        <v>121365.64</v>
      </c>
    </row>
    <row r="7445" spans="1:13" ht="11.25" customHeight="1" x14ac:dyDescent="0.2">
      <c r="A7445" s="221">
        <v>2025</v>
      </c>
      <c r="B7445" s="221">
        <v>5</v>
      </c>
      <c r="C7445" s="221">
        <v>7</v>
      </c>
      <c r="D7445" s="221">
        <f t="shared" si="863"/>
        <v>45784</v>
      </c>
      <c r="E7445" s="233">
        <f t="shared" ref="E7445:E7447" si="864">DATE(A7445,B7445,C7445)</f>
        <v>45784</v>
      </c>
      <c r="F7445" s="478" t="s">
        <v>1593</v>
      </c>
      <c r="G7445" s="222" t="s">
        <v>86</v>
      </c>
      <c r="H7445" s="222"/>
      <c r="I7445" s="223"/>
      <c r="J7445" s="224" t="s">
        <v>80</v>
      </c>
      <c r="K7445" s="225">
        <v>509000</v>
      </c>
      <c r="L7445" s="225"/>
    </row>
    <row r="7446" spans="1:13" ht="11.25" customHeight="1" x14ac:dyDescent="0.2">
      <c r="A7446" s="164">
        <v>2025</v>
      </c>
      <c r="B7446" s="164">
        <v>5</v>
      </c>
      <c r="C7446" s="164">
        <v>7</v>
      </c>
      <c r="D7446" s="164">
        <f t="shared" si="863"/>
        <v>45784</v>
      </c>
      <c r="E7446" s="235">
        <f t="shared" si="864"/>
        <v>45784</v>
      </c>
      <c r="F7446" s="480"/>
      <c r="G7446" s="208" t="s">
        <v>86</v>
      </c>
      <c r="H7446" s="208"/>
      <c r="J7446" s="165" t="s">
        <v>960</v>
      </c>
      <c r="K7446" s="205">
        <v>916.2</v>
      </c>
      <c r="L7446" s="205"/>
    </row>
    <row r="7447" spans="1:13" ht="11.25" customHeight="1" x14ac:dyDescent="0.2">
      <c r="A7447" s="226">
        <v>2025</v>
      </c>
      <c r="B7447" s="226">
        <v>5</v>
      </c>
      <c r="C7447" s="226">
        <v>7</v>
      </c>
      <c r="D7447" s="226">
        <f t="shared" si="863"/>
        <v>45784</v>
      </c>
      <c r="E7447" s="234">
        <f t="shared" si="864"/>
        <v>45784</v>
      </c>
      <c r="F7447" s="479"/>
      <c r="G7447" s="227" t="s">
        <v>86</v>
      </c>
      <c r="H7447" s="227"/>
      <c r="I7447" s="228"/>
      <c r="J7447" s="229" t="s">
        <v>143</v>
      </c>
      <c r="K7447" s="230"/>
      <c r="L7447" s="230">
        <v>509916.2</v>
      </c>
    </row>
    <row r="7448" spans="1:13" ht="11.25" customHeight="1" x14ac:dyDescent="0.2">
      <c r="A7448" s="221">
        <v>2025</v>
      </c>
      <c r="B7448" s="221">
        <v>5</v>
      </c>
      <c r="C7448" s="221">
        <v>7</v>
      </c>
      <c r="D7448" s="221">
        <f t="shared" si="863"/>
        <v>45784</v>
      </c>
      <c r="E7448" s="233">
        <f t="shared" ref="E7448:E7475" si="865">DATE(A7448,B7448,C7448)</f>
        <v>45784</v>
      </c>
      <c r="F7448" s="478" t="s">
        <v>1876</v>
      </c>
      <c r="G7448" s="222" t="s">
        <v>86</v>
      </c>
      <c r="H7448" s="222"/>
      <c r="I7448" s="223"/>
      <c r="J7448" s="224" t="s">
        <v>80</v>
      </c>
      <c r="K7448" s="225">
        <v>2877271.2</v>
      </c>
      <c r="L7448" s="225"/>
    </row>
    <row r="7449" spans="1:13" ht="11.25" customHeight="1" x14ac:dyDescent="0.2">
      <c r="A7449" s="164">
        <v>2025</v>
      </c>
      <c r="B7449" s="164">
        <v>5</v>
      </c>
      <c r="C7449" s="164">
        <v>7</v>
      </c>
      <c r="D7449" s="164">
        <f t="shared" si="863"/>
        <v>45784</v>
      </c>
      <c r="E7449" s="235">
        <f t="shared" si="865"/>
        <v>45784</v>
      </c>
      <c r="F7449" s="480"/>
      <c r="G7449" s="208" t="s">
        <v>86</v>
      </c>
      <c r="H7449" s="208"/>
      <c r="J7449" s="165" t="s">
        <v>960</v>
      </c>
      <c r="K7449" s="205">
        <v>5179.09</v>
      </c>
      <c r="L7449" s="205"/>
    </row>
    <row r="7450" spans="1:13" ht="11.25" customHeight="1" x14ac:dyDescent="0.2">
      <c r="A7450" s="226">
        <v>2025</v>
      </c>
      <c r="B7450" s="226">
        <v>5</v>
      </c>
      <c r="C7450" s="226">
        <v>7</v>
      </c>
      <c r="D7450" s="226">
        <f t="shared" si="863"/>
        <v>45784</v>
      </c>
      <c r="E7450" s="234">
        <f t="shared" si="865"/>
        <v>45784</v>
      </c>
      <c r="F7450" s="479"/>
      <c r="G7450" s="227" t="s">
        <v>86</v>
      </c>
      <c r="H7450" s="227"/>
      <c r="I7450" s="228"/>
      <c r="J7450" s="229" t="s">
        <v>143</v>
      </c>
      <c r="K7450" s="230"/>
      <c r="L7450" s="230">
        <v>2882450.29</v>
      </c>
    </row>
    <row r="7451" spans="1:13" ht="11.25" customHeight="1" x14ac:dyDescent="0.2">
      <c r="A7451" s="164">
        <v>2025</v>
      </c>
      <c r="B7451" s="164">
        <v>5</v>
      </c>
      <c r="C7451" s="164">
        <v>8</v>
      </c>
      <c r="D7451" s="164">
        <f t="shared" si="863"/>
        <v>45785</v>
      </c>
      <c r="E7451" s="235">
        <f t="shared" si="865"/>
        <v>45785</v>
      </c>
      <c r="F7451" s="480" t="s">
        <v>1589</v>
      </c>
      <c r="G7451" s="208" t="s">
        <v>86</v>
      </c>
      <c r="H7451" s="208"/>
      <c r="J7451" s="165" t="s">
        <v>199</v>
      </c>
      <c r="K7451" s="205">
        <v>207137</v>
      </c>
      <c r="L7451" s="205"/>
    </row>
    <row r="7452" spans="1:13" ht="11.25" customHeight="1" x14ac:dyDescent="0.2">
      <c r="A7452" s="164">
        <v>2025</v>
      </c>
      <c r="B7452" s="164">
        <v>5</v>
      </c>
      <c r="C7452" s="164">
        <v>8</v>
      </c>
      <c r="D7452" s="164">
        <f t="shared" si="863"/>
        <v>45785</v>
      </c>
      <c r="E7452" s="235">
        <f t="shared" si="865"/>
        <v>45785</v>
      </c>
      <c r="F7452" s="480"/>
      <c r="G7452" s="208" t="s">
        <v>86</v>
      </c>
      <c r="H7452" s="208"/>
      <c r="J7452" s="165" t="s">
        <v>960</v>
      </c>
      <c r="K7452" s="205">
        <v>374</v>
      </c>
      <c r="L7452" s="205"/>
      <c r="M7452" s="401"/>
    </row>
    <row r="7453" spans="1:13" ht="11.25" customHeight="1" x14ac:dyDescent="0.2">
      <c r="A7453" s="164">
        <v>2025</v>
      </c>
      <c r="B7453" s="164">
        <v>5</v>
      </c>
      <c r="C7453" s="164">
        <v>8</v>
      </c>
      <c r="D7453" s="164">
        <f t="shared" si="863"/>
        <v>45785</v>
      </c>
      <c r="E7453" s="235">
        <f t="shared" si="865"/>
        <v>45785</v>
      </c>
      <c r="F7453" s="480"/>
      <c r="G7453" s="208" t="s">
        <v>86</v>
      </c>
      <c r="H7453" s="208"/>
      <c r="J7453" s="165" t="s">
        <v>200</v>
      </c>
      <c r="K7453" s="156"/>
      <c r="L7453" s="205">
        <v>2511</v>
      </c>
    </row>
    <row r="7454" spans="1:13" ht="11.25" customHeight="1" x14ac:dyDescent="0.2">
      <c r="A7454" s="226">
        <v>2025</v>
      </c>
      <c r="B7454" s="226">
        <v>5</v>
      </c>
      <c r="C7454" s="226">
        <v>8</v>
      </c>
      <c r="D7454" s="226">
        <f t="shared" si="863"/>
        <v>45785</v>
      </c>
      <c r="E7454" s="234">
        <f t="shared" si="865"/>
        <v>45785</v>
      </c>
      <c r="F7454" s="479"/>
      <c r="G7454" s="227" t="s">
        <v>86</v>
      </c>
      <c r="H7454" s="228"/>
      <c r="I7454" s="228"/>
      <c r="J7454" s="229" t="s">
        <v>80</v>
      </c>
      <c r="K7454" s="230"/>
      <c r="L7454" s="230">
        <v>205000</v>
      </c>
    </row>
    <row r="7455" spans="1:13" ht="11.25" customHeight="1" x14ac:dyDescent="0.2">
      <c r="A7455" s="221">
        <v>2025</v>
      </c>
      <c r="B7455" s="221">
        <v>5</v>
      </c>
      <c r="C7455" s="221">
        <v>8</v>
      </c>
      <c r="D7455" s="221">
        <f t="shared" si="863"/>
        <v>45785</v>
      </c>
      <c r="E7455" s="233">
        <f t="shared" si="865"/>
        <v>45785</v>
      </c>
      <c r="F7455" s="478" t="s">
        <v>1875</v>
      </c>
      <c r="G7455" s="222" t="s">
        <v>86</v>
      </c>
      <c r="H7455" s="222"/>
      <c r="I7455" s="223"/>
      <c r="J7455" s="224" t="s">
        <v>80</v>
      </c>
      <c r="K7455" s="225">
        <v>1556980</v>
      </c>
      <c r="L7455" s="225"/>
    </row>
    <row r="7456" spans="1:13" ht="11.25" customHeight="1" x14ac:dyDescent="0.2">
      <c r="A7456" s="164">
        <v>2025</v>
      </c>
      <c r="B7456" s="164">
        <v>5</v>
      </c>
      <c r="C7456" s="164">
        <v>8</v>
      </c>
      <c r="D7456" s="164">
        <f t="shared" si="863"/>
        <v>45785</v>
      </c>
      <c r="E7456" s="235">
        <f t="shared" si="865"/>
        <v>45785</v>
      </c>
      <c r="F7456" s="480"/>
      <c r="G7456" s="208" t="s">
        <v>86</v>
      </c>
      <c r="H7456" s="208"/>
      <c r="J7456" s="165" t="s">
        <v>960</v>
      </c>
      <c r="K7456" s="205">
        <v>2900.14</v>
      </c>
      <c r="L7456" s="205"/>
    </row>
    <row r="7457" spans="1:13" ht="11.25" customHeight="1" x14ac:dyDescent="0.2">
      <c r="A7457" s="164">
        <v>2025</v>
      </c>
      <c r="B7457" s="164">
        <v>5</v>
      </c>
      <c r="C7457" s="164">
        <v>8</v>
      </c>
      <c r="D7457" s="164">
        <f t="shared" si="863"/>
        <v>45785</v>
      </c>
      <c r="E7457" s="235">
        <f t="shared" si="865"/>
        <v>45785</v>
      </c>
      <c r="F7457" s="480"/>
      <c r="G7457" s="208" t="s">
        <v>86</v>
      </c>
      <c r="H7457" s="208"/>
      <c r="J7457" s="165" t="s">
        <v>143</v>
      </c>
      <c r="K7457" s="205"/>
      <c r="L7457" s="205">
        <v>1505670.14</v>
      </c>
    </row>
    <row r="7458" spans="1:13" ht="11.25" customHeight="1" x14ac:dyDescent="0.2">
      <c r="A7458" s="164">
        <v>2025</v>
      </c>
      <c r="B7458" s="164">
        <v>5</v>
      </c>
      <c r="C7458" s="164">
        <v>8</v>
      </c>
      <c r="D7458" s="164">
        <f t="shared" si="863"/>
        <v>45785</v>
      </c>
      <c r="E7458" s="235">
        <f t="shared" si="865"/>
        <v>45785</v>
      </c>
      <c r="F7458" s="480"/>
      <c r="G7458" s="208" t="s">
        <v>86</v>
      </c>
      <c r="H7458" s="208"/>
      <c r="J7458" s="165" t="s">
        <v>200</v>
      </c>
      <c r="K7458" s="205"/>
      <c r="L7458" s="205">
        <v>910</v>
      </c>
    </row>
    <row r="7459" spans="1:13" ht="11.25" customHeight="1" x14ac:dyDescent="0.2">
      <c r="A7459" s="226">
        <v>2025</v>
      </c>
      <c r="B7459" s="226">
        <v>5</v>
      </c>
      <c r="C7459" s="226">
        <v>8</v>
      </c>
      <c r="D7459" s="226">
        <f t="shared" si="863"/>
        <v>45785</v>
      </c>
      <c r="E7459" s="234">
        <f t="shared" si="865"/>
        <v>45785</v>
      </c>
      <c r="F7459" s="479"/>
      <c r="G7459" s="227" t="s">
        <v>86</v>
      </c>
      <c r="H7459" s="228"/>
      <c r="I7459" s="228"/>
      <c r="J7459" s="229" t="s">
        <v>80</v>
      </c>
      <c r="K7459" s="230"/>
      <c r="L7459" s="230">
        <v>53300</v>
      </c>
    </row>
    <row r="7460" spans="1:13" ht="11.25" customHeight="1" x14ac:dyDescent="0.2">
      <c r="A7460" s="221">
        <v>2025</v>
      </c>
      <c r="B7460" s="221">
        <v>5</v>
      </c>
      <c r="C7460" s="221">
        <v>8</v>
      </c>
      <c r="D7460" s="231">
        <f t="shared" si="863"/>
        <v>45785</v>
      </c>
      <c r="E7460" s="233">
        <f t="shared" si="865"/>
        <v>45785</v>
      </c>
      <c r="F7460" s="478" t="s">
        <v>1814</v>
      </c>
      <c r="G7460" s="222" t="s">
        <v>1111</v>
      </c>
      <c r="H7460" s="223"/>
      <c r="I7460" s="223"/>
      <c r="J7460" s="224" t="s">
        <v>961</v>
      </c>
      <c r="K7460" s="225">
        <v>509916.2</v>
      </c>
      <c r="L7460" s="225"/>
    </row>
    <row r="7461" spans="1:13" ht="11.25" customHeight="1" x14ac:dyDescent="0.2">
      <c r="A7461" s="226">
        <v>2025</v>
      </c>
      <c r="B7461" s="226">
        <v>5</v>
      </c>
      <c r="C7461" s="226">
        <v>8</v>
      </c>
      <c r="D7461" s="232">
        <f t="shared" si="863"/>
        <v>45785</v>
      </c>
      <c r="E7461" s="234">
        <f t="shared" si="865"/>
        <v>45785</v>
      </c>
      <c r="F7461" s="479"/>
      <c r="G7461" s="227" t="s">
        <v>1111</v>
      </c>
      <c r="H7461" s="228"/>
      <c r="I7461" s="228"/>
      <c r="J7461" s="229" t="s">
        <v>55</v>
      </c>
      <c r="K7461" s="230"/>
      <c r="L7461" s="230">
        <v>509916.2</v>
      </c>
    </row>
    <row r="7462" spans="1:13" ht="11.25" customHeight="1" x14ac:dyDescent="0.2">
      <c r="A7462" s="221">
        <v>2025</v>
      </c>
      <c r="B7462" s="221">
        <v>5</v>
      </c>
      <c r="C7462" s="221">
        <v>8</v>
      </c>
      <c r="D7462" s="231">
        <f t="shared" si="863"/>
        <v>45785</v>
      </c>
      <c r="E7462" s="233">
        <f t="shared" si="865"/>
        <v>45785</v>
      </c>
      <c r="F7462" s="478" t="s">
        <v>1970</v>
      </c>
      <c r="G7462" s="222" t="s">
        <v>1111</v>
      </c>
      <c r="H7462" s="223"/>
      <c r="I7462" s="223"/>
      <c r="J7462" s="224" t="s">
        <v>55</v>
      </c>
      <c r="K7462" s="225">
        <v>120500</v>
      </c>
      <c r="L7462" s="225"/>
    </row>
    <row r="7463" spans="1:13" ht="11.25" customHeight="1" x14ac:dyDescent="0.2">
      <c r="A7463" s="226">
        <v>2025</v>
      </c>
      <c r="B7463" s="226">
        <v>5</v>
      </c>
      <c r="C7463" s="226">
        <v>8</v>
      </c>
      <c r="D7463" s="232">
        <f t="shared" si="863"/>
        <v>45785</v>
      </c>
      <c r="E7463" s="234">
        <f t="shared" si="865"/>
        <v>45785</v>
      </c>
      <c r="F7463" s="479"/>
      <c r="G7463" s="227" t="s">
        <v>1111</v>
      </c>
      <c r="H7463" s="228"/>
      <c r="I7463" s="228"/>
      <c r="J7463" s="229" t="s">
        <v>1616</v>
      </c>
      <c r="K7463" s="230"/>
      <c r="L7463" s="230">
        <v>120500</v>
      </c>
    </row>
    <row r="7464" spans="1:13" ht="11.25" customHeight="1" x14ac:dyDescent="0.2">
      <c r="A7464" s="221">
        <v>2025</v>
      </c>
      <c r="B7464" s="221">
        <v>5</v>
      </c>
      <c r="C7464" s="221">
        <v>8</v>
      </c>
      <c r="D7464" s="231">
        <f t="shared" si="863"/>
        <v>45785</v>
      </c>
      <c r="E7464" s="233">
        <f t="shared" si="865"/>
        <v>45785</v>
      </c>
      <c r="F7464" s="478" t="s">
        <v>1879</v>
      </c>
      <c r="G7464" s="222" t="s">
        <v>1111</v>
      </c>
      <c r="H7464" s="223"/>
      <c r="I7464" s="223"/>
      <c r="J7464" s="224" t="s">
        <v>55</v>
      </c>
      <c r="K7464" s="225">
        <v>573965</v>
      </c>
      <c r="L7464" s="225"/>
    </row>
    <row r="7465" spans="1:13" ht="11.25" customHeight="1" x14ac:dyDescent="0.2">
      <c r="A7465" s="226">
        <v>2025</v>
      </c>
      <c r="B7465" s="226">
        <v>5</v>
      </c>
      <c r="C7465" s="226">
        <v>8</v>
      </c>
      <c r="D7465" s="232">
        <f t="shared" si="863"/>
        <v>45785</v>
      </c>
      <c r="E7465" s="234">
        <f t="shared" si="865"/>
        <v>45785</v>
      </c>
      <c r="F7465" s="479"/>
      <c r="G7465" s="227" t="s">
        <v>1111</v>
      </c>
      <c r="H7465" s="228"/>
      <c r="I7465" s="228"/>
      <c r="J7465" s="229" t="s">
        <v>199</v>
      </c>
      <c r="K7465" s="230"/>
      <c r="L7465" s="230">
        <v>573965</v>
      </c>
    </row>
    <row r="7466" spans="1:13" ht="11.25" customHeight="1" x14ac:dyDescent="0.2">
      <c r="A7466" s="221">
        <v>2025</v>
      </c>
      <c r="B7466" s="221">
        <v>5</v>
      </c>
      <c r="C7466" s="221">
        <v>8</v>
      </c>
      <c r="D7466" s="231">
        <f t="shared" si="863"/>
        <v>45785</v>
      </c>
      <c r="E7466" s="233">
        <f t="shared" ref="E7466:E7467" si="866">DATE(A7466,B7466,C7466)</f>
        <v>45785</v>
      </c>
      <c r="F7466" s="478" t="s">
        <v>1877</v>
      </c>
      <c r="G7466" s="222" t="s">
        <v>1111</v>
      </c>
      <c r="H7466" s="223"/>
      <c r="I7466" s="223"/>
      <c r="J7466" s="224" t="s">
        <v>55</v>
      </c>
      <c r="K7466" s="225">
        <v>2585193.98</v>
      </c>
      <c r="L7466" s="225"/>
    </row>
    <row r="7467" spans="1:13" ht="11.25" customHeight="1" x14ac:dyDescent="0.2">
      <c r="A7467" s="226">
        <v>2025</v>
      </c>
      <c r="B7467" s="226">
        <v>5</v>
      </c>
      <c r="C7467" s="226">
        <v>8</v>
      </c>
      <c r="D7467" s="232">
        <f t="shared" si="863"/>
        <v>45785</v>
      </c>
      <c r="E7467" s="234">
        <f t="shared" si="866"/>
        <v>45785</v>
      </c>
      <c r="F7467" s="479"/>
      <c r="G7467" s="227" t="s">
        <v>1111</v>
      </c>
      <c r="H7467" s="228"/>
      <c r="I7467" s="228"/>
      <c r="J7467" s="229" t="s">
        <v>199</v>
      </c>
      <c r="K7467" s="230"/>
      <c r="L7467" s="230">
        <v>2585193.98</v>
      </c>
    </row>
    <row r="7468" spans="1:13" ht="11.25" customHeight="1" x14ac:dyDescent="0.2">
      <c r="A7468" s="280">
        <v>2025</v>
      </c>
      <c r="B7468" s="280">
        <v>5</v>
      </c>
      <c r="C7468" s="280">
        <v>8</v>
      </c>
      <c r="D7468" s="281">
        <f t="shared" si="863"/>
        <v>45785</v>
      </c>
      <c r="E7468" s="282">
        <f t="shared" si="865"/>
        <v>45785</v>
      </c>
      <c r="F7468" s="472" t="s">
        <v>1744</v>
      </c>
      <c r="G7468" s="283" t="s">
        <v>86</v>
      </c>
      <c r="H7468" s="284"/>
      <c r="I7468" s="284"/>
      <c r="J7468" s="285" t="s">
        <v>131</v>
      </c>
      <c r="K7468" s="286">
        <v>19358.330000000002</v>
      </c>
      <c r="L7468" s="286"/>
      <c r="M7468" s="401"/>
    </row>
    <row r="7469" spans="1:13" ht="11.25" customHeight="1" x14ac:dyDescent="0.2">
      <c r="A7469" s="287">
        <v>2025</v>
      </c>
      <c r="B7469" s="287">
        <v>5</v>
      </c>
      <c r="C7469" s="287">
        <v>8</v>
      </c>
      <c r="D7469" s="288">
        <f t="shared" si="863"/>
        <v>45785</v>
      </c>
      <c r="E7469" s="289">
        <f t="shared" si="865"/>
        <v>45785</v>
      </c>
      <c r="F7469" s="473"/>
      <c r="G7469" s="290" t="s">
        <v>86</v>
      </c>
      <c r="H7469" s="291"/>
      <c r="I7469" s="291"/>
      <c r="J7469" s="292" t="s">
        <v>174</v>
      </c>
      <c r="K7469" s="293"/>
      <c r="L7469" s="293">
        <f>K7468</f>
        <v>19358.330000000002</v>
      </c>
    </row>
    <row r="7470" spans="1:13" ht="11.25" customHeight="1" x14ac:dyDescent="0.2">
      <c r="A7470" s="280">
        <v>2025</v>
      </c>
      <c r="B7470" s="280">
        <v>5</v>
      </c>
      <c r="C7470" s="280">
        <v>8</v>
      </c>
      <c r="D7470" s="281">
        <f t="shared" si="863"/>
        <v>45785</v>
      </c>
      <c r="E7470" s="282">
        <f t="shared" si="865"/>
        <v>45785</v>
      </c>
      <c r="F7470" s="472" t="s">
        <v>1584</v>
      </c>
      <c r="G7470" s="283" t="s">
        <v>86</v>
      </c>
      <c r="H7470" s="284"/>
      <c r="I7470" s="284"/>
      <c r="J7470" s="285" t="s">
        <v>131</v>
      </c>
      <c r="K7470" s="286">
        <v>8846.15</v>
      </c>
      <c r="L7470" s="286"/>
      <c r="M7470" s="401"/>
    </row>
    <row r="7471" spans="1:13" ht="11.25" customHeight="1" x14ac:dyDescent="0.2">
      <c r="A7471" s="287">
        <v>2025</v>
      </c>
      <c r="B7471" s="287">
        <v>5</v>
      </c>
      <c r="C7471" s="287">
        <v>8</v>
      </c>
      <c r="D7471" s="288">
        <f t="shared" si="863"/>
        <v>45785</v>
      </c>
      <c r="E7471" s="289">
        <f t="shared" si="865"/>
        <v>45785</v>
      </c>
      <c r="F7471" s="473"/>
      <c r="G7471" s="290" t="s">
        <v>86</v>
      </c>
      <c r="H7471" s="291"/>
      <c r="I7471" s="291"/>
      <c r="J7471" s="292" t="s">
        <v>174</v>
      </c>
      <c r="K7471" s="293"/>
      <c r="L7471" s="293">
        <f>K7470</f>
        <v>8846.15</v>
      </c>
    </row>
    <row r="7472" spans="1:13" ht="11.25" customHeight="1" x14ac:dyDescent="0.2">
      <c r="A7472" s="280">
        <v>2025</v>
      </c>
      <c r="B7472" s="280">
        <v>5</v>
      </c>
      <c r="C7472" s="280">
        <v>8</v>
      </c>
      <c r="D7472" s="281">
        <f t="shared" si="863"/>
        <v>45785</v>
      </c>
      <c r="E7472" s="282">
        <f t="shared" si="865"/>
        <v>45785</v>
      </c>
      <c r="F7472" s="472" t="s">
        <v>1830</v>
      </c>
      <c r="G7472" s="283" t="s">
        <v>86</v>
      </c>
      <c r="H7472" s="284"/>
      <c r="I7472" s="284"/>
      <c r="J7472" s="285" t="s">
        <v>131</v>
      </c>
      <c r="K7472" s="286">
        <v>5040.6492307692261</v>
      </c>
      <c r="L7472" s="286"/>
      <c r="M7472" s="401"/>
    </row>
    <row r="7473" spans="1:13" ht="11.25" customHeight="1" x14ac:dyDescent="0.2">
      <c r="A7473" s="287">
        <v>2025</v>
      </c>
      <c r="B7473" s="287">
        <v>5</v>
      </c>
      <c r="C7473" s="287">
        <v>8</v>
      </c>
      <c r="D7473" s="288">
        <f t="shared" si="863"/>
        <v>45785</v>
      </c>
      <c r="E7473" s="289">
        <f t="shared" si="865"/>
        <v>45785</v>
      </c>
      <c r="F7473" s="473"/>
      <c r="G7473" s="290" t="s">
        <v>86</v>
      </c>
      <c r="H7473" s="291"/>
      <c r="I7473" s="291"/>
      <c r="J7473" s="292" t="s">
        <v>174</v>
      </c>
      <c r="K7473" s="293"/>
      <c r="L7473" s="293">
        <f>K7472</f>
        <v>5040.6492307692261</v>
      </c>
    </row>
    <row r="7474" spans="1:13" ht="11.25" customHeight="1" x14ac:dyDescent="0.2">
      <c r="A7474" s="341">
        <v>2025</v>
      </c>
      <c r="B7474" s="341">
        <v>5</v>
      </c>
      <c r="C7474" s="341">
        <v>8</v>
      </c>
      <c r="D7474" s="328">
        <f t="shared" si="863"/>
        <v>45785</v>
      </c>
      <c r="E7474" s="329">
        <f t="shared" si="865"/>
        <v>45785</v>
      </c>
      <c r="F7474" s="474" t="s">
        <v>1767</v>
      </c>
      <c r="G7474" s="330" t="s">
        <v>86</v>
      </c>
      <c r="H7474" s="332"/>
      <c r="I7474" s="332"/>
      <c r="J7474" s="342" t="s">
        <v>67</v>
      </c>
      <c r="K7474" s="343">
        <v>34729.74</v>
      </c>
      <c r="L7474" s="343"/>
    </row>
    <row r="7475" spans="1:13" ht="11.25" customHeight="1" x14ac:dyDescent="0.2">
      <c r="A7475" s="344">
        <v>2025</v>
      </c>
      <c r="B7475" s="344">
        <v>5</v>
      </c>
      <c r="C7475" s="344">
        <v>8</v>
      </c>
      <c r="D7475" s="337">
        <f t="shared" si="863"/>
        <v>45785</v>
      </c>
      <c r="E7475" s="338">
        <f t="shared" si="865"/>
        <v>45785</v>
      </c>
      <c r="F7475" s="475"/>
      <c r="G7475" s="339" t="s">
        <v>86</v>
      </c>
      <c r="H7475" s="340"/>
      <c r="I7475" s="340"/>
      <c r="J7475" s="345" t="s">
        <v>174</v>
      </c>
      <c r="K7475" s="346"/>
      <c r="L7475" s="346">
        <f>K7474</f>
        <v>34729.74</v>
      </c>
    </row>
    <row r="7476" spans="1:13" ht="11.25" customHeight="1" x14ac:dyDescent="0.2">
      <c r="A7476" s="358">
        <v>2025</v>
      </c>
      <c r="B7476" s="358">
        <v>5</v>
      </c>
      <c r="C7476" s="358">
        <v>8</v>
      </c>
      <c r="D7476" s="312">
        <f t="shared" si="863"/>
        <v>45785</v>
      </c>
      <c r="E7476" s="313">
        <f>DATE(A7476,B7476,C7476)</f>
        <v>45785</v>
      </c>
      <c r="F7476" s="482" t="s">
        <v>1627</v>
      </c>
      <c r="G7476" s="314" t="s">
        <v>86</v>
      </c>
      <c r="H7476" s="324"/>
      <c r="I7476" s="324"/>
      <c r="J7476" s="364" t="s">
        <v>1613</v>
      </c>
      <c r="K7476" s="365">
        <v>0</v>
      </c>
      <c r="L7476" s="365"/>
      <c r="M7476" s="156">
        <f>BS!$I$12</f>
        <v>0</v>
      </c>
    </row>
    <row r="7477" spans="1:13" ht="11.25" customHeight="1" x14ac:dyDescent="0.2">
      <c r="A7477" s="320">
        <v>2025</v>
      </c>
      <c r="B7477" s="320">
        <v>5</v>
      </c>
      <c r="C7477" s="320">
        <v>8</v>
      </c>
      <c r="D7477" s="323">
        <f t="shared" si="863"/>
        <v>45785</v>
      </c>
      <c r="E7477" s="321">
        <f t="shared" ref="E7477" si="867">DATE(A7477,B7477,C7477)</f>
        <v>45785</v>
      </c>
      <c r="F7477" s="483"/>
      <c r="G7477" s="322" t="s">
        <v>86</v>
      </c>
      <c r="H7477" s="325"/>
      <c r="I7477" s="325"/>
      <c r="J7477" s="366" t="s">
        <v>1621</v>
      </c>
      <c r="K7477" s="367"/>
      <c r="L7477" s="367">
        <f>K7476</f>
        <v>0</v>
      </c>
    </row>
    <row r="7478" spans="1:13" ht="11.25" customHeight="1" x14ac:dyDescent="0.2">
      <c r="A7478" s="358">
        <v>2025</v>
      </c>
      <c r="B7478" s="358">
        <v>5</v>
      </c>
      <c r="C7478" s="358">
        <v>8</v>
      </c>
      <c r="D7478" s="312">
        <f t="shared" si="863"/>
        <v>45785</v>
      </c>
      <c r="E7478" s="313">
        <f>DATE(A7478,B7478,C7478)</f>
        <v>45785</v>
      </c>
      <c r="F7478" s="482" t="s">
        <v>1713</v>
      </c>
      <c r="G7478" s="314" t="s">
        <v>86</v>
      </c>
      <c r="H7478" s="324"/>
      <c r="I7478" s="324"/>
      <c r="J7478" s="364" t="s">
        <v>1614</v>
      </c>
      <c r="K7478" s="365">
        <v>67624.177999995649</v>
      </c>
      <c r="L7478" s="365"/>
      <c r="M7478" s="156">
        <f>BS!$I$15</f>
        <v>0</v>
      </c>
    </row>
    <row r="7479" spans="1:13" ht="11.25" customHeight="1" x14ac:dyDescent="0.2">
      <c r="A7479" s="320">
        <v>2025</v>
      </c>
      <c r="B7479" s="320">
        <v>5</v>
      </c>
      <c r="C7479" s="320">
        <v>8</v>
      </c>
      <c r="D7479" s="323">
        <f t="shared" si="863"/>
        <v>45785</v>
      </c>
      <c r="E7479" s="321">
        <f t="shared" ref="E7479:E7498" si="868">DATE(A7479,B7479,C7479)</f>
        <v>45785</v>
      </c>
      <c r="F7479" s="483"/>
      <c r="G7479" s="322" t="s">
        <v>86</v>
      </c>
      <c r="H7479" s="325"/>
      <c r="I7479" s="325"/>
      <c r="J7479" s="366" t="s">
        <v>1622</v>
      </c>
      <c r="K7479" s="367"/>
      <c r="L7479" s="367">
        <f>K7478</f>
        <v>67624.177999995649</v>
      </c>
    </row>
    <row r="7480" spans="1:13" ht="11.25" customHeight="1" x14ac:dyDescent="0.2">
      <c r="A7480" s="236">
        <v>2025</v>
      </c>
      <c r="B7480" s="236">
        <v>5</v>
      </c>
      <c r="C7480" s="236">
        <v>8</v>
      </c>
      <c r="D7480" s="237">
        <f t="shared" si="863"/>
        <v>45785</v>
      </c>
      <c r="E7480" s="238">
        <f t="shared" si="868"/>
        <v>45785</v>
      </c>
      <c r="F7480" s="476" t="s">
        <v>1118</v>
      </c>
      <c r="G7480" s="239" t="s">
        <v>86</v>
      </c>
      <c r="H7480" s="239"/>
      <c r="I7480" s="240"/>
      <c r="J7480" s="241" t="s">
        <v>98</v>
      </c>
      <c r="K7480" s="242">
        <v>532505.08000001311</v>
      </c>
      <c r="L7480" s="242"/>
      <c r="M7480" s="156">
        <f>BS!$I$8</f>
        <v>0</v>
      </c>
    </row>
    <row r="7481" spans="1:13" ht="11.25" customHeight="1" x14ac:dyDescent="0.2">
      <c r="A7481" s="243">
        <v>2025</v>
      </c>
      <c r="B7481" s="243">
        <v>5</v>
      </c>
      <c r="C7481" s="243">
        <v>8</v>
      </c>
      <c r="D7481" s="248">
        <f t="shared" si="863"/>
        <v>45785</v>
      </c>
      <c r="E7481" s="249">
        <f t="shared" si="868"/>
        <v>45785</v>
      </c>
      <c r="F7481" s="477"/>
      <c r="G7481" s="244" t="s">
        <v>86</v>
      </c>
      <c r="H7481" s="244"/>
      <c r="I7481" s="245"/>
      <c r="J7481" s="246" t="s">
        <v>82</v>
      </c>
      <c r="K7481" s="247"/>
      <c r="L7481" s="247">
        <f>K7480</f>
        <v>532505.08000001311</v>
      </c>
    </row>
    <row r="7482" spans="1:13" ht="11.25" customHeight="1" x14ac:dyDescent="0.2">
      <c r="A7482" s="236">
        <v>2025</v>
      </c>
      <c r="B7482" s="236">
        <v>5</v>
      </c>
      <c r="C7482" s="236">
        <v>8</v>
      </c>
      <c r="D7482" s="237">
        <f t="shared" si="863"/>
        <v>45785</v>
      </c>
      <c r="E7482" s="238">
        <f t="shared" si="868"/>
        <v>45785</v>
      </c>
      <c r="F7482" s="476" t="s">
        <v>1120</v>
      </c>
      <c r="G7482" s="239" t="s">
        <v>86</v>
      </c>
      <c r="H7482" s="239"/>
      <c r="I7482" s="240"/>
      <c r="J7482" s="241" t="s">
        <v>87</v>
      </c>
      <c r="K7482" s="242">
        <v>2747.2527472527472</v>
      </c>
      <c r="L7482" s="242"/>
      <c r="M7482" s="401"/>
    </row>
    <row r="7483" spans="1:13" ht="11.25" customHeight="1" x14ac:dyDescent="0.2">
      <c r="A7483" s="243">
        <v>2025</v>
      </c>
      <c r="B7483" s="243">
        <v>5</v>
      </c>
      <c r="C7483" s="243">
        <v>8</v>
      </c>
      <c r="D7483" s="248">
        <f t="shared" si="863"/>
        <v>45785</v>
      </c>
      <c r="E7483" s="249">
        <f t="shared" si="868"/>
        <v>45785</v>
      </c>
      <c r="F7483" s="477"/>
      <c r="G7483" s="244" t="s">
        <v>86</v>
      </c>
      <c r="H7483" s="244"/>
      <c r="I7483" s="245"/>
      <c r="J7483" s="246" t="s">
        <v>64</v>
      </c>
      <c r="K7483" s="247"/>
      <c r="L7483" s="247">
        <f>K7482</f>
        <v>2747.2527472527472</v>
      </c>
    </row>
    <row r="7484" spans="1:13" ht="11.25" customHeight="1" x14ac:dyDescent="0.2">
      <c r="A7484" s="236">
        <v>2025</v>
      </c>
      <c r="B7484" s="236">
        <v>5</v>
      </c>
      <c r="C7484" s="236">
        <v>8</v>
      </c>
      <c r="D7484" s="237">
        <f t="shared" si="863"/>
        <v>45785</v>
      </c>
      <c r="E7484" s="238">
        <f t="shared" si="868"/>
        <v>45785</v>
      </c>
      <c r="F7484" s="476" t="s">
        <v>1121</v>
      </c>
      <c r="G7484" s="239" t="s">
        <v>86</v>
      </c>
      <c r="H7484" s="239"/>
      <c r="I7484" s="240"/>
      <c r="J7484" s="241" t="s">
        <v>89</v>
      </c>
      <c r="K7484" s="242">
        <f>M7484</f>
        <v>71203.12322979953</v>
      </c>
      <c r="L7484" s="242"/>
      <c r="M7484" s="156">
        <v>71203.12322979953</v>
      </c>
    </row>
    <row r="7485" spans="1:13" ht="11.25" customHeight="1" x14ac:dyDescent="0.2">
      <c r="A7485" s="243">
        <v>2025</v>
      </c>
      <c r="B7485" s="243">
        <v>5</v>
      </c>
      <c r="C7485" s="243">
        <v>8</v>
      </c>
      <c r="D7485" s="248">
        <f t="shared" si="863"/>
        <v>45785</v>
      </c>
      <c r="E7485" s="249">
        <f t="shared" si="868"/>
        <v>45785</v>
      </c>
      <c r="F7485" s="477"/>
      <c r="G7485" s="244" t="s">
        <v>86</v>
      </c>
      <c r="H7485" s="244"/>
      <c r="I7485" s="245"/>
      <c r="J7485" s="246" t="s">
        <v>50</v>
      </c>
      <c r="K7485" s="247"/>
      <c r="L7485" s="247">
        <f>K7484</f>
        <v>71203.12322979953</v>
      </c>
      <c r="M7485" s="156">
        <v>3319.7715461053613</v>
      </c>
    </row>
    <row r="7486" spans="1:13" ht="11.25" customHeight="1" x14ac:dyDescent="0.2">
      <c r="A7486" s="236">
        <v>2025</v>
      </c>
      <c r="B7486" s="236">
        <v>5</v>
      </c>
      <c r="C7486" s="236">
        <v>8</v>
      </c>
      <c r="D7486" s="237">
        <f t="shared" si="863"/>
        <v>45785</v>
      </c>
      <c r="E7486" s="238">
        <f t="shared" si="868"/>
        <v>45785</v>
      </c>
      <c r="F7486" s="476" t="s">
        <v>1122</v>
      </c>
      <c r="G7486" s="239" t="s">
        <v>86</v>
      </c>
      <c r="H7486" s="239"/>
      <c r="I7486" s="240"/>
      <c r="J7486" s="241" t="s">
        <v>91</v>
      </c>
      <c r="K7486" s="242">
        <f>M7485</f>
        <v>3319.7715461053613</v>
      </c>
      <c r="L7486" s="242"/>
    </row>
    <row r="7487" spans="1:13" ht="11.25" customHeight="1" x14ac:dyDescent="0.2">
      <c r="A7487" s="243">
        <v>2025</v>
      </c>
      <c r="B7487" s="243">
        <v>5</v>
      </c>
      <c r="C7487" s="243">
        <v>8</v>
      </c>
      <c r="D7487" s="248">
        <f t="shared" si="863"/>
        <v>45785</v>
      </c>
      <c r="E7487" s="249">
        <f t="shared" si="868"/>
        <v>45785</v>
      </c>
      <c r="F7487" s="477"/>
      <c r="G7487" s="244" t="s">
        <v>86</v>
      </c>
      <c r="H7487" s="244"/>
      <c r="I7487" s="245"/>
      <c r="J7487" s="246" t="s">
        <v>51</v>
      </c>
      <c r="K7487" s="247"/>
      <c r="L7487" s="247">
        <f>K7486</f>
        <v>3319.7715461053613</v>
      </c>
    </row>
    <row r="7488" spans="1:13" ht="11.25" customHeight="1" x14ac:dyDescent="0.2">
      <c r="A7488" s="164">
        <v>2025</v>
      </c>
      <c r="B7488" s="164">
        <v>5</v>
      </c>
      <c r="C7488" s="164">
        <v>12</v>
      </c>
      <c r="D7488" s="164">
        <f t="shared" si="863"/>
        <v>45789</v>
      </c>
      <c r="E7488" s="235">
        <f t="shared" si="868"/>
        <v>45789</v>
      </c>
      <c r="F7488" s="480" t="s">
        <v>1589</v>
      </c>
      <c r="G7488" s="208" t="s">
        <v>86</v>
      </c>
      <c r="H7488" s="208"/>
      <c r="J7488" s="165" t="s">
        <v>199</v>
      </c>
      <c r="K7488" s="205">
        <v>1263916</v>
      </c>
      <c r="L7488" s="205"/>
    </row>
    <row r="7489" spans="1:13" ht="11.25" customHeight="1" x14ac:dyDescent="0.2">
      <c r="A7489" s="164">
        <v>2025</v>
      </c>
      <c r="B7489" s="164">
        <v>5</v>
      </c>
      <c r="C7489" s="164">
        <v>12</v>
      </c>
      <c r="D7489" s="164">
        <f t="shared" si="863"/>
        <v>45789</v>
      </c>
      <c r="E7489" s="235">
        <f t="shared" si="868"/>
        <v>45789</v>
      </c>
      <c r="F7489" s="480"/>
      <c r="G7489" s="208" t="s">
        <v>86</v>
      </c>
      <c r="H7489" s="208"/>
      <c r="J7489" s="165" t="s">
        <v>960</v>
      </c>
      <c r="K7489" s="205">
        <v>2280.1</v>
      </c>
      <c r="L7489" s="205"/>
      <c r="M7489" s="401"/>
    </row>
    <row r="7490" spans="1:13" ht="11.25" customHeight="1" x14ac:dyDescent="0.2">
      <c r="A7490" s="164">
        <v>2025</v>
      </c>
      <c r="B7490" s="164">
        <v>5</v>
      </c>
      <c r="C7490" s="164">
        <v>12</v>
      </c>
      <c r="D7490" s="164">
        <f t="shared" si="863"/>
        <v>45789</v>
      </c>
      <c r="E7490" s="235">
        <f t="shared" si="868"/>
        <v>45789</v>
      </c>
      <c r="F7490" s="480"/>
      <c r="G7490" s="208" t="s">
        <v>86</v>
      </c>
      <c r="H7490" s="208"/>
      <c r="J7490" s="165" t="s">
        <v>200</v>
      </c>
      <c r="K7490" s="156">
        <v>321590.39</v>
      </c>
      <c r="L7490" s="205"/>
    </row>
    <row r="7491" spans="1:13" ht="11.25" customHeight="1" x14ac:dyDescent="0.2">
      <c r="A7491" s="226">
        <v>2025</v>
      </c>
      <c r="B7491" s="226">
        <v>5</v>
      </c>
      <c r="C7491" s="226">
        <v>12</v>
      </c>
      <c r="D7491" s="226">
        <f t="shared" si="863"/>
        <v>45789</v>
      </c>
      <c r="E7491" s="234">
        <f t="shared" si="868"/>
        <v>45789</v>
      </c>
      <c r="F7491" s="479"/>
      <c r="G7491" s="227" t="s">
        <v>86</v>
      </c>
      <c r="H7491" s="228"/>
      <c r="I7491" s="228"/>
      <c r="J7491" s="229" t="s">
        <v>80</v>
      </c>
      <c r="K7491" s="230"/>
      <c r="L7491" s="230">
        <v>1587786.49</v>
      </c>
    </row>
    <row r="7492" spans="1:13" ht="11.25" customHeight="1" x14ac:dyDescent="0.2">
      <c r="A7492" s="221">
        <v>2025</v>
      </c>
      <c r="B7492" s="221">
        <v>5</v>
      </c>
      <c r="C7492" s="221">
        <v>12</v>
      </c>
      <c r="D7492" s="221">
        <f t="shared" si="863"/>
        <v>45789</v>
      </c>
      <c r="E7492" s="233">
        <f t="shared" si="868"/>
        <v>45789</v>
      </c>
      <c r="F7492" s="478" t="s">
        <v>1875</v>
      </c>
      <c r="G7492" s="222" t="s">
        <v>86</v>
      </c>
      <c r="H7492" s="222"/>
      <c r="I7492" s="223"/>
      <c r="J7492" s="224" t="s">
        <v>80</v>
      </c>
      <c r="K7492" s="225">
        <v>516291.7</v>
      </c>
      <c r="L7492" s="225"/>
    </row>
    <row r="7493" spans="1:13" ht="11.25" customHeight="1" x14ac:dyDescent="0.2">
      <c r="A7493" s="164">
        <v>2025</v>
      </c>
      <c r="B7493" s="164">
        <v>5</v>
      </c>
      <c r="C7493" s="164">
        <v>12</v>
      </c>
      <c r="D7493" s="164">
        <f t="shared" si="863"/>
        <v>45789</v>
      </c>
      <c r="E7493" s="235">
        <f t="shared" si="868"/>
        <v>45789</v>
      </c>
      <c r="F7493" s="480"/>
      <c r="G7493" s="208" t="s">
        <v>86</v>
      </c>
      <c r="H7493" s="208"/>
      <c r="J7493" s="165" t="s">
        <v>960</v>
      </c>
      <c r="K7493" s="205">
        <v>1009.25</v>
      </c>
      <c r="L7493" s="205"/>
    </row>
    <row r="7494" spans="1:13" ht="11.25" customHeight="1" x14ac:dyDescent="0.2">
      <c r="A7494" s="164">
        <v>2025</v>
      </c>
      <c r="B7494" s="164">
        <v>5</v>
      </c>
      <c r="C7494" s="164">
        <v>12</v>
      </c>
      <c r="D7494" s="164">
        <f t="shared" si="863"/>
        <v>45789</v>
      </c>
      <c r="E7494" s="235">
        <f t="shared" si="868"/>
        <v>45789</v>
      </c>
      <c r="F7494" s="480"/>
      <c r="G7494" s="208" t="s">
        <v>86</v>
      </c>
      <c r="H7494" s="208"/>
      <c r="J7494" s="165" t="s">
        <v>143</v>
      </c>
      <c r="K7494" s="205"/>
      <c r="L7494" s="205">
        <v>472895.95</v>
      </c>
    </row>
    <row r="7495" spans="1:13" ht="11.25" customHeight="1" x14ac:dyDescent="0.2">
      <c r="A7495" s="164">
        <v>2025</v>
      </c>
      <c r="B7495" s="164">
        <v>5</v>
      </c>
      <c r="C7495" s="164">
        <v>12</v>
      </c>
      <c r="D7495" s="164">
        <f t="shared" si="863"/>
        <v>45789</v>
      </c>
      <c r="E7495" s="235">
        <f t="shared" si="868"/>
        <v>45789</v>
      </c>
      <c r="F7495" s="480"/>
      <c r="G7495" s="208" t="s">
        <v>86</v>
      </c>
      <c r="H7495" s="208"/>
      <c r="J7495" s="165" t="s">
        <v>200</v>
      </c>
      <c r="K7495" s="205"/>
      <c r="L7495" s="205">
        <v>535</v>
      </c>
    </row>
    <row r="7496" spans="1:13" ht="11.25" customHeight="1" x14ac:dyDescent="0.2">
      <c r="A7496" s="226">
        <v>2025</v>
      </c>
      <c r="B7496" s="226">
        <v>5</v>
      </c>
      <c r="C7496" s="226">
        <v>12</v>
      </c>
      <c r="D7496" s="226">
        <f t="shared" si="863"/>
        <v>45789</v>
      </c>
      <c r="E7496" s="234">
        <f t="shared" si="868"/>
        <v>45789</v>
      </c>
      <c r="F7496" s="479"/>
      <c r="G7496" s="227" t="s">
        <v>86</v>
      </c>
      <c r="H7496" s="228"/>
      <c r="I7496" s="228"/>
      <c r="J7496" s="229" t="s">
        <v>80</v>
      </c>
      <c r="K7496" s="230"/>
      <c r="L7496" s="230">
        <v>43870</v>
      </c>
    </row>
    <row r="7497" spans="1:13" ht="11.25" customHeight="1" x14ac:dyDescent="0.2">
      <c r="A7497" s="221">
        <v>2025</v>
      </c>
      <c r="B7497" s="221">
        <v>5</v>
      </c>
      <c r="C7497" s="221">
        <v>12</v>
      </c>
      <c r="D7497" s="231">
        <f t="shared" ref="D7497:D7560" si="869">DATE(A7497,B7497,C7497)</f>
        <v>45789</v>
      </c>
      <c r="E7497" s="233">
        <f t="shared" si="868"/>
        <v>45789</v>
      </c>
      <c r="F7497" s="478" t="s">
        <v>1878</v>
      </c>
      <c r="G7497" s="222" t="s">
        <v>1111</v>
      </c>
      <c r="H7497" s="223"/>
      <c r="I7497" s="223"/>
      <c r="J7497" s="224" t="s">
        <v>961</v>
      </c>
      <c r="K7497" s="225">
        <v>472895.95</v>
      </c>
      <c r="L7497" s="225"/>
    </row>
    <row r="7498" spans="1:13" ht="11.25" customHeight="1" x14ac:dyDescent="0.2">
      <c r="A7498" s="226">
        <v>2025</v>
      </c>
      <c r="B7498" s="226">
        <v>5</v>
      </c>
      <c r="C7498" s="226">
        <v>12</v>
      </c>
      <c r="D7498" s="232">
        <f t="shared" si="869"/>
        <v>45789</v>
      </c>
      <c r="E7498" s="234">
        <f t="shared" si="868"/>
        <v>45789</v>
      </c>
      <c r="F7498" s="479"/>
      <c r="G7498" s="227" t="s">
        <v>1111</v>
      </c>
      <c r="H7498" s="228"/>
      <c r="I7498" s="228"/>
      <c r="J7498" s="229" t="s">
        <v>55</v>
      </c>
      <c r="K7498" s="230"/>
      <c r="L7498" s="230">
        <v>472895.95</v>
      </c>
    </row>
    <row r="7499" spans="1:13" ht="11.25" customHeight="1" x14ac:dyDescent="0.2">
      <c r="A7499" s="221">
        <v>2025</v>
      </c>
      <c r="B7499" s="221">
        <v>5</v>
      </c>
      <c r="C7499" s="221">
        <v>12</v>
      </c>
      <c r="D7499" s="231">
        <f t="shared" si="869"/>
        <v>45789</v>
      </c>
      <c r="E7499" s="233">
        <f t="shared" ref="E7499:E7500" si="870">DATE(A7499,B7499,C7499)</f>
        <v>45789</v>
      </c>
      <c r="F7499" s="478" t="s">
        <v>1878</v>
      </c>
      <c r="G7499" s="222" t="s">
        <v>1111</v>
      </c>
      <c r="H7499" s="223"/>
      <c r="I7499" s="223"/>
      <c r="J7499" s="224" t="s">
        <v>961</v>
      </c>
      <c r="K7499" s="225">
        <v>2882450.29</v>
      </c>
      <c r="L7499" s="225"/>
    </row>
    <row r="7500" spans="1:13" ht="11.25" customHeight="1" x14ac:dyDescent="0.2">
      <c r="A7500" s="226">
        <v>2025</v>
      </c>
      <c r="B7500" s="226">
        <v>5</v>
      </c>
      <c r="C7500" s="226">
        <v>12</v>
      </c>
      <c r="D7500" s="232">
        <f t="shared" si="869"/>
        <v>45789</v>
      </c>
      <c r="E7500" s="234">
        <f t="shared" si="870"/>
        <v>45789</v>
      </c>
      <c r="F7500" s="479"/>
      <c r="G7500" s="227" t="s">
        <v>1111</v>
      </c>
      <c r="H7500" s="228"/>
      <c r="I7500" s="228"/>
      <c r="J7500" s="229" t="s">
        <v>55</v>
      </c>
      <c r="K7500" s="230"/>
      <c r="L7500" s="230">
        <v>2882450.29</v>
      </c>
    </row>
    <row r="7501" spans="1:13" ht="11.25" customHeight="1" x14ac:dyDescent="0.2">
      <c r="A7501" s="221">
        <v>2025</v>
      </c>
      <c r="B7501" s="221">
        <v>5</v>
      </c>
      <c r="C7501" s="221">
        <v>12</v>
      </c>
      <c r="D7501" s="231">
        <f t="shared" si="869"/>
        <v>45789</v>
      </c>
      <c r="E7501" s="233">
        <f t="shared" ref="E7501:E7502" si="871">DATE(A7501,B7501,C7501)</f>
        <v>45789</v>
      </c>
      <c r="F7501" s="478" t="s">
        <v>1878</v>
      </c>
      <c r="G7501" s="222" t="s">
        <v>1111</v>
      </c>
      <c r="H7501" s="223"/>
      <c r="I7501" s="223"/>
      <c r="J7501" s="224" t="s">
        <v>961</v>
      </c>
      <c r="K7501" s="225">
        <v>1505670.14</v>
      </c>
      <c r="L7501" s="225"/>
    </row>
    <row r="7502" spans="1:13" ht="11.25" customHeight="1" x14ac:dyDescent="0.2">
      <c r="A7502" s="226">
        <v>2025</v>
      </c>
      <c r="B7502" s="226">
        <v>5</v>
      </c>
      <c r="C7502" s="226">
        <v>12</v>
      </c>
      <c r="D7502" s="232">
        <f t="shared" si="869"/>
        <v>45789</v>
      </c>
      <c r="E7502" s="234">
        <f t="shared" si="871"/>
        <v>45789</v>
      </c>
      <c r="F7502" s="479"/>
      <c r="G7502" s="227" t="s">
        <v>1111</v>
      </c>
      <c r="H7502" s="228"/>
      <c r="I7502" s="228"/>
      <c r="J7502" s="229" t="s">
        <v>55</v>
      </c>
      <c r="K7502" s="230"/>
      <c r="L7502" s="230">
        <v>1505670.14</v>
      </c>
    </row>
    <row r="7503" spans="1:13" ht="11.25" customHeight="1" x14ac:dyDescent="0.2">
      <c r="A7503" s="221">
        <v>2025</v>
      </c>
      <c r="B7503" s="221">
        <v>5</v>
      </c>
      <c r="C7503" s="221">
        <v>13</v>
      </c>
      <c r="D7503" s="221">
        <f t="shared" si="869"/>
        <v>45790</v>
      </c>
      <c r="E7503" s="233">
        <f t="shared" ref="E7503:E7507" si="872">DATE(A7503,B7503,C7503)</f>
        <v>45790</v>
      </c>
      <c r="F7503" s="478" t="s">
        <v>1875</v>
      </c>
      <c r="G7503" s="222" t="s">
        <v>86</v>
      </c>
      <c r="H7503" s="222"/>
      <c r="I7503" s="223"/>
      <c r="J7503" s="224" t="s">
        <v>80</v>
      </c>
      <c r="K7503" s="225">
        <v>3939842.9</v>
      </c>
      <c r="L7503" s="225"/>
    </row>
    <row r="7504" spans="1:13" ht="11.25" customHeight="1" x14ac:dyDescent="0.2">
      <c r="A7504" s="164">
        <v>2025</v>
      </c>
      <c r="B7504" s="164">
        <v>5</v>
      </c>
      <c r="C7504" s="164">
        <v>13</v>
      </c>
      <c r="D7504" s="164">
        <f t="shared" si="869"/>
        <v>45790</v>
      </c>
      <c r="E7504" s="235">
        <f t="shared" si="872"/>
        <v>45790</v>
      </c>
      <c r="F7504" s="480"/>
      <c r="G7504" s="208" t="s">
        <v>86</v>
      </c>
      <c r="H7504" s="208"/>
      <c r="J7504" s="165" t="s">
        <v>960</v>
      </c>
      <c r="K7504" s="205">
        <v>7838.73</v>
      </c>
      <c r="L7504" s="205"/>
      <c r="M7504" s="263"/>
    </row>
    <row r="7505" spans="1:13" ht="11.25" customHeight="1" x14ac:dyDescent="0.2">
      <c r="A7505" s="164">
        <v>2025</v>
      </c>
      <c r="B7505" s="164">
        <v>5</v>
      </c>
      <c r="C7505" s="164">
        <v>13</v>
      </c>
      <c r="D7505" s="164">
        <f t="shared" si="869"/>
        <v>45790</v>
      </c>
      <c r="E7505" s="235">
        <f t="shared" si="872"/>
        <v>45790</v>
      </c>
      <c r="F7505" s="480"/>
      <c r="G7505" s="208" t="s">
        <v>86</v>
      </c>
      <c r="H7505" s="208"/>
      <c r="J7505" s="165" t="s">
        <v>143</v>
      </c>
      <c r="K7505" s="205"/>
      <c r="L7505" s="205">
        <v>3532676.63</v>
      </c>
    </row>
    <row r="7506" spans="1:13" ht="11.25" customHeight="1" x14ac:dyDescent="0.2">
      <c r="A7506" s="164">
        <v>2025</v>
      </c>
      <c r="B7506" s="164">
        <v>5</v>
      </c>
      <c r="C7506" s="164">
        <v>13</v>
      </c>
      <c r="D7506" s="164">
        <f t="shared" si="869"/>
        <v>45790</v>
      </c>
      <c r="E7506" s="235">
        <f t="shared" si="872"/>
        <v>45790</v>
      </c>
      <c r="F7506" s="480"/>
      <c r="G7506" s="208" t="s">
        <v>86</v>
      </c>
      <c r="H7506" s="208"/>
      <c r="J7506" s="165" t="s">
        <v>200</v>
      </c>
      <c r="K7506" s="205"/>
      <c r="L7506" s="205">
        <v>5005</v>
      </c>
    </row>
    <row r="7507" spans="1:13" ht="11.25" customHeight="1" x14ac:dyDescent="0.2">
      <c r="A7507" s="226">
        <v>2025</v>
      </c>
      <c r="B7507" s="226">
        <v>5</v>
      </c>
      <c r="C7507" s="226">
        <v>13</v>
      </c>
      <c r="D7507" s="226">
        <f t="shared" si="869"/>
        <v>45790</v>
      </c>
      <c r="E7507" s="234">
        <f t="shared" si="872"/>
        <v>45790</v>
      </c>
      <c r="F7507" s="479"/>
      <c r="G7507" s="227" t="s">
        <v>86</v>
      </c>
      <c r="H7507" s="228"/>
      <c r="I7507" s="228"/>
      <c r="J7507" s="229" t="s">
        <v>80</v>
      </c>
      <c r="K7507" s="230"/>
      <c r="L7507" s="230">
        <v>410000</v>
      </c>
    </row>
    <row r="7508" spans="1:13" ht="11.25" customHeight="1" x14ac:dyDescent="0.2">
      <c r="A7508" s="221">
        <v>2025</v>
      </c>
      <c r="B7508" s="221">
        <v>5</v>
      </c>
      <c r="C7508" s="221">
        <v>13</v>
      </c>
      <c r="D7508" s="221">
        <f t="shared" si="869"/>
        <v>45790</v>
      </c>
      <c r="E7508" s="233">
        <f t="shared" ref="E7508:E7524" si="873">DATE(A7508,B7508,C7508)</f>
        <v>45790</v>
      </c>
      <c r="F7508" s="478" t="s">
        <v>1769</v>
      </c>
      <c r="G7508" s="222" t="s">
        <v>86</v>
      </c>
      <c r="H7508" s="222"/>
      <c r="I7508" s="223"/>
      <c r="J7508" s="224" t="s">
        <v>80</v>
      </c>
      <c r="K7508" s="225">
        <v>257200</v>
      </c>
      <c r="L7508" s="225"/>
    </row>
    <row r="7509" spans="1:13" ht="11.25" customHeight="1" x14ac:dyDescent="0.2">
      <c r="A7509" s="164">
        <v>2025</v>
      </c>
      <c r="B7509" s="164">
        <v>5</v>
      </c>
      <c r="C7509" s="164">
        <v>13</v>
      </c>
      <c r="D7509" s="164">
        <f t="shared" si="869"/>
        <v>45790</v>
      </c>
      <c r="E7509" s="235">
        <f t="shared" si="873"/>
        <v>45790</v>
      </c>
      <c r="F7509" s="480"/>
      <c r="G7509" s="208" t="s">
        <v>86</v>
      </c>
      <c r="H7509" s="208"/>
      <c r="J7509" s="165" t="s">
        <v>960</v>
      </c>
      <c r="K7509" s="205">
        <v>14997</v>
      </c>
      <c r="L7509" s="205"/>
      <c r="M7509" s="263"/>
    </row>
    <row r="7510" spans="1:13" ht="11.25" customHeight="1" x14ac:dyDescent="0.2">
      <c r="A7510" s="164">
        <v>2025</v>
      </c>
      <c r="B7510" s="164">
        <v>5</v>
      </c>
      <c r="C7510" s="164">
        <v>13</v>
      </c>
      <c r="D7510" s="164">
        <f t="shared" si="869"/>
        <v>45790</v>
      </c>
      <c r="E7510" s="235">
        <f t="shared" si="873"/>
        <v>45790</v>
      </c>
      <c r="F7510" s="480"/>
      <c r="G7510" s="208" t="s">
        <v>86</v>
      </c>
      <c r="H7510" s="208"/>
      <c r="J7510" s="165" t="s">
        <v>199</v>
      </c>
      <c r="K7510" s="205">
        <v>7802248</v>
      </c>
      <c r="L7510" s="205"/>
    </row>
    <row r="7511" spans="1:13" ht="11.25" customHeight="1" x14ac:dyDescent="0.2">
      <c r="A7511" s="164">
        <v>2025</v>
      </c>
      <c r="B7511" s="164">
        <v>5</v>
      </c>
      <c r="C7511" s="164">
        <v>13</v>
      </c>
      <c r="D7511" s="164">
        <f t="shared" si="869"/>
        <v>45790</v>
      </c>
      <c r="E7511" s="235">
        <f t="shared" si="873"/>
        <v>45790</v>
      </c>
      <c r="F7511" s="480"/>
      <c r="G7511" s="208" t="s">
        <v>86</v>
      </c>
      <c r="H7511" s="208"/>
      <c r="J7511" s="165" t="s">
        <v>200</v>
      </c>
      <c r="K7511" s="205">
        <v>208113.46</v>
      </c>
      <c r="L7511" s="205"/>
    </row>
    <row r="7512" spans="1:13" ht="11.25" customHeight="1" x14ac:dyDescent="0.2">
      <c r="A7512" s="226">
        <v>2025</v>
      </c>
      <c r="B7512" s="226">
        <v>5</v>
      </c>
      <c r="C7512" s="226">
        <v>13</v>
      </c>
      <c r="D7512" s="226">
        <f t="shared" si="869"/>
        <v>45790</v>
      </c>
      <c r="E7512" s="234">
        <f t="shared" si="873"/>
        <v>45790</v>
      </c>
      <c r="F7512" s="479"/>
      <c r="G7512" s="227" t="s">
        <v>86</v>
      </c>
      <c r="H7512" s="228"/>
      <c r="I7512" s="228"/>
      <c r="J7512" s="229" t="s">
        <v>80</v>
      </c>
      <c r="K7512" s="230"/>
      <c r="L7512" s="230">
        <v>8282558.46</v>
      </c>
    </row>
    <row r="7513" spans="1:13" ht="11.25" customHeight="1" x14ac:dyDescent="0.2">
      <c r="A7513" s="221">
        <v>2025</v>
      </c>
      <c r="B7513" s="221">
        <v>5</v>
      </c>
      <c r="C7513" s="221">
        <v>13</v>
      </c>
      <c r="D7513" s="231">
        <f t="shared" si="869"/>
        <v>45790</v>
      </c>
      <c r="E7513" s="233">
        <f t="shared" si="873"/>
        <v>45790</v>
      </c>
      <c r="F7513" s="478" t="s">
        <v>1879</v>
      </c>
      <c r="G7513" s="222" t="s">
        <v>1111</v>
      </c>
      <c r="H7513" s="223"/>
      <c r="I7513" s="223"/>
      <c r="J7513" s="224" t="s">
        <v>55</v>
      </c>
      <c r="K7513" s="225">
        <v>207137</v>
      </c>
      <c r="L7513" s="225"/>
    </row>
    <row r="7514" spans="1:13" ht="11.25" customHeight="1" x14ac:dyDescent="0.2">
      <c r="A7514" s="226">
        <v>2025</v>
      </c>
      <c r="B7514" s="226">
        <v>5</v>
      </c>
      <c r="C7514" s="226">
        <v>13</v>
      </c>
      <c r="D7514" s="232">
        <f t="shared" si="869"/>
        <v>45790</v>
      </c>
      <c r="E7514" s="234">
        <f t="shared" si="873"/>
        <v>45790</v>
      </c>
      <c r="F7514" s="479"/>
      <c r="G7514" s="227" t="s">
        <v>1111</v>
      </c>
      <c r="H7514" s="228"/>
      <c r="I7514" s="228"/>
      <c r="J7514" s="229" t="s">
        <v>199</v>
      </c>
      <c r="K7514" s="230"/>
      <c r="L7514" s="230">
        <v>207137</v>
      </c>
    </row>
    <row r="7515" spans="1:13" ht="11.25" customHeight="1" x14ac:dyDescent="0.2">
      <c r="A7515" s="221">
        <v>2025</v>
      </c>
      <c r="B7515" s="221">
        <v>5</v>
      </c>
      <c r="C7515" s="221">
        <v>14</v>
      </c>
      <c r="D7515" s="221">
        <f t="shared" si="869"/>
        <v>45791</v>
      </c>
      <c r="E7515" s="233">
        <f t="shared" si="873"/>
        <v>45791</v>
      </c>
      <c r="F7515" s="478" t="s">
        <v>1875</v>
      </c>
      <c r="G7515" s="222" t="s">
        <v>86</v>
      </c>
      <c r="H7515" s="222"/>
      <c r="I7515" s="223"/>
      <c r="J7515" s="224" t="s">
        <v>80</v>
      </c>
      <c r="K7515" s="225">
        <v>485500</v>
      </c>
      <c r="L7515" s="225"/>
    </row>
    <row r="7516" spans="1:13" ht="11.25" customHeight="1" x14ac:dyDescent="0.2">
      <c r="A7516" s="164">
        <v>2025</v>
      </c>
      <c r="B7516" s="164">
        <v>5</v>
      </c>
      <c r="C7516" s="164">
        <v>14</v>
      </c>
      <c r="D7516" s="164">
        <f t="shared" si="869"/>
        <v>45791</v>
      </c>
      <c r="E7516" s="235">
        <f t="shared" si="873"/>
        <v>45791</v>
      </c>
      <c r="F7516" s="480"/>
      <c r="G7516" s="208" t="s">
        <v>86</v>
      </c>
      <c r="H7516" s="208"/>
      <c r="J7516" s="165" t="s">
        <v>960</v>
      </c>
      <c r="K7516" s="205">
        <v>1024.45</v>
      </c>
      <c r="L7516" s="205"/>
      <c r="M7516" s="263"/>
    </row>
    <row r="7517" spans="1:13" ht="11.25" customHeight="1" x14ac:dyDescent="0.2">
      <c r="A7517" s="164">
        <v>2025</v>
      </c>
      <c r="B7517" s="164">
        <v>5</v>
      </c>
      <c r="C7517" s="164">
        <v>14</v>
      </c>
      <c r="D7517" s="164">
        <f t="shared" si="869"/>
        <v>45791</v>
      </c>
      <c r="E7517" s="235">
        <f t="shared" si="873"/>
        <v>45791</v>
      </c>
      <c r="F7517" s="480"/>
      <c r="G7517" s="208" t="s">
        <v>86</v>
      </c>
      <c r="H7517" s="208"/>
      <c r="J7517" s="165" t="s">
        <v>143</v>
      </c>
      <c r="K7517" s="205"/>
      <c r="L7517" s="205">
        <v>402884.45</v>
      </c>
    </row>
    <row r="7518" spans="1:13" ht="11.25" customHeight="1" x14ac:dyDescent="0.2">
      <c r="A7518" s="164">
        <v>2025</v>
      </c>
      <c r="B7518" s="164">
        <v>5</v>
      </c>
      <c r="C7518" s="164">
        <v>14</v>
      </c>
      <c r="D7518" s="164">
        <f t="shared" si="869"/>
        <v>45791</v>
      </c>
      <c r="E7518" s="235">
        <f t="shared" si="873"/>
        <v>45791</v>
      </c>
      <c r="F7518" s="480"/>
      <c r="G7518" s="208" t="s">
        <v>86</v>
      </c>
      <c r="H7518" s="208"/>
      <c r="J7518" s="165" t="s">
        <v>200</v>
      </c>
      <c r="K7518" s="205"/>
      <c r="L7518" s="205"/>
      <c r="M7518" s="263"/>
    </row>
    <row r="7519" spans="1:13" ht="11.25" customHeight="1" x14ac:dyDescent="0.2">
      <c r="A7519" s="226">
        <v>2025</v>
      </c>
      <c r="B7519" s="226">
        <v>5</v>
      </c>
      <c r="C7519" s="226">
        <v>14</v>
      </c>
      <c r="D7519" s="226">
        <f t="shared" si="869"/>
        <v>45791</v>
      </c>
      <c r="E7519" s="234">
        <f t="shared" si="873"/>
        <v>45791</v>
      </c>
      <c r="F7519" s="479"/>
      <c r="G7519" s="227" t="s">
        <v>86</v>
      </c>
      <c r="H7519" s="228"/>
      <c r="I7519" s="228"/>
      <c r="J7519" s="229" t="s">
        <v>80</v>
      </c>
      <c r="K7519" s="230"/>
      <c r="L7519" s="230">
        <v>83640</v>
      </c>
      <c r="M7519" s="263"/>
    </row>
    <row r="7520" spans="1:13" ht="11.25" customHeight="1" x14ac:dyDescent="0.2">
      <c r="A7520" s="221">
        <v>2025</v>
      </c>
      <c r="B7520" s="221">
        <v>5</v>
      </c>
      <c r="C7520" s="221">
        <v>14</v>
      </c>
      <c r="D7520" s="221">
        <f t="shared" si="869"/>
        <v>45791</v>
      </c>
      <c r="E7520" s="233">
        <f t="shared" si="873"/>
        <v>45791</v>
      </c>
      <c r="F7520" s="478" t="s">
        <v>1593</v>
      </c>
      <c r="G7520" s="222" t="s">
        <v>86</v>
      </c>
      <c r="H7520" s="222"/>
      <c r="I7520" s="223"/>
      <c r="J7520" s="224" t="s">
        <v>80</v>
      </c>
      <c r="K7520" s="225">
        <v>390000</v>
      </c>
      <c r="L7520" s="225"/>
    </row>
    <row r="7521" spans="1:13" ht="11.25" customHeight="1" x14ac:dyDescent="0.2">
      <c r="A7521" s="164">
        <v>2025</v>
      </c>
      <c r="B7521" s="164">
        <v>5</v>
      </c>
      <c r="C7521" s="164">
        <v>14</v>
      </c>
      <c r="D7521" s="164">
        <f t="shared" si="869"/>
        <v>45791</v>
      </c>
      <c r="E7521" s="235">
        <f t="shared" si="873"/>
        <v>45791</v>
      </c>
      <c r="F7521" s="480"/>
      <c r="G7521" s="208" t="s">
        <v>86</v>
      </c>
      <c r="H7521" s="208"/>
      <c r="J7521" s="165" t="s">
        <v>960</v>
      </c>
      <c r="K7521" s="205">
        <v>702</v>
      </c>
      <c r="L7521" s="205"/>
    </row>
    <row r="7522" spans="1:13" ht="11.25" customHeight="1" x14ac:dyDescent="0.2">
      <c r="A7522" s="226">
        <v>2025</v>
      </c>
      <c r="B7522" s="226">
        <v>5</v>
      </c>
      <c r="C7522" s="226">
        <v>14</v>
      </c>
      <c r="D7522" s="226">
        <f t="shared" si="869"/>
        <v>45791</v>
      </c>
      <c r="E7522" s="234">
        <f t="shared" si="873"/>
        <v>45791</v>
      </c>
      <c r="F7522" s="479"/>
      <c r="G7522" s="227" t="s">
        <v>86</v>
      </c>
      <c r="H7522" s="227"/>
      <c r="I7522" s="228"/>
      <c r="J7522" s="229" t="s">
        <v>143</v>
      </c>
      <c r="K7522" s="230"/>
      <c r="L7522" s="230">
        <v>390702</v>
      </c>
    </row>
    <row r="7523" spans="1:13" ht="11.25" customHeight="1" x14ac:dyDescent="0.2">
      <c r="A7523" s="221">
        <v>2025</v>
      </c>
      <c r="B7523" s="221">
        <v>5</v>
      </c>
      <c r="C7523" s="221">
        <v>14</v>
      </c>
      <c r="D7523" s="231">
        <f t="shared" si="869"/>
        <v>45791</v>
      </c>
      <c r="E7523" s="233">
        <f t="shared" si="873"/>
        <v>45791</v>
      </c>
      <c r="F7523" s="478" t="s">
        <v>1878</v>
      </c>
      <c r="G7523" s="222" t="s">
        <v>1111</v>
      </c>
      <c r="H7523" s="223"/>
      <c r="I7523" s="223"/>
      <c r="J7523" s="224" t="s">
        <v>961</v>
      </c>
      <c r="K7523" s="225">
        <v>3532676.63</v>
      </c>
      <c r="L7523" s="225"/>
    </row>
    <row r="7524" spans="1:13" ht="11.25" customHeight="1" x14ac:dyDescent="0.2">
      <c r="A7524" s="226">
        <v>2025</v>
      </c>
      <c r="B7524" s="226">
        <v>5</v>
      </c>
      <c r="C7524" s="226">
        <v>14</v>
      </c>
      <c r="D7524" s="232">
        <f t="shared" si="869"/>
        <v>45791</v>
      </c>
      <c r="E7524" s="234">
        <f t="shared" si="873"/>
        <v>45791</v>
      </c>
      <c r="F7524" s="479"/>
      <c r="G7524" s="227" t="s">
        <v>1111</v>
      </c>
      <c r="H7524" s="228"/>
      <c r="I7524" s="228"/>
      <c r="J7524" s="229" t="s">
        <v>55</v>
      </c>
      <c r="K7524" s="230"/>
      <c r="L7524" s="230">
        <v>3532676.63</v>
      </c>
    </row>
    <row r="7525" spans="1:13" ht="11.25" customHeight="1" x14ac:dyDescent="0.2">
      <c r="A7525" s="221">
        <v>2025</v>
      </c>
      <c r="B7525" s="221">
        <v>5</v>
      </c>
      <c r="C7525" s="221">
        <v>14</v>
      </c>
      <c r="D7525" s="231">
        <f t="shared" si="869"/>
        <v>45791</v>
      </c>
      <c r="E7525" s="233">
        <f t="shared" ref="E7525:E7528" si="874">DATE(A7525,B7525,C7525)</f>
        <v>45791</v>
      </c>
      <c r="F7525" s="478" t="s">
        <v>1864</v>
      </c>
      <c r="G7525" s="222" t="s">
        <v>1111</v>
      </c>
      <c r="H7525" s="222"/>
      <c r="I7525" s="223"/>
      <c r="J7525" s="224" t="s">
        <v>1615</v>
      </c>
      <c r="K7525" s="357">
        <v>2574889.2200000002</v>
      </c>
      <c r="L7525" s="225"/>
    </row>
    <row r="7526" spans="1:13" ht="11.25" customHeight="1" x14ac:dyDescent="0.2">
      <c r="A7526" s="226">
        <v>2025</v>
      </c>
      <c r="B7526" s="226">
        <v>5</v>
      </c>
      <c r="C7526" s="226">
        <v>14</v>
      </c>
      <c r="D7526" s="226">
        <f t="shared" si="869"/>
        <v>45791</v>
      </c>
      <c r="E7526" s="234">
        <f t="shared" si="874"/>
        <v>45791</v>
      </c>
      <c r="F7526" s="479"/>
      <c r="G7526" s="227" t="s">
        <v>1111</v>
      </c>
      <c r="H7526" s="227"/>
      <c r="I7526" s="228"/>
      <c r="J7526" s="229" t="s">
        <v>55</v>
      </c>
      <c r="K7526" s="294"/>
      <c r="L7526" s="230">
        <v>2574889.2200000002</v>
      </c>
    </row>
    <row r="7527" spans="1:13" ht="11.25" customHeight="1" x14ac:dyDescent="0.2">
      <c r="A7527" s="221">
        <v>2025</v>
      </c>
      <c r="B7527" s="221">
        <v>5</v>
      </c>
      <c r="C7527" s="221">
        <v>14</v>
      </c>
      <c r="D7527" s="231">
        <f t="shared" si="869"/>
        <v>45791</v>
      </c>
      <c r="E7527" s="233">
        <f t="shared" si="874"/>
        <v>45791</v>
      </c>
      <c r="F7527" s="478" t="s">
        <v>1880</v>
      </c>
      <c r="G7527" s="222" t="s">
        <v>1111</v>
      </c>
      <c r="H7527" s="223"/>
      <c r="I7527" s="223"/>
      <c r="J7527" s="224" t="s">
        <v>192</v>
      </c>
      <c r="K7527" s="225">
        <v>262500</v>
      </c>
      <c r="L7527" s="225"/>
    </row>
    <row r="7528" spans="1:13" ht="11.25" customHeight="1" x14ac:dyDescent="0.2">
      <c r="A7528" s="226">
        <v>2025</v>
      </c>
      <c r="B7528" s="226">
        <v>5</v>
      </c>
      <c r="C7528" s="226">
        <v>14</v>
      </c>
      <c r="D7528" s="232">
        <f t="shared" si="869"/>
        <v>45791</v>
      </c>
      <c r="E7528" s="234">
        <f t="shared" si="874"/>
        <v>45791</v>
      </c>
      <c r="F7528" s="479"/>
      <c r="G7528" s="227" t="s">
        <v>1111</v>
      </c>
      <c r="H7528" s="228"/>
      <c r="I7528" s="228"/>
      <c r="J7528" s="229" t="s">
        <v>191</v>
      </c>
      <c r="K7528" s="230"/>
      <c r="L7528" s="230">
        <v>262500</v>
      </c>
    </row>
    <row r="7529" spans="1:13" ht="11.25" customHeight="1" x14ac:dyDescent="0.2">
      <c r="A7529" s="221">
        <v>2025</v>
      </c>
      <c r="B7529" s="221">
        <v>5</v>
      </c>
      <c r="C7529" s="221">
        <v>15</v>
      </c>
      <c r="D7529" s="231">
        <f t="shared" si="869"/>
        <v>45792</v>
      </c>
      <c r="E7529" s="233">
        <f>DATE(A7529,B7529,C7529)</f>
        <v>45792</v>
      </c>
      <c r="F7529" s="478" t="s">
        <v>1879</v>
      </c>
      <c r="G7529" s="222" t="s">
        <v>1111</v>
      </c>
      <c r="H7529" s="223"/>
      <c r="I7529" s="223"/>
      <c r="J7529" s="224" t="s">
        <v>55</v>
      </c>
      <c r="K7529" s="225">
        <v>1263916</v>
      </c>
      <c r="L7529" s="225"/>
    </row>
    <row r="7530" spans="1:13" ht="11.25" customHeight="1" x14ac:dyDescent="0.2">
      <c r="A7530" s="226">
        <v>2025</v>
      </c>
      <c r="B7530" s="226">
        <v>5</v>
      </c>
      <c r="C7530" s="226">
        <v>15</v>
      </c>
      <c r="D7530" s="232">
        <f t="shared" si="869"/>
        <v>45792</v>
      </c>
      <c r="E7530" s="234">
        <f>DATE(A7530,B7530,C7530)</f>
        <v>45792</v>
      </c>
      <c r="F7530" s="479"/>
      <c r="G7530" s="227" t="s">
        <v>1111</v>
      </c>
      <c r="H7530" s="228"/>
      <c r="I7530" s="228"/>
      <c r="J7530" s="229" t="s">
        <v>199</v>
      </c>
      <c r="K7530" s="230"/>
      <c r="L7530" s="230">
        <v>1263916</v>
      </c>
    </row>
    <row r="7531" spans="1:13" ht="11.25" customHeight="1" x14ac:dyDescent="0.2">
      <c r="A7531" s="221">
        <v>2025</v>
      </c>
      <c r="B7531" s="221">
        <v>5</v>
      </c>
      <c r="C7531" s="221">
        <v>15</v>
      </c>
      <c r="D7531" s="221">
        <f t="shared" si="869"/>
        <v>45792</v>
      </c>
      <c r="E7531" s="233">
        <f t="shared" ref="E7531:E7542" si="875">DATE(A7531,B7531,C7531)</f>
        <v>45792</v>
      </c>
      <c r="F7531" s="478" t="s">
        <v>1769</v>
      </c>
      <c r="G7531" s="222" t="s">
        <v>86</v>
      </c>
      <c r="H7531" s="222"/>
      <c r="I7531" s="223"/>
      <c r="J7531" s="224" t="s">
        <v>80</v>
      </c>
      <c r="K7531" s="225">
        <v>253500</v>
      </c>
      <c r="L7531" s="225"/>
    </row>
    <row r="7532" spans="1:13" ht="11.25" customHeight="1" x14ac:dyDescent="0.2">
      <c r="A7532" s="164">
        <v>2025</v>
      </c>
      <c r="B7532" s="164">
        <v>5</v>
      </c>
      <c r="C7532" s="164">
        <v>15</v>
      </c>
      <c r="D7532" s="164">
        <f t="shared" si="869"/>
        <v>45792</v>
      </c>
      <c r="E7532" s="235">
        <f t="shared" si="875"/>
        <v>45792</v>
      </c>
      <c r="F7532" s="480"/>
      <c r="G7532" s="208" t="s">
        <v>86</v>
      </c>
      <c r="H7532" s="208"/>
      <c r="J7532" s="165" t="s">
        <v>960</v>
      </c>
      <c r="K7532" s="205">
        <v>999</v>
      </c>
      <c r="L7532" s="205"/>
      <c r="M7532" s="263"/>
    </row>
    <row r="7533" spans="1:13" ht="11.25" customHeight="1" x14ac:dyDescent="0.2">
      <c r="A7533" s="164">
        <v>2025</v>
      </c>
      <c r="B7533" s="164">
        <v>5</v>
      </c>
      <c r="C7533" s="164">
        <v>15</v>
      </c>
      <c r="D7533" s="164">
        <f t="shared" si="869"/>
        <v>45792</v>
      </c>
      <c r="E7533" s="235">
        <f t="shared" si="875"/>
        <v>45792</v>
      </c>
      <c r="F7533" s="480"/>
      <c r="G7533" s="208" t="s">
        <v>86</v>
      </c>
      <c r="H7533" s="208"/>
      <c r="J7533" s="165" t="s">
        <v>199</v>
      </c>
      <c r="K7533" s="205">
        <v>47001</v>
      </c>
      <c r="L7533" s="205"/>
    </row>
    <row r="7534" spans="1:13" ht="11.25" customHeight="1" x14ac:dyDescent="0.2">
      <c r="A7534" s="164">
        <v>2025</v>
      </c>
      <c r="B7534" s="164">
        <v>5</v>
      </c>
      <c r="C7534" s="164">
        <v>15</v>
      </c>
      <c r="D7534" s="164">
        <f t="shared" si="869"/>
        <v>45792</v>
      </c>
      <c r="E7534" s="235">
        <f t="shared" si="875"/>
        <v>45792</v>
      </c>
      <c r="F7534" s="480"/>
      <c r="G7534" s="208" t="s">
        <v>86</v>
      </c>
      <c r="H7534" s="208"/>
      <c r="J7534" s="165" t="s">
        <v>200</v>
      </c>
      <c r="K7534" s="205"/>
      <c r="L7534" s="205">
        <v>5813.14</v>
      </c>
    </row>
    <row r="7535" spans="1:13" ht="11.25" customHeight="1" x14ac:dyDescent="0.2">
      <c r="A7535" s="226">
        <v>2025</v>
      </c>
      <c r="B7535" s="226">
        <v>5</v>
      </c>
      <c r="C7535" s="226">
        <v>15</v>
      </c>
      <c r="D7535" s="226">
        <f t="shared" si="869"/>
        <v>45792</v>
      </c>
      <c r="E7535" s="234">
        <f t="shared" si="875"/>
        <v>45792</v>
      </c>
      <c r="F7535" s="479"/>
      <c r="G7535" s="227" t="s">
        <v>86</v>
      </c>
      <c r="H7535" s="228"/>
      <c r="I7535" s="228"/>
      <c r="J7535" s="229" t="s">
        <v>80</v>
      </c>
      <c r="K7535" s="230"/>
      <c r="L7535" s="230">
        <v>295686.86</v>
      </c>
    </row>
    <row r="7536" spans="1:13" ht="11.25" customHeight="1" x14ac:dyDescent="0.2">
      <c r="A7536" s="221">
        <v>2025</v>
      </c>
      <c r="B7536" s="221">
        <v>5</v>
      </c>
      <c r="C7536" s="221">
        <v>15</v>
      </c>
      <c r="D7536" s="221">
        <f t="shared" si="869"/>
        <v>45792</v>
      </c>
      <c r="E7536" s="233">
        <f t="shared" si="875"/>
        <v>45792</v>
      </c>
      <c r="F7536" s="478" t="s">
        <v>1875</v>
      </c>
      <c r="G7536" s="222" t="s">
        <v>86</v>
      </c>
      <c r="H7536" s="222"/>
      <c r="I7536" s="223"/>
      <c r="J7536" s="224" t="s">
        <v>80</v>
      </c>
      <c r="K7536" s="225">
        <v>2450754.5</v>
      </c>
      <c r="L7536" s="225"/>
    </row>
    <row r="7537" spans="1:13" ht="11.25" customHeight="1" x14ac:dyDescent="0.2">
      <c r="A7537" s="164">
        <v>2025</v>
      </c>
      <c r="B7537" s="164">
        <v>5</v>
      </c>
      <c r="C7537" s="164">
        <v>15</v>
      </c>
      <c r="D7537" s="164">
        <f t="shared" si="869"/>
        <v>45792</v>
      </c>
      <c r="E7537" s="235">
        <f t="shared" si="875"/>
        <v>45792</v>
      </c>
      <c r="F7537" s="480"/>
      <c r="G7537" s="208" t="s">
        <v>86</v>
      </c>
      <c r="H7537" s="208"/>
      <c r="J7537" s="165" t="s">
        <v>960</v>
      </c>
      <c r="K7537" s="205">
        <v>7345.79</v>
      </c>
      <c r="L7537" s="205"/>
      <c r="M7537" s="263"/>
    </row>
    <row r="7538" spans="1:13" ht="11.25" customHeight="1" x14ac:dyDescent="0.2">
      <c r="A7538" s="164">
        <v>2025</v>
      </c>
      <c r="B7538" s="164">
        <v>5</v>
      </c>
      <c r="C7538" s="164">
        <v>15</v>
      </c>
      <c r="D7538" s="164">
        <f t="shared" si="869"/>
        <v>45792</v>
      </c>
      <c r="E7538" s="235">
        <f t="shared" si="875"/>
        <v>45792</v>
      </c>
      <c r="F7538" s="480"/>
      <c r="G7538" s="208" t="s">
        <v>86</v>
      </c>
      <c r="H7538" s="208"/>
      <c r="J7538" s="165" t="s">
        <v>143</v>
      </c>
      <c r="K7538" s="205"/>
      <c r="L7538" s="205">
        <v>827862.39</v>
      </c>
      <c r="M7538" s="263"/>
    </row>
    <row r="7539" spans="1:13" ht="11.25" customHeight="1" x14ac:dyDescent="0.2">
      <c r="A7539" s="164">
        <v>2025</v>
      </c>
      <c r="B7539" s="164">
        <v>5</v>
      </c>
      <c r="C7539" s="164">
        <v>15</v>
      </c>
      <c r="D7539" s="164">
        <f t="shared" si="869"/>
        <v>45792</v>
      </c>
      <c r="E7539" s="235">
        <f t="shared" si="875"/>
        <v>45792</v>
      </c>
      <c r="F7539" s="480"/>
      <c r="G7539" s="208" t="s">
        <v>86</v>
      </c>
      <c r="H7539" s="208"/>
      <c r="J7539" s="165" t="s">
        <v>200</v>
      </c>
      <c r="K7539" s="205">
        <v>19602.099999999999</v>
      </c>
      <c r="L7539" s="205"/>
      <c r="M7539" s="263"/>
    </row>
    <row r="7540" spans="1:13" ht="11.25" customHeight="1" x14ac:dyDescent="0.2">
      <c r="A7540" s="226">
        <v>2025</v>
      </c>
      <c r="B7540" s="226">
        <v>5</v>
      </c>
      <c r="C7540" s="226">
        <v>15</v>
      </c>
      <c r="D7540" s="226">
        <f t="shared" si="869"/>
        <v>45792</v>
      </c>
      <c r="E7540" s="234">
        <f t="shared" si="875"/>
        <v>45792</v>
      </c>
      <c r="F7540" s="479"/>
      <c r="G7540" s="227" t="s">
        <v>86</v>
      </c>
      <c r="H7540" s="228"/>
      <c r="I7540" s="228"/>
      <c r="J7540" s="229" t="s">
        <v>80</v>
      </c>
      <c r="K7540" s="230"/>
      <c r="L7540" s="230">
        <v>1649840</v>
      </c>
      <c r="M7540" s="263"/>
    </row>
    <row r="7541" spans="1:13" ht="11.25" customHeight="1" x14ac:dyDescent="0.2">
      <c r="A7541" s="221">
        <v>2025</v>
      </c>
      <c r="B7541" s="221">
        <v>5</v>
      </c>
      <c r="C7541" s="221">
        <v>15</v>
      </c>
      <c r="D7541" s="231">
        <f t="shared" si="869"/>
        <v>45792</v>
      </c>
      <c r="E7541" s="233">
        <f t="shared" si="875"/>
        <v>45792</v>
      </c>
      <c r="F7541" s="478" t="s">
        <v>1881</v>
      </c>
      <c r="G7541" s="222" t="s">
        <v>1111</v>
      </c>
      <c r="H7541" s="223"/>
      <c r="I7541" s="223"/>
      <c r="J7541" s="224" t="s">
        <v>55</v>
      </c>
      <c r="K7541" s="225">
        <v>54950</v>
      </c>
      <c r="L7541" s="225"/>
    </row>
    <row r="7542" spans="1:13" ht="11.25" customHeight="1" x14ac:dyDescent="0.2">
      <c r="A7542" s="226">
        <v>2025</v>
      </c>
      <c r="B7542" s="226">
        <v>5</v>
      </c>
      <c r="C7542" s="226">
        <v>15</v>
      </c>
      <c r="D7542" s="232">
        <f t="shared" si="869"/>
        <v>45792</v>
      </c>
      <c r="E7542" s="234">
        <f t="shared" si="875"/>
        <v>45792</v>
      </c>
      <c r="F7542" s="479"/>
      <c r="G7542" s="227" t="s">
        <v>1111</v>
      </c>
      <c r="H7542" s="228"/>
      <c r="I7542" s="228"/>
      <c r="J7542" s="229" t="s">
        <v>1616</v>
      </c>
      <c r="K7542" s="230"/>
      <c r="L7542" s="230">
        <v>54950</v>
      </c>
    </row>
    <row r="7543" spans="1:13" ht="11.25" customHeight="1" x14ac:dyDescent="0.2">
      <c r="A7543" s="280">
        <v>2025</v>
      </c>
      <c r="B7543" s="280">
        <v>5</v>
      </c>
      <c r="C7543" s="280">
        <v>15</v>
      </c>
      <c r="D7543" s="281">
        <f t="shared" si="869"/>
        <v>45792</v>
      </c>
      <c r="E7543" s="282">
        <f t="shared" ref="E7543:E7550" si="876">DATE(A7543,B7543,C7543)</f>
        <v>45792</v>
      </c>
      <c r="F7543" s="472" t="s">
        <v>1744</v>
      </c>
      <c r="G7543" s="283" t="s">
        <v>86</v>
      </c>
      <c r="H7543" s="284"/>
      <c r="I7543" s="284"/>
      <c r="J7543" s="285" t="s">
        <v>131</v>
      </c>
      <c r="K7543" s="286">
        <v>19358.330000000002</v>
      </c>
      <c r="L7543" s="286"/>
      <c r="M7543" s="401"/>
    </row>
    <row r="7544" spans="1:13" ht="11.25" customHeight="1" x14ac:dyDescent="0.2">
      <c r="A7544" s="287">
        <v>2025</v>
      </c>
      <c r="B7544" s="287">
        <v>5</v>
      </c>
      <c r="C7544" s="287">
        <v>15</v>
      </c>
      <c r="D7544" s="288">
        <f t="shared" si="869"/>
        <v>45792</v>
      </c>
      <c r="E7544" s="289">
        <f t="shared" si="876"/>
        <v>45792</v>
      </c>
      <c r="F7544" s="473"/>
      <c r="G7544" s="290" t="s">
        <v>86</v>
      </c>
      <c r="H7544" s="291"/>
      <c r="I7544" s="291"/>
      <c r="J7544" s="292" t="s">
        <v>174</v>
      </c>
      <c r="K7544" s="293"/>
      <c r="L7544" s="293">
        <f>K7543</f>
        <v>19358.330000000002</v>
      </c>
    </row>
    <row r="7545" spans="1:13" ht="11.25" customHeight="1" x14ac:dyDescent="0.2">
      <c r="A7545" s="280">
        <v>2025</v>
      </c>
      <c r="B7545" s="280">
        <v>5</v>
      </c>
      <c r="C7545" s="280">
        <v>15</v>
      </c>
      <c r="D7545" s="281">
        <f t="shared" si="869"/>
        <v>45792</v>
      </c>
      <c r="E7545" s="282">
        <f t="shared" si="876"/>
        <v>45792</v>
      </c>
      <c r="F7545" s="472" t="s">
        <v>1584</v>
      </c>
      <c r="G7545" s="283" t="s">
        <v>86</v>
      </c>
      <c r="H7545" s="284"/>
      <c r="I7545" s="284"/>
      <c r="J7545" s="285" t="s">
        <v>131</v>
      </c>
      <c r="K7545" s="286">
        <v>8846.15</v>
      </c>
      <c r="L7545" s="286"/>
      <c r="M7545" s="401"/>
    </row>
    <row r="7546" spans="1:13" ht="11.25" customHeight="1" x14ac:dyDescent="0.2">
      <c r="A7546" s="287">
        <v>2025</v>
      </c>
      <c r="B7546" s="287">
        <v>5</v>
      </c>
      <c r="C7546" s="287">
        <v>15</v>
      </c>
      <c r="D7546" s="288">
        <f t="shared" si="869"/>
        <v>45792</v>
      </c>
      <c r="E7546" s="289">
        <f t="shared" si="876"/>
        <v>45792</v>
      </c>
      <c r="F7546" s="473"/>
      <c r="G7546" s="290" t="s">
        <v>86</v>
      </c>
      <c r="H7546" s="291"/>
      <c r="I7546" s="291"/>
      <c r="J7546" s="292" t="s">
        <v>174</v>
      </c>
      <c r="K7546" s="293"/>
      <c r="L7546" s="293">
        <f>K7545</f>
        <v>8846.15</v>
      </c>
    </row>
    <row r="7547" spans="1:13" ht="11.25" customHeight="1" x14ac:dyDescent="0.2">
      <c r="A7547" s="280">
        <v>2025</v>
      </c>
      <c r="B7547" s="280">
        <v>5</v>
      </c>
      <c r="C7547" s="280">
        <v>15</v>
      </c>
      <c r="D7547" s="281">
        <f t="shared" si="869"/>
        <v>45792</v>
      </c>
      <c r="E7547" s="282">
        <f t="shared" si="876"/>
        <v>45792</v>
      </c>
      <c r="F7547" s="472" t="s">
        <v>1830</v>
      </c>
      <c r="G7547" s="283" t="s">
        <v>86</v>
      </c>
      <c r="H7547" s="284"/>
      <c r="I7547" s="284"/>
      <c r="J7547" s="285" t="s">
        <v>131</v>
      </c>
      <c r="K7547" s="286">
        <v>5040.6492307692261</v>
      </c>
      <c r="L7547" s="286"/>
      <c r="M7547" s="401"/>
    </row>
    <row r="7548" spans="1:13" ht="11.25" customHeight="1" x14ac:dyDescent="0.2">
      <c r="A7548" s="287">
        <v>2025</v>
      </c>
      <c r="B7548" s="287">
        <v>5</v>
      </c>
      <c r="C7548" s="287">
        <v>15</v>
      </c>
      <c r="D7548" s="288">
        <f t="shared" si="869"/>
        <v>45792</v>
      </c>
      <c r="E7548" s="289">
        <f t="shared" si="876"/>
        <v>45792</v>
      </c>
      <c r="F7548" s="473"/>
      <c r="G7548" s="290" t="s">
        <v>86</v>
      </c>
      <c r="H7548" s="291"/>
      <c r="I7548" s="291"/>
      <c r="J7548" s="292" t="s">
        <v>174</v>
      </c>
      <c r="K7548" s="293"/>
      <c r="L7548" s="293">
        <f>K7547</f>
        <v>5040.6492307692261</v>
      </c>
    </row>
    <row r="7549" spans="1:13" ht="11.25" customHeight="1" x14ac:dyDescent="0.2">
      <c r="A7549" s="341">
        <v>2025</v>
      </c>
      <c r="B7549" s="341">
        <v>5</v>
      </c>
      <c r="C7549" s="341">
        <v>15</v>
      </c>
      <c r="D7549" s="328">
        <f t="shared" si="869"/>
        <v>45792</v>
      </c>
      <c r="E7549" s="329">
        <f t="shared" si="876"/>
        <v>45792</v>
      </c>
      <c r="F7549" s="474" t="s">
        <v>1767</v>
      </c>
      <c r="G7549" s="330" t="s">
        <v>86</v>
      </c>
      <c r="H7549" s="332"/>
      <c r="I7549" s="332"/>
      <c r="J7549" s="342" t="s">
        <v>67</v>
      </c>
      <c r="K7549" s="343">
        <v>27848.89</v>
      </c>
      <c r="L7549" s="343"/>
    </row>
    <row r="7550" spans="1:13" ht="11.25" customHeight="1" x14ac:dyDescent="0.2">
      <c r="A7550" s="344">
        <v>2025</v>
      </c>
      <c r="B7550" s="344">
        <v>5</v>
      </c>
      <c r="C7550" s="344">
        <v>15</v>
      </c>
      <c r="D7550" s="337">
        <f t="shared" si="869"/>
        <v>45792</v>
      </c>
      <c r="E7550" s="338">
        <f t="shared" si="876"/>
        <v>45792</v>
      </c>
      <c r="F7550" s="475"/>
      <c r="G7550" s="339" t="s">
        <v>86</v>
      </c>
      <c r="H7550" s="340"/>
      <c r="I7550" s="340"/>
      <c r="J7550" s="345" t="s">
        <v>174</v>
      </c>
      <c r="K7550" s="346"/>
      <c r="L7550" s="346">
        <f>K7549</f>
        <v>27848.89</v>
      </c>
    </row>
    <row r="7551" spans="1:13" ht="11.25" customHeight="1" x14ac:dyDescent="0.2">
      <c r="A7551" s="358">
        <v>2025</v>
      </c>
      <c r="B7551" s="358">
        <v>5</v>
      </c>
      <c r="C7551" s="358">
        <v>15</v>
      </c>
      <c r="D7551" s="312">
        <f t="shared" si="869"/>
        <v>45792</v>
      </c>
      <c r="E7551" s="313">
        <f>DATE(A7551,B7551,C7551)</f>
        <v>45792</v>
      </c>
      <c r="F7551" s="482" t="s">
        <v>1627</v>
      </c>
      <c r="G7551" s="314" t="s">
        <v>86</v>
      </c>
      <c r="H7551" s="324"/>
      <c r="I7551" s="324"/>
      <c r="J7551" s="364" t="s">
        <v>1613</v>
      </c>
      <c r="K7551" s="365">
        <v>0</v>
      </c>
      <c r="L7551" s="365"/>
      <c r="M7551" s="156">
        <f>BS!$I$12</f>
        <v>0</v>
      </c>
    </row>
    <row r="7552" spans="1:13" ht="11.25" customHeight="1" x14ac:dyDescent="0.2">
      <c r="A7552" s="320">
        <v>2025</v>
      </c>
      <c r="B7552" s="320">
        <v>5</v>
      </c>
      <c r="C7552" s="320">
        <v>15</v>
      </c>
      <c r="D7552" s="323">
        <f t="shared" si="869"/>
        <v>45792</v>
      </c>
      <c r="E7552" s="321">
        <f t="shared" ref="E7552" si="877">DATE(A7552,B7552,C7552)</f>
        <v>45792</v>
      </c>
      <c r="F7552" s="483"/>
      <c r="G7552" s="322" t="s">
        <v>86</v>
      </c>
      <c r="H7552" s="325"/>
      <c r="I7552" s="325"/>
      <c r="J7552" s="366" t="s">
        <v>1621</v>
      </c>
      <c r="K7552" s="367"/>
      <c r="L7552" s="367">
        <f>K7551</f>
        <v>0</v>
      </c>
    </row>
    <row r="7553" spans="1:13" ht="11.25" customHeight="1" x14ac:dyDescent="0.2">
      <c r="A7553" s="358">
        <v>2025</v>
      </c>
      <c r="B7553" s="358">
        <v>5</v>
      </c>
      <c r="C7553" s="358">
        <v>15</v>
      </c>
      <c r="D7553" s="312">
        <f t="shared" si="869"/>
        <v>45792</v>
      </c>
      <c r="E7553" s="313">
        <f>DATE(A7553,B7553,C7553)</f>
        <v>45792</v>
      </c>
      <c r="F7553" s="482" t="s">
        <v>1713</v>
      </c>
      <c r="G7553" s="314" t="s">
        <v>86</v>
      </c>
      <c r="H7553" s="324"/>
      <c r="I7553" s="324"/>
      <c r="J7553" s="364" t="s">
        <v>1622</v>
      </c>
      <c r="K7553" s="365">
        <v>44692.932999994606</v>
      </c>
      <c r="L7553" s="365"/>
      <c r="M7553" s="156">
        <f>BS!$I$15</f>
        <v>0</v>
      </c>
    </row>
    <row r="7554" spans="1:13" ht="11.25" customHeight="1" x14ac:dyDescent="0.2">
      <c r="A7554" s="320">
        <v>2025</v>
      </c>
      <c r="B7554" s="320">
        <v>5</v>
      </c>
      <c r="C7554" s="320">
        <v>15</v>
      </c>
      <c r="D7554" s="323">
        <f t="shared" si="869"/>
        <v>45792</v>
      </c>
      <c r="E7554" s="321">
        <f t="shared" ref="E7554:E7566" si="878">DATE(A7554,B7554,C7554)</f>
        <v>45792</v>
      </c>
      <c r="F7554" s="483"/>
      <c r="G7554" s="322" t="s">
        <v>86</v>
      </c>
      <c r="H7554" s="325"/>
      <c r="I7554" s="325"/>
      <c r="J7554" s="366" t="s">
        <v>1614</v>
      </c>
      <c r="K7554" s="367"/>
      <c r="L7554" s="367">
        <f>K7553</f>
        <v>44692.932999994606</v>
      </c>
    </row>
    <row r="7555" spans="1:13" ht="11.25" customHeight="1" x14ac:dyDescent="0.2">
      <c r="A7555" s="236">
        <v>2025</v>
      </c>
      <c r="B7555" s="236">
        <v>5</v>
      </c>
      <c r="C7555" s="236">
        <v>15</v>
      </c>
      <c r="D7555" s="237">
        <f t="shared" si="869"/>
        <v>45792</v>
      </c>
      <c r="E7555" s="238">
        <f t="shared" si="878"/>
        <v>45792</v>
      </c>
      <c r="F7555" s="476" t="s">
        <v>1118</v>
      </c>
      <c r="G7555" s="239" t="s">
        <v>86</v>
      </c>
      <c r="H7555" s="239"/>
      <c r="I7555" s="240"/>
      <c r="J7555" s="241" t="s">
        <v>98</v>
      </c>
      <c r="K7555" s="242">
        <v>1025344.0100000203</v>
      </c>
      <c r="L7555" s="242"/>
      <c r="M7555" s="156">
        <f>BS!$I$8</f>
        <v>0</v>
      </c>
    </row>
    <row r="7556" spans="1:13" ht="11.25" customHeight="1" x14ac:dyDescent="0.2">
      <c r="A7556" s="243">
        <v>2025</v>
      </c>
      <c r="B7556" s="243">
        <v>5</v>
      </c>
      <c r="C7556" s="243">
        <v>15</v>
      </c>
      <c r="D7556" s="248">
        <f t="shared" si="869"/>
        <v>45792</v>
      </c>
      <c r="E7556" s="249">
        <f t="shared" si="878"/>
        <v>45792</v>
      </c>
      <c r="F7556" s="477"/>
      <c r="G7556" s="244" t="s">
        <v>86</v>
      </c>
      <c r="H7556" s="244"/>
      <c r="I7556" s="245"/>
      <c r="J7556" s="246" t="s">
        <v>82</v>
      </c>
      <c r="K7556" s="247"/>
      <c r="L7556" s="247">
        <f>K7555</f>
        <v>1025344.0100000203</v>
      </c>
    </row>
    <row r="7557" spans="1:13" ht="11.25" customHeight="1" x14ac:dyDescent="0.2">
      <c r="A7557" s="236">
        <v>2025</v>
      </c>
      <c r="B7557" s="236">
        <v>5</v>
      </c>
      <c r="C7557" s="236">
        <v>15</v>
      </c>
      <c r="D7557" s="237">
        <f t="shared" si="869"/>
        <v>45792</v>
      </c>
      <c r="E7557" s="238">
        <f t="shared" si="878"/>
        <v>45792</v>
      </c>
      <c r="F7557" s="476" t="s">
        <v>1120</v>
      </c>
      <c r="G7557" s="239" t="s">
        <v>86</v>
      </c>
      <c r="H7557" s="239"/>
      <c r="I7557" s="240"/>
      <c r="J7557" s="241" t="s">
        <v>87</v>
      </c>
      <c r="K7557" s="242">
        <v>2747.2527472527472</v>
      </c>
      <c r="L7557" s="242"/>
      <c r="M7557" s="401"/>
    </row>
    <row r="7558" spans="1:13" ht="11.25" customHeight="1" x14ac:dyDescent="0.2">
      <c r="A7558" s="243">
        <v>2025</v>
      </c>
      <c r="B7558" s="243">
        <v>5</v>
      </c>
      <c r="C7558" s="243">
        <v>15</v>
      </c>
      <c r="D7558" s="248">
        <f t="shared" si="869"/>
        <v>45792</v>
      </c>
      <c r="E7558" s="249">
        <f t="shared" si="878"/>
        <v>45792</v>
      </c>
      <c r="F7558" s="477"/>
      <c r="G7558" s="244" t="s">
        <v>86</v>
      </c>
      <c r="H7558" s="244"/>
      <c r="I7558" s="245"/>
      <c r="J7558" s="246" t="s">
        <v>64</v>
      </c>
      <c r="K7558" s="247"/>
      <c r="L7558" s="247">
        <f>K7557</f>
        <v>2747.2527472527472</v>
      </c>
    </row>
    <row r="7559" spans="1:13" ht="11.25" customHeight="1" x14ac:dyDescent="0.2">
      <c r="A7559" s="236">
        <v>2025</v>
      </c>
      <c r="B7559" s="236">
        <v>5</v>
      </c>
      <c r="C7559" s="236">
        <v>15</v>
      </c>
      <c r="D7559" s="237">
        <f t="shared" si="869"/>
        <v>45792</v>
      </c>
      <c r="E7559" s="238">
        <f t="shared" si="878"/>
        <v>45792</v>
      </c>
      <c r="F7559" s="476" t="s">
        <v>1121</v>
      </c>
      <c r="G7559" s="239" t="s">
        <v>86</v>
      </c>
      <c r="H7559" s="239"/>
      <c r="I7559" s="240"/>
      <c r="J7559" s="241" t="s">
        <v>89</v>
      </c>
      <c r="K7559" s="242">
        <f>M7559</f>
        <v>71089.535185752175</v>
      </c>
      <c r="L7559" s="242"/>
      <c r="M7559" s="156">
        <v>71089.535185752175</v>
      </c>
    </row>
    <row r="7560" spans="1:13" ht="11.25" customHeight="1" x14ac:dyDescent="0.2">
      <c r="A7560" s="243">
        <v>2025</v>
      </c>
      <c r="B7560" s="243">
        <v>5</v>
      </c>
      <c r="C7560" s="243">
        <v>15</v>
      </c>
      <c r="D7560" s="248">
        <f t="shared" si="869"/>
        <v>45792</v>
      </c>
      <c r="E7560" s="249">
        <f t="shared" si="878"/>
        <v>45792</v>
      </c>
      <c r="F7560" s="477"/>
      <c r="G7560" s="244" t="s">
        <v>86</v>
      </c>
      <c r="H7560" s="244"/>
      <c r="I7560" s="245"/>
      <c r="J7560" s="246" t="s">
        <v>50</v>
      </c>
      <c r="K7560" s="247"/>
      <c r="L7560" s="247">
        <f>K7559</f>
        <v>71089.535185752175</v>
      </c>
      <c r="M7560" s="156">
        <v>3314.0921439029926</v>
      </c>
    </row>
    <row r="7561" spans="1:13" ht="11.25" customHeight="1" x14ac:dyDescent="0.2">
      <c r="A7561" s="236">
        <v>2025</v>
      </c>
      <c r="B7561" s="236">
        <v>5</v>
      </c>
      <c r="C7561" s="236">
        <v>15</v>
      </c>
      <c r="D7561" s="237">
        <f t="shared" ref="D7561:D7624" si="879">DATE(A7561,B7561,C7561)</f>
        <v>45792</v>
      </c>
      <c r="E7561" s="238">
        <f t="shared" si="878"/>
        <v>45792</v>
      </c>
      <c r="F7561" s="476" t="s">
        <v>1122</v>
      </c>
      <c r="G7561" s="239" t="s">
        <v>86</v>
      </c>
      <c r="H7561" s="239"/>
      <c r="I7561" s="240"/>
      <c r="J7561" s="241" t="s">
        <v>91</v>
      </c>
      <c r="K7561" s="242">
        <f>M7560</f>
        <v>3314.0921439029926</v>
      </c>
      <c r="L7561" s="242"/>
    </row>
    <row r="7562" spans="1:13" ht="11.25" customHeight="1" x14ac:dyDescent="0.2">
      <c r="A7562" s="243">
        <v>2025</v>
      </c>
      <c r="B7562" s="243">
        <v>5</v>
      </c>
      <c r="C7562" s="243">
        <v>15</v>
      </c>
      <c r="D7562" s="248">
        <f t="shared" si="879"/>
        <v>45792</v>
      </c>
      <c r="E7562" s="249">
        <f t="shared" si="878"/>
        <v>45792</v>
      </c>
      <c r="F7562" s="477"/>
      <c r="G7562" s="244" t="s">
        <v>86</v>
      </c>
      <c r="H7562" s="244"/>
      <c r="I7562" s="245"/>
      <c r="J7562" s="246" t="s">
        <v>51</v>
      </c>
      <c r="K7562" s="247"/>
      <c r="L7562" s="247">
        <f>K7561</f>
        <v>3314.0921439029926</v>
      </c>
    </row>
    <row r="7563" spans="1:13" ht="11.25" customHeight="1" x14ac:dyDescent="0.2">
      <c r="A7563" s="164">
        <v>2025</v>
      </c>
      <c r="B7563" s="164">
        <v>5</v>
      </c>
      <c r="C7563" s="164">
        <v>17</v>
      </c>
      <c r="D7563" s="164">
        <f t="shared" si="879"/>
        <v>45794</v>
      </c>
      <c r="E7563" s="235">
        <f t="shared" si="878"/>
        <v>45794</v>
      </c>
      <c r="F7563" s="480" t="s">
        <v>1589</v>
      </c>
      <c r="G7563" s="208" t="s">
        <v>86</v>
      </c>
      <c r="H7563" s="208"/>
      <c r="J7563" s="165" t="s">
        <v>199</v>
      </c>
      <c r="K7563" s="205">
        <v>609404</v>
      </c>
      <c r="L7563" s="205"/>
    </row>
    <row r="7564" spans="1:13" ht="11.25" customHeight="1" x14ac:dyDescent="0.2">
      <c r="A7564" s="164">
        <v>2025</v>
      </c>
      <c r="B7564" s="164">
        <v>5</v>
      </c>
      <c r="C7564" s="164">
        <v>17</v>
      </c>
      <c r="D7564" s="164">
        <f t="shared" si="879"/>
        <v>45794</v>
      </c>
      <c r="E7564" s="235">
        <f t="shared" si="878"/>
        <v>45794</v>
      </c>
      <c r="F7564" s="480"/>
      <c r="G7564" s="208" t="s">
        <v>86</v>
      </c>
      <c r="H7564" s="208"/>
      <c r="J7564" s="165" t="s">
        <v>960</v>
      </c>
      <c r="K7564" s="205">
        <v>1096</v>
      </c>
      <c r="L7564" s="205"/>
      <c r="M7564" s="401"/>
    </row>
    <row r="7565" spans="1:13" ht="11.25" customHeight="1" x14ac:dyDescent="0.2">
      <c r="A7565" s="164">
        <v>2025</v>
      </c>
      <c r="B7565" s="164">
        <v>5</v>
      </c>
      <c r="C7565" s="164">
        <v>17</v>
      </c>
      <c r="D7565" s="164">
        <f t="shared" si="879"/>
        <v>45794</v>
      </c>
      <c r="E7565" s="235">
        <f t="shared" si="878"/>
        <v>45794</v>
      </c>
      <c r="F7565" s="480"/>
      <c r="G7565" s="208" t="s">
        <v>86</v>
      </c>
      <c r="H7565" s="208"/>
      <c r="J7565" s="165" t="s">
        <v>200</v>
      </c>
      <c r="K7565" s="167">
        <v>12000</v>
      </c>
      <c r="L7565" s="205"/>
    </row>
    <row r="7566" spans="1:13" ht="11.25" customHeight="1" x14ac:dyDescent="0.2">
      <c r="A7566" s="226">
        <v>2025</v>
      </c>
      <c r="B7566" s="226">
        <v>5</v>
      </c>
      <c r="C7566" s="226">
        <v>17</v>
      </c>
      <c r="D7566" s="226">
        <f t="shared" si="879"/>
        <v>45794</v>
      </c>
      <c r="E7566" s="234">
        <f t="shared" si="878"/>
        <v>45794</v>
      </c>
      <c r="F7566" s="479"/>
      <c r="G7566" s="227" t="s">
        <v>86</v>
      </c>
      <c r="H7566" s="228"/>
      <c r="I7566" s="228"/>
      <c r="J7566" s="229" t="s">
        <v>80</v>
      </c>
      <c r="K7566" s="230"/>
      <c r="L7566" s="230">
        <v>622500</v>
      </c>
    </row>
    <row r="7567" spans="1:13" ht="11.25" customHeight="1" x14ac:dyDescent="0.2">
      <c r="A7567" s="221">
        <v>2025</v>
      </c>
      <c r="B7567" s="221">
        <v>5</v>
      </c>
      <c r="C7567" s="221">
        <v>17</v>
      </c>
      <c r="D7567" s="231">
        <f t="shared" si="879"/>
        <v>45794</v>
      </c>
      <c r="E7567" s="233">
        <f>DATE(A7567,B7567,C7567)</f>
        <v>45794</v>
      </c>
      <c r="F7567" s="478" t="s">
        <v>1879</v>
      </c>
      <c r="G7567" s="222" t="s">
        <v>1111</v>
      </c>
      <c r="H7567" s="223"/>
      <c r="I7567" s="223"/>
      <c r="J7567" s="224" t="s">
        <v>55</v>
      </c>
      <c r="K7567" s="225">
        <v>7802248</v>
      </c>
      <c r="L7567" s="225"/>
    </row>
    <row r="7568" spans="1:13" ht="11.25" customHeight="1" x14ac:dyDescent="0.2">
      <c r="A7568" s="226">
        <v>2025</v>
      </c>
      <c r="B7568" s="226">
        <v>5</v>
      </c>
      <c r="C7568" s="226">
        <v>17</v>
      </c>
      <c r="D7568" s="232">
        <f t="shared" si="879"/>
        <v>45794</v>
      </c>
      <c r="E7568" s="234">
        <f>DATE(A7568,B7568,C7568)</f>
        <v>45794</v>
      </c>
      <c r="F7568" s="479"/>
      <c r="G7568" s="227" t="s">
        <v>1111</v>
      </c>
      <c r="H7568" s="228"/>
      <c r="I7568" s="228"/>
      <c r="J7568" s="229" t="s">
        <v>199</v>
      </c>
      <c r="K7568" s="230"/>
      <c r="L7568" s="230">
        <v>7802248</v>
      </c>
    </row>
    <row r="7569" spans="1:13" ht="11.25" customHeight="1" x14ac:dyDescent="0.2">
      <c r="A7569" s="221">
        <v>2025</v>
      </c>
      <c r="B7569" s="221">
        <v>5</v>
      </c>
      <c r="C7569" s="221">
        <v>17</v>
      </c>
      <c r="D7569" s="221">
        <f t="shared" si="879"/>
        <v>45794</v>
      </c>
      <c r="E7569" s="233">
        <f t="shared" ref="E7569:E7575" si="880">DATE(A7569,B7569,C7569)</f>
        <v>45794</v>
      </c>
      <c r="F7569" s="478" t="s">
        <v>1875</v>
      </c>
      <c r="G7569" s="222" t="s">
        <v>86</v>
      </c>
      <c r="H7569" s="222"/>
      <c r="I7569" s="223"/>
      <c r="J7569" s="224" t="s">
        <v>80</v>
      </c>
      <c r="K7569" s="225">
        <v>1134610</v>
      </c>
      <c r="L7569" s="225"/>
    </row>
    <row r="7570" spans="1:13" ht="11.25" customHeight="1" x14ac:dyDescent="0.2">
      <c r="A7570" s="164">
        <v>2025</v>
      </c>
      <c r="B7570" s="164">
        <v>5</v>
      </c>
      <c r="C7570" s="164">
        <v>17</v>
      </c>
      <c r="D7570" s="164">
        <f t="shared" si="879"/>
        <v>45794</v>
      </c>
      <c r="E7570" s="235">
        <f t="shared" si="880"/>
        <v>45794</v>
      </c>
      <c r="F7570" s="480"/>
      <c r="G7570" s="208" t="s">
        <v>86</v>
      </c>
      <c r="H7570" s="208"/>
      <c r="J7570" s="165" t="s">
        <v>960</v>
      </c>
      <c r="K7570" s="205">
        <v>4661.97</v>
      </c>
      <c r="L7570" s="205"/>
      <c r="M7570" s="263"/>
    </row>
    <row r="7571" spans="1:13" ht="11.25" customHeight="1" x14ac:dyDescent="0.2">
      <c r="A7571" s="164">
        <v>2025</v>
      </c>
      <c r="B7571" s="164">
        <v>5</v>
      </c>
      <c r="C7571" s="164">
        <v>17</v>
      </c>
      <c r="D7571" s="164">
        <f t="shared" si="879"/>
        <v>45794</v>
      </c>
      <c r="E7571" s="235">
        <f t="shared" si="880"/>
        <v>45794</v>
      </c>
      <c r="F7571" s="480"/>
      <c r="G7571" s="208" t="s">
        <v>86</v>
      </c>
      <c r="H7571" s="208"/>
      <c r="J7571" s="165" t="s">
        <v>199</v>
      </c>
      <c r="K7571" s="205">
        <v>316102.83</v>
      </c>
      <c r="L7571" s="205"/>
      <c r="M7571" s="263"/>
    </row>
    <row r="7572" spans="1:13" ht="11.25" customHeight="1" x14ac:dyDescent="0.2">
      <c r="A7572" s="164">
        <v>2025</v>
      </c>
      <c r="B7572" s="164">
        <v>5</v>
      </c>
      <c r="C7572" s="164">
        <v>17</v>
      </c>
      <c r="D7572" s="164">
        <f t="shared" si="879"/>
        <v>45794</v>
      </c>
      <c r="E7572" s="235">
        <f t="shared" si="880"/>
        <v>45794</v>
      </c>
      <c r="F7572" s="480"/>
      <c r="G7572" s="208" t="s">
        <v>86</v>
      </c>
      <c r="H7572" s="208"/>
      <c r="J7572" s="165" t="s">
        <v>200</v>
      </c>
      <c r="K7572" s="205">
        <v>23625.200000000001</v>
      </c>
      <c r="L7572" s="205"/>
      <c r="M7572" s="263"/>
    </row>
    <row r="7573" spans="1:13" ht="11.25" customHeight="1" x14ac:dyDescent="0.2">
      <c r="A7573" s="226">
        <v>2025</v>
      </c>
      <c r="B7573" s="226">
        <v>5</v>
      </c>
      <c r="C7573" s="226">
        <v>17</v>
      </c>
      <c r="D7573" s="226">
        <f t="shared" si="879"/>
        <v>45794</v>
      </c>
      <c r="E7573" s="234">
        <f t="shared" si="880"/>
        <v>45794</v>
      </c>
      <c r="F7573" s="479"/>
      <c r="G7573" s="227" t="s">
        <v>86</v>
      </c>
      <c r="H7573" s="228"/>
      <c r="I7573" s="228"/>
      <c r="J7573" s="229" t="s">
        <v>80</v>
      </c>
      <c r="K7573" s="230"/>
      <c r="L7573" s="230">
        <v>1479000</v>
      </c>
      <c r="M7573" s="263"/>
    </row>
    <row r="7574" spans="1:13" ht="11.25" customHeight="1" x14ac:dyDescent="0.2">
      <c r="A7574" s="221">
        <v>2025</v>
      </c>
      <c r="B7574" s="221">
        <v>5</v>
      </c>
      <c r="C7574" s="221">
        <v>17</v>
      </c>
      <c r="D7574" s="231">
        <f t="shared" si="879"/>
        <v>45794</v>
      </c>
      <c r="E7574" s="233">
        <f t="shared" si="880"/>
        <v>45794</v>
      </c>
      <c r="F7574" s="478" t="s">
        <v>1814</v>
      </c>
      <c r="G7574" s="222" t="s">
        <v>1111</v>
      </c>
      <c r="H7574" s="223"/>
      <c r="I7574" s="223"/>
      <c r="J7574" s="224" t="s">
        <v>961</v>
      </c>
      <c r="K7574" s="225">
        <v>390702</v>
      </c>
      <c r="L7574" s="225"/>
    </row>
    <row r="7575" spans="1:13" ht="11.25" customHeight="1" x14ac:dyDescent="0.2">
      <c r="A7575" s="226">
        <v>2025</v>
      </c>
      <c r="B7575" s="226">
        <v>5</v>
      </c>
      <c r="C7575" s="226">
        <v>17</v>
      </c>
      <c r="D7575" s="232">
        <f t="shared" si="879"/>
        <v>45794</v>
      </c>
      <c r="E7575" s="234">
        <f t="shared" si="880"/>
        <v>45794</v>
      </c>
      <c r="F7575" s="479"/>
      <c r="G7575" s="227" t="s">
        <v>1111</v>
      </c>
      <c r="H7575" s="228"/>
      <c r="I7575" s="228"/>
      <c r="J7575" s="229" t="s">
        <v>55</v>
      </c>
      <c r="K7575" s="230"/>
      <c r="L7575" s="230">
        <v>390702</v>
      </c>
    </row>
    <row r="7576" spans="1:13" ht="11.25" customHeight="1" x14ac:dyDescent="0.2">
      <c r="A7576" s="221">
        <v>2025</v>
      </c>
      <c r="B7576" s="221">
        <v>5</v>
      </c>
      <c r="C7576" s="221">
        <v>17</v>
      </c>
      <c r="D7576" s="231">
        <f t="shared" si="879"/>
        <v>45794</v>
      </c>
      <c r="E7576" s="233">
        <f t="shared" ref="E7576:E7577" si="881">DATE(A7576,B7576,C7576)</f>
        <v>45794</v>
      </c>
      <c r="F7576" s="478" t="s">
        <v>1878</v>
      </c>
      <c r="G7576" s="222" t="s">
        <v>1111</v>
      </c>
      <c r="H7576" s="223"/>
      <c r="I7576" s="223"/>
      <c r="J7576" s="224" t="s">
        <v>961</v>
      </c>
      <c r="K7576" s="225">
        <v>827862.39</v>
      </c>
      <c r="L7576" s="225"/>
    </row>
    <row r="7577" spans="1:13" ht="11.25" customHeight="1" x14ac:dyDescent="0.2">
      <c r="A7577" s="226">
        <v>2025</v>
      </c>
      <c r="B7577" s="226">
        <v>5</v>
      </c>
      <c r="C7577" s="226">
        <v>17</v>
      </c>
      <c r="D7577" s="232">
        <f t="shared" si="879"/>
        <v>45794</v>
      </c>
      <c r="E7577" s="234">
        <f t="shared" si="881"/>
        <v>45794</v>
      </c>
      <c r="F7577" s="479"/>
      <c r="G7577" s="227" t="s">
        <v>1111</v>
      </c>
      <c r="H7577" s="228"/>
      <c r="I7577" s="228"/>
      <c r="J7577" s="229" t="s">
        <v>55</v>
      </c>
      <c r="K7577" s="230"/>
      <c r="L7577" s="230">
        <v>827862.39</v>
      </c>
    </row>
    <row r="7578" spans="1:13" ht="11.25" customHeight="1" x14ac:dyDescent="0.2">
      <c r="A7578" s="221">
        <v>2025</v>
      </c>
      <c r="B7578" s="221">
        <v>5</v>
      </c>
      <c r="C7578" s="221">
        <v>17</v>
      </c>
      <c r="D7578" s="231">
        <f t="shared" si="879"/>
        <v>45794</v>
      </c>
      <c r="E7578" s="233">
        <f t="shared" ref="E7578:E7579" si="882">DATE(A7578,B7578,C7578)</f>
        <v>45794</v>
      </c>
      <c r="F7578" s="478" t="s">
        <v>1878</v>
      </c>
      <c r="G7578" s="222" t="s">
        <v>1111</v>
      </c>
      <c r="H7578" s="223"/>
      <c r="I7578" s="223"/>
      <c r="J7578" s="224" t="s">
        <v>961</v>
      </c>
      <c r="K7578" s="225">
        <v>402884.45</v>
      </c>
      <c r="L7578" s="225"/>
    </row>
    <row r="7579" spans="1:13" ht="11.25" customHeight="1" x14ac:dyDescent="0.2">
      <c r="A7579" s="226">
        <v>2025</v>
      </c>
      <c r="B7579" s="226">
        <v>5</v>
      </c>
      <c r="C7579" s="226">
        <v>17</v>
      </c>
      <c r="D7579" s="232">
        <f t="shared" si="879"/>
        <v>45794</v>
      </c>
      <c r="E7579" s="234">
        <f t="shared" si="882"/>
        <v>45794</v>
      </c>
      <c r="F7579" s="479"/>
      <c r="G7579" s="227" t="s">
        <v>1111</v>
      </c>
      <c r="H7579" s="228"/>
      <c r="I7579" s="228"/>
      <c r="J7579" s="229" t="s">
        <v>55</v>
      </c>
      <c r="K7579" s="230"/>
      <c r="L7579" s="230">
        <v>402884.45</v>
      </c>
    </row>
    <row r="7580" spans="1:13" ht="11.25" customHeight="1" x14ac:dyDescent="0.2">
      <c r="A7580" s="221">
        <v>2025</v>
      </c>
      <c r="B7580" s="221">
        <v>5</v>
      </c>
      <c r="C7580" s="221">
        <v>18</v>
      </c>
      <c r="D7580" s="221">
        <f t="shared" si="879"/>
        <v>45795</v>
      </c>
      <c r="E7580" s="233">
        <f t="shared" ref="E7580:E7586" si="883">DATE(A7580,B7580,C7580)</f>
        <v>45795</v>
      </c>
      <c r="F7580" s="478" t="s">
        <v>1875</v>
      </c>
      <c r="G7580" s="222" t="s">
        <v>86</v>
      </c>
      <c r="H7580" s="222"/>
      <c r="I7580" s="223"/>
      <c r="J7580" s="224" t="s">
        <v>80</v>
      </c>
      <c r="K7580" s="225">
        <v>989300</v>
      </c>
      <c r="L7580" s="225"/>
    </row>
    <row r="7581" spans="1:13" ht="11.25" customHeight="1" x14ac:dyDescent="0.2">
      <c r="A7581" s="164">
        <v>2025</v>
      </c>
      <c r="B7581" s="164">
        <v>5</v>
      </c>
      <c r="C7581" s="164">
        <v>18</v>
      </c>
      <c r="D7581" s="164">
        <f t="shared" si="879"/>
        <v>45795</v>
      </c>
      <c r="E7581" s="235">
        <f t="shared" si="883"/>
        <v>45795</v>
      </c>
      <c r="F7581" s="480"/>
      <c r="G7581" s="208" t="s">
        <v>86</v>
      </c>
      <c r="H7581" s="208"/>
      <c r="J7581" s="165" t="s">
        <v>960</v>
      </c>
      <c r="K7581" s="205">
        <v>2271.5</v>
      </c>
      <c r="L7581" s="205"/>
      <c r="M7581" s="263"/>
    </row>
    <row r="7582" spans="1:13" ht="11.25" customHeight="1" x14ac:dyDescent="0.2">
      <c r="A7582" s="164">
        <v>2025</v>
      </c>
      <c r="B7582" s="164">
        <v>5</v>
      </c>
      <c r="C7582" s="164">
        <v>18</v>
      </c>
      <c r="D7582" s="164">
        <f t="shared" si="879"/>
        <v>45795</v>
      </c>
      <c r="E7582" s="235">
        <f t="shared" si="883"/>
        <v>45795</v>
      </c>
      <c r="F7582" s="480"/>
      <c r="G7582" s="208" t="s">
        <v>86</v>
      </c>
      <c r="H7582" s="208"/>
      <c r="J7582" s="165" t="s">
        <v>143</v>
      </c>
      <c r="K7582" s="205"/>
      <c r="L7582" s="205">
        <v>718929.5</v>
      </c>
      <c r="M7582" s="263"/>
    </row>
    <row r="7583" spans="1:13" ht="11.25" customHeight="1" x14ac:dyDescent="0.2">
      <c r="A7583" s="164">
        <v>2025</v>
      </c>
      <c r="B7583" s="164">
        <v>5</v>
      </c>
      <c r="C7583" s="164">
        <v>18</v>
      </c>
      <c r="D7583" s="164">
        <f t="shared" si="879"/>
        <v>45795</v>
      </c>
      <c r="E7583" s="235">
        <f t="shared" si="883"/>
        <v>45795</v>
      </c>
      <c r="F7583" s="480"/>
      <c r="G7583" s="208" t="s">
        <v>86</v>
      </c>
      <c r="H7583" s="208"/>
      <c r="J7583" s="165" t="s">
        <v>200</v>
      </c>
      <c r="K7583" s="205">
        <v>1238</v>
      </c>
      <c r="L7583" s="205"/>
      <c r="M7583" s="263"/>
    </row>
    <row r="7584" spans="1:13" ht="11.25" customHeight="1" x14ac:dyDescent="0.2">
      <c r="A7584" s="226">
        <v>2025</v>
      </c>
      <c r="B7584" s="226">
        <v>5</v>
      </c>
      <c r="C7584" s="226">
        <v>18</v>
      </c>
      <c r="D7584" s="226">
        <f t="shared" si="879"/>
        <v>45795</v>
      </c>
      <c r="E7584" s="234">
        <f t="shared" si="883"/>
        <v>45795</v>
      </c>
      <c r="F7584" s="479"/>
      <c r="G7584" s="227" t="s">
        <v>86</v>
      </c>
      <c r="H7584" s="228"/>
      <c r="I7584" s="228"/>
      <c r="J7584" s="229" t="s">
        <v>80</v>
      </c>
      <c r="K7584" s="230"/>
      <c r="L7584" s="230">
        <v>273880</v>
      </c>
      <c r="M7584" s="263"/>
    </row>
    <row r="7585" spans="1:13" ht="11.25" customHeight="1" x14ac:dyDescent="0.2">
      <c r="A7585" s="221">
        <v>2025</v>
      </c>
      <c r="B7585" s="221">
        <v>5</v>
      </c>
      <c r="C7585" s="221">
        <v>18</v>
      </c>
      <c r="D7585" s="231">
        <f t="shared" si="879"/>
        <v>45795</v>
      </c>
      <c r="E7585" s="233">
        <f t="shared" si="883"/>
        <v>45795</v>
      </c>
      <c r="F7585" s="478" t="s">
        <v>1867</v>
      </c>
      <c r="G7585" s="222" t="s">
        <v>1111</v>
      </c>
      <c r="H7585" s="223"/>
      <c r="I7585" s="223"/>
      <c r="J7585" s="224" t="s">
        <v>55</v>
      </c>
      <c r="K7585" s="225">
        <v>726516.24</v>
      </c>
      <c r="L7585" s="225"/>
    </row>
    <row r="7586" spans="1:13" ht="11.25" customHeight="1" x14ac:dyDescent="0.2">
      <c r="A7586" s="226">
        <v>2025</v>
      </c>
      <c r="B7586" s="226">
        <v>5</v>
      </c>
      <c r="C7586" s="226">
        <v>18</v>
      </c>
      <c r="D7586" s="232">
        <f t="shared" si="879"/>
        <v>45795</v>
      </c>
      <c r="E7586" s="234">
        <f t="shared" si="883"/>
        <v>45795</v>
      </c>
      <c r="F7586" s="479"/>
      <c r="G7586" s="227" t="s">
        <v>1111</v>
      </c>
      <c r="H7586" s="228"/>
      <c r="I7586" s="228"/>
      <c r="J7586" s="229" t="s">
        <v>192</v>
      </c>
      <c r="K7586" s="230"/>
      <c r="L7586" s="230">
        <v>726516.24</v>
      </c>
    </row>
    <row r="7587" spans="1:13" ht="11.25" customHeight="1" x14ac:dyDescent="0.2">
      <c r="A7587" s="221">
        <v>2025</v>
      </c>
      <c r="B7587" s="221">
        <v>5</v>
      </c>
      <c r="C7587" s="221">
        <v>18</v>
      </c>
      <c r="D7587" s="231">
        <f t="shared" si="879"/>
        <v>45795</v>
      </c>
      <c r="E7587" s="233">
        <f>DATE(A7587,B7587,C7587)</f>
        <v>45795</v>
      </c>
      <c r="F7587" s="478" t="s">
        <v>1879</v>
      </c>
      <c r="G7587" s="222" t="s">
        <v>1111</v>
      </c>
      <c r="H7587" s="223"/>
      <c r="I7587" s="223"/>
      <c r="J7587" s="224" t="s">
        <v>55</v>
      </c>
      <c r="K7587" s="225">
        <v>47001</v>
      </c>
      <c r="L7587" s="225"/>
    </row>
    <row r="7588" spans="1:13" ht="11.25" customHeight="1" x14ac:dyDescent="0.2">
      <c r="A7588" s="226">
        <v>2025</v>
      </c>
      <c r="B7588" s="226">
        <v>5</v>
      </c>
      <c r="C7588" s="226">
        <v>18</v>
      </c>
      <c r="D7588" s="232">
        <f t="shared" si="879"/>
        <v>45795</v>
      </c>
      <c r="E7588" s="234">
        <f>DATE(A7588,B7588,C7588)</f>
        <v>45795</v>
      </c>
      <c r="F7588" s="479"/>
      <c r="G7588" s="227" t="s">
        <v>1111</v>
      </c>
      <c r="H7588" s="228"/>
      <c r="I7588" s="228"/>
      <c r="J7588" s="229" t="s">
        <v>199</v>
      </c>
      <c r="K7588" s="230"/>
      <c r="L7588" s="230">
        <v>47001</v>
      </c>
    </row>
    <row r="7589" spans="1:13" ht="11.25" customHeight="1" x14ac:dyDescent="0.2">
      <c r="A7589" s="221">
        <v>2025</v>
      </c>
      <c r="B7589" s="221">
        <v>5</v>
      </c>
      <c r="C7589" s="221">
        <v>18</v>
      </c>
      <c r="D7589" s="231">
        <f t="shared" si="879"/>
        <v>45795</v>
      </c>
      <c r="E7589" s="233">
        <f t="shared" ref="E7589:E7595" si="884">DATE(A7589,B7589,C7589)</f>
        <v>45795</v>
      </c>
      <c r="F7589" s="478" t="s">
        <v>1772</v>
      </c>
      <c r="G7589" s="222" t="s">
        <v>1111</v>
      </c>
      <c r="H7589" s="222"/>
      <c r="I7589" s="223"/>
      <c r="J7589" s="224" t="s">
        <v>80</v>
      </c>
      <c r="K7589" s="225">
        <v>3500000</v>
      </c>
      <c r="L7589" s="225"/>
    </row>
    <row r="7590" spans="1:13" ht="11.25" customHeight="1" x14ac:dyDescent="0.2">
      <c r="A7590" s="226">
        <v>2025</v>
      </c>
      <c r="B7590" s="226">
        <v>5</v>
      </c>
      <c r="C7590" s="226">
        <v>18</v>
      </c>
      <c r="D7590" s="226">
        <f t="shared" si="879"/>
        <v>45795</v>
      </c>
      <c r="E7590" s="234">
        <f t="shared" si="884"/>
        <v>45795</v>
      </c>
      <c r="F7590" s="479"/>
      <c r="G7590" s="227" t="s">
        <v>1111</v>
      </c>
      <c r="H7590" s="227"/>
      <c r="I7590" s="228"/>
      <c r="J7590" s="229" t="s">
        <v>55</v>
      </c>
      <c r="K7590" s="294"/>
      <c r="L7590" s="230">
        <v>3500000</v>
      </c>
    </row>
    <row r="7591" spans="1:13" ht="11.25" customHeight="1" x14ac:dyDescent="0.2">
      <c r="A7591" s="221">
        <v>2025</v>
      </c>
      <c r="B7591" s="221">
        <v>5</v>
      </c>
      <c r="C7591" s="221">
        <v>19</v>
      </c>
      <c r="D7591" s="221">
        <f t="shared" si="879"/>
        <v>45796</v>
      </c>
      <c r="E7591" s="233">
        <f t="shared" si="884"/>
        <v>45796</v>
      </c>
      <c r="F7591" s="478" t="s">
        <v>1875</v>
      </c>
      <c r="G7591" s="222" t="s">
        <v>86</v>
      </c>
      <c r="H7591" s="222"/>
      <c r="I7591" s="223"/>
      <c r="J7591" s="224" t="s">
        <v>80</v>
      </c>
      <c r="K7591" s="225">
        <v>712469.1</v>
      </c>
      <c r="L7591" s="225"/>
    </row>
    <row r="7592" spans="1:13" ht="11.25" customHeight="1" x14ac:dyDescent="0.2">
      <c r="A7592" s="164">
        <v>2025</v>
      </c>
      <c r="B7592" s="164">
        <v>5</v>
      </c>
      <c r="C7592" s="164">
        <v>19</v>
      </c>
      <c r="D7592" s="164">
        <f t="shared" si="879"/>
        <v>45796</v>
      </c>
      <c r="E7592" s="235">
        <f t="shared" si="884"/>
        <v>45796</v>
      </c>
      <c r="F7592" s="480"/>
      <c r="G7592" s="208" t="s">
        <v>86</v>
      </c>
      <c r="H7592" s="208"/>
      <c r="J7592" s="165" t="s">
        <v>960</v>
      </c>
      <c r="K7592" s="205">
        <v>2743.8</v>
      </c>
      <c r="L7592" s="205"/>
      <c r="M7592" s="263"/>
    </row>
    <row r="7593" spans="1:13" ht="11.25" customHeight="1" x14ac:dyDescent="0.2">
      <c r="A7593" s="164">
        <v>2025</v>
      </c>
      <c r="B7593" s="164">
        <v>5</v>
      </c>
      <c r="C7593" s="164">
        <v>19</v>
      </c>
      <c r="D7593" s="164">
        <f t="shared" si="879"/>
        <v>45796</v>
      </c>
      <c r="E7593" s="235">
        <f t="shared" si="884"/>
        <v>45796</v>
      </c>
      <c r="F7593" s="480"/>
      <c r="G7593" s="208" t="s">
        <v>86</v>
      </c>
      <c r="H7593" s="208"/>
      <c r="J7593" s="165" t="s">
        <v>199</v>
      </c>
      <c r="K7593" s="205">
        <v>96654.29</v>
      </c>
      <c r="L7593" s="205"/>
      <c r="M7593" s="263"/>
    </row>
    <row r="7594" spans="1:13" ht="11.25" customHeight="1" x14ac:dyDescent="0.2">
      <c r="A7594" s="164">
        <v>2025</v>
      </c>
      <c r="B7594" s="164">
        <v>5</v>
      </c>
      <c r="C7594" s="164">
        <v>19</v>
      </c>
      <c r="D7594" s="164">
        <f t="shared" si="879"/>
        <v>45796</v>
      </c>
      <c r="E7594" s="235">
        <f t="shared" si="884"/>
        <v>45796</v>
      </c>
      <c r="F7594" s="480"/>
      <c r="G7594" s="208" t="s">
        <v>86</v>
      </c>
      <c r="H7594" s="208"/>
      <c r="J7594" s="165" t="s">
        <v>200</v>
      </c>
      <c r="K7594" s="205">
        <v>8132.8</v>
      </c>
      <c r="L7594" s="205"/>
      <c r="M7594" s="263"/>
    </row>
    <row r="7595" spans="1:13" ht="11.25" customHeight="1" x14ac:dyDescent="0.2">
      <c r="A7595" s="226">
        <v>2025</v>
      </c>
      <c r="B7595" s="226">
        <v>5</v>
      </c>
      <c r="C7595" s="226">
        <v>19</v>
      </c>
      <c r="D7595" s="226">
        <f t="shared" si="879"/>
        <v>45796</v>
      </c>
      <c r="E7595" s="234">
        <f t="shared" si="884"/>
        <v>45796</v>
      </c>
      <c r="F7595" s="479"/>
      <c r="G7595" s="227" t="s">
        <v>86</v>
      </c>
      <c r="H7595" s="228"/>
      <c r="I7595" s="228"/>
      <c r="J7595" s="229" t="s">
        <v>80</v>
      </c>
      <c r="K7595" s="230"/>
      <c r="L7595" s="230">
        <v>820000</v>
      </c>
      <c r="M7595" s="263"/>
    </row>
    <row r="7596" spans="1:13" ht="11.25" customHeight="1" x14ac:dyDescent="0.2">
      <c r="A7596" s="221">
        <v>2025</v>
      </c>
      <c r="B7596" s="221">
        <v>5</v>
      </c>
      <c r="C7596" s="221">
        <v>19</v>
      </c>
      <c r="D7596" s="221">
        <f t="shared" si="879"/>
        <v>45796</v>
      </c>
      <c r="E7596" s="233">
        <f t="shared" ref="E7596:E7600" si="885">DATE(A7596,B7596,C7596)</f>
        <v>45796</v>
      </c>
      <c r="F7596" s="478" t="s">
        <v>1769</v>
      </c>
      <c r="G7596" s="222" t="s">
        <v>86</v>
      </c>
      <c r="H7596" s="222"/>
      <c r="I7596" s="223"/>
      <c r="J7596" s="224" t="s">
        <v>80</v>
      </c>
      <c r="K7596" s="225">
        <v>25120</v>
      </c>
      <c r="L7596" s="225"/>
    </row>
    <row r="7597" spans="1:13" ht="11.25" customHeight="1" x14ac:dyDescent="0.2">
      <c r="A7597" s="164">
        <v>2025</v>
      </c>
      <c r="B7597" s="164">
        <v>5</v>
      </c>
      <c r="C7597" s="164">
        <v>19</v>
      </c>
      <c r="D7597" s="164">
        <f t="shared" si="879"/>
        <v>45796</v>
      </c>
      <c r="E7597" s="235">
        <f t="shared" si="885"/>
        <v>45796</v>
      </c>
      <c r="F7597" s="480"/>
      <c r="G7597" s="208" t="s">
        <v>86</v>
      </c>
      <c r="H7597" s="208"/>
      <c r="J7597" s="165" t="s">
        <v>960</v>
      </c>
      <c r="K7597" s="205">
        <v>812.73</v>
      </c>
      <c r="L7597" s="205"/>
      <c r="M7597" s="263"/>
    </row>
    <row r="7598" spans="1:13" ht="11.25" customHeight="1" x14ac:dyDescent="0.2">
      <c r="A7598" s="164">
        <v>2025</v>
      </c>
      <c r="B7598" s="164">
        <v>5</v>
      </c>
      <c r="C7598" s="164">
        <v>19</v>
      </c>
      <c r="D7598" s="164">
        <f t="shared" si="879"/>
        <v>45796</v>
      </c>
      <c r="E7598" s="235">
        <f t="shared" si="885"/>
        <v>45796</v>
      </c>
      <c r="F7598" s="480"/>
      <c r="G7598" s="208" t="s">
        <v>86</v>
      </c>
      <c r="H7598" s="208"/>
      <c r="J7598" s="165" t="s">
        <v>199</v>
      </c>
      <c r="K7598" s="205">
        <v>400463.27</v>
      </c>
      <c r="L7598" s="205"/>
      <c r="M7598" s="263"/>
    </row>
    <row r="7599" spans="1:13" ht="11.25" customHeight="1" x14ac:dyDescent="0.2">
      <c r="A7599" s="164">
        <v>2025</v>
      </c>
      <c r="B7599" s="164">
        <v>5</v>
      </c>
      <c r="C7599" s="164">
        <v>19</v>
      </c>
      <c r="D7599" s="164">
        <f t="shared" si="879"/>
        <v>45796</v>
      </c>
      <c r="E7599" s="235">
        <f t="shared" si="885"/>
        <v>45796</v>
      </c>
      <c r="F7599" s="480"/>
      <c r="G7599" s="208" t="s">
        <v>86</v>
      </c>
      <c r="H7599" s="208"/>
      <c r="J7599" s="165" t="s">
        <v>200</v>
      </c>
      <c r="K7599" s="205">
        <v>2874</v>
      </c>
      <c r="L7599" s="205"/>
      <c r="M7599" s="263"/>
    </row>
    <row r="7600" spans="1:13" ht="11.25" customHeight="1" x14ac:dyDescent="0.2">
      <c r="A7600" s="226">
        <v>2025</v>
      </c>
      <c r="B7600" s="226">
        <v>5</v>
      </c>
      <c r="C7600" s="226">
        <v>19</v>
      </c>
      <c r="D7600" s="226">
        <f t="shared" si="879"/>
        <v>45796</v>
      </c>
      <c r="E7600" s="234">
        <f t="shared" si="885"/>
        <v>45796</v>
      </c>
      <c r="F7600" s="479"/>
      <c r="G7600" s="227" t="s">
        <v>86</v>
      </c>
      <c r="H7600" s="228"/>
      <c r="I7600" s="228"/>
      <c r="J7600" s="229" t="s">
        <v>80</v>
      </c>
      <c r="K7600" s="230"/>
      <c r="L7600" s="230">
        <v>429270</v>
      </c>
      <c r="M7600" s="263"/>
    </row>
    <row r="7601" spans="1:13" ht="11.25" customHeight="1" x14ac:dyDescent="0.2">
      <c r="A7601" s="221">
        <v>2025</v>
      </c>
      <c r="B7601" s="221">
        <v>5</v>
      </c>
      <c r="C7601" s="221">
        <v>19</v>
      </c>
      <c r="D7601" s="231">
        <f t="shared" si="879"/>
        <v>45796</v>
      </c>
      <c r="E7601" s="233">
        <f>DATE(A7601,B7601,C7601)</f>
        <v>45796</v>
      </c>
      <c r="F7601" s="478" t="s">
        <v>1878</v>
      </c>
      <c r="G7601" s="222" t="s">
        <v>1111</v>
      </c>
      <c r="H7601" s="223"/>
      <c r="I7601" s="223"/>
      <c r="J7601" s="224" t="s">
        <v>961</v>
      </c>
      <c r="K7601" s="225">
        <v>718929.5</v>
      </c>
      <c r="L7601" s="225"/>
    </row>
    <row r="7602" spans="1:13" ht="11.25" customHeight="1" x14ac:dyDescent="0.2">
      <c r="A7602" s="226">
        <v>2025</v>
      </c>
      <c r="B7602" s="226">
        <v>5</v>
      </c>
      <c r="C7602" s="226">
        <v>19</v>
      </c>
      <c r="D7602" s="232">
        <f t="shared" si="879"/>
        <v>45796</v>
      </c>
      <c r="E7602" s="234">
        <f>DATE(A7602,B7602,C7602)</f>
        <v>45796</v>
      </c>
      <c r="F7602" s="479"/>
      <c r="G7602" s="227" t="s">
        <v>1111</v>
      </c>
      <c r="H7602" s="228"/>
      <c r="I7602" s="228"/>
      <c r="J7602" s="229" t="s">
        <v>55</v>
      </c>
      <c r="K7602" s="230"/>
      <c r="L7602" s="230">
        <v>718929.5</v>
      </c>
    </row>
    <row r="7603" spans="1:13" ht="11.25" customHeight="1" x14ac:dyDescent="0.2">
      <c r="A7603" s="221">
        <v>2025</v>
      </c>
      <c r="B7603" s="221">
        <v>5</v>
      </c>
      <c r="C7603" s="221">
        <v>19</v>
      </c>
      <c r="D7603" s="231">
        <f t="shared" si="879"/>
        <v>45796</v>
      </c>
      <c r="E7603" s="233">
        <f>DATE(A7603,B7603,C7603)</f>
        <v>45796</v>
      </c>
      <c r="F7603" s="478" t="s">
        <v>1879</v>
      </c>
      <c r="G7603" s="222" t="s">
        <v>1111</v>
      </c>
      <c r="H7603" s="223"/>
      <c r="I7603" s="223"/>
      <c r="J7603" s="224" t="s">
        <v>55</v>
      </c>
      <c r="K7603" s="225">
        <v>609404</v>
      </c>
      <c r="L7603" s="225"/>
    </row>
    <row r="7604" spans="1:13" ht="11.25" customHeight="1" x14ac:dyDescent="0.2">
      <c r="A7604" s="226">
        <v>2025</v>
      </c>
      <c r="B7604" s="226">
        <v>5</v>
      </c>
      <c r="C7604" s="226">
        <v>19</v>
      </c>
      <c r="D7604" s="232">
        <f t="shared" si="879"/>
        <v>45796</v>
      </c>
      <c r="E7604" s="234">
        <f>DATE(A7604,B7604,C7604)</f>
        <v>45796</v>
      </c>
      <c r="F7604" s="479"/>
      <c r="G7604" s="227" t="s">
        <v>1111</v>
      </c>
      <c r="H7604" s="228"/>
      <c r="I7604" s="228"/>
      <c r="J7604" s="229" t="s">
        <v>199</v>
      </c>
      <c r="K7604" s="230"/>
      <c r="L7604" s="230">
        <v>609404</v>
      </c>
    </row>
    <row r="7605" spans="1:13" ht="11.25" customHeight="1" x14ac:dyDescent="0.2">
      <c r="A7605" s="221">
        <v>2025</v>
      </c>
      <c r="B7605" s="221">
        <v>5</v>
      </c>
      <c r="C7605" s="221">
        <v>19</v>
      </c>
      <c r="D7605" s="231">
        <f t="shared" si="879"/>
        <v>45796</v>
      </c>
      <c r="E7605" s="233">
        <f t="shared" ref="E7605:E7632" si="886">DATE(A7605,B7605,C7605)</f>
        <v>45796</v>
      </c>
      <c r="F7605" s="478" t="s">
        <v>1877</v>
      </c>
      <c r="G7605" s="222" t="s">
        <v>1111</v>
      </c>
      <c r="H7605" s="223"/>
      <c r="I7605" s="223"/>
      <c r="J7605" s="224" t="s">
        <v>55</v>
      </c>
      <c r="K7605" s="225">
        <v>316102.83</v>
      </c>
      <c r="L7605" s="225"/>
    </row>
    <row r="7606" spans="1:13" ht="11.25" customHeight="1" x14ac:dyDescent="0.2">
      <c r="A7606" s="226">
        <v>2025</v>
      </c>
      <c r="B7606" s="226">
        <v>5</v>
      </c>
      <c r="C7606" s="226">
        <v>19</v>
      </c>
      <c r="D7606" s="232">
        <f t="shared" si="879"/>
        <v>45796</v>
      </c>
      <c r="E7606" s="234">
        <f t="shared" si="886"/>
        <v>45796</v>
      </c>
      <c r="F7606" s="479"/>
      <c r="G7606" s="227" t="s">
        <v>1111</v>
      </c>
      <c r="H7606" s="228"/>
      <c r="I7606" s="228"/>
      <c r="J7606" s="229" t="s">
        <v>199</v>
      </c>
      <c r="K7606" s="230"/>
      <c r="L7606" s="230">
        <v>316102.83</v>
      </c>
    </row>
    <row r="7607" spans="1:13" ht="11.25" customHeight="1" x14ac:dyDescent="0.2">
      <c r="A7607" s="221">
        <v>2025</v>
      </c>
      <c r="B7607" s="221">
        <v>5</v>
      </c>
      <c r="C7607" s="221">
        <v>21</v>
      </c>
      <c r="D7607" s="221">
        <f t="shared" si="879"/>
        <v>45798</v>
      </c>
      <c r="E7607" s="233">
        <f t="shared" si="886"/>
        <v>45798</v>
      </c>
      <c r="F7607" s="478" t="s">
        <v>1593</v>
      </c>
      <c r="G7607" s="222" t="s">
        <v>86</v>
      </c>
      <c r="H7607" s="222"/>
      <c r="I7607" s="223"/>
      <c r="J7607" s="224" t="s">
        <v>80</v>
      </c>
      <c r="K7607" s="225">
        <v>833655</v>
      </c>
      <c r="L7607" s="225"/>
    </row>
    <row r="7608" spans="1:13" ht="11.25" customHeight="1" x14ac:dyDescent="0.2">
      <c r="A7608" s="164">
        <v>2025</v>
      </c>
      <c r="B7608" s="164">
        <v>5</v>
      </c>
      <c r="C7608" s="164">
        <v>21</v>
      </c>
      <c r="D7608" s="164">
        <f t="shared" si="879"/>
        <v>45798</v>
      </c>
      <c r="E7608" s="235">
        <f t="shared" si="886"/>
        <v>45798</v>
      </c>
      <c r="F7608" s="480"/>
      <c r="G7608" s="208" t="s">
        <v>86</v>
      </c>
      <c r="H7608" s="208"/>
      <c r="J7608" s="165" t="s">
        <v>960</v>
      </c>
      <c r="K7608" s="205">
        <v>1500.58</v>
      </c>
      <c r="L7608" s="205"/>
    </row>
    <row r="7609" spans="1:13" ht="11.25" customHeight="1" x14ac:dyDescent="0.2">
      <c r="A7609" s="226">
        <v>2025</v>
      </c>
      <c r="B7609" s="226">
        <v>5</v>
      </c>
      <c r="C7609" s="226">
        <v>21</v>
      </c>
      <c r="D7609" s="226">
        <f t="shared" si="879"/>
        <v>45798</v>
      </c>
      <c r="E7609" s="234">
        <f t="shared" si="886"/>
        <v>45798</v>
      </c>
      <c r="F7609" s="479"/>
      <c r="G7609" s="227" t="s">
        <v>86</v>
      </c>
      <c r="H7609" s="227"/>
      <c r="I7609" s="228"/>
      <c r="J7609" s="229" t="s">
        <v>143</v>
      </c>
      <c r="K7609" s="230"/>
      <c r="L7609" s="230">
        <v>835155.58</v>
      </c>
    </row>
    <row r="7610" spans="1:13" ht="11.25" customHeight="1" x14ac:dyDescent="0.2">
      <c r="A7610" s="221">
        <v>2025</v>
      </c>
      <c r="B7610" s="221">
        <v>5</v>
      </c>
      <c r="C7610" s="221">
        <v>21</v>
      </c>
      <c r="D7610" s="231">
        <f t="shared" si="879"/>
        <v>45798</v>
      </c>
      <c r="E7610" s="233">
        <f t="shared" ref="E7610:E7611" si="887">DATE(A7610,B7610,C7610)</f>
        <v>45798</v>
      </c>
      <c r="F7610" s="478" t="s">
        <v>1877</v>
      </c>
      <c r="G7610" s="222" t="s">
        <v>1111</v>
      </c>
      <c r="H7610" s="223"/>
      <c r="I7610" s="223"/>
      <c r="J7610" s="224" t="s">
        <v>55</v>
      </c>
      <c r="K7610" s="225">
        <v>96654.29</v>
      </c>
      <c r="L7610" s="225"/>
    </row>
    <row r="7611" spans="1:13" ht="11.25" customHeight="1" x14ac:dyDescent="0.2">
      <c r="A7611" s="226">
        <v>2025</v>
      </c>
      <c r="B7611" s="226">
        <v>5</v>
      </c>
      <c r="C7611" s="226">
        <v>21</v>
      </c>
      <c r="D7611" s="232">
        <f t="shared" si="879"/>
        <v>45798</v>
      </c>
      <c r="E7611" s="234">
        <f t="shared" si="887"/>
        <v>45798</v>
      </c>
      <c r="F7611" s="479"/>
      <c r="G7611" s="227" t="s">
        <v>1111</v>
      </c>
      <c r="H7611" s="228"/>
      <c r="I7611" s="228"/>
      <c r="J7611" s="229" t="s">
        <v>199</v>
      </c>
      <c r="K7611" s="230"/>
      <c r="L7611" s="230">
        <v>96654.29</v>
      </c>
    </row>
    <row r="7612" spans="1:13" ht="11.25" customHeight="1" x14ac:dyDescent="0.2">
      <c r="A7612" s="221">
        <v>2025</v>
      </c>
      <c r="B7612" s="221">
        <v>5</v>
      </c>
      <c r="C7612" s="221">
        <v>22</v>
      </c>
      <c r="D7612" s="231">
        <f t="shared" si="879"/>
        <v>45799</v>
      </c>
      <c r="E7612" s="233">
        <f t="shared" si="886"/>
        <v>45799</v>
      </c>
      <c r="F7612" s="478" t="s">
        <v>1115</v>
      </c>
      <c r="G7612" s="222" t="s">
        <v>1111</v>
      </c>
      <c r="H7612" s="223"/>
      <c r="I7612" s="223" t="s">
        <v>1853</v>
      </c>
      <c r="J7612" s="224" t="s">
        <v>14</v>
      </c>
      <c r="K7612" s="167">
        <v>473310</v>
      </c>
      <c r="L7612" s="225"/>
    </row>
    <row r="7613" spans="1:13" ht="11.25" customHeight="1" x14ac:dyDescent="0.2">
      <c r="A7613" s="164">
        <v>2025</v>
      </c>
      <c r="B7613" s="164">
        <v>5</v>
      </c>
      <c r="C7613" s="164">
        <v>22</v>
      </c>
      <c r="D7613" s="156">
        <f t="shared" si="879"/>
        <v>45799</v>
      </c>
      <c r="E7613" s="235">
        <f t="shared" si="886"/>
        <v>45799</v>
      </c>
      <c r="F7613" s="480"/>
      <c r="G7613" s="208" t="s">
        <v>1111</v>
      </c>
      <c r="I7613" s="206" t="s">
        <v>1853</v>
      </c>
      <c r="J7613" s="165" t="s">
        <v>1112</v>
      </c>
      <c r="K7613" s="205">
        <v>26690</v>
      </c>
      <c r="L7613" s="156"/>
    </row>
    <row r="7614" spans="1:13" ht="11.25" customHeight="1" x14ac:dyDescent="0.2">
      <c r="A7614" s="226">
        <v>2025</v>
      </c>
      <c r="B7614" s="226">
        <v>5</v>
      </c>
      <c r="C7614" s="226">
        <v>22</v>
      </c>
      <c r="D7614" s="232">
        <f t="shared" si="879"/>
        <v>45799</v>
      </c>
      <c r="E7614" s="234">
        <f t="shared" si="886"/>
        <v>45799</v>
      </c>
      <c r="F7614" s="479"/>
      <c r="G7614" s="227" t="s">
        <v>1111</v>
      </c>
      <c r="H7614" s="228"/>
      <c r="I7614" s="228" t="s">
        <v>1853</v>
      </c>
      <c r="J7614" s="229" t="s">
        <v>55</v>
      </c>
      <c r="K7614" s="230"/>
      <c r="L7614" s="230">
        <v>500000</v>
      </c>
    </row>
    <row r="7615" spans="1:13" ht="11.25" customHeight="1" x14ac:dyDescent="0.2">
      <c r="A7615" s="164">
        <v>2025</v>
      </c>
      <c r="B7615" s="164">
        <v>5</v>
      </c>
      <c r="C7615" s="164">
        <v>22</v>
      </c>
      <c r="D7615" s="164">
        <f t="shared" si="879"/>
        <v>45799</v>
      </c>
      <c r="E7615" s="235">
        <f t="shared" si="886"/>
        <v>45799</v>
      </c>
      <c r="F7615" s="480" t="s">
        <v>1589</v>
      </c>
      <c r="G7615" s="208" t="s">
        <v>86</v>
      </c>
      <c r="H7615" s="208"/>
      <c r="J7615" s="165" t="s">
        <v>199</v>
      </c>
      <c r="K7615" s="205">
        <v>507376.87</v>
      </c>
      <c r="L7615" s="205"/>
    </row>
    <row r="7616" spans="1:13" ht="11.25" customHeight="1" x14ac:dyDescent="0.2">
      <c r="A7616" s="164">
        <v>2025</v>
      </c>
      <c r="B7616" s="164">
        <v>5</v>
      </c>
      <c r="C7616" s="164">
        <v>22</v>
      </c>
      <c r="D7616" s="164">
        <f t="shared" si="879"/>
        <v>45799</v>
      </c>
      <c r="E7616" s="235">
        <f t="shared" si="886"/>
        <v>45799</v>
      </c>
      <c r="F7616" s="480"/>
      <c r="G7616" s="208" t="s">
        <v>86</v>
      </c>
      <c r="H7616" s="208"/>
      <c r="J7616" s="165" t="s">
        <v>960</v>
      </c>
      <c r="K7616" s="205">
        <v>914.93</v>
      </c>
      <c r="L7616" s="205"/>
      <c r="M7616" s="401"/>
    </row>
    <row r="7617" spans="1:13" ht="11.25" customHeight="1" x14ac:dyDescent="0.2">
      <c r="A7617" s="164">
        <v>2025</v>
      </c>
      <c r="B7617" s="164">
        <v>5</v>
      </c>
      <c r="C7617" s="164">
        <v>22</v>
      </c>
      <c r="D7617" s="164">
        <f t="shared" si="879"/>
        <v>45799</v>
      </c>
      <c r="E7617" s="235">
        <f t="shared" si="886"/>
        <v>45799</v>
      </c>
      <c r="F7617" s="480"/>
      <c r="G7617" s="208" t="s">
        <v>86</v>
      </c>
      <c r="H7617" s="208"/>
      <c r="J7617" s="165" t="s">
        <v>200</v>
      </c>
      <c r="K7617" s="167">
        <v>4208.2</v>
      </c>
      <c r="L7617" s="205"/>
    </row>
    <row r="7618" spans="1:13" ht="11.25" customHeight="1" x14ac:dyDescent="0.2">
      <c r="A7618" s="226">
        <v>2025</v>
      </c>
      <c r="B7618" s="226">
        <v>5</v>
      </c>
      <c r="C7618" s="226">
        <v>22</v>
      </c>
      <c r="D7618" s="226">
        <f t="shared" si="879"/>
        <v>45799</v>
      </c>
      <c r="E7618" s="234">
        <f t="shared" si="886"/>
        <v>45799</v>
      </c>
      <c r="F7618" s="479"/>
      <c r="G7618" s="227" t="s">
        <v>86</v>
      </c>
      <c r="H7618" s="228"/>
      <c r="I7618" s="228"/>
      <c r="J7618" s="229" t="s">
        <v>80</v>
      </c>
      <c r="K7618" s="230"/>
      <c r="L7618" s="230">
        <v>512500</v>
      </c>
    </row>
    <row r="7619" spans="1:13" ht="11.25" customHeight="1" x14ac:dyDescent="0.2">
      <c r="A7619" s="221">
        <v>2025</v>
      </c>
      <c r="B7619" s="221">
        <v>5</v>
      </c>
      <c r="C7619" s="221">
        <v>22</v>
      </c>
      <c r="D7619" s="231">
        <f t="shared" si="879"/>
        <v>45799</v>
      </c>
      <c r="E7619" s="233">
        <f t="shared" si="886"/>
        <v>45799</v>
      </c>
      <c r="F7619" s="478" t="s">
        <v>1866</v>
      </c>
      <c r="G7619" s="222" t="s">
        <v>1111</v>
      </c>
      <c r="H7619" s="223"/>
      <c r="I7619" s="223"/>
      <c r="J7619" s="224" t="s">
        <v>55</v>
      </c>
      <c r="K7619" s="225">
        <v>509580.75</v>
      </c>
      <c r="L7619" s="225"/>
    </row>
    <row r="7620" spans="1:13" ht="11.25" customHeight="1" x14ac:dyDescent="0.2">
      <c r="A7620" s="226">
        <v>2025</v>
      </c>
      <c r="B7620" s="226">
        <v>5</v>
      </c>
      <c r="C7620" s="226">
        <v>22</v>
      </c>
      <c r="D7620" s="232">
        <f t="shared" si="879"/>
        <v>45799</v>
      </c>
      <c r="E7620" s="234">
        <f t="shared" si="886"/>
        <v>45799</v>
      </c>
      <c r="F7620" s="479"/>
      <c r="G7620" s="227" t="s">
        <v>1111</v>
      </c>
      <c r="H7620" s="228"/>
      <c r="I7620" s="228"/>
      <c r="J7620" s="229" t="s">
        <v>192</v>
      </c>
      <c r="K7620" s="230"/>
      <c r="L7620" s="230">
        <v>509580.75</v>
      </c>
    </row>
    <row r="7621" spans="1:13" ht="11.25" customHeight="1" x14ac:dyDescent="0.2">
      <c r="A7621" s="221">
        <v>2025</v>
      </c>
      <c r="B7621" s="221">
        <v>5</v>
      </c>
      <c r="C7621" s="221">
        <v>22</v>
      </c>
      <c r="D7621" s="231">
        <f t="shared" si="879"/>
        <v>45799</v>
      </c>
      <c r="E7621" s="233">
        <f t="shared" si="886"/>
        <v>45799</v>
      </c>
      <c r="F7621" s="478" t="s">
        <v>1843</v>
      </c>
      <c r="G7621" s="222" t="s">
        <v>1111</v>
      </c>
      <c r="H7621" s="223"/>
      <c r="I7621" s="223"/>
      <c r="J7621" s="224" t="s">
        <v>55</v>
      </c>
      <c r="K7621" s="225">
        <v>400463</v>
      </c>
      <c r="L7621" s="225"/>
    </row>
    <row r="7622" spans="1:13" ht="11.25" customHeight="1" x14ac:dyDescent="0.2">
      <c r="A7622" s="226">
        <v>2025</v>
      </c>
      <c r="B7622" s="226">
        <v>5</v>
      </c>
      <c r="C7622" s="226">
        <v>22</v>
      </c>
      <c r="D7622" s="232">
        <f t="shared" si="879"/>
        <v>45799</v>
      </c>
      <c r="E7622" s="234">
        <f t="shared" si="886"/>
        <v>45799</v>
      </c>
      <c r="F7622" s="479"/>
      <c r="G7622" s="227" t="s">
        <v>1111</v>
      </c>
      <c r="H7622" s="228"/>
      <c r="I7622" s="228"/>
      <c r="J7622" s="229" t="s">
        <v>199</v>
      </c>
      <c r="K7622" s="230"/>
      <c r="L7622" s="230">
        <v>400463</v>
      </c>
    </row>
    <row r="7623" spans="1:13" ht="11.25" customHeight="1" x14ac:dyDescent="0.2">
      <c r="A7623" s="221">
        <v>2025</v>
      </c>
      <c r="B7623" s="221">
        <v>5</v>
      </c>
      <c r="C7623" s="221">
        <v>22</v>
      </c>
      <c r="D7623" s="231">
        <f t="shared" si="879"/>
        <v>45799</v>
      </c>
      <c r="E7623" s="233">
        <f t="shared" si="886"/>
        <v>45799</v>
      </c>
      <c r="F7623" s="478" t="s">
        <v>1917</v>
      </c>
      <c r="G7623" s="222" t="s">
        <v>1111</v>
      </c>
      <c r="H7623" s="223"/>
      <c r="I7623" s="223"/>
      <c r="J7623" s="224" t="s">
        <v>192</v>
      </c>
      <c r="K7623" s="225">
        <v>198377.5</v>
      </c>
      <c r="L7623" s="225"/>
    </row>
    <row r="7624" spans="1:13" ht="11.25" customHeight="1" x14ac:dyDescent="0.2">
      <c r="A7624" s="226">
        <v>2025</v>
      </c>
      <c r="B7624" s="226">
        <v>5</v>
      </c>
      <c r="C7624" s="226">
        <v>22</v>
      </c>
      <c r="D7624" s="232">
        <f t="shared" si="879"/>
        <v>45799</v>
      </c>
      <c r="E7624" s="234">
        <f t="shared" si="886"/>
        <v>45799</v>
      </c>
      <c r="F7624" s="479"/>
      <c r="G7624" s="227" t="s">
        <v>1111</v>
      </c>
      <c r="H7624" s="228"/>
      <c r="I7624" s="228"/>
      <c r="J7624" s="229" t="s">
        <v>191</v>
      </c>
      <c r="K7624" s="230"/>
      <c r="L7624" s="230">
        <v>198377.5</v>
      </c>
    </row>
    <row r="7625" spans="1:13" ht="11.25" customHeight="1" x14ac:dyDescent="0.2">
      <c r="A7625" s="280">
        <v>2025</v>
      </c>
      <c r="B7625" s="280">
        <v>5</v>
      </c>
      <c r="C7625" s="280">
        <v>22</v>
      </c>
      <c r="D7625" s="281">
        <f t="shared" ref="D7625:D7688" si="888">DATE(A7625,B7625,C7625)</f>
        <v>45799</v>
      </c>
      <c r="E7625" s="282">
        <f t="shared" si="886"/>
        <v>45799</v>
      </c>
      <c r="F7625" s="472" t="s">
        <v>1744</v>
      </c>
      <c r="G7625" s="283" t="s">
        <v>86</v>
      </c>
      <c r="H7625" s="284"/>
      <c r="I7625" s="284"/>
      <c r="J7625" s="285" t="s">
        <v>131</v>
      </c>
      <c r="K7625" s="286">
        <v>19358.330000000002</v>
      </c>
      <c r="L7625" s="286"/>
      <c r="M7625" s="401"/>
    </row>
    <row r="7626" spans="1:13" ht="11.25" customHeight="1" x14ac:dyDescent="0.2">
      <c r="A7626" s="287">
        <v>2025</v>
      </c>
      <c r="B7626" s="287">
        <v>5</v>
      </c>
      <c r="C7626" s="287">
        <v>22</v>
      </c>
      <c r="D7626" s="288">
        <f t="shared" si="888"/>
        <v>45799</v>
      </c>
      <c r="E7626" s="289">
        <f t="shared" si="886"/>
        <v>45799</v>
      </c>
      <c r="F7626" s="473"/>
      <c r="G7626" s="290" t="s">
        <v>86</v>
      </c>
      <c r="H7626" s="291"/>
      <c r="I7626" s="291"/>
      <c r="J7626" s="292" t="s">
        <v>174</v>
      </c>
      <c r="K7626" s="293"/>
      <c r="L7626" s="293">
        <f>K7625</f>
        <v>19358.330000000002</v>
      </c>
    </row>
    <row r="7627" spans="1:13" ht="11.25" customHeight="1" x14ac:dyDescent="0.2">
      <c r="A7627" s="280">
        <v>2025</v>
      </c>
      <c r="B7627" s="280">
        <v>5</v>
      </c>
      <c r="C7627" s="280">
        <v>22</v>
      </c>
      <c r="D7627" s="281">
        <f t="shared" si="888"/>
        <v>45799</v>
      </c>
      <c r="E7627" s="282">
        <f t="shared" si="886"/>
        <v>45799</v>
      </c>
      <c r="F7627" s="472" t="s">
        <v>1584</v>
      </c>
      <c r="G7627" s="283" t="s">
        <v>86</v>
      </c>
      <c r="H7627" s="284"/>
      <c r="I7627" s="284"/>
      <c r="J7627" s="285" t="s">
        <v>131</v>
      </c>
      <c r="K7627" s="286">
        <v>8846.15</v>
      </c>
      <c r="L7627" s="286"/>
      <c r="M7627" s="401"/>
    </row>
    <row r="7628" spans="1:13" ht="11.25" customHeight="1" x14ac:dyDescent="0.2">
      <c r="A7628" s="287">
        <v>2025</v>
      </c>
      <c r="B7628" s="287">
        <v>5</v>
      </c>
      <c r="C7628" s="287">
        <v>22</v>
      </c>
      <c r="D7628" s="288">
        <f t="shared" si="888"/>
        <v>45799</v>
      </c>
      <c r="E7628" s="289">
        <f t="shared" si="886"/>
        <v>45799</v>
      </c>
      <c r="F7628" s="473"/>
      <c r="G7628" s="290" t="s">
        <v>86</v>
      </c>
      <c r="H7628" s="291"/>
      <c r="I7628" s="291"/>
      <c r="J7628" s="292" t="s">
        <v>174</v>
      </c>
      <c r="K7628" s="293"/>
      <c r="L7628" s="293">
        <f>K7627</f>
        <v>8846.15</v>
      </c>
    </row>
    <row r="7629" spans="1:13" ht="11.25" customHeight="1" x14ac:dyDescent="0.2">
      <c r="A7629" s="280">
        <v>2025</v>
      </c>
      <c r="B7629" s="280">
        <v>5</v>
      </c>
      <c r="C7629" s="280">
        <v>22</v>
      </c>
      <c r="D7629" s="281">
        <f t="shared" si="888"/>
        <v>45799</v>
      </c>
      <c r="E7629" s="282">
        <f t="shared" si="886"/>
        <v>45799</v>
      </c>
      <c r="F7629" s="472" t="s">
        <v>1830</v>
      </c>
      <c r="G7629" s="283" t="s">
        <v>86</v>
      </c>
      <c r="H7629" s="284"/>
      <c r="I7629" s="284"/>
      <c r="J7629" s="285" t="s">
        <v>131</v>
      </c>
      <c r="K7629" s="286">
        <v>5040.6492307692261</v>
      </c>
      <c r="L7629" s="286"/>
      <c r="M7629" s="401"/>
    </row>
    <row r="7630" spans="1:13" ht="11.25" customHeight="1" x14ac:dyDescent="0.2">
      <c r="A7630" s="287">
        <v>2025</v>
      </c>
      <c r="B7630" s="287">
        <v>5</v>
      </c>
      <c r="C7630" s="287">
        <v>22</v>
      </c>
      <c r="D7630" s="288">
        <f t="shared" si="888"/>
        <v>45799</v>
      </c>
      <c r="E7630" s="289">
        <f t="shared" si="886"/>
        <v>45799</v>
      </c>
      <c r="F7630" s="473"/>
      <c r="G7630" s="290" t="s">
        <v>86</v>
      </c>
      <c r="H7630" s="291"/>
      <c r="I7630" s="291"/>
      <c r="J7630" s="292" t="s">
        <v>174</v>
      </c>
      <c r="K7630" s="293"/>
      <c r="L7630" s="293">
        <f>K7629</f>
        <v>5040.6492307692261</v>
      </c>
    </row>
    <row r="7631" spans="1:13" ht="11.25" customHeight="1" x14ac:dyDescent="0.2">
      <c r="A7631" s="341">
        <v>2025</v>
      </c>
      <c r="B7631" s="341">
        <v>5</v>
      </c>
      <c r="C7631" s="341">
        <v>22</v>
      </c>
      <c r="D7631" s="328">
        <f t="shared" si="888"/>
        <v>45799</v>
      </c>
      <c r="E7631" s="329">
        <f t="shared" si="886"/>
        <v>45799</v>
      </c>
      <c r="F7631" s="474" t="s">
        <v>1767</v>
      </c>
      <c r="G7631" s="330" t="s">
        <v>86</v>
      </c>
      <c r="H7631" s="332"/>
      <c r="I7631" s="332"/>
      <c r="J7631" s="342" t="s">
        <v>67</v>
      </c>
      <c r="K7631" s="343">
        <v>33937.9</v>
      </c>
      <c r="L7631" s="343"/>
    </row>
    <row r="7632" spans="1:13" ht="11.25" customHeight="1" x14ac:dyDescent="0.2">
      <c r="A7632" s="344">
        <v>2025</v>
      </c>
      <c r="B7632" s="344">
        <v>5</v>
      </c>
      <c r="C7632" s="344">
        <v>22</v>
      </c>
      <c r="D7632" s="337">
        <f t="shared" si="888"/>
        <v>45799</v>
      </c>
      <c r="E7632" s="338">
        <f t="shared" si="886"/>
        <v>45799</v>
      </c>
      <c r="F7632" s="475"/>
      <c r="G7632" s="339" t="s">
        <v>86</v>
      </c>
      <c r="H7632" s="340"/>
      <c r="I7632" s="340"/>
      <c r="J7632" s="345" t="s">
        <v>174</v>
      </c>
      <c r="K7632" s="346"/>
      <c r="L7632" s="346">
        <f>K7631</f>
        <v>33937.9</v>
      </c>
    </row>
    <row r="7633" spans="1:13" ht="11.25" customHeight="1" x14ac:dyDescent="0.2">
      <c r="A7633" s="358">
        <v>2025</v>
      </c>
      <c r="B7633" s="358">
        <v>5</v>
      </c>
      <c r="C7633" s="358">
        <v>22</v>
      </c>
      <c r="D7633" s="312">
        <f t="shared" si="888"/>
        <v>45799</v>
      </c>
      <c r="E7633" s="313">
        <f>DATE(A7633,B7633,C7633)</f>
        <v>45799</v>
      </c>
      <c r="F7633" s="482" t="s">
        <v>1627</v>
      </c>
      <c r="G7633" s="314" t="s">
        <v>86</v>
      </c>
      <c r="H7633" s="324"/>
      <c r="I7633" s="324"/>
      <c r="J7633" s="364" t="s">
        <v>1613</v>
      </c>
      <c r="K7633" s="365">
        <v>0</v>
      </c>
      <c r="L7633" s="365"/>
      <c r="M7633" s="156">
        <f>BS!$I$12</f>
        <v>0</v>
      </c>
    </row>
    <row r="7634" spans="1:13" ht="11.25" customHeight="1" x14ac:dyDescent="0.2">
      <c r="A7634" s="320">
        <v>2025</v>
      </c>
      <c r="B7634" s="320">
        <v>5</v>
      </c>
      <c r="C7634" s="320">
        <v>22</v>
      </c>
      <c r="D7634" s="323">
        <f t="shared" si="888"/>
        <v>45799</v>
      </c>
      <c r="E7634" s="321">
        <f t="shared" ref="E7634" si="889">DATE(A7634,B7634,C7634)</f>
        <v>45799</v>
      </c>
      <c r="F7634" s="483"/>
      <c r="G7634" s="322" t="s">
        <v>86</v>
      </c>
      <c r="H7634" s="325"/>
      <c r="I7634" s="325"/>
      <c r="J7634" s="366" t="s">
        <v>1621</v>
      </c>
      <c r="K7634" s="367"/>
      <c r="L7634" s="367">
        <f>K7633</f>
        <v>0</v>
      </c>
    </row>
    <row r="7635" spans="1:13" ht="11.25" customHeight="1" x14ac:dyDescent="0.2">
      <c r="A7635" s="358">
        <v>2025</v>
      </c>
      <c r="B7635" s="358">
        <v>5</v>
      </c>
      <c r="C7635" s="358">
        <v>22</v>
      </c>
      <c r="D7635" s="312">
        <f t="shared" si="888"/>
        <v>45799</v>
      </c>
      <c r="E7635" s="313">
        <f>DATE(A7635,B7635,C7635)</f>
        <v>45799</v>
      </c>
      <c r="F7635" s="482" t="s">
        <v>1713</v>
      </c>
      <c r="G7635" s="314" t="s">
        <v>86</v>
      </c>
      <c r="H7635" s="324"/>
      <c r="I7635" s="324"/>
      <c r="J7635" s="364" t="s">
        <v>1622</v>
      </c>
      <c r="K7635" s="365">
        <v>172878.22699999809</v>
      </c>
      <c r="L7635" s="365"/>
      <c r="M7635" s="156">
        <f>BS!$I$15</f>
        <v>0</v>
      </c>
    </row>
    <row r="7636" spans="1:13" ht="11.25" customHeight="1" x14ac:dyDescent="0.2">
      <c r="A7636" s="320">
        <v>2025</v>
      </c>
      <c r="B7636" s="320">
        <v>5</v>
      </c>
      <c r="C7636" s="320">
        <v>22</v>
      </c>
      <c r="D7636" s="323">
        <f t="shared" si="888"/>
        <v>45799</v>
      </c>
      <c r="E7636" s="321">
        <f t="shared" ref="E7636:E7663" si="890">DATE(A7636,B7636,C7636)</f>
        <v>45799</v>
      </c>
      <c r="F7636" s="483"/>
      <c r="G7636" s="322" t="s">
        <v>86</v>
      </c>
      <c r="H7636" s="325"/>
      <c r="I7636" s="325"/>
      <c r="J7636" s="366" t="s">
        <v>1614</v>
      </c>
      <c r="K7636" s="367"/>
      <c r="L7636" s="367">
        <f>K7635</f>
        <v>172878.22699999809</v>
      </c>
    </row>
    <row r="7637" spans="1:13" ht="11.25" customHeight="1" x14ac:dyDescent="0.2">
      <c r="A7637" s="236">
        <v>2025</v>
      </c>
      <c r="B7637" s="236">
        <v>5</v>
      </c>
      <c r="C7637" s="236">
        <v>22</v>
      </c>
      <c r="D7637" s="237">
        <f t="shared" si="888"/>
        <v>45799</v>
      </c>
      <c r="E7637" s="238">
        <f t="shared" si="890"/>
        <v>45799</v>
      </c>
      <c r="F7637" s="476" t="s">
        <v>1118</v>
      </c>
      <c r="G7637" s="239" t="s">
        <v>86</v>
      </c>
      <c r="H7637" s="239"/>
      <c r="I7637" s="240"/>
      <c r="J7637" s="241" t="s">
        <v>82</v>
      </c>
      <c r="K7637" s="242">
        <v>632198.9999999851</v>
      </c>
      <c r="L7637" s="242"/>
      <c r="M7637" s="156">
        <f>BS!$I$8</f>
        <v>0</v>
      </c>
    </row>
    <row r="7638" spans="1:13" ht="11.25" customHeight="1" x14ac:dyDescent="0.2">
      <c r="A7638" s="243">
        <v>2025</v>
      </c>
      <c r="B7638" s="243">
        <v>5</v>
      </c>
      <c r="C7638" s="243">
        <v>22</v>
      </c>
      <c r="D7638" s="248">
        <f t="shared" si="888"/>
        <v>45799</v>
      </c>
      <c r="E7638" s="249">
        <f t="shared" si="890"/>
        <v>45799</v>
      </c>
      <c r="F7638" s="477"/>
      <c r="G7638" s="244" t="s">
        <v>86</v>
      </c>
      <c r="H7638" s="244"/>
      <c r="I7638" s="245"/>
      <c r="J7638" s="246" t="s">
        <v>98</v>
      </c>
      <c r="K7638" s="247"/>
      <c r="L7638" s="247">
        <f>K7637</f>
        <v>632198.9999999851</v>
      </c>
    </row>
    <row r="7639" spans="1:13" ht="11.25" customHeight="1" x14ac:dyDescent="0.2">
      <c r="A7639" s="236">
        <v>2025</v>
      </c>
      <c r="B7639" s="236">
        <v>5</v>
      </c>
      <c r="C7639" s="236">
        <v>22</v>
      </c>
      <c r="D7639" s="237">
        <f t="shared" si="888"/>
        <v>45799</v>
      </c>
      <c r="E7639" s="238">
        <f t="shared" si="890"/>
        <v>45799</v>
      </c>
      <c r="F7639" s="476" t="s">
        <v>1120</v>
      </c>
      <c r="G7639" s="239" t="s">
        <v>86</v>
      </c>
      <c r="H7639" s="239"/>
      <c r="I7639" s="240"/>
      <c r="J7639" s="241" t="s">
        <v>87</v>
      </c>
      <c r="K7639" s="242">
        <v>2747.2527472527472</v>
      </c>
      <c r="L7639" s="242"/>
      <c r="M7639" s="401"/>
    </row>
    <row r="7640" spans="1:13" ht="11.25" customHeight="1" x14ac:dyDescent="0.2">
      <c r="A7640" s="243">
        <v>2025</v>
      </c>
      <c r="B7640" s="243">
        <v>5</v>
      </c>
      <c r="C7640" s="243">
        <v>22</v>
      </c>
      <c r="D7640" s="248">
        <f t="shared" si="888"/>
        <v>45799</v>
      </c>
      <c r="E7640" s="249">
        <f t="shared" si="890"/>
        <v>45799</v>
      </c>
      <c r="F7640" s="477"/>
      <c r="G7640" s="244" t="s">
        <v>86</v>
      </c>
      <c r="H7640" s="244"/>
      <c r="I7640" s="245"/>
      <c r="J7640" s="246" t="s">
        <v>64</v>
      </c>
      <c r="K7640" s="247"/>
      <c r="L7640" s="247">
        <f>K7639</f>
        <v>2747.2527472527472</v>
      </c>
    </row>
    <row r="7641" spans="1:13" ht="11.25" customHeight="1" x14ac:dyDescent="0.2">
      <c r="A7641" s="236">
        <v>2025</v>
      </c>
      <c r="B7641" s="236">
        <v>5</v>
      </c>
      <c r="C7641" s="236">
        <v>22</v>
      </c>
      <c r="D7641" s="237">
        <f t="shared" si="888"/>
        <v>45799</v>
      </c>
      <c r="E7641" s="238">
        <f t="shared" si="890"/>
        <v>45799</v>
      </c>
      <c r="F7641" s="476" t="s">
        <v>1121</v>
      </c>
      <c r="G7641" s="239" t="s">
        <v>86</v>
      </c>
      <c r="H7641" s="239"/>
      <c r="I7641" s="240"/>
      <c r="J7641" s="241" t="s">
        <v>89</v>
      </c>
      <c r="K7641" s="242">
        <f>M7641</f>
        <v>70691.171942261062</v>
      </c>
      <c r="L7641" s="242"/>
      <c r="M7641" s="156">
        <v>70691.171942261062</v>
      </c>
    </row>
    <row r="7642" spans="1:13" ht="11.25" customHeight="1" x14ac:dyDescent="0.2">
      <c r="A7642" s="243">
        <v>2025</v>
      </c>
      <c r="B7642" s="243">
        <v>5</v>
      </c>
      <c r="C7642" s="243">
        <v>22</v>
      </c>
      <c r="D7642" s="248">
        <f t="shared" si="888"/>
        <v>45799</v>
      </c>
      <c r="E7642" s="249">
        <f t="shared" si="890"/>
        <v>45799</v>
      </c>
      <c r="F7642" s="477"/>
      <c r="G7642" s="244" t="s">
        <v>86</v>
      </c>
      <c r="H7642" s="244"/>
      <c r="I7642" s="245"/>
      <c r="J7642" s="246" t="s">
        <v>50</v>
      </c>
      <c r="K7642" s="247"/>
      <c r="L7642" s="247">
        <f>K7641</f>
        <v>70691.171942261062</v>
      </c>
      <c r="M7642" s="156">
        <v>3294.1739817284374</v>
      </c>
    </row>
    <row r="7643" spans="1:13" ht="11.25" customHeight="1" x14ac:dyDescent="0.2">
      <c r="A7643" s="236">
        <v>2025</v>
      </c>
      <c r="B7643" s="236">
        <v>5</v>
      </c>
      <c r="C7643" s="236">
        <v>22</v>
      </c>
      <c r="D7643" s="237">
        <f t="shared" si="888"/>
        <v>45799</v>
      </c>
      <c r="E7643" s="238">
        <f t="shared" si="890"/>
        <v>45799</v>
      </c>
      <c r="F7643" s="476" t="s">
        <v>1122</v>
      </c>
      <c r="G7643" s="239" t="s">
        <v>86</v>
      </c>
      <c r="H7643" s="239"/>
      <c r="I7643" s="240"/>
      <c r="J7643" s="241" t="s">
        <v>91</v>
      </c>
      <c r="K7643" s="242">
        <f>M7642</f>
        <v>3294.1739817284374</v>
      </c>
      <c r="L7643" s="242"/>
    </row>
    <row r="7644" spans="1:13" ht="11.25" customHeight="1" x14ac:dyDescent="0.2">
      <c r="A7644" s="243">
        <v>2025</v>
      </c>
      <c r="B7644" s="243">
        <v>5</v>
      </c>
      <c r="C7644" s="243">
        <v>22</v>
      </c>
      <c r="D7644" s="248">
        <f t="shared" si="888"/>
        <v>45799</v>
      </c>
      <c r="E7644" s="249">
        <f t="shared" si="890"/>
        <v>45799</v>
      </c>
      <c r="F7644" s="477"/>
      <c r="G7644" s="244" t="s">
        <v>86</v>
      </c>
      <c r="H7644" s="244"/>
      <c r="I7644" s="245"/>
      <c r="J7644" s="246" t="s">
        <v>51</v>
      </c>
      <c r="K7644" s="247"/>
      <c r="L7644" s="247">
        <f>K7643</f>
        <v>3294.1739817284374</v>
      </c>
    </row>
    <row r="7645" spans="1:13" ht="11.25" customHeight="1" x14ac:dyDescent="0.2">
      <c r="A7645" s="221">
        <v>2025</v>
      </c>
      <c r="B7645" s="221">
        <v>5</v>
      </c>
      <c r="C7645" s="221">
        <v>24</v>
      </c>
      <c r="D7645" s="231">
        <f t="shared" si="888"/>
        <v>45801</v>
      </c>
      <c r="E7645" s="233">
        <f t="shared" si="890"/>
        <v>45801</v>
      </c>
      <c r="F7645" s="478" t="s">
        <v>1814</v>
      </c>
      <c r="G7645" s="222" t="s">
        <v>1111</v>
      </c>
      <c r="H7645" s="223"/>
      <c r="I7645" s="223"/>
      <c r="J7645" s="224" t="s">
        <v>961</v>
      </c>
      <c r="K7645" s="225">
        <v>835155.58</v>
      </c>
      <c r="L7645" s="225"/>
    </row>
    <row r="7646" spans="1:13" ht="11.25" customHeight="1" x14ac:dyDescent="0.2">
      <c r="A7646" s="226">
        <v>2025</v>
      </c>
      <c r="B7646" s="226">
        <v>5</v>
      </c>
      <c r="C7646" s="226">
        <v>24</v>
      </c>
      <c r="D7646" s="232">
        <f t="shared" si="888"/>
        <v>45801</v>
      </c>
      <c r="E7646" s="234">
        <f t="shared" si="890"/>
        <v>45801</v>
      </c>
      <c r="F7646" s="479"/>
      <c r="G7646" s="227" t="s">
        <v>1111</v>
      </c>
      <c r="H7646" s="228"/>
      <c r="I7646" s="228"/>
      <c r="J7646" s="229" t="s">
        <v>55</v>
      </c>
      <c r="K7646" s="230"/>
      <c r="L7646" s="230">
        <v>835155.58</v>
      </c>
    </row>
    <row r="7647" spans="1:13" ht="11.25" customHeight="1" x14ac:dyDescent="0.2">
      <c r="A7647" s="164">
        <v>2025</v>
      </c>
      <c r="B7647" s="164">
        <v>5</v>
      </c>
      <c r="C7647" s="164">
        <v>24</v>
      </c>
      <c r="D7647" s="164">
        <f t="shared" si="888"/>
        <v>45801</v>
      </c>
      <c r="E7647" s="235">
        <f t="shared" si="890"/>
        <v>45801</v>
      </c>
      <c r="F7647" s="480" t="s">
        <v>1883</v>
      </c>
      <c r="G7647" s="208" t="s">
        <v>86</v>
      </c>
      <c r="H7647" s="208"/>
      <c r="J7647" s="165" t="s">
        <v>199</v>
      </c>
      <c r="K7647" s="205">
        <v>484419.27</v>
      </c>
      <c r="L7647" s="205"/>
    </row>
    <row r="7648" spans="1:13" ht="11.25" customHeight="1" x14ac:dyDescent="0.2">
      <c r="A7648" s="164">
        <v>2025</v>
      </c>
      <c r="B7648" s="164">
        <v>5</v>
      </c>
      <c r="C7648" s="164">
        <v>24</v>
      </c>
      <c r="D7648" s="164">
        <f t="shared" si="888"/>
        <v>45801</v>
      </c>
      <c r="E7648" s="235">
        <f t="shared" si="890"/>
        <v>45801</v>
      </c>
      <c r="F7648" s="480"/>
      <c r="G7648" s="208" t="s">
        <v>86</v>
      </c>
      <c r="H7648" s="208"/>
      <c r="J7648" s="165" t="s">
        <v>960</v>
      </c>
      <c r="K7648" s="205">
        <v>873.53</v>
      </c>
      <c r="L7648" s="205"/>
      <c r="M7648" s="401"/>
    </row>
    <row r="7649" spans="1:13" ht="11.25" customHeight="1" x14ac:dyDescent="0.2">
      <c r="A7649" s="164">
        <v>2025</v>
      </c>
      <c r="B7649" s="164">
        <v>5</v>
      </c>
      <c r="C7649" s="164">
        <v>24</v>
      </c>
      <c r="D7649" s="164">
        <f t="shared" si="888"/>
        <v>45801</v>
      </c>
      <c r="E7649" s="235">
        <f t="shared" si="890"/>
        <v>45801</v>
      </c>
      <c r="F7649" s="480"/>
      <c r="G7649" s="208" t="s">
        <v>86</v>
      </c>
      <c r="H7649" s="208"/>
      <c r="J7649" s="165" t="s">
        <v>200</v>
      </c>
      <c r="K7649" s="167">
        <v>44401.23</v>
      </c>
      <c r="L7649" s="205"/>
    </row>
    <row r="7650" spans="1:13" ht="11.25" customHeight="1" x14ac:dyDescent="0.2">
      <c r="A7650" s="226">
        <v>2025</v>
      </c>
      <c r="B7650" s="226">
        <v>5</v>
      </c>
      <c r="C7650" s="226">
        <v>24</v>
      </c>
      <c r="D7650" s="226">
        <f t="shared" si="888"/>
        <v>45801</v>
      </c>
      <c r="E7650" s="234">
        <f t="shared" si="890"/>
        <v>45801</v>
      </c>
      <c r="F7650" s="479"/>
      <c r="G7650" s="227" t="s">
        <v>86</v>
      </c>
      <c r="H7650" s="228"/>
      <c r="I7650" s="228"/>
      <c r="J7650" s="229" t="s">
        <v>80</v>
      </c>
      <c r="K7650" s="230"/>
      <c r="L7650" s="230">
        <v>529694.03</v>
      </c>
    </row>
    <row r="7651" spans="1:13" ht="11.25" customHeight="1" x14ac:dyDescent="0.2">
      <c r="A7651" s="221">
        <v>2025</v>
      </c>
      <c r="B7651" s="221">
        <v>5</v>
      </c>
      <c r="C7651" s="221">
        <v>25</v>
      </c>
      <c r="D7651" s="221">
        <f t="shared" si="888"/>
        <v>45802</v>
      </c>
      <c r="E7651" s="233">
        <f t="shared" si="890"/>
        <v>45802</v>
      </c>
      <c r="F7651" s="478" t="s">
        <v>1882</v>
      </c>
      <c r="G7651" s="222" t="s">
        <v>1111</v>
      </c>
      <c r="H7651" s="222"/>
      <c r="I7651" s="223"/>
      <c r="J7651" s="224" t="s">
        <v>50</v>
      </c>
      <c r="K7651" s="225">
        <v>925939.35294117639</v>
      </c>
      <c r="L7651" s="225"/>
    </row>
    <row r="7652" spans="1:13" ht="11.25" customHeight="1" x14ac:dyDescent="0.2">
      <c r="A7652" s="164">
        <v>2025</v>
      </c>
      <c r="B7652" s="164">
        <v>5</v>
      </c>
      <c r="C7652" s="164">
        <v>25</v>
      </c>
      <c r="D7652" s="156">
        <f t="shared" si="888"/>
        <v>45802</v>
      </c>
      <c r="E7652" s="235">
        <f t="shared" si="890"/>
        <v>45802</v>
      </c>
      <c r="F7652" s="480"/>
      <c r="G7652" s="208" t="s">
        <v>1111</v>
      </c>
      <c r="J7652" s="165" t="s">
        <v>478</v>
      </c>
      <c r="K7652" s="205"/>
      <c r="L7652" s="205">
        <v>138890.90294117643</v>
      </c>
    </row>
    <row r="7653" spans="1:13" ht="11.25" customHeight="1" x14ac:dyDescent="0.2">
      <c r="A7653" s="226">
        <v>2025</v>
      </c>
      <c r="B7653" s="226">
        <v>5</v>
      </c>
      <c r="C7653" s="226">
        <v>25</v>
      </c>
      <c r="D7653" s="226">
        <f t="shared" si="888"/>
        <v>45802</v>
      </c>
      <c r="E7653" s="234">
        <f t="shared" si="890"/>
        <v>45802</v>
      </c>
      <c r="F7653" s="479"/>
      <c r="G7653" s="227" t="s">
        <v>1111</v>
      </c>
      <c r="H7653" s="227"/>
      <c r="I7653" s="228"/>
      <c r="J7653" s="229" t="s">
        <v>55</v>
      </c>
      <c r="K7653" s="230"/>
      <c r="L7653" s="230">
        <v>787048.45</v>
      </c>
    </row>
    <row r="7654" spans="1:13" ht="11.25" customHeight="1" x14ac:dyDescent="0.2">
      <c r="A7654" s="221">
        <v>2025</v>
      </c>
      <c r="B7654" s="221">
        <v>5</v>
      </c>
      <c r="C7654" s="221">
        <v>25</v>
      </c>
      <c r="D7654" s="221">
        <f t="shared" si="888"/>
        <v>45802</v>
      </c>
      <c r="E7654" s="233">
        <f t="shared" si="890"/>
        <v>45802</v>
      </c>
      <c r="F7654" s="478" t="s">
        <v>1884</v>
      </c>
      <c r="G7654" s="222" t="s">
        <v>86</v>
      </c>
      <c r="H7654" s="222"/>
      <c r="I7654" s="223"/>
      <c r="J7654" s="224" t="s">
        <v>80</v>
      </c>
      <c r="K7654" s="225">
        <v>741395</v>
      </c>
      <c r="L7654" s="225"/>
    </row>
    <row r="7655" spans="1:13" ht="11.25" customHeight="1" x14ac:dyDescent="0.2">
      <c r="A7655" s="164">
        <v>2025</v>
      </c>
      <c r="B7655" s="164">
        <v>5</v>
      </c>
      <c r="C7655" s="164">
        <v>25</v>
      </c>
      <c r="D7655" s="164">
        <f t="shared" si="888"/>
        <v>45802</v>
      </c>
      <c r="E7655" s="235">
        <f t="shared" si="890"/>
        <v>45802</v>
      </c>
      <c r="F7655" s="480"/>
      <c r="G7655" s="208" t="s">
        <v>86</v>
      </c>
      <c r="H7655" s="208"/>
      <c r="J7655" s="165" t="s">
        <v>960</v>
      </c>
      <c r="K7655" s="205">
        <v>1334.55</v>
      </c>
      <c r="L7655" s="205"/>
      <c r="M7655" s="263"/>
    </row>
    <row r="7656" spans="1:13" ht="11.25" customHeight="1" x14ac:dyDescent="0.2">
      <c r="A7656" s="164">
        <v>2025</v>
      </c>
      <c r="B7656" s="164">
        <v>5</v>
      </c>
      <c r="C7656" s="164">
        <v>25</v>
      </c>
      <c r="D7656" s="164">
        <f t="shared" si="888"/>
        <v>45802</v>
      </c>
      <c r="E7656" s="235">
        <f t="shared" si="890"/>
        <v>45802</v>
      </c>
      <c r="F7656" s="480"/>
      <c r="G7656" s="208" t="s">
        <v>86</v>
      </c>
      <c r="H7656" s="208"/>
      <c r="J7656" s="165" t="s">
        <v>143</v>
      </c>
      <c r="K7656" s="205"/>
      <c r="L7656" s="205">
        <v>742710.45</v>
      </c>
      <c r="M7656" s="263"/>
    </row>
    <row r="7657" spans="1:13" ht="11.25" customHeight="1" x14ac:dyDescent="0.2">
      <c r="A7657" s="164">
        <v>2025</v>
      </c>
      <c r="B7657" s="164">
        <v>5</v>
      </c>
      <c r="C7657" s="164">
        <v>25</v>
      </c>
      <c r="D7657" s="164">
        <f t="shared" si="888"/>
        <v>45802</v>
      </c>
      <c r="E7657" s="235">
        <f t="shared" si="890"/>
        <v>45802</v>
      </c>
      <c r="F7657" s="480"/>
      <c r="G7657" s="208" t="s">
        <v>86</v>
      </c>
      <c r="H7657" s="208"/>
      <c r="J7657" s="165" t="s">
        <v>200</v>
      </c>
      <c r="K7657" s="205">
        <v>1.75</v>
      </c>
      <c r="L7657" s="205"/>
      <c r="M7657" s="263"/>
    </row>
    <row r="7658" spans="1:13" ht="11.25" customHeight="1" x14ac:dyDescent="0.2">
      <c r="A7658" s="226">
        <v>2025</v>
      </c>
      <c r="B7658" s="226">
        <v>5</v>
      </c>
      <c r="C7658" s="226">
        <v>25</v>
      </c>
      <c r="D7658" s="226">
        <f t="shared" si="888"/>
        <v>45802</v>
      </c>
      <c r="E7658" s="234">
        <f t="shared" si="890"/>
        <v>45802</v>
      </c>
      <c r="F7658" s="479"/>
      <c r="G7658" s="227" t="s">
        <v>86</v>
      </c>
      <c r="H7658" s="228"/>
      <c r="I7658" s="228"/>
      <c r="J7658" s="229" t="s">
        <v>80</v>
      </c>
      <c r="K7658" s="230"/>
      <c r="L7658" s="230">
        <v>20.85</v>
      </c>
      <c r="M7658" s="263"/>
    </row>
    <row r="7659" spans="1:13" ht="11.25" customHeight="1" x14ac:dyDescent="0.2">
      <c r="A7659" s="221">
        <v>2025</v>
      </c>
      <c r="B7659" s="221">
        <v>5</v>
      </c>
      <c r="C7659" s="221">
        <v>25</v>
      </c>
      <c r="D7659" s="231">
        <f t="shared" si="888"/>
        <v>45802</v>
      </c>
      <c r="E7659" s="233">
        <f t="shared" si="890"/>
        <v>45802</v>
      </c>
      <c r="F7659" s="478" t="s">
        <v>1885</v>
      </c>
      <c r="G7659" s="222" t="s">
        <v>1111</v>
      </c>
      <c r="H7659" s="223"/>
      <c r="I7659" s="223"/>
      <c r="J7659" s="224" t="s">
        <v>192</v>
      </c>
      <c r="K7659" s="225">
        <v>492897.5</v>
      </c>
      <c r="L7659" s="225"/>
    </row>
    <row r="7660" spans="1:13" ht="11.25" customHeight="1" x14ac:dyDescent="0.2">
      <c r="A7660" s="226">
        <v>2025</v>
      </c>
      <c r="B7660" s="226">
        <v>5</v>
      </c>
      <c r="C7660" s="226">
        <v>25</v>
      </c>
      <c r="D7660" s="232">
        <f t="shared" si="888"/>
        <v>45802</v>
      </c>
      <c r="E7660" s="234">
        <f t="shared" si="890"/>
        <v>45802</v>
      </c>
      <c r="F7660" s="479"/>
      <c r="G7660" s="227" t="s">
        <v>1111</v>
      </c>
      <c r="H7660" s="228"/>
      <c r="I7660" s="228"/>
      <c r="J7660" s="229" t="s">
        <v>191</v>
      </c>
      <c r="K7660" s="230"/>
      <c r="L7660" s="230">
        <v>492897.5</v>
      </c>
    </row>
    <row r="7661" spans="1:13" ht="11.25" customHeight="1" x14ac:dyDescent="0.2">
      <c r="A7661" s="221">
        <v>2025</v>
      </c>
      <c r="B7661" s="221">
        <v>5</v>
      </c>
      <c r="C7661" s="221">
        <v>26</v>
      </c>
      <c r="D7661" s="231">
        <f t="shared" si="888"/>
        <v>45803</v>
      </c>
      <c r="E7661" s="233">
        <f t="shared" si="890"/>
        <v>45803</v>
      </c>
      <c r="F7661" s="478" t="s">
        <v>1115</v>
      </c>
      <c r="G7661" s="222" t="s">
        <v>1111</v>
      </c>
      <c r="H7661" s="223"/>
      <c r="I7661" s="223" t="s">
        <v>1235</v>
      </c>
      <c r="J7661" s="224" t="s">
        <v>14</v>
      </c>
      <c r="K7661" s="167">
        <v>509160</v>
      </c>
      <c r="L7661" s="225"/>
    </row>
    <row r="7662" spans="1:13" ht="11.25" customHeight="1" x14ac:dyDescent="0.2">
      <c r="A7662" s="164">
        <v>2025</v>
      </c>
      <c r="B7662" s="164">
        <v>5</v>
      </c>
      <c r="C7662" s="164">
        <v>26</v>
      </c>
      <c r="D7662" s="156">
        <f t="shared" si="888"/>
        <v>45803</v>
      </c>
      <c r="E7662" s="235">
        <f t="shared" si="890"/>
        <v>45803</v>
      </c>
      <c r="F7662" s="480"/>
      <c r="G7662" s="208" t="s">
        <v>1111</v>
      </c>
      <c r="I7662" s="206" t="s">
        <v>1235</v>
      </c>
      <c r="J7662" s="165" t="s">
        <v>1112</v>
      </c>
      <c r="K7662" s="205">
        <v>27036.400000000023</v>
      </c>
      <c r="L7662" s="156"/>
    </row>
    <row r="7663" spans="1:13" ht="11.25" customHeight="1" x14ac:dyDescent="0.2">
      <c r="A7663" s="226">
        <v>2025</v>
      </c>
      <c r="B7663" s="226">
        <v>5</v>
      </c>
      <c r="C7663" s="226">
        <v>26</v>
      </c>
      <c r="D7663" s="232">
        <f t="shared" si="888"/>
        <v>45803</v>
      </c>
      <c r="E7663" s="234">
        <f t="shared" si="890"/>
        <v>45803</v>
      </c>
      <c r="F7663" s="479"/>
      <c r="G7663" s="227" t="s">
        <v>1111</v>
      </c>
      <c r="H7663" s="228"/>
      <c r="I7663" s="228" t="s">
        <v>1235</v>
      </c>
      <c r="J7663" s="229" t="s">
        <v>55</v>
      </c>
      <c r="K7663" s="230"/>
      <c r="L7663" s="230">
        <v>536196.4</v>
      </c>
    </row>
    <row r="7664" spans="1:13" ht="11.25" customHeight="1" x14ac:dyDescent="0.2">
      <c r="A7664" s="221">
        <v>2025</v>
      </c>
      <c r="B7664" s="221">
        <v>5</v>
      </c>
      <c r="C7664" s="221">
        <v>26</v>
      </c>
      <c r="D7664" s="221">
        <f t="shared" si="888"/>
        <v>45803</v>
      </c>
      <c r="E7664" s="233">
        <f t="shared" ref="E7664:E7692" si="891">DATE(A7664,B7664,C7664)</f>
        <v>45803</v>
      </c>
      <c r="F7664" s="478" t="s">
        <v>1886</v>
      </c>
      <c r="G7664" s="222" t="s">
        <v>86</v>
      </c>
      <c r="H7664" s="222"/>
      <c r="I7664" s="223"/>
      <c r="J7664" s="224" t="s">
        <v>80</v>
      </c>
      <c r="K7664" s="225">
        <v>1019750</v>
      </c>
      <c r="L7664" s="225"/>
    </row>
    <row r="7665" spans="1:13" ht="11.25" customHeight="1" x14ac:dyDescent="0.2">
      <c r="A7665" s="164">
        <v>2025</v>
      </c>
      <c r="B7665" s="164">
        <v>5</v>
      </c>
      <c r="C7665" s="164">
        <v>26</v>
      </c>
      <c r="D7665" s="164">
        <f t="shared" si="888"/>
        <v>45803</v>
      </c>
      <c r="E7665" s="235">
        <f t="shared" si="891"/>
        <v>45803</v>
      </c>
      <c r="F7665" s="480"/>
      <c r="G7665" s="208" t="s">
        <v>86</v>
      </c>
      <c r="H7665" s="208"/>
      <c r="J7665" s="165" t="s">
        <v>960</v>
      </c>
      <c r="K7665" s="205">
        <v>3523.05</v>
      </c>
      <c r="L7665" s="205"/>
      <c r="M7665" s="263"/>
    </row>
    <row r="7666" spans="1:13" ht="11.25" customHeight="1" x14ac:dyDescent="0.2">
      <c r="A7666" s="164">
        <v>2025</v>
      </c>
      <c r="B7666" s="164">
        <v>5</v>
      </c>
      <c r="C7666" s="164">
        <v>26</v>
      </c>
      <c r="D7666" s="164">
        <f t="shared" si="888"/>
        <v>45803</v>
      </c>
      <c r="E7666" s="235">
        <f t="shared" si="891"/>
        <v>45803</v>
      </c>
      <c r="F7666" s="480"/>
      <c r="G7666" s="208" t="s">
        <v>86</v>
      </c>
      <c r="H7666" s="208"/>
      <c r="J7666" s="165" t="s">
        <v>143</v>
      </c>
      <c r="K7666" s="205"/>
      <c r="L7666" s="205">
        <v>85773.05</v>
      </c>
      <c r="M7666" s="263"/>
    </row>
    <row r="7667" spans="1:13" ht="11.25" customHeight="1" x14ac:dyDescent="0.2">
      <c r="A7667" s="164">
        <v>2025</v>
      </c>
      <c r="B7667" s="164">
        <v>5</v>
      </c>
      <c r="C7667" s="164">
        <v>26</v>
      </c>
      <c r="D7667" s="164">
        <f t="shared" si="888"/>
        <v>45803</v>
      </c>
      <c r="E7667" s="235">
        <f t="shared" si="891"/>
        <v>45803</v>
      </c>
      <c r="F7667" s="480"/>
      <c r="G7667" s="208" t="s">
        <v>86</v>
      </c>
      <c r="H7667" s="208"/>
      <c r="J7667" s="165" t="s">
        <v>200</v>
      </c>
      <c r="K7667" s="205"/>
      <c r="L7667" s="205">
        <v>214946.98</v>
      </c>
      <c r="M7667" s="263"/>
    </row>
    <row r="7668" spans="1:13" ht="11.25" customHeight="1" x14ac:dyDescent="0.2">
      <c r="A7668" s="226">
        <v>2025</v>
      </c>
      <c r="B7668" s="226">
        <v>5</v>
      </c>
      <c r="C7668" s="226">
        <v>26</v>
      </c>
      <c r="D7668" s="226">
        <f t="shared" si="888"/>
        <v>45803</v>
      </c>
      <c r="E7668" s="234">
        <f t="shared" si="891"/>
        <v>45803</v>
      </c>
      <c r="F7668" s="479"/>
      <c r="G7668" s="227" t="s">
        <v>86</v>
      </c>
      <c r="H7668" s="228"/>
      <c r="I7668" s="228"/>
      <c r="J7668" s="229" t="s">
        <v>80</v>
      </c>
      <c r="K7668" s="230"/>
      <c r="L7668" s="230">
        <v>722553.02</v>
      </c>
      <c r="M7668" s="263"/>
    </row>
    <row r="7669" spans="1:13" ht="11.25" customHeight="1" x14ac:dyDescent="0.2">
      <c r="A7669" s="221">
        <v>2025</v>
      </c>
      <c r="B7669" s="221">
        <v>5</v>
      </c>
      <c r="C7669" s="221">
        <v>26</v>
      </c>
      <c r="D7669" s="221">
        <f t="shared" si="888"/>
        <v>45803</v>
      </c>
      <c r="E7669" s="233">
        <f t="shared" si="891"/>
        <v>45803</v>
      </c>
      <c r="F7669" s="478" t="s">
        <v>1887</v>
      </c>
      <c r="G7669" s="222" t="s">
        <v>86</v>
      </c>
      <c r="H7669" s="222"/>
      <c r="I7669" s="223"/>
      <c r="J7669" s="224" t="s">
        <v>80</v>
      </c>
      <c r="K7669" s="225">
        <v>1020000</v>
      </c>
      <c r="L7669" s="225"/>
    </row>
    <row r="7670" spans="1:13" ht="11.25" customHeight="1" x14ac:dyDescent="0.2">
      <c r="A7670" s="164">
        <v>2025</v>
      </c>
      <c r="B7670" s="164">
        <v>5</v>
      </c>
      <c r="C7670" s="164">
        <v>26</v>
      </c>
      <c r="D7670" s="164">
        <f t="shared" si="888"/>
        <v>45803</v>
      </c>
      <c r="E7670" s="235">
        <f t="shared" si="891"/>
        <v>45803</v>
      </c>
      <c r="F7670" s="480"/>
      <c r="G7670" s="208" t="s">
        <v>86</v>
      </c>
      <c r="H7670" s="208"/>
      <c r="J7670" s="165" t="s">
        <v>960</v>
      </c>
      <c r="K7670" s="205">
        <v>1836</v>
      </c>
      <c r="L7670" s="205"/>
    </row>
    <row r="7671" spans="1:13" ht="11.25" customHeight="1" x14ac:dyDescent="0.2">
      <c r="A7671" s="226">
        <v>2025</v>
      </c>
      <c r="B7671" s="226">
        <v>5</v>
      </c>
      <c r="C7671" s="226">
        <v>26</v>
      </c>
      <c r="D7671" s="226">
        <f t="shared" si="888"/>
        <v>45803</v>
      </c>
      <c r="E7671" s="234">
        <f t="shared" si="891"/>
        <v>45803</v>
      </c>
      <c r="F7671" s="479"/>
      <c r="G7671" s="227" t="s">
        <v>86</v>
      </c>
      <c r="H7671" s="227"/>
      <c r="I7671" s="228"/>
      <c r="J7671" s="229" t="s">
        <v>143</v>
      </c>
      <c r="K7671" s="230"/>
      <c r="L7671" s="230">
        <v>1021836</v>
      </c>
    </row>
    <row r="7672" spans="1:13" ht="11.25" customHeight="1" x14ac:dyDescent="0.2">
      <c r="A7672" s="221">
        <v>2025</v>
      </c>
      <c r="B7672" s="221">
        <v>5</v>
      </c>
      <c r="C7672" s="221">
        <v>26</v>
      </c>
      <c r="D7672" s="231">
        <f t="shared" si="888"/>
        <v>45803</v>
      </c>
      <c r="E7672" s="233">
        <f t="shared" si="891"/>
        <v>45803</v>
      </c>
      <c r="F7672" s="478" t="s">
        <v>1888</v>
      </c>
      <c r="G7672" s="222" t="s">
        <v>1111</v>
      </c>
      <c r="H7672" s="223"/>
      <c r="I7672" s="223"/>
      <c r="J7672" s="224" t="s">
        <v>961</v>
      </c>
      <c r="K7672" s="225">
        <v>742710.45</v>
      </c>
      <c r="L7672" s="225"/>
    </row>
    <row r="7673" spans="1:13" ht="11.25" customHeight="1" x14ac:dyDescent="0.2">
      <c r="A7673" s="226">
        <v>2025</v>
      </c>
      <c r="B7673" s="226">
        <v>5</v>
      </c>
      <c r="C7673" s="226">
        <v>26</v>
      </c>
      <c r="D7673" s="232">
        <f t="shared" si="888"/>
        <v>45803</v>
      </c>
      <c r="E7673" s="234">
        <f t="shared" si="891"/>
        <v>45803</v>
      </c>
      <c r="F7673" s="479"/>
      <c r="G7673" s="227" t="s">
        <v>1111</v>
      </c>
      <c r="H7673" s="228"/>
      <c r="I7673" s="228"/>
      <c r="J7673" s="229" t="s">
        <v>55</v>
      </c>
      <c r="K7673" s="230"/>
      <c r="L7673" s="230">
        <v>742710.45</v>
      </c>
    </row>
    <row r="7674" spans="1:13" ht="11.25" customHeight="1" x14ac:dyDescent="0.2">
      <c r="A7674" s="164">
        <v>2025</v>
      </c>
      <c r="B7674" s="221">
        <v>5</v>
      </c>
      <c r="C7674" s="221">
        <v>26</v>
      </c>
      <c r="D7674" s="156">
        <f t="shared" si="888"/>
        <v>45803</v>
      </c>
      <c r="E7674" s="235">
        <f t="shared" si="891"/>
        <v>45803</v>
      </c>
      <c r="F7674" s="478" t="s">
        <v>1808</v>
      </c>
      <c r="G7674" s="208" t="s">
        <v>1111</v>
      </c>
      <c r="J7674" s="165" t="s">
        <v>1708</v>
      </c>
      <c r="K7674" s="205">
        <v>250</v>
      </c>
      <c r="L7674" s="205"/>
    </row>
    <row r="7675" spans="1:13" ht="11.25" customHeight="1" x14ac:dyDescent="0.2">
      <c r="A7675" s="164">
        <v>2025</v>
      </c>
      <c r="B7675" s="164">
        <v>5</v>
      </c>
      <c r="C7675" s="164">
        <v>26</v>
      </c>
      <c r="D7675" s="156">
        <f t="shared" si="888"/>
        <v>45803</v>
      </c>
      <c r="E7675" s="235">
        <f t="shared" ref="E7675:E7676" si="892">DATE(A7675,B7675,C7675)</f>
        <v>45803</v>
      </c>
      <c r="F7675" s="480"/>
      <c r="G7675" s="208" t="s">
        <v>1111</v>
      </c>
      <c r="J7675" s="165" t="s">
        <v>1707</v>
      </c>
      <c r="K7675" s="205">
        <v>150</v>
      </c>
      <c r="L7675" s="205"/>
    </row>
    <row r="7676" spans="1:13" ht="11.25" customHeight="1" x14ac:dyDescent="0.2">
      <c r="A7676" s="164">
        <v>2025</v>
      </c>
      <c r="B7676" s="164">
        <v>5</v>
      </c>
      <c r="C7676" s="164">
        <v>26</v>
      </c>
      <c r="D7676" s="156">
        <f t="shared" si="888"/>
        <v>45803</v>
      </c>
      <c r="E7676" s="235">
        <f t="shared" si="892"/>
        <v>45803</v>
      </c>
      <c r="F7676" s="480"/>
      <c r="G7676" s="208" t="s">
        <v>1111</v>
      </c>
      <c r="J7676" s="165" t="s">
        <v>478</v>
      </c>
      <c r="K7676" s="205">
        <v>547.21</v>
      </c>
      <c r="L7676" s="205"/>
    </row>
    <row r="7677" spans="1:13" ht="11.25" customHeight="1" x14ac:dyDescent="0.2">
      <c r="A7677" s="164">
        <v>2025</v>
      </c>
      <c r="B7677" s="164">
        <v>5</v>
      </c>
      <c r="C7677" s="164">
        <v>26</v>
      </c>
      <c r="D7677" s="156">
        <f t="shared" si="888"/>
        <v>45803</v>
      </c>
      <c r="E7677" s="235">
        <f t="shared" si="891"/>
        <v>45803</v>
      </c>
      <c r="F7677" s="480"/>
      <c r="G7677" s="208" t="s">
        <v>1111</v>
      </c>
      <c r="J7677" s="165" t="s">
        <v>478</v>
      </c>
      <c r="K7677" s="205">
        <v>138890.9</v>
      </c>
      <c r="L7677" s="205"/>
    </row>
    <row r="7678" spans="1:13" ht="11.25" customHeight="1" x14ac:dyDescent="0.2">
      <c r="A7678" s="226">
        <v>2025</v>
      </c>
      <c r="B7678" s="226">
        <v>5</v>
      </c>
      <c r="C7678" s="226">
        <v>26</v>
      </c>
      <c r="D7678" s="232">
        <f t="shared" si="888"/>
        <v>45803</v>
      </c>
      <c r="E7678" s="234">
        <f t="shared" si="891"/>
        <v>45803</v>
      </c>
      <c r="F7678" s="479"/>
      <c r="G7678" s="227" t="s">
        <v>1111</v>
      </c>
      <c r="H7678" s="228"/>
      <c r="I7678" s="228"/>
      <c r="J7678" s="229" t="s">
        <v>55</v>
      </c>
      <c r="K7678" s="230"/>
      <c r="L7678" s="230">
        <v>139838.10999999999</v>
      </c>
    </row>
    <row r="7679" spans="1:13" ht="11.25" customHeight="1" x14ac:dyDescent="0.2">
      <c r="A7679" s="221">
        <v>2025</v>
      </c>
      <c r="B7679" s="221">
        <v>5</v>
      </c>
      <c r="C7679" s="221">
        <v>26</v>
      </c>
      <c r="D7679" s="231">
        <f t="shared" si="888"/>
        <v>45803</v>
      </c>
      <c r="E7679" s="233">
        <f t="shared" si="891"/>
        <v>45803</v>
      </c>
      <c r="F7679" s="478" t="s">
        <v>1843</v>
      </c>
      <c r="G7679" s="222" t="s">
        <v>1111</v>
      </c>
      <c r="H7679" s="223"/>
      <c r="I7679" s="223"/>
      <c r="J7679" s="224" t="s">
        <v>55</v>
      </c>
      <c r="K7679" s="225">
        <v>507377</v>
      </c>
      <c r="L7679" s="225"/>
    </row>
    <row r="7680" spans="1:13" ht="11.25" customHeight="1" x14ac:dyDescent="0.2">
      <c r="A7680" s="226">
        <v>2025</v>
      </c>
      <c r="B7680" s="226">
        <v>5</v>
      </c>
      <c r="C7680" s="226">
        <v>26</v>
      </c>
      <c r="D7680" s="232">
        <f t="shared" si="888"/>
        <v>45803</v>
      </c>
      <c r="E7680" s="234">
        <f t="shared" si="891"/>
        <v>45803</v>
      </c>
      <c r="F7680" s="479"/>
      <c r="G7680" s="227" t="s">
        <v>1111</v>
      </c>
      <c r="H7680" s="228"/>
      <c r="I7680" s="228"/>
      <c r="J7680" s="229" t="s">
        <v>199</v>
      </c>
      <c r="K7680" s="230"/>
      <c r="L7680" s="230">
        <v>507377</v>
      </c>
    </row>
    <row r="7681" spans="1:13" ht="11.25" customHeight="1" x14ac:dyDescent="0.2">
      <c r="A7681" s="221">
        <v>2025</v>
      </c>
      <c r="B7681" s="221">
        <v>5</v>
      </c>
      <c r="C7681" s="221">
        <v>26</v>
      </c>
      <c r="D7681" s="231">
        <f t="shared" si="888"/>
        <v>45803</v>
      </c>
      <c r="E7681" s="233">
        <f t="shared" si="891"/>
        <v>45803</v>
      </c>
      <c r="F7681" s="478" t="s">
        <v>1132</v>
      </c>
      <c r="G7681" s="222" t="s">
        <v>1111</v>
      </c>
      <c r="H7681" s="223"/>
      <c r="I7681" s="223"/>
      <c r="J7681" s="224" t="s">
        <v>55</v>
      </c>
      <c r="K7681" s="167">
        <v>2000</v>
      </c>
      <c r="L7681" s="225"/>
    </row>
    <row r="7682" spans="1:13" ht="11.25" customHeight="1" x14ac:dyDescent="0.2">
      <c r="A7682" s="164">
        <v>2025</v>
      </c>
      <c r="B7682" s="164">
        <v>5</v>
      </c>
      <c r="C7682" s="164">
        <v>26</v>
      </c>
      <c r="D7682" s="156">
        <f t="shared" si="888"/>
        <v>45803</v>
      </c>
      <c r="E7682" s="235">
        <f t="shared" si="891"/>
        <v>45803</v>
      </c>
      <c r="F7682" s="480"/>
      <c r="G7682" s="208" t="s">
        <v>1111</v>
      </c>
      <c r="J7682" s="165" t="s">
        <v>14</v>
      </c>
      <c r="L7682" s="205">
        <v>1900</v>
      </c>
    </row>
    <row r="7683" spans="1:13" ht="11.25" customHeight="1" x14ac:dyDescent="0.2">
      <c r="A7683" s="226">
        <v>2025</v>
      </c>
      <c r="B7683" s="226">
        <v>5</v>
      </c>
      <c r="C7683" s="226">
        <v>26</v>
      </c>
      <c r="D7683" s="232">
        <f t="shared" si="888"/>
        <v>45803</v>
      </c>
      <c r="E7683" s="234">
        <f t="shared" si="891"/>
        <v>45803</v>
      </c>
      <c r="F7683" s="479"/>
      <c r="G7683" s="227" t="s">
        <v>1111</v>
      </c>
      <c r="H7683" s="228"/>
      <c r="I7683" s="228"/>
      <c r="J7683" s="229" t="s">
        <v>1112</v>
      </c>
      <c r="K7683" s="230"/>
      <c r="L7683" s="230">
        <v>100</v>
      </c>
    </row>
    <row r="7684" spans="1:13" ht="11.25" customHeight="1" x14ac:dyDescent="0.2">
      <c r="A7684" s="221">
        <v>2025</v>
      </c>
      <c r="B7684" s="221">
        <v>5</v>
      </c>
      <c r="C7684" s="221">
        <v>26</v>
      </c>
      <c r="D7684" s="231">
        <f t="shared" si="888"/>
        <v>45803</v>
      </c>
      <c r="E7684" s="233">
        <f t="shared" si="891"/>
        <v>45803</v>
      </c>
      <c r="F7684" s="478" t="s">
        <v>1196</v>
      </c>
      <c r="G7684" s="222" t="s">
        <v>1111</v>
      </c>
      <c r="H7684" s="223"/>
      <c r="I7684" s="223"/>
      <c r="J7684" s="224" t="s">
        <v>95</v>
      </c>
      <c r="K7684" s="225">
        <v>5472.1</v>
      </c>
      <c r="L7684" s="225"/>
      <c r="M7684" s="166"/>
    </row>
    <row r="7685" spans="1:13" ht="11.25" customHeight="1" x14ac:dyDescent="0.2">
      <c r="A7685" s="164">
        <v>2025</v>
      </c>
      <c r="B7685" s="164">
        <v>5</v>
      </c>
      <c r="C7685" s="164">
        <v>26</v>
      </c>
      <c r="D7685" s="156">
        <f t="shared" si="888"/>
        <v>45803</v>
      </c>
      <c r="E7685" s="235">
        <f t="shared" si="891"/>
        <v>45803</v>
      </c>
      <c r="F7685" s="480"/>
      <c r="G7685" s="208" t="s">
        <v>1111</v>
      </c>
      <c r="J7685" s="165" t="s">
        <v>478</v>
      </c>
      <c r="K7685" s="205"/>
      <c r="L7685" s="205">
        <v>547.21</v>
      </c>
    </row>
    <row r="7686" spans="1:13" ht="11.25" customHeight="1" x14ac:dyDescent="0.2">
      <c r="A7686" s="226">
        <v>2025</v>
      </c>
      <c r="B7686" s="226">
        <v>5</v>
      </c>
      <c r="C7686" s="226">
        <v>26</v>
      </c>
      <c r="D7686" s="232">
        <f t="shared" si="888"/>
        <v>45803</v>
      </c>
      <c r="E7686" s="234">
        <f t="shared" si="891"/>
        <v>45803</v>
      </c>
      <c r="F7686" s="479"/>
      <c r="G7686" s="227" t="s">
        <v>1111</v>
      </c>
      <c r="H7686" s="228"/>
      <c r="I7686" s="228"/>
      <c r="J7686" s="229" t="s">
        <v>55</v>
      </c>
      <c r="K7686" s="230"/>
      <c r="L7686" s="230">
        <v>4924.8900000000003</v>
      </c>
    </row>
    <row r="7687" spans="1:13" ht="11.25" customHeight="1" x14ac:dyDescent="0.2">
      <c r="A7687" s="221">
        <v>2025</v>
      </c>
      <c r="B7687" s="221">
        <v>5</v>
      </c>
      <c r="C7687" s="221">
        <v>26</v>
      </c>
      <c r="D7687" s="231">
        <f t="shared" si="888"/>
        <v>45803</v>
      </c>
      <c r="E7687" s="233">
        <f t="shared" si="891"/>
        <v>45803</v>
      </c>
      <c r="F7687" s="478" t="s">
        <v>1893</v>
      </c>
      <c r="G7687" s="222" t="s">
        <v>1111</v>
      </c>
      <c r="H7687" s="223"/>
      <c r="I7687" s="223"/>
      <c r="J7687" s="224" t="s">
        <v>192</v>
      </c>
      <c r="K7687" s="225">
        <v>1450800</v>
      </c>
      <c r="L7687" s="225"/>
    </row>
    <row r="7688" spans="1:13" ht="11.25" customHeight="1" x14ac:dyDescent="0.2">
      <c r="A7688" s="226">
        <v>2025</v>
      </c>
      <c r="B7688" s="226">
        <v>5</v>
      </c>
      <c r="C7688" s="226">
        <v>26</v>
      </c>
      <c r="D7688" s="232">
        <f t="shared" si="888"/>
        <v>45803</v>
      </c>
      <c r="E7688" s="234">
        <f t="shared" si="891"/>
        <v>45803</v>
      </c>
      <c r="F7688" s="479"/>
      <c r="G7688" s="227" t="s">
        <v>1111</v>
      </c>
      <c r="H7688" s="228"/>
      <c r="I7688" s="228"/>
      <c r="J7688" s="229" t="s">
        <v>191</v>
      </c>
      <c r="K7688" s="230"/>
      <c r="L7688" s="230">
        <v>1450800</v>
      </c>
    </row>
    <row r="7689" spans="1:13" ht="11.25" customHeight="1" x14ac:dyDescent="0.2">
      <c r="A7689" s="164">
        <v>2025</v>
      </c>
      <c r="B7689" s="164">
        <v>5</v>
      </c>
      <c r="C7689" s="164">
        <v>27</v>
      </c>
      <c r="D7689" s="164">
        <f t="shared" ref="D7689:D7752" si="893">DATE(A7689,B7689,C7689)</f>
        <v>45804</v>
      </c>
      <c r="E7689" s="235">
        <f t="shared" si="891"/>
        <v>45804</v>
      </c>
      <c r="F7689" s="480" t="s">
        <v>1842</v>
      </c>
      <c r="G7689" s="208" t="s">
        <v>86</v>
      </c>
      <c r="H7689" s="208"/>
      <c r="J7689" s="165" t="s">
        <v>199</v>
      </c>
      <c r="K7689" s="205">
        <v>465959.76</v>
      </c>
      <c r="L7689" s="205"/>
    </row>
    <row r="7690" spans="1:13" ht="11.25" customHeight="1" x14ac:dyDescent="0.2">
      <c r="A7690" s="164">
        <v>2025</v>
      </c>
      <c r="B7690" s="164">
        <v>5</v>
      </c>
      <c r="C7690" s="164">
        <v>27</v>
      </c>
      <c r="D7690" s="164">
        <f t="shared" si="893"/>
        <v>45804</v>
      </c>
      <c r="E7690" s="235">
        <f t="shared" si="891"/>
        <v>45804</v>
      </c>
      <c r="F7690" s="480"/>
      <c r="G7690" s="208" t="s">
        <v>86</v>
      </c>
      <c r="H7690" s="208"/>
      <c r="J7690" s="165" t="s">
        <v>960</v>
      </c>
      <c r="K7690" s="205">
        <v>840.24</v>
      </c>
      <c r="L7690" s="205"/>
      <c r="M7690" s="401"/>
    </row>
    <row r="7691" spans="1:13" ht="11.25" customHeight="1" x14ac:dyDescent="0.2">
      <c r="A7691" s="164">
        <v>2025</v>
      </c>
      <c r="B7691" s="164">
        <v>5</v>
      </c>
      <c r="C7691" s="164">
        <v>27</v>
      </c>
      <c r="D7691" s="164">
        <f t="shared" si="893"/>
        <v>45804</v>
      </c>
      <c r="E7691" s="235">
        <f t="shared" si="891"/>
        <v>45804</v>
      </c>
      <c r="F7691" s="480"/>
      <c r="G7691" s="208" t="s">
        <v>86</v>
      </c>
      <c r="H7691" s="208"/>
      <c r="J7691" s="165" t="s">
        <v>200</v>
      </c>
      <c r="L7691" s="205">
        <v>105523.49</v>
      </c>
    </row>
    <row r="7692" spans="1:13" ht="11.25" customHeight="1" x14ac:dyDescent="0.2">
      <c r="A7692" s="226">
        <v>2025</v>
      </c>
      <c r="B7692" s="226">
        <v>5</v>
      </c>
      <c r="C7692" s="226">
        <v>27</v>
      </c>
      <c r="D7692" s="226">
        <f t="shared" si="893"/>
        <v>45804</v>
      </c>
      <c r="E7692" s="234">
        <f t="shared" si="891"/>
        <v>45804</v>
      </c>
      <c r="F7692" s="479"/>
      <c r="G7692" s="227" t="s">
        <v>86</v>
      </c>
      <c r="H7692" s="228"/>
      <c r="I7692" s="228"/>
      <c r="J7692" s="229" t="s">
        <v>80</v>
      </c>
      <c r="K7692" s="230"/>
      <c r="L7692" s="230">
        <v>361276.51</v>
      </c>
    </row>
    <row r="7693" spans="1:13" ht="11.25" customHeight="1" x14ac:dyDescent="0.2">
      <c r="A7693" s="221">
        <v>2025</v>
      </c>
      <c r="B7693" s="221">
        <v>5</v>
      </c>
      <c r="C7693" s="221">
        <v>27</v>
      </c>
      <c r="D7693" s="221">
        <f t="shared" si="893"/>
        <v>45804</v>
      </c>
      <c r="E7693" s="233">
        <f t="shared" ref="E7693:E7701" si="894">DATE(A7693,B7693,C7693)</f>
        <v>45804</v>
      </c>
      <c r="F7693" s="478" t="s">
        <v>1887</v>
      </c>
      <c r="G7693" s="222" t="s">
        <v>86</v>
      </c>
      <c r="H7693" s="222"/>
      <c r="I7693" s="223"/>
      <c r="J7693" s="224" t="s">
        <v>80</v>
      </c>
      <c r="K7693" s="225">
        <v>605500</v>
      </c>
      <c r="L7693" s="225"/>
    </row>
    <row r="7694" spans="1:13" ht="11.25" customHeight="1" x14ac:dyDescent="0.2">
      <c r="A7694" s="164">
        <v>2025</v>
      </c>
      <c r="B7694" s="164">
        <v>5</v>
      </c>
      <c r="C7694" s="164">
        <v>27</v>
      </c>
      <c r="D7694" s="164">
        <f t="shared" si="893"/>
        <v>45804</v>
      </c>
      <c r="E7694" s="235">
        <f t="shared" si="894"/>
        <v>45804</v>
      </c>
      <c r="F7694" s="480"/>
      <c r="G7694" s="208" t="s">
        <v>86</v>
      </c>
      <c r="H7694" s="208"/>
      <c r="J7694" s="165" t="s">
        <v>960</v>
      </c>
      <c r="K7694" s="205">
        <v>1089.9000000000001</v>
      </c>
      <c r="L7694" s="205"/>
    </row>
    <row r="7695" spans="1:13" ht="11.25" customHeight="1" x14ac:dyDescent="0.2">
      <c r="A7695" s="226">
        <v>2025</v>
      </c>
      <c r="B7695" s="226">
        <v>5</v>
      </c>
      <c r="C7695" s="226">
        <v>27</v>
      </c>
      <c r="D7695" s="226">
        <f t="shared" si="893"/>
        <v>45804</v>
      </c>
      <c r="E7695" s="234">
        <f t="shared" si="894"/>
        <v>45804</v>
      </c>
      <c r="F7695" s="479"/>
      <c r="G7695" s="227" t="s">
        <v>86</v>
      </c>
      <c r="H7695" s="227"/>
      <c r="I7695" s="228"/>
      <c r="J7695" s="229" t="s">
        <v>143</v>
      </c>
      <c r="K7695" s="230"/>
      <c r="L7695" s="230">
        <v>606589.9</v>
      </c>
    </row>
    <row r="7696" spans="1:13" ht="11.25" customHeight="1" x14ac:dyDescent="0.2">
      <c r="A7696" s="164">
        <v>2025</v>
      </c>
      <c r="B7696" s="164">
        <v>5</v>
      </c>
      <c r="C7696" s="164">
        <v>27</v>
      </c>
      <c r="D7696" s="164">
        <f t="shared" si="893"/>
        <v>45804</v>
      </c>
      <c r="E7696" s="235">
        <f t="shared" si="894"/>
        <v>45804</v>
      </c>
      <c r="F7696" s="480" t="s">
        <v>1589</v>
      </c>
      <c r="G7696" s="208" t="s">
        <v>86</v>
      </c>
      <c r="H7696" s="208"/>
      <c r="J7696" s="165" t="s">
        <v>199</v>
      </c>
      <c r="K7696" s="205">
        <v>681155</v>
      </c>
      <c r="L7696" s="205"/>
    </row>
    <row r="7697" spans="1:14" ht="11.25" customHeight="1" x14ac:dyDescent="0.2">
      <c r="A7697" s="164">
        <v>2025</v>
      </c>
      <c r="B7697" s="164">
        <v>5</v>
      </c>
      <c r="C7697" s="164">
        <v>27</v>
      </c>
      <c r="D7697" s="164">
        <f t="shared" si="893"/>
        <v>45804</v>
      </c>
      <c r="E7697" s="235">
        <f t="shared" si="894"/>
        <v>45804</v>
      </c>
      <c r="F7697" s="480"/>
      <c r="G7697" s="208" t="s">
        <v>86</v>
      </c>
      <c r="H7697" s="208"/>
      <c r="J7697" s="165" t="s">
        <v>960</v>
      </c>
      <c r="K7697" s="205">
        <v>1228.7</v>
      </c>
      <c r="L7697" s="205"/>
      <c r="M7697" s="401"/>
    </row>
    <row r="7698" spans="1:14" ht="11.25" customHeight="1" x14ac:dyDescent="0.2">
      <c r="A7698" s="164">
        <v>2025</v>
      </c>
      <c r="B7698" s="164">
        <v>5</v>
      </c>
      <c r="C7698" s="164">
        <v>27</v>
      </c>
      <c r="D7698" s="164">
        <f t="shared" si="893"/>
        <v>45804</v>
      </c>
      <c r="E7698" s="235">
        <f t="shared" si="894"/>
        <v>45804</v>
      </c>
      <c r="F7698" s="480"/>
      <c r="G7698" s="208" t="s">
        <v>86</v>
      </c>
      <c r="H7698" s="208"/>
      <c r="J7698" s="165" t="s">
        <v>200</v>
      </c>
      <c r="K7698" s="205">
        <v>15026.3</v>
      </c>
      <c r="L7698" s="205"/>
    </row>
    <row r="7699" spans="1:14" ht="11.25" customHeight="1" x14ac:dyDescent="0.2">
      <c r="A7699" s="226">
        <v>2025</v>
      </c>
      <c r="B7699" s="226">
        <v>5</v>
      </c>
      <c r="C7699" s="226">
        <v>27</v>
      </c>
      <c r="D7699" s="226">
        <f t="shared" si="893"/>
        <v>45804</v>
      </c>
      <c r="E7699" s="234">
        <f t="shared" si="894"/>
        <v>45804</v>
      </c>
      <c r="F7699" s="479"/>
      <c r="G7699" s="227" t="s">
        <v>86</v>
      </c>
      <c r="H7699" s="228"/>
      <c r="I7699" s="228"/>
      <c r="J7699" s="229" t="s">
        <v>80</v>
      </c>
      <c r="K7699" s="230"/>
      <c r="L7699" s="230">
        <v>697410</v>
      </c>
    </row>
    <row r="7700" spans="1:14" ht="11.25" customHeight="1" x14ac:dyDescent="0.2">
      <c r="A7700" s="221">
        <v>2025</v>
      </c>
      <c r="B7700" s="221">
        <v>5</v>
      </c>
      <c r="C7700" s="221">
        <v>27</v>
      </c>
      <c r="D7700" s="231">
        <f t="shared" si="893"/>
        <v>45804</v>
      </c>
      <c r="E7700" s="233">
        <f t="shared" si="894"/>
        <v>45804</v>
      </c>
      <c r="F7700" s="478" t="s">
        <v>1888</v>
      </c>
      <c r="G7700" s="222" t="s">
        <v>1111</v>
      </c>
      <c r="H7700" s="223"/>
      <c r="I7700" s="223"/>
      <c r="J7700" s="224" t="s">
        <v>961</v>
      </c>
      <c r="K7700" s="225">
        <v>1021836</v>
      </c>
      <c r="L7700" s="225"/>
    </row>
    <row r="7701" spans="1:14" ht="11.25" customHeight="1" x14ac:dyDescent="0.2">
      <c r="A7701" s="226">
        <v>2025</v>
      </c>
      <c r="B7701" s="226">
        <v>5</v>
      </c>
      <c r="C7701" s="226">
        <v>27</v>
      </c>
      <c r="D7701" s="232">
        <f t="shared" si="893"/>
        <v>45804</v>
      </c>
      <c r="E7701" s="234">
        <f t="shared" si="894"/>
        <v>45804</v>
      </c>
      <c r="F7701" s="479"/>
      <c r="G7701" s="227" t="s">
        <v>1111</v>
      </c>
      <c r="H7701" s="228"/>
      <c r="I7701" s="228"/>
      <c r="J7701" s="229" t="s">
        <v>55</v>
      </c>
      <c r="K7701" s="230"/>
      <c r="L7701" s="230">
        <v>1021836</v>
      </c>
    </row>
    <row r="7702" spans="1:14" ht="11.25" customHeight="1" x14ac:dyDescent="0.2">
      <c r="A7702" s="221">
        <v>2025</v>
      </c>
      <c r="B7702" s="221">
        <v>5</v>
      </c>
      <c r="C7702" s="221">
        <v>27</v>
      </c>
      <c r="D7702" s="231">
        <f t="shared" si="893"/>
        <v>45804</v>
      </c>
      <c r="E7702" s="233">
        <f t="shared" ref="E7702:E7703" si="895">DATE(A7702,B7702,C7702)</f>
        <v>45804</v>
      </c>
      <c r="F7702" s="478" t="s">
        <v>1889</v>
      </c>
      <c r="G7702" s="222" t="s">
        <v>1111</v>
      </c>
      <c r="H7702" s="223"/>
      <c r="I7702" s="223"/>
      <c r="J7702" s="224" t="s">
        <v>961</v>
      </c>
      <c r="K7702" s="225">
        <v>85773.05</v>
      </c>
      <c r="L7702" s="225"/>
    </row>
    <row r="7703" spans="1:14" ht="11.25" customHeight="1" x14ac:dyDescent="0.2">
      <c r="A7703" s="226">
        <v>2025</v>
      </c>
      <c r="B7703" s="226">
        <v>5</v>
      </c>
      <c r="C7703" s="226">
        <v>27</v>
      </c>
      <c r="D7703" s="232">
        <f t="shared" si="893"/>
        <v>45804</v>
      </c>
      <c r="E7703" s="234">
        <f t="shared" si="895"/>
        <v>45804</v>
      </c>
      <c r="F7703" s="479"/>
      <c r="G7703" s="227" t="s">
        <v>1111</v>
      </c>
      <c r="H7703" s="228"/>
      <c r="I7703" s="228"/>
      <c r="J7703" s="229" t="s">
        <v>55</v>
      </c>
      <c r="K7703" s="230"/>
      <c r="L7703" s="230">
        <v>85773.05</v>
      </c>
    </row>
    <row r="7704" spans="1:14" ht="11.25" customHeight="1" x14ac:dyDescent="0.2">
      <c r="A7704" s="221">
        <v>2025</v>
      </c>
      <c r="B7704" s="221">
        <v>5</v>
      </c>
      <c r="C7704" s="221">
        <v>27</v>
      </c>
      <c r="D7704" s="231">
        <f t="shared" si="893"/>
        <v>45804</v>
      </c>
      <c r="E7704" s="233">
        <f>DATE(A7704,B7704,C7704)</f>
        <v>45804</v>
      </c>
      <c r="F7704" s="478" t="s">
        <v>1178</v>
      </c>
      <c r="G7704" s="222" t="s">
        <v>1111</v>
      </c>
      <c r="H7704" s="223"/>
      <c r="I7704" s="223"/>
      <c r="J7704" s="224" t="s">
        <v>189</v>
      </c>
      <c r="K7704" s="225">
        <v>1437.5</v>
      </c>
      <c r="L7704" s="225"/>
    </row>
    <row r="7705" spans="1:14" ht="11.25" customHeight="1" x14ac:dyDescent="0.2">
      <c r="A7705" s="164">
        <v>2025</v>
      </c>
      <c r="B7705" s="164">
        <v>5</v>
      </c>
      <c r="C7705" s="164">
        <v>27</v>
      </c>
      <c r="D7705" s="156">
        <f t="shared" si="893"/>
        <v>45804</v>
      </c>
      <c r="E7705" s="235">
        <f>DATE(A7705,B7705,C7705)</f>
        <v>45804</v>
      </c>
      <c r="F7705" s="480"/>
      <c r="G7705" s="208" t="s">
        <v>1111</v>
      </c>
      <c r="J7705" s="165" t="s">
        <v>1708</v>
      </c>
      <c r="K7705" s="205"/>
      <c r="L7705" s="205">
        <v>62.5</v>
      </c>
    </row>
    <row r="7706" spans="1:14" ht="11.25" customHeight="1" x14ac:dyDescent="0.2">
      <c r="A7706" s="226">
        <v>2025</v>
      </c>
      <c r="B7706" s="226">
        <v>5</v>
      </c>
      <c r="C7706" s="226">
        <v>27</v>
      </c>
      <c r="D7706" s="232">
        <f t="shared" si="893"/>
        <v>45804</v>
      </c>
      <c r="E7706" s="234">
        <f>DATE(A7706,B7706,C7706)</f>
        <v>45804</v>
      </c>
      <c r="F7706" s="479"/>
      <c r="G7706" s="227" t="s">
        <v>1111</v>
      </c>
      <c r="H7706" s="228"/>
      <c r="I7706" s="228"/>
      <c r="J7706" s="229" t="s">
        <v>55</v>
      </c>
      <c r="K7706" s="230"/>
      <c r="L7706" s="230">
        <v>1375</v>
      </c>
    </row>
    <row r="7707" spans="1:14" ht="11.25" customHeight="1" x14ac:dyDescent="0.2">
      <c r="A7707" s="221">
        <v>2025</v>
      </c>
      <c r="B7707" s="221">
        <v>5</v>
      </c>
      <c r="C7707" s="221">
        <v>28</v>
      </c>
      <c r="D7707" s="231">
        <f t="shared" si="893"/>
        <v>45805</v>
      </c>
      <c r="E7707" s="233">
        <f t="shared" ref="E7707:E7722" si="896">DATE(A7707,B7707,C7707)</f>
        <v>45805</v>
      </c>
      <c r="F7707" s="478" t="s">
        <v>1890</v>
      </c>
      <c r="G7707" s="222" t="s">
        <v>1111</v>
      </c>
      <c r="H7707" s="223"/>
      <c r="I7707" s="223"/>
      <c r="J7707" s="224" t="s">
        <v>55</v>
      </c>
      <c r="K7707" s="225">
        <v>484419.27</v>
      </c>
      <c r="L7707" s="225"/>
    </row>
    <row r="7708" spans="1:14" ht="11.25" customHeight="1" x14ac:dyDescent="0.2">
      <c r="A7708" s="226">
        <v>2025</v>
      </c>
      <c r="B7708" s="226">
        <v>5</v>
      </c>
      <c r="C7708" s="226">
        <v>28</v>
      </c>
      <c r="D7708" s="232">
        <f t="shared" si="893"/>
        <v>45805</v>
      </c>
      <c r="E7708" s="234">
        <f t="shared" si="896"/>
        <v>45805</v>
      </c>
      <c r="F7708" s="479"/>
      <c r="G7708" s="227" t="s">
        <v>1111</v>
      </c>
      <c r="H7708" s="228"/>
      <c r="I7708" s="228"/>
      <c r="J7708" s="229" t="s">
        <v>199</v>
      </c>
      <c r="K7708" s="230"/>
      <c r="L7708" s="230">
        <v>484419.27</v>
      </c>
      <c r="N7708" s="438"/>
    </row>
    <row r="7709" spans="1:14" ht="11.25" customHeight="1" x14ac:dyDescent="0.2">
      <c r="A7709" s="221">
        <v>2025</v>
      </c>
      <c r="B7709" s="221">
        <v>5</v>
      </c>
      <c r="C7709" s="221">
        <v>28</v>
      </c>
      <c r="D7709" s="231">
        <f t="shared" si="893"/>
        <v>45805</v>
      </c>
      <c r="E7709" s="233">
        <f t="shared" si="896"/>
        <v>45805</v>
      </c>
      <c r="F7709" s="478" t="s">
        <v>1891</v>
      </c>
      <c r="G7709" s="222" t="s">
        <v>1111</v>
      </c>
      <c r="H7709" s="223"/>
      <c r="I7709" s="223"/>
      <c r="J7709" s="224" t="s">
        <v>961</v>
      </c>
      <c r="K7709" s="225">
        <v>606589.9</v>
      </c>
      <c r="L7709" s="225"/>
    </row>
    <row r="7710" spans="1:14" ht="11.25" customHeight="1" x14ac:dyDescent="0.2">
      <c r="A7710" s="226">
        <v>2025</v>
      </c>
      <c r="B7710" s="226">
        <v>5</v>
      </c>
      <c r="C7710" s="226">
        <v>28</v>
      </c>
      <c r="D7710" s="232">
        <f t="shared" si="893"/>
        <v>45805</v>
      </c>
      <c r="E7710" s="234">
        <f t="shared" si="896"/>
        <v>45805</v>
      </c>
      <c r="F7710" s="479"/>
      <c r="G7710" s="227" t="s">
        <v>1111</v>
      </c>
      <c r="H7710" s="228"/>
      <c r="I7710" s="228"/>
      <c r="J7710" s="229" t="s">
        <v>55</v>
      </c>
      <c r="K7710" s="230"/>
      <c r="L7710" s="230">
        <v>606589.9</v>
      </c>
    </row>
    <row r="7711" spans="1:14" ht="11.25" customHeight="1" x14ac:dyDescent="0.2">
      <c r="A7711" s="221">
        <v>2025</v>
      </c>
      <c r="B7711" s="221">
        <v>5</v>
      </c>
      <c r="C7711" s="221">
        <v>28</v>
      </c>
      <c r="D7711" s="221">
        <f t="shared" si="893"/>
        <v>45805</v>
      </c>
      <c r="E7711" s="233">
        <f t="shared" si="896"/>
        <v>45805</v>
      </c>
      <c r="F7711" s="478" t="s">
        <v>1884</v>
      </c>
      <c r="G7711" s="222" t="s">
        <v>86</v>
      </c>
      <c r="H7711" s="222"/>
      <c r="I7711" s="223"/>
      <c r="J7711" s="224" t="s">
        <v>80</v>
      </c>
      <c r="K7711" s="225">
        <v>1475340</v>
      </c>
      <c r="L7711" s="225"/>
    </row>
    <row r="7712" spans="1:14" ht="11.25" customHeight="1" x14ac:dyDescent="0.2">
      <c r="A7712" s="164">
        <v>2025</v>
      </c>
      <c r="B7712" s="164">
        <v>5</v>
      </c>
      <c r="C7712" s="164">
        <v>28</v>
      </c>
      <c r="D7712" s="164">
        <f t="shared" si="893"/>
        <v>45805</v>
      </c>
      <c r="E7712" s="235">
        <f t="shared" si="896"/>
        <v>45805</v>
      </c>
      <c r="F7712" s="480"/>
      <c r="G7712" s="208" t="s">
        <v>86</v>
      </c>
      <c r="H7712" s="208"/>
      <c r="J7712" s="165" t="s">
        <v>960</v>
      </c>
      <c r="K7712" s="205">
        <v>4705.8100000000004</v>
      </c>
      <c r="L7712" s="205"/>
      <c r="M7712" s="263"/>
      <c r="N7712" s="263"/>
    </row>
    <row r="7713" spans="1:13" ht="11.25" customHeight="1" x14ac:dyDescent="0.2">
      <c r="A7713" s="164">
        <v>2025</v>
      </c>
      <c r="B7713" s="164">
        <v>5</v>
      </c>
      <c r="C7713" s="164">
        <v>28</v>
      </c>
      <c r="D7713" s="164">
        <f t="shared" si="893"/>
        <v>45805</v>
      </c>
      <c r="E7713" s="235">
        <f t="shared" si="896"/>
        <v>45805</v>
      </c>
      <c r="F7713" s="480"/>
      <c r="G7713" s="208" t="s">
        <v>86</v>
      </c>
      <c r="H7713" s="208"/>
      <c r="J7713" s="165" t="s">
        <v>143</v>
      </c>
      <c r="K7713" s="205"/>
      <c r="L7713" s="205">
        <v>341045.81</v>
      </c>
      <c r="M7713" s="263"/>
    </row>
    <row r="7714" spans="1:13" ht="11.25" customHeight="1" x14ac:dyDescent="0.2">
      <c r="A7714" s="164">
        <v>2025</v>
      </c>
      <c r="B7714" s="164">
        <v>5</v>
      </c>
      <c r="C7714" s="164">
        <v>28</v>
      </c>
      <c r="D7714" s="164">
        <f t="shared" si="893"/>
        <v>45805</v>
      </c>
      <c r="E7714" s="235">
        <f t="shared" si="896"/>
        <v>45805</v>
      </c>
      <c r="F7714" s="480"/>
      <c r="G7714" s="208" t="s">
        <v>86</v>
      </c>
      <c r="H7714" s="208"/>
      <c r="J7714" s="165" t="s">
        <v>200</v>
      </c>
      <c r="K7714" s="205"/>
      <c r="L7714" s="205">
        <v>167446.98000000001</v>
      </c>
      <c r="M7714" s="263"/>
    </row>
    <row r="7715" spans="1:13" ht="11.25" customHeight="1" x14ac:dyDescent="0.2">
      <c r="A7715" s="226">
        <v>2025</v>
      </c>
      <c r="B7715" s="226">
        <v>5</v>
      </c>
      <c r="C7715" s="226">
        <v>28</v>
      </c>
      <c r="D7715" s="226">
        <f t="shared" si="893"/>
        <v>45805</v>
      </c>
      <c r="E7715" s="234">
        <f t="shared" si="896"/>
        <v>45805</v>
      </c>
      <c r="F7715" s="479"/>
      <c r="G7715" s="227" t="s">
        <v>86</v>
      </c>
      <c r="H7715" s="228"/>
      <c r="I7715" s="228"/>
      <c r="J7715" s="229" t="s">
        <v>80</v>
      </c>
      <c r="K7715" s="230"/>
      <c r="L7715" s="230">
        <v>971553.02</v>
      </c>
      <c r="M7715" s="263"/>
    </row>
    <row r="7716" spans="1:13" ht="11.25" customHeight="1" x14ac:dyDescent="0.2">
      <c r="A7716" s="164">
        <v>2025</v>
      </c>
      <c r="B7716" s="164">
        <v>5</v>
      </c>
      <c r="C7716" s="164">
        <v>28</v>
      </c>
      <c r="D7716" s="164">
        <f t="shared" si="893"/>
        <v>45805</v>
      </c>
      <c r="E7716" s="235">
        <f t="shared" si="896"/>
        <v>45805</v>
      </c>
      <c r="F7716" s="480" t="s">
        <v>1589</v>
      </c>
      <c r="G7716" s="208" t="s">
        <v>86</v>
      </c>
      <c r="H7716" s="208"/>
      <c r="J7716" s="165" t="s">
        <v>199</v>
      </c>
      <c r="K7716" s="205">
        <v>211748</v>
      </c>
      <c r="L7716" s="205"/>
    </row>
    <row r="7717" spans="1:13" ht="11.25" customHeight="1" x14ac:dyDescent="0.2">
      <c r="A7717" s="164">
        <v>2025</v>
      </c>
      <c r="B7717" s="164">
        <v>5</v>
      </c>
      <c r="C7717" s="164">
        <v>28</v>
      </c>
      <c r="D7717" s="164">
        <f t="shared" si="893"/>
        <v>45805</v>
      </c>
      <c r="E7717" s="235">
        <f t="shared" si="896"/>
        <v>45805</v>
      </c>
      <c r="F7717" s="480"/>
      <c r="G7717" s="208" t="s">
        <v>86</v>
      </c>
      <c r="H7717" s="208"/>
      <c r="J7717" s="165" t="s">
        <v>960</v>
      </c>
      <c r="K7717" s="205">
        <v>382.3</v>
      </c>
      <c r="L7717" s="205"/>
      <c r="M7717" s="401"/>
    </row>
    <row r="7718" spans="1:13" ht="11.25" customHeight="1" x14ac:dyDescent="0.2">
      <c r="A7718" s="164">
        <v>2025</v>
      </c>
      <c r="B7718" s="164">
        <v>5</v>
      </c>
      <c r="C7718" s="164">
        <v>28</v>
      </c>
      <c r="D7718" s="164">
        <f t="shared" si="893"/>
        <v>45805</v>
      </c>
      <c r="E7718" s="235">
        <f t="shared" si="896"/>
        <v>45805</v>
      </c>
      <c r="F7718" s="480"/>
      <c r="G7718" s="208" t="s">
        <v>86</v>
      </c>
      <c r="H7718" s="208"/>
      <c r="J7718" s="165" t="s">
        <v>200</v>
      </c>
      <c r="K7718" s="205">
        <v>15829.7</v>
      </c>
      <c r="L7718" s="205"/>
    </row>
    <row r="7719" spans="1:13" ht="11.25" customHeight="1" x14ac:dyDescent="0.2">
      <c r="A7719" s="226">
        <v>2025</v>
      </c>
      <c r="B7719" s="226">
        <v>5</v>
      </c>
      <c r="C7719" s="226">
        <v>28</v>
      </c>
      <c r="D7719" s="226">
        <f t="shared" si="893"/>
        <v>45805</v>
      </c>
      <c r="E7719" s="234">
        <f t="shared" si="896"/>
        <v>45805</v>
      </c>
      <c r="F7719" s="479"/>
      <c r="G7719" s="227" t="s">
        <v>86</v>
      </c>
      <c r="H7719" s="228"/>
      <c r="I7719" s="228"/>
      <c r="J7719" s="229" t="s">
        <v>80</v>
      </c>
      <c r="K7719" s="230"/>
      <c r="L7719" s="230">
        <v>227960</v>
      </c>
    </row>
    <row r="7720" spans="1:13" ht="11.25" customHeight="1" x14ac:dyDescent="0.2">
      <c r="A7720" s="221">
        <v>2025</v>
      </c>
      <c r="B7720" s="221">
        <v>5</v>
      </c>
      <c r="C7720" s="221">
        <v>28</v>
      </c>
      <c r="D7720" s="231">
        <f t="shared" si="893"/>
        <v>45805</v>
      </c>
      <c r="E7720" s="233">
        <f t="shared" si="896"/>
        <v>45805</v>
      </c>
      <c r="F7720" s="478" t="s">
        <v>1142</v>
      </c>
      <c r="G7720" s="222" t="s">
        <v>1111</v>
      </c>
      <c r="H7720" s="223"/>
      <c r="I7720" s="223"/>
      <c r="J7720" s="224" t="s">
        <v>189</v>
      </c>
      <c r="K7720" s="225">
        <v>1575</v>
      </c>
      <c r="L7720" s="225"/>
    </row>
    <row r="7721" spans="1:13" ht="11.25" customHeight="1" x14ac:dyDescent="0.2">
      <c r="A7721" s="164">
        <v>2025</v>
      </c>
      <c r="B7721" s="164">
        <v>5</v>
      </c>
      <c r="C7721" s="164">
        <v>28</v>
      </c>
      <c r="D7721" s="156">
        <f t="shared" si="893"/>
        <v>45805</v>
      </c>
      <c r="E7721" s="235">
        <f t="shared" si="896"/>
        <v>45805</v>
      </c>
      <c r="F7721" s="480"/>
      <c r="G7721" s="208" t="s">
        <v>1111</v>
      </c>
      <c r="J7721" s="165" t="s">
        <v>1707</v>
      </c>
      <c r="K7721" s="205"/>
      <c r="L7721" s="205">
        <v>150</v>
      </c>
    </row>
    <row r="7722" spans="1:13" ht="11.25" customHeight="1" x14ac:dyDescent="0.2">
      <c r="A7722" s="226">
        <v>2025</v>
      </c>
      <c r="B7722" s="226">
        <v>5</v>
      </c>
      <c r="C7722" s="226">
        <v>28</v>
      </c>
      <c r="D7722" s="232">
        <f t="shared" si="893"/>
        <v>45805</v>
      </c>
      <c r="E7722" s="234">
        <f t="shared" si="896"/>
        <v>45805</v>
      </c>
      <c r="F7722" s="479"/>
      <c r="G7722" s="227" t="s">
        <v>1111</v>
      </c>
      <c r="H7722" s="228"/>
      <c r="I7722" s="228"/>
      <c r="J7722" s="229" t="s">
        <v>55</v>
      </c>
      <c r="K7722" s="230"/>
      <c r="L7722" s="230">
        <v>1425</v>
      </c>
    </row>
    <row r="7723" spans="1:13" ht="11.25" customHeight="1" x14ac:dyDescent="0.2">
      <c r="A7723" s="221">
        <v>2025</v>
      </c>
      <c r="B7723" s="221">
        <v>5</v>
      </c>
      <c r="C7723" s="221">
        <v>29</v>
      </c>
      <c r="D7723" s="231">
        <f t="shared" si="893"/>
        <v>45806</v>
      </c>
      <c r="E7723" s="233">
        <f t="shared" ref="E7723:E7744" si="897">DATE(A7723,B7723,C7723)</f>
        <v>45806</v>
      </c>
      <c r="F7723" s="478" t="s">
        <v>1891</v>
      </c>
      <c r="G7723" s="222" t="s">
        <v>1111</v>
      </c>
      <c r="H7723" s="223"/>
      <c r="I7723" s="223"/>
      <c r="J7723" s="224" t="s">
        <v>961</v>
      </c>
      <c r="K7723" s="225">
        <v>341045.81</v>
      </c>
      <c r="L7723" s="225"/>
    </row>
    <row r="7724" spans="1:13" ht="11.25" customHeight="1" x14ac:dyDescent="0.2">
      <c r="A7724" s="226">
        <v>2025</v>
      </c>
      <c r="B7724" s="226">
        <v>5</v>
      </c>
      <c r="C7724" s="226">
        <v>29</v>
      </c>
      <c r="D7724" s="232">
        <f t="shared" si="893"/>
        <v>45806</v>
      </c>
      <c r="E7724" s="234">
        <f t="shared" si="897"/>
        <v>45806</v>
      </c>
      <c r="F7724" s="479"/>
      <c r="G7724" s="227" t="s">
        <v>1111</v>
      </c>
      <c r="H7724" s="228"/>
      <c r="I7724" s="228"/>
      <c r="J7724" s="229" t="s">
        <v>55</v>
      </c>
      <c r="K7724" s="230"/>
      <c r="L7724" s="230">
        <v>341045.81</v>
      </c>
    </row>
    <row r="7725" spans="1:13" ht="11.25" customHeight="1" x14ac:dyDescent="0.2">
      <c r="A7725" s="221">
        <v>2025</v>
      </c>
      <c r="B7725" s="221">
        <v>5</v>
      </c>
      <c r="C7725" s="221">
        <v>29</v>
      </c>
      <c r="D7725" s="231">
        <f t="shared" si="893"/>
        <v>45806</v>
      </c>
      <c r="E7725" s="233">
        <f t="shared" si="897"/>
        <v>45806</v>
      </c>
      <c r="F7725" s="478" t="s">
        <v>1892</v>
      </c>
      <c r="G7725" s="222" t="s">
        <v>86</v>
      </c>
      <c r="H7725" s="223"/>
      <c r="I7725" s="223"/>
      <c r="J7725" s="224" t="s">
        <v>88</v>
      </c>
      <c r="K7725" s="225">
        <v>5000000</v>
      </c>
      <c r="L7725" s="225"/>
    </row>
    <row r="7726" spans="1:13" ht="11.25" customHeight="1" x14ac:dyDescent="0.2">
      <c r="A7726" s="226">
        <v>2025</v>
      </c>
      <c r="B7726" s="226">
        <v>5</v>
      </c>
      <c r="C7726" s="226">
        <v>29</v>
      </c>
      <c r="D7726" s="232">
        <f t="shared" si="893"/>
        <v>45806</v>
      </c>
      <c r="E7726" s="234">
        <f t="shared" si="897"/>
        <v>45806</v>
      </c>
      <c r="F7726" s="479"/>
      <c r="G7726" s="227" t="s">
        <v>86</v>
      </c>
      <c r="H7726" s="228"/>
      <c r="I7726" s="228"/>
      <c r="J7726" s="229" t="s">
        <v>55</v>
      </c>
      <c r="K7726" s="230"/>
      <c r="L7726" s="230">
        <v>5000000</v>
      </c>
    </row>
    <row r="7727" spans="1:13" ht="11.25" customHeight="1" x14ac:dyDescent="0.2">
      <c r="A7727" s="221">
        <v>2025</v>
      </c>
      <c r="B7727" s="221">
        <v>5</v>
      </c>
      <c r="C7727" s="221">
        <v>29</v>
      </c>
      <c r="D7727" s="221">
        <f t="shared" si="893"/>
        <v>45806</v>
      </c>
      <c r="E7727" s="233">
        <f t="shared" si="897"/>
        <v>45806</v>
      </c>
      <c r="F7727" s="478" t="s">
        <v>1887</v>
      </c>
      <c r="G7727" s="222" t="s">
        <v>86</v>
      </c>
      <c r="H7727" s="222"/>
      <c r="I7727" s="223"/>
      <c r="J7727" s="224" t="s">
        <v>80</v>
      </c>
      <c r="K7727" s="225">
        <v>2668148.5</v>
      </c>
      <c r="L7727" s="225"/>
    </row>
    <row r="7728" spans="1:13" ht="11.25" customHeight="1" x14ac:dyDescent="0.2">
      <c r="A7728" s="164">
        <v>2025</v>
      </c>
      <c r="B7728" s="164">
        <v>5</v>
      </c>
      <c r="C7728" s="164">
        <v>29</v>
      </c>
      <c r="D7728" s="164">
        <f t="shared" si="893"/>
        <v>45806</v>
      </c>
      <c r="E7728" s="235">
        <f t="shared" si="897"/>
        <v>45806</v>
      </c>
      <c r="F7728" s="480"/>
      <c r="G7728" s="208" t="s">
        <v>86</v>
      </c>
      <c r="H7728" s="208"/>
      <c r="J7728" s="165" t="s">
        <v>960</v>
      </c>
      <c r="K7728" s="205">
        <v>4802.67</v>
      </c>
      <c r="L7728" s="205"/>
    </row>
    <row r="7729" spans="1:14" ht="11.25" customHeight="1" x14ac:dyDescent="0.2">
      <c r="A7729" s="226">
        <v>2025</v>
      </c>
      <c r="B7729" s="226">
        <v>5</v>
      </c>
      <c r="C7729" s="226">
        <v>29</v>
      </c>
      <c r="D7729" s="226">
        <f t="shared" si="893"/>
        <v>45806</v>
      </c>
      <c r="E7729" s="234">
        <f t="shared" si="897"/>
        <v>45806</v>
      </c>
      <c r="F7729" s="479"/>
      <c r="G7729" s="227" t="s">
        <v>86</v>
      </c>
      <c r="H7729" s="227"/>
      <c r="I7729" s="228"/>
      <c r="J7729" s="229" t="s">
        <v>143</v>
      </c>
      <c r="K7729" s="230"/>
      <c r="L7729" s="230">
        <v>2672951.17</v>
      </c>
    </row>
    <row r="7730" spans="1:14" ht="11.25" customHeight="1" x14ac:dyDescent="0.2">
      <c r="A7730" s="221">
        <v>2025</v>
      </c>
      <c r="B7730" s="221">
        <v>5</v>
      </c>
      <c r="C7730" s="221">
        <v>29</v>
      </c>
      <c r="D7730" s="221">
        <f t="shared" si="893"/>
        <v>45806</v>
      </c>
      <c r="E7730" s="233">
        <f t="shared" ref="E7730:E7734" si="898">DATE(A7730,B7730,C7730)</f>
        <v>45806</v>
      </c>
      <c r="F7730" s="478" t="s">
        <v>1593</v>
      </c>
      <c r="G7730" s="222" t="s">
        <v>86</v>
      </c>
      <c r="H7730" s="222"/>
      <c r="I7730" s="223"/>
      <c r="J7730" s="224" t="s">
        <v>80</v>
      </c>
      <c r="K7730" s="225">
        <v>269900</v>
      </c>
      <c r="L7730" s="225"/>
    </row>
    <row r="7731" spans="1:14" ht="11.25" customHeight="1" x14ac:dyDescent="0.2">
      <c r="A7731" s="164">
        <v>2025</v>
      </c>
      <c r="B7731" s="164">
        <v>5</v>
      </c>
      <c r="C7731" s="164">
        <v>29</v>
      </c>
      <c r="D7731" s="164">
        <f t="shared" si="893"/>
        <v>45806</v>
      </c>
      <c r="E7731" s="235">
        <f t="shared" si="898"/>
        <v>45806</v>
      </c>
      <c r="F7731" s="480"/>
      <c r="G7731" s="208" t="s">
        <v>86</v>
      </c>
      <c r="H7731" s="208"/>
      <c r="J7731" s="165" t="s">
        <v>960</v>
      </c>
      <c r="K7731" s="205">
        <v>485.82</v>
      </c>
      <c r="L7731" s="205"/>
    </row>
    <row r="7732" spans="1:14" ht="11.25" customHeight="1" x14ac:dyDescent="0.2">
      <c r="A7732" s="226">
        <v>2025</v>
      </c>
      <c r="B7732" s="226">
        <v>5</v>
      </c>
      <c r="C7732" s="226">
        <v>29</v>
      </c>
      <c r="D7732" s="226">
        <f t="shared" si="893"/>
        <v>45806</v>
      </c>
      <c r="E7732" s="234">
        <f t="shared" si="898"/>
        <v>45806</v>
      </c>
      <c r="F7732" s="479"/>
      <c r="G7732" s="227" t="s">
        <v>86</v>
      </c>
      <c r="H7732" s="227"/>
      <c r="I7732" s="228"/>
      <c r="J7732" s="229" t="s">
        <v>143</v>
      </c>
      <c r="K7732" s="230"/>
      <c r="L7732" s="230">
        <v>270385.82</v>
      </c>
    </row>
    <row r="7733" spans="1:14" ht="11.25" customHeight="1" x14ac:dyDescent="0.2">
      <c r="A7733" s="221">
        <v>2025</v>
      </c>
      <c r="B7733" s="221">
        <v>5</v>
      </c>
      <c r="C7733" s="221">
        <v>29</v>
      </c>
      <c r="D7733" s="231">
        <f t="shared" si="893"/>
        <v>45806</v>
      </c>
      <c r="E7733" s="233">
        <f t="shared" si="898"/>
        <v>45806</v>
      </c>
      <c r="F7733" s="478" t="s">
        <v>1895</v>
      </c>
      <c r="G7733" s="222" t="s">
        <v>1111</v>
      </c>
      <c r="H7733" s="223"/>
      <c r="I7733" s="223"/>
      <c r="J7733" s="224" t="s">
        <v>55</v>
      </c>
      <c r="K7733" s="225">
        <v>465959.76</v>
      </c>
      <c r="L7733" s="225"/>
    </row>
    <row r="7734" spans="1:14" ht="11.25" customHeight="1" x14ac:dyDescent="0.2">
      <c r="A7734" s="226">
        <v>2025</v>
      </c>
      <c r="B7734" s="226">
        <v>5</v>
      </c>
      <c r="C7734" s="226">
        <v>29</v>
      </c>
      <c r="D7734" s="232">
        <f t="shared" si="893"/>
        <v>45806</v>
      </c>
      <c r="E7734" s="234">
        <f t="shared" si="898"/>
        <v>45806</v>
      </c>
      <c r="F7734" s="479"/>
      <c r="G7734" s="227" t="s">
        <v>1111</v>
      </c>
      <c r="H7734" s="228"/>
      <c r="I7734" s="228"/>
      <c r="J7734" s="229" t="s">
        <v>199</v>
      </c>
      <c r="K7734" s="230"/>
      <c r="L7734" s="230">
        <v>465959.76</v>
      </c>
      <c r="N7734" s="438"/>
    </row>
    <row r="7735" spans="1:14" ht="11.25" customHeight="1" x14ac:dyDescent="0.2">
      <c r="A7735" s="280">
        <v>2025</v>
      </c>
      <c r="B7735" s="280">
        <v>5</v>
      </c>
      <c r="C7735" s="280">
        <v>29</v>
      </c>
      <c r="D7735" s="281">
        <f t="shared" si="893"/>
        <v>45806</v>
      </c>
      <c r="E7735" s="282">
        <f t="shared" si="897"/>
        <v>45806</v>
      </c>
      <c r="F7735" s="472" t="s">
        <v>1744</v>
      </c>
      <c r="G7735" s="283" t="s">
        <v>86</v>
      </c>
      <c r="H7735" s="284"/>
      <c r="I7735" s="284"/>
      <c r="J7735" s="285" t="s">
        <v>131</v>
      </c>
      <c r="K7735" s="286">
        <v>19358.330000000002</v>
      </c>
      <c r="L7735" s="286"/>
      <c r="M7735" s="401"/>
    </row>
    <row r="7736" spans="1:14" ht="11.25" customHeight="1" x14ac:dyDescent="0.2">
      <c r="A7736" s="287">
        <v>2025</v>
      </c>
      <c r="B7736" s="287">
        <v>5</v>
      </c>
      <c r="C7736" s="287">
        <v>29</v>
      </c>
      <c r="D7736" s="288">
        <f t="shared" si="893"/>
        <v>45806</v>
      </c>
      <c r="E7736" s="289">
        <f t="shared" si="897"/>
        <v>45806</v>
      </c>
      <c r="F7736" s="473"/>
      <c r="G7736" s="290" t="s">
        <v>86</v>
      </c>
      <c r="H7736" s="291"/>
      <c r="I7736" s="291"/>
      <c r="J7736" s="292" t="s">
        <v>174</v>
      </c>
      <c r="K7736" s="293"/>
      <c r="L7736" s="293">
        <f>K7735</f>
        <v>19358.330000000002</v>
      </c>
    </row>
    <row r="7737" spans="1:14" ht="11.25" customHeight="1" x14ac:dyDescent="0.2">
      <c r="A7737" s="280">
        <v>2025</v>
      </c>
      <c r="B7737" s="280">
        <v>5</v>
      </c>
      <c r="C7737" s="280">
        <v>29</v>
      </c>
      <c r="D7737" s="281">
        <f t="shared" si="893"/>
        <v>45806</v>
      </c>
      <c r="E7737" s="282">
        <f t="shared" si="897"/>
        <v>45806</v>
      </c>
      <c r="F7737" s="472" t="s">
        <v>1584</v>
      </c>
      <c r="G7737" s="283" t="s">
        <v>86</v>
      </c>
      <c r="H7737" s="284"/>
      <c r="I7737" s="284"/>
      <c r="J7737" s="285" t="s">
        <v>131</v>
      </c>
      <c r="K7737" s="286">
        <v>8846.15</v>
      </c>
      <c r="L7737" s="286"/>
      <c r="M7737" s="401"/>
    </row>
    <row r="7738" spans="1:14" ht="11.25" customHeight="1" x14ac:dyDescent="0.2">
      <c r="A7738" s="287">
        <v>2025</v>
      </c>
      <c r="B7738" s="287">
        <v>5</v>
      </c>
      <c r="C7738" s="287">
        <v>29</v>
      </c>
      <c r="D7738" s="288">
        <f t="shared" si="893"/>
        <v>45806</v>
      </c>
      <c r="E7738" s="289">
        <f t="shared" si="897"/>
        <v>45806</v>
      </c>
      <c r="F7738" s="473"/>
      <c r="G7738" s="290" t="s">
        <v>86</v>
      </c>
      <c r="H7738" s="291"/>
      <c r="I7738" s="291"/>
      <c r="J7738" s="292" t="s">
        <v>174</v>
      </c>
      <c r="K7738" s="293"/>
      <c r="L7738" s="293">
        <f>K7737</f>
        <v>8846.15</v>
      </c>
    </row>
    <row r="7739" spans="1:14" ht="11.25" customHeight="1" x14ac:dyDescent="0.2">
      <c r="A7739" s="280">
        <v>2025</v>
      </c>
      <c r="B7739" s="280">
        <v>5</v>
      </c>
      <c r="C7739" s="280">
        <v>29</v>
      </c>
      <c r="D7739" s="281">
        <f t="shared" si="893"/>
        <v>45806</v>
      </c>
      <c r="E7739" s="282">
        <f t="shared" si="897"/>
        <v>45806</v>
      </c>
      <c r="F7739" s="472" t="s">
        <v>1830</v>
      </c>
      <c r="G7739" s="283" t="s">
        <v>86</v>
      </c>
      <c r="H7739" s="284"/>
      <c r="I7739" s="284"/>
      <c r="J7739" s="285" t="s">
        <v>131</v>
      </c>
      <c r="K7739" s="286">
        <v>10081.299999999999</v>
      </c>
      <c r="L7739" s="286"/>
      <c r="M7739" s="401"/>
    </row>
    <row r="7740" spans="1:14" ht="11.25" customHeight="1" x14ac:dyDescent="0.2">
      <c r="A7740" s="287">
        <v>2025</v>
      </c>
      <c r="B7740" s="287">
        <v>5</v>
      </c>
      <c r="C7740" s="287">
        <v>29</v>
      </c>
      <c r="D7740" s="288">
        <f t="shared" si="893"/>
        <v>45806</v>
      </c>
      <c r="E7740" s="289">
        <f t="shared" si="897"/>
        <v>45806</v>
      </c>
      <c r="F7740" s="473"/>
      <c r="G7740" s="290" t="s">
        <v>86</v>
      </c>
      <c r="H7740" s="291"/>
      <c r="I7740" s="291"/>
      <c r="J7740" s="292" t="s">
        <v>174</v>
      </c>
      <c r="K7740" s="293"/>
      <c r="L7740" s="293">
        <f>K7739</f>
        <v>10081.299999999999</v>
      </c>
    </row>
    <row r="7741" spans="1:14" ht="11.25" customHeight="1" x14ac:dyDescent="0.2">
      <c r="A7741" s="280">
        <v>2025</v>
      </c>
      <c r="B7741" s="280">
        <v>5</v>
      </c>
      <c r="C7741" s="280">
        <v>29</v>
      </c>
      <c r="D7741" s="281">
        <f t="shared" si="893"/>
        <v>45806</v>
      </c>
      <c r="E7741" s="282">
        <f t="shared" ref="E7741:E7742" si="899">DATE(A7741,B7741,C7741)</f>
        <v>45806</v>
      </c>
      <c r="F7741" s="472" t="s">
        <v>1830</v>
      </c>
      <c r="G7741" s="283" t="s">
        <v>86</v>
      </c>
      <c r="H7741" s="284"/>
      <c r="I7741" s="284"/>
      <c r="J7741" s="285" t="s">
        <v>131</v>
      </c>
      <c r="K7741" s="286">
        <v>11634.615384615385</v>
      </c>
      <c r="L7741" s="286"/>
      <c r="M7741" s="401"/>
    </row>
    <row r="7742" spans="1:14" ht="11.25" customHeight="1" x14ac:dyDescent="0.2">
      <c r="A7742" s="287">
        <v>2025</v>
      </c>
      <c r="B7742" s="287">
        <v>5</v>
      </c>
      <c r="C7742" s="287">
        <v>29</v>
      </c>
      <c r="D7742" s="288">
        <f t="shared" si="893"/>
        <v>45806</v>
      </c>
      <c r="E7742" s="289">
        <f t="shared" si="899"/>
        <v>45806</v>
      </c>
      <c r="F7742" s="473"/>
      <c r="G7742" s="290" t="s">
        <v>86</v>
      </c>
      <c r="H7742" s="291"/>
      <c r="I7742" s="291"/>
      <c r="J7742" s="292" t="s">
        <v>174</v>
      </c>
      <c r="K7742" s="293"/>
      <c r="L7742" s="293">
        <v>11634.615384615385</v>
      </c>
    </row>
    <row r="7743" spans="1:14" ht="11.25" customHeight="1" x14ac:dyDescent="0.2">
      <c r="A7743" s="341">
        <v>2025</v>
      </c>
      <c r="B7743" s="341">
        <v>5</v>
      </c>
      <c r="C7743" s="341">
        <v>29</v>
      </c>
      <c r="D7743" s="328">
        <f t="shared" si="893"/>
        <v>45806</v>
      </c>
      <c r="E7743" s="329">
        <f t="shared" si="897"/>
        <v>45806</v>
      </c>
      <c r="F7743" s="474" t="s">
        <v>1767</v>
      </c>
      <c r="G7743" s="330" t="s">
        <v>86</v>
      </c>
      <c r="H7743" s="332"/>
      <c r="I7743" s="332"/>
      <c r="J7743" s="342" t="s">
        <v>67</v>
      </c>
      <c r="K7743" s="343">
        <v>30971.49</v>
      </c>
      <c r="L7743" s="343"/>
    </row>
    <row r="7744" spans="1:14" ht="11.25" customHeight="1" x14ac:dyDescent="0.2">
      <c r="A7744" s="344">
        <v>2025</v>
      </c>
      <c r="B7744" s="344">
        <v>5</v>
      </c>
      <c r="C7744" s="344">
        <v>29</v>
      </c>
      <c r="D7744" s="337">
        <f t="shared" si="893"/>
        <v>45806</v>
      </c>
      <c r="E7744" s="338">
        <f t="shared" si="897"/>
        <v>45806</v>
      </c>
      <c r="F7744" s="475"/>
      <c r="G7744" s="339" t="s">
        <v>86</v>
      </c>
      <c r="H7744" s="340"/>
      <c r="I7744" s="340"/>
      <c r="J7744" s="345" t="s">
        <v>174</v>
      </c>
      <c r="K7744" s="346"/>
      <c r="L7744" s="346">
        <f>K7743</f>
        <v>30971.49</v>
      </c>
    </row>
    <row r="7745" spans="1:13" ht="11.25" customHeight="1" x14ac:dyDescent="0.2">
      <c r="A7745" s="358">
        <v>2025</v>
      </c>
      <c r="B7745" s="358">
        <v>5</v>
      </c>
      <c r="C7745" s="358">
        <v>29</v>
      </c>
      <c r="D7745" s="312">
        <f t="shared" si="893"/>
        <v>45806</v>
      </c>
      <c r="E7745" s="313">
        <f>DATE(A7745,B7745,C7745)</f>
        <v>45806</v>
      </c>
      <c r="F7745" s="482" t="s">
        <v>1627</v>
      </c>
      <c r="G7745" s="314" t="s">
        <v>86</v>
      </c>
      <c r="H7745" s="324"/>
      <c r="I7745" s="324"/>
      <c r="J7745" s="364" t="s">
        <v>1613</v>
      </c>
      <c r="K7745" s="365">
        <v>0</v>
      </c>
      <c r="L7745" s="365"/>
      <c r="M7745" s="156">
        <f>BS!$I$12</f>
        <v>0</v>
      </c>
    </row>
    <row r="7746" spans="1:13" ht="11.25" customHeight="1" x14ac:dyDescent="0.2">
      <c r="A7746" s="320">
        <v>2025</v>
      </c>
      <c r="B7746" s="320">
        <v>5</v>
      </c>
      <c r="C7746" s="320">
        <v>29</v>
      </c>
      <c r="D7746" s="323">
        <f t="shared" si="893"/>
        <v>45806</v>
      </c>
      <c r="E7746" s="321">
        <f t="shared" ref="E7746" si="900">DATE(A7746,B7746,C7746)</f>
        <v>45806</v>
      </c>
      <c r="F7746" s="483"/>
      <c r="G7746" s="322" t="s">
        <v>86</v>
      </c>
      <c r="H7746" s="325"/>
      <c r="I7746" s="325"/>
      <c r="J7746" s="366" t="s">
        <v>1621</v>
      </c>
      <c r="K7746" s="367"/>
      <c r="L7746" s="367">
        <f>K7745</f>
        <v>0</v>
      </c>
    </row>
    <row r="7747" spans="1:13" ht="11.25" customHeight="1" x14ac:dyDescent="0.2">
      <c r="A7747" s="358">
        <v>2025</v>
      </c>
      <c r="B7747" s="358">
        <v>5</v>
      </c>
      <c r="C7747" s="358">
        <v>29</v>
      </c>
      <c r="D7747" s="312">
        <f t="shared" si="893"/>
        <v>45806</v>
      </c>
      <c r="E7747" s="313">
        <f>DATE(A7747,B7747,C7747)</f>
        <v>45806</v>
      </c>
      <c r="F7747" s="482" t="s">
        <v>1713</v>
      </c>
      <c r="G7747" s="314" t="s">
        <v>86</v>
      </c>
      <c r="H7747" s="324"/>
      <c r="I7747" s="324"/>
      <c r="J7747" s="364" t="s">
        <v>1622</v>
      </c>
      <c r="K7747" s="365">
        <v>116148.21100000292</v>
      </c>
      <c r="L7747" s="365"/>
      <c r="M7747" s="156">
        <f>BS!$I$15</f>
        <v>0</v>
      </c>
    </row>
    <row r="7748" spans="1:13" ht="11.25" customHeight="1" x14ac:dyDescent="0.2">
      <c r="A7748" s="320">
        <v>2025</v>
      </c>
      <c r="B7748" s="320">
        <v>5</v>
      </c>
      <c r="C7748" s="320">
        <v>29</v>
      </c>
      <c r="D7748" s="323">
        <f t="shared" si="893"/>
        <v>45806</v>
      </c>
      <c r="E7748" s="321">
        <f t="shared" ref="E7748:E7802" si="901">DATE(A7748,B7748,C7748)</f>
        <v>45806</v>
      </c>
      <c r="F7748" s="483"/>
      <c r="G7748" s="322" t="s">
        <v>86</v>
      </c>
      <c r="H7748" s="325"/>
      <c r="I7748" s="325"/>
      <c r="J7748" s="366" t="s">
        <v>1614</v>
      </c>
      <c r="K7748" s="367"/>
      <c r="L7748" s="367">
        <f>K7747</f>
        <v>116148.21100000292</v>
      </c>
    </row>
    <row r="7749" spans="1:13" ht="11.25" customHeight="1" x14ac:dyDescent="0.2">
      <c r="A7749" s="236">
        <v>2025</v>
      </c>
      <c r="B7749" s="236">
        <v>5</v>
      </c>
      <c r="C7749" s="236">
        <v>29</v>
      </c>
      <c r="D7749" s="237">
        <f t="shared" si="893"/>
        <v>45806</v>
      </c>
      <c r="E7749" s="238">
        <f t="shared" si="901"/>
        <v>45806</v>
      </c>
      <c r="F7749" s="476" t="s">
        <v>1118</v>
      </c>
      <c r="G7749" s="239" t="s">
        <v>86</v>
      </c>
      <c r="H7749" s="239"/>
      <c r="I7749" s="240"/>
      <c r="J7749" s="241" t="s">
        <v>82</v>
      </c>
      <c r="K7749" s="242">
        <v>3070835.7099999934</v>
      </c>
      <c r="L7749" s="242"/>
      <c r="M7749" s="156">
        <f>BS!$I$8</f>
        <v>0</v>
      </c>
    </row>
    <row r="7750" spans="1:13" ht="11.25" customHeight="1" x14ac:dyDescent="0.2">
      <c r="A7750" s="243">
        <v>2025</v>
      </c>
      <c r="B7750" s="243">
        <v>5</v>
      </c>
      <c r="C7750" s="243">
        <v>29</v>
      </c>
      <c r="D7750" s="248">
        <f t="shared" si="893"/>
        <v>45806</v>
      </c>
      <c r="E7750" s="249">
        <f t="shared" si="901"/>
        <v>45806</v>
      </c>
      <c r="F7750" s="477"/>
      <c r="G7750" s="244" t="s">
        <v>86</v>
      </c>
      <c r="H7750" s="244"/>
      <c r="I7750" s="245"/>
      <c r="J7750" s="246" t="s">
        <v>98</v>
      </c>
      <c r="K7750" s="247"/>
      <c r="L7750" s="247">
        <f>K7749</f>
        <v>3070835.7099999934</v>
      </c>
    </row>
    <row r="7751" spans="1:13" ht="11.25" customHeight="1" x14ac:dyDescent="0.2">
      <c r="A7751" s="236">
        <v>2025</v>
      </c>
      <c r="B7751" s="236">
        <v>5</v>
      </c>
      <c r="C7751" s="236">
        <v>29</v>
      </c>
      <c r="D7751" s="237">
        <f t="shared" si="893"/>
        <v>45806</v>
      </c>
      <c r="E7751" s="238">
        <f t="shared" si="901"/>
        <v>45806</v>
      </c>
      <c r="F7751" s="476" t="s">
        <v>1120</v>
      </c>
      <c r="G7751" s="239" t="s">
        <v>86</v>
      </c>
      <c r="H7751" s="239"/>
      <c r="I7751" s="240"/>
      <c r="J7751" s="241" t="s">
        <v>87</v>
      </c>
      <c r="K7751" s="242">
        <v>2747.2527472527472</v>
      </c>
      <c r="L7751" s="242"/>
      <c r="M7751" s="401"/>
    </row>
    <row r="7752" spans="1:13" ht="11.25" customHeight="1" x14ac:dyDescent="0.2">
      <c r="A7752" s="243">
        <v>2025</v>
      </c>
      <c r="B7752" s="243">
        <v>5</v>
      </c>
      <c r="C7752" s="243">
        <v>29</v>
      </c>
      <c r="D7752" s="248">
        <f t="shared" si="893"/>
        <v>45806</v>
      </c>
      <c r="E7752" s="249">
        <f t="shared" si="901"/>
        <v>45806</v>
      </c>
      <c r="F7752" s="477"/>
      <c r="G7752" s="244" t="s">
        <v>86</v>
      </c>
      <c r="H7752" s="244"/>
      <c r="I7752" s="245"/>
      <c r="J7752" s="246" t="s">
        <v>64</v>
      </c>
      <c r="K7752" s="247"/>
      <c r="L7752" s="247">
        <f>K7751</f>
        <v>2747.2527472527472</v>
      </c>
    </row>
    <row r="7753" spans="1:13" ht="11.25" customHeight="1" x14ac:dyDescent="0.2">
      <c r="A7753" s="236">
        <v>2025</v>
      </c>
      <c r="B7753" s="236">
        <v>5</v>
      </c>
      <c r="C7753" s="236">
        <v>29</v>
      </c>
      <c r="D7753" s="237">
        <f t="shared" ref="D7753:D7816" si="902">DATE(A7753,B7753,C7753)</f>
        <v>45806</v>
      </c>
      <c r="E7753" s="238">
        <f t="shared" si="901"/>
        <v>45806</v>
      </c>
      <c r="F7753" s="476" t="s">
        <v>1121</v>
      </c>
      <c r="G7753" s="239" t="s">
        <v>86</v>
      </c>
      <c r="H7753" s="239"/>
      <c r="I7753" s="240"/>
      <c r="J7753" s="241" t="s">
        <v>89</v>
      </c>
      <c r="K7753" s="242">
        <f>M7753</f>
        <v>70218.252637535435</v>
      </c>
      <c r="L7753" s="242"/>
      <c r="M7753" s="156">
        <v>70218.252637535435</v>
      </c>
    </row>
    <row r="7754" spans="1:13" ht="11.25" customHeight="1" x14ac:dyDescent="0.2">
      <c r="A7754" s="243">
        <v>2025</v>
      </c>
      <c r="B7754" s="243">
        <v>5</v>
      </c>
      <c r="C7754" s="243">
        <v>29</v>
      </c>
      <c r="D7754" s="248">
        <f t="shared" si="902"/>
        <v>45806</v>
      </c>
      <c r="E7754" s="249">
        <f t="shared" si="901"/>
        <v>45806</v>
      </c>
      <c r="F7754" s="477"/>
      <c r="G7754" s="244" t="s">
        <v>86</v>
      </c>
      <c r="H7754" s="244"/>
      <c r="I7754" s="245"/>
      <c r="J7754" s="246" t="s">
        <v>50</v>
      </c>
      <c r="K7754" s="247"/>
      <c r="L7754" s="247">
        <f>K7753</f>
        <v>70218.252637535435</v>
      </c>
      <c r="M7754" s="156">
        <v>3270.5280164921564</v>
      </c>
    </row>
    <row r="7755" spans="1:13" ht="11.25" customHeight="1" x14ac:dyDescent="0.2">
      <c r="A7755" s="236">
        <v>2025</v>
      </c>
      <c r="B7755" s="236">
        <v>5</v>
      </c>
      <c r="C7755" s="236">
        <v>29</v>
      </c>
      <c r="D7755" s="237">
        <f t="shared" si="902"/>
        <v>45806</v>
      </c>
      <c r="E7755" s="238">
        <f t="shared" si="901"/>
        <v>45806</v>
      </c>
      <c r="F7755" s="476" t="s">
        <v>1122</v>
      </c>
      <c r="G7755" s="239" t="s">
        <v>86</v>
      </c>
      <c r="H7755" s="239"/>
      <c r="I7755" s="240"/>
      <c r="J7755" s="241" t="s">
        <v>91</v>
      </c>
      <c r="K7755" s="242">
        <f>M7754</f>
        <v>3270.5280164921564</v>
      </c>
      <c r="L7755" s="242"/>
    </row>
    <row r="7756" spans="1:13" ht="11.25" customHeight="1" x14ac:dyDescent="0.2">
      <c r="A7756" s="243">
        <v>2025</v>
      </c>
      <c r="B7756" s="243">
        <v>5</v>
      </c>
      <c r="C7756" s="243">
        <v>29</v>
      </c>
      <c r="D7756" s="248">
        <f t="shared" si="902"/>
        <v>45806</v>
      </c>
      <c r="E7756" s="249">
        <f t="shared" si="901"/>
        <v>45806</v>
      </c>
      <c r="F7756" s="477"/>
      <c r="G7756" s="244" t="s">
        <v>86</v>
      </c>
      <c r="H7756" s="244"/>
      <c r="I7756" s="245"/>
      <c r="J7756" s="246" t="s">
        <v>51</v>
      </c>
      <c r="K7756" s="247"/>
      <c r="L7756" s="247">
        <f>K7755</f>
        <v>3270.5280164921564</v>
      </c>
    </row>
    <row r="7757" spans="1:13" ht="11.25" customHeight="1" x14ac:dyDescent="0.2">
      <c r="A7757" s="221">
        <v>2025</v>
      </c>
      <c r="B7757" s="221">
        <v>5</v>
      </c>
      <c r="C7757" s="221">
        <v>31</v>
      </c>
      <c r="D7757" s="231">
        <f t="shared" si="902"/>
        <v>45808</v>
      </c>
      <c r="E7757" s="233">
        <f t="shared" si="901"/>
        <v>45808</v>
      </c>
      <c r="F7757" s="478" t="s">
        <v>1829</v>
      </c>
      <c r="G7757" s="222" t="s">
        <v>86</v>
      </c>
      <c r="H7757" s="223"/>
      <c r="I7757" s="223"/>
      <c r="J7757" s="224" t="s">
        <v>88</v>
      </c>
      <c r="K7757" s="225"/>
      <c r="L7757" s="225"/>
    </row>
    <row r="7758" spans="1:13" ht="11.25" customHeight="1" x14ac:dyDescent="0.2">
      <c r="A7758" s="164">
        <v>2025</v>
      </c>
      <c r="B7758" s="164">
        <v>5</v>
      </c>
      <c r="C7758" s="164">
        <v>31</v>
      </c>
      <c r="D7758" s="156">
        <f t="shared" si="902"/>
        <v>45808</v>
      </c>
      <c r="E7758" s="235">
        <f t="shared" si="901"/>
        <v>45808</v>
      </c>
      <c r="F7758" s="480"/>
      <c r="G7758" s="208" t="s">
        <v>86</v>
      </c>
      <c r="J7758" s="165" t="s">
        <v>131</v>
      </c>
      <c r="K7758" s="205"/>
      <c r="L7758" s="205"/>
    </row>
    <row r="7759" spans="1:13" ht="11.25" customHeight="1" x14ac:dyDescent="0.2">
      <c r="A7759" s="226">
        <v>2025</v>
      </c>
      <c r="B7759" s="226">
        <v>5</v>
      </c>
      <c r="C7759" s="226">
        <v>31</v>
      </c>
      <c r="D7759" s="232">
        <f t="shared" si="902"/>
        <v>45808</v>
      </c>
      <c r="E7759" s="234">
        <f t="shared" si="901"/>
        <v>45808</v>
      </c>
      <c r="F7759" s="479"/>
      <c r="G7759" s="227" t="s">
        <v>86</v>
      </c>
      <c r="H7759" s="228"/>
      <c r="I7759" s="228"/>
      <c r="J7759" s="229" t="s">
        <v>88</v>
      </c>
      <c r="K7759" s="230"/>
      <c r="L7759" s="230"/>
    </row>
    <row r="7760" spans="1:13" ht="11.25" customHeight="1" x14ac:dyDescent="0.2">
      <c r="A7760" s="221">
        <v>2025</v>
      </c>
      <c r="B7760" s="221">
        <v>6</v>
      </c>
      <c r="C7760" s="221">
        <v>1</v>
      </c>
      <c r="D7760" s="231">
        <f t="shared" si="902"/>
        <v>45809</v>
      </c>
      <c r="E7760" s="233">
        <f t="shared" si="901"/>
        <v>45809</v>
      </c>
      <c r="F7760" s="478" t="s">
        <v>1921</v>
      </c>
      <c r="G7760" s="222" t="s">
        <v>1111</v>
      </c>
      <c r="H7760" s="223"/>
      <c r="I7760" s="223"/>
      <c r="J7760" s="224" t="s">
        <v>63</v>
      </c>
      <c r="K7760" s="225">
        <v>100</v>
      </c>
      <c r="L7760" s="225"/>
    </row>
    <row r="7761" spans="1:14" ht="11.25" customHeight="1" x14ac:dyDescent="0.2">
      <c r="A7761" s="226">
        <v>2025</v>
      </c>
      <c r="B7761" s="164">
        <v>6</v>
      </c>
      <c r="C7761" s="164">
        <v>1</v>
      </c>
      <c r="D7761" s="232">
        <f t="shared" si="902"/>
        <v>45809</v>
      </c>
      <c r="E7761" s="234">
        <f t="shared" si="901"/>
        <v>45809</v>
      </c>
      <c r="F7761" s="479"/>
      <c r="G7761" s="227" t="s">
        <v>1111</v>
      </c>
      <c r="H7761" s="228"/>
      <c r="I7761" s="228"/>
      <c r="J7761" s="229" t="s">
        <v>55</v>
      </c>
      <c r="K7761" s="230"/>
      <c r="L7761" s="230">
        <v>100</v>
      </c>
    </row>
    <row r="7762" spans="1:14" ht="11.25" customHeight="1" x14ac:dyDescent="0.2">
      <c r="A7762" s="221">
        <v>2025</v>
      </c>
      <c r="B7762" s="221">
        <v>6</v>
      </c>
      <c r="C7762" s="221">
        <v>1</v>
      </c>
      <c r="D7762" s="221">
        <f t="shared" si="902"/>
        <v>45809</v>
      </c>
      <c r="E7762" s="233">
        <f t="shared" si="901"/>
        <v>45809</v>
      </c>
      <c r="F7762" s="478" t="s">
        <v>1887</v>
      </c>
      <c r="G7762" s="222" t="s">
        <v>86</v>
      </c>
      <c r="H7762" s="222"/>
      <c r="I7762" s="223"/>
      <c r="J7762" s="224" t="s">
        <v>80</v>
      </c>
      <c r="K7762" s="225">
        <v>1473905</v>
      </c>
      <c r="L7762" s="225"/>
    </row>
    <row r="7763" spans="1:14" ht="11.25" customHeight="1" x14ac:dyDescent="0.2">
      <c r="A7763" s="164">
        <v>2025</v>
      </c>
      <c r="B7763" s="164">
        <v>6</v>
      </c>
      <c r="C7763" s="164">
        <v>1</v>
      </c>
      <c r="D7763" s="164">
        <f t="shared" si="902"/>
        <v>45809</v>
      </c>
      <c r="E7763" s="235">
        <f t="shared" si="901"/>
        <v>45809</v>
      </c>
      <c r="F7763" s="480"/>
      <c r="G7763" s="208" t="s">
        <v>86</v>
      </c>
      <c r="H7763" s="208"/>
      <c r="J7763" s="165" t="s">
        <v>960</v>
      </c>
      <c r="K7763" s="205">
        <v>2653.03</v>
      </c>
      <c r="L7763" s="205"/>
    </row>
    <row r="7764" spans="1:14" ht="11.25" customHeight="1" x14ac:dyDescent="0.2">
      <c r="A7764" s="226">
        <v>2025</v>
      </c>
      <c r="B7764" s="226">
        <v>6</v>
      </c>
      <c r="C7764" s="226">
        <v>1</v>
      </c>
      <c r="D7764" s="226">
        <f t="shared" si="902"/>
        <v>45809</v>
      </c>
      <c r="E7764" s="234">
        <f t="shared" si="901"/>
        <v>45809</v>
      </c>
      <c r="F7764" s="479"/>
      <c r="G7764" s="227" t="s">
        <v>86</v>
      </c>
      <c r="H7764" s="227"/>
      <c r="I7764" s="228"/>
      <c r="J7764" s="229" t="s">
        <v>143</v>
      </c>
      <c r="K7764" s="230"/>
      <c r="L7764" s="230">
        <v>1476558.03</v>
      </c>
    </row>
    <row r="7765" spans="1:14" ht="11.25" customHeight="1" x14ac:dyDescent="0.2">
      <c r="A7765" s="221">
        <v>2025</v>
      </c>
      <c r="B7765" s="221">
        <v>6</v>
      </c>
      <c r="C7765" s="221">
        <v>1</v>
      </c>
      <c r="D7765" s="221">
        <f t="shared" si="902"/>
        <v>45809</v>
      </c>
      <c r="E7765" s="233">
        <f t="shared" si="901"/>
        <v>45809</v>
      </c>
      <c r="F7765" s="478" t="s">
        <v>1593</v>
      </c>
      <c r="G7765" s="222" t="s">
        <v>86</v>
      </c>
      <c r="H7765" s="222"/>
      <c r="I7765" s="223"/>
      <c r="J7765" s="224" t="s">
        <v>80</v>
      </c>
      <c r="K7765" s="225">
        <v>1741577.4</v>
      </c>
      <c r="L7765" s="225"/>
    </row>
    <row r="7766" spans="1:14" ht="11.25" customHeight="1" x14ac:dyDescent="0.2">
      <c r="A7766" s="164">
        <v>2025</v>
      </c>
      <c r="B7766" s="164">
        <v>6</v>
      </c>
      <c r="C7766" s="164">
        <v>1</v>
      </c>
      <c r="D7766" s="164">
        <f t="shared" si="902"/>
        <v>45809</v>
      </c>
      <c r="E7766" s="235">
        <f t="shared" si="901"/>
        <v>45809</v>
      </c>
      <c r="F7766" s="480"/>
      <c r="G7766" s="208" t="s">
        <v>86</v>
      </c>
      <c r="H7766" s="208"/>
      <c r="J7766" s="165" t="s">
        <v>960</v>
      </c>
      <c r="K7766" s="205">
        <v>3134.84</v>
      </c>
      <c r="L7766" s="205"/>
    </row>
    <row r="7767" spans="1:14" ht="11.25" customHeight="1" x14ac:dyDescent="0.2">
      <c r="A7767" s="226">
        <v>2025</v>
      </c>
      <c r="B7767" s="226">
        <v>6</v>
      </c>
      <c r="C7767" s="226">
        <v>1</v>
      </c>
      <c r="D7767" s="226">
        <f t="shared" si="902"/>
        <v>45809</v>
      </c>
      <c r="E7767" s="234">
        <f t="shared" si="901"/>
        <v>45809</v>
      </c>
      <c r="F7767" s="479"/>
      <c r="G7767" s="227" t="s">
        <v>86</v>
      </c>
      <c r="H7767" s="227"/>
      <c r="I7767" s="228"/>
      <c r="J7767" s="229" t="s">
        <v>143</v>
      </c>
      <c r="K7767" s="230"/>
      <c r="L7767" s="230">
        <v>1744712.24</v>
      </c>
    </row>
    <row r="7768" spans="1:14" ht="11.25" customHeight="1" x14ac:dyDescent="0.2">
      <c r="A7768" s="221">
        <v>2025</v>
      </c>
      <c r="B7768" s="221">
        <v>6</v>
      </c>
      <c r="C7768" s="221">
        <v>1</v>
      </c>
      <c r="D7768" s="231">
        <f t="shared" si="902"/>
        <v>45809</v>
      </c>
      <c r="E7768" s="233">
        <f t="shared" si="901"/>
        <v>45809</v>
      </c>
      <c r="F7768" s="478" t="s">
        <v>1670</v>
      </c>
      <c r="G7768" s="222" t="s">
        <v>1111</v>
      </c>
      <c r="H7768" s="223"/>
      <c r="I7768" s="223"/>
      <c r="J7768" s="224" t="s">
        <v>63</v>
      </c>
      <c r="K7768" s="225">
        <v>200</v>
      </c>
      <c r="L7768" s="225"/>
    </row>
    <row r="7769" spans="1:14" ht="11.25" customHeight="1" x14ac:dyDescent="0.2">
      <c r="A7769" s="226">
        <v>2025</v>
      </c>
      <c r="B7769" s="226">
        <v>6</v>
      </c>
      <c r="C7769" s="226">
        <v>1</v>
      </c>
      <c r="D7769" s="232">
        <f t="shared" si="902"/>
        <v>45809</v>
      </c>
      <c r="E7769" s="234">
        <f t="shared" si="901"/>
        <v>45809</v>
      </c>
      <c r="F7769" s="479"/>
      <c r="G7769" s="227" t="s">
        <v>1111</v>
      </c>
      <c r="H7769" s="228"/>
      <c r="I7769" s="228"/>
      <c r="J7769" s="229" t="s">
        <v>55</v>
      </c>
      <c r="K7769" s="230"/>
      <c r="L7769" s="230">
        <v>200</v>
      </c>
    </row>
    <row r="7770" spans="1:14" ht="11.25" customHeight="1" x14ac:dyDescent="0.2">
      <c r="A7770" s="221">
        <v>2025</v>
      </c>
      <c r="B7770" s="221">
        <v>6</v>
      </c>
      <c r="C7770" s="221">
        <v>1</v>
      </c>
      <c r="D7770" s="231">
        <f t="shared" si="902"/>
        <v>45809</v>
      </c>
      <c r="E7770" s="233">
        <f t="shared" si="901"/>
        <v>45809</v>
      </c>
      <c r="F7770" s="478" t="s">
        <v>1814</v>
      </c>
      <c r="G7770" s="222" t="s">
        <v>1111</v>
      </c>
      <c r="H7770" s="223"/>
      <c r="I7770" s="223"/>
      <c r="J7770" s="224" t="s">
        <v>961</v>
      </c>
      <c r="K7770" s="225">
        <v>270385.82</v>
      </c>
      <c r="L7770" s="225"/>
    </row>
    <row r="7771" spans="1:14" ht="11.25" customHeight="1" x14ac:dyDescent="0.2">
      <c r="A7771" s="226">
        <v>2025</v>
      </c>
      <c r="B7771" s="226">
        <v>6</v>
      </c>
      <c r="C7771" s="226">
        <v>1</v>
      </c>
      <c r="D7771" s="232">
        <f t="shared" si="902"/>
        <v>45809</v>
      </c>
      <c r="E7771" s="234">
        <f t="shared" si="901"/>
        <v>45809</v>
      </c>
      <c r="F7771" s="479"/>
      <c r="G7771" s="227" t="s">
        <v>1111</v>
      </c>
      <c r="H7771" s="228"/>
      <c r="I7771" s="228"/>
      <c r="J7771" s="229" t="s">
        <v>55</v>
      </c>
      <c r="K7771" s="230"/>
      <c r="L7771" s="230">
        <v>270385.82</v>
      </c>
    </row>
    <row r="7772" spans="1:14" ht="11.25" customHeight="1" x14ac:dyDescent="0.2">
      <c r="A7772" s="221">
        <v>2025</v>
      </c>
      <c r="B7772" s="221">
        <v>6</v>
      </c>
      <c r="C7772" s="221">
        <v>1</v>
      </c>
      <c r="D7772" s="231">
        <f t="shared" si="902"/>
        <v>45809</v>
      </c>
      <c r="E7772" s="233">
        <f t="shared" si="901"/>
        <v>45809</v>
      </c>
      <c r="F7772" s="478" t="s">
        <v>1843</v>
      </c>
      <c r="G7772" s="222" t="s">
        <v>1111</v>
      </c>
      <c r="H7772" s="223"/>
      <c r="I7772" s="223"/>
      <c r="J7772" s="224" t="s">
        <v>55</v>
      </c>
      <c r="K7772" s="225">
        <v>681155</v>
      </c>
      <c r="L7772" s="225"/>
    </row>
    <row r="7773" spans="1:14" ht="11.25" customHeight="1" x14ac:dyDescent="0.2">
      <c r="A7773" s="226">
        <v>2025</v>
      </c>
      <c r="B7773" s="226">
        <v>6</v>
      </c>
      <c r="C7773" s="226">
        <v>1</v>
      </c>
      <c r="D7773" s="232">
        <f t="shared" si="902"/>
        <v>45809</v>
      </c>
      <c r="E7773" s="234">
        <f t="shared" si="901"/>
        <v>45809</v>
      </c>
      <c r="F7773" s="479"/>
      <c r="G7773" s="227" t="s">
        <v>1111</v>
      </c>
      <c r="H7773" s="228"/>
      <c r="I7773" s="228"/>
      <c r="J7773" s="229" t="s">
        <v>199</v>
      </c>
      <c r="K7773" s="230"/>
      <c r="L7773" s="230">
        <v>681155</v>
      </c>
      <c r="N7773" s="438"/>
    </row>
    <row r="7774" spans="1:14" ht="11.25" customHeight="1" x14ac:dyDescent="0.2">
      <c r="A7774" s="221">
        <v>2025</v>
      </c>
      <c r="B7774" s="221">
        <v>6</v>
      </c>
      <c r="C7774" s="221">
        <v>1</v>
      </c>
      <c r="D7774" s="231">
        <f t="shared" si="902"/>
        <v>45809</v>
      </c>
      <c r="E7774" s="233">
        <f t="shared" ref="E7774:E7777" si="903">DATE(A7774,B7774,C7774)</f>
        <v>45809</v>
      </c>
      <c r="F7774" s="478" t="s">
        <v>1843</v>
      </c>
      <c r="G7774" s="222" t="s">
        <v>1111</v>
      </c>
      <c r="H7774" s="223"/>
      <c r="I7774" s="223"/>
      <c r="J7774" s="224" t="s">
        <v>55</v>
      </c>
      <c r="K7774" s="225">
        <v>211748</v>
      </c>
      <c r="L7774" s="225"/>
    </row>
    <row r="7775" spans="1:14" ht="11.25" customHeight="1" x14ac:dyDescent="0.2">
      <c r="A7775" s="226">
        <v>2025</v>
      </c>
      <c r="B7775" s="226">
        <v>6</v>
      </c>
      <c r="C7775" s="226">
        <v>1</v>
      </c>
      <c r="D7775" s="232">
        <f t="shared" si="902"/>
        <v>45809</v>
      </c>
      <c r="E7775" s="234">
        <f t="shared" si="903"/>
        <v>45809</v>
      </c>
      <c r="F7775" s="479"/>
      <c r="G7775" s="227" t="s">
        <v>1111</v>
      </c>
      <c r="H7775" s="228"/>
      <c r="I7775" s="228"/>
      <c r="J7775" s="229" t="s">
        <v>199</v>
      </c>
      <c r="K7775" s="230"/>
      <c r="L7775" s="230">
        <v>211748</v>
      </c>
      <c r="N7775" s="438"/>
    </row>
    <row r="7776" spans="1:14" ht="11.25" customHeight="1" x14ac:dyDescent="0.2">
      <c r="A7776" s="221">
        <v>2025</v>
      </c>
      <c r="B7776" s="221">
        <v>6</v>
      </c>
      <c r="C7776" s="221">
        <v>1</v>
      </c>
      <c r="D7776" s="231">
        <f t="shared" si="902"/>
        <v>45809</v>
      </c>
      <c r="E7776" s="233">
        <f t="shared" si="903"/>
        <v>45809</v>
      </c>
      <c r="F7776" s="478" t="s">
        <v>1896</v>
      </c>
      <c r="G7776" s="222" t="s">
        <v>1111</v>
      </c>
      <c r="H7776" s="222"/>
      <c r="I7776" s="223"/>
      <c r="J7776" s="224" t="s">
        <v>80</v>
      </c>
      <c r="K7776" s="225">
        <v>1551000</v>
      </c>
      <c r="L7776" s="225"/>
    </row>
    <row r="7777" spans="1:14" ht="11.25" customHeight="1" x14ac:dyDescent="0.2">
      <c r="A7777" s="226">
        <v>2025</v>
      </c>
      <c r="B7777" s="226">
        <v>6</v>
      </c>
      <c r="C7777" s="226">
        <v>1</v>
      </c>
      <c r="D7777" s="226">
        <f t="shared" si="902"/>
        <v>45809</v>
      </c>
      <c r="E7777" s="234">
        <f t="shared" si="903"/>
        <v>45809</v>
      </c>
      <c r="F7777" s="479"/>
      <c r="G7777" s="227" t="s">
        <v>1111</v>
      </c>
      <c r="H7777" s="227"/>
      <c r="I7777" s="228"/>
      <c r="J7777" s="229" t="s">
        <v>55</v>
      </c>
      <c r="K7777" s="294"/>
      <c r="L7777" s="230">
        <v>1551000</v>
      </c>
    </row>
    <row r="7778" spans="1:14" ht="11.25" customHeight="1" x14ac:dyDescent="0.2">
      <c r="A7778" s="221">
        <v>2025</v>
      </c>
      <c r="B7778" s="221">
        <v>6</v>
      </c>
      <c r="C7778" s="221">
        <v>2</v>
      </c>
      <c r="D7778" s="221">
        <f t="shared" si="902"/>
        <v>45810</v>
      </c>
      <c r="E7778" s="233">
        <f t="shared" si="901"/>
        <v>45810</v>
      </c>
      <c r="F7778" s="478" t="s">
        <v>1884</v>
      </c>
      <c r="G7778" s="222" t="s">
        <v>86</v>
      </c>
      <c r="H7778" s="222"/>
      <c r="I7778" s="223"/>
      <c r="J7778" s="224" t="s">
        <v>80</v>
      </c>
      <c r="K7778" s="225">
        <v>810500</v>
      </c>
      <c r="L7778" s="225"/>
    </row>
    <row r="7779" spans="1:14" ht="11.25" customHeight="1" x14ac:dyDescent="0.2">
      <c r="A7779" s="164">
        <v>2025</v>
      </c>
      <c r="B7779" s="164">
        <v>6</v>
      </c>
      <c r="C7779" s="164">
        <v>2</v>
      </c>
      <c r="D7779" s="164">
        <f t="shared" si="902"/>
        <v>45810</v>
      </c>
      <c r="E7779" s="235">
        <f t="shared" si="901"/>
        <v>45810</v>
      </c>
      <c r="F7779" s="480"/>
      <c r="G7779" s="208" t="s">
        <v>86</v>
      </c>
      <c r="H7779" s="208"/>
      <c r="J7779" s="165" t="s">
        <v>960</v>
      </c>
      <c r="K7779" s="205">
        <v>6327.49</v>
      </c>
      <c r="L7779" s="205"/>
      <c r="M7779" s="263"/>
      <c r="N7779" s="263"/>
    </row>
    <row r="7780" spans="1:14" ht="11.25" customHeight="1" x14ac:dyDescent="0.2">
      <c r="A7780" s="164">
        <v>2025</v>
      </c>
      <c r="B7780" s="164">
        <v>6</v>
      </c>
      <c r="C7780" s="164">
        <v>2</v>
      </c>
      <c r="D7780" s="164">
        <f t="shared" si="902"/>
        <v>45810</v>
      </c>
      <c r="E7780" s="235">
        <f t="shared" si="901"/>
        <v>45810</v>
      </c>
      <c r="F7780" s="480"/>
      <c r="G7780" s="208" t="s">
        <v>86</v>
      </c>
      <c r="H7780" s="208"/>
      <c r="J7780" s="165" t="s">
        <v>199</v>
      </c>
      <c r="K7780" s="205">
        <v>1887944.11</v>
      </c>
      <c r="L7780" s="205"/>
      <c r="M7780" s="263"/>
    </row>
    <row r="7781" spans="1:14" ht="11.25" customHeight="1" x14ac:dyDescent="0.2">
      <c r="A7781" s="164">
        <v>2025</v>
      </c>
      <c r="B7781" s="164">
        <v>6</v>
      </c>
      <c r="C7781" s="164">
        <v>2</v>
      </c>
      <c r="D7781" s="164">
        <f t="shared" si="902"/>
        <v>45810</v>
      </c>
      <c r="E7781" s="235">
        <f t="shared" si="901"/>
        <v>45810</v>
      </c>
      <c r="F7781" s="480"/>
      <c r="G7781" s="208" t="s">
        <v>86</v>
      </c>
      <c r="H7781" s="208"/>
      <c r="J7781" s="165" t="s">
        <v>200</v>
      </c>
      <c r="K7781" s="205"/>
      <c r="L7781" s="205">
        <v>21526.04</v>
      </c>
      <c r="M7781" s="263"/>
    </row>
    <row r="7782" spans="1:14" ht="11.25" customHeight="1" x14ac:dyDescent="0.2">
      <c r="A7782" s="226">
        <v>2025</v>
      </c>
      <c r="B7782" s="226">
        <v>6</v>
      </c>
      <c r="C7782" s="226">
        <v>2</v>
      </c>
      <c r="D7782" s="226">
        <f t="shared" si="902"/>
        <v>45810</v>
      </c>
      <c r="E7782" s="234">
        <f t="shared" si="901"/>
        <v>45810</v>
      </c>
      <c r="F7782" s="479"/>
      <c r="G7782" s="227" t="s">
        <v>86</v>
      </c>
      <c r="H7782" s="228"/>
      <c r="I7782" s="228"/>
      <c r="J7782" s="229" t="s">
        <v>80</v>
      </c>
      <c r="K7782" s="230"/>
      <c r="L7782" s="230">
        <v>2683245.56</v>
      </c>
      <c r="M7782" s="263"/>
    </row>
    <row r="7783" spans="1:14" ht="11.25" customHeight="1" x14ac:dyDescent="0.2">
      <c r="A7783" s="221">
        <v>2025</v>
      </c>
      <c r="B7783" s="221">
        <v>6</v>
      </c>
      <c r="C7783" s="221">
        <v>2</v>
      </c>
      <c r="D7783" s="231">
        <f t="shared" si="902"/>
        <v>45810</v>
      </c>
      <c r="E7783" s="233">
        <f t="shared" ref="E7783:E7784" si="904">DATE(A7783,B7783,C7783)</f>
        <v>45810</v>
      </c>
      <c r="F7783" s="478" t="s">
        <v>1814</v>
      </c>
      <c r="G7783" s="222" t="s">
        <v>1111</v>
      </c>
      <c r="H7783" s="223"/>
      <c r="I7783" s="223"/>
      <c r="J7783" s="224" t="s">
        <v>961</v>
      </c>
      <c r="K7783" s="225">
        <v>1744712.24</v>
      </c>
      <c r="L7783" s="225"/>
    </row>
    <row r="7784" spans="1:14" ht="11.25" customHeight="1" x14ac:dyDescent="0.2">
      <c r="A7784" s="226">
        <v>2025</v>
      </c>
      <c r="B7784" s="226">
        <v>6</v>
      </c>
      <c r="C7784" s="226">
        <v>2</v>
      </c>
      <c r="D7784" s="232">
        <f t="shared" si="902"/>
        <v>45810</v>
      </c>
      <c r="E7784" s="234">
        <f t="shared" si="904"/>
        <v>45810</v>
      </c>
      <c r="F7784" s="479"/>
      <c r="G7784" s="227" t="s">
        <v>1111</v>
      </c>
      <c r="H7784" s="228"/>
      <c r="I7784" s="228"/>
      <c r="J7784" s="229" t="s">
        <v>55</v>
      </c>
      <c r="K7784" s="230"/>
      <c r="L7784" s="230">
        <v>1744712.24</v>
      </c>
    </row>
    <row r="7785" spans="1:14" ht="11.25" customHeight="1" x14ac:dyDescent="0.2">
      <c r="A7785" s="221">
        <v>2025</v>
      </c>
      <c r="B7785" s="221">
        <v>6</v>
      </c>
      <c r="C7785" s="221">
        <v>2</v>
      </c>
      <c r="D7785" s="231">
        <f t="shared" si="902"/>
        <v>45810</v>
      </c>
      <c r="E7785" s="233">
        <f t="shared" ref="E7785:E7786" si="905">DATE(A7785,B7785,C7785)</f>
        <v>45810</v>
      </c>
      <c r="F7785" s="478" t="s">
        <v>1888</v>
      </c>
      <c r="G7785" s="222" t="s">
        <v>1111</v>
      </c>
      <c r="H7785" s="223"/>
      <c r="I7785" s="223"/>
      <c r="J7785" s="224" t="s">
        <v>961</v>
      </c>
      <c r="K7785" s="225">
        <v>2672951.17</v>
      </c>
      <c r="L7785" s="225"/>
    </row>
    <row r="7786" spans="1:14" ht="11.25" customHeight="1" x14ac:dyDescent="0.2">
      <c r="A7786" s="226">
        <v>2025</v>
      </c>
      <c r="B7786" s="226">
        <v>6</v>
      </c>
      <c r="C7786" s="226">
        <v>2</v>
      </c>
      <c r="D7786" s="232">
        <f t="shared" si="902"/>
        <v>45810</v>
      </c>
      <c r="E7786" s="234">
        <f t="shared" si="905"/>
        <v>45810</v>
      </c>
      <c r="F7786" s="479"/>
      <c r="G7786" s="227" t="s">
        <v>1111</v>
      </c>
      <c r="H7786" s="228"/>
      <c r="I7786" s="228"/>
      <c r="J7786" s="229" t="s">
        <v>55</v>
      </c>
      <c r="K7786" s="230"/>
      <c r="L7786" s="230">
        <v>2672951.17</v>
      </c>
    </row>
    <row r="7787" spans="1:14" ht="11.25" customHeight="1" x14ac:dyDescent="0.2">
      <c r="A7787" s="221">
        <v>2025</v>
      </c>
      <c r="B7787" s="221">
        <v>6</v>
      </c>
      <c r="C7787" s="221">
        <v>2</v>
      </c>
      <c r="D7787" s="231">
        <f t="shared" si="902"/>
        <v>45810</v>
      </c>
      <c r="E7787" s="233">
        <f t="shared" ref="E7787:E7792" si="906">DATE(A7787,B7787,C7787)</f>
        <v>45810</v>
      </c>
      <c r="F7787" s="478" t="s">
        <v>1888</v>
      </c>
      <c r="G7787" s="222" t="s">
        <v>1111</v>
      </c>
      <c r="H7787" s="223"/>
      <c r="I7787" s="223"/>
      <c r="J7787" s="224" t="s">
        <v>961</v>
      </c>
      <c r="K7787" s="225">
        <v>1476558.03</v>
      </c>
      <c r="L7787" s="225"/>
    </row>
    <row r="7788" spans="1:14" ht="11.25" customHeight="1" x14ac:dyDescent="0.2">
      <c r="A7788" s="226">
        <v>2025</v>
      </c>
      <c r="B7788" s="226">
        <v>6</v>
      </c>
      <c r="C7788" s="226">
        <v>2</v>
      </c>
      <c r="D7788" s="232">
        <f t="shared" si="902"/>
        <v>45810</v>
      </c>
      <c r="E7788" s="234">
        <f t="shared" si="906"/>
        <v>45810</v>
      </c>
      <c r="F7788" s="479"/>
      <c r="G7788" s="227" t="s">
        <v>1111</v>
      </c>
      <c r="H7788" s="228"/>
      <c r="I7788" s="228"/>
      <c r="J7788" s="229" t="s">
        <v>55</v>
      </c>
      <c r="K7788" s="230"/>
      <c r="L7788" s="230">
        <v>1476558.03</v>
      </c>
    </row>
    <row r="7789" spans="1:14" ht="11.25" customHeight="1" x14ac:dyDescent="0.2">
      <c r="A7789" s="221">
        <v>2025</v>
      </c>
      <c r="B7789" s="221">
        <v>6</v>
      </c>
      <c r="C7789" s="221">
        <v>2</v>
      </c>
      <c r="D7789" s="231">
        <f t="shared" si="902"/>
        <v>45810</v>
      </c>
      <c r="E7789" s="233">
        <f t="shared" si="906"/>
        <v>45810</v>
      </c>
      <c r="F7789" s="478" t="s">
        <v>1894</v>
      </c>
      <c r="G7789" s="222" t="s">
        <v>1111</v>
      </c>
      <c r="H7789" s="223"/>
      <c r="I7789" s="223"/>
      <c r="J7789" s="224" t="s">
        <v>55</v>
      </c>
      <c r="K7789" s="225">
        <v>2181666.0099999998</v>
      </c>
      <c r="L7789" s="225"/>
    </row>
    <row r="7790" spans="1:14" ht="11.25" customHeight="1" x14ac:dyDescent="0.2">
      <c r="A7790" s="164">
        <v>2025</v>
      </c>
      <c r="B7790" s="164">
        <v>6</v>
      </c>
      <c r="C7790" s="164">
        <v>2</v>
      </c>
      <c r="D7790" s="156">
        <f t="shared" si="902"/>
        <v>45810</v>
      </c>
      <c r="E7790" s="235">
        <f t="shared" ref="E7790" si="907">DATE(A7790,B7790,C7790)</f>
        <v>45810</v>
      </c>
      <c r="F7790" s="480"/>
      <c r="G7790" s="208" t="s">
        <v>1111</v>
      </c>
      <c r="J7790" s="165" t="s">
        <v>63</v>
      </c>
      <c r="K7790" s="205">
        <v>3000</v>
      </c>
      <c r="L7790" s="205"/>
    </row>
    <row r="7791" spans="1:14" ht="11.25" customHeight="1" x14ac:dyDescent="0.2">
      <c r="A7791" s="164">
        <v>2025</v>
      </c>
      <c r="B7791" s="164">
        <v>6</v>
      </c>
      <c r="C7791" s="164">
        <v>2</v>
      </c>
      <c r="D7791" s="156">
        <f t="shared" si="902"/>
        <v>45810</v>
      </c>
      <c r="E7791" s="235">
        <f t="shared" si="906"/>
        <v>45810</v>
      </c>
      <c r="F7791" s="480"/>
      <c r="G7791" s="208" t="s">
        <v>1111</v>
      </c>
      <c r="J7791" s="165" t="s">
        <v>131</v>
      </c>
      <c r="K7791" s="156"/>
      <c r="L7791" s="205">
        <v>65528.44</v>
      </c>
    </row>
    <row r="7792" spans="1:14" ht="11.25" customHeight="1" x14ac:dyDescent="0.2">
      <c r="A7792" s="226">
        <v>2025</v>
      </c>
      <c r="B7792" s="226">
        <v>6</v>
      </c>
      <c r="C7792" s="226">
        <v>2</v>
      </c>
      <c r="D7792" s="232">
        <f t="shared" si="902"/>
        <v>45810</v>
      </c>
      <c r="E7792" s="234">
        <f t="shared" si="906"/>
        <v>45810</v>
      </c>
      <c r="F7792" s="479"/>
      <c r="G7792" s="227" t="s">
        <v>1111</v>
      </c>
      <c r="H7792" s="228"/>
      <c r="I7792" s="228"/>
      <c r="J7792" s="229" t="s">
        <v>88</v>
      </c>
      <c r="K7792" s="230"/>
      <c r="L7792" s="230">
        <v>2119137.5699999998</v>
      </c>
    </row>
    <row r="7793" spans="1:13" ht="11.25" customHeight="1" x14ac:dyDescent="0.2">
      <c r="A7793" s="221">
        <v>2025</v>
      </c>
      <c r="B7793" s="221">
        <v>6</v>
      </c>
      <c r="C7793" s="221">
        <v>3</v>
      </c>
      <c r="D7793" s="231">
        <f t="shared" si="902"/>
        <v>45811</v>
      </c>
      <c r="E7793" s="233">
        <f t="shared" si="901"/>
        <v>45811</v>
      </c>
      <c r="F7793" s="478" t="s">
        <v>802</v>
      </c>
      <c r="G7793" s="222" t="s">
        <v>1111</v>
      </c>
      <c r="H7793" s="223"/>
      <c r="I7793" s="223" t="s">
        <v>465</v>
      </c>
      <c r="J7793" s="224" t="s">
        <v>55</v>
      </c>
      <c r="K7793" s="167">
        <v>300000</v>
      </c>
      <c r="L7793" s="225"/>
    </row>
    <row r="7794" spans="1:13" ht="11.25" customHeight="1" x14ac:dyDescent="0.2">
      <c r="A7794" s="164">
        <v>2025</v>
      </c>
      <c r="B7794" s="164">
        <v>6</v>
      </c>
      <c r="C7794" s="164">
        <v>3</v>
      </c>
      <c r="D7794" s="156">
        <f t="shared" si="902"/>
        <v>45811</v>
      </c>
      <c r="E7794" s="235">
        <f t="shared" si="901"/>
        <v>45811</v>
      </c>
      <c r="F7794" s="480"/>
      <c r="G7794" s="208" t="s">
        <v>1111</v>
      </c>
      <c r="I7794" s="206" t="s">
        <v>465</v>
      </c>
      <c r="J7794" s="165" t="s">
        <v>14</v>
      </c>
      <c r="L7794" s="205">
        <v>286040</v>
      </c>
    </row>
    <row r="7795" spans="1:13" ht="11.25" customHeight="1" x14ac:dyDescent="0.2">
      <c r="A7795" s="226">
        <v>2025</v>
      </c>
      <c r="B7795" s="226">
        <v>6</v>
      </c>
      <c r="C7795" s="226">
        <v>3</v>
      </c>
      <c r="D7795" s="232">
        <f t="shared" si="902"/>
        <v>45811</v>
      </c>
      <c r="E7795" s="234">
        <f t="shared" si="901"/>
        <v>45811</v>
      </c>
      <c r="F7795" s="479"/>
      <c r="G7795" s="227" t="s">
        <v>1111</v>
      </c>
      <c r="H7795" s="228"/>
      <c r="I7795" s="228" t="s">
        <v>465</v>
      </c>
      <c r="J7795" s="229" t="s">
        <v>1112</v>
      </c>
      <c r="K7795" s="230"/>
      <c r="L7795" s="230">
        <v>13960</v>
      </c>
    </row>
    <row r="7796" spans="1:13" ht="11.25" customHeight="1" x14ac:dyDescent="0.2">
      <c r="A7796" s="221">
        <v>2025</v>
      </c>
      <c r="B7796" s="221">
        <v>6</v>
      </c>
      <c r="C7796" s="221">
        <v>3</v>
      </c>
      <c r="D7796" s="231">
        <f t="shared" si="902"/>
        <v>45811</v>
      </c>
      <c r="E7796" s="233">
        <f t="shared" si="901"/>
        <v>45811</v>
      </c>
      <c r="F7796" s="478" t="s">
        <v>1115</v>
      </c>
      <c r="G7796" s="222" t="s">
        <v>1111</v>
      </c>
      <c r="H7796" s="223"/>
      <c r="I7796" s="223" t="s">
        <v>679</v>
      </c>
      <c r="J7796" s="224" t="s">
        <v>14</v>
      </c>
      <c r="K7796" s="167">
        <v>9740</v>
      </c>
      <c r="L7796" s="225"/>
    </row>
    <row r="7797" spans="1:13" ht="11.25" customHeight="1" x14ac:dyDescent="0.2">
      <c r="A7797" s="164">
        <v>2025</v>
      </c>
      <c r="B7797" s="164">
        <v>6</v>
      </c>
      <c r="C7797" s="164">
        <v>3</v>
      </c>
      <c r="D7797" s="156">
        <f t="shared" si="902"/>
        <v>45811</v>
      </c>
      <c r="E7797" s="235">
        <f t="shared" si="901"/>
        <v>45811</v>
      </c>
      <c r="F7797" s="480"/>
      <c r="G7797" s="208" t="s">
        <v>1111</v>
      </c>
      <c r="I7797" s="206" t="s">
        <v>679</v>
      </c>
      <c r="J7797" s="165" t="s">
        <v>1112</v>
      </c>
      <c r="K7797" s="205">
        <v>475.30999999999949</v>
      </c>
      <c r="L7797" s="156"/>
    </row>
    <row r="7798" spans="1:13" ht="11.25" customHeight="1" x14ac:dyDescent="0.2">
      <c r="A7798" s="226">
        <v>2025</v>
      </c>
      <c r="B7798" s="226">
        <v>6</v>
      </c>
      <c r="C7798" s="226">
        <v>3</v>
      </c>
      <c r="D7798" s="232">
        <f t="shared" si="902"/>
        <v>45811</v>
      </c>
      <c r="E7798" s="234">
        <f t="shared" si="901"/>
        <v>45811</v>
      </c>
      <c r="F7798" s="479"/>
      <c r="G7798" s="227" t="s">
        <v>1111</v>
      </c>
      <c r="H7798" s="228"/>
      <c r="I7798" s="228" t="s">
        <v>679</v>
      </c>
      <c r="J7798" s="229" t="s">
        <v>55</v>
      </c>
      <c r="K7798" s="230"/>
      <c r="L7798" s="230">
        <v>10215.31</v>
      </c>
    </row>
    <row r="7799" spans="1:13" ht="11.25" customHeight="1" x14ac:dyDescent="0.2">
      <c r="A7799" s="164">
        <v>2025</v>
      </c>
      <c r="B7799" s="164">
        <v>6</v>
      </c>
      <c r="C7799" s="164">
        <v>3</v>
      </c>
      <c r="D7799" s="164">
        <f t="shared" si="902"/>
        <v>45811</v>
      </c>
      <c r="E7799" s="235">
        <f t="shared" si="901"/>
        <v>45811</v>
      </c>
      <c r="F7799" s="480" t="s">
        <v>1883</v>
      </c>
      <c r="G7799" s="208" t="s">
        <v>86</v>
      </c>
      <c r="H7799" s="208"/>
      <c r="J7799" s="165" t="s">
        <v>199</v>
      </c>
      <c r="K7799" s="205">
        <v>234477.18</v>
      </c>
      <c r="L7799" s="205"/>
    </row>
    <row r="7800" spans="1:13" ht="11.25" customHeight="1" x14ac:dyDescent="0.2">
      <c r="A7800" s="164">
        <v>2025</v>
      </c>
      <c r="B7800" s="164">
        <v>6</v>
      </c>
      <c r="C7800" s="164">
        <v>3</v>
      </c>
      <c r="D7800" s="164">
        <f t="shared" si="902"/>
        <v>45811</v>
      </c>
      <c r="E7800" s="235">
        <f t="shared" si="901"/>
        <v>45811</v>
      </c>
      <c r="F7800" s="480"/>
      <c r="G7800" s="208" t="s">
        <v>86</v>
      </c>
      <c r="H7800" s="208"/>
      <c r="J7800" s="165" t="s">
        <v>960</v>
      </c>
      <c r="K7800" s="205">
        <v>422.82</v>
      </c>
      <c r="L7800" s="205"/>
      <c r="M7800" s="401"/>
    </row>
    <row r="7801" spans="1:13" ht="11.25" customHeight="1" x14ac:dyDescent="0.2">
      <c r="A7801" s="164">
        <v>2025</v>
      </c>
      <c r="B7801" s="164">
        <v>6</v>
      </c>
      <c r="C7801" s="164">
        <v>3</v>
      </c>
      <c r="D7801" s="164">
        <f t="shared" si="902"/>
        <v>45811</v>
      </c>
      <c r="E7801" s="235">
        <f t="shared" si="901"/>
        <v>45811</v>
      </c>
      <c r="F7801" s="480"/>
      <c r="G7801" s="208" t="s">
        <v>86</v>
      </c>
      <c r="H7801" s="208"/>
      <c r="J7801" s="165" t="s">
        <v>200</v>
      </c>
      <c r="K7801" s="205">
        <v>1851.58</v>
      </c>
      <c r="L7801" s="205"/>
    </row>
    <row r="7802" spans="1:13" ht="11.25" customHeight="1" x14ac:dyDescent="0.2">
      <c r="A7802" s="226">
        <v>2025</v>
      </c>
      <c r="B7802" s="226">
        <v>6</v>
      </c>
      <c r="C7802" s="226">
        <v>3</v>
      </c>
      <c r="D7802" s="226">
        <f t="shared" si="902"/>
        <v>45811</v>
      </c>
      <c r="E7802" s="234">
        <f t="shared" si="901"/>
        <v>45811</v>
      </c>
      <c r="F7802" s="479"/>
      <c r="G7802" s="227" t="s">
        <v>86</v>
      </c>
      <c r="H7802" s="228"/>
      <c r="I7802" s="228"/>
      <c r="J7802" s="229" t="s">
        <v>80</v>
      </c>
      <c r="K7802" s="230"/>
      <c r="L7802" s="230">
        <v>236751.58</v>
      </c>
    </row>
    <row r="7803" spans="1:13" ht="11.25" customHeight="1" x14ac:dyDescent="0.2">
      <c r="A7803" s="164">
        <v>2025</v>
      </c>
      <c r="B7803" s="164">
        <v>6</v>
      </c>
      <c r="C7803" s="164">
        <v>3</v>
      </c>
      <c r="D7803" s="164">
        <f t="shared" si="902"/>
        <v>45811</v>
      </c>
      <c r="E7803" s="235">
        <f t="shared" ref="E7803:E7809" si="908">DATE(A7803,B7803,C7803)</f>
        <v>45811</v>
      </c>
      <c r="F7803" s="480" t="s">
        <v>1589</v>
      </c>
      <c r="G7803" s="208" t="s">
        <v>86</v>
      </c>
      <c r="H7803" s="208"/>
      <c r="J7803" s="165" t="s">
        <v>199</v>
      </c>
      <c r="K7803" s="205">
        <v>1395982</v>
      </c>
      <c r="L7803" s="205"/>
    </row>
    <row r="7804" spans="1:13" ht="11.25" customHeight="1" x14ac:dyDescent="0.2">
      <c r="A7804" s="164">
        <v>2025</v>
      </c>
      <c r="B7804" s="164">
        <v>6</v>
      </c>
      <c r="C7804" s="164">
        <v>3</v>
      </c>
      <c r="D7804" s="164">
        <f t="shared" si="902"/>
        <v>45811</v>
      </c>
      <c r="E7804" s="235">
        <f t="shared" si="908"/>
        <v>45811</v>
      </c>
      <c r="F7804" s="480"/>
      <c r="G7804" s="208" t="s">
        <v>86</v>
      </c>
      <c r="H7804" s="208"/>
      <c r="J7804" s="165" t="s">
        <v>960</v>
      </c>
      <c r="K7804" s="205">
        <v>2518</v>
      </c>
      <c r="L7804" s="205"/>
      <c r="M7804" s="401"/>
    </row>
    <row r="7805" spans="1:13" ht="11.25" customHeight="1" x14ac:dyDescent="0.2">
      <c r="A7805" s="164">
        <v>2025</v>
      </c>
      <c r="B7805" s="164">
        <v>6</v>
      </c>
      <c r="C7805" s="164">
        <v>3</v>
      </c>
      <c r="D7805" s="164">
        <f t="shared" si="902"/>
        <v>45811</v>
      </c>
      <c r="E7805" s="235">
        <f t="shared" si="908"/>
        <v>45811</v>
      </c>
      <c r="F7805" s="480"/>
      <c r="G7805" s="208" t="s">
        <v>86</v>
      </c>
      <c r="H7805" s="208"/>
      <c r="J7805" s="165" t="s">
        <v>200</v>
      </c>
      <c r="K7805" s="205"/>
      <c r="L7805" s="205">
        <v>80502.14</v>
      </c>
    </row>
    <row r="7806" spans="1:13" ht="11.25" customHeight="1" x14ac:dyDescent="0.2">
      <c r="A7806" s="226">
        <v>2025</v>
      </c>
      <c r="B7806" s="226">
        <v>6</v>
      </c>
      <c r="C7806" s="226">
        <v>3</v>
      </c>
      <c r="D7806" s="226">
        <f t="shared" si="902"/>
        <v>45811</v>
      </c>
      <c r="E7806" s="234">
        <f t="shared" si="908"/>
        <v>45811</v>
      </c>
      <c r="F7806" s="479"/>
      <c r="G7806" s="227" t="s">
        <v>86</v>
      </c>
      <c r="H7806" s="228"/>
      <c r="I7806" s="228"/>
      <c r="J7806" s="229" t="s">
        <v>80</v>
      </c>
      <c r="K7806" s="230"/>
      <c r="L7806" s="230">
        <v>1317997.8600000001</v>
      </c>
    </row>
    <row r="7807" spans="1:13" ht="11.25" customHeight="1" x14ac:dyDescent="0.2">
      <c r="A7807" s="221">
        <v>2025</v>
      </c>
      <c r="B7807" s="221">
        <v>6</v>
      </c>
      <c r="C7807" s="221">
        <v>4</v>
      </c>
      <c r="D7807" s="231">
        <f t="shared" si="902"/>
        <v>45812</v>
      </c>
      <c r="E7807" s="233">
        <f t="shared" si="908"/>
        <v>45812</v>
      </c>
      <c r="F7807" s="478" t="s">
        <v>802</v>
      </c>
      <c r="G7807" s="222" t="s">
        <v>1111</v>
      </c>
      <c r="H7807" s="223"/>
      <c r="I7807" s="223" t="s">
        <v>351</v>
      </c>
      <c r="J7807" s="224" t="s">
        <v>55</v>
      </c>
      <c r="K7807" s="167">
        <v>100000</v>
      </c>
      <c r="L7807" s="225"/>
    </row>
    <row r="7808" spans="1:13" ht="11.25" customHeight="1" x14ac:dyDescent="0.2">
      <c r="A7808" s="164">
        <v>2025</v>
      </c>
      <c r="B7808" s="164">
        <v>6</v>
      </c>
      <c r="C7808" s="164">
        <v>4</v>
      </c>
      <c r="D7808" s="156">
        <f t="shared" si="902"/>
        <v>45812</v>
      </c>
      <c r="E7808" s="235">
        <f t="shared" si="908"/>
        <v>45812</v>
      </c>
      <c r="F7808" s="480"/>
      <c r="G7808" s="208" t="s">
        <v>1111</v>
      </c>
      <c r="I7808" s="206" t="s">
        <v>351</v>
      </c>
      <c r="J7808" s="165" t="s">
        <v>14</v>
      </c>
      <c r="L7808" s="205">
        <v>95350</v>
      </c>
    </row>
    <row r="7809" spans="1:14" ht="11.25" customHeight="1" x14ac:dyDescent="0.2">
      <c r="A7809" s="226">
        <v>2025</v>
      </c>
      <c r="B7809" s="226">
        <v>6</v>
      </c>
      <c r="C7809" s="226">
        <v>4</v>
      </c>
      <c r="D7809" s="232">
        <f t="shared" si="902"/>
        <v>45812</v>
      </c>
      <c r="E7809" s="234">
        <f t="shared" si="908"/>
        <v>45812</v>
      </c>
      <c r="F7809" s="479"/>
      <c r="G7809" s="227" t="s">
        <v>1111</v>
      </c>
      <c r="H7809" s="228"/>
      <c r="I7809" s="228" t="s">
        <v>351</v>
      </c>
      <c r="J7809" s="229" t="s">
        <v>1112</v>
      </c>
      <c r="K7809" s="230"/>
      <c r="L7809" s="230">
        <v>4650</v>
      </c>
    </row>
    <row r="7810" spans="1:14" ht="11.25" customHeight="1" x14ac:dyDescent="0.2">
      <c r="A7810" s="221">
        <v>2025</v>
      </c>
      <c r="B7810" s="221">
        <v>6</v>
      </c>
      <c r="C7810" s="221">
        <v>4</v>
      </c>
      <c r="D7810" s="231">
        <f t="shared" si="902"/>
        <v>45812</v>
      </c>
      <c r="E7810" s="233">
        <f t="shared" ref="E7810:E7812" si="909">DATE(A7810,B7810,C7810)</f>
        <v>45812</v>
      </c>
      <c r="F7810" s="478" t="s">
        <v>802</v>
      </c>
      <c r="G7810" s="222" t="s">
        <v>1111</v>
      </c>
      <c r="H7810" s="223"/>
      <c r="I7810" s="223" t="s">
        <v>465</v>
      </c>
      <c r="J7810" s="224" t="s">
        <v>55</v>
      </c>
      <c r="K7810" s="167">
        <v>100000</v>
      </c>
      <c r="L7810" s="225"/>
    </row>
    <row r="7811" spans="1:14" ht="11.25" customHeight="1" x14ac:dyDescent="0.2">
      <c r="A7811" s="164">
        <v>2025</v>
      </c>
      <c r="B7811" s="164">
        <v>6</v>
      </c>
      <c r="C7811" s="164">
        <v>4</v>
      </c>
      <c r="D7811" s="156">
        <f t="shared" si="902"/>
        <v>45812</v>
      </c>
      <c r="E7811" s="235">
        <f t="shared" si="909"/>
        <v>45812</v>
      </c>
      <c r="F7811" s="480"/>
      <c r="G7811" s="208" t="s">
        <v>1111</v>
      </c>
      <c r="I7811" s="206" t="s">
        <v>465</v>
      </c>
      <c r="J7811" s="165" t="s">
        <v>14</v>
      </c>
      <c r="L7811" s="205">
        <v>95350</v>
      </c>
    </row>
    <row r="7812" spans="1:14" ht="11.25" customHeight="1" x14ac:dyDescent="0.2">
      <c r="A7812" s="226">
        <v>2025</v>
      </c>
      <c r="B7812" s="226">
        <v>6</v>
      </c>
      <c r="C7812" s="226">
        <v>4</v>
      </c>
      <c r="D7812" s="232">
        <f t="shared" si="902"/>
        <v>45812</v>
      </c>
      <c r="E7812" s="234">
        <f t="shared" si="909"/>
        <v>45812</v>
      </c>
      <c r="F7812" s="479"/>
      <c r="G7812" s="227" t="s">
        <v>1111</v>
      </c>
      <c r="H7812" s="228"/>
      <c r="I7812" s="228" t="s">
        <v>465</v>
      </c>
      <c r="J7812" s="229" t="s">
        <v>1112</v>
      </c>
      <c r="K7812" s="230"/>
      <c r="L7812" s="230">
        <v>4650</v>
      </c>
    </row>
    <row r="7813" spans="1:14" ht="11.25" customHeight="1" x14ac:dyDescent="0.2">
      <c r="A7813" s="221">
        <v>2025</v>
      </c>
      <c r="B7813" s="221">
        <v>6</v>
      </c>
      <c r="C7813" s="221">
        <v>4</v>
      </c>
      <c r="D7813" s="231">
        <f t="shared" si="902"/>
        <v>45812</v>
      </c>
      <c r="E7813" s="233">
        <f t="shared" ref="E7813:E7817" si="910">DATE(A7813,B7813,C7813)</f>
        <v>45812</v>
      </c>
      <c r="F7813" s="478" t="s">
        <v>802</v>
      </c>
      <c r="G7813" s="222" t="s">
        <v>1111</v>
      </c>
      <c r="H7813" s="223"/>
      <c r="I7813" s="223" t="s">
        <v>370</v>
      </c>
      <c r="J7813" s="224" t="s">
        <v>55</v>
      </c>
      <c r="K7813" s="167">
        <v>500000</v>
      </c>
      <c r="L7813" s="225"/>
    </row>
    <row r="7814" spans="1:14" ht="11.25" customHeight="1" x14ac:dyDescent="0.2">
      <c r="A7814" s="164">
        <v>2025</v>
      </c>
      <c r="B7814" s="164">
        <v>6</v>
      </c>
      <c r="C7814" s="164">
        <v>4</v>
      </c>
      <c r="D7814" s="156">
        <f t="shared" si="902"/>
        <v>45812</v>
      </c>
      <c r="E7814" s="235">
        <f t="shared" si="910"/>
        <v>45812</v>
      </c>
      <c r="F7814" s="480"/>
      <c r="G7814" s="208" t="s">
        <v>1111</v>
      </c>
      <c r="I7814" s="206" t="s">
        <v>370</v>
      </c>
      <c r="J7814" s="165" t="s">
        <v>14</v>
      </c>
      <c r="L7814" s="205">
        <v>476740</v>
      </c>
    </row>
    <row r="7815" spans="1:14" ht="11.25" customHeight="1" x14ac:dyDescent="0.2">
      <c r="A7815" s="226">
        <v>2025</v>
      </c>
      <c r="B7815" s="226">
        <v>6</v>
      </c>
      <c r="C7815" s="226">
        <v>4</v>
      </c>
      <c r="D7815" s="232">
        <f t="shared" si="902"/>
        <v>45812</v>
      </c>
      <c r="E7815" s="234">
        <f t="shared" si="910"/>
        <v>45812</v>
      </c>
      <c r="F7815" s="479"/>
      <c r="G7815" s="227" t="s">
        <v>1111</v>
      </c>
      <c r="H7815" s="228"/>
      <c r="I7815" s="228" t="s">
        <v>370</v>
      </c>
      <c r="J7815" s="229" t="s">
        <v>1112</v>
      </c>
      <c r="K7815" s="230"/>
      <c r="L7815" s="230">
        <v>23260</v>
      </c>
    </row>
    <row r="7816" spans="1:14" ht="11.25" customHeight="1" x14ac:dyDescent="0.2">
      <c r="A7816" s="221">
        <v>2025</v>
      </c>
      <c r="B7816" s="221">
        <v>6</v>
      </c>
      <c r="C7816" s="221">
        <v>4</v>
      </c>
      <c r="D7816" s="231">
        <f t="shared" si="902"/>
        <v>45812</v>
      </c>
      <c r="E7816" s="233">
        <f t="shared" si="910"/>
        <v>45812</v>
      </c>
      <c r="F7816" s="478" t="s">
        <v>1897</v>
      </c>
      <c r="G7816" s="222" t="s">
        <v>1111</v>
      </c>
      <c r="H7816" s="222"/>
      <c r="I7816" s="223"/>
      <c r="J7816" s="224" t="s">
        <v>1615</v>
      </c>
      <c r="K7816" s="357">
        <v>1001556</v>
      </c>
      <c r="L7816" s="225"/>
    </row>
    <row r="7817" spans="1:14" ht="11.25" customHeight="1" x14ac:dyDescent="0.2">
      <c r="A7817" s="226">
        <v>2025</v>
      </c>
      <c r="B7817" s="226">
        <v>6</v>
      </c>
      <c r="C7817" s="226">
        <v>4</v>
      </c>
      <c r="D7817" s="226">
        <f t="shared" ref="D7817:D7880" si="911">DATE(A7817,B7817,C7817)</f>
        <v>45812</v>
      </c>
      <c r="E7817" s="234">
        <f t="shared" si="910"/>
        <v>45812</v>
      </c>
      <c r="F7817" s="479"/>
      <c r="G7817" s="227" t="s">
        <v>1111</v>
      </c>
      <c r="H7817" s="227"/>
      <c r="I7817" s="228"/>
      <c r="J7817" s="229" t="s">
        <v>55</v>
      </c>
      <c r="K7817" s="294"/>
      <c r="L7817" s="230">
        <v>1001556</v>
      </c>
    </row>
    <row r="7818" spans="1:14" ht="11.25" customHeight="1" x14ac:dyDescent="0.2">
      <c r="A7818" s="221">
        <v>2025</v>
      </c>
      <c r="B7818" s="221">
        <v>6</v>
      </c>
      <c r="C7818" s="221">
        <v>4</v>
      </c>
      <c r="D7818" s="231">
        <f t="shared" si="911"/>
        <v>45812</v>
      </c>
      <c r="E7818" s="233">
        <f t="shared" ref="E7818:E7832" si="912">DATE(A7818,B7818,C7818)</f>
        <v>45812</v>
      </c>
      <c r="F7818" s="478" t="s">
        <v>1897</v>
      </c>
      <c r="G7818" s="222" t="s">
        <v>1111</v>
      </c>
      <c r="H7818" s="222"/>
      <c r="I7818" s="223"/>
      <c r="J7818" s="224" t="s">
        <v>1615</v>
      </c>
      <c r="K7818" s="357">
        <v>1003635</v>
      </c>
      <c r="L7818" s="225"/>
    </row>
    <row r="7819" spans="1:14" ht="11.25" customHeight="1" x14ac:dyDescent="0.2">
      <c r="A7819" s="226">
        <v>2025</v>
      </c>
      <c r="B7819" s="226">
        <v>6</v>
      </c>
      <c r="C7819" s="226">
        <v>4</v>
      </c>
      <c r="D7819" s="226">
        <f t="shared" si="911"/>
        <v>45812</v>
      </c>
      <c r="E7819" s="234">
        <f t="shared" si="912"/>
        <v>45812</v>
      </c>
      <c r="F7819" s="479"/>
      <c r="G7819" s="227" t="s">
        <v>1111</v>
      </c>
      <c r="H7819" s="227"/>
      <c r="I7819" s="228"/>
      <c r="J7819" s="229" t="s">
        <v>55</v>
      </c>
      <c r="K7819" s="294"/>
      <c r="L7819" s="230">
        <v>1003635</v>
      </c>
    </row>
    <row r="7820" spans="1:14" ht="11.25" customHeight="1" x14ac:dyDescent="0.2">
      <c r="A7820" s="221">
        <v>2025</v>
      </c>
      <c r="B7820" s="221">
        <v>6</v>
      </c>
      <c r="C7820" s="221">
        <v>4</v>
      </c>
      <c r="D7820" s="221">
        <f t="shared" si="911"/>
        <v>45812</v>
      </c>
      <c r="E7820" s="233">
        <f t="shared" si="912"/>
        <v>45812</v>
      </c>
      <c r="F7820" s="478" t="s">
        <v>1887</v>
      </c>
      <c r="G7820" s="222" t="s">
        <v>86</v>
      </c>
      <c r="H7820" s="222"/>
      <c r="I7820" s="223"/>
      <c r="J7820" s="224" t="s">
        <v>80</v>
      </c>
      <c r="K7820" s="225">
        <v>580000</v>
      </c>
      <c r="L7820" s="225"/>
    </row>
    <row r="7821" spans="1:14" ht="11.25" customHeight="1" x14ac:dyDescent="0.2">
      <c r="A7821" s="164">
        <v>2025</v>
      </c>
      <c r="B7821" s="164">
        <v>6</v>
      </c>
      <c r="C7821" s="164">
        <v>4</v>
      </c>
      <c r="D7821" s="164">
        <f t="shared" si="911"/>
        <v>45812</v>
      </c>
      <c r="E7821" s="235">
        <f t="shared" si="912"/>
        <v>45812</v>
      </c>
      <c r="F7821" s="480"/>
      <c r="G7821" s="208" t="s">
        <v>86</v>
      </c>
      <c r="H7821" s="208"/>
      <c r="J7821" s="165" t="s">
        <v>960</v>
      </c>
      <c r="K7821" s="205">
        <v>1044</v>
      </c>
      <c r="L7821" s="205"/>
    </row>
    <row r="7822" spans="1:14" ht="11.25" customHeight="1" x14ac:dyDescent="0.2">
      <c r="A7822" s="226">
        <v>2025</v>
      </c>
      <c r="B7822" s="226">
        <v>6</v>
      </c>
      <c r="C7822" s="226">
        <v>4</v>
      </c>
      <c r="D7822" s="226">
        <f t="shared" si="911"/>
        <v>45812</v>
      </c>
      <c r="E7822" s="234">
        <f t="shared" si="912"/>
        <v>45812</v>
      </c>
      <c r="F7822" s="479"/>
      <c r="G7822" s="227" t="s">
        <v>86</v>
      </c>
      <c r="H7822" s="227"/>
      <c r="I7822" s="228"/>
      <c r="J7822" s="229" t="s">
        <v>143</v>
      </c>
      <c r="K7822" s="230"/>
      <c r="L7822" s="230">
        <v>581044</v>
      </c>
    </row>
    <row r="7823" spans="1:14" ht="11.25" customHeight="1" x14ac:dyDescent="0.2">
      <c r="A7823" s="221">
        <v>2025</v>
      </c>
      <c r="B7823" s="221">
        <v>6</v>
      </c>
      <c r="C7823" s="221">
        <v>4</v>
      </c>
      <c r="D7823" s="231">
        <f t="shared" si="911"/>
        <v>45812</v>
      </c>
      <c r="E7823" s="233">
        <f t="shared" si="912"/>
        <v>45812</v>
      </c>
      <c r="F7823" s="478" t="s">
        <v>1890</v>
      </c>
      <c r="G7823" s="222" t="s">
        <v>1111</v>
      </c>
      <c r="H7823" s="223"/>
      <c r="I7823" s="223"/>
      <c r="J7823" s="224" t="s">
        <v>55</v>
      </c>
      <c r="K7823" s="225">
        <v>1887944.11</v>
      </c>
      <c r="L7823" s="225"/>
    </row>
    <row r="7824" spans="1:14" ht="11.25" customHeight="1" x14ac:dyDescent="0.2">
      <c r="A7824" s="226">
        <v>2025</v>
      </c>
      <c r="B7824" s="226">
        <v>6</v>
      </c>
      <c r="C7824" s="226">
        <v>4</v>
      </c>
      <c r="D7824" s="232">
        <f t="shared" si="911"/>
        <v>45812</v>
      </c>
      <c r="E7824" s="234">
        <f t="shared" si="912"/>
        <v>45812</v>
      </c>
      <c r="F7824" s="479"/>
      <c r="G7824" s="227" t="s">
        <v>1111</v>
      </c>
      <c r="H7824" s="228"/>
      <c r="I7824" s="228"/>
      <c r="J7824" s="229" t="s">
        <v>199</v>
      </c>
      <c r="K7824" s="230"/>
      <c r="L7824" s="230">
        <v>1887944.11</v>
      </c>
      <c r="N7824" s="438"/>
    </row>
    <row r="7825" spans="1:14" ht="11.25" customHeight="1" x14ac:dyDescent="0.2">
      <c r="A7825" s="280">
        <v>2025</v>
      </c>
      <c r="B7825" s="280">
        <v>6</v>
      </c>
      <c r="C7825" s="280">
        <v>4</v>
      </c>
      <c r="D7825" s="281">
        <f t="shared" si="911"/>
        <v>45812</v>
      </c>
      <c r="E7825" s="282">
        <f t="shared" si="912"/>
        <v>45812</v>
      </c>
      <c r="F7825" s="472" t="s">
        <v>1744</v>
      </c>
      <c r="G7825" s="283" t="s">
        <v>86</v>
      </c>
      <c r="H7825" s="284"/>
      <c r="I7825" s="284"/>
      <c r="J7825" s="285" t="s">
        <v>131</v>
      </c>
      <c r="K7825" s="286">
        <v>38716.660000000003</v>
      </c>
      <c r="L7825" s="286"/>
      <c r="M7825" s="401"/>
    </row>
    <row r="7826" spans="1:14" ht="11.25" customHeight="1" x14ac:dyDescent="0.2">
      <c r="A7826" s="287">
        <v>2025</v>
      </c>
      <c r="B7826" s="287">
        <v>6</v>
      </c>
      <c r="C7826" s="287">
        <v>4</v>
      </c>
      <c r="D7826" s="288">
        <f t="shared" si="911"/>
        <v>45812</v>
      </c>
      <c r="E7826" s="289">
        <f t="shared" si="912"/>
        <v>45812</v>
      </c>
      <c r="F7826" s="473"/>
      <c r="G7826" s="290" t="s">
        <v>86</v>
      </c>
      <c r="H7826" s="291"/>
      <c r="I7826" s="291"/>
      <c r="J7826" s="292" t="s">
        <v>174</v>
      </c>
      <c r="K7826" s="293"/>
      <c r="L7826" s="293">
        <v>38716.660000000003</v>
      </c>
    </row>
    <row r="7827" spans="1:14" ht="11.25" customHeight="1" x14ac:dyDescent="0.2">
      <c r="A7827" s="280">
        <v>2025</v>
      </c>
      <c r="B7827" s="280">
        <v>6</v>
      </c>
      <c r="C7827" s="280">
        <v>4</v>
      </c>
      <c r="D7827" s="281">
        <f t="shared" si="911"/>
        <v>45812</v>
      </c>
      <c r="E7827" s="282">
        <f t="shared" si="912"/>
        <v>45812</v>
      </c>
      <c r="F7827" s="472" t="s">
        <v>1584</v>
      </c>
      <c r="G7827" s="283" t="s">
        <v>86</v>
      </c>
      <c r="H7827" s="284"/>
      <c r="I7827" s="284"/>
      <c r="J7827" s="285" t="s">
        <v>131</v>
      </c>
      <c r="K7827" s="286">
        <v>17692.3</v>
      </c>
      <c r="L7827" s="286"/>
      <c r="M7827" s="401"/>
    </row>
    <row r="7828" spans="1:14" ht="11.25" customHeight="1" x14ac:dyDescent="0.2">
      <c r="A7828" s="287">
        <v>2025</v>
      </c>
      <c r="B7828" s="287">
        <v>6</v>
      </c>
      <c r="C7828" s="287">
        <v>4</v>
      </c>
      <c r="D7828" s="288">
        <f t="shared" si="911"/>
        <v>45812</v>
      </c>
      <c r="E7828" s="289">
        <f t="shared" si="912"/>
        <v>45812</v>
      </c>
      <c r="F7828" s="473"/>
      <c r="G7828" s="290" t="s">
        <v>86</v>
      </c>
      <c r="H7828" s="291"/>
      <c r="I7828" s="291"/>
      <c r="J7828" s="292" t="s">
        <v>174</v>
      </c>
      <c r="K7828" s="293"/>
      <c r="L7828" s="293">
        <v>17692.3</v>
      </c>
    </row>
    <row r="7829" spans="1:14" ht="11.25" customHeight="1" x14ac:dyDescent="0.2">
      <c r="A7829" s="280">
        <v>2025</v>
      </c>
      <c r="B7829" s="280">
        <v>6</v>
      </c>
      <c r="C7829" s="280">
        <v>4</v>
      </c>
      <c r="D7829" s="281">
        <f t="shared" si="911"/>
        <v>45812</v>
      </c>
      <c r="E7829" s="282">
        <f t="shared" si="912"/>
        <v>45812</v>
      </c>
      <c r="F7829" s="472" t="s">
        <v>1830</v>
      </c>
      <c r="G7829" s="283" t="s">
        <v>86</v>
      </c>
      <c r="H7829" s="284"/>
      <c r="I7829" s="284"/>
      <c r="J7829" s="285" t="s">
        <v>131</v>
      </c>
      <c r="K7829" s="286">
        <v>23269.23076923077</v>
      </c>
      <c r="L7829" s="286"/>
      <c r="M7829" s="401"/>
    </row>
    <row r="7830" spans="1:14" ht="11.25" customHeight="1" x14ac:dyDescent="0.2">
      <c r="A7830" s="287">
        <v>2025</v>
      </c>
      <c r="B7830" s="287">
        <v>6</v>
      </c>
      <c r="C7830" s="287">
        <v>4</v>
      </c>
      <c r="D7830" s="288">
        <f t="shared" si="911"/>
        <v>45812</v>
      </c>
      <c r="E7830" s="289">
        <f t="shared" si="912"/>
        <v>45812</v>
      </c>
      <c r="F7830" s="473"/>
      <c r="G7830" s="290" t="s">
        <v>86</v>
      </c>
      <c r="H7830" s="291"/>
      <c r="I7830" s="291"/>
      <c r="J7830" s="292" t="s">
        <v>174</v>
      </c>
      <c r="K7830" s="293"/>
      <c r="L7830" s="293">
        <v>23269.23076923077</v>
      </c>
    </row>
    <row r="7831" spans="1:14" ht="11.25" customHeight="1" x14ac:dyDescent="0.2">
      <c r="A7831" s="341">
        <v>2025</v>
      </c>
      <c r="B7831" s="341">
        <v>6</v>
      </c>
      <c r="C7831" s="341">
        <v>4</v>
      </c>
      <c r="D7831" s="328">
        <f t="shared" si="911"/>
        <v>45812</v>
      </c>
      <c r="E7831" s="329">
        <f t="shared" si="912"/>
        <v>45812</v>
      </c>
      <c r="F7831" s="474" t="s">
        <v>1767</v>
      </c>
      <c r="G7831" s="330" t="s">
        <v>86</v>
      </c>
      <c r="H7831" s="332"/>
      <c r="I7831" s="332"/>
      <c r="J7831" s="342" t="s">
        <v>67</v>
      </c>
      <c r="K7831" s="343">
        <v>22620.42</v>
      </c>
      <c r="L7831" s="343"/>
    </row>
    <row r="7832" spans="1:14" ht="11.25" customHeight="1" x14ac:dyDescent="0.2">
      <c r="A7832" s="344">
        <v>2025</v>
      </c>
      <c r="B7832" s="344">
        <v>6</v>
      </c>
      <c r="C7832" s="344">
        <v>4</v>
      </c>
      <c r="D7832" s="337">
        <f t="shared" si="911"/>
        <v>45812</v>
      </c>
      <c r="E7832" s="338">
        <f t="shared" si="912"/>
        <v>45812</v>
      </c>
      <c r="F7832" s="475"/>
      <c r="G7832" s="339" t="s">
        <v>86</v>
      </c>
      <c r="H7832" s="340"/>
      <c r="I7832" s="340"/>
      <c r="J7832" s="345" t="s">
        <v>174</v>
      </c>
      <c r="K7832" s="346"/>
      <c r="L7832" s="346">
        <f>K7831</f>
        <v>22620.42</v>
      </c>
    </row>
    <row r="7833" spans="1:14" ht="11.25" customHeight="1" x14ac:dyDescent="0.2">
      <c r="A7833" s="358">
        <v>2025</v>
      </c>
      <c r="B7833" s="358">
        <v>6</v>
      </c>
      <c r="C7833" s="358">
        <v>4</v>
      </c>
      <c r="D7833" s="312">
        <f t="shared" si="911"/>
        <v>45812</v>
      </c>
      <c r="E7833" s="313">
        <f>DATE(A7833,B7833,C7833)</f>
        <v>45812</v>
      </c>
      <c r="F7833" s="482" t="s">
        <v>1627</v>
      </c>
      <c r="G7833" s="314" t="s">
        <v>86</v>
      </c>
      <c r="H7833" s="324"/>
      <c r="I7833" s="324"/>
      <c r="J7833" s="364" t="s">
        <v>1613</v>
      </c>
      <c r="K7833" s="365">
        <v>0</v>
      </c>
      <c r="L7833" s="365"/>
      <c r="M7833" s="156">
        <f>BS!$I$12</f>
        <v>0</v>
      </c>
    </row>
    <row r="7834" spans="1:14" ht="11.25" customHeight="1" x14ac:dyDescent="0.2">
      <c r="A7834" s="320">
        <v>2025</v>
      </c>
      <c r="B7834" s="320">
        <v>6</v>
      </c>
      <c r="C7834" s="320">
        <v>4</v>
      </c>
      <c r="D7834" s="323">
        <f t="shared" si="911"/>
        <v>45812</v>
      </c>
      <c r="E7834" s="321">
        <f t="shared" ref="E7834" si="913">DATE(A7834,B7834,C7834)</f>
        <v>45812</v>
      </c>
      <c r="F7834" s="483"/>
      <c r="G7834" s="322" t="s">
        <v>86</v>
      </c>
      <c r="H7834" s="325"/>
      <c r="I7834" s="325"/>
      <c r="J7834" s="366" t="s">
        <v>1621</v>
      </c>
      <c r="K7834" s="367"/>
      <c r="L7834" s="367">
        <f>K7833</f>
        <v>0</v>
      </c>
    </row>
    <row r="7835" spans="1:14" ht="11.25" customHeight="1" x14ac:dyDescent="0.2">
      <c r="A7835" s="358">
        <v>2025</v>
      </c>
      <c r="B7835" s="358">
        <v>6</v>
      </c>
      <c r="C7835" s="358">
        <v>4</v>
      </c>
      <c r="D7835" s="312">
        <f t="shared" si="911"/>
        <v>45812</v>
      </c>
      <c r="E7835" s="313">
        <f>DATE(A7835,B7835,C7835)</f>
        <v>45812</v>
      </c>
      <c r="F7835" s="482" t="s">
        <v>1713</v>
      </c>
      <c r="G7835" s="314" t="s">
        <v>86</v>
      </c>
      <c r="H7835" s="324"/>
      <c r="I7835" s="324"/>
      <c r="J7835" s="364" t="s">
        <v>1614</v>
      </c>
      <c r="K7835" s="365">
        <v>572883.67599999905</v>
      </c>
      <c r="L7835" s="365"/>
      <c r="M7835" s="156">
        <f>BS!$I$15</f>
        <v>0</v>
      </c>
    </row>
    <row r="7836" spans="1:14" ht="11.25" customHeight="1" x14ac:dyDescent="0.2">
      <c r="A7836" s="320">
        <v>2025</v>
      </c>
      <c r="B7836" s="320">
        <v>6</v>
      </c>
      <c r="C7836" s="320">
        <v>4</v>
      </c>
      <c r="D7836" s="323">
        <f t="shared" si="911"/>
        <v>45812</v>
      </c>
      <c r="E7836" s="321">
        <f t="shared" ref="E7836:E7850" si="914">DATE(A7836,B7836,C7836)</f>
        <v>45812</v>
      </c>
      <c r="F7836" s="483"/>
      <c r="G7836" s="322" t="s">
        <v>86</v>
      </c>
      <c r="H7836" s="325"/>
      <c r="I7836" s="325"/>
      <c r="J7836" s="366" t="s">
        <v>1622</v>
      </c>
      <c r="K7836" s="367"/>
      <c r="L7836" s="367">
        <f>K7835</f>
        <v>572883.67599999905</v>
      </c>
    </row>
    <row r="7837" spans="1:14" ht="11.25" customHeight="1" x14ac:dyDescent="0.2">
      <c r="A7837" s="236">
        <v>2025</v>
      </c>
      <c r="B7837" s="236">
        <v>6</v>
      </c>
      <c r="C7837" s="236">
        <v>4</v>
      </c>
      <c r="D7837" s="237">
        <f t="shared" si="911"/>
        <v>45812</v>
      </c>
      <c r="E7837" s="238">
        <f t="shared" si="914"/>
        <v>45812</v>
      </c>
      <c r="F7837" s="476" t="s">
        <v>1118</v>
      </c>
      <c r="G7837" s="239" t="s">
        <v>86</v>
      </c>
      <c r="H7837" s="239"/>
      <c r="I7837" s="240"/>
      <c r="J7837" s="241" t="s">
        <v>98</v>
      </c>
      <c r="K7837" s="242">
        <v>2979349.0699999928</v>
      </c>
      <c r="L7837" s="242"/>
      <c r="M7837" s="156">
        <f>BS!$I$8</f>
        <v>0</v>
      </c>
    </row>
    <row r="7838" spans="1:14" ht="11.25" customHeight="1" x14ac:dyDescent="0.2">
      <c r="A7838" s="243">
        <v>2025</v>
      </c>
      <c r="B7838" s="243">
        <v>6</v>
      </c>
      <c r="C7838" s="243">
        <v>4</v>
      </c>
      <c r="D7838" s="248">
        <f t="shared" si="911"/>
        <v>45812</v>
      </c>
      <c r="E7838" s="249">
        <f t="shared" si="914"/>
        <v>45812</v>
      </c>
      <c r="F7838" s="477"/>
      <c r="G7838" s="244" t="s">
        <v>86</v>
      </c>
      <c r="H7838" s="244"/>
      <c r="I7838" s="245"/>
      <c r="J7838" s="246" t="s">
        <v>82</v>
      </c>
      <c r="K7838" s="247"/>
      <c r="L7838" s="247">
        <f>K7837</f>
        <v>2979349.0699999928</v>
      </c>
    </row>
    <row r="7839" spans="1:14" ht="11.25" customHeight="1" x14ac:dyDescent="0.2">
      <c r="A7839" s="236">
        <v>2025</v>
      </c>
      <c r="B7839" s="236">
        <v>6</v>
      </c>
      <c r="C7839" s="236">
        <v>4</v>
      </c>
      <c r="D7839" s="237">
        <f t="shared" si="911"/>
        <v>45812</v>
      </c>
      <c r="E7839" s="238">
        <f t="shared" si="914"/>
        <v>45812</v>
      </c>
      <c r="F7839" s="476" t="s">
        <v>1120</v>
      </c>
      <c r="G7839" s="239" t="s">
        <v>86</v>
      </c>
      <c r="H7839" s="239"/>
      <c r="I7839" s="240"/>
      <c r="J7839" s="241" t="s">
        <v>87</v>
      </c>
      <c r="K7839" s="242">
        <v>5494.5054945054944</v>
      </c>
      <c r="L7839" s="242"/>
      <c r="M7839" s="401"/>
      <c r="N7839" s="166">
        <f>K7839*2</f>
        <v>10989.010989010989</v>
      </c>
    </row>
    <row r="7840" spans="1:14" ht="11.25" customHeight="1" x14ac:dyDescent="0.2">
      <c r="A7840" s="243">
        <v>2025</v>
      </c>
      <c r="B7840" s="243">
        <v>6</v>
      </c>
      <c r="C7840" s="243">
        <v>4</v>
      </c>
      <c r="D7840" s="248">
        <f t="shared" si="911"/>
        <v>45812</v>
      </c>
      <c r="E7840" s="249">
        <f t="shared" si="914"/>
        <v>45812</v>
      </c>
      <c r="F7840" s="477"/>
      <c r="G7840" s="244" t="s">
        <v>86</v>
      </c>
      <c r="H7840" s="244"/>
      <c r="I7840" s="245"/>
      <c r="J7840" s="246" t="s">
        <v>64</v>
      </c>
      <c r="K7840" s="247"/>
      <c r="L7840" s="247">
        <f>K7839</f>
        <v>5494.5054945054944</v>
      </c>
    </row>
    <row r="7841" spans="1:14" ht="11.25" customHeight="1" x14ac:dyDescent="0.2">
      <c r="A7841" s="236">
        <v>2025</v>
      </c>
      <c r="B7841" s="236">
        <v>6</v>
      </c>
      <c r="C7841" s="236">
        <v>4</v>
      </c>
      <c r="D7841" s="237">
        <f t="shared" si="911"/>
        <v>45812</v>
      </c>
      <c r="E7841" s="238">
        <f t="shared" si="914"/>
        <v>45812</v>
      </c>
      <c r="F7841" s="476" t="s">
        <v>1121</v>
      </c>
      <c r="G7841" s="239" t="s">
        <v>86</v>
      </c>
      <c r="H7841" s="239"/>
      <c r="I7841" s="240"/>
      <c r="J7841" s="241" t="s">
        <v>89</v>
      </c>
      <c r="K7841" s="242">
        <v>143605.14164958455</v>
      </c>
      <c r="L7841" s="242"/>
      <c r="M7841" s="156">
        <v>71802.570824792274</v>
      </c>
      <c r="N7841" s="166">
        <f>K7841*2</f>
        <v>287210.2832991691</v>
      </c>
    </row>
    <row r="7842" spans="1:14" ht="11.25" customHeight="1" x14ac:dyDescent="0.2">
      <c r="A7842" s="243">
        <v>2025</v>
      </c>
      <c r="B7842" s="243">
        <v>6</v>
      </c>
      <c r="C7842" s="243">
        <v>4</v>
      </c>
      <c r="D7842" s="248">
        <f t="shared" si="911"/>
        <v>45812</v>
      </c>
      <c r="E7842" s="249">
        <f t="shared" si="914"/>
        <v>45812</v>
      </c>
      <c r="F7842" s="477"/>
      <c r="G7842" s="244" t="s">
        <v>86</v>
      </c>
      <c r="H7842" s="244"/>
      <c r="I7842" s="245"/>
      <c r="J7842" s="246" t="s">
        <v>50</v>
      </c>
      <c r="K7842" s="247"/>
      <c r="L7842" s="247">
        <f>K7841</f>
        <v>143605.14164958455</v>
      </c>
      <c r="M7842" s="156">
        <v>3349.743925854998</v>
      </c>
    </row>
    <row r="7843" spans="1:14" ht="11.25" customHeight="1" x14ac:dyDescent="0.2">
      <c r="A7843" s="236">
        <v>2025</v>
      </c>
      <c r="B7843" s="236">
        <v>6</v>
      </c>
      <c r="C7843" s="236">
        <v>4</v>
      </c>
      <c r="D7843" s="237">
        <f t="shared" si="911"/>
        <v>45812</v>
      </c>
      <c r="E7843" s="238">
        <f t="shared" si="914"/>
        <v>45812</v>
      </c>
      <c r="F7843" s="476" t="s">
        <v>1122</v>
      </c>
      <c r="G7843" s="239" t="s">
        <v>86</v>
      </c>
      <c r="H7843" s="239"/>
      <c r="I7843" s="240"/>
      <c r="J7843" s="241" t="s">
        <v>91</v>
      </c>
      <c r="K7843" s="242">
        <v>6699.487851709996</v>
      </c>
      <c r="L7843" s="242"/>
      <c r="N7843" s="166">
        <f>K7843*2</f>
        <v>13398.975703419992</v>
      </c>
    </row>
    <row r="7844" spans="1:14" ht="11.25" customHeight="1" x14ac:dyDescent="0.2">
      <c r="A7844" s="243">
        <v>2025</v>
      </c>
      <c r="B7844" s="243">
        <v>6</v>
      </c>
      <c r="C7844" s="243">
        <v>4</v>
      </c>
      <c r="D7844" s="248">
        <f t="shared" si="911"/>
        <v>45812</v>
      </c>
      <c r="E7844" s="249">
        <f t="shared" si="914"/>
        <v>45812</v>
      </c>
      <c r="F7844" s="477"/>
      <c r="G7844" s="244" t="s">
        <v>86</v>
      </c>
      <c r="H7844" s="244"/>
      <c r="I7844" s="245"/>
      <c r="J7844" s="246" t="s">
        <v>51</v>
      </c>
      <c r="K7844" s="247"/>
      <c r="L7844" s="247">
        <f>K7843</f>
        <v>6699.487851709996</v>
      </c>
    </row>
    <row r="7845" spans="1:14" ht="11.25" customHeight="1" x14ac:dyDescent="0.2">
      <c r="A7845" s="221">
        <v>2025</v>
      </c>
      <c r="B7845" s="221">
        <v>6</v>
      </c>
      <c r="C7845" s="221">
        <v>15</v>
      </c>
      <c r="D7845" s="231">
        <f t="shared" si="911"/>
        <v>45823</v>
      </c>
      <c r="E7845" s="233">
        <f t="shared" si="914"/>
        <v>45823</v>
      </c>
      <c r="F7845" s="478" t="s">
        <v>802</v>
      </c>
      <c r="G7845" s="222" t="s">
        <v>1111</v>
      </c>
      <c r="H7845" s="223"/>
      <c r="I7845" s="223" t="s">
        <v>1800</v>
      </c>
      <c r="J7845" s="224" t="s">
        <v>55</v>
      </c>
      <c r="K7845" s="167">
        <v>100000</v>
      </c>
      <c r="L7845" s="225"/>
    </row>
    <row r="7846" spans="1:14" ht="11.25" customHeight="1" x14ac:dyDescent="0.2">
      <c r="A7846" s="164">
        <v>2025</v>
      </c>
      <c r="B7846" s="164">
        <v>6</v>
      </c>
      <c r="C7846" s="164">
        <v>15</v>
      </c>
      <c r="D7846" s="156">
        <f t="shared" si="911"/>
        <v>45823</v>
      </c>
      <c r="E7846" s="235">
        <f t="shared" si="914"/>
        <v>45823</v>
      </c>
      <c r="F7846" s="480"/>
      <c r="G7846" s="208" t="s">
        <v>1111</v>
      </c>
      <c r="I7846" s="206" t="s">
        <v>1800</v>
      </c>
      <c r="J7846" s="165" t="s">
        <v>14</v>
      </c>
      <c r="L7846" s="205">
        <v>93680</v>
      </c>
    </row>
    <row r="7847" spans="1:14" ht="11.25" customHeight="1" x14ac:dyDescent="0.2">
      <c r="A7847" s="226">
        <v>2025</v>
      </c>
      <c r="B7847" s="226">
        <v>6</v>
      </c>
      <c r="C7847" s="226">
        <v>15</v>
      </c>
      <c r="D7847" s="232">
        <f t="shared" si="911"/>
        <v>45823</v>
      </c>
      <c r="E7847" s="234">
        <f t="shared" si="914"/>
        <v>45823</v>
      </c>
      <c r="F7847" s="479"/>
      <c r="G7847" s="227" t="s">
        <v>1111</v>
      </c>
      <c r="H7847" s="228"/>
      <c r="I7847" s="228" t="s">
        <v>1800</v>
      </c>
      <c r="J7847" s="229" t="s">
        <v>1112</v>
      </c>
      <c r="K7847" s="230"/>
      <c r="L7847" s="230">
        <v>6320</v>
      </c>
    </row>
    <row r="7848" spans="1:14" ht="11.25" customHeight="1" x14ac:dyDescent="0.2">
      <c r="A7848" s="221">
        <v>2025</v>
      </c>
      <c r="B7848" s="221">
        <v>6</v>
      </c>
      <c r="C7848" s="221">
        <v>15</v>
      </c>
      <c r="D7848" s="221">
        <f t="shared" si="911"/>
        <v>45823</v>
      </c>
      <c r="E7848" s="233">
        <f t="shared" si="914"/>
        <v>45823</v>
      </c>
      <c r="F7848" s="478" t="s">
        <v>1593</v>
      </c>
      <c r="G7848" s="222" t="s">
        <v>86</v>
      </c>
      <c r="H7848" s="222"/>
      <c r="I7848" s="223"/>
      <c r="J7848" s="224" t="s">
        <v>80</v>
      </c>
      <c r="K7848" s="225">
        <v>204900</v>
      </c>
      <c r="L7848" s="225"/>
    </row>
    <row r="7849" spans="1:14" ht="11.25" customHeight="1" x14ac:dyDescent="0.2">
      <c r="A7849" s="164">
        <v>2025</v>
      </c>
      <c r="B7849" s="164">
        <v>6</v>
      </c>
      <c r="C7849" s="164">
        <v>15</v>
      </c>
      <c r="D7849" s="164">
        <f t="shared" si="911"/>
        <v>45823</v>
      </c>
      <c r="E7849" s="235">
        <f t="shared" si="914"/>
        <v>45823</v>
      </c>
      <c r="F7849" s="480"/>
      <c r="G7849" s="208" t="s">
        <v>86</v>
      </c>
      <c r="H7849" s="208"/>
      <c r="J7849" s="165" t="s">
        <v>960</v>
      </c>
      <c r="K7849" s="205">
        <v>368.82</v>
      </c>
      <c r="L7849" s="205"/>
    </row>
    <row r="7850" spans="1:14" ht="11.25" customHeight="1" x14ac:dyDescent="0.2">
      <c r="A7850" s="226">
        <v>2025</v>
      </c>
      <c r="B7850" s="226">
        <v>6</v>
      </c>
      <c r="C7850" s="226">
        <v>15</v>
      </c>
      <c r="D7850" s="226">
        <f t="shared" si="911"/>
        <v>45823</v>
      </c>
      <c r="E7850" s="234">
        <f t="shared" si="914"/>
        <v>45823</v>
      </c>
      <c r="F7850" s="479"/>
      <c r="G7850" s="227" t="s">
        <v>86</v>
      </c>
      <c r="H7850" s="227"/>
      <c r="I7850" s="228"/>
      <c r="J7850" s="229" t="s">
        <v>143</v>
      </c>
      <c r="K7850" s="230"/>
      <c r="L7850" s="230">
        <v>205268.82</v>
      </c>
    </row>
    <row r="7851" spans="1:14" ht="11.25" customHeight="1" x14ac:dyDescent="0.2">
      <c r="A7851" s="221">
        <v>2025</v>
      </c>
      <c r="B7851" s="221">
        <v>6</v>
      </c>
      <c r="C7851" s="221">
        <v>15</v>
      </c>
      <c r="D7851" s="221">
        <f t="shared" si="911"/>
        <v>45823</v>
      </c>
      <c r="E7851" s="233">
        <f t="shared" ref="E7851:E7869" si="915">DATE(A7851,B7851,C7851)</f>
        <v>45823</v>
      </c>
      <c r="F7851" s="478" t="s">
        <v>1876</v>
      </c>
      <c r="G7851" s="222" t="s">
        <v>86</v>
      </c>
      <c r="H7851" s="222"/>
      <c r="I7851" s="223"/>
      <c r="J7851" s="224" t="s">
        <v>80</v>
      </c>
      <c r="K7851" s="225">
        <v>1841148</v>
      </c>
      <c r="L7851" s="225"/>
    </row>
    <row r="7852" spans="1:14" ht="11.25" customHeight="1" x14ac:dyDescent="0.2">
      <c r="A7852" s="164">
        <v>2025</v>
      </c>
      <c r="B7852" s="164">
        <v>6</v>
      </c>
      <c r="C7852" s="164">
        <v>15</v>
      </c>
      <c r="D7852" s="164">
        <f t="shared" si="911"/>
        <v>45823</v>
      </c>
      <c r="E7852" s="235">
        <f t="shared" si="915"/>
        <v>45823</v>
      </c>
      <c r="F7852" s="480"/>
      <c r="G7852" s="208" t="s">
        <v>86</v>
      </c>
      <c r="H7852" s="208"/>
      <c r="J7852" s="165" t="s">
        <v>960</v>
      </c>
      <c r="K7852" s="205">
        <v>3314.07</v>
      </c>
      <c r="L7852" s="205"/>
    </row>
    <row r="7853" spans="1:14" ht="11.25" customHeight="1" x14ac:dyDescent="0.2">
      <c r="A7853" s="226">
        <v>2025</v>
      </c>
      <c r="B7853" s="226">
        <v>6</v>
      </c>
      <c r="C7853" s="226">
        <v>15</v>
      </c>
      <c r="D7853" s="226">
        <f t="shared" si="911"/>
        <v>45823</v>
      </c>
      <c r="E7853" s="234">
        <f t="shared" si="915"/>
        <v>45823</v>
      </c>
      <c r="F7853" s="479"/>
      <c r="G7853" s="227" t="s">
        <v>86</v>
      </c>
      <c r="H7853" s="227"/>
      <c r="I7853" s="228"/>
      <c r="J7853" s="229" t="s">
        <v>143</v>
      </c>
      <c r="K7853" s="230"/>
      <c r="L7853" s="230">
        <v>1844462.07</v>
      </c>
    </row>
    <row r="7854" spans="1:14" ht="11.25" customHeight="1" x14ac:dyDescent="0.2">
      <c r="A7854" s="221">
        <v>2025</v>
      </c>
      <c r="B7854" s="221">
        <v>6</v>
      </c>
      <c r="C7854" s="221">
        <v>15</v>
      </c>
      <c r="D7854" s="231">
        <f t="shared" si="911"/>
        <v>45823</v>
      </c>
      <c r="E7854" s="233">
        <f t="shared" si="915"/>
        <v>45823</v>
      </c>
      <c r="F7854" s="478" t="s">
        <v>1898</v>
      </c>
      <c r="G7854" s="222" t="s">
        <v>1111</v>
      </c>
      <c r="H7854" s="223"/>
      <c r="I7854" s="223"/>
      <c r="J7854" s="224" t="s">
        <v>55</v>
      </c>
      <c r="K7854" s="225">
        <v>646875</v>
      </c>
      <c r="L7854" s="225"/>
    </row>
    <row r="7855" spans="1:14" ht="11.25" customHeight="1" x14ac:dyDescent="0.2">
      <c r="A7855" s="226">
        <v>2025</v>
      </c>
      <c r="B7855" s="226">
        <v>6</v>
      </c>
      <c r="C7855" s="226">
        <v>15</v>
      </c>
      <c r="D7855" s="232">
        <f t="shared" si="911"/>
        <v>45823</v>
      </c>
      <c r="E7855" s="234">
        <f t="shared" si="915"/>
        <v>45823</v>
      </c>
      <c r="F7855" s="479"/>
      <c r="G7855" s="227" t="s">
        <v>1111</v>
      </c>
      <c r="H7855" s="228"/>
      <c r="I7855" s="228"/>
      <c r="J7855" s="229" t="s">
        <v>1616</v>
      </c>
      <c r="K7855" s="230"/>
      <c r="L7855" s="230">
        <v>646875</v>
      </c>
    </row>
    <row r="7856" spans="1:14" ht="11.25" customHeight="1" x14ac:dyDescent="0.2">
      <c r="A7856" s="221">
        <v>2025</v>
      </c>
      <c r="B7856" s="221">
        <v>6</v>
      </c>
      <c r="C7856" s="221">
        <v>15</v>
      </c>
      <c r="D7856" s="231">
        <f t="shared" si="911"/>
        <v>45823</v>
      </c>
      <c r="E7856" s="233">
        <f t="shared" si="915"/>
        <v>45823</v>
      </c>
      <c r="F7856" s="478" t="s">
        <v>1888</v>
      </c>
      <c r="G7856" s="222" t="s">
        <v>1111</v>
      </c>
      <c r="H7856" s="223"/>
      <c r="I7856" s="223"/>
      <c r="J7856" s="224" t="s">
        <v>961</v>
      </c>
      <c r="K7856" s="225">
        <v>581044</v>
      </c>
      <c r="L7856" s="225"/>
    </row>
    <row r="7857" spans="1:14" ht="11.25" customHeight="1" x14ac:dyDescent="0.2">
      <c r="A7857" s="226">
        <v>2025</v>
      </c>
      <c r="B7857" s="226">
        <v>6</v>
      </c>
      <c r="C7857" s="226">
        <v>15</v>
      </c>
      <c r="D7857" s="232">
        <f t="shared" si="911"/>
        <v>45823</v>
      </c>
      <c r="E7857" s="234">
        <f t="shared" si="915"/>
        <v>45823</v>
      </c>
      <c r="F7857" s="479"/>
      <c r="G7857" s="227" t="s">
        <v>1111</v>
      </c>
      <c r="H7857" s="228"/>
      <c r="I7857" s="228"/>
      <c r="J7857" s="229" t="s">
        <v>55</v>
      </c>
      <c r="K7857" s="230"/>
      <c r="L7857" s="230">
        <v>581044</v>
      </c>
    </row>
    <row r="7858" spans="1:14" ht="11.25" customHeight="1" x14ac:dyDescent="0.2">
      <c r="A7858" s="221">
        <v>2025</v>
      </c>
      <c r="B7858" s="221">
        <v>6</v>
      </c>
      <c r="C7858" s="221">
        <v>15</v>
      </c>
      <c r="D7858" s="231">
        <f t="shared" si="911"/>
        <v>45823</v>
      </c>
      <c r="E7858" s="233">
        <f t="shared" si="915"/>
        <v>45823</v>
      </c>
      <c r="F7858" s="478" t="s">
        <v>1890</v>
      </c>
      <c r="G7858" s="222" t="s">
        <v>1111</v>
      </c>
      <c r="H7858" s="223"/>
      <c r="I7858" s="223"/>
      <c r="J7858" s="224" t="s">
        <v>55</v>
      </c>
      <c r="K7858" s="225">
        <v>234477.18</v>
      </c>
      <c r="L7858" s="225"/>
    </row>
    <row r="7859" spans="1:14" ht="11.25" customHeight="1" x14ac:dyDescent="0.2">
      <c r="A7859" s="226">
        <v>2025</v>
      </c>
      <c r="B7859" s="226">
        <v>6</v>
      </c>
      <c r="C7859" s="226">
        <v>15</v>
      </c>
      <c r="D7859" s="232">
        <f t="shared" si="911"/>
        <v>45823</v>
      </c>
      <c r="E7859" s="234">
        <f t="shared" si="915"/>
        <v>45823</v>
      </c>
      <c r="F7859" s="479"/>
      <c r="G7859" s="227" t="s">
        <v>1111</v>
      </c>
      <c r="H7859" s="228"/>
      <c r="I7859" s="228"/>
      <c r="J7859" s="229" t="s">
        <v>199</v>
      </c>
      <c r="K7859" s="230"/>
      <c r="L7859" s="230">
        <v>234477.18</v>
      </c>
      <c r="N7859" s="438"/>
    </row>
    <row r="7860" spans="1:14" ht="11.25" customHeight="1" x14ac:dyDescent="0.2">
      <c r="A7860" s="221">
        <v>2025</v>
      </c>
      <c r="B7860" s="221">
        <v>6</v>
      </c>
      <c r="C7860" s="221">
        <v>15</v>
      </c>
      <c r="D7860" s="231">
        <f t="shared" si="911"/>
        <v>45823</v>
      </c>
      <c r="E7860" s="233">
        <f t="shared" si="915"/>
        <v>45823</v>
      </c>
      <c r="F7860" s="478" t="s">
        <v>1670</v>
      </c>
      <c r="G7860" s="222" t="s">
        <v>1111</v>
      </c>
      <c r="H7860" s="223"/>
      <c r="I7860" s="223"/>
      <c r="J7860" s="224" t="s">
        <v>63</v>
      </c>
      <c r="K7860" s="225">
        <v>100</v>
      </c>
      <c r="L7860" s="225"/>
    </row>
    <row r="7861" spans="1:14" ht="11.25" customHeight="1" x14ac:dyDescent="0.2">
      <c r="A7861" s="226">
        <v>2025</v>
      </c>
      <c r="B7861" s="226">
        <v>6</v>
      </c>
      <c r="C7861" s="226">
        <v>15</v>
      </c>
      <c r="D7861" s="232">
        <f t="shared" si="911"/>
        <v>45823</v>
      </c>
      <c r="E7861" s="234">
        <f t="shared" si="915"/>
        <v>45823</v>
      </c>
      <c r="F7861" s="479"/>
      <c r="G7861" s="227" t="s">
        <v>1111</v>
      </c>
      <c r="H7861" s="228"/>
      <c r="I7861" s="228"/>
      <c r="J7861" s="229" t="s">
        <v>55</v>
      </c>
      <c r="K7861" s="230"/>
      <c r="L7861" s="230">
        <v>100</v>
      </c>
    </row>
    <row r="7862" spans="1:14" ht="11.25" customHeight="1" x14ac:dyDescent="0.2">
      <c r="A7862" s="221">
        <v>2025</v>
      </c>
      <c r="B7862" s="221">
        <v>6</v>
      </c>
      <c r="C7862" s="221">
        <v>16</v>
      </c>
      <c r="D7862" s="221">
        <f t="shared" si="911"/>
        <v>45824</v>
      </c>
      <c r="E7862" s="233">
        <f t="shared" si="915"/>
        <v>45824</v>
      </c>
      <c r="F7862" s="478" t="s">
        <v>1884</v>
      </c>
      <c r="G7862" s="222" t="s">
        <v>86</v>
      </c>
      <c r="H7862" s="222"/>
      <c r="I7862" s="223"/>
      <c r="J7862" s="224" t="s">
        <v>80</v>
      </c>
      <c r="K7862" s="225">
        <v>530020.80000000005</v>
      </c>
      <c r="L7862" s="225"/>
    </row>
    <row r="7863" spans="1:14" ht="11.25" customHeight="1" x14ac:dyDescent="0.2">
      <c r="A7863" s="164">
        <v>2025</v>
      </c>
      <c r="B7863" s="164">
        <v>6</v>
      </c>
      <c r="C7863" s="164">
        <v>16</v>
      </c>
      <c r="D7863" s="164">
        <f t="shared" si="911"/>
        <v>45824</v>
      </c>
      <c r="E7863" s="235">
        <f t="shared" si="915"/>
        <v>45824</v>
      </c>
      <c r="F7863" s="480"/>
      <c r="G7863" s="208" t="s">
        <v>86</v>
      </c>
      <c r="H7863" s="208"/>
      <c r="J7863" s="165" t="s">
        <v>960</v>
      </c>
      <c r="K7863" s="205">
        <v>1679.67</v>
      </c>
      <c r="L7863" s="205"/>
      <c r="M7863" s="263"/>
      <c r="N7863" s="263"/>
    </row>
    <row r="7864" spans="1:14" ht="11.25" customHeight="1" x14ac:dyDescent="0.2">
      <c r="A7864" s="164">
        <v>2025</v>
      </c>
      <c r="B7864" s="164">
        <v>6</v>
      </c>
      <c r="C7864" s="164">
        <v>16</v>
      </c>
      <c r="D7864" s="164">
        <f t="shared" si="911"/>
        <v>45824</v>
      </c>
      <c r="E7864" s="235">
        <f t="shared" si="915"/>
        <v>45824</v>
      </c>
      <c r="F7864" s="480"/>
      <c r="G7864" s="208" t="s">
        <v>86</v>
      </c>
      <c r="H7864" s="208"/>
      <c r="J7864" s="165" t="s">
        <v>143</v>
      </c>
      <c r="K7864" s="205"/>
      <c r="L7864" s="205">
        <v>128574.67</v>
      </c>
      <c r="M7864" s="263"/>
    </row>
    <row r="7865" spans="1:14" ht="11.25" customHeight="1" x14ac:dyDescent="0.2">
      <c r="A7865" s="164">
        <v>2025</v>
      </c>
      <c r="B7865" s="164">
        <v>6</v>
      </c>
      <c r="C7865" s="164">
        <v>16</v>
      </c>
      <c r="D7865" s="164">
        <f t="shared" si="911"/>
        <v>45824</v>
      </c>
      <c r="E7865" s="235">
        <f t="shared" si="915"/>
        <v>45824</v>
      </c>
      <c r="F7865" s="480"/>
      <c r="G7865" s="208" t="s">
        <v>86</v>
      </c>
      <c r="H7865" s="208"/>
      <c r="J7865" s="165" t="s">
        <v>200</v>
      </c>
      <c r="K7865" s="205">
        <v>6874.2</v>
      </c>
      <c r="L7865" s="205"/>
      <c r="M7865" s="263"/>
    </row>
    <row r="7866" spans="1:14" ht="11.25" customHeight="1" x14ac:dyDescent="0.2">
      <c r="A7866" s="226">
        <v>2025</v>
      </c>
      <c r="B7866" s="226">
        <v>6</v>
      </c>
      <c r="C7866" s="226">
        <v>16</v>
      </c>
      <c r="D7866" s="226">
        <f t="shared" si="911"/>
        <v>45824</v>
      </c>
      <c r="E7866" s="234">
        <f t="shared" si="915"/>
        <v>45824</v>
      </c>
      <c r="F7866" s="479"/>
      <c r="G7866" s="227" t="s">
        <v>86</v>
      </c>
      <c r="H7866" s="228"/>
      <c r="I7866" s="228"/>
      <c r="J7866" s="229" t="s">
        <v>80</v>
      </c>
      <c r="K7866" s="230"/>
      <c r="L7866" s="230">
        <v>410000</v>
      </c>
      <c r="M7866" s="263"/>
    </row>
    <row r="7867" spans="1:14" ht="11.25" customHeight="1" x14ac:dyDescent="0.2">
      <c r="A7867" s="221">
        <v>2025</v>
      </c>
      <c r="B7867" s="221">
        <v>6</v>
      </c>
      <c r="C7867" s="221">
        <v>16</v>
      </c>
      <c r="D7867" s="221">
        <f t="shared" si="911"/>
        <v>45824</v>
      </c>
      <c r="E7867" s="233">
        <f t="shared" si="915"/>
        <v>45824</v>
      </c>
      <c r="F7867" s="478" t="s">
        <v>1593</v>
      </c>
      <c r="G7867" s="222" t="s">
        <v>86</v>
      </c>
      <c r="H7867" s="222"/>
      <c r="I7867" s="223"/>
      <c r="J7867" s="224" t="s">
        <v>80</v>
      </c>
      <c r="K7867" s="225">
        <v>203880</v>
      </c>
      <c r="L7867" s="225"/>
    </row>
    <row r="7868" spans="1:14" ht="11.25" customHeight="1" x14ac:dyDescent="0.2">
      <c r="A7868" s="164">
        <v>2025</v>
      </c>
      <c r="B7868" s="164">
        <v>6</v>
      </c>
      <c r="C7868" s="164">
        <v>16</v>
      </c>
      <c r="D7868" s="164">
        <f t="shared" si="911"/>
        <v>45824</v>
      </c>
      <c r="E7868" s="235">
        <f t="shared" si="915"/>
        <v>45824</v>
      </c>
      <c r="F7868" s="480"/>
      <c r="G7868" s="208" t="s">
        <v>86</v>
      </c>
      <c r="H7868" s="208"/>
      <c r="J7868" s="165" t="s">
        <v>960</v>
      </c>
      <c r="K7868" s="205">
        <v>366.98</v>
      </c>
      <c r="L7868" s="205"/>
    </row>
    <row r="7869" spans="1:14" ht="11.25" customHeight="1" x14ac:dyDescent="0.2">
      <c r="A7869" s="226">
        <v>2025</v>
      </c>
      <c r="B7869" s="226">
        <v>6</v>
      </c>
      <c r="C7869" s="226">
        <v>16</v>
      </c>
      <c r="D7869" s="226">
        <f t="shared" si="911"/>
        <v>45824</v>
      </c>
      <c r="E7869" s="234">
        <f t="shared" si="915"/>
        <v>45824</v>
      </c>
      <c r="F7869" s="479"/>
      <c r="G7869" s="227" t="s">
        <v>86</v>
      </c>
      <c r="H7869" s="227"/>
      <c r="I7869" s="228"/>
      <c r="J7869" s="229" t="s">
        <v>143</v>
      </c>
      <c r="K7869" s="230"/>
      <c r="L7869" s="230">
        <v>204246.98</v>
      </c>
    </row>
    <row r="7870" spans="1:14" ht="11.25" customHeight="1" x14ac:dyDescent="0.2">
      <c r="A7870" s="221">
        <v>2025</v>
      </c>
      <c r="B7870" s="221">
        <v>6</v>
      </c>
      <c r="C7870" s="221">
        <v>16</v>
      </c>
      <c r="D7870" s="231">
        <f t="shared" si="911"/>
        <v>45824</v>
      </c>
      <c r="E7870" s="233">
        <f t="shared" ref="E7870:E7875" si="916">DATE(A7870,B7870,C7870)</f>
        <v>45824</v>
      </c>
      <c r="F7870" s="478" t="s">
        <v>1843</v>
      </c>
      <c r="G7870" s="222" t="s">
        <v>1111</v>
      </c>
      <c r="H7870" s="223"/>
      <c r="I7870" s="223"/>
      <c r="J7870" s="224" t="s">
        <v>55</v>
      </c>
      <c r="K7870" s="225">
        <v>1395982</v>
      </c>
      <c r="L7870" s="225"/>
    </row>
    <row r="7871" spans="1:14" ht="11.25" customHeight="1" x14ac:dyDescent="0.2">
      <c r="A7871" s="226">
        <v>2025</v>
      </c>
      <c r="B7871" s="226">
        <v>6</v>
      </c>
      <c r="C7871" s="226">
        <v>16</v>
      </c>
      <c r="D7871" s="232">
        <f t="shared" si="911"/>
        <v>45824</v>
      </c>
      <c r="E7871" s="234">
        <f t="shared" si="916"/>
        <v>45824</v>
      </c>
      <c r="F7871" s="479"/>
      <c r="G7871" s="227" t="s">
        <v>1111</v>
      </c>
      <c r="H7871" s="228"/>
      <c r="I7871" s="228"/>
      <c r="J7871" s="229" t="s">
        <v>199</v>
      </c>
      <c r="K7871" s="230"/>
      <c r="L7871" s="230">
        <v>1395982</v>
      </c>
      <c r="N7871" s="438"/>
    </row>
    <row r="7872" spans="1:14" ht="11.25" customHeight="1" x14ac:dyDescent="0.2">
      <c r="A7872" s="164">
        <v>2025</v>
      </c>
      <c r="B7872" s="221">
        <v>6</v>
      </c>
      <c r="C7872" s="221">
        <v>16</v>
      </c>
      <c r="D7872" s="156">
        <f t="shared" si="911"/>
        <v>45824</v>
      </c>
      <c r="E7872" s="235">
        <f t="shared" si="916"/>
        <v>45824</v>
      </c>
      <c r="F7872" s="478" t="s">
        <v>1808</v>
      </c>
      <c r="G7872" s="208" t="s">
        <v>1111</v>
      </c>
      <c r="J7872" s="165" t="s">
        <v>1708</v>
      </c>
      <c r="K7872" s="205">
        <v>62.5</v>
      </c>
      <c r="L7872" s="205"/>
    </row>
    <row r="7873" spans="1:12" ht="11.25" customHeight="1" x14ac:dyDescent="0.2">
      <c r="A7873" s="164">
        <v>2025</v>
      </c>
      <c r="B7873" s="164">
        <v>6</v>
      </c>
      <c r="C7873" s="164">
        <v>16</v>
      </c>
      <c r="D7873" s="156">
        <f t="shared" si="911"/>
        <v>45824</v>
      </c>
      <c r="E7873" s="235">
        <f t="shared" si="916"/>
        <v>45824</v>
      </c>
      <c r="F7873" s="480"/>
      <c r="G7873" s="208" t="s">
        <v>1111</v>
      </c>
      <c r="J7873" s="165" t="s">
        <v>1707</v>
      </c>
      <c r="K7873" s="205">
        <v>150</v>
      </c>
      <c r="L7873" s="205"/>
    </row>
    <row r="7874" spans="1:12" ht="11.25" customHeight="1" x14ac:dyDescent="0.2">
      <c r="A7874" s="164">
        <v>2025</v>
      </c>
      <c r="B7874" s="164">
        <v>6</v>
      </c>
      <c r="C7874" s="164">
        <v>16</v>
      </c>
      <c r="D7874" s="156">
        <f t="shared" si="911"/>
        <v>45824</v>
      </c>
      <c r="E7874" s="235">
        <f t="shared" si="916"/>
        <v>45824</v>
      </c>
      <c r="F7874" s="480"/>
      <c r="G7874" s="208" t="s">
        <v>1111</v>
      </c>
      <c r="J7874" s="165" t="s">
        <v>478</v>
      </c>
      <c r="K7874" s="205">
        <v>661.43</v>
      </c>
      <c r="L7874" s="205"/>
    </row>
    <row r="7875" spans="1:12" ht="11.25" customHeight="1" x14ac:dyDescent="0.2">
      <c r="A7875" s="226">
        <v>2025</v>
      </c>
      <c r="B7875" s="226">
        <v>6</v>
      </c>
      <c r="C7875" s="226">
        <v>16</v>
      </c>
      <c r="D7875" s="232">
        <f t="shared" si="911"/>
        <v>45824</v>
      </c>
      <c r="E7875" s="234">
        <f t="shared" si="916"/>
        <v>45824</v>
      </c>
      <c r="F7875" s="479"/>
      <c r="G7875" s="227" t="s">
        <v>1111</v>
      </c>
      <c r="H7875" s="228"/>
      <c r="I7875" s="228"/>
      <c r="J7875" s="229" t="s">
        <v>55</v>
      </c>
      <c r="K7875" s="230"/>
      <c r="L7875" s="230">
        <v>873.93</v>
      </c>
    </row>
    <row r="7876" spans="1:12" ht="11.25" customHeight="1" x14ac:dyDescent="0.2">
      <c r="A7876" s="221">
        <v>2025</v>
      </c>
      <c r="B7876" s="221">
        <v>6</v>
      </c>
      <c r="C7876" s="221">
        <v>17</v>
      </c>
      <c r="D7876" s="221">
        <f t="shared" si="911"/>
        <v>45825</v>
      </c>
      <c r="E7876" s="233">
        <f t="shared" ref="E7876:E7886" si="917">DATE(A7876,B7876,C7876)</f>
        <v>45825</v>
      </c>
      <c r="F7876" s="478" t="s">
        <v>1876</v>
      </c>
      <c r="G7876" s="222" t="s">
        <v>86</v>
      </c>
      <c r="H7876" s="222"/>
      <c r="I7876" s="223"/>
      <c r="J7876" s="224" t="s">
        <v>80</v>
      </c>
      <c r="K7876" s="225">
        <v>502000</v>
      </c>
      <c r="L7876" s="225"/>
    </row>
    <row r="7877" spans="1:12" ht="11.25" customHeight="1" x14ac:dyDescent="0.2">
      <c r="A7877" s="164">
        <v>2025</v>
      </c>
      <c r="B7877" s="164">
        <v>6</v>
      </c>
      <c r="C7877" s="164">
        <v>17</v>
      </c>
      <c r="D7877" s="164">
        <f t="shared" si="911"/>
        <v>45825</v>
      </c>
      <c r="E7877" s="235">
        <f t="shared" si="917"/>
        <v>45825</v>
      </c>
      <c r="F7877" s="480"/>
      <c r="G7877" s="208" t="s">
        <v>86</v>
      </c>
      <c r="H7877" s="208"/>
      <c r="J7877" s="165" t="s">
        <v>960</v>
      </c>
      <c r="K7877" s="205">
        <v>903.6</v>
      </c>
      <c r="L7877" s="205"/>
    </row>
    <row r="7878" spans="1:12" ht="11.25" customHeight="1" x14ac:dyDescent="0.2">
      <c r="A7878" s="226">
        <v>2025</v>
      </c>
      <c r="B7878" s="226">
        <v>6</v>
      </c>
      <c r="C7878" s="226">
        <v>17</v>
      </c>
      <c r="D7878" s="226">
        <f t="shared" si="911"/>
        <v>45825</v>
      </c>
      <c r="E7878" s="234">
        <f t="shared" si="917"/>
        <v>45825</v>
      </c>
      <c r="F7878" s="479"/>
      <c r="G7878" s="227" t="s">
        <v>86</v>
      </c>
      <c r="H7878" s="227"/>
      <c r="I7878" s="228"/>
      <c r="J7878" s="229" t="s">
        <v>143</v>
      </c>
      <c r="K7878" s="230"/>
      <c r="L7878" s="230">
        <v>502903.6</v>
      </c>
    </row>
    <row r="7879" spans="1:12" ht="11.25" customHeight="1" x14ac:dyDescent="0.2">
      <c r="A7879" s="221">
        <v>2025</v>
      </c>
      <c r="B7879" s="221">
        <v>6</v>
      </c>
      <c r="C7879" s="221">
        <v>17</v>
      </c>
      <c r="D7879" s="231">
        <f t="shared" si="911"/>
        <v>45825</v>
      </c>
      <c r="E7879" s="233">
        <f t="shared" si="917"/>
        <v>45825</v>
      </c>
      <c r="F7879" s="478" t="s">
        <v>1814</v>
      </c>
      <c r="G7879" s="222" t="s">
        <v>1111</v>
      </c>
      <c r="H7879" s="223"/>
      <c r="I7879" s="223"/>
      <c r="J7879" s="224" t="s">
        <v>961</v>
      </c>
      <c r="K7879" s="225">
        <v>205268.82</v>
      </c>
      <c r="L7879" s="225"/>
    </row>
    <row r="7880" spans="1:12" ht="11.25" customHeight="1" x14ac:dyDescent="0.2">
      <c r="A7880" s="226">
        <v>2025</v>
      </c>
      <c r="B7880" s="226">
        <v>6</v>
      </c>
      <c r="C7880" s="226">
        <v>17</v>
      </c>
      <c r="D7880" s="232">
        <f t="shared" si="911"/>
        <v>45825</v>
      </c>
      <c r="E7880" s="234">
        <f t="shared" si="917"/>
        <v>45825</v>
      </c>
      <c r="F7880" s="479"/>
      <c r="G7880" s="227" t="s">
        <v>1111</v>
      </c>
      <c r="H7880" s="228"/>
      <c r="I7880" s="228"/>
      <c r="J7880" s="229" t="s">
        <v>55</v>
      </c>
      <c r="K7880" s="230"/>
      <c r="L7880" s="230">
        <v>205268.82</v>
      </c>
    </row>
    <row r="7881" spans="1:12" ht="11.25" customHeight="1" x14ac:dyDescent="0.2">
      <c r="A7881" s="221">
        <v>2025</v>
      </c>
      <c r="B7881" s="221">
        <v>6</v>
      </c>
      <c r="C7881" s="221">
        <v>17</v>
      </c>
      <c r="D7881" s="231">
        <f t="shared" ref="D7881:D7944" si="918">DATE(A7881,B7881,C7881)</f>
        <v>45825</v>
      </c>
      <c r="E7881" s="233">
        <f t="shared" si="917"/>
        <v>45825</v>
      </c>
      <c r="F7881" s="478" t="s">
        <v>1888</v>
      </c>
      <c r="G7881" s="222" t="s">
        <v>1111</v>
      </c>
      <c r="H7881" s="223"/>
      <c r="I7881" s="223"/>
      <c r="J7881" s="224" t="s">
        <v>961</v>
      </c>
      <c r="K7881" s="225">
        <v>1844462.07</v>
      </c>
      <c r="L7881" s="225"/>
    </row>
    <row r="7882" spans="1:12" ht="11.25" customHeight="1" x14ac:dyDescent="0.2">
      <c r="A7882" s="226">
        <v>2025</v>
      </c>
      <c r="B7882" s="226">
        <v>6</v>
      </c>
      <c r="C7882" s="226">
        <v>17</v>
      </c>
      <c r="D7882" s="232">
        <f t="shared" si="918"/>
        <v>45825</v>
      </c>
      <c r="E7882" s="234">
        <f t="shared" si="917"/>
        <v>45825</v>
      </c>
      <c r="F7882" s="479"/>
      <c r="G7882" s="227" t="s">
        <v>1111</v>
      </c>
      <c r="H7882" s="228"/>
      <c r="I7882" s="228"/>
      <c r="J7882" s="229" t="s">
        <v>55</v>
      </c>
      <c r="K7882" s="230"/>
      <c r="L7882" s="230">
        <v>1844462.07</v>
      </c>
    </row>
    <row r="7883" spans="1:12" ht="11.25" customHeight="1" x14ac:dyDescent="0.2">
      <c r="A7883" s="221">
        <v>2025</v>
      </c>
      <c r="B7883" s="221">
        <v>6</v>
      </c>
      <c r="C7883" s="221">
        <v>17</v>
      </c>
      <c r="D7883" s="231">
        <f t="shared" si="918"/>
        <v>45825</v>
      </c>
      <c r="E7883" s="233">
        <f t="shared" si="917"/>
        <v>45825</v>
      </c>
      <c r="F7883" s="478" t="s">
        <v>1670</v>
      </c>
      <c r="G7883" s="222" t="s">
        <v>1111</v>
      </c>
      <c r="H7883" s="223"/>
      <c r="I7883" s="223"/>
      <c r="J7883" s="224" t="s">
        <v>63</v>
      </c>
      <c r="K7883" s="225">
        <v>158</v>
      </c>
      <c r="L7883" s="225"/>
    </row>
    <row r="7884" spans="1:12" ht="11.25" customHeight="1" x14ac:dyDescent="0.2">
      <c r="A7884" s="226">
        <v>2025</v>
      </c>
      <c r="B7884" s="226">
        <v>6</v>
      </c>
      <c r="C7884" s="226">
        <v>17</v>
      </c>
      <c r="D7884" s="232">
        <f t="shared" si="918"/>
        <v>45825</v>
      </c>
      <c r="E7884" s="234">
        <f t="shared" si="917"/>
        <v>45825</v>
      </c>
      <c r="F7884" s="479"/>
      <c r="G7884" s="227" t="s">
        <v>1111</v>
      </c>
      <c r="H7884" s="228"/>
      <c r="I7884" s="228"/>
      <c r="J7884" s="229" t="s">
        <v>55</v>
      </c>
      <c r="K7884" s="230"/>
      <c r="L7884" s="230">
        <v>158</v>
      </c>
    </row>
    <row r="7885" spans="1:12" ht="11.25" customHeight="1" x14ac:dyDescent="0.2">
      <c r="A7885" s="221">
        <v>2025</v>
      </c>
      <c r="B7885" s="221">
        <v>6</v>
      </c>
      <c r="C7885" s="221">
        <v>17</v>
      </c>
      <c r="D7885" s="231">
        <f t="shared" si="918"/>
        <v>45825</v>
      </c>
      <c r="E7885" s="233">
        <f t="shared" si="917"/>
        <v>45825</v>
      </c>
      <c r="F7885" s="478" t="s">
        <v>1921</v>
      </c>
      <c r="G7885" s="222" t="s">
        <v>1111</v>
      </c>
      <c r="H7885" s="223"/>
      <c r="I7885" s="223"/>
      <c r="J7885" s="224" t="s">
        <v>63</v>
      </c>
      <c r="K7885" s="225">
        <v>100</v>
      </c>
      <c r="L7885" s="225"/>
    </row>
    <row r="7886" spans="1:12" ht="11.25" customHeight="1" x14ac:dyDescent="0.2">
      <c r="A7886" s="226">
        <v>2025</v>
      </c>
      <c r="B7886" s="164">
        <v>6</v>
      </c>
      <c r="C7886" s="164">
        <v>17</v>
      </c>
      <c r="D7886" s="232">
        <f t="shared" si="918"/>
        <v>45825</v>
      </c>
      <c r="E7886" s="234">
        <f t="shared" si="917"/>
        <v>45825</v>
      </c>
      <c r="F7886" s="479"/>
      <c r="G7886" s="227" t="s">
        <v>1111</v>
      </c>
      <c r="H7886" s="228"/>
      <c r="I7886" s="228"/>
      <c r="J7886" s="229" t="s">
        <v>55</v>
      </c>
      <c r="K7886" s="230"/>
      <c r="L7886" s="230">
        <v>100</v>
      </c>
    </row>
    <row r="7887" spans="1:12" ht="11.25" customHeight="1" x14ac:dyDescent="0.2">
      <c r="A7887" s="221">
        <v>2025</v>
      </c>
      <c r="B7887" s="221">
        <v>6</v>
      </c>
      <c r="C7887" s="221">
        <v>18</v>
      </c>
      <c r="D7887" s="231">
        <f t="shared" si="918"/>
        <v>45826</v>
      </c>
      <c r="E7887" s="233">
        <f t="shared" ref="E7887:E7895" si="919">DATE(A7887,B7887,C7887)</f>
        <v>45826</v>
      </c>
      <c r="F7887" s="478" t="s">
        <v>1814</v>
      </c>
      <c r="G7887" s="222" t="s">
        <v>1111</v>
      </c>
      <c r="H7887" s="223"/>
      <c r="I7887" s="223"/>
      <c r="J7887" s="224" t="s">
        <v>961</v>
      </c>
      <c r="K7887" s="225">
        <v>204246.98</v>
      </c>
      <c r="L7887" s="225"/>
    </row>
    <row r="7888" spans="1:12" ht="11.25" customHeight="1" x14ac:dyDescent="0.2">
      <c r="A7888" s="226">
        <v>2025</v>
      </c>
      <c r="B7888" s="226">
        <v>6</v>
      </c>
      <c r="C7888" s="226">
        <v>18</v>
      </c>
      <c r="D7888" s="232">
        <f t="shared" si="918"/>
        <v>45826</v>
      </c>
      <c r="E7888" s="234">
        <f t="shared" si="919"/>
        <v>45826</v>
      </c>
      <c r="F7888" s="479"/>
      <c r="G7888" s="227" t="s">
        <v>1111</v>
      </c>
      <c r="H7888" s="228"/>
      <c r="I7888" s="228"/>
      <c r="J7888" s="229" t="s">
        <v>55</v>
      </c>
      <c r="K7888" s="230"/>
      <c r="L7888" s="230">
        <v>204246.98</v>
      </c>
    </row>
    <row r="7889" spans="1:12" ht="11.25" customHeight="1" x14ac:dyDescent="0.2">
      <c r="A7889" s="221">
        <v>2025</v>
      </c>
      <c r="B7889" s="221">
        <v>6</v>
      </c>
      <c r="C7889" s="221">
        <v>18</v>
      </c>
      <c r="D7889" s="231">
        <f t="shared" si="918"/>
        <v>45826</v>
      </c>
      <c r="E7889" s="233">
        <f t="shared" si="919"/>
        <v>45826</v>
      </c>
      <c r="F7889" s="478" t="s">
        <v>802</v>
      </c>
      <c r="G7889" s="222" t="s">
        <v>1111</v>
      </c>
      <c r="H7889" s="223"/>
      <c r="I7889" s="223" t="s">
        <v>1800</v>
      </c>
      <c r="J7889" s="224" t="s">
        <v>55</v>
      </c>
      <c r="K7889" s="167">
        <v>90000</v>
      </c>
      <c r="L7889" s="225"/>
    </row>
    <row r="7890" spans="1:12" ht="11.25" customHeight="1" x14ac:dyDescent="0.2">
      <c r="A7890" s="164">
        <v>2025</v>
      </c>
      <c r="B7890" s="164">
        <v>6</v>
      </c>
      <c r="C7890" s="164">
        <v>18</v>
      </c>
      <c r="D7890" s="156">
        <f t="shared" si="918"/>
        <v>45826</v>
      </c>
      <c r="E7890" s="235">
        <f t="shared" si="919"/>
        <v>45826</v>
      </c>
      <c r="F7890" s="480"/>
      <c r="G7890" s="208" t="s">
        <v>1111</v>
      </c>
      <c r="I7890" s="206" t="s">
        <v>1800</v>
      </c>
      <c r="J7890" s="165" t="s">
        <v>14</v>
      </c>
      <c r="L7890" s="205">
        <v>84310</v>
      </c>
    </row>
    <row r="7891" spans="1:12" ht="11.25" customHeight="1" x14ac:dyDescent="0.2">
      <c r="A7891" s="226">
        <v>2025</v>
      </c>
      <c r="B7891" s="226">
        <v>6</v>
      </c>
      <c r="C7891" s="226">
        <v>18</v>
      </c>
      <c r="D7891" s="232">
        <f t="shared" si="918"/>
        <v>45826</v>
      </c>
      <c r="E7891" s="234">
        <f t="shared" si="919"/>
        <v>45826</v>
      </c>
      <c r="F7891" s="479"/>
      <c r="G7891" s="227" t="s">
        <v>1111</v>
      </c>
      <c r="H7891" s="228"/>
      <c r="I7891" s="228" t="s">
        <v>1800</v>
      </c>
      <c r="J7891" s="229" t="s">
        <v>1112</v>
      </c>
      <c r="K7891" s="230"/>
      <c r="L7891" s="230">
        <v>5690</v>
      </c>
    </row>
    <row r="7892" spans="1:12" ht="11.25" customHeight="1" x14ac:dyDescent="0.2">
      <c r="A7892" s="221">
        <v>2025</v>
      </c>
      <c r="B7892" s="221">
        <v>6</v>
      </c>
      <c r="C7892" s="221">
        <v>18</v>
      </c>
      <c r="D7892" s="231">
        <f t="shared" si="918"/>
        <v>45826</v>
      </c>
      <c r="E7892" s="233">
        <f t="shared" si="919"/>
        <v>45826</v>
      </c>
      <c r="F7892" s="478" t="s">
        <v>1899</v>
      </c>
      <c r="G7892" s="222" t="s">
        <v>1111</v>
      </c>
      <c r="H7892" s="222"/>
      <c r="I7892" s="223"/>
      <c r="J7892" s="224" t="s">
        <v>1615</v>
      </c>
      <c r="K7892" s="357">
        <v>3026777.22</v>
      </c>
      <c r="L7892" s="225"/>
    </row>
    <row r="7893" spans="1:12" ht="11.25" customHeight="1" x14ac:dyDescent="0.2">
      <c r="A7893" s="226">
        <v>2025</v>
      </c>
      <c r="B7893" s="226">
        <v>6</v>
      </c>
      <c r="C7893" s="226">
        <v>18</v>
      </c>
      <c r="D7893" s="226">
        <f t="shared" si="918"/>
        <v>45826</v>
      </c>
      <c r="E7893" s="234">
        <f t="shared" si="919"/>
        <v>45826</v>
      </c>
      <c r="F7893" s="479"/>
      <c r="G7893" s="227" t="s">
        <v>1111</v>
      </c>
      <c r="H7893" s="227"/>
      <c r="I7893" s="228"/>
      <c r="J7893" s="229" t="s">
        <v>55</v>
      </c>
      <c r="K7893" s="294"/>
      <c r="L7893" s="230">
        <v>3026777.22</v>
      </c>
    </row>
    <row r="7894" spans="1:12" ht="11.25" customHeight="1" x14ac:dyDescent="0.2">
      <c r="A7894" s="221">
        <v>2025</v>
      </c>
      <c r="B7894" s="221">
        <v>6</v>
      </c>
      <c r="C7894" s="221">
        <v>19</v>
      </c>
      <c r="D7894" s="231">
        <f t="shared" si="918"/>
        <v>45827</v>
      </c>
      <c r="E7894" s="233">
        <f t="shared" si="919"/>
        <v>45827</v>
      </c>
      <c r="F7894" s="478" t="s">
        <v>1888</v>
      </c>
      <c r="G7894" s="222" t="s">
        <v>1111</v>
      </c>
      <c r="H7894" s="223"/>
      <c r="I7894" s="223"/>
      <c r="J7894" s="224" t="s">
        <v>961</v>
      </c>
      <c r="K7894" s="225">
        <v>128574.67</v>
      </c>
      <c r="L7894" s="225"/>
    </row>
    <row r="7895" spans="1:12" ht="11.25" customHeight="1" x14ac:dyDescent="0.2">
      <c r="A7895" s="226">
        <v>2025</v>
      </c>
      <c r="B7895" s="226">
        <v>6</v>
      </c>
      <c r="C7895" s="226">
        <v>19</v>
      </c>
      <c r="D7895" s="232">
        <f t="shared" si="918"/>
        <v>45827</v>
      </c>
      <c r="E7895" s="234">
        <f t="shared" si="919"/>
        <v>45827</v>
      </c>
      <c r="F7895" s="479"/>
      <c r="G7895" s="227" t="s">
        <v>1111</v>
      </c>
      <c r="H7895" s="228"/>
      <c r="I7895" s="228"/>
      <c r="J7895" s="229" t="s">
        <v>55</v>
      </c>
      <c r="K7895" s="230"/>
      <c r="L7895" s="230">
        <v>128574.67</v>
      </c>
    </row>
    <row r="7896" spans="1:12" ht="11.25" customHeight="1" x14ac:dyDescent="0.2">
      <c r="A7896" s="221">
        <v>2025</v>
      </c>
      <c r="B7896" s="221">
        <v>6</v>
      </c>
      <c r="C7896" s="221">
        <v>19</v>
      </c>
      <c r="D7896" s="231">
        <f t="shared" si="918"/>
        <v>45827</v>
      </c>
      <c r="E7896" s="233">
        <f t="shared" ref="E7896:E7913" si="920">DATE(A7896,B7896,C7896)</f>
        <v>45827</v>
      </c>
      <c r="F7896" s="478" t="s">
        <v>1888</v>
      </c>
      <c r="G7896" s="222" t="s">
        <v>1111</v>
      </c>
      <c r="H7896" s="223"/>
      <c r="I7896" s="223"/>
      <c r="J7896" s="224" t="s">
        <v>961</v>
      </c>
      <c r="K7896" s="225">
        <v>502903.6</v>
      </c>
      <c r="L7896" s="225"/>
    </row>
    <row r="7897" spans="1:12" ht="11.25" customHeight="1" x14ac:dyDescent="0.2">
      <c r="A7897" s="226">
        <v>2025</v>
      </c>
      <c r="B7897" s="226">
        <v>6</v>
      </c>
      <c r="C7897" s="226">
        <v>19</v>
      </c>
      <c r="D7897" s="232">
        <f t="shared" si="918"/>
        <v>45827</v>
      </c>
      <c r="E7897" s="234">
        <f t="shared" si="920"/>
        <v>45827</v>
      </c>
      <c r="F7897" s="479"/>
      <c r="G7897" s="227" t="s">
        <v>1111</v>
      </c>
      <c r="H7897" s="228"/>
      <c r="I7897" s="228"/>
      <c r="J7897" s="229" t="s">
        <v>55</v>
      </c>
      <c r="K7897" s="230"/>
      <c r="L7897" s="230">
        <v>502903.6</v>
      </c>
    </row>
    <row r="7898" spans="1:12" ht="11.25" customHeight="1" x14ac:dyDescent="0.2">
      <c r="A7898" s="221">
        <v>2025</v>
      </c>
      <c r="B7898" s="221">
        <v>6</v>
      </c>
      <c r="C7898" s="221">
        <v>19</v>
      </c>
      <c r="D7898" s="231">
        <f t="shared" si="918"/>
        <v>45827</v>
      </c>
      <c r="E7898" s="233">
        <f t="shared" si="920"/>
        <v>45827</v>
      </c>
      <c r="F7898" s="478" t="s">
        <v>1861</v>
      </c>
      <c r="G7898" s="222" t="s">
        <v>1111</v>
      </c>
      <c r="H7898" s="222"/>
      <c r="I7898" s="223"/>
      <c r="J7898" s="224" t="s">
        <v>1615</v>
      </c>
      <c r="K7898" s="357">
        <v>3326060.5</v>
      </c>
      <c r="L7898" s="225"/>
    </row>
    <row r="7899" spans="1:12" ht="11.25" customHeight="1" x14ac:dyDescent="0.2">
      <c r="A7899" s="226">
        <v>2025</v>
      </c>
      <c r="B7899" s="226">
        <v>6</v>
      </c>
      <c r="C7899" s="226">
        <v>19</v>
      </c>
      <c r="D7899" s="226">
        <f t="shared" si="918"/>
        <v>45827</v>
      </c>
      <c r="E7899" s="234">
        <f t="shared" si="920"/>
        <v>45827</v>
      </c>
      <c r="F7899" s="479"/>
      <c r="G7899" s="227" t="s">
        <v>1111</v>
      </c>
      <c r="H7899" s="227"/>
      <c r="I7899" s="228"/>
      <c r="J7899" s="229" t="s">
        <v>55</v>
      </c>
      <c r="K7899" s="294"/>
      <c r="L7899" s="230">
        <v>3326060.5</v>
      </c>
    </row>
    <row r="7900" spans="1:12" ht="11.25" customHeight="1" x14ac:dyDescent="0.2">
      <c r="A7900" s="221">
        <v>2025</v>
      </c>
      <c r="B7900" s="221">
        <v>6</v>
      </c>
      <c r="C7900" s="221">
        <v>19</v>
      </c>
      <c r="D7900" s="221">
        <f t="shared" si="918"/>
        <v>45827</v>
      </c>
      <c r="E7900" s="233">
        <f t="shared" si="920"/>
        <v>45827</v>
      </c>
      <c r="F7900" s="478" t="s">
        <v>1593</v>
      </c>
      <c r="G7900" s="222" t="s">
        <v>86</v>
      </c>
      <c r="H7900" s="222"/>
      <c r="I7900" s="223"/>
      <c r="J7900" s="224" t="s">
        <v>80</v>
      </c>
      <c r="K7900" s="225">
        <v>499000</v>
      </c>
      <c r="L7900" s="225"/>
    </row>
    <row r="7901" spans="1:12" ht="11.25" customHeight="1" x14ac:dyDescent="0.2">
      <c r="A7901" s="164">
        <v>2025</v>
      </c>
      <c r="B7901" s="164">
        <v>6</v>
      </c>
      <c r="C7901" s="164">
        <v>19</v>
      </c>
      <c r="D7901" s="164">
        <f t="shared" si="918"/>
        <v>45827</v>
      </c>
      <c r="E7901" s="235">
        <f t="shared" si="920"/>
        <v>45827</v>
      </c>
      <c r="F7901" s="480"/>
      <c r="G7901" s="208" t="s">
        <v>86</v>
      </c>
      <c r="H7901" s="208"/>
      <c r="J7901" s="165" t="s">
        <v>960</v>
      </c>
      <c r="K7901" s="205">
        <v>898.2</v>
      </c>
      <c r="L7901" s="205"/>
    </row>
    <row r="7902" spans="1:12" ht="11.25" customHeight="1" x14ac:dyDescent="0.2">
      <c r="A7902" s="226">
        <v>2025</v>
      </c>
      <c r="B7902" s="226">
        <v>6</v>
      </c>
      <c r="C7902" s="226">
        <v>19</v>
      </c>
      <c r="D7902" s="226">
        <f t="shared" si="918"/>
        <v>45827</v>
      </c>
      <c r="E7902" s="234">
        <f t="shared" si="920"/>
        <v>45827</v>
      </c>
      <c r="F7902" s="479"/>
      <c r="G7902" s="227" t="s">
        <v>86</v>
      </c>
      <c r="H7902" s="227"/>
      <c r="I7902" s="228"/>
      <c r="J7902" s="229" t="s">
        <v>143</v>
      </c>
      <c r="K7902" s="230"/>
      <c r="L7902" s="230">
        <v>499898.2</v>
      </c>
    </row>
    <row r="7903" spans="1:12" ht="11.25" customHeight="1" x14ac:dyDescent="0.2">
      <c r="A7903" s="221">
        <v>2025</v>
      </c>
      <c r="B7903" s="221">
        <v>6</v>
      </c>
      <c r="C7903" s="221">
        <v>19</v>
      </c>
      <c r="D7903" s="231">
        <f t="shared" si="918"/>
        <v>45827</v>
      </c>
      <c r="E7903" s="233">
        <f t="shared" si="920"/>
        <v>45827</v>
      </c>
      <c r="F7903" s="478" t="s">
        <v>802</v>
      </c>
      <c r="G7903" s="222" t="s">
        <v>1111</v>
      </c>
      <c r="H7903" s="223"/>
      <c r="I7903" s="223" t="s">
        <v>1574</v>
      </c>
      <c r="J7903" s="224" t="s">
        <v>55</v>
      </c>
      <c r="K7903" s="167">
        <v>400000</v>
      </c>
      <c r="L7903" s="225"/>
    </row>
    <row r="7904" spans="1:12" ht="11.25" customHeight="1" x14ac:dyDescent="0.2">
      <c r="A7904" s="164">
        <v>2025</v>
      </c>
      <c r="B7904" s="164">
        <v>6</v>
      </c>
      <c r="C7904" s="164">
        <v>19</v>
      </c>
      <c r="D7904" s="156">
        <f t="shared" si="918"/>
        <v>45827</v>
      </c>
      <c r="E7904" s="235">
        <f t="shared" si="920"/>
        <v>45827</v>
      </c>
      <c r="F7904" s="480"/>
      <c r="G7904" s="208" t="s">
        <v>1111</v>
      </c>
      <c r="I7904" s="206" t="s">
        <v>1574</v>
      </c>
      <c r="J7904" s="165" t="s">
        <v>14</v>
      </c>
      <c r="L7904" s="205">
        <v>374710</v>
      </c>
    </row>
    <row r="7905" spans="1:13" ht="11.25" customHeight="1" x14ac:dyDescent="0.2">
      <c r="A7905" s="226">
        <v>2025</v>
      </c>
      <c r="B7905" s="226">
        <v>6</v>
      </c>
      <c r="C7905" s="226">
        <v>19</v>
      </c>
      <c r="D7905" s="232">
        <f t="shared" si="918"/>
        <v>45827</v>
      </c>
      <c r="E7905" s="234">
        <f t="shared" si="920"/>
        <v>45827</v>
      </c>
      <c r="F7905" s="479"/>
      <c r="G7905" s="227" t="s">
        <v>1111</v>
      </c>
      <c r="H7905" s="228"/>
      <c r="I7905" s="228" t="s">
        <v>1574</v>
      </c>
      <c r="J7905" s="229" t="s">
        <v>1112</v>
      </c>
      <c r="K7905" s="230"/>
      <c r="L7905" s="230">
        <v>25290</v>
      </c>
    </row>
    <row r="7906" spans="1:13" ht="11.25" customHeight="1" x14ac:dyDescent="0.2">
      <c r="A7906" s="280">
        <v>2025</v>
      </c>
      <c r="B7906" s="280">
        <v>6</v>
      </c>
      <c r="C7906" s="280">
        <v>19</v>
      </c>
      <c r="D7906" s="281">
        <f t="shared" si="918"/>
        <v>45827</v>
      </c>
      <c r="E7906" s="282">
        <f t="shared" si="920"/>
        <v>45827</v>
      </c>
      <c r="F7906" s="472" t="s">
        <v>1744</v>
      </c>
      <c r="G7906" s="283" t="s">
        <v>86</v>
      </c>
      <c r="H7906" s="284"/>
      <c r="I7906" s="284"/>
      <c r="J7906" s="285" t="s">
        <v>131</v>
      </c>
      <c r="K7906" s="286">
        <v>19358.330000000002</v>
      </c>
      <c r="L7906" s="286"/>
      <c r="M7906" s="401"/>
    </row>
    <row r="7907" spans="1:13" ht="11.25" customHeight="1" x14ac:dyDescent="0.2">
      <c r="A7907" s="287">
        <v>2025</v>
      </c>
      <c r="B7907" s="287">
        <v>6</v>
      </c>
      <c r="C7907" s="287">
        <v>19</v>
      </c>
      <c r="D7907" s="288">
        <f t="shared" si="918"/>
        <v>45827</v>
      </c>
      <c r="E7907" s="289">
        <f t="shared" si="920"/>
        <v>45827</v>
      </c>
      <c r="F7907" s="473"/>
      <c r="G7907" s="290" t="s">
        <v>86</v>
      </c>
      <c r="H7907" s="291"/>
      <c r="I7907" s="291"/>
      <c r="J7907" s="292" t="s">
        <v>174</v>
      </c>
      <c r="K7907" s="293"/>
      <c r="L7907" s="293">
        <f>K7906</f>
        <v>19358.330000000002</v>
      </c>
    </row>
    <row r="7908" spans="1:13" ht="11.25" customHeight="1" x14ac:dyDescent="0.2">
      <c r="A7908" s="280">
        <v>2025</v>
      </c>
      <c r="B7908" s="280">
        <v>6</v>
      </c>
      <c r="C7908" s="280">
        <v>19</v>
      </c>
      <c r="D7908" s="281">
        <f t="shared" si="918"/>
        <v>45827</v>
      </c>
      <c r="E7908" s="282">
        <f t="shared" si="920"/>
        <v>45827</v>
      </c>
      <c r="F7908" s="472" t="s">
        <v>1584</v>
      </c>
      <c r="G7908" s="283" t="s">
        <v>86</v>
      </c>
      <c r="H7908" s="284"/>
      <c r="I7908" s="284"/>
      <c r="J7908" s="285" t="s">
        <v>131</v>
      </c>
      <c r="K7908" s="286">
        <v>8846.15</v>
      </c>
      <c r="L7908" s="286"/>
      <c r="M7908" s="401"/>
    </row>
    <row r="7909" spans="1:13" ht="11.25" customHeight="1" x14ac:dyDescent="0.2">
      <c r="A7909" s="287">
        <v>2025</v>
      </c>
      <c r="B7909" s="287">
        <v>6</v>
      </c>
      <c r="C7909" s="287">
        <v>19</v>
      </c>
      <c r="D7909" s="288">
        <f t="shared" si="918"/>
        <v>45827</v>
      </c>
      <c r="E7909" s="289">
        <f t="shared" si="920"/>
        <v>45827</v>
      </c>
      <c r="F7909" s="473"/>
      <c r="G7909" s="290" t="s">
        <v>86</v>
      </c>
      <c r="H7909" s="291"/>
      <c r="I7909" s="291"/>
      <c r="J7909" s="292" t="s">
        <v>174</v>
      </c>
      <c r="K7909" s="293"/>
      <c r="L7909" s="293">
        <f>K7908</f>
        <v>8846.15</v>
      </c>
    </row>
    <row r="7910" spans="1:13" ht="11.25" customHeight="1" x14ac:dyDescent="0.2">
      <c r="A7910" s="280">
        <v>2025</v>
      </c>
      <c r="B7910" s="280">
        <v>6</v>
      </c>
      <c r="C7910" s="280">
        <v>19</v>
      </c>
      <c r="D7910" s="281">
        <f t="shared" si="918"/>
        <v>45827</v>
      </c>
      <c r="E7910" s="282">
        <f t="shared" si="920"/>
        <v>45827</v>
      </c>
      <c r="F7910" s="472" t="s">
        <v>1830</v>
      </c>
      <c r="G7910" s="283" t="s">
        <v>86</v>
      </c>
      <c r="H7910" s="284"/>
      <c r="I7910" s="284"/>
      <c r="J7910" s="285" t="s">
        <v>131</v>
      </c>
      <c r="K7910" s="286">
        <v>11634.615384615385</v>
      </c>
      <c r="L7910" s="286"/>
      <c r="M7910" s="401"/>
    </row>
    <row r="7911" spans="1:13" ht="11.25" customHeight="1" x14ac:dyDescent="0.2">
      <c r="A7911" s="287">
        <v>2025</v>
      </c>
      <c r="B7911" s="287">
        <v>6</v>
      </c>
      <c r="C7911" s="287">
        <v>19</v>
      </c>
      <c r="D7911" s="288">
        <f t="shared" si="918"/>
        <v>45827</v>
      </c>
      <c r="E7911" s="289">
        <f t="shared" si="920"/>
        <v>45827</v>
      </c>
      <c r="F7911" s="473"/>
      <c r="G7911" s="290" t="s">
        <v>86</v>
      </c>
      <c r="H7911" s="291"/>
      <c r="I7911" s="291"/>
      <c r="J7911" s="292" t="s">
        <v>174</v>
      </c>
      <c r="K7911" s="293"/>
      <c r="L7911" s="293">
        <v>11634.615384615385</v>
      </c>
    </row>
    <row r="7912" spans="1:13" ht="11.25" customHeight="1" x14ac:dyDescent="0.2">
      <c r="A7912" s="341">
        <v>2025</v>
      </c>
      <c r="B7912" s="341">
        <v>6</v>
      </c>
      <c r="C7912" s="341">
        <v>19</v>
      </c>
      <c r="D7912" s="328">
        <f t="shared" si="918"/>
        <v>45827</v>
      </c>
      <c r="E7912" s="329">
        <f t="shared" si="920"/>
        <v>45827</v>
      </c>
      <c r="F7912" s="474" t="s">
        <v>1767</v>
      </c>
      <c r="G7912" s="330" t="s">
        <v>86</v>
      </c>
      <c r="H7912" s="332"/>
      <c r="I7912" s="332"/>
      <c r="J7912" s="342" t="s">
        <v>67</v>
      </c>
      <c r="K7912" s="343">
        <v>11920.24</v>
      </c>
      <c r="L7912" s="343"/>
    </row>
    <row r="7913" spans="1:13" ht="11.25" customHeight="1" x14ac:dyDescent="0.2">
      <c r="A7913" s="344">
        <v>2025</v>
      </c>
      <c r="B7913" s="344">
        <v>6</v>
      </c>
      <c r="C7913" s="344">
        <v>19</v>
      </c>
      <c r="D7913" s="337">
        <f t="shared" si="918"/>
        <v>45827</v>
      </c>
      <c r="E7913" s="338">
        <f t="shared" si="920"/>
        <v>45827</v>
      </c>
      <c r="F7913" s="475"/>
      <c r="G7913" s="339" t="s">
        <v>86</v>
      </c>
      <c r="H7913" s="340"/>
      <c r="I7913" s="340"/>
      <c r="J7913" s="345" t="s">
        <v>174</v>
      </c>
      <c r="K7913" s="346"/>
      <c r="L7913" s="346">
        <f>K7912</f>
        <v>11920.24</v>
      </c>
    </row>
    <row r="7914" spans="1:13" ht="11.25" customHeight="1" x14ac:dyDescent="0.2">
      <c r="A7914" s="358">
        <v>2025</v>
      </c>
      <c r="B7914" s="358">
        <v>6</v>
      </c>
      <c r="C7914" s="358">
        <v>19</v>
      </c>
      <c r="D7914" s="312">
        <f t="shared" si="918"/>
        <v>45827</v>
      </c>
      <c r="E7914" s="313">
        <f>DATE(A7914,B7914,C7914)</f>
        <v>45827</v>
      </c>
      <c r="F7914" s="482" t="s">
        <v>1627</v>
      </c>
      <c r="G7914" s="314" t="s">
        <v>86</v>
      </c>
      <c r="H7914" s="324"/>
      <c r="I7914" s="324"/>
      <c r="J7914" s="364" t="s">
        <v>1613</v>
      </c>
      <c r="K7914" s="365">
        <v>0</v>
      </c>
      <c r="L7914" s="365"/>
      <c r="M7914" s="156">
        <f>BS!$I$12</f>
        <v>0</v>
      </c>
    </row>
    <row r="7915" spans="1:13" ht="11.25" customHeight="1" x14ac:dyDescent="0.2">
      <c r="A7915" s="320">
        <v>2025</v>
      </c>
      <c r="B7915" s="320">
        <v>6</v>
      </c>
      <c r="C7915" s="320">
        <v>19</v>
      </c>
      <c r="D7915" s="323">
        <f t="shared" si="918"/>
        <v>45827</v>
      </c>
      <c r="E7915" s="321">
        <f t="shared" ref="E7915" si="921">DATE(A7915,B7915,C7915)</f>
        <v>45827</v>
      </c>
      <c r="F7915" s="483"/>
      <c r="G7915" s="322" t="s">
        <v>86</v>
      </c>
      <c r="H7915" s="325"/>
      <c r="I7915" s="325"/>
      <c r="J7915" s="366" t="s">
        <v>1621</v>
      </c>
      <c r="K7915" s="367"/>
      <c r="L7915" s="367">
        <f>K7914</f>
        <v>0</v>
      </c>
    </row>
    <row r="7916" spans="1:13" ht="11.25" customHeight="1" x14ac:dyDescent="0.2">
      <c r="A7916" s="358">
        <v>2025</v>
      </c>
      <c r="B7916" s="358">
        <v>6</v>
      </c>
      <c r="C7916" s="358">
        <v>19</v>
      </c>
      <c r="D7916" s="312">
        <f t="shared" si="918"/>
        <v>45827</v>
      </c>
      <c r="E7916" s="313">
        <f>DATE(A7916,B7916,C7916)</f>
        <v>45827</v>
      </c>
      <c r="F7916" s="482" t="s">
        <v>1713</v>
      </c>
      <c r="G7916" s="314" t="s">
        <v>86</v>
      </c>
      <c r="H7916" s="324"/>
      <c r="I7916" s="324"/>
      <c r="J7916" s="364" t="s">
        <v>1622</v>
      </c>
      <c r="K7916" s="365">
        <v>8778.5519999936223</v>
      </c>
      <c r="L7916" s="365"/>
      <c r="M7916" s="156">
        <f>BS!$I$15</f>
        <v>0</v>
      </c>
    </row>
    <row r="7917" spans="1:13" ht="11.25" customHeight="1" x14ac:dyDescent="0.2">
      <c r="A7917" s="320">
        <v>2025</v>
      </c>
      <c r="B7917" s="320">
        <v>6</v>
      </c>
      <c r="C7917" s="320">
        <v>19</v>
      </c>
      <c r="D7917" s="323">
        <f t="shared" si="918"/>
        <v>45827</v>
      </c>
      <c r="E7917" s="321">
        <f t="shared" ref="E7917:E7973" si="922">DATE(A7917,B7917,C7917)</f>
        <v>45827</v>
      </c>
      <c r="F7917" s="483"/>
      <c r="G7917" s="322" t="s">
        <v>86</v>
      </c>
      <c r="H7917" s="325"/>
      <c r="I7917" s="325"/>
      <c r="J7917" s="366" t="s">
        <v>1614</v>
      </c>
      <c r="K7917" s="367"/>
      <c r="L7917" s="367">
        <f>K7916</f>
        <v>8778.5519999936223</v>
      </c>
    </row>
    <row r="7918" spans="1:13" ht="11.25" customHeight="1" x14ac:dyDescent="0.2">
      <c r="A7918" s="236">
        <v>2025</v>
      </c>
      <c r="B7918" s="236">
        <v>6</v>
      </c>
      <c r="C7918" s="236">
        <v>19</v>
      </c>
      <c r="D7918" s="237">
        <f t="shared" si="918"/>
        <v>45827</v>
      </c>
      <c r="E7918" s="238">
        <f t="shared" si="922"/>
        <v>45827</v>
      </c>
      <c r="F7918" s="476" t="s">
        <v>1118</v>
      </c>
      <c r="G7918" s="239" t="s">
        <v>86</v>
      </c>
      <c r="H7918" s="239"/>
      <c r="I7918" s="240"/>
      <c r="J7918" s="241" t="s">
        <v>98</v>
      </c>
      <c r="K7918" s="242">
        <v>1352384.1000000089</v>
      </c>
      <c r="L7918" s="242"/>
      <c r="M7918" s="156">
        <f>BS!$I$8</f>
        <v>0</v>
      </c>
    </row>
    <row r="7919" spans="1:13" ht="11.25" customHeight="1" x14ac:dyDescent="0.2">
      <c r="A7919" s="243">
        <v>2025</v>
      </c>
      <c r="B7919" s="243">
        <v>6</v>
      </c>
      <c r="C7919" s="243">
        <v>19</v>
      </c>
      <c r="D7919" s="248">
        <f t="shared" si="918"/>
        <v>45827</v>
      </c>
      <c r="E7919" s="249">
        <f t="shared" si="922"/>
        <v>45827</v>
      </c>
      <c r="F7919" s="477"/>
      <c r="G7919" s="244" t="s">
        <v>86</v>
      </c>
      <c r="H7919" s="244"/>
      <c r="I7919" s="245"/>
      <c r="J7919" s="246" t="s">
        <v>82</v>
      </c>
      <c r="K7919" s="247"/>
      <c r="L7919" s="247">
        <f>K7918</f>
        <v>1352384.1000000089</v>
      </c>
    </row>
    <row r="7920" spans="1:13" ht="11.25" customHeight="1" x14ac:dyDescent="0.2">
      <c r="A7920" s="236">
        <v>2025</v>
      </c>
      <c r="B7920" s="236">
        <v>6</v>
      </c>
      <c r="C7920" s="236">
        <v>19</v>
      </c>
      <c r="D7920" s="237">
        <f t="shared" si="918"/>
        <v>45827</v>
      </c>
      <c r="E7920" s="238">
        <f t="shared" si="922"/>
        <v>45827</v>
      </c>
      <c r="F7920" s="476" t="s">
        <v>1120</v>
      </c>
      <c r="G7920" s="239" t="s">
        <v>86</v>
      </c>
      <c r="H7920" s="239"/>
      <c r="I7920" s="240"/>
      <c r="J7920" s="241" t="s">
        <v>87</v>
      </c>
      <c r="K7920" s="242">
        <v>2747.2527472527472</v>
      </c>
      <c r="L7920" s="242"/>
      <c r="M7920" s="401"/>
    </row>
    <row r="7921" spans="1:14" ht="11.25" customHeight="1" x14ac:dyDescent="0.2">
      <c r="A7921" s="243">
        <v>2025</v>
      </c>
      <c r="B7921" s="243">
        <v>6</v>
      </c>
      <c r="C7921" s="243">
        <v>19</v>
      </c>
      <c r="D7921" s="248">
        <f t="shared" si="918"/>
        <v>45827</v>
      </c>
      <c r="E7921" s="249">
        <f t="shared" si="922"/>
        <v>45827</v>
      </c>
      <c r="F7921" s="477"/>
      <c r="G7921" s="244" t="s">
        <v>86</v>
      </c>
      <c r="H7921" s="244"/>
      <c r="I7921" s="245"/>
      <c r="J7921" s="246" t="s">
        <v>64</v>
      </c>
      <c r="K7921" s="247"/>
      <c r="L7921" s="247">
        <f>K7920</f>
        <v>2747.2527472527472</v>
      </c>
    </row>
    <row r="7922" spans="1:14" ht="11.25" customHeight="1" x14ac:dyDescent="0.2">
      <c r="A7922" s="236">
        <v>2025</v>
      </c>
      <c r="B7922" s="236">
        <v>6</v>
      </c>
      <c r="C7922" s="236">
        <v>19</v>
      </c>
      <c r="D7922" s="237">
        <f t="shared" si="918"/>
        <v>45827</v>
      </c>
      <c r="E7922" s="238">
        <f t="shared" si="922"/>
        <v>45827</v>
      </c>
      <c r="F7922" s="476" t="s">
        <v>1121</v>
      </c>
      <c r="G7922" s="239" t="s">
        <v>86</v>
      </c>
      <c r="H7922" s="239"/>
      <c r="I7922" s="240"/>
      <c r="J7922" s="241" t="s">
        <v>89</v>
      </c>
      <c r="K7922" s="242">
        <f>M7922</f>
        <v>72267.540330696313</v>
      </c>
      <c r="L7922" s="242"/>
      <c r="M7922" s="156">
        <v>72267.540330696313</v>
      </c>
    </row>
    <row r="7923" spans="1:14" ht="11.25" customHeight="1" x14ac:dyDescent="0.2">
      <c r="A7923" s="243">
        <v>2025</v>
      </c>
      <c r="B7923" s="243">
        <v>6</v>
      </c>
      <c r="C7923" s="243">
        <v>19</v>
      </c>
      <c r="D7923" s="248">
        <f t="shared" si="918"/>
        <v>45827</v>
      </c>
      <c r="E7923" s="249">
        <f t="shared" si="922"/>
        <v>45827</v>
      </c>
      <c r="F7923" s="477"/>
      <c r="G7923" s="244" t="s">
        <v>86</v>
      </c>
      <c r="H7923" s="244"/>
      <c r="I7923" s="245"/>
      <c r="J7923" s="246" t="s">
        <v>50</v>
      </c>
      <c r="K7923" s="247"/>
      <c r="L7923" s="247">
        <f>K7922</f>
        <v>72267.540330696313</v>
      </c>
      <c r="M7923" s="156">
        <v>3372.9924011502003</v>
      </c>
    </row>
    <row r="7924" spans="1:14" ht="11.25" customHeight="1" x14ac:dyDescent="0.2">
      <c r="A7924" s="236">
        <v>2025</v>
      </c>
      <c r="B7924" s="236">
        <v>6</v>
      </c>
      <c r="C7924" s="236">
        <v>19</v>
      </c>
      <c r="D7924" s="237">
        <f t="shared" si="918"/>
        <v>45827</v>
      </c>
      <c r="E7924" s="238">
        <f t="shared" si="922"/>
        <v>45827</v>
      </c>
      <c r="F7924" s="476" t="s">
        <v>1122</v>
      </c>
      <c r="G7924" s="239" t="s">
        <v>86</v>
      </c>
      <c r="H7924" s="239"/>
      <c r="I7924" s="240"/>
      <c r="J7924" s="241" t="s">
        <v>91</v>
      </c>
      <c r="K7924" s="242">
        <f>M7923</f>
        <v>3372.9924011502003</v>
      </c>
      <c r="L7924" s="242"/>
    </row>
    <row r="7925" spans="1:14" ht="11.25" customHeight="1" x14ac:dyDescent="0.2">
      <c r="A7925" s="243">
        <v>2025</v>
      </c>
      <c r="B7925" s="243">
        <v>6</v>
      </c>
      <c r="C7925" s="243">
        <v>19</v>
      </c>
      <c r="D7925" s="248">
        <f t="shared" si="918"/>
        <v>45827</v>
      </c>
      <c r="E7925" s="249">
        <f t="shared" si="922"/>
        <v>45827</v>
      </c>
      <c r="F7925" s="477"/>
      <c r="G7925" s="244" t="s">
        <v>86</v>
      </c>
      <c r="H7925" s="244"/>
      <c r="I7925" s="245"/>
      <c r="J7925" s="246" t="s">
        <v>51</v>
      </c>
      <c r="K7925" s="247"/>
      <c r="L7925" s="247">
        <f>K7924</f>
        <v>3372.9924011502003</v>
      </c>
    </row>
    <row r="7926" spans="1:14" ht="11.25" customHeight="1" x14ac:dyDescent="0.2">
      <c r="A7926" s="221">
        <v>2025</v>
      </c>
      <c r="B7926" s="221">
        <v>6</v>
      </c>
      <c r="C7926" s="221">
        <v>22</v>
      </c>
      <c r="D7926" s="221">
        <f t="shared" si="918"/>
        <v>45830</v>
      </c>
      <c r="E7926" s="233">
        <f t="shared" si="922"/>
        <v>45830</v>
      </c>
      <c r="F7926" s="478" t="s">
        <v>1900</v>
      </c>
      <c r="G7926" s="222" t="s">
        <v>86</v>
      </c>
      <c r="H7926" s="222"/>
      <c r="I7926" s="223"/>
      <c r="J7926" s="224" t="s">
        <v>80</v>
      </c>
      <c r="K7926" s="225">
        <v>312000</v>
      </c>
      <c r="L7926" s="225"/>
    </row>
    <row r="7927" spans="1:14" ht="11.25" customHeight="1" x14ac:dyDescent="0.2">
      <c r="A7927" s="164">
        <v>2025</v>
      </c>
      <c r="B7927" s="164">
        <v>6</v>
      </c>
      <c r="C7927" s="164">
        <v>22</v>
      </c>
      <c r="D7927" s="164">
        <f t="shared" si="918"/>
        <v>45830</v>
      </c>
      <c r="E7927" s="235">
        <f t="shared" si="922"/>
        <v>45830</v>
      </c>
      <c r="F7927" s="480"/>
      <c r="G7927" s="208" t="s">
        <v>86</v>
      </c>
      <c r="H7927" s="208"/>
      <c r="J7927" s="165" t="s">
        <v>960</v>
      </c>
      <c r="K7927" s="205">
        <v>2037.6</v>
      </c>
      <c r="L7927" s="205"/>
      <c r="M7927" s="263"/>
      <c r="N7927" s="263"/>
    </row>
    <row r="7928" spans="1:14" ht="11.25" customHeight="1" x14ac:dyDescent="0.2">
      <c r="A7928" s="164">
        <v>2025</v>
      </c>
      <c r="B7928" s="164">
        <v>6</v>
      </c>
      <c r="C7928" s="164">
        <v>22</v>
      </c>
      <c r="D7928" s="164">
        <f t="shared" si="918"/>
        <v>45830</v>
      </c>
      <c r="E7928" s="235">
        <f t="shared" si="922"/>
        <v>45830</v>
      </c>
      <c r="F7928" s="480"/>
      <c r="G7928" s="208" t="s">
        <v>86</v>
      </c>
      <c r="H7928" s="208"/>
      <c r="J7928" s="165" t="s">
        <v>199</v>
      </c>
      <c r="K7928" s="205">
        <v>505962.4</v>
      </c>
      <c r="L7928" s="205"/>
      <c r="M7928" s="263"/>
    </row>
    <row r="7929" spans="1:14" ht="11.25" customHeight="1" x14ac:dyDescent="0.2">
      <c r="A7929" s="164">
        <v>2025</v>
      </c>
      <c r="B7929" s="164">
        <v>6</v>
      </c>
      <c r="C7929" s="164">
        <v>22</v>
      </c>
      <c r="D7929" s="164">
        <f t="shared" si="918"/>
        <v>45830</v>
      </c>
      <c r="E7929" s="235">
        <f t="shared" si="922"/>
        <v>45830</v>
      </c>
      <c r="F7929" s="480"/>
      <c r="G7929" s="208" t="s">
        <v>86</v>
      </c>
      <c r="H7929" s="208"/>
      <c r="J7929" s="165" t="s">
        <v>200</v>
      </c>
      <c r="K7929" s="205">
        <v>11753.37</v>
      </c>
      <c r="L7929" s="205"/>
      <c r="M7929" s="263"/>
    </row>
    <row r="7930" spans="1:14" ht="11.25" customHeight="1" x14ac:dyDescent="0.2">
      <c r="A7930" s="226">
        <v>2025</v>
      </c>
      <c r="B7930" s="226">
        <v>6</v>
      </c>
      <c r="C7930" s="226">
        <v>22</v>
      </c>
      <c r="D7930" s="226">
        <f t="shared" si="918"/>
        <v>45830</v>
      </c>
      <c r="E7930" s="234">
        <f t="shared" si="922"/>
        <v>45830</v>
      </c>
      <c r="F7930" s="479"/>
      <c r="G7930" s="227" t="s">
        <v>86</v>
      </c>
      <c r="H7930" s="228"/>
      <c r="I7930" s="228"/>
      <c r="J7930" s="229" t="s">
        <v>80</v>
      </c>
      <c r="K7930" s="230"/>
      <c r="L7930" s="230">
        <v>831753.37</v>
      </c>
      <c r="M7930" s="263"/>
    </row>
    <row r="7931" spans="1:14" ht="11.25" customHeight="1" x14ac:dyDescent="0.2">
      <c r="A7931" s="221">
        <v>2025</v>
      </c>
      <c r="B7931" s="221">
        <v>6</v>
      </c>
      <c r="C7931" s="221">
        <v>22</v>
      </c>
      <c r="D7931" s="221">
        <f t="shared" si="918"/>
        <v>45830</v>
      </c>
      <c r="E7931" s="233">
        <f t="shared" ref="E7931:E7944" si="923">DATE(A7931,B7931,C7931)</f>
        <v>45830</v>
      </c>
      <c r="F7931" s="478" t="s">
        <v>1901</v>
      </c>
      <c r="G7931" s="222" t="s">
        <v>86</v>
      </c>
      <c r="H7931" s="222"/>
      <c r="I7931" s="223"/>
      <c r="J7931" s="224" t="s">
        <v>80</v>
      </c>
      <c r="K7931" s="225">
        <v>420721.6</v>
      </c>
      <c r="L7931" s="225"/>
    </row>
    <row r="7932" spans="1:14" ht="11.25" customHeight="1" x14ac:dyDescent="0.2">
      <c r="A7932" s="164">
        <v>2025</v>
      </c>
      <c r="B7932" s="164">
        <v>6</v>
      </c>
      <c r="C7932" s="164">
        <v>22</v>
      </c>
      <c r="D7932" s="164">
        <f t="shared" si="918"/>
        <v>45830</v>
      </c>
      <c r="E7932" s="235">
        <f t="shared" si="923"/>
        <v>45830</v>
      </c>
      <c r="F7932" s="480"/>
      <c r="G7932" s="208" t="s">
        <v>86</v>
      </c>
      <c r="H7932" s="208"/>
      <c r="J7932" s="165" t="s">
        <v>960</v>
      </c>
      <c r="K7932" s="205">
        <v>1473.91</v>
      </c>
      <c r="L7932" s="205"/>
      <c r="M7932" s="263">
        <v>716.61</v>
      </c>
      <c r="N7932" s="263">
        <v>757.3</v>
      </c>
    </row>
    <row r="7933" spans="1:14" ht="11.25" customHeight="1" x14ac:dyDescent="0.2">
      <c r="A7933" s="164">
        <v>2025</v>
      </c>
      <c r="B7933" s="164">
        <v>6</v>
      </c>
      <c r="C7933" s="164">
        <v>22</v>
      </c>
      <c r="D7933" s="164">
        <f t="shared" si="918"/>
        <v>45830</v>
      </c>
      <c r="E7933" s="235">
        <f t="shared" si="923"/>
        <v>45830</v>
      </c>
      <c r="F7933" s="480"/>
      <c r="G7933" s="208" t="s">
        <v>86</v>
      </c>
      <c r="H7933" s="208"/>
      <c r="J7933" s="165" t="s">
        <v>961</v>
      </c>
      <c r="K7933" s="205"/>
      <c r="L7933" s="205">
        <v>24078.71</v>
      </c>
      <c r="M7933" s="263"/>
    </row>
    <row r="7934" spans="1:14" ht="11.25" customHeight="1" x14ac:dyDescent="0.2">
      <c r="A7934" s="164">
        <v>2025</v>
      </c>
      <c r="B7934" s="164">
        <v>6</v>
      </c>
      <c r="C7934" s="164">
        <v>22</v>
      </c>
      <c r="D7934" s="164">
        <f t="shared" si="918"/>
        <v>45830</v>
      </c>
      <c r="E7934" s="235">
        <f t="shared" si="923"/>
        <v>45830</v>
      </c>
      <c r="F7934" s="480"/>
      <c r="G7934" s="208" t="s">
        <v>86</v>
      </c>
      <c r="H7934" s="208"/>
      <c r="J7934" s="165" t="s">
        <v>200</v>
      </c>
      <c r="K7934" s="205">
        <v>11883.2</v>
      </c>
      <c r="L7934" s="205"/>
      <c r="M7934" s="263"/>
    </row>
    <row r="7935" spans="1:14" ht="11.25" customHeight="1" x14ac:dyDescent="0.2">
      <c r="A7935" s="226">
        <v>2025</v>
      </c>
      <c r="B7935" s="226">
        <v>6</v>
      </c>
      <c r="C7935" s="226">
        <v>22</v>
      </c>
      <c r="D7935" s="226">
        <f t="shared" si="918"/>
        <v>45830</v>
      </c>
      <c r="E7935" s="234">
        <f t="shared" si="923"/>
        <v>45830</v>
      </c>
      <c r="F7935" s="479"/>
      <c r="G7935" s="227" t="s">
        <v>86</v>
      </c>
      <c r="H7935" s="228"/>
      <c r="I7935" s="228"/>
      <c r="J7935" s="229" t="s">
        <v>80</v>
      </c>
      <c r="K7935" s="230"/>
      <c r="L7935" s="230">
        <v>410000</v>
      </c>
      <c r="M7935" s="263"/>
    </row>
    <row r="7936" spans="1:14" ht="11.25" customHeight="1" x14ac:dyDescent="0.2">
      <c r="A7936" s="164">
        <v>2025</v>
      </c>
      <c r="B7936" s="164">
        <v>6</v>
      </c>
      <c r="C7936" s="164">
        <v>23</v>
      </c>
      <c r="D7936" s="164">
        <f t="shared" si="918"/>
        <v>45831</v>
      </c>
      <c r="E7936" s="235">
        <f t="shared" si="923"/>
        <v>45831</v>
      </c>
      <c r="F7936" s="480" t="s">
        <v>1902</v>
      </c>
      <c r="G7936" s="208" t="s">
        <v>86</v>
      </c>
      <c r="H7936" s="208"/>
      <c r="J7936" s="165" t="s">
        <v>199</v>
      </c>
      <c r="K7936" s="205">
        <v>902372.8</v>
      </c>
      <c r="L7936" s="205"/>
    </row>
    <row r="7937" spans="1:14" ht="11.25" customHeight="1" x14ac:dyDescent="0.2">
      <c r="A7937" s="164">
        <v>2025</v>
      </c>
      <c r="B7937" s="164">
        <v>6</v>
      </c>
      <c r="C7937" s="164">
        <v>23</v>
      </c>
      <c r="D7937" s="164">
        <f t="shared" si="918"/>
        <v>45831</v>
      </c>
      <c r="E7937" s="235">
        <f t="shared" si="923"/>
        <v>45831</v>
      </c>
      <c r="F7937" s="480"/>
      <c r="G7937" s="208" t="s">
        <v>86</v>
      </c>
      <c r="H7937" s="208"/>
      <c r="J7937" s="165" t="s">
        <v>960</v>
      </c>
      <c r="K7937" s="205">
        <v>1627.2</v>
      </c>
      <c r="L7937" s="205"/>
      <c r="M7937" s="401"/>
    </row>
    <row r="7938" spans="1:14" ht="11.25" customHeight="1" x14ac:dyDescent="0.2">
      <c r="A7938" s="164">
        <v>2025</v>
      </c>
      <c r="B7938" s="164">
        <v>6</v>
      </c>
      <c r="C7938" s="164">
        <v>23</v>
      </c>
      <c r="D7938" s="164">
        <f t="shared" si="918"/>
        <v>45831</v>
      </c>
      <c r="E7938" s="235">
        <f t="shared" si="923"/>
        <v>45831</v>
      </c>
      <c r="F7938" s="480"/>
      <c r="G7938" s="208" t="s">
        <v>86</v>
      </c>
      <c r="H7938" s="208"/>
      <c r="J7938" s="165" t="s">
        <v>200</v>
      </c>
      <c r="K7938" s="205">
        <v>1657.45</v>
      </c>
      <c r="L7938" s="205"/>
    </row>
    <row r="7939" spans="1:14" ht="11.25" customHeight="1" x14ac:dyDescent="0.2">
      <c r="A7939" s="226">
        <v>2025</v>
      </c>
      <c r="B7939" s="226">
        <v>6</v>
      </c>
      <c r="C7939" s="226">
        <v>23</v>
      </c>
      <c r="D7939" s="226">
        <f t="shared" si="918"/>
        <v>45831</v>
      </c>
      <c r="E7939" s="234">
        <f t="shared" si="923"/>
        <v>45831</v>
      </c>
      <c r="F7939" s="479"/>
      <c r="G7939" s="227" t="s">
        <v>86</v>
      </c>
      <c r="H7939" s="228"/>
      <c r="I7939" s="228"/>
      <c r="J7939" s="229" t="s">
        <v>80</v>
      </c>
      <c r="K7939" s="230"/>
      <c r="L7939" s="230">
        <v>905657.45</v>
      </c>
    </row>
    <row r="7940" spans="1:14" ht="11.25" customHeight="1" x14ac:dyDescent="0.2">
      <c r="A7940" s="221">
        <v>2025</v>
      </c>
      <c r="B7940" s="231">
        <v>6</v>
      </c>
      <c r="C7940" s="231">
        <v>23</v>
      </c>
      <c r="D7940" s="231">
        <f t="shared" si="918"/>
        <v>45831</v>
      </c>
      <c r="E7940" s="233">
        <f t="shared" si="923"/>
        <v>45831</v>
      </c>
      <c r="F7940" s="478" t="s">
        <v>1906</v>
      </c>
      <c r="G7940" s="222" t="s">
        <v>1111</v>
      </c>
      <c r="H7940" s="222"/>
      <c r="I7940" s="223"/>
      <c r="J7940" s="224" t="s">
        <v>55</v>
      </c>
      <c r="K7940" s="357">
        <v>4826210.87</v>
      </c>
      <c r="L7940" s="225"/>
    </row>
    <row r="7941" spans="1:14" ht="11.25" customHeight="1" x14ac:dyDescent="0.2">
      <c r="A7941" s="164">
        <v>2025</v>
      </c>
      <c r="B7941" s="156">
        <v>6</v>
      </c>
      <c r="C7941" s="156">
        <v>23</v>
      </c>
      <c r="D7941" s="164">
        <f t="shared" si="918"/>
        <v>45831</v>
      </c>
      <c r="E7941" s="235">
        <f t="shared" si="923"/>
        <v>45831</v>
      </c>
      <c r="F7941" s="480"/>
      <c r="G7941" s="208" t="s">
        <v>1111</v>
      </c>
      <c r="H7941" s="208"/>
      <c r="J7941" s="165" t="s">
        <v>1618</v>
      </c>
      <c r="K7941" s="263"/>
      <c r="L7941" s="205">
        <v>123367.32300000079</v>
      </c>
    </row>
    <row r="7942" spans="1:14" ht="11.25" customHeight="1" x14ac:dyDescent="0.2">
      <c r="A7942" s="226">
        <v>2025</v>
      </c>
      <c r="B7942" s="232">
        <v>6</v>
      </c>
      <c r="C7942" s="232">
        <v>23</v>
      </c>
      <c r="D7942" s="226">
        <f t="shared" si="918"/>
        <v>45831</v>
      </c>
      <c r="E7942" s="234">
        <f t="shared" si="923"/>
        <v>45831</v>
      </c>
      <c r="F7942" s="479"/>
      <c r="G7942" s="227" t="s">
        <v>1111</v>
      </c>
      <c r="H7942" s="227"/>
      <c r="I7942" s="228"/>
      <c r="J7942" s="229" t="s">
        <v>1615</v>
      </c>
      <c r="K7942" s="294"/>
      <c r="L7942" s="230">
        <v>4702843.5469999993</v>
      </c>
    </row>
    <row r="7943" spans="1:14" ht="11.25" customHeight="1" x14ac:dyDescent="0.2">
      <c r="A7943" s="221">
        <v>2025</v>
      </c>
      <c r="B7943" s="221">
        <v>6</v>
      </c>
      <c r="C7943" s="221">
        <v>24</v>
      </c>
      <c r="D7943" s="231">
        <f t="shared" si="918"/>
        <v>45832</v>
      </c>
      <c r="E7943" s="233">
        <f t="shared" si="923"/>
        <v>45832</v>
      </c>
      <c r="F7943" s="478" t="s">
        <v>1814</v>
      </c>
      <c r="G7943" s="222" t="s">
        <v>1111</v>
      </c>
      <c r="H7943" s="223"/>
      <c r="I7943" s="223"/>
      <c r="J7943" s="224" t="s">
        <v>961</v>
      </c>
      <c r="K7943" s="225">
        <v>499898.2</v>
      </c>
      <c r="L7943" s="225"/>
    </row>
    <row r="7944" spans="1:14" ht="11.25" customHeight="1" x14ac:dyDescent="0.2">
      <c r="A7944" s="226">
        <v>2025</v>
      </c>
      <c r="B7944" s="226">
        <v>6</v>
      </c>
      <c r="C7944" s="226">
        <v>24</v>
      </c>
      <c r="D7944" s="232">
        <f t="shared" si="918"/>
        <v>45832</v>
      </c>
      <c r="E7944" s="234">
        <f t="shared" si="923"/>
        <v>45832</v>
      </c>
      <c r="F7944" s="479"/>
      <c r="G7944" s="227" t="s">
        <v>1111</v>
      </c>
      <c r="H7944" s="228"/>
      <c r="I7944" s="228"/>
      <c r="J7944" s="229" t="s">
        <v>55</v>
      </c>
      <c r="K7944" s="230"/>
      <c r="L7944" s="230">
        <v>499898.2</v>
      </c>
    </row>
    <row r="7945" spans="1:14" ht="11.25" customHeight="1" x14ac:dyDescent="0.2">
      <c r="A7945" s="221">
        <v>2025</v>
      </c>
      <c r="B7945" s="221">
        <v>6</v>
      </c>
      <c r="C7945" s="221">
        <v>24</v>
      </c>
      <c r="D7945" s="231">
        <f t="shared" ref="D7945:D8008" si="924">DATE(A7945,B7945,C7945)</f>
        <v>45832</v>
      </c>
      <c r="E7945" s="233">
        <f t="shared" ref="E7945:E7946" si="925">DATE(A7945,B7945,C7945)</f>
        <v>45832</v>
      </c>
      <c r="F7945" s="478" t="s">
        <v>1907</v>
      </c>
      <c r="G7945" s="222" t="s">
        <v>1111</v>
      </c>
      <c r="H7945" s="223"/>
      <c r="I7945" s="223"/>
      <c r="J7945" s="224" t="s">
        <v>961</v>
      </c>
      <c r="K7945" s="225">
        <v>24078.71</v>
      </c>
      <c r="L7945" s="225"/>
    </row>
    <row r="7946" spans="1:14" ht="11.25" customHeight="1" x14ac:dyDescent="0.2">
      <c r="A7946" s="226">
        <v>2025</v>
      </c>
      <c r="B7946" s="226">
        <v>6</v>
      </c>
      <c r="C7946" s="226">
        <v>24</v>
      </c>
      <c r="D7946" s="232">
        <f t="shared" si="924"/>
        <v>45832</v>
      </c>
      <c r="E7946" s="234">
        <f t="shared" si="925"/>
        <v>45832</v>
      </c>
      <c r="F7946" s="479"/>
      <c r="G7946" s="227" t="s">
        <v>1111</v>
      </c>
      <c r="H7946" s="228"/>
      <c r="I7946" s="228"/>
      <c r="J7946" s="229" t="s">
        <v>55</v>
      </c>
      <c r="K7946" s="230"/>
      <c r="L7946" s="230">
        <v>24078.71</v>
      </c>
    </row>
    <row r="7947" spans="1:14" ht="11.25" customHeight="1" x14ac:dyDescent="0.2">
      <c r="A7947" s="221">
        <v>2025</v>
      </c>
      <c r="B7947" s="221">
        <v>6</v>
      </c>
      <c r="C7947" s="221">
        <v>24</v>
      </c>
      <c r="D7947" s="221">
        <f t="shared" si="924"/>
        <v>45832</v>
      </c>
      <c r="E7947" s="233">
        <f t="shared" ref="E7947:E7966" si="926">DATE(A7947,B7947,C7947)</f>
        <v>45832</v>
      </c>
      <c r="F7947" s="478" t="s">
        <v>1901</v>
      </c>
      <c r="G7947" s="222" t="s">
        <v>86</v>
      </c>
      <c r="H7947" s="222"/>
      <c r="I7947" s="223"/>
      <c r="J7947" s="224" t="s">
        <v>1615</v>
      </c>
      <c r="K7947" s="225">
        <v>1824277.7</v>
      </c>
      <c r="L7947" s="225"/>
    </row>
    <row r="7948" spans="1:14" ht="11.25" customHeight="1" x14ac:dyDescent="0.2">
      <c r="A7948" s="164">
        <v>2025</v>
      </c>
      <c r="B7948" s="164">
        <v>6</v>
      </c>
      <c r="C7948" s="164">
        <v>24</v>
      </c>
      <c r="D7948" s="164">
        <f t="shared" si="924"/>
        <v>45832</v>
      </c>
      <c r="E7948" s="235">
        <f t="shared" si="926"/>
        <v>45832</v>
      </c>
      <c r="F7948" s="480"/>
      <c r="G7948" s="208" t="s">
        <v>86</v>
      </c>
      <c r="H7948" s="208"/>
      <c r="J7948" s="165" t="s">
        <v>960</v>
      </c>
      <c r="K7948" s="205">
        <v>4075.74</v>
      </c>
      <c r="L7948" s="205"/>
      <c r="M7948" s="263">
        <v>1818.54</v>
      </c>
      <c r="N7948" s="263">
        <v>2257.1999999999998</v>
      </c>
    </row>
    <row r="7949" spans="1:14" ht="11.25" customHeight="1" x14ac:dyDescent="0.2">
      <c r="A7949" s="164">
        <v>2025</v>
      </c>
      <c r="B7949" s="164">
        <v>6</v>
      </c>
      <c r="C7949" s="164">
        <v>24</v>
      </c>
      <c r="D7949" s="164">
        <f t="shared" si="924"/>
        <v>45832</v>
      </c>
      <c r="E7949" s="235">
        <f t="shared" si="926"/>
        <v>45832</v>
      </c>
      <c r="F7949" s="480"/>
      <c r="G7949" s="208" t="s">
        <v>86</v>
      </c>
      <c r="H7949" s="208"/>
      <c r="J7949" s="165" t="s">
        <v>961</v>
      </c>
      <c r="K7949" s="205"/>
      <c r="L7949" s="205">
        <v>574353.43999999994</v>
      </c>
      <c r="M7949" s="263"/>
    </row>
    <row r="7950" spans="1:14" ht="11.25" customHeight="1" x14ac:dyDescent="0.2">
      <c r="A7950" s="164">
        <v>2025</v>
      </c>
      <c r="B7950" s="164">
        <v>6</v>
      </c>
      <c r="C7950" s="164">
        <v>24</v>
      </c>
      <c r="D7950" s="164">
        <f t="shared" si="924"/>
        <v>45832</v>
      </c>
      <c r="E7950" s="235">
        <f t="shared" si="926"/>
        <v>45832</v>
      </c>
      <c r="F7950" s="480"/>
      <c r="G7950" s="208" t="s">
        <v>86</v>
      </c>
      <c r="H7950" s="208"/>
      <c r="J7950" s="165" t="s">
        <v>200</v>
      </c>
      <c r="K7950" s="205"/>
      <c r="L7950" s="205">
        <v>61202.6</v>
      </c>
      <c r="M7950" s="263"/>
    </row>
    <row r="7951" spans="1:14" ht="11.25" customHeight="1" x14ac:dyDescent="0.2">
      <c r="A7951" s="226">
        <v>2025</v>
      </c>
      <c r="B7951" s="226">
        <v>6</v>
      </c>
      <c r="C7951" s="226">
        <v>24</v>
      </c>
      <c r="D7951" s="226">
        <f t="shared" si="924"/>
        <v>45832</v>
      </c>
      <c r="E7951" s="234">
        <f t="shared" si="926"/>
        <v>45832</v>
      </c>
      <c r="F7951" s="479"/>
      <c r="G7951" s="227" t="s">
        <v>86</v>
      </c>
      <c r="H7951" s="228"/>
      <c r="I7951" s="228"/>
      <c r="J7951" s="229" t="s">
        <v>80</v>
      </c>
      <c r="K7951" s="230"/>
      <c r="L7951" s="230">
        <v>1192797.3999999999</v>
      </c>
      <c r="M7951" s="263"/>
    </row>
    <row r="7952" spans="1:14" ht="11.25" customHeight="1" x14ac:dyDescent="0.2">
      <c r="A7952" s="164">
        <v>2025</v>
      </c>
      <c r="B7952" s="164">
        <v>6</v>
      </c>
      <c r="C7952" s="164">
        <v>24</v>
      </c>
      <c r="D7952" s="164">
        <f t="shared" si="924"/>
        <v>45832</v>
      </c>
      <c r="E7952" s="235">
        <f t="shared" si="926"/>
        <v>45832</v>
      </c>
      <c r="F7952" s="480" t="s">
        <v>1903</v>
      </c>
      <c r="G7952" s="208" t="s">
        <v>86</v>
      </c>
      <c r="H7952" s="208"/>
      <c r="J7952" s="165" t="s">
        <v>199</v>
      </c>
      <c r="K7952" s="205">
        <v>1109170.49</v>
      </c>
      <c r="L7952" s="205"/>
    </row>
    <row r="7953" spans="1:14" ht="11.25" customHeight="1" x14ac:dyDescent="0.2">
      <c r="A7953" s="164">
        <v>2025</v>
      </c>
      <c r="B7953" s="164">
        <v>6</v>
      </c>
      <c r="C7953" s="164">
        <v>24</v>
      </c>
      <c r="D7953" s="164">
        <f t="shared" si="924"/>
        <v>45832</v>
      </c>
      <c r="E7953" s="235">
        <f t="shared" si="926"/>
        <v>45832</v>
      </c>
      <c r="F7953" s="480"/>
      <c r="G7953" s="208" t="s">
        <v>86</v>
      </c>
      <c r="H7953" s="208"/>
      <c r="J7953" s="165" t="s">
        <v>960</v>
      </c>
      <c r="K7953" s="205">
        <v>2000.11</v>
      </c>
      <c r="L7953" s="205"/>
      <c r="M7953" s="401"/>
    </row>
    <row r="7954" spans="1:14" ht="11.25" customHeight="1" x14ac:dyDescent="0.2">
      <c r="A7954" s="164">
        <v>2025</v>
      </c>
      <c r="B7954" s="164">
        <v>6</v>
      </c>
      <c r="C7954" s="164">
        <v>24</v>
      </c>
      <c r="D7954" s="164">
        <f t="shared" si="924"/>
        <v>45832</v>
      </c>
      <c r="E7954" s="235">
        <f t="shared" si="926"/>
        <v>45832</v>
      </c>
      <c r="F7954" s="480"/>
      <c r="G7954" s="208" t="s">
        <v>86</v>
      </c>
      <c r="H7954" s="208"/>
      <c r="J7954" s="165" t="s">
        <v>200</v>
      </c>
      <c r="K7954" s="205">
        <v>6596.48</v>
      </c>
      <c r="L7954" s="205"/>
    </row>
    <row r="7955" spans="1:14" ht="11.25" customHeight="1" x14ac:dyDescent="0.2">
      <c r="A7955" s="226">
        <v>2025</v>
      </c>
      <c r="B7955" s="226">
        <v>6</v>
      </c>
      <c r="C7955" s="226">
        <v>24</v>
      </c>
      <c r="D7955" s="226">
        <f t="shared" si="924"/>
        <v>45832</v>
      </c>
      <c r="E7955" s="234">
        <f t="shared" si="926"/>
        <v>45832</v>
      </c>
      <c r="F7955" s="479"/>
      <c r="G7955" s="227" t="s">
        <v>86</v>
      </c>
      <c r="H7955" s="228"/>
      <c r="I7955" s="228"/>
      <c r="J7955" s="229" t="s">
        <v>80</v>
      </c>
      <c r="K7955" s="230"/>
      <c r="L7955" s="230">
        <v>1117767.08</v>
      </c>
    </row>
    <row r="7956" spans="1:14" ht="11.25" customHeight="1" x14ac:dyDescent="0.2">
      <c r="A7956" s="221">
        <v>2025</v>
      </c>
      <c r="B7956" s="221">
        <v>6</v>
      </c>
      <c r="C7956" s="221">
        <v>24</v>
      </c>
      <c r="D7956" s="231">
        <f t="shared" si="924"/>
        <v>45832</v>
      </c>
      <c r="E7956" s="233">
        <f t="shared" si="926"/>
        <v>45832</v>
      </c>
      <c r="F7956" s="478" t="s">
        <v>1670</v>
      </c>
      <c r="G7956" s="222" t="s">
        <v>1111</v>
      </c>
      <c r="H7956" s="223"/>
      <c r="I7956" s="223"/>
      <c r="J7956" s="224" t="s">
        <v>63</v>
      </c>
      <c r="K7956" s="225">
        <v>58</v>
      </c>
      <c r="L7956" s="225"/>
    </row>
    <row r="7957" spans="1:14" ht="11.25" customHeight="1" x14ac:dyDescent="0.2">
      <c r="A7957" s="226">
        <v>2025</v>
      </c>
      <c r="B7957" s="226">
        <v>6</v>
      </c>
      <c r="C7957" s="226">
        <v>24</v>
      </c>
      <c r="D7957" s="232">
        <f t="shared" si="924"/>
        <v>45832</v>
      </c>
      <c r="E7957" s="234">
        <f t="shared" si="926"/>
        <v>45832</v>
      </c>
      <c r="F7957" s="479"/>
      <c r="G7957" s="227" t="s">
        <v>1111</v>
      </c>
      <c r="H7957" s="228"/>
      <c r="I7957" s="228"/>
      <c r="J7957" s="229" t="s">
        <v>55</v>
      </c>
      <c r="K7957" s="230"/>
      <c r="L7957" s="230">
        <v>58</v>
      </c>
    </row>
    <row r="7958" spans="1:14" ht="11.25" customHeight="1" x14ac:dyDescent="0.2">
      <c r="A7958" s="221">
        <v>2025</v>
      </c>
      <c r="B7958" s="221">
        <v>6</v>
      </c>
      <c r="C7958" s="221">
        <v>25</v>
      </c>
      <c r="D7958" s="231">
        <f t="shared" si="924"/>
        <v>45833</v>
      </c>
      <c r="E7958" s="233">
        <f t="shared" si="926"/>
        <v>45833</v>
      </c>
      <c r="F7958" s="478" t="s">
        <v>1908</v>
      </c>
      <c r="G7958" s="222" t="s">
        <v>1111</v>
      </c>
      <c r="H7958" s="222"/>
      <c r="I7958" s="223"/>
      <c r="J7958" s="224" t="s">
        <v>1615</v>
      </c>
      <c r="K7958" s="357">
        <v>6522033.6299999999</v>
      </c>
      <c r="L7958" s="225"/>
    </row>
    <row r="7959" spans="1:14" ht="11.25" customHeight="1" x14ac:dyDescent="0.2">
      <c r="A7959" s="226">
        <v>2025</v>
      </c>
      <c r="B7959" s="226">
        <v>6</v>
      </c>
      <c r="C7959" s="226">
        <v>25</v>
      </c>
      <c r="D7959" s="226">
        <f t="shared" si="924"/>
        <v>45833</v>
      </c>
      <c r="E7959" s="234">
        <f t="shared" si="926"/>
        <v>45833</v>
      </c>
      <c r="F7959" s="479"/>
      <c r="G7959" s="227" t="s">
        <v>1111</v>
      </c>
      <c r="H7959" s="227"/>
      <c r="I7959" s="228"/>
      <c r="J7959" s="229" t="s">
        <v>55</v>
      </c>
      <c r="K7959" s="294"/>
      <c r="L7959" s="230">
        <v>6522033.6299999999</v>
      </c>
    </row>
    <row r="7960" spans="1:14" ht="11.25" customHeight="1" x14ac:dyDescent="0.2">
      <c r="A7960" s="221">
        <v>2025</v>
      </c>
      <c r="B7960" s="221">
        <v>6</v>
      </c>
      <c r="C7960" s="221">
        <v>25</v>
      </c>
      <c r="D7960" s="231">
        <f t="shared" si="924"/>
        <v>45833</v>
      </c>
      <c r="E7960" s="233">
        <f t="shared" si="926"/>
        <v>45833</v>
      </c>
      <c r="F7960" s="478" t="s">
        <v>1843</v>
      </c>
      <c r="G7960" s="222" t="s">
        <v>1111</v>
      </c>
      <c r="H7960" s="223"/>
      <c r="I7960" s="223"/>
      <c r="J7960" s="224" t="s">
        <v>55</v>
      </c>
      <c r="K7960" s="225">
        <v>505962</v>
      </c>
      <c r="L7960" s="225"/>
    </row>
    <row r="7961" spans="1:14" ht="11.25" customHeight="1" x14ac:dyDescent="0.2">
      <c r="A7961" s="226">
        <v>2025</v>
      </c>
      <c r="B7961" s="226">
        <v>6</v>
      </c>
      <c r="C7961" s="226">
        <v>25</v>
      </c>
      <c r="D7961" s="232">
        <f t="shared" si="924"/>
        <v>45833</v>
      </c>
      <c r="E7961" s="234">
        <f t="shared" si="926"/>
        <v>45833</v>
      </c>
      <c r="F7961" s="479"/>
      <c r="G7961" s="227" t="s">
        <v>1111</v>
      </c>
      <c r="H7961" s="228"/>
      <c r="I7961" s="228"/>
      <c r="J7961" s="229" t="s">
        <v>199</v>
      </c>
      <c r="K7961" s="230"/>
      <c r="L7961" s="230">
        <v>505962</v>
      </c>
      <c r="N7961" s="438"/>
    </row>
    <row r="7962" spans="1:14" ht="11.25" customHeight="1" x14ac:dyDescent="0.2">
      <c r="A7962" s="221">
        <v>2025</v>
      </c>
      <c r="B7962" s="221">
        <v>6</v>
      </c>
      <c r="C7962" s="221">
        <v>25</v>
      </c>
      <c r="D7962" s="231">
        <f t="shared" si="924"/>
        <v>45833</v>
      </c>
      <c r="E7962" s="233">
        <f t="shared" ref="E7962:E7963" si="927">DATE(A7962,B7962,C7962)</f>
        <v>45833</v>
      </c>
      <c r="F7962" s="478" t="s">
        <v>1909</v>
      </c>
      <c r="G7962" s="222" t="s">
        <v>1111</v>
      </c>
      <c r="H7962" s="223"/>
      <c r="I7962" s="223"/>
      <c r="J7962" s="224" t="s">
        <v>55</v>
      </c>
      <c r="K7962" s="225">
        <v>902372.8</v>
      </c>
      <c r="L7962" s="225"/>
    </row>
    <row r="7963" spans="1:14" ht="11.25" customHeight="1" x14ac:dyDescent="0.2">
      <c r="A7963" s="226">
        <v>2025</v>
      </c>
      <c r="B7963" s="226">
        <v>6</v>
      </c>
      <c r="C7963" s="226">
        <v>25</v>
      </c>
      <c r="D7963" s="232">
        <f t="shared" si="924"/>
        <v>45833</v>
      </c>
      <c r="E7963" s="234">
        <f t="shared" si="927"/>
        <v>45833</v>
      </c>
      <c r="F7963" s="479"/>
      <c r="G7963" s="227" t="s">
        <v>1111</v>
      </c>
      <c r="H7963" s="228"/>
      <c r="I7963" s="228"/>
      <c r="J7963" s="229" t="s">
        <v>199</v>
      </c>
      <c r="K7963" s="230"/>
      <c r="L7963" s="230">
        <v>902372.8</v>
      </c>
      <c r="N7963" s="438"/>
    </row>
    <row r="7964" spans="1:14" ht="11.25" customHeight="1" x14ac:dyDescent="0.2">
      <c r="A7964" s="221">
        <v>2025</v>
      </c>
      <c r="B7964" s="221">
        <v>6</v>
      </c>
      <c r="C7964" s="221">
        <v>25</v>
      </c>
      <c r="D7964" s="221">
        <f t="shared" si="924"/>
        <v>45833</v>
      </c>
      <c r="E7964" s="233">
        <f t="shared" si="926"/>
        <v>45833</v>
      </c>
      <c r="F7964" s="478" t="s">
        <v>1876</v>
      </c>
      <c r="G7964" s="222" t="s">
        <v>86</v>
      </c>
      <c r="H7964" s="222"/>
      <c r="I7964" s="223"/>
      <c r="J7964" s="224" t="s">
        <v>80</v>
      </c>
      <c r="K7964" s="225">
        <v>249500</v>
      </c>
      <c r="L7964" s="225"/>
    </row>
    <row r="7965" spans="1:14" ht="11.25" customHeight="1" x14ac:dyDescent="0.2">
      <c r="A7965" s="164">
        <v>2025</v>
      </c>
      <c r="B7965" s="164">
        <v>6</v>
      </c>
      <c r="C7965" s="164">
        <v>25</v>
      </c>
      <c r="D7965" s="164">
        <f t="shared" si="924"/>
        <v>45833</v>
      </c>
      <c r="E7965" s="235">
        <f t="shared" si="926"/>
        <v>45833</v>
      </c>
      <c r="F7965" s="480"/>
      <c r="G7965" s="208" t="s">
        <v>86</v>
      </c>
      <c r="H7965" s="208"/>
      <c r="J7965" s="165" t="s">
        <v>960</v>
      </c>
      <c r="K7965" s="205">
        <v>449.1</v>
      </c>
      <c r="L7965" s="205"/>
    </row>
    <row r="7966" spans="1:14" ht="11.25" customHeight="1" x14ac:dyDescent="0.2">
      <c r="A7966" s="226">
        <v>2025</v>
      </c>
      <c r="B7966" s="226">
        <v>6</v>
      </c>
      <c r="C7966" s="226">
        <v>25</v>
      </c>
      <c r="D7966" s="226">
        <f t="shared" si="924"/>
        <v>45833</v>
      </c>
      <c r="E7966" s="234">
        <f t="shared" si="926"/>
        <v>45833</v>
      </c>
      <c r="F7966" s="479"/>
      <c r="G7966" s="227" t="s">
        <v>86</v>
      </c>
      <c r="H7966" s="227"/>
      <c r="I7966" s="228"/>
      <c r="J7966" s="229" t="s">
        <v>143</v>
      </c>
      <c r="K7966" s="230"/>
      <c r="L7966" s="230">
        <v>249949.1</v>
      </c>
    </row>
    <row r="7967" spans="1:14" ht="11.25" customHeight="1" x14ac:dyDescent="0.2">
      <c r="A7967" s="221">
        <v>2025</v>
      </c>
      <c r="B7967" s="221">
        <v>6</v>
      </c>
      <c r="C7967" s="221">
        <v>26</v>
      </c>
      <c r="D7967" s="231">
        <f t="shared" si="924"/>
        <v>45834</v>
      </c>
      <c r="E7967" s="233">
        <f t="shared" si="922"/>
        <v>45834</v>
      </c>
      <c r="F7967" s="478" t="s">
        <v>1132</v>
      </c>
      <c r="G7967" s="222" t="s">
        <v>1111</v>
      </c>
      <c r="H7967" s="223"/>
      <c r="I7967" s="223" t="s">
        <v>465</v>
      </c>
      <c r="J7967" s="224" t="s">
        <v>55</v>
      </c>
      <c r="K7967" s="167">
        <v>12000</v>
      </c>
      <c r="L7967" s="225"/>
    </row>
    <row r="7968" spans="1:14" ht="11.25" customHeight="1" x14ac:dyDescent="0.2">
      <c r="A7968" s="164">
        <v>2025</v>
      </c>
      <c r="B7968" s="164">
        <v>6</v>
      </c>
      <c r="C7968" s="164">
        <v>26</v>
      </c>
      <c r="D7968" s="156">
        <f t="shared" si="924"/>
        <v>45834</v>
      </c>
      <c r="E7968" s="235">
        <f t="shared" si="922"/>
        <v>45834</v>
      </c>
      <c r="F7968" s="480"/>
      <c r="G7968" s="208" t="s">
        <v>1111</v>
      </c>
      <c r="I7968" s="206" t="s">
        <v>465</v>
      </c>
      <c r="J7968" s="165" t="s">
        <v>14</v>
      </c>
      <c r="L7968" s="205">
        <v>11170</v>
      </c>
    </row>
    <row r="7969" spans="1:13" ht="11.25" customHeight="1" x14ac:dyDescent="0.2">
      <c r="A7969" s="226">
        <v>2025</v>
      </c>
      <c r="B7969" s="226">
        <v>6</v>
      </c>
      <c r="C7969" s="226">
        <v>26</v>
      </c>
      <c r="D7969" s="232">
        <f t="shared" si="924"/>
        <v>45834</v>
      </c>
      <c r="E7969" s="234">
        <f t="shared" si="922"/>
        <v>45834</v>
      </c>
      <c r="F7969" s="479"/>
      <c r="G7969" s="227" t="s">
        <v>1111</v>
      </c>
      <c r="H7969" s="228"/>
      <c r="I7969" s="228" t="s">
        <v>465</v>
      </c>
      <c r="J7969" s="229" t="s">
        <v>1112</v>
      </c>
      <c r="K7969" s="230"/>
      <c r="L7969" s="230">
        <v>830</v>
      </c>
    </row>
    <row r="7970" spans="1:13" ht="11.25" customHeight="1" x14ac:dyDescent="0.2">
      <c r="A7970" s="164">
        <v>2025</v>
      </c>
      <c r="B7970" s="164">
        <v>6</v>
      </c>
      <c r="C7970" s="164">
        <v>26</v>
      </c>
      <c r="D7970" s="164">
        <f t="shared" si="924"/>
        <v>45834</v>
      </c>
      <c r="E7970" s="235">
        <f t="shared" si="922"/>
        <v>45834</v>
      </c>
      <c r="F7970" s="480" t="s">
        <v>1902</v>
      </c>
      <c r="G7970" s="208" t="s">
        <v>86</v>
      </c>
      <c r="H7970" s="208"/>
      <c r="J7970" s="165" t="s">
        <v>199</v>
      </c>
      <c r="K7970" s="205">
        <v>1024363.12</v>
      </c>
      <c r="L7970" s="205"/>
    </row>
    <row r="7971" spans="1:13" ht="11.25" customHeight="1" x14ac:dyDescent="0.2">
      <c r="A7971" s="164">
        <v>2025</v>
      </c>
      <c r="B7971" s="164">
        <v>6</v>
      </c>
      <c r="C7971" s="164">
        <v>26</v>
      </c>
      <c r="D7971" s="164">
        <f t="shared" si="924"/>
        <v>45834</v>
      </c>
      <c r="E7971" s="235">
        <f t="shared" si="922"/>
        <v>45834</v>
      </c>
      <c r="F7971" s="480"/>
      <c r="G7971" s="208" t="s">
        <v>86</v>
      </c>
      <c r="H7971" s="208"/>
      <c r="J7971" s="165" t="s">
        <v>960</v>
      </c>
      <c r="K7971" s="205">
        <v>1847.18</v>
      </c>
      <c r="L7971" s="205"/>
      <c r="M7971" s="401"/>
    </row>
    <row r="7972" spans="1:13" ht="11.25" customHeight="1" x14ac:dyDescent="0.2">
      <c r="A7972" s="164">
        <v>2025</v>
      </c>
      <c r="B7972" s="164">
        <v>6</v>
      </c>
      <c r="C7972" s="164">
        <v>26</v>
      </c>
      <c r="D7972" s="164">
        <f t="shared" si="924"/>
        <v>45834</v>
      </c>
      <c r="E7972" s="235">
        <f t="shared" si="922"/>
        <v>45834</v>
      </c>
      <c r="F7972" s="480"/>
      <c r="G7972" s="208" t="s">
        <v>86</v>
      </c>
      <c r="H7972" s="208"/>
      <c r="J7972" s="165" t="s">
        <v>200</v>
      </c>
      <c r="K7972" s="205"/>
      <c r="L7972" s="205">
        <v>29753.95</v>
      </c>
    </row>
    <row r="7973" spans="1:13" ht="11.25" customHeight="1" x14ac:dyDescent="0.2">
      <c r="A7973" s="226">
        <v>2025</v>
      </c>
      <c r="B7973" s="226">
        <v>6</v>
      </c>
      <c r="C7973" s="226">
        <v>26</v>
      </c>
      <c r="D7973" s="226">
        <f t="shared" si="924"/>
        <v>45834</v>
      </c>
      <c r="E7973" s="234">
        <f t="shared" si="922"/>
        <v>45834</v>
      </c>
      <c r="F7973" s="479"/>
      <c r="G7973" s="227" t="s">
        <v>86</v>
      </c>
      <c r="H7973" s="228"/>
      <c r="I7973" s="228"/>
      <c r="J7973" s="229" t="s">
        <v>80</v>
      </c>
      <c r="K7973" s="230"/>
      <c r="L7973" s="230">
        <v>996456.35</v>
      </c>
    </row>
    <row r="7974" spans="1:13" ht="11.25" customHeight="1" x14ac:dyDescent="0.2">
      <c r="A7974" s="164">
        <v>2025</v>
      </c>
      <c r="B7974" s="164">
        <v>6</v>
      </c>
      <c r="C7974" s="164">
        <v>26</v>
      </c>
      <c r="D7974" s="164">
        <f t="shared" si="924"/>
        <v>45834</v>
      </c>
      <c r="E7974" s="235">
        <f t="shared" ref="E7974:E7977" si="928">DATE(A7974,B7974,C7974)</f>
        <v>45834</v>
      </c>
      <c r="F7974" s="480" t="s">
        <v>1904</v>
      </c>
      <c r="G7974" s="208" t="s">
        <v>86</v>
      </c>
      <c r="H7974" s="208"/>
      <c r="J7974" s="165" t="s">
        <v>199</v>
      </c>
      <c r="K7974" s="205">
        <v>509743.60700000002</v>
      </c>
      <c r="L7974" s="205"/>
    </row>
    <row r="7975" spans="1:13" ht="11.25" customHeight="1" x14ac:dyDescent="0.2">
      <c r="A7975" s="164">
        <v>2025</v>
      </c>
      <c r="B7975" s="164">
        <v>6</v>
      </c>
      <c r="C7975" s="164">
        <v>26</v>
      </c>
      <c r="D7975" s="164">
        <f t="shared" si="924"/>
        <v>45834</v>
      </c>
      <c r="E7975" s="235">
        <f t="shared" si="928"/>
        <v>45834</v>
      </c>
      <c r="F7975" s="480"/>
      <c r="G7975" s="208" t="s">
        <v>86</v>
      </c>
      <c r="H7975" s="208"/>
      <c r="J7975" s="165" t="s">
        <v>960</v>
      </c>
      <c r="K7975" s="205">
        <v>919.19299999999998</v>
      </c>
      <c r="L7975" s="205"/>
      <c r="M7975" s="401"/>
    </row>
    <row r="7976" spans="1:13" ht="11.25" customHeight="1" x14ac:dyDescent="0.2">
      <c r="A7976" s="164">
        <v>2025</v>
      </c>
      <c r="B7976" s="164">
        <v>6</v>
      </c>
      <c r="C7976" s="164">
        <v>26</v>
      </c>
      <c r="D7976" s="164">
        <f t="shared" si="924"/>
        <v>45834</v>
      </c>
      <c r="E7976" s="235">
        <f t="shared" si="928"/>
        <v>45834</v>
      </c>
      <c r="F7976" s="480"/>
      <c r="G7976" s="208" t="s">
        <v>86</v>
      </c>
      <c r="H7976" s="208"/>
      <c r="J7976" s="165" t="s">
        <v>200</v>
      </c>
      <c r="K7976" s="205"/>
      <c r="L7976" s="205">
        <v>133955.07999999999</v>
      </c>
    </row>
    <row r="7977" spans="1:13" ht="11.25" customHeight="1" x14ac:dyDescent="0.2">
      <c r="A7977" s="226">
        <v>2025</v>
      </c>
      <c r="B7977" s="226">
        <v>6</v>
      </c>
      <c r="C7977" s="226">
        <v>26</v>
      </c>
      <c r="D7977" s="226">
        <f t="shared" si="924"/>
        <v>45834</v>
      </c>
      <c r="E7977" s="234">
        <f t="shared" si="928"/>
        <v>45834</v>
      </c>
      <c r="F7977" s="479"/>
      <c r="G7977" s="227" t="s">
        <v>86</v>
      </c>
      <c r="H7977" s="228"/>
      <c r="I7977" s="228"/>
      <c r="J7977" s="229" t="s">
        <v>80</v>
      </c>
      <c r="K7977" s="230"/>
      <c r="L7977" s="230">
        <v>376707.72</v>
      </c>
    </row>
    <row r="7978" spans="1:13" ht="11.25" customHeight="1" x14ac:dyDescent="0.2">
      <c r="A7978" s="164">
        <v>2025</v>
      </c>
      <c r="B7978" s="164">
        <v>6</v>
      </c>
      <c r="C7978" s="164">
        <v>26</v>
      </c>
      <c r="D7978" s="164">
        <f t="shared" si="924"/>
        <v>45834</v>
      </c>
      <c r="E7978" s="235">
        <f t="shared" ref="E7978:E7999" si="929">DATE(A7978,B7978,C7978)</f>
        <v>45834</v>
      </c>
      <c r="F7978" s="480" t="s">
        <v>1905</v>
      </c>
      <c r="G7978" s="208" t="s">
        <v>86</v>
      </c>
      <c r="H7978" s="208"/>
      <c r="J7978" s="165" t="s">
        <v>199</v>
      </c>
      <c r="K7978" s="205">
        <v>1186774.953</v>
      </c>
      <c r="L7978" s="205"/>
    </row>
    <row r="7979" spans="1:13" ht="11.25" customHeight="1" x14ac:dyDescent="0.2">
      <c r="A7979" s="164">
        <v>2025</v>
      </c>
      <c r="B7979" s="164">
        <v>6</v>
      </c>
      <c r="C7979" s="164">
        <v>26</v>
      </c>
      <c r="D7979" s="164">
        <f t="shared" si="924"/>
        <v>45834</v>
      </c>
      <c r="E7979" s="235">
        <f t="shared" si="929"/>
        <v>45834</v>
      </c>
      <c r="F7979" s="480"/>
      <c r="G7979" s="208" t="s">
        <v>86</v>
      </c>
      <c r="H7979" s="208"/>
      <c r="J7979" s="165" t="s">
        <v>960</v>
      </c>
      <c r="K7979" s="205">
        <v>2140.047</v>
      </c>
      <c r="L7979" s="205"/>
      <c r="M7979" s="401"/>
    </row>
    <row r="7980" spans="1:13" ht="11.25" customHeight="1" x14ac:dyDescent="0.2">
      <c r="A7980" s="164">
        <v>2025</v>
      </c>
      <c r="B7980" s="164">
        <v>6</v>
      </c>
      <c r="C7980" s="164">
        <v>26</v>
      </c>
      <c r="D7980" s="164">
        <f t="shared" si="924"/>
        <v>45834</v>
      </c>
      <c r="E7980" s="235">
        <f t="shared" si="929"/>
        <v>45834</v>
      </c>
      <c r="F7980" s="480"/>
      <c r="G7980" s="208" t="s">
        <v>86</v>
      </c>
      <c r="H7980" s="208"/>
      <c r="J7980" s="165" t="s">
        <v>200</v>
      </c>
      <c r="K7980" s="205">
        <v>952.27</v>
      </c>
      <c r="L7980" s="205"/>
    </row>
    <row r="7981" spans="1:13" ht="11.25" customHeight="1" x14ac:dyDescent="0.2">
      <c r="A7981" s="226">
        <v>2025</v>
      </c>
      <c r="B7981" s="226">
        <v>6</v>
      </c>
      <c r="C7981" s="226">
        <v>26</v>
      </c>
      <c r="D7981" s="226">
        <f t="shared" si="924"/>
        <v>45834</v>
      </c>
      <c r="E7981" s="234">
        <f t="shared" si="929"/>
        <v>45834</v>
      </c>
      <c r="F7981" s="479"/>
      <c r="G7981" s="227" t="s">
        <v>86</v>
      </c>
      <c r="H7981" s="228"/>
      <c r="I7981" s="228"/>
      <c r="J7981" s="229" t="s">
        <v>80</v>
      </c>
      <c r="K7981" s="230"/>
      <c r="L7981" s="230">
        <v>1189867.27</v>
      </c>
    </row>
    <row r="7982" spans="1:13" ht="11.25" customHeight="1" x14ac:dyDescent="0.2">
      <c r="A7982" s="221">
        <v>2025</v>
      </c>
      <c r="B7982" s="221">
        <v>6</v>
      </c>
      <c r="C7982" s="221">
        <v>26</v>
      </c>
      <c r="D7982" s="231">
        <f t="shared" si="924"/>
        <v>45834</v>
      </c>
      <c r="E7982" s="233">
        <f t="shared" si="929"/>
        <v>45834</v>
      </c>
      <c r="F7982" s="478" t="s">
        <v>1142</v>
      </c>
      <c r="G7982" s="222" t="s">
        <v>1111</v>
      </c>
      <c r="H7982" s="223"/>
      <c r="I7982" s="223"/>
      <c r="J7982" s="224" t="s">
        <v>189</v>
      </c>
      <c r="K7982" s="225">
        <v>1575</v>
      </c>
      <c r="L7982" s="225"/>
    </row>
    <row r="7983" spans="1:13" ht="11.25" customHeight="1" x14ac:dyDescent="0.2">
      <c r="A7983" s="164">
        <v>2025</v>
      </c>
      <c r="B7983" s="164">
        <v>6</v>
      </c>
      <c r="C7983" s="164">
        <v>26</v>
      </c>
      <c r="D7983" s="156">
        <f t="shared" si="924"/>
        <v>45834</v>
      </c>
      <c r="E7983" s="235">
        <f t="shared" si="929"/>
        <v>45834</v>
      </c>
      <c r="F7983" s="480"/>
      <c r="G7983" s="208" t="s">
        <v>1111</v>
      </c>
      <c r="J7983" s="165" t="s">
        <v>1707</v>
      </c>
      <c r="K7983" s="205"/>
      <c r="L7983" s="205">
        <v>150</v>
      </c>
    </row>
    <row r="7984" spans="1:13" ht="11.25" customHeight="1" x14ac:dyDescent="0.2">
      <c r="A7984" s="226">
        <v>2025</v>
      </c>
      <c r="B7984" s="226">
        <v>6</v>
      </c>
      <c r="C7984" s="226">
        <v>26</v>
      </c>
      <c r="D7984" s="232">
        <f t="shared" si="924"/>
        <v>45834</v>
      </c>
      <c r="E7984" s="234">
        <f t="shared" si="929"/>
        <v>45834</v>
      </c>
      <c r="F7984" s="479"/>
      <c r="G7984" s="227" t="s">
        <v>1111</v>
      </c>
      <c r="H7984" s="228"/>
      <c r="I7984" s="228"/>
      <c r="J7984" s="229" t="s">
        <v>55</v>
      </c>
      <c r="K7984" s="230"/>
      <c r="L7984" s="230">
        <v>1425</v>
      </c>
    </row>
    <row r="7985" spans="1:14" ht="11.25" customHeight="1" x14ac:dyDescent="0.2">
      <c r="A7985" s="221">
        <v>2025</v>
      </c>
      <c r="B7985" s="221">
        <v>6</v>
      </c>
      <c r="C7985" s="221">
        <v>26</v>
      </c>
      <c r="D7985" s="231">
        <f t="shared" si="924"/>
        <v>45834</v>
      </c>
      <c r="E7985" s="233">
        <f t="shared" si="929"/>
        <v>45834</v>
      </c>
      <c r="F7985" s="478" t="s">
        <v>1843</v>
      </c>
      <c r="G7985" s="222" t="s">
        <v>1111</v>
      </c>
      <c r="H7985" s="223"/>
      <c r="I7985" s="223"/>
      <c r="J7985" s="224" t="s">
        <v>55</v>
      </c>
      <c r="K7985" s="225">
        <v>1109173</v>
      </c>
      <c r="L7985" s="225"/>
    </row>
    <row r="7986" spans="1:14" ht="11.25" customHeight="1" x14ac:dyDescent="0.2">
      <c r="A7986" s="226">
        <v>2025</v>
      </c>
      <c r="B7986" s="226">
        <v>6</v>
      </c>
      <c r="C7986" s="226">
        <v>26</v>
      </c>
      <c r="D7986" s="232">
        <f t="shared" si="924"/>
        <v>45834</v>
      </c>
      <c r="E7986" s="234">
        <f t="shared" si="929"/>
        <v>45834</v>
      </c>
      <c r="F7986" s="479"/>
      <c r="G7986" s="227" t="s">
        <v>1111</v>
      </c>
      <c r="H7986" s="228"/>
      <c r="I7986" s="228"/>
      <c r="J7986" s="229" t="s">
        <v>199</v>
      </c>
      <c r="K7986" s="230"/>
      <c r="L7986" s="230">
        <v>1109173</v>
      </c>
      <c r="N7986" s="438"/>
    </row>
    <row r="7987" spans="1:14" ht="11.25" customHeight="1" x14ac:dyDescent="0.2">
      <c r="A7987" s="221">
        <v>2025</v>
      </c>
      <c r="B7987" s="221">
        <v>6</v>
      </c>
      <c r="C7987" s="221">
        <v>26</v>
      </c>
      <c r="D7987" s="231">
        <f t="shared" si="924"/>
        <v>45834</v>
      </c>
      <c r="E7987" s="233">
        <f t="shared" si="929"/>
        <v>45834</v>
      </c>
      <c r="F7987" s="478" t="s">
        <v>802</v>
      </c>
      <c r="G7987" s="222" t="s">
        <v>1111</v>
      </c>
      <c r="H7987" s="223"/>
      <c r="I7987" s="223" t="s">
        <v>351</v>
      </c>
      <c r="J7987" s="224" t="s">
        <v>55</v>
      </c>
      <c r="K7987" s="167">
        <v>100000</v>
      </c>
      <c r="L7987" s="225"/>
    </row>
    <row r="7988" spans="1:14" ht="11.25" customHeight="1" x14ac:dyDescent="0.2">
      <c r="A7988" s="164">
        <v>2025</v>
      </c>
      <c r="B7988" s="164">
        <v>6</v>
      </c>
      <c r="C7988" s="164">
        <v>26</v>
      </c>
      <c r="D7988" s="156">
        <f t="shared" si="924"/>
        <v>45834</v>
      </c>
      <c r="E7988" s="235">
        <f t="shared" si="929"/>
        <v>45834</v>
      </c>
      <c r="F7988" s="480"/>
      <c r="G7988" s="208" t="s">
        <v>1111</v>
      </c>
      <c r="I7988" s="206" t="s">
        <v>351</v>
      </c>
      <c r="J7988" s="165" t="s">
        <v>14</v>
      </c>
      <c r="L7988" s="205">
        <v>93090</v>
      </c>
    </row>
    <row r="7989" spans="1:14" ht="11.25" customHeight="1" x14ac:dyDescent="0.2">
      <c r="A7989" s="226">
        <v>2025</v>
      </c>
      <c r="B7989" s="226">
        <v>6</v>
      </c>
      <c r="C7989" s="226">
        <v>26</v>
      </c>
      <c r="D7989" s="232">
        <f t="shared" si="924"/>
        <v>45834</v>
      </c>
      <c r="E7989" s="234">
        <f t="shared" si="929"/>
        <v>45834</v>
      </c>
      <c r="F7989" s="479"/>
      <c r="G7989" s="227" t="s">
        <v>1111</v>
      </c>
      <c r="H7989" s="228"/>
      <c r="I7989" s="228" t="s">
        <v>351</v>
      </c>
      <c r="J7989" s="229" t="s">
        <v>1112</v>
      </c>
      <c r="K7989" s="230"/>
      <c r="L7989" s="230">
        <v>6910</v>
      </c>
    </row>
    <row r="7990" spans="1:14" ht="11.25" customHeight="1" x14ac:dyDescent="0.2">
      <c r="A7990" s="221">
        <v>2025</v>
      </c>
      <c r="B7990" s="221">
        <v>6</v>
      </c>
      <c r="C7990" s="221">
        <v>26</v>
      </c>
      <c r="D7990" s="231">
        <f t="shared" si="924"/>
        <v>45834</v>
      </c>
      <c r="E7990" s="233">
        <f>DATE(A7990,B7990,C7990)</f>
        <v>45834</v>
      </c>
      <c r="F7990" s="478" t="s">
        <v>1753</v>
      </c>
      <c r="G7990" s="222" t="s">
        <v>1111</v>
      </c>
      <c r="H7990" s="223"/>
      <c r="I7990" s="223"/>
      <c r="J7990" s="224" t="s">
        <v>63</v>
      </c>
      <c r="K7990" s="225">
        <v>345</v>
      </c>
      <c r="L7990" s="225"/>
    </row>
    <row r="7991" spans="1:14" ht="11.25" customHeight="1" x14ac:dyDescent="0.2">
      <c r="A7991" s="226">
        <v>2025</v>
      </c>
      <c r="B7991" s="226">
        <v>6</v>
      </c>
      <c r="C7991" s="226">
        <v>26</v>
      </c>
      <c r="D7991" s="232">
        <f t="shared" si="924"/>
        <v>45834</v>
      </c>
      <c r="E7991" s="234">
        <f>DATE(A7991,B7991,C7991)</f>
        <v>45834</v>
      </c>
      <c r="F7991" s="479"/>
      <c r="G7991" s="227" t="s">
        <v>1111</v>
      </c>
      <c r="H7991" s="228"/>
      <c r="I7991" s="228"/>
      <c r="J7991" s="229" t="s">
        <v>55</v>
      </c>
      <c r="K7991" s="230"/>
      <c r="L7991" s="230">
        <v>345</v>
      </c>
    </row>
    <row r="7992" spans="1:14" ht="11.25" customHeight="1" x14ac:dyDescent="0.2">
      <c r="A7992" s="280">
        <v>2025</v>
      </c>
      <c r="B7992" s="280">
        <v>6</v>
      </c>
      <c r="C7992" s="280">
        <v>26</v>
      </c>
      <c r="D7992" s="281">
        <f t="shared" si="924"/>
        <v>45834</v>
      </c>
      <c r="E7992" s="282">
        <f t="shared" si="929"/>
        <v>45834</v>
      </c>
      <c r="F7992" s="472" t="s">
        <v>1744</v>
      </c>
      <c r="G7992" s="283" t="s">
        <v>86</v>
      </c>
      <c r="H7992" s="284"/>
      <c r="I7992" s="284"/>
      <c r="J7992" s="285" t="s">
        <v>131</v>
      </c>
      <c r="K7992" s="286">
        <v>19358.330000000002</v>
      </c>
      <c r="L7992" s="286"/>
      <c r="M7992" s="401"/>
    </row>
    <row r="7993" spans="1:14" ht="11.25" customHeight="1" x14ac:dyDescent="0.2">
      <c r="A7993" s="287">
        <v>2025</v>
      </c>
      <c r="B7993" s="287">
        <v>6</v>
      </c>
      <c r="C7993" s="287">
        <v>26</v>
      </c>
      <c r="D7993" s="288">
        <f t="shared" si="924"/>
        <v>45834</v>
      </c>
      <c r="E7993" s="289">
        <f t="shared" si="929"/>
        <v>45834</v>
      </c>
      <c r="F7993" s="473"/>
      <c r="G7993" s="290" t="s">
        <v>86</v>
      </c>
      <c r="H7993" s="291"/>
      <c r="I7993" s="291"/>
      <c r="J7993" s="292" t="s">
        <v>174</v>
      </c>
      <c r="K7993" s="293"/>
      <c r="L7993" s="293">
        <f>K7992</f>
        <v>19358.330000000002</v>
      </c>
    </row>
    <row r="7994" spans="1:14" ht="11.25" customHeight="1" x14ac:dyDescent="0.2">
      <c r="A7994" s="280">
        <v>2025</v>
      </c>
      <c r="B7994" s="280">
        <v>6</v>
      </c>
      <c r="C7994" s="280">
        <v>26</v>
      </c>
      <c r="D7994" s="281">
        <f t="shared" si="924"/>
        <v>45834</v>
      </c>
      <c r="E7994" s="282">
        <f t="shared" si="929"/>
        <v>45834</v>
      </c>
      <c r="F7994" s="472" t="s">
        <v>1584</v>
      </c>
      <c r="G7994" s="283" t="s">
        <v>86</v>
      </c>
      <c r="H7994" s="284"/>
      <c r="I7994" s="284"/>
      <c r="J7994" s="285" t="s">
        <v>131</v>
      </c>
      <c r="K7994" s="286">
        <v>8846.15</v>
      </c>
      <c r="L7994" s="286"/>
      <c r="M7994" s="401"/>
    </row>
    <row r="7995" spans="1:14" ht="11.25" customHeight="1" x14ac:dyDescent="0.2">
      <c r="A7995" s="287">
        <v>2025</v>
      </c>
      <c r="B7995" s="287">
        <v>6</v>
      </c>
      <c r="C7995" s="287">
        <v>26</v>
      </c>
      <c r="D7995" s="288">
        <f t="shared" si="924"/>
        <v>45834</v>
      </c>
      <c r="E7995" s="289">
        <f t="shared" si="929"/>
        <v>45834</v>
      </c>
      <c r="F7995" s="473"/>
      <c r="G7995" s="290" t="s">
        <v>86</v>
      </c>
      <c r="H7995" s="291"/>
      <c r="I7995" s="291"/>
      <c r="J7995" s="292" t="s">
        <v>174</v>
      </c>
      <c r="K7995" s="293"/>
      <c r="L7995" s="293">
        <f>K7994</f>
        <v>8846.15</v>
      </c>
    </row>
    <row r="7996" spans="1:14" ht="11.25" customHeight="1" x14ac:dyDescent="0.2">
      <c r="A7996" s="280">
        <v>2025</v>
      </c>
      <c r="B7996" s="280">
        <v>6</v>
      </c>
      <c r="C7996" s="280">
        <v>26</v>
      </c>
      <c r="D7996" s="281">
        <f t="shared" si="924"/>
        <v>45834</v>
      </c>
      <c r="E7996" s="282">
        <f t="shared" si="929"/>
        <v>45834</v>
      </c>
      <c r="F7996" s="472" t="s">
        <v>1830</v>
      </c>
      <c r="G7996" s="283" t="s">
        <v>86</v>
      </c>
      <c r="H7996" s="284"/>
      <c r="I7996" s="284"/>
      <c r="J7996" s="285" t="s">
        <v>131</v>
      </c>
      <c r="K7996" s="286">
        <v>11634.615384615385</v>
      </c>
      <c r="L7996" s="286"/>
      <c r="M7996" s="401"/>
    </row>
    <row r="7997" spans="1:14" ht="11.25" customHeight="1" x14ac:dyDescent="0.2">
      <c r="A7997" s="287">
        <v>2025</v>
      </c>
      <c r="B7997" s="287">
        <v>6</v>
      </c>
      <c r="C7997" s="287">
        <v>26</v>
      </c>
      <c r="D7997" s="288">
        <f t="shared" si="924"/>
        <v>45834</v>
      </c>
      <c r="E7997" s="289">
        <f t="shared" si="929"/>
        <v>45834</v>
      </c>
      <c r="F7997" s="473"/>
      <c r="G7997" s="290" t="s">
        <v>86</v>
      </c>
      <c r="H7997" s="291"/>
      <c r="I7997" s="291"/>
      <c r="J7997" s="292" t="s">
        <v>174</v>
      </c>
      <c r="K7997" s="293"/>
      <c r="L7997" s="293">
        <v>11634.615384615385</v>
      </c>
    </row>
    <row r="7998" spans="1:14" ht="11.25" customHeight="1" x14ac:dyDescent="0.2">
      <c r="A7998" s="341">
        <v>2025</v>
      </c>
      <c r="B7998" s="341">
        <v>6</v>
      </c>
      <c r="C7998" s="341">
        <v>26</v>
      </c>
      <c r="D7998" s="328">
        <f t="shared" si="924"/>
        <v>45834</v>
      </c>
      <c r="E7998" s="329">
        <f t="shared" si="929"/>
        <v>45834</v>
      </c>
      <c r="F7998" s="474" t="s">
        <v>1767</v>
      </c>
      <c r="G7998" s="330" t="s">
        <v>86</v>
      </c>
      <c r="H7998" s="332"/>
      <c r="I7998" s="332"/>
      <c r="J7998" s="342" t="s">
        <v>67</v>
      </c>
      <c r="K7998" s="343">
        <v>8000</v>
      </c>
      <c r="L7998" s="343"/>
    </row>
    <row r="7999" spans="1:14" ht="11.25" customHeight="1" x14ac:dyDescent="0.2">
      <c r="A7999" s="344">
        <v>2025</v>
      </c>
      <c r="B7999" s="344">
        <v>6</v>
      </c>
      <c r="C7999" s="344">
        <v>26</v>
      </c>
      <c r="D7999" s="337">
        <f t="shared" si="924"/>
        <v>45834</v>
      </c>
      <c r="E7999" s="338">
        <f t="shared" si="929"/>
        <v>45834</v>
      </c>
      <c r="F7999" s="475"/>
      <c r="G7999" s="339" t="s">
        <v>86</v>
      </c>
      <c r="H7999" s="340"/>
      <c r="I7999" s="340"/>
      <c r="J7999" s="345" t="s">
        <v>174</v>
      </c>
      <c r="K7999" s="346"/>
      <c r="L7999" s="346">
        <f>K7998</f>
        <v>8000</v>
      </c>
    </row>
    <row r="8000" spans="1:14" ht="11.25" customHeight="1" x14ac:dyDescent="0.2">
      <c r="A8000" s="358">
        <v>2025</v>
      </c>
      <c r="B8000" s="358">
        <v>6</v>
      </c>
      <c r="C8000" s="358">
        <v>26</v>
      </c>
      <c r="D8000" s="312">
        <f t="shared" si="924"/>
        <v>45834</v>
      </c>
      <c r="E8000" s="313">
        <f>DATE(A8000,B8000,C8000)</f>
        <v>45834</v>
      </c>
      <c r="F8000" s="482" t="s">
        <v>1627</v>
      </c>
      <c r="G8000" s="314" t="s">
        <v>86</v>
      </c>
      <c r="H8000" s="324"/>
      <c r="I8000" s="324"/>
      <c r="J8000" s="364" t="s">
        <v>1613</v>
      </c>
      <c r="K8000" s="365">
        <v>0</v>
      </c>
      <c r="L8000" s="365"/>
      <c r="M8000" s="156">
        <f>BS!$I$12</f>
        <v>0</v>
      </c>
    </row>
    <row r="8001" spans="1:14" ht="11.25" customHeight="1" x14ac:dyDescent="0.2">
      <c r="A8001" s="320">
        <v>2025</v>
      </c>
      <c r="B8001" s="320">
        <v>6</v>
      </c>
      <c r="C8001" s="320">
        <v>26</v>
      </c>
      <c r="D8001" s="323">
        <f t="shared" si="924"/>
        <v>45834</v>
      </c>
      <c r="E8001" s="321">
        <f t="shared" ref="E8001" si="930">DATE(A8001,B8001,C8001)</f>
        <v>45834</v>
      </c>
      <c r="F8001" s="483"/>
      <c r="G8001" s="322" t="s">
        <v>86</v>
      </c>
      <c r="H8001" s="325"/>
      <c r="I8001" s="325"/>
      <c r="J8001" s="366" t="s">
        <v>1621</v>
      </c>
      <c r="K8001" s="367"/>
      <c r="L8001" s="367">
        <f>K8000</f>
        <v>0</v>
      </c>
    </row>
    <row r="8002" spans="1:14" ht="11.25" customHeight="1" x14ac:dyDescent="0.2">
      <c r="A8002" s="358">
        <v>2025</v>
      </c>
      <c r="B8002" s="358">
        <v>6</v>
      </c>
      <c r="C8002" s="358">
        <v>26</v>
      </c>
      <c r="D8002" s="312">
        <f t="shared" si="924"/>
        <v>45834</v>
      </c>
      <c r="E8002" s="313">
        <f>DATE(A8002,B8002,C8002)</f>
        <v>45834</v>
      </c>
      <c r="F8002" s="482" t="s">
        <v>1713</v>
      </c>
      <c r="G8002" s="314" t="s">
        <v>86</v>
      </c>
      <c r="H8002" s="324"/>
      <c r="I8002" s="324"/>
      <c r="J8002" s="364" t="s">
        <v>1614</v>
      </c>
      <c r="K8002" s="365">
        <v>184266.90099999309</v>
      </c>
      <c r="L8002" s="365"/>
      <c r="M8002" s="156">
        <f>BS!$I$15</f>
        <v>0</v>
      </c>
    </row>
    <row r="8003" spans="1:14" ht="11.25" customHeight="1" x14ac:dyDescent="0.2">
      <c r="A8003" s="320">
        <v>2025</v>
      </c>
      <c r="B8003" s="320">
        <v>6</v>
      </c>
      <c r="C8003" s="320">
        <v>26</v>
      </c>
      <c r="D8003" s="323">
        <f t="shared" si="924"/>
        <v>45834</v>
      </c>
      <c r="E8003" s="321">
        <f t="shared" ref="E8003:E8066" si="931">DATE(A8003,B8003,C8003)</f>
        <v>45834</v>
      </c>
      <c r="F8003" s="483"/>
      <c r="G8003" s="322" t="s">
        <v>86</v>
      </c>
      <c r="H8003" s="325"/>
      <c r="I8003" s="325"/>
      <c r="J8003" s="366" t="s">
        <v>1622</v>
      </c>
      <c r="K8003" s="367"/>
      <c r="L8003" s="367">
        <f>K8002</f>
        <v>184266.90099999309</v>
      </c>
    </row>
    <row r="8004" spans="1:14" ht="11.25" customHeight="1" x14ac:dyDescent="0.2">
      <c r="A8004" s="236">
        <v>2025</v>
      </c>
      <c r="B8004" s="236">
        <v>6</v>
      </c>
      <c r="C8004" s="236">
        <v>26</v>
      </c>
      <c r="D8004" s="237">
        <f t="shared" si="924"/>
        <v>45834</v>
      </c>
      <c r="E8004" s="238">
        <f t="shared" si="931"/>
        <v>45834</v>
      </c>
      <c r="F8004" s="476" t="s">
        <v>1118</v>
      </c>
      <c r="G8004" s="239" t="s">
        <v>86</v>
      </c>
      <c r="H8004" s="239"/>
      <c r="I8004" s="240"/>
      <c r="J8004" s="241" t="s">
        <v>98</v>
      </c>
      <c r="K8004" s="242">
        <v>1527629.2999999821</v>
      </c>
      <c r="L8004" s="242"/>
      <c r="M8004" s="156">
        <f>BS!$I$8</f>
        <v>0</v>
      </c>
    </row>
    <row r="8005" spans="1:14" ht="11.25" customHeight="1" x14ac:dyDescent="0.2">
      <c r="A8005" s="243">
        <v>2025</v>
      </c>
      <c r="B8005" s="243">
        <v>6</v>
      </c>
      <c r="C8005" s="243">
        <v>26</v>
      </c>
      <c r="D8005" s="248">
        <f t="shared" si="924"/>
        <v>45834</v>
      </c>
      <c r="E8005" s="249">
        <f t="shared" si="931"/>
        <v>45834</v>
      </c>
      <c r="F8005" s="477"/>
      <c r="G8005" s="244" t="s">
        <v>86</v>
      </c>
      <c r="H8005" s="244"/>
      <c r="I8005" s="245"/>
      <c r="J8005" s="246" t="s">
        <v>82</v>
      </c>
      <c r="K8005" s="247"/>
      <c r="L8005" s="247">
        <f>K8004</f>
        <v>1527629.2999999821</v>
      </c>
    </row>
    <row r="8006" spans="1:14" ht="11.25" customHeight="1" x14ac:dyDescent="0.2">
      <c r="A8006" s="236">
        <v>2025</v>
      </c>
      <c r="B8006" s="236">
        <v>6</v>
      </c>
      <c r="C8006" s="236">
        <v>26</v>
      </c>
      <c r="D8006" s="237">
        <f t="shared" si="924"/>
        <v>45834</v>
      </c>
      <c r="E8006" s="238">
        <f t="shared" si="931"/>
        <v>45834</v>
      </c>
      <c r="F8006" s="476" t="s">
        <v>1120</v>
      </c>
      <c r="G8006" s="239" t="s">
        <v>86</v>
      </c>
      <c r="H8006" s="239"/>
      <c r="I8006" s="240"/>
      <c r="J8006" s="241" t="s">
        <v>87</v>
      </c>
      <c r="K8006" s="242">
        <v>2747.2527472527472</v>
      </c>
      <c r="L8006" s="242"/>
      <c r="M8006" s="401"/>
    </row>
    <row r="8007" spans="1:14" ht="11.25" customHeight="1" x14ac:dyDescent="0.2">
      <c r="A8007" s="243">
        <v>2025</v>
      </c>
      <c r="B8007" s="243">
        <v>6</v>
      </c>
      <c r="C8007" s="243">
        <v>26</v>
      </c>
      <c r="D8007" s="248">
        <f t="shared" si="924"/>
        <v>45834</v>
      </c>
      <c r="E8007" s="249">
        <f t="shared" si="931"/>
        <v>45834</v>
      </c>
      <c r="F8007" s="477"/>
      <c r="G8007" s="244" t="s">
        <v>86</v>
      </c>
      <c r="H8007" s="244"/>
      <c r="I8007" s="245"/>
      <c r="J8007" s="246" t="s">
        <v>64</v>
      </c>
      <c r="K8007" s="247"/>
      <c r="L8007" s="247">
        <f>K8006</f>
        <v>2747.2527472527472</v>
      </c>
    </row>
    <row r="8008" spans="1:14" ht="11.25" customHeight="1" x14ac:dyDescent="0.2">
      <c r="A8008" s="236">
        <v>2025</v>
      </c>
      <c r="B8008" s="236">
        <v>6</v>
      </c>
      <c r="C8008" s="236">
        <v>26</v>
      </c>
      <c r="D8008" s="237">
        <f t="shared" si="924"/>
        <v>45834</v>
      </c>
      <c r="E8008" s="238">
        <f t="shared" si="931"/>
        <v>45834</v>
      </c>
      <c r="F8008" s="476" t="s">
        <v>1121</v>
      </c>
      <c r="G8008" s="239" t="s">
        <v>86</v>
      </c>
      <c r="H8008" s="239"/>
      <c r="I8008" s="240"/>
      <c r="J8008" s="241" t="s">
        <v>89</v>
      </c>
      <c r="K8008" s="242">
        <f>M8008</f>
        <v>72891.399330378496</v>
      </c>
      <c r="L8008" s="242"/>
      <c r="M8008" s="156">
        <v>72891.399330378496</v>
      </c>
    </row>
    <row r="8009" spans="1:14" ht="11.25" customHeight="1" x14ac:dyDescent="0.2">
      <c r="A8009" s="243">
        <v>2025</v>
      </c>
      <c r="B8009" s="243">
        <v>6</v>
      </c>
      <c r="C8009" s="243">
        <v>26</v>
      </c>
      <c r="D8009" s="248">
        <f t="shared" ref="D8009:D8072" si="932">DATE(A8009,B8009,C8009)</f>
        <v>45834</v>
      </c>
      <c r="E8009" s="249">
        <f t="shared" si="931"/>
        <v>45834</v>
      </c>
      <c r="F8009" s="477"/>
      <c r="G8009" s="244" t="s">
        <v>86</v>
      </c>
      <c r="H8009" s="244"/>
      <c r="I8009" s="245"/>
      <c r="J8009" s="246" t="s">
        <v>50</v>
      </c>
      <c r="K8009" s="247"/>
      <c r="L8009" s="247">
        <f>K8008</f>
        <v>72891.399330378496</v>
      </c>
      <c r="M8009" s="156">
        <v>3404.1853511343093</v>
      </c>
    </row>
    <row r="8010" spans="1:14" ht="11.25" customHeight="1" x14ac:dyDescent="0.2">
      <c r="A8010" s="236">
        <v>2025</v>
      </c>
      <c r="B8010" s="236">
        <v>6</v>
      </c>
      <c r="C8010" s="236">
        <v>26</v>
      </c>
      <c r="D8010" s="237">
        <f t="shared" si="932"/>
        <v>45834</v>
      </c>
      <c r="E8010" s="238">
        <f t="shared" si="931"/>
        <v>45834</v>
      </c>
      <c r="F8010" s="476" t="s">
        <v>1122</v>
      </c>
      <c r="G8010" s="239" t="s">
        <v>86</v>
      </c>
      <c r="H8010" s="239"/>
      <c r="I8010" s="240"/>
      <c r="J8010" s="241" t="s">
        <v>91</v>
      </c>
      <c r="K8010" s="242">
        <f>M8009</f>
        <v>3404.1853511343093</v>
      </c>
      <c r="L8010" s="242"/>
    </row>
    <row r="8011" spans="1:14" ht="11.25" customHeight="1" x14ac:dyDescent="0.2">
      <c r="A8011" s="243">
        <v>2025</v>
      </c>
      <c r="B8011" s="243">
        <v>6</v>
      </c>
      <c r="C8011" s="243">
        <v>26</v>
      </c>
      <c r="D8011" s="248">
        <f t="shared" si="932"/>
        <v>45834</v>
      </c>
      <c r="E8011" s="249">
        <f t="shared" si="931"/>
        <v>45834</v>
      </c>
      <c r="F8011" s="477"/>
      <c r="G8011" s="244" t="s">
        <v>86</v>
      </c>
      <c r="H8011" s="244"/>
      <c r="I8011" s="245"/>
      <c r="J8011" s="246" t="s">
        <v>51</v>
      </c>
      <c r="K8011" s="247"/>
      <c r="L8011" s="247">
        <f>K8010</f>
        <v>3404.1853511343093</v>
      </c>
    </row>
    <row r="8012" spans="1:14" ht="11.25" customHeight="1" x14ac:dyDescent="0.2">
      <c r="A8012" s="221">
        <v>2025</v>
      </c>
      <c r="B8012" s="221">
        <v>6</v>
      </c>
      <c r="C8012" s="221">
        <v>29</v>
      </c>
      <c r="D8012" s="221">
        <f t="shared" si="932"/>
        <v>45837</v>
      </c>
      <c r="E8012" s="233">
        <f t="shared" si="931"/>
        <v>45837</v>
      </c>
      <c r="F8012" s="478" t="s">
        <v>1910</v>
      </c>
      <c r="G8012" s="222" t="s">
        <v>86</v>
      </c>
      <c r="H8012" s="222"/>
      <c r="I8012" s="223"/>
      <c r="J8012" s="224" t="s">
        <v>80</v>
      </c>
      <c r="K8012" s="225">
        <v>1747000</v>
      </c>
      <c r="L8012" s="225"/>
    </row>
    <row r="8013" spans="1:14" ht="11.25" customHeight="1" x14ac:dyDescent="0.2">
      <c r="A8013" s="164">
        <v>2025</v>
      </c>
      <c r="B8013" s="164">
        <v>6</v>
      </c>
      <c r="C8013" s="164">
        <v>29</v>
      </c>
      <c r="D8013" s="164">
        <f t="shared" si="932"/>
        <v>45837</v>
      </c>
      <c r="E8013" s="235">
        <f t="shared" si="931"/>
        <v>45837</v>
      </c>
      <c r="F8013" s="480"/>
      <c r="G8013" s="208" t="s">
        <v>86</v>
      </c>
      <c r="H8013" s="208"/>
      <c r="J8013" s="165" t="s">
        <v>960</v>
      </c>
      <c r="K8013" s="205">
        <v>21644.76</v>
      </c>
      <c r="L8013" s="205"/>
      <c r="M8013" s="263"/>
      <c r="N8013" s="263"/>
    </row>
    <row r="8014" spans="1:14" ht="11.25" customHeight="1" x14ac:dyDescent="0.2">
      <c r="A8014" s="164">
        <v>2025</v>
      </c>
      <c r="B8014" s="164">
        <v>6</v>
      </c>
      <c r="C8014" s="164">
        <v>29</v>
      </c>
      <c r="D8014" s="164">
        <f t="shared" si="932"/>
        <v>45837</v>
      </c>
      <c r="E8014" s="235">
        <f t="shared" si="931"/>
        <v>45837</v>
      </c>
      <c r="F8014" s="480"/>
      <c r="G8014" s="208" t="s">
        <v>86</v>
      </c>
      <c r="H8014" s="208"/>
      <c r="J8014" s="165" t="s">
        <v>199</v>
      </c>
      <c r="K8014" s="205">
        <v>8509219.4399999995</v>
      </c>
      <c r="L8014" s="205"/>
      <c r="M8014" s="263"/>
    </row>
    <row r="8015" spans="1:14" ht="11.25" customHeight="1" x14ac:dyDescent="0.2">
      <c r="A8015" s="164">
        <v>2025</v>
      </c>
      <c r="B8015" s="164">
        <v>6</v>
      </c>
      <c r="C8015" s="164">
        <v>29</v>
      </c>
      <c r="D8015" s="164">
        <f t="shared" si="932"/>
        <v>45837</v>
      </c>
      <c r="E8015" s="235">
        <f t="shared" si="931"/>
        <v>45837</v>
      </c>
      <c r="F8015" s="480"/>
      <c r="G8015" s="208" t="s">
        <v>86</v>
      </c>
      <c r="H8015" s="208"/>
      <c r="J8015" s="165" t="s">
        <v>200</v>
      </c>
      <c r="K8015" s="205"/>
      <c r="L8015" s="205">
        <v>37247.800000000003</v>
      </c>
      <c r="M8015" s="263"/>
    </row>
    <row r="8016" spans="1:14" ht="11.25" customHeight="1" x14ac:dyDescent="0.2">
      <c r="A8016" s="226">
        <v>2025</v>
      </c>
      <c r="B8016" s="226">
        <v>6</v>
      </c>
      <c r="C8016" s="226">
        <v>29</v>
      </c>
      <c r="D8016" s="226">
        <f t="shared" si="932"/>
        <v>45837</v>
      </c>
      <c r="E8016" s="234">
        <f t="shared" si="931"/>
        <v>45837</v>
      </c>
      <c r="F8016" s="479"/>
      <c r="G8016" s="227" t="s">
        <v>86</v>
      </c>
      <c r="H8016" s="228"/>
      <c r="I8016" s="228"/>
      <c r="J8016" s="229" t="s">
        <v>80</v>
      </c>
      <c r="K8016" s="230"/>
      <c r="L8016" s="230">
        <v>10240616.4</v>
      </c>
      <c r="M8016" s="263"/>
    </row>
    <row r="8017" spans="1:13" ht="11.25" customHeight="1" x14ac:dyDescent="0.2">
      <c r="A8017" s="164">
        <v>2025</v>
      </c>
      <c r="B8017" s="164">
        <v>6</v>
      </c>
      <c r="C8017" s="164">
        <v>29</v>
      </c>
      <c r="D8017" s="164">
        <f t="shared" si="932"/>
        <v>45837</v>
      </c>
      <c r="E8017" s="235">
        <f t="shared" si="931"/>
        <v>45837</v>
      </c>
      <c r="F8017" s="480" t="s">
        <v>1589</v>
      </c>
      <c r="G8017" s="208" t="s">
        <v>86</v>
      </c>
      <c r="H8017" s="208"/>
      <c r="J8017" s="374" t="s">
        <v>199</v>
      </c>
      <c r="K8017" s="418">
        <v>362346.6</v>
      </c>
      <c r="L8017" s="205"/>
    </row>
    <row r="8018" spans="1:13" ht="11.25" customHeight="1" x14ac:dyDescent="0.2">
      <c r="A8018" s="164">
        <v>2025</v>
      </c>
      <c r="B8018" s="164">
        <v>6</v>
      </c>
      <c r="C8018" s="164">
        <v>29</v>
      </c>
      <c r="D8018" s="164">
        <f t="shared" si="932"/>
        <v>45837</v>
      </c>
      <c r="E8018" s="235">
        <f t="shared" si="931"/>
        <v>45837</v>
      </c>
      <c r="F8018" s="480"/>
      <c r="G8018" s="208" t="s">
        <v>86</v>
      </c>
      <c r="H8018" s="208"/>
      <c r="J8018" s="165" t="s">
        <v>960</v>
      </c>
      <c r="K8018" s="205">
        <v>653.4</v>
      </c>
      <c r="L8018" s="205"/>
      <c r="M8018" s="401"/>
    </row>
    <row r="8019" spans="1:13" ht="11.25" customHeight="1" x14ac:dyDescent="0.2">
      <c r="A8019" s="164">
        <v>2025</v>
      </c>
      <c r="B8019" s="164">
        <v>6</v>
      </c>
      <c r="C8019" s="164">
        <v>29</v>
      </c>
      <c r="D8019" s="164">
        <f t="shared" si="932"/>
        <v>45837</v>
      </c>
      <c r="E8019" s="235">
        <f t="shared" si="931"/>
        <v>45837</v>
      </c>
      <c r="F8019" s="480"/>
      <c r="G8019" s="208" t="s">
        <v>86</v>
      </c>
      <c r="H8019" s="208"/>
      <c r="J8019" s="165" t="s">
        <v>200</v>
      </c>
      <c r="K8019" s="205">
        <v>8334.0300000000007</v>
      </c>
      <c r="L8019" s="205"/>
    </row>
    <row r="8020" spans="1:13" ht="11.25" customHeight="1" x14ac:dyDescent="0.2">
      <c r="A8020" s="226">
        <v>2025</v>
      </c>
      <c r="B8020" s="226">
        <v>6</v>
      </c>
      <c r="C8020" s="226">
        <v>29</v>
      </c>
      <c r="D8020" s="226">
        <f t="shared" si="932"/>
        <v>45837</v>
      </c>
      <c r="E8020" s="234">
        <f t="shared" si="931"/>
        <v>45837</v>
      </c>
      <c r="F8020" s="479"/>
      <c r="G8020" s="227" t="s">
        <v>86</v>
      </c>
      <c r="H8020" s="228"/>
      <c r="I8020" s="228"/>
      <c r="J8020" s="229" t="s">
        <v>80</v>
      </c>
      <c r="K8020" s="230"/>
      <c r="L8020" s="230">
        <v>371334.03</v>
      </c>
    </row>
    <row r="8021" spans="1:13" ht="11.25" customHeight="1" x14ac:dyDescent="0.2">
      <c r="A8021" s="221">
        <v>2025</v>
      </c>
      <c r="B8021" s="221">
        <v>6</v>
      </c>
      <c r="C8021" s="221">
        <v>29</v>
      </c>
      <c r="D8021" s="231">
        <f t="shared" si="932"/>
        <v>45837</v>
      </c>
      <c r="E8021" s="233">
        <f t="shared" si="931"/>
        <v>45837</v>
      </c>
      <c r="F8021" s="478" t="s">
        <v>802</v>
      </c>
      <c r="G8021" s="222" t="s">
        <v>1111</v>
      </c>
      <c r="H8021" s="223"/>
      <c r="I8021" s="223" t="s">
        <v>1911</v>
      </c>
      <c r="J8021" s="224" t="s">
        <v>55</v>
      </c>
      <c r="K8021" s="167">
        <v>120000</v>
      </c>
      <c r="L8021" s="225"/>
    </row>
    <row r="8022" spans="1:13" ht="11.25" customHeight="1" x14ac:dyDescent="0.2">
      <c r="A8022" s="164">
        <v>2025</v>
      </c>
      <c r="B8022" s="164">
        <v>6</v>
      </c>
      <c r="C8022" s="164">
        <v>29</v>
      </c>
      <c r="D8022" s="156">
        <f t="shared" si="932"/>
        <v>45837</v>
      </c>
      <c r="E8022" s="235">
        <f t="shared" si="931"/>
        <v>45837</v>
      </c>
      <c r="F8022" s="480"/>
      <c r="G8022" s="208" t="s">
        <v>1111</v>
      </c>
      <c r="I8022" s="206" t="s">
        <v>1911</v>
      </c>
      <c r="J8022" s="165" t="s">
        <v>14</v>
      </c>
      <c r="L8022" s="205">
        <v>110640</v>
      </c>
    </row>
    <row r="8023" spans="1:13" ht="11.25" customHeight="1" x14ac:dyDescent="0.2">
      <c r="A8023" s="226">
        <v>2025</v>
      </c>
      <c r="B8023" s="226">
        <v>6</v>
      </c>
      <c r="C8023" s="226">
        <v>29</v>
      </c>
      <c r="D8023" s="232">
        <f t="shared" si="932"/>
        <v>45837</v>
      </c>
      <c r="E8023" s="234">
        <f t="shared" si="931"/>
        <v>45837</v>
      </c>
      <c r="F8023" s="479"/>
      <c r="G8023" s="227" t="s">
        <v>1111</v>
      </c>
      <c r="H8023" s="228"/>
      <c r="I8023" s="228" t="s">
        <v>1911</v>
      </c>
      <c r="J8023" s="229" t="s">
        <v>1112</v>
      </c>
      <c r="K8023" s="230"/>
      <c r="L8023" s="230">
        <v>9360</v>
      </c>
    </row>
    <row r="8024" spans="1:13" ht="11.25" customHeight="1" x14ac:dyDescent="0.2">
      <c r="A8024" s="221">
        <v>2025</v>
      </c>
      <c r="B8024" s="221">
        <v>6</v>
      </c>
      <c r="C8024" s="221">
        <v>29</v>
      </c>
      <c r="D8024" s="231">
        <f t="shared" si="932"/>
        <v>45837</v>
      </c>
      <c r="E8024" s="233">
        <f t="shared" si="931"/>
        <v>45837</v>
      </c>
      <c r="F8024" s="478" t="s">
        <v>1196</v>
      </c>
      <c r="G8024" s="222" t="s">
        <v>1111</v>
      </c>
      <c r="H8024" s="223"/>
      <c r="I8024" s="223"/>
      <c r="J8024" s="224" t="s">
        <v>95</v>
      </c>
      <c r="K8024" s="225">
        <v>6614.31</v>
      </c>
      <c r="L8024" s="225"/>
      <c r="M8024" s="166"/>
    </row>
    <row r="8025" spans="1:13" ht="11.25" customHeight="1" x14ac:dyDescent="0.2">
      <c r="A8025" s="164">
        <v>2025</v>
      </c>
      <c r="B8025" s="164">
        <v>6</v>
      </c>
      <c r="C8025" s="164">
        <v>29</v>
      </c>
      <c r="D8025" s="156">
        <f t="shared" si="932"/>
        <v>45837</v>
      </c>
      <c r="E8025" s="235">
        <f t="shared" si="931"/>
        <v>45837</v>
      </c>
      <c r="F8025" s="480"/>
      <c r="G8025" s="208" t="s">
        <v>1111</v>
      </c>
      <c r="J8025" s="165" t="s">
        <v>478</v>
      </c>
      <c r="K8025" s="205"/>
      <c r="L8025" s="205">
        <v>661.43</v>
      </c>
    </row>
    <row r="8026" spans="1:13" ht="11.25" customHeight="1" x14ac:dyDescent="0.2">
      <c r="A8026" s="226">
        <v>2025</v>
      </c>
      <c r="B8026" s="226">
        <v>6</v>
      </c>
      <c r="C8026" s="226">
        <v>29</v>
      </c>
      <c r="D8026" s="232">
        <f t="shared" si="932"/>
        <v>45837</v>
      </c>
      <c r="E8026" s="234">
        <f t="shared" si="931"/>
        <v>45837</v>
      </c>
      <c r="F8026" s="479"/>
      <c r="G8026" s="227" t="s">
        <v>1111</v>
      </c>
      <c r="H8026" s="228"/>
      <c r="I8026" s="228"/>
      <c r="J8026" s="229" t="s">
        <v>55</v>
      </c>
      <c r="K8026" s="230"/>
      <c r="L8026" s="230">
        <v>5952.88</v>
      </c>
    </row>
    <row r="8027" spans="1:13" ht="11.25" customHeight="1" x14ac:dyDescent="0.2">
      <c r="A8027" s="221">
        <v>2025</v>
      </c>
      <c r="B8027" s="221">
        <v>6</v>
      </c>
      <c r="C8027" s="221">
        <v>29</v>
      </c>
      <c r="D8027" s="231">
        <f t="shared" si="932"/>
        <v>45837</v>
      </c>
      <c r="E8027" s="233">
        <f t="shared" si="931"/>
        <v>45837</v>
      </c>
      <c r="F8027" s="478" t="s">
        <v>1913</v>
      </c>
      <c r="G8027" s="222" t="s">
        <v>1111</v>
      </c>
      <c r="H8027" s="223"/>
      <c r="I8027" s="223"/>
      <c r="J8027" s="224" t="s">
        <v>55</v>
      </c>
      <c r="K8027" s="225">
        <v>171000</v>
      </c>
      <c r="L8027" s="225"/>
    </row>
    <row r="8028" spans="1:13" ht="11.25" customHeight="1" x14ac:dyDescent="0.2">
      <c r="A8028" s="226">
        <v>2025</v>
      </c>
      <c r="B8028" s="226">
        <v>6</v>
      </c>
      <c r="C8028" s="226">
        <v>29</v>
      </c>
      <c r="D8028" s="232">
        <f t="shared" si="932"/>
        <v>45837</v>
      </c>
      <c r="E8028" s="234">
        <f t="shared" si="931"/>
        <v>45837</v>
      </c>
      <c r="F8028" s="479"/>
      <c r="G8028" s="227" t="s">
        <v>1111</v>
      </c>
      <c r="H8028" s="228"/>
      <c r="I8028" s="228"/>
      <c r="J8028" s="229" t="s">
        <v>1616</v>
      </c>
      <c r="K8028" s="230"/>
      <c r="L8028" s="230">
        <v>171000</v>
      </c>
    </row>
    <row r="8029" spans="1:13" ht="11.25" customHeight="1" x14ac:dyDescent="0.2">
      <c r="A8029" s="221">
        <v>2025</v>
      </c>
      <c r="B8029" s="221">
        <v>6</v>
      </c>
      <c r="C8029" s="221">
        <v>29</v>
      </c>
      <c r="D8029" s="231">
        <f t="shared" si="932"/>
        <v>45837</v>
      </c>
      <c r="E8029" s="233">
        <f t="shared" si="931"/>
        <v>45837</v>
      </c>
      <c r="F8029" s="478" t="s">
        <v>1914</v>
      </c>
      <c r="G8029" s="222" t="s">
        <v>1111</v>
      </c>
      <c r="H8029" s="223"/>
      <c r="I8029" s="223"/>
      <c r="J8029" s="224" t="s">
        <v>55</v>
      </c>
      <c r="K8029" s="225">
        <v>89500</v>
      </c>
      <c r="L8029" s="225"/>
    </row>
    <row r="8030" spans="1:13" ht="11.25" customHeight="1" x14ac:dyDescent="0.2">
      <c r="A8030" s="226">
        <v>2025</v>
      </c>
      <c r="B8030" s="226">
        <v>6</v>
      </c>
      <c r="C8030" s="226">
        <v>29</v>
      </c>
      <c r="D8030" s="232">
        <f t="shared" si="932"/>
        <v>45837</v>
      </c>
      <c r="E8030" s="234">
        <f t="shared" si="931"/>
        <v>45837</v>
      </c>
      <c r="F8030" s="479"/>
      <c r="G8030" s="227" t="s">
        <v>1111</v>
      </c>
      <c r="H8030" s="228"/>
      <c r="I8030" s="228"/>
      <c r="J8030" s="229" t="s">
        <v>1616</v>
      </c>
      <c r="K8030" s="230"/>
      <c r="L8030" s="230">
        <v>89500</v>
      </c>
    </row>
    <row r="8031" spans="1:13" ht="11.25" customHeight="1" x14ac:dyDescent="0.2">
      <c r="A8031" s="221">
        <v>2025</v>
      </c>
      <c r="B8031" s="221">
        <v>6</v>
      </c>
      <c r="C8031" s="221">
        <v>29</v>
      </c>
      <c r="D8031" s="231">
        <f t="shared" si="932"/>
        <v>45837</v>
      </c>
      <c r="E8031" s="233">
        <f t="shared" si="931"/>
        <v>45837</v>
      </c>
      <c r="F8031" s="478" t="s">
        <v>1907</v>
      </c>
      <c r="G8031" s="222" t="s">
        <v>1111</v>
      </c>
      <c r="H8031" s="223"/>
      <c r="I8031" s="223"/>
      <c r="J8031" s="224" t="s">
        <v>961</v>
      </c>
      <c r="K8031" s="225">
        <v>249949.1</v>
      </c>
      <c r="L8031" s="225"/>
    </row>
    <row r="8032" spans="1:13" ht="11.25" customHeight="1" x14ac:dyDescent="0.2">
      <c r="A8032" s="226">
        <v>2025</v>
      </c>
      <c r="B8032" s="226">
        <v>6</v>
      </c>
      <c r="C8032" s="226">
        <v>29</v>
      </c>
      <c r="D8032" s="232">
        <f t="shared" si="932"/>
        <v>45837</v>
      </c>
      <c r="E8032" s="234">
        <f t="shared" si="931"/>
        <v>45837</v>
      </c>
      <c r="F8032" s="479"/>
      <c r="G8032" s="227" t="s">
        <v>1111</v>
      </c>
      <c r="H8032" s="228"/>
      <c r="I8032" s="228"/>
      <c r="J8032" s="229" t="s">
        <v>55</v>
      </c>
      <c r="K8032" s="230"/>
      <c r="L8032" s="230">
        <v>249949.1</v>
      </c>
    </row>
    <row r="8033" spans="1:14" ht="11.25" customHeight="1" x14ac:dyDescent="0.2">
      <c r="A8033" s="221">
        <v>2025</v>
      </c>
      <c r="B8033" s="221">
        <v>6</v>
      </c>
      <c r="C8033" s="221">
        <v>29</v>
      </c>
      <c r="D8033" s="231">
        <f t="shared" si="932"/>
        <v>45837</v>
      </c>
      <c r="E8033" s="233">
        <f t="shared" si="931"/>
        <v>45837</v>
      </c>
      <c r="F8033" s="478" t="s">
        <v>1907</v>
      </c>
      <c r="G8033" s="222" t="s">
        <v>1111</v>
      </c>
      <c r="H8033" s="223"/>
      <c r="I8033" s="223"/>
      <c r="J8033" s="224" t="s">
        <v>961</v>
      </c>
      <c r="K8033" s="225">
        <v>574353.43999999994</v>
      </c>
      <c r="L8033" s="225"/>
    </row>
    <row r="8034" spans="1:14" ht="11.25" customHeight="1" x14ac:dyDescent="0.2">
      <c r="A8034" s="226">
        <v>2025</v>
      </c>
      <c r="B8034" s="226">
        <v>6</v>
      </c>
      <c r="C8034" s="226">
        <v>29</v>
      </c>
      <c r="D8034" s="232">
        <f t="shared" si="932"/>
        <v>45837</v>
      </c>
      <c r="E8034" s="234">
        <f t="shared" si="931"/>
        <v>45837</v>
      </c>
      <c r="F8034" s="479"/>
      <c r="G8034" s="227" t="s">
        <v>1111</v>
      </c>
      <c r="H8034" s="228"/>
      <c r="I8034" s="228"/>
      <c r="J8034" s="229" t="s">
        <v>55</v>
      </c>
      <c r="K8034" s="230"/>
      <c r="L8034" s="230">
        <v>574353.43999999994</v>
      </c>
    </row>
    <row r="8035" spans="1:14" ht="11.25" customHeight="1" x14ac:dyDescent="0.2">
      <c r="A8035" s="221">
        <v>2025</v>
      </c>
      <c r="B8035" s="221">
        <v>6</v>
      </c>
      <c r="C8035" s="221">
        <v>29</v>
      </c>
      <c r="D8035" s="231">
        <f t="shared" si="932"/>
        <v>45837</v>
      </c>
      <c r="E8035" s="233">
        <f t="shared" si="931"/>
        <v>45837</v>
      </c>
      <c r="F8035" s="478" t="s">
        <v>1677</v>
      </c>
      <c r="G8035" s="222" t="s">
        <v>1111</v>
      </c>
      <c r="H8035" s="223"/>
      <c r="I8035" s="223"/>
      <c r="J8035" s="224" t="s">
        <v>63</v>
      </c>
      <c r="K8035" s="225">
        <f>500+75+200+30</f>
        <v>805</v>
      </c>
      <c r="L8035" s="225"/>
    </row>
    <row r="8036" spans="1:14" ht="11.25" customHeight="1" x14ac:dyDescent="0.2">
      <c r="A8036" s="226">
        <v>2025</v>
      </c>
      <c r="B8036" s="226">
        <v>6</v>
      </c>
      <c r="C8036" s="226">
        <v>29</v>
      </c>
      <c r="D8036" s="232">
        <f t="shared" si="932"/>
        <v>45837</v>
      </c>
      <c r="E8036" s="234">
        <f t="shared" si="931"/>
        <v>45837</v>
      </c>
      <c r="F8036" s="479"/>
      <c r="G8036" s="227" t="s">
        <v>1111</v>
      </c>
      <c r="H8036" s="228"/>
      <c r="I8036" s="228"/>
      <c r="J8036" s="229" t="s">
        <v>55</v>
      </c>
      <c r="K8036" s="230"/>
      <c r="L8036" s="230">
        <f>K8035</f>
        <v>805</v>
      </c>
    </row>
    <row r="8037" spans="1:14" ht="11.25" customHeight="1" x14ac:dyDescent="0.2">
      <c r="A8037" s="221">
        <v>2025</v>
      </c>
      <c r="B8037" s="221">
        <v>6</v>
      </c>
      <c r="C8037" s="221">
        <v>30</v>
      </c>
      <c r="D8037" s="221">
        <f t="shared" si="932"/>
        <v>45838</v>
      </c>
      <c r="E8037" s="233">
        <f t="shared" si="931"/>
        <v>45838</v>
      </c>
      <c r="F8037" s="478" t="s">
        <v>1769</v>
      </c>
      <c r="G8037" s="222" t="s">
        <v>86</v>
      </c>
      <c r="H8037" s="222"/>
      <c r="I8037" s="223"/>
      <c r="J8037" s="224" t="s">
        <v>80</v>
      </c>
      <c r="K8037" s="225">
        <v>2444603.2000000002</v>
      </c>
      <c r="L8037" s="225"/>
    </row>
    <row r="8038" spans="1:14" ht="11.25" customHeight="1" x14ac:dyDescent="0.2">
      <c r="A8038" s="164">
        <v>2025</v>
      </c>
      <c r="B8038" s="164">
        <v>6</v>
      </c>
      <c r="C8038" s="164">
        <v>30</v>
      </c>
      <c r="D8038" s="164">
        <f t="shared" si="932"/>
        <v>45838</v>
      </c>
      <c r="E8038" s="235">
        <f t="shared" si="931"/>
        <v>45838</v>
      </c>
      <c r="F8038" s="480"/>
      <c r="G8038" s="208" t="s">
        <v>86</v>
      </c>
      <c r="H8038" s="208"/>
      <c r="J8038" s="165" t="s">
        <v>960</v>
      </c>
      <c r="K8038" s="205">
        <v>25857.03</v>
      </c>
      <c r="L8038" s="205"/>
      <c r="M8038" s="263"/>
      <c r="N8038" s="263"/>
    </row>
    <row r="8039" spans="1:14" ht="11.25" customHeight="1" x14ac:dyDescent="0.2">
      <c r="A8039" s="164">
        <v>2025</v>
      </c>
      <c r="B8039" s="164">
        <v>6</v>
      </c>
      <c r="C8039" s="164">
        <v>30</v>
      </c>
      <c r="D8039" s="164">
        <f t="shared" si="932"/>
        <v>45838</v>
      </c>
      <c r="E8039" s="235">
        <f t="shared" si="931"/>
        <v>45838</v>
      </c>
      <c r="F8039" s="480"/>
      <c r="G8039" s="208" t="s">
        <v>86</v>
      </c>
      <c r="H8039" s="208"/>
      <c r="I8039" s="446"/>
      <c r="J8039" s="374" t="s">
        <v>199</v>
      </c>
      <c r="K8039" s="418">
        <v>9449951.6699999999</v>
      </c>
      <c r="L8039" s="205"/>
      <c r="M8039" s="263"/>
    </row>
    <row r="8040" spans="1:14" ht="11.25" customHeight="1" x14ac:dyDescent="0.2">
      <c r="A8040" s="164">
        <v>2025</v>
      </c>
      <c r="B8040" s="164">
        <v>6</v>
      </c>
      <c r="C8040" s="164">
        <v>30</v>
      </c>
      <c r="D8040" s="164">
        <f t="shared" si="932"/>
        <v>45838</v>
      </c>
      <c r="E8040" s="235">
        <f t="shared" si="931"/>
        <v>45838</v>
      </c>
      <c r="F8040" s="480"/>
      <c r="G8040" s="208" t="s">
        <v>86</v>
      </c>
      <c r="H8040" s="208"/>
      <c r="J8040" s="165" t="s">
        <v>200</v>
      </c>
      <c r="K8040" s="205">
        <v>197438.09</v>
      </c>
      <c r="L8040" s="205"/>
      <c r="M8040" s="263"/>
    </row>
    <row r="8041" spans="1:14" ht="11.25" customHeight="1" x14ac:dyDescent="0.2">
      <c r="A8041" s="226">
        <v>2025</v>
      </c>
      <c r="B8041" s="226">
        <v>6</v>
      </c>
      <c r="C8041" s="226">
        <v>30</v>
      </c>
      <c r="D8041" s="226">
        <f t="shared" si="932"/>
        <v>45838</v>
      </c>
      <c r="E8041" s="234">
        <f t="shared" si="931"/>
        <v>45838</v>
      </c>
      <c r="F8041" s="479"/>
      <c r="G8041" s="227" t="s">
        <v>86</v>
      </c>
      <c r="H8041" s="228"/>
      <c r="I8041" s="228"/>
      <c r="J8041" s="229" t="s">
        <v>80</v>
      </c>
      <c r="K8041" s="230"/>
      <c r="L8041" s="230">
        <v>12117849.99</v>
      </c>
      <c r="M8041" s="263"/>
    </row>
    <row r="8042" spans="1:14" ht="11.25" customHeight="1" x14ac:dyDescent="0.2">
      <c r="A8042" s="164">
        <v>2025</v>
      </c>
      <c r="B8042" s="164">
        <v>6</v>
      </c>
      <c r="C8042" s="164">
        <v>30</v>
      </c>
      <c r="D8042" s="164">
        <f t="shared" si="932"/>
        <v>45838</v>
      </c>
      <c r="E8042" s="235">
        <f t="shared" si="931"/>
        <v>45838</v>
      </c>
      <c r="F8042" s="480" t="s">
        <v>1872</v>
      </c>
      <c r="G8042" s="208" t="s">
        <v>86</v>
      </c>
      <c r="H8042" s="208"/>
      <c r="J8042" s="374" t="s">
        <v>199</v>
      </c>
      <c r="K8042" s="418">
        <v>2448426.19</v>
      </c>
      <c r="L8042" s="205"/>
    </row>
    <row r="8043" spans="1:14" ht="11.25" customHeight="1" x14ac:dyDescent="0.2">
      <c r="A8043" s="164">
        <v>2025</v>
      </c>
      <c r="B8043" s="164">
        <v>6</v>
      </c>
      <c r="C8043" s="164">
        <v>30</v>
      </c>
      <c r="D8043" s="164">
        <f t="shared" si="932"/>
        <v>45838</v>
      </c>
      <c r="E8043" s="235">
        <f t="shared" si="931"/>
        <v>45838</v>
      </c>
      <c r="F8043" s="480"/>
      <c r="G8043" s="208" t="s">
        <v>86</v>
      </c>
      <c r="H8043" s="208"/>
      <c r="J8043" s="165" t="s">
        <v>960</v>
      </c>
      <c r="K8043" s="205">
        <v>4415.1099999999997</v>
      </c>
      <c r="L8043" s="205"/>
      <c r="M8043" s="401"/>
    </row>
    <row r="8044" spans="1:14" ht="11.25" customHeight="1" x14ac:dyDescent="0.2">
      <c r="A8044" s="164">
        <v>2025</v>
      </c>
      <c r="B8044" s="164">
        <v>6</v>
      </c>
      <c r="C8044" s="164">
        <v>30</v>
      </c>
      <c r="D8044" s="164">
        <f t="shared" si="932"/>
        <v>45838</v>
      </c>
      <c r="E8044" s="235">
        <f t="shared" si="931"/>
        <v>45838</v>
      </c>
      <c r="F8044" s="480"/>
      <c r="G8044" s="208" t="s">
        <v>86</v>
      </c>
      <c r="H8044" s="208"/>
      <c r="J8044" s="165" t="s">
        <v>200</v>
      </c>
      <c r="K8044" s="205">
        <v>72751.22</v>
      </c>
      <c r="L8044" s="205"/>
    </row>
    <row r="8045" spans="1:14" ht="11.25" customHeight="1" x14ac:dyDescent="0.2">
      <c r="A8045" s="226">
        <v>2025</v>
      </c>
      <c r="B8045" s="226">
        <v>6</v>
      </c>
      <c r="C8045" s="226">
        <v>30</v>
      </c>
      <c r="D8045" s="226">
        <f t="shared" si="932"/>
        <v>45838</v>
      </c>
      <c r="E8045" s="234">
        <f t="shared" si="931"/>
        <v>45838</v>
      </c>
      <c r="F8045" s="479"/>
      <c r="G8045" s="227" t="s">
        <v>86</v>
      </c>
      <c r="H8045" s="228"/>
      <c r="I8045" s="228"/>
      <c r="J8045" s="229" t="s">
        <v>80</v>
      </c>
      <c r="K8045" s="230"/>
      <c r="L8045" s="230">
        <v>2525592.52</v>
      </c>
    </row>
    <row r="8046" spans="1:14" ht="11.25" customHeight="1" x14ac:dyDescent="0.2">
      <c r="A8046" s="221">
        <v>2025</v>
      </c>
      <c r="B8046" s="221">
        <v>6</v>
      </c>
      <c r="C8046" s="221">
        <v>30</v>
      </c>
      <c r="D8046" s="231">
        <f t="shared" si="932"/>
        <v>45838</v>
      </c>
      <c r="E8046" s="233">
        <f t="shared" si="931"/>
        <v>45838</v>
      </c>
      <c r="F8046" s="478" t="s">
        <v>802</v>
      </c>
      <c r="G8046" s="222" t="s">
        <v>1111</v>
      </c>
      <c r="H8046" s="223"/>
      <c r="I8046" s="223" t="s">
        <v>1912</v>
      </c>
      <c r="J8046" s="224" t="s">
        <v>55</v>
      </c>
      <c r="K8046" s="167">
        <v>100000</v>
      </c>
      <c r="L8046" s="225"/>
    </row>
    <row r="8047" spans="1:14" ht="11.25" customHeight="1" x14ac:dyDescent="0.2">
      <c r="A8047" s="164">
        <v>2025</v>
      </c>
      <c r="B8047" s="164">
        <v>6</v>
      </c>
      <c r="C8047" s="164">
        <v>30</v>
      </c>
      <c r="D8047" s="156">
        <f t="shared" si="932"/>
        <v>45838</v>
      </c>
      <c r="E8047" s="235">
        <f t="shared" si="931"/>
        <v>45838</v>
      </c>
      <c r="F8047" s="480"/>
      <c r="G8047" s="208" t="s">
        <v>1111</v>
      </c>
      <c r="I8047" s="206" t="s">
        <v>1912</v>
      </c>
      <c r="J8047" s="165" t="s">
        <v>14</v>
      </c>
      <c r="L8047" s="205">
        <v>92200</v>
      </c>
    </row>
    <row r="8048" spans="1:14" ht="11.25" customHeight="1" x14ac:dyDescent="0.2">
      <c r="A8048" s="226">
        <v>2025</v>
      </c>
      <c r="B8048" s="226">
        <v>6</v>
      </c>
      <c r="C8048" s="226">
        <v>30</v>
      </c>
      <c r="D8048" s="232">
        <f t="shared" si="932"/>
        <v>45838</v>
      </c>
      <c r="E8048" s="234">
        <f t="shared" si="931"/>
        <v>45838</v>
      </c>
      <c r="F8048" s="479"/>
      <c r="G8048" s="227" t="s">
        <v>1111</v>
      </c>
      <c r="H8048" s="228"/>
      <c r="I8048" s="228" t="s">
        <v>1912</v>
      </c>
      <c r="J8048" s="229" t="s">
        <v>1112</v>
      </c>
      <c r="K8048" s="230"/>
      <c r="L8048" s="230">
        <v>7800</v>
      </c>
    </row>
    <row r="8049" spans="1:14" ht="11.25" customHeight="1" x14ac:dyDescent="0.2">
      <c r="A8049" s="221">
        <v>2025</v>
      </c>
      <c r="B8049" s="221">
        <v>6</v>
      </c>
      <c r="C8049" s="221">
        <v>30</v>
      </c>
      <c r="D8049" s="231">
        <f t="shared" si="932"/>
        <v>45838</v>
      </c>
      <c r="E8049" s="233">
        <f t="shared" si="931"/>
        <v>45838</v>
      </c>
      <c r="F8049" s="478" t="s">
        <v>802</v>
      </c>
      <c r="G8049" s="222" t="s">
        <v>1111</v>
      </c>
      <c r="H8049" s="223"/>
      <c r="I8049" s="223" t="s">
        <v>1912</v>
      </c>
      <c r="J8049" s="224" t="s">
        <v>55</v>
      </c>
      <c r="K8049" s="167">
        <v>50000</v>
      </c>
      <c r="L8049" s="225"/>
    </row>
    <row r="8050" spans="1:14" ht="11.25" customHeight="1" x14ac:dyDescent="0.2">
      <c r="A8050" s="164">
        <v>2025</v>
      </c>
      <c r="B8050" s="164">
        <v>6</v>
      </c>
      <c r="C8050" s="164">
        <v>30</v>
      </c>
      <c r="D8050" s="156">
        <f t="shared" si="932"/>
        <v>45838</v>
      </c>
      <c r="E8050" s="235">
        <f t="shared" si="931"/>
        <v>45838</v>
      </c>
      <c r="F8050" s="480"/>
      <c r="G8050" s="208" t="s">
        <v>1111</v>
      </c>
      <c r="I8050" s="206" t="s">
        <v>1912</v>
      </c>
      <c r="J8050" s="165" t="s">
        <v>14</v>
      </c>
      <c r="L8050" s="205">
        <v>46100</v>
      </c>
    </row>
    <row r="8051" spans="1:14" ht="11.25" customHeight="1" x14ac:dyDescent="0.2">
      <c r="A8051" s="226">
        <v>2025</v>
      </c>
      <c r="B8051" s="226">
        <v>6</v>
      </c>
      <c r="C8051" s="226">
        <v>30</v>
      </c>
      <c r="D8051" s="232">
        <f t="shared" si="932"/>
        <v>45838</v>
      </c>
      <c r="E8051" s="234">
        <f t="shared" si="931"/>
        <v>45838</v>
      </c>
      <c r="F8051" s="479"/>
      <c r="G8051" s="227" t="s">
        <v>1111</v>
      </c>
      <c r="H8051" s="228"/>
      <c r="I8051" s="228" t="s">
        <v>1912</v>
      </c>
      <c r="J8051" s="229" t="s">
        <v>1112</v>
      </c>
      <c r="K8051" s="230"/>
      <c r="L8051" s="230">
        <v>3900</v>
      </c>
    </row>
    <row r="8052" spans="1:14" ht="11.25" customHeight="1" x14ac:dyDescent="0.2">
      <c r="A8052" s="221">
        <v>2025</v>
      </c>
      <c r="B8052" s="221">
        <v>6</v>
      </c>
      <c r="C8052" s="221">
        <v>30</v>
      </c>
      <c r="D8052" s="231">
        <f t="shared" si="932"/>
        <v>45838</v>
      </c>
      <c r="E8052" s="233">
        <f t="shared" si="931"/>
        <v>45838</v>
      </c>
      <c r="F8052" s="478" t="s">
        <v>1915</v>
      </c>
      <c r="G8052" s="222" t="s">
        <v>1111</v>
      </c>
      <c r="H8052" s="223"/>
      <c r="I8052" s="223"/>
      <c r="J8052" s="224" t="s">
        <v>55</v>
      </c>
      <c r="K8052" s="225">
        <v>492897.5</v>
      </c>
      <c r="L8052" s="225"/>
    </row>
    <row r="8053" spans="1:14" ht="11.25" customHeight="1" x14ac:dyDescent="0.2">
      <c r="A8053" s="226">
        <v>2025</v>
      </c>
      <c r="B8053" s="226">
        <v>6</v>
      </c>
      <c r="C8053" s="226">
        <v>30</v>
      </c>
      <c r="D8053" s="232">
        <f t="shared" si="932"/>
        <v>45838</v>
      </c>
      <c r="E8053" s="234">
        <f t="shared" si="931"/>
        <v>45838</v>
      </c>
      <c r="F8053" s="479"/>
      <c r="G8053" s="227" t="s">
        <v>1111</v>
      </c>
      <c r="H8053" s="228"/>
      <c r="I8053" s="228"/>
      <c r="J8053" s="229" t="s">
        <v>192</v>
      </c>
      <c r="K8053" s="230"/>
      <c r="L8053" s="230">
        <v>492897.5</v>
      </c>
    </row>
    <row r="8054" spans="1:14" ht="11.25" customHeight="1" x14ac:dyDescent="0.2">
      <c r="A8054" s="221">
        <v>2025</v>
      </c>
      <c r="B8054" s="221">
        <v>6</v>
      </c>
      <c r="C8054" s="221">
        <v>30</v>
      </c>
      <c r="D8054" s="231">
        <f t="shared" si="932"/>
        <v>45838</v>
      </c>
      <c r="E8054" s="233">
        <f t="shared" si="931"/>
        <v>45838</v>
      </c>
      <c r="F8054" s="478" t="s">
        <v>1670</v>
      </c>
      <c r="G8054" s="222" t="s">
        <v>1111</v>
      </c>
      <c r="H8054" s="223"/>
      <c r="I8054" s="223"/>
      <c r="J8054" s="224" t="s">
        <v>63</v>
      </c>
      <c r="K8054" s="225">
        <v>100</v>
      </c>
      <c r="L8054" s="225"/>
    </row>
    <row r="8055" spans="1:14" ht="11.25" customHeight="1" x14ac:dyDescent="0.2">
      <c r="A8055" s="226">
        <v>2025</v>
      </c>
      <c r="B8055" s="226">
        <v>6</v>
      </c>
      <c r="C8055" s="226">
        <v>30</v>
      </c>
      <c r="D8055" s="232">
        <f t="shared" si="932"/>
        <v>45838</v>
      </c>
      <c r="E8055" s="234">
        <f t="shared" si="931"/>
        <v>45838</v>
      </c>
      <c r="F8055" s="479"/>
      <c r="G8055" s="227" t="s">
        <v>1111</v>
      </c>
      <c r="H8055" s="228"/>
      <c r="I8055" s="228"/>
      <c r="J8055" s="229" t="s">
        <v>55</v>
      </c>
      <c r="K8055" s="230"/>
      <c r="L8055" s="230">
        <v>100</v>
      </c>
    </row>
    <row r="8056" spans="1:14" ht="11.25" customHeight="1" x14ac:dyDescent="0.2">
      <c r="A8056" s="221">
        <v>2025</v>
      </c>
      <c r="B8056" s="221">
        <v>6</v>
      </c>
      <c r="C8056" s="221">
        <v>30</v>
      </c>
      <c r="D8056" s="231">
        <f t="shared" si="932"/>
        <v>45838</v>
      </c>
      <c r="E8056" s="233">
        <f t="shared" si="931"/>
        <v>45838</v>
      </c>
      <c r="F8056" s="478" t="s">
        <v>1877</v>
      </c>
      <c r="G8056" s="222" t="s">
        <v>1111</v>
      </c>
      <c r="H8056" s="223"/>
      <c r="I8056" s="223"/>
      <c r="J8056" s="224" t="s">
        <v>55</v>
      </c>
      <c r="K8056" s="225">
        <v>1024363.12</v>
      </c>
      <c r="L8056" s="225"/>
    </row>
    <row r="8057" spans="1:14" ht="11.25" customHeight="1" x14ac:dyDescent="0.2">
      <c r="A8057" s="226">
        <v>2025</v>
      </c>
      <c r="B8057" s="226">
        <v>6</v>
      </c>
      <c r="C8057" s="226">
        <v>30</v>
      </c>
      <c r="D8057" s="232">
        <f t="shared" si="932"/>
        <v>45838</v>
      </c>
      <c r="E8057" s="234">
        <f t="shared" si="931"/>
        <v>45838</v>
      </c>
      <c r="F8057" s="479"/>
      <c r="G8057" s="227" t="s">
        <v>1111</v>
      </c>
      <c r="H8057" s="228"/>
      <c r="I8057" s="228"/>
      <c r="J8057" s="229" t="s">
        <v>199</v>
      </c>
      <c r="K8057" s="230"/>
      <c r="L8057" s="230">
        <v>1024363.12</v>
      </c>
      <c r="N8057" s="438"/>
    </row>
    <row r="8058" spans="1:14" ht="11.25" customHeight="1" x14ac:dyDescent="0.2">
      <c r="A8058" s="221">
        <v>2025</v>
      </c>
      <c r="B8058" s="221">
        <v>6</v>
      </c>
      <c r="C8058" s="221">
        <v>30</v>
      </c>
      <c r="D8058" s="231">
        <f t="shared" si="932"/>
        <v>45838</v>
      </c>
      <c r="E8058" s="233">
        <f t="shared" si="931"/>
        <v>45838</v>
      </c>
      <c r="F8058" s="478" t="s">
        <v>1843</v>
      </c>
      <c r="G8058" s="222" t="s">
        <v>1111</v>
      </c>
      <c r="H8058" s="223"/>
      <c r="I8058" s="223"/>
      <c r="J8058" s="224" t="s">
        <v>55</v>
      </c>
      <c r="K8058" s="225">
        <v>1186774</v>
      </c>
      <c r="L8058" s="225"/>
    </row>
    <row r="8059" spans="1:14" ht="11.25" customHeight="1" x14ac:dyDescent="0.2">
      <c r="A8059" s="226">
        <v>2025</v>
      </c>
      <c r="B8059" s="226">
        <v>6</v>
      </c>
      <c r="C8059" s="226">
        <v>30</v>
      </c>
      <c r="D8059" s="232">
        <f t="shared" si="932"/>
        <v>45838</v>
      </c>
      <c r="E8059" s="234">
        <f t="shared" si="931"/>
        <v>45838</v>
      </c>
      <c r="F8059" s="479"/>
      <c r="G8059" s="227" t="s">
        <v>1111</v>
      </c>
      <c r="H8059" s="228"/>
      <c r="I8059" s="228"/>
      <c r="J8059" s="229" t="s">
        <v>199</v>
      </c>
      <c r="K8059" s="230"/>
      <c r="L8059" s="230">
        <v>1186774</v>
      </c>
      <c r="N8059" s="438"/>
    </row>
    <row r="8060" spans="1:14" ht="11.25" customHeight="1" x14ac:dyDescent="0.2">
      <c r="A8060" s="221">
        <v>2025</v>
      </c>
      <c r="B8060" s="231">
        <v>6</v>
      </c>
      <c r="C8060" s="231">
        <v>30</v>
      </c>
      <c r="D8060" s="231">
        <f t="shared" si="932"/>
        <v>45838</v>
      </c>
      <c r="E8060" s="233">
        <f t="shared" si="931"/>
        <v>45838</v>
      </c>
      <c r="F8060" s="478" t="s">
        <v>1916</v>
      </c>
      <c r="G8060" s="222" t="s">
        <v>1111</v>
      </c>
      <c r="H8060" s="222"/>
      <c r="I8060" s="223"/>
      <c r="J8060" s="224" t="s">
        <v>55</v>
      </c>
      <c r="K8060" s="357">
        <v>715058.16</v>
      </c>
      <c r="L8060" s="225"/>
    </row>
    <row r="8061" spans="1:14" ht="11.25" customHeight="1" x14ac:dyDescent="0.2">
      <c r="A8061" s="164">
        <v>2025</v>
      </c>
      <c r="B8061" s="156">
        <v>6</v>
      </c>
      <c r="C8061" s="156">
        <v>30</v>
      </c>
      <c r="D8061" s="164">
        <f t="shared" si="932"/>
        <v>45838</v>
      </c>
      <c r="E8061" s="235">
        <f t="shared" si="931"/>
        <v>45838</v>
      </c>
      <c r="F8061" s="480"/>
      <c r="G8061" s="208" t="s">
        <v>1111</v>
      </c>
      <c r="H8061" s="208"/>
      <c r="J8061" s="165" t="s">
        <v>1618</v>
      </c>
      <c r="K8061" s="263"/>
      <c r="L8061" s="205">
        <v>11060.943000000087</v>
      </c>
    </row>
    <row r="8062" spans="1:14" ht="11.25" customHeight="1" x14ac:dyDescent="0.2">
      <c r="A8062" s="226">
        <v>2025</v>
      </c>
      <c r="B8062" s="232">
        <v>6</v>
      </c>
      <c r="C8062" s="232">
        <v>30</v>
      </c>
      <c r="D8062" s="226">
        <f t="shared" si="932"/>
        <v>45838</v>
      </c>
      <c r="E8062" s="234">
        <f t="shared" si="931"/>
        <v>45838</v>
      </c>
      <c r="F8062" s="479"/>
      <c r="G8062" s="227" t="s">
        <v>1111</v>
      </c>
      <c r="H8062" s="227"/>
      <c r="I8062" s="228"/>
      <c r="J8062" s="229" t="s">
        <v>1615</v>
      </c>
      <c r="K8062" s="294"/>
      <c r="L8062" s="230">
        <v>703997.21699999995</v>
      </c>
    </row>
    <row r="8063" spans="1:14" ht="11.25" customHeight="1" x14ac:dyDescent="0.2">
      <c r="A8063" s="221">
        <v>2025</v>
      </c>
      <c r="B8063" s="221">
        <v>6</v>
      </c>
      <c r="C8063" s="221">
        <v>30</v>
      </c>
      <c r="D8063" s="231">
        <f t="shared" si="932"/>
        <v>45838</v>
      </c>
      <c r="E8063" s="233">
        <f t="shared" si="931"/>
        <v>45838</v>
      </c>
      <c r="F8063" s="478" t="s">
        <v>1747</v>
      </c>
      <c r="G8063" s="222" t="s">
        <v>1111</v>
      </c>
      <c r="H8063" s="223"/>
      <c r="I8063" s="223"/>
      <c r="J8063" s="224" t="s">
        <v>55</v>
      </c>
      <c r="K8063" s="225">
        <v>43800</v>
      </c>
      <c r="L8063" s="225"/>
    </row>
    <row r="8064" spans="1:14" ht="11.25" customHeight="1" x14ac:dyDescent="0.2">
      <c r="A8064" s="164">
        <v>2025</v>
      </c>
      <c r="B8064" s="164">
        <v>6</v>
      </c>
      <c r="C8064" s="164">
        <v>30</v>
      </c>
      <c r="D8064" s="156">
        <f t="shared" si="932"/>
        <v>45838</v>
      </c>
      <c r="E8064" s="235">
        <f t="shared" si="931"/>
        <v>45838</v>
      </c>
      <c r="F8064" s="480"/>
      <c r="G8064" s="208" t="s">
        <v>1111</v>
      </c>
      <c r="J8064" s="165" t="s">
        <v>174</v>
      </c>
      <c r="K8064" s="205">
        <f>L8065-K8063</f>
        <v>532.39731250004115</v>
      </c>
      <c r="L8064" s="205"/>
    </row>
    <row r="8065" spans="1:12" ht="11.25" customHeight="1" x14ac:dyDescent="0.2">
      <c r="A8065" s="226">
        <v>2025</v>
      </c>
      <c r="B8065" s="226">
        <v>6</v>
      </c>
      <c r="C8065" s="226">
        <v>30</v>
      </c>
      <c r="D8065" s="232">
        <f t="shared" si="932"/>
        <v>45838</v>
      </c>
      <c r="E8065" s="234">
        <f t="shared" si="931"/>
        <v>45838</v>
      </c>
      <c r="F8065" s="479"/>
      <c r="G8065" s="227" t="s">
        <v>1111</v>
      </c>
      <c r="H8065" s="228"/>
      <c r="I8065" s="228"/>
      <c r="J8065" s="229" t="s">
        <v>67</v>
      </c>
      <c r="K8065" s="230"/>
      <c r="L8065" s="230">
        <v>44332.397312500041</v>
      </c>
    </row>
    <row r="8066" spans="1:12" ht="11.25" customHeight="1" x14ac:dyDescent="0.2">
      <c r="A8066" s="221">
        <v>2025</v>
      </c>
      <c r="B8066" s="221">
        <v>6</v>
      </c>
      <c r="C8066" s="221">
        <v>30</v>
      </c>
      <c r="D8066" s="231">
        <f t="shared" si="932"/>
        <v>45838</v>
      </c>
      <c r="E8066" s="233">
        <f t="shared" si="931"/>
        <v>45838</v>
      </c>
      <c r="F8066" s="478" t="s">
        <v>1670</v>
      </c>
      <c r="G8066" s="222" t="s">
        <v>1111</v>
      </c>
      <c r="H8066" s="223"/>
      <c r="I8066" s="223"/>
      <c r="J8066" s="224" t="s">
        <v>63</v>
      </c>
      <c r="K8066" s="225">
        <v>345</v>
      </c>
      <c r="L8066" s="225"/>
    </row>
    <row r="8067" spans="1:12" ht="11.25" customHeight="1" x14ac:dyDescent="0.2">
      <c r="A8067" s="226">
        <v>2025</v>
      </c>
      <c r="B8067" s="226">
        <v>6</v>
      </c>
      <c r="C8067" s="226">
        <v>30</v>
      </c>
      <c r="D8067" s="232">
        <f t="shared" si="932"/>
        <v>45838</v>
      </c>
      <c r="E8067" s="234">
        <f t="shared" ref="E8067:E8097" si="933">DATE(A8067,B8067,C8067)</f>
        <v>45838</v>
      </c>
      <c r="F8067" s="479"/>
      <c r="G8067" s="227" t="s">
        <v>1111</v>
      </c>
      <c r="H8067" s="228"/>
      <c r="I8067" s="228"/>
      <c r="J8067" s="229" t="s">
        <v>55</v>
      </c>
      <c r="K8067" s="230"/>
      <c r="L8067" s="230">
        <v>345</v>
      </c>
    </row>
    <row r="8068" spans="1:12" ht="11.25" customHeight="1" x14ac:dyDescent="0.2">
      <c r="A8068" s="221">
        <v>2025</v>
      </c>
      <c r="B8068" s="221">
        <v>6</v>
      </c>
      <c r="C8068" s="221">
        <v>30</v>
      </c>
      <c r="D8068" s="231">
        <f t="shared" si="932"/>
        <v>45838</v>
      </c>
      <c r="E8068" s="233">
        <f t="shared" si="933"/>
        <v>45838</v>
      </c>
      <c r="F8068" s="478" t="s">
        <v>1747</v>
      </c>
      <c r="G8068" s="222" t="s">
        <v>1111</v>
      </c>
      <c r="H8068" s="223"/>
      <c r="I8068" s="223"/>
      <c r="J8068" s="224" t="s">
        <v>55</v>
      </c>
      <c r="K8068" s="225">
        <v>388564</v>
      </c>
      <c r="L8068" s="225"/>
    </row>
    <row r="8069" spans="1:12" ht="11.25" customHeight="1" x14ac:dyDescent="0.2">
      <c r="A8069" s="164">
        <v>2025</v>
      </c>
      <c r="B8069" s="164">
        <v>6</v>
      </c>
      <c r="C8069" s="164">
        <v>30</v>
      </c>
      <c r="D8069" s="156">
        <f t="shared" si="932"/>
        <v>45838</v>
      </c>
      <c r="E8069" s="235">
        <f t="shared" si="933"/>
        <v>45838</v>
      </c>
      <c r="F8069" s="480"/>
      <c r="G8069" s="208" t="s">
        <v>1111</v>
      </c>
      <c r="J8069" s="165" t="s">
        <v>174</v>
      </c>
      <c r="K8069" s="156"/>
      <c r="L8069" s="205">
        <f>K8068-L8070</f>
        <v>280.38681603135774</v>
      </c>
    </row>
    <row r="8070" spans="1:12" ht="11.25" customHeight="1" x14ac:dyDescent="0.2">
      <c r="A8070" s="226">
        <v>2025</v>
      </c>
      <c r="B8070" s="226">
        <v>6</v>
      </c>
      <c r="C8070" s="226">
        <v>30</v>
      </c>
      <c r="D8070" s="232">
        <f t="shared" si="932"/>
        <v>45838</v>
      </c>
      <c r="E8070" s="234">
        <f t="shared" si="933"/>
        <v>45838</v>
      </c>
      <c r="F8070" s="479"/>
      <c r="G8070" s="227" t="s">
        <v>1111</v>
      </c>
      <c r="H8070" s="228"/>
      <c r="I8070" s="228"/>
      <c r="J8070" s="229" t="s">
        <v>67</v>
      </c>
      <c r="K8070" s="230"/>
      <c r="L8070" s="230">
        <v>388283.61318396864</v>
      </c>
    </row>
    <row r="8071" spans="1:12" ht="11.25" customHeight="1" x14ac:dyDescent="0.2">
      <c r="A8071" s="221">
        <v>2025</v>
      </c>
      <c r="B8071" s="221">
        <v>6</v>
      </c>
      <c r="C8071" s="221">
        <v>30</v>
      </c>
      <c r="D8071" s="231">
        <f t="shared" si="932"/>
        <v>45838</v>
      </c>
      <c r="E8071" s="233">
        <f t="shared" si="933"/>
        <v>45838</v>
      </c>
      <c r="F8071" s="478" t="s">
        <v>1670</v>
      </c>
      <c r="G8071" s="222" t="s">
        <v>1111</v>
      </c>
      <c r="H8071" s="223"/>
      <c r="I8071" s="223"/>
      <c r="J8071" s="224" t="s">
        <v>63</v>
      </c>
      <c r="K8071" s="225">
        <v>575</v>
      </c>
      <c r="L8071" s="225"/>
    </row>
    <row r="8072" spans="1:12" ht="11.25" customHeight="1" x14ac:dyDescent="0.2">
      <c r="A8072" s="226">
        <v>2025</v>
      </c>
      <c r="B8072" s="226">
        <v>6</v>
      </c>
      <c r="C8072" s="226">
        <v>30</v>
      </c>
      <c r="D8072" s="232">
        <f t="shared" si="932"/>
        <v>45838</v>
      </c>
      <c r="E8072" s="234">
        <f t="shared" si="933"/>
        <v>45838</v>
      </c>
      <c r="F8072" s="479"/>
      <c r="G8072" s="227" t="s">
        <v>1111</v>
      </c>
      <c r="H8072" s="228"/>
      <c r="I8072" s="228"/>
      <c r="J8072" s="229" t="s">
        <v>55</v>
      </c>
      <c r="K8072" s="230"/>
      <c r="L8072" s="230">
        <v>575</v>
      </c>
    </row>
    <row r="8073" spans="1:12" ht="11.25" customHeight="1" x14ac:dyDescent="0.2">
      <c r="A8073" s="221">
        <v>2025</v>
      </c>
      <c r="B8073" s="221">
        <v>6</v>
      </c>
      <c r="C8073" s="221">
        <v>30</v>
      </c>
      <c r="D8073" s="231">
        <f t="shared" ref="D8073:D8136" si="934">DATE(A8073,B8073,C8073)</f>
        <v>45838</v>
      </c>
      <c r="E8073" s="233">
        <f t="shared" si="933"/>
        <v>45838</v>
      </c>
      <c r="F8073" s="478" t="s">
        <v>1748</v>
      </c>
      <c r="G8073" s="222" t="s">
        <v>1111</v>
      </c>
      <c r="H8073" s="223"/>
      <c r="I8073" s="223"/>
      <c r="J8073" s="224" t="s">
        <v>55</v>
      </c>
      <c r="K8073" s="225">
        <v>5156.2</v>
      </c>
      <c r="L8073" s="225"/>
    </row>
    <row r="8074" spans="1:12" ht="11.25" customHeight="1" x14ac:dyDescent="0.2">
      <c r="A8074" s="164">
        <v>2025</v>
      </c>
      <c r="B8074" s="164">
        <v>6</v>
      </c>
      <c r="C8074" s="164">
        <v>30</v>
      </c>
      <c r="D8074" s="156">
        <f t="shared" si="934"/>
        <v>45838</v>
      </c>
      <c r="E8074" s="235">
        <f t="shared" si="933"/>
        <v>45838</v>
      </c>
      <c r="F8074" s="480"/>
      <c r="G8074" s="208" t="s">
        <v>1111</v>
      </c>
      <c r="J8074" s="165" t="s">
        <v>174</v>
      </c>
      <c r="K8074" s="205"/>
      <c r="L8074" s="205">
        <f>K8073-L8075</f>
        <v>49.7309349999814</v>
      </c>
    </row>
    <row r="8075" spans="1:12" ht="11.25" customHeight="1" x14ac:dyDescent="0.2">
      <c r="A8075" s="226">
        <v>2025</v>
      </c>
      <c r="B8075" s="226">
        <v>6</v>
      </c>
      <c r="C8075" s="226">
        <v>30</v>
      </c>
      <c r="D8075" s="232">
        <f t="shared" si="934"/>
        <v>45838</v>
      </c>
      <c r="E8075" s="234">
        <f t="shared" si="933"/>
        <v>45838</v>
      </c>
      <c r="F8075" s="479"/>
      <c r="G8075" s="227" t="s">
        <v>1111</v>
      </c>
      <c r="H8075" s="228"/>
      <c r="I8075" s="228"/>
      <c r="J8075" s="229" t="s">
        <v>67</v>
      </c>
      <c r="K8075" s="230"/>
      <c r="L8075" s="230">
        <v>5106.4690650000184</v>
      </c>
    </row>
    <row r="8076" spans="1:12" ht="11.25" customHeight="1" x14ac:dyDescent="0.2">
      <c r="A8076" s="221">
        <v>2025</v>
      </c>
      <c r="B8076" s="221">
        <v>6</v>
      </c>
      <c r="C8076" s="221">
        <v>30</v>
      </c>
      <c r="D8076" s="231">
        <f t="shared" si="934"/>
        <v>45838</v>
      </c>
      <c r="E8076" s="233">
        <f t="shared" si="933"/>
        <v>45838</v>
      </c>
      <c r="F8076" s="478" t="s">
        <v>1748</v>
      </c>
      <c r="G8076" s="222" t="s">
        <v>1111</v>
      </c>
      <c r="H8076" s="223"/>
      <c r="I8076" s="223"/>
      <c r="J8076" s="224" t="s">
        <v>55</v>
      </c>
      <c r="K8076" s="225">
        <v>3808.19</v>
      </c>
      <c r="L8076" s="225"/>
    </row>
    <row r="8077" spans="1:12" ht="11.25" customHeight="1" x14ac:dyDescent="0.2">
      <c r="A8077" s="164">
        <v>2025</v>
      </c>
      <c r="B8077" s="164">
        <v>6</v>
      </c>
      <c r="C8077" s="164">
        <v>30</v>
      </c>
      <c r="D8077" s="156">
        <f t="shared" si="934"/>
        <v>45838</v>
      </c>
      <c r="E8077" s="235">
        <f t="shared" si="933"/>
        <v>45838</v>
      </c>
      <c r="F8077" s="480"/>
      <c r="G8077" s="208" t="s">
        <v>1111</v>
      </c>
      <c r="J8077" s="165" t="s">
        <v>174</v>
      </c>
      <c r="K8077" s="205">
        <f>L8078-K8076</f>
        <v>517.50257124999871</v>
      </c>
      <c r="L8077" s="205"/>
    </row>
    <row r="8078" spans="1:12" ht="11.25" customHeight="1" x14ac:dyDescent="0.2">
      <c r="A8078" s="226">
        <v>2025</v>
      </c>
      <c r="B8078" s="226">
        <v>6</v>
      </c>
      <c r="C8078" s="226">
        <v>30</v>
      </c>
      <c r="D8078" s="232">
        <f t="shared" si="934"/>
        <v>45838</v>
      </c>
      <c r="E8078" s="234">
        <f t="shared" si="933"/>
        <v>45838</v>
      </c>
      <c r="F8078" s="479"/>
      <c r="G8078" s="227" t="s">
        <v>1111</v>
      </c>
      <c r="H8078" s="228"/>
      <c r="I8078" s="228"/>
      <c r="J8078" s="229" t="s">
        <v>67</v>
      </c>
      <c r="K8078" s="230"/>
      <c r="L8078" s="230">
        <v>4325.6925712499988</v>
      </c>
    </row>
    <row r="8079" spans="1:12" ht="11.25" customHeight="1" x14ac:dyDescent="0.2">
      <c r="A8079" s="221">
        <v>2025</v>
      </c>
      <c r="B8079" s="221">
        <v>6</v>
      </c>
      <c r="C8079" s="221">
        <v>30</v>
      </c>
      <c r="D8079" s="231">
        <f t="shared" si="934"/>
        <v>45838</v>
      </c>
      <c r="E8079" s="233">
        <f t="shared" si="933"/>
        <v>45838</v>
      </c>
      <c r="F8079" s="478" t="s">
        <v>1670</v>
      </c>
      <c r="G8079" s="222" t="s">
        <v>1111</v>
      </c>
      <c r="H8079" s="223"/>
      <c r="I8079" s="223"/>
      <c r="J8079" s="224" t="s">
        <v>63</v>
      </c>
      <c r="K8079" s="225">
        <v>3345</v>
      </c>
      <c r="L8079" s="225"/>
    </row>
    <row r="8080" spans="1:12" ht="11.25" customHeight="1" x14ac:dyDescent="0.2">
      <c r="A8080" s="226">
        <v>2025</v>
      </c>
      <c r="B8080" s="226">
        <v>6</v>
      </c>
      <c r="C8080" s="226">
        <v>30</v>
      </c>
      <c r="D8080" s="232">
        <f t="shared" si="934"/>
        <v>45838</v>
      </c>
      <c r="E8080" s="234">
        <f t="shared" si="933"/>
        <v>45838</v>
      </c>
      <c r="F8080" s="479"/>
      <c r="G8080" s="227" t="s">
        <v>1111</v>
      </c>
      <c r="H8080" s="228"/>
      <c r="I8080" s="228"/>
      <c r="J8080" s="229" t="s">
        <v>55</v>
      </c>
      <c r="K8080" s="230"/>
      <c r="L8080" s="230">
        <v>3345</v>
      </c>
    </row>
    <row r="8081" spans="1:12" ht="11.25" customHeight="1" x14ac:dyDescent="0.2">
      <c r="A8081" s="221">
        <v>2025</v>
      </c>
      <c r="B8081" s="221">
        <v>6</v>
      </c>
      <c r="C8081" s="221">
        <v>30</v>
      </c>
      <c r="D8081" s="231">
        <f t="shared" si="934"/>
        <v>45838</v>
      </c>
      <c r="E8081" s="233">
        <f t="shared" si="933"/>
        <v>45838</v>
      </c>
      <c r="F8081" s="478" t="s">
        <v>1673</v>
      </c>
      <c r="G8081" s="222" t="s">
        <v>1111</v>
      </c>
      <c r="H8081" s="223"/>
      <c r="I8081" s="223"/>
      <c r="J8081" s="224" t="s">
        <v>63</v>
      </c>
      <c r="K8081" s="225">
        <v>345</v>
      </c>
      <c r="L8081" s="225"/>
    </row>
    <row r="8082" spans="1:12" ht="11.25" customHeight="1" x14ac:dyDescent="0.2">
      <c r="A8082" s="226">
        <v>2025</v>
      </c>
      <c r="B8082" s="226">
        <v>6</v>
      </c>
      <c r="C8082" s="226">
        <v>30</v>
      </c>
      <c r="D8082" s="232">
        <f t="shared" si="934"/>
        <v>45838</v>
      </c>
      <c r="E8082" s="234">
        <f t="shared" si="933"/>
        <v>45838</v>
      </c>
      <c r="F8082" s="479"/>
      <c r="G8082" s="227" t="s">
        <v>1111</v>
      </c>
      <c r="H8082" s="228"/>
      <c r="I8082" s="228"/>
      <c r="J8082" s="229" t="s">
        <v>55</v>
      </c>
      <c r="K8082" s="230"/>
      <c r="L8082" s="230">
        <v>345</v>
      </c>
    </row>
    <row r="8083" spans="1:12" ht="11.25" customHeight="1" x14ac:dyDescent="0.2">
      <c r="A8083" s="221">
        <v>2025</v>
      </c>
      <c r="B8083" s="221">
        <v>6</v>
      </c>
      <c r="C8083" s="221">
        <v>30</v>
      </c>
      <c r="D8083" s="231">
        <f t="shared" si="934"/>
        <v>45838</v>
      </c>
      <c r="E8083" s="233">
        <f t="shared" si="933"/>
        <v>45838</v>
      </c>
      <c r="F8083" s="478" t="s">
        <v>1749</v>
      </c>
      <c r="G8083" s="222" t="s">
        <v>1111</v>
      </c>
      <c r="H8083" s="223"/>
      <c r="I8083" s="223"/>
      <c r="J8083" s="224" t="s">
        <v>55</v>
      </c>
      <c r="K8083" s="225">
        <v>27.15</v>
      </c>
      <c r="L8083" s="225"/>
    </row>
    <row r="8084" spans="1:12" ht="11.25" customHeight="1" x14ac:dyDescent="0.2">
      <c r="A8084" s="164">
        <v>2025</v>
      </c>
      <c r="B8084" s="164">
        <v>6</v>
      </c>
      <c r="C8084" s="164">
        <v>30</v>
      </c>
      <c r="D8084" s="156">
        <f t="shared" si="934"/>
        <v>45838</v>
      </c>
      <c r="E8084" s="235">
        <f t="shared" si="933"/>
        <v>45838</v>
      </c>
      <c r="F8084" s="480"/>
      <c r="G8084" s="208" t="s">
        <v>1111</v>
      </c>
      <c r="J8084" s="165" t="s">
        <v>174</v>
      </c>
      <c r="K8084" s="205">
        <f>L8085-K8083</f>
        <v>6.5099493055556366</v>
      </c>
      <c r="L8084" s="205"/>
    </row>
    <row r="8085" spans="1:12" ht="11.25" customHeight="1" x14ac:dyDescent="0.2">
      <c r="A8085" s="226">
        <v>2025</v>
      </c>
      <c r="B8085" s="226">
        <v>6</v>
      </c>
      <c r="C8085" s="226">
        <v>30</v>
      </c>
      <c r="D8085" s="232">
        <f t="shared" si="934"/>
        <v>45838</v>
      </c>
      <c r="E8085" s="234">
        <f t="shared" si="933"/>
        <v>45838</v>
      </c>
      <c r="F8085" s="479"/>
      <c r="G8085" s="227" t="s">
        <v>1111</v>
      </c>
      <c r="H8085" s="228"/>
      <c r="I8085" s="228"/>
      <c r="J8085" s="229" t="s">
        <v>67</v>
      </c>
      <c r="K8085" s="230"/>
      <c r="L8085" s="230">
        <v>33.659949305555635</v>
      </c>
    </row>
    <row r="8086" spans="1:12" ht="11.25" customHeight="1" x14ac:dyDescent="0.2">
      <c r="A8086" s="221">
        <v>2025</v>
      </c>
      <c r="B8086" s="221">
        <v>6</v>
      </c>
      <c r="C8086" s="221">
        <v>30</v>
      </c>
      <c r="D8086" s="231">
        <f t="shared" si="934"/>
        <v>45838</v>
      </c>
      <c r="E8086" s="233">
        <f t="shared" si="933"/>
        <v>45838</v>
      </c>
      <c r="F8086" s="478" t="s">
        <v>1676</v>
      </c>
      <c r="G8086" s="222" t="s">
        <v>1111</v>
      </c>
      <c r="H8086" s="223"/>
      <c r="I8086" s="223"/>
      <c r="J8086" s="224" t="s">
        <v>63</v>
      </c>
      <c r="K8086" s="225">
        <v>8.15</v>
      </c>
      <c r="L8086" s="225"/>
    </row>
    <row r="8087" spans="1:12" ht="11.25" customHeight="1" x14ac:dyDescent="0.2">
      <c r="A8087" s="226">
        <v>2025</v>
      </c>
      <c r="B8087" s="226">
        <v>6</v>
      </c>
      <c r="C8087" s="226">
        <v>30</v>
      </c>
      <c r="D8087" s="232">
        <f t="shared" si="934"/>
        <v>45838</v>
      </c>
      <c r="E8087" s="234">
        <f t="shared" si="933"/>
        <v>45838</v>
      </c>
      <c r="F8087" s="479"/>
      <c r="G8087" s="227" t="s">
        <v>1111</v>
      </c>
      <c r="H8087" s="228"/>
      <c r="I8087" s="228"/>
      <c r="J8087" s="229" t="s">
        <v>55</v>
      </c>
      <c r="K8087" s="230"/>
      <c r="L8087" s="230">
        <v>8.15</v>
      </c>
    </row>
    <row r="8088" spans="1:12" ht="11.25" customHeight="1" x14ac:dyDescent="0.2">
      <c r="A8088" s="221">
        <v>2025</v>
      </c>
      <c r="B8088" s="221">
        <v>6</v>
      </c>
      <c r="C8088" s="221">
        <v>30</v>
      </c>
      <c r="D8088" s="231">
        <f t="shared" si="934"/>
        <v>45838</v>
      </c>
      <c r="E8088" s="233">
        <f t="shared" si="933"/>
        <v>45838</v>
      </c>
      <c r="F8088" s="478" t="s">
        <v>1750</v>
      </c>
      <c r="G8088" s="222" t="s">
        <v>1111</v>
      </c>
      <c r="H8088" s="223"/>
      <c r="I8088" s="223"/>
      <c r="J8088" s="224" t="s">
        <v>55</v>
      </c>
      <c r="K8088" s="225">
        <v>558.22</v>
      </c>
      <c r="L8088" s="225"/>
    </row>
    <row r="8089" spans="1:12" ht="11.25" customHeight="1" x14ac:dyDescent="0.2">
      <c r="A8089" s="164">
        <v>2025</v>
      </c>
      <c r="B8089" s="164">
        <v>6</v>
      </c>
      <c r="C8089" s="164">
        <v>30</v>
      </c>
      <c r="D8089" s="156">
        <f t="shared" si="934"/>
        <v>45838</v>
      </c>
      <c r="E8089" s="235">
        <f t="shared" si="933"/>
        <v>45838</v>
      </c>
      <c r="F8089" s="480"/>
      <c r="G8089" s="208" t="s">
        <v>1111</v>
      </c>
      <c r="J8089" s="165" t="s">
        <v>174</v>
      </c>
      <c r="K8089" s="205">
        <f>L8090-K8088</f>
        <v>2360.7799999999997</v>
      </c>
      <c r="L8089" s="205"/>
    </row>
    <row r="8090" spans="1:12" ht="11.25" customHeight="1" x14ac:dyDescent="0.2">
      <c r="A8090" s="226">
        <v>2025</v>
      </c>
      <c r="B8090" s="226">
        <v>6</v>
      </c>
      <c r="C8090" s="226">
        <v>30</v>
      </c>
      <c r="D8090" s="232">
        <f t="shared" si="934"/>
        <v>45838</v>
      </c>
      <c r="E8090" s="234">
        <f t="shared" si="933"/>
        <v>45838</v>
      </c>
      <c r="F8090" s="479"/>
      <c r="G8090" s="227" t="s">
        <v>1111</v>
      </c>
      <c r="H8090" s="228"/>
      <c r="I8090" s="228"/>
      <c r="J8090" s="229" t="s">
        <v>67</v>
      </c>
      <c r="K8090" s="230"/>
      <c r="L8090" s="230">
        <v>2919</v>
      </c>
    </row>
    <row r="8091" spans="1:12" ht="11.25" customHeight="1" x14ac:dyDescent="0.2">
      <c r="A8091" s="221">
        <v>2025</v>
      </c>
      <c r="B8091" s="221">
        <v>6</v>
      </c>
      <c r="C8091" s="221">
        <v>30</v>
      </c>
      <c r="D8091" s="231">
        <f t="shared" si="934"/>
        <v>45838</v>
      </c>
      <c r="E8091" s="233">
        <f t="shared" si="933"/>
        <v>45838</v>
      </c>
      <c r="F8091" s="478" t="s">
        <v>1677</v>
      </c>
      <c r="G8091" s="222" t="s">
        <v>1111</v>
      </c>
      <c r="H8091" s="223"/>
      <c r="I8091" s="223"/>
      <c r="J8091" s="224" t="s">
        <v>63</v>
      </c>
      <c r="K8091" s="225">
        <v>167</v>
      </c>
      <c r="L8091" s="225"/>
    </row>
    <row r="8092" spans="1:12" ht="11.25" customHeight="1" x14ac:dyDescent="0.2">
      <c r="A8092" s="226">
        <v>2025</v>
      </c>
      <c r="B8092" s="226">
        <v>6</v>
      </c>
      <c r="C8092" s="226">
        <v>30</v>
      </c>
      <c r="D8092" s="232">
        <f t="shared" si="934"/>
        <v>45838</v>
      </c>
      <c r="E8092" s="234">
        <f t="shared" si="933"/>
        <v>45838</v>
      </c>
      <c r="F8092" s="479"/>
      <c r="G8092" s="227" t="s">
        <v>1111</v>
      </c>
      <c r="H8092" s="228"/>
      <c r="I8092" s="228"/>
      <c r="J8092" s="229" t="s">
        <v>55</v>
      </c>
      <c r="K8092" s="230"/>
      <c r="L8092" s="230">
        <f>K8091</f>
        <v>167</v>
      </c>
    </row>
    <row r="8093" spans="1:12" ht="11.25" customHeight="1" x14ac:dyDescent="0.2">
      <c r="A8093" s="221">
        <v>2025</v>
      </c>
      <c r="B8093" s="221">
        <v>6</v>
      </c>
      <c r="C8093" s="221">
        <v>30</v>
      </c>
      <c r="D8093" s="231">
        <f t="shared" si="934"/>
        <v>45838</v>
      </c>
      <c r="E8093" s="233">
        <f t="shared" si="933"/>
        <v>45838</v>
      </c>
      <c r="F8093" s="478" t="s">
        <v>1754</v>
      </c>
      <c r="G8093" s="222" t="s">
        <v>1111</v>
      </c>
      <c r="H8093" s="223"/>
      <c r="I8093" s="223"/>
      <c r="J8093" s="224" t="s">
        <v>55</v>
      </c>
      <c r="K8093" s="225">
        <v>61.3</v>
      </c>
      <c r="L8093" s="225"/>
    </row>
    <row r="8094" spans="1:12" ht="11.25" customHeight="1" x14ac:dyDescent="0.2">
      <c r="A8094" s="226">
        <v>2025</v>
      </c>
      <c r="B8094" s="226">
        <v>6</v>
      </c>
      <c r="C8094" s="226">
        <v>30</v>
      </c>
      <c r="D8094" s="232">
        <f t="shared" si="934"/>
        <v>45838</v>
      </c>
      <c r="E8094" s="234">
        <f t="shared" si="933"/>
        <v>45838</v>
      </c>
      <c r="F8094" s="479"/>
      <c r="G8094" s="227" t="s">
        <v>1111</v>
      </c>
      <c r="H8094" s="228"/>
      <c r="I8094" s="228"/>
      <c r="J8094" s="229" t="s">
        <v>174</v>
      </c>
      <c r="K8094" s="230"/>
      <c r="L8094" s="230">
        <v>61.3</v>
      </c>
    </row>
    <row r="8095" spans="1:12" ht="11.25" customHeight="1" x14ac:dyDescent="0.2">
      <c r="A8095" s="221">
        <v>2025</v>
      </c>
      <c r="B8095" s="221">
        <v>6</v>
      </c>
      <c r="C8095" s="221">
        <v>30</v>
      </c>
      <c r="D8095" s="231">
        <f t="shared" si="934"/>
        <v>45838</v>
      </c>
      <c r="E8095" s="233">
        <f t="shared" si="933"/>
        <v>45838</v>
      </c>
      <c r="F8095" s="478" t="s">
        <v>1754</v>
      </c>
      <c r="G8095" s="222" t="s">
        <v>1111</v>
      </c>
      <c r="H8095" s="223"/>
      <c r="I8095" s="223"/>
      <c r="J8095" s="224" t="s">
        <v>55</v>
      </c>
      <c r="K8095" s="225">
        <v>263430.03999999998</v>
      </c>
      <c r="L8095" s="225"/>
    </row>
    <row r="8096" spans="1:12" ht="11.25" customHeight="1" x14ac:dyDescent="0.2">
      <c r="A8096" s="164">
        <v>2025</v>
      </c>
      <c r="B8096" s="164">
        <v>6</v>
      </c>
      <c r="C8096" s="164">
        <v>30</v>
      </c>
      <c r="D8096" s="156">
        <f t="shared" si="934"/>
        <v>45838</v>
      </c>
      <c r="E8096" s="235">
        <f t="shared" si="933"/>
        <v>45838</v>
      </c>
      <c r="F8096" s="480"/>
      <c r="G8096" s="208" t="s">
        <v>1111</v>
      </c>
      <c r="J8096" s="165" t="s">
        <v>174</v>
      </c>
      <c r="K8096" s="205"/>
      <c r="L8096" s="205">
        <f>K8095-L8097</f>
        <v>12555.737608888303</v>
      </c>
    </row>
    <row r="8097" spans="1:12" ht="11.25" customHeight="1" x14ac:dyDescent="0.2">
      <c r="A8097" s="226">
        <v>2025</v>
      </c>
      <c r="B8097" s="226">
        <v>6</v>
      </c>
      <c r="C8097" s="226">
        <v>30</v>
      </c>
      <c r="D8097" s="232">
        <f t="shared" si="934"/>
        <v>45838</v>
      </c>
      <c r="E8097" s="234">
        <f t="shared" si="933"/>
        <v>45838</v>
      </c>
      <c r="F8097" s="479"/>
      <c r="G8097" s="227" t="s">
        <v>1111</v>
      </c>
      <c r="H8097" s="228"/>
      <c r="I8097" s="228"/>
      <c r="J8097" s="229" t="s">
        <v>67</v>
      </c>
      <c r="K8097" s="230"/>
      <c r="L8097" s="230">
        <v>250874.30239111168</v>
      </c>
    </row>
    <row r="8098" spans="1:12" ht="11.25" customHeight="1" x14ac:dyDescent="0.2">
      <c r="A8098" s="341">
        <v>2025</v>
      </c>
      <c r="B8098" s="341">
        <v>6</v>
      </c>
      <c r="C8098" s="341">
        <v>30</v>
      </c>
      <c r="D8098" s="328">
        <f t="shared" si="934"/>
        <v>45838</v>
      </c>
      <c r="E8098" s="329">
        <f t="shared" ref="E8098:E8103" si="935">DATE(A8098,B8098,C8098)</f>
        <v>45838</v>
      </c>
      <c r="F8098" s="474" t="s">
        <v>1767</v>
      </c>
      <c r="G8098" s="330" t="s">
        <v>86</v>
      </c>
      <c r="H8098" s="332"/>
      <c r="I8098" s="332"/>
      <c r="J8098" s="342" t="s">
        <v>67</v>
      </c>
      <c r="K8098" s="343">
        <v>11970.879999999888</v>
      </c>
      <c r="L8098" s="343"/>
    </row>
    <row r="8099" spans="1:12" ht="11.25" customHeight="1" x14ac:dyDescent="0.2">
      <c r="A8099" s="344">
        <v>2025</v>
      </c>
      <c r="B8099" s="344">
        <v>6</v>
      </c>
      <c r="C8099" s="344">
        <v>30</v>
      </c>
      <c r="D8099" s="337">
        <f t="shared" si="934"/>
        <v>45838</v>
      </c>
      <c r="E8099" s="338">
        <f t="shared" si="935"/>
        <v>45838</v>
      </c>
      <c r="F8099" s="475"/>
      <c r="G8099" s="339" t="s">
        <v>86</v>
      </c>
      <c r="H8099" s="340"/>
      <c r="I8099" s="340"/>
      <c r="J8099" s="345" t="s">
        <v>174</v>
      </c>
      <c r="K8099" s="346"/>
      <c r="L8099" s="346">
        <v>11970.879999999888</v>
      </c>
    </row>
    <row r="8100" spans="1:12" ht="11.25" customHeight="1" x14ac:dyDescent="0.2">
      <c r="A8100" s="221">
        <v>2025</v>
      </c>
      <c r="B8100" s="221">
        <v>7</v>
      </c>
      <c r="C8100" s="221">
        <v>1</v>
      </c>
      <c r="D8100" s="231">
        <f t="shared" si="934"/>
        <v>45839</v>
      </c>
      <c r="E8100" s="233">
        <f t="shared" si="935"/>
        <v>45839</v>
      </c>
      <c r="F8100" s="478" t="s">
        <v>1670</v>
      </c>
      <c r="G8100" s="222" t="s">
        <v>1111</v>
      </c>
      <c r="H8100" s="223"/>
      <c r="I8100" s="223"/>
      <c r="J8100" s="224" t="s">
        <v>63</v>
      </c>
      <c r="K8100" s="225">
        <v>345</v>
      </c>
      <c r="L8100" s="225"/>
    </row>
    <row r="8101" spans="1:12" ht="11.25" customHeight="1" x14ac:dyDescent="0.2">
      <c r="A8101" s="226">
        <v>2025</v>
      </c>
      <c r="B8101" s="226">
        <v>7</v>
      </c>
      <c r="C8101" s="226">
        <v>1</v>
      </c>
      <c r="D8101" s="232">
        <f t="shared" si="934"/>
        <v>45839</v>
      </c>
      <c r="E8101" s="234">
        <f t="shared" si="935"/>
        <v>45839</v>
      </c>
      <c r="F8101" s="479"/>
      <c r="G8101" s="227" t="s">
        <v>1111</v>
      </c>
      <c r="H8101" s="228"/>
      <c r="I8101" s="228"/>
      <c r="J8101" s="229" t="s">
        <v>55</v>
      </c>
      <c r="K8101" s="230"/>
      <c r="L8101" s="230">
        <v>345</v>
      </c>
    </row>
    <row r="8102" spans="1:12" ht="11.25" customHeight="1" x14ac:dyDescent="0.2">
      <c r="A8102" s="221">
        <v>2025</v>
      </c>
      <c r="B8102" s="221">
        <v>7</v>
      </c>
      <c r="C8102" s="221">
        <v>1</v>
      </c>
      <c r="D8102" s="231">
        <f t="shared" si="934"/>
        <v>45839</v>
      </c>
      <c r="E8102" s="233">
        <f t="shared" si="935"/>
        <v>45839</v>
      </c>
      <c r="F8102" s="478" t="s">
        <v>1719</v>
      </c>
      <c r="G8102" s="222" t="s">
        <v>1111</v>
      </c>
      <c r="H8102" s="223"/>
      <c r="I8102" s="223"/>
      <c r="J8102" s="224" t="s">
        <v>63</v>
      </c>
      <c r="K8102" s="225">
        <v>345</v>
      </c>
      <c r="L8102" s="225"/>
    </row>
    <row r="8103" spans="1:12" ht="11.25" customHeight="1" x14ac:dyDescent="0.2">
      <c r="A8103" s="226">
        <v>2025</v>
      </c>
      <c r="B8103" s="226">
        <v>7</v>
      </c>
      <c r="C8103" s="226">
        <v>1</v>
      </c>
      <c r="D8103" s="232">
        <f t="shared" si="934"/>
        <v>45839</v>
      </c>
      <c r="E8103" s="234">
        <f t="shared" si="935"/>
        <v>45839</v>
      </c>
      <c r="F8103" s="479"/>
      <c r="G8103" s="227" t="s">
        <v>1111</v>
      </c>
      <c r="H8103" s="228"/>
      <c r="I8103" s="228"/>
      <c r="J8103" s="229" t="s">
        <v>55</v>
      </c>
      <c r="K8103" s="230"/>
      <c r="L8103" s="230">
        <v>345</v>
      </c>
    </row>
    <row r="8104" spans="1:12" ht="11.25" customHeight="1" x14ac:dyDescent="0.2">
      <c r="A8104" s="221">
        <v>2025</v>
      </c>
      <c r="B8104" s="221">
        <v>7</v>
      </c>
      <c r="C8104" s="221">
        <v>1</v>
      </c>
      <c r="D8104" s="231">
        <f t="shared" si="934"/>
        <v>45839</v>
      </c>
      <c r="E8104" s="233">
        <f t="shared" ref="E8104:E8123" si="936">DATE(A8104,B8104,C8104)</f>
        <v>45839</v>
      </c>
      <c r="F8104" s="478" t="s">
        <v>1719</v>
      </c>
      <c r="G8104" s="222" t="s">
        <v>1111</v>
      </c>
      <c r="H8104" s="223"/>
      <c r="I8104" s="223"/>
      <c r="J8104" s="224" t="s">
        <v>63</v>
      </c>
      <c r="K8104" s="225">
        <v>345</v>
      </c>
      <c r="L8104" s="225"/>
    </row>
    <row r="8105" spans="1:12" ht="11.25" customHeight="1" x14ac:dyDescent="0.2">
      <c r="A8105" s="226">
        <v>2025</v>
      </c>
      <c r="B8105" s="226">
        <v>7</v>
      </c>
      <c r="C8105" s="226">
        <v>1</v>
      </c>
      <c r="D8105" s="232">
        <f t="shared" si="934"/>
        <v>45839</v>
      </c>
      <c r="E8105" s="234">
        <f t="shared" si="936"/>
        <v>45839</v>
      </c>
      <c r="F8105" s="479"/>
      <c r="G8105" s="227" t="s">
        <v>1111</v>
      </c>
      <c r="H8105" s="228"/>
      <c r="I8105" s="228"/>
      <c r="J8105" s="229" t="s">
        <v>55</v>
      </c>
      <c r="K8105" s="230"/>
      <c r="L8105" s="230">
        <v>345</v>
      </c>
    </row>
    <row r="8106" spans="1:12" ht="11.25" customHeight="1" x14ac:dyDescent="0.2">
      <c r="A8106" s="221">
        <v>2025</v>
      </c>
      <c r="B8106" s="221">
        <v>7</v>
      </c>
      <c r="C8106" s="221">
        <v>2</v>
      </c>
      <c r="D8106" s="231">
        <f t="shared" si="934"/>
        <v>45840</v>
      </c>
      <c r="E8106" s="233">
        <f t="shared" si="936"/>
        <v>45840</v>
      </c>
      <c r="F8106" s="478" t="s">
        <v>1115</v>
      </c>
      <c r="G8106" s="222" t="s">
        <v>1111</v>
      </c>
      <c r="H8106" s="223"/>
      <c r="I8106" s="223"/>
      <c r="J8106" s="224" t="s">
        <v>14</v>
      </c>
      <c r="K8106" s="167">
        <v>105110</v>
      </c>
      <c r="L8106" s="225"/>
    </row>
    <row r="8107" spans="1:12" ht="11.25" customHeight="1" x14ac:dyDescent="0.2">
      <c r="A8107" s="164">
        <v>2025</v>
      </c>
      <c r="B8107" s="164">
        <v>7</v>
      </c>
      <c r="C8107" s="164">
        <v>2</v>
      </c>
      <c r="D8107" s="156">
        <f t="shared" si="934"/>
        <v>45840</v>
      </c>
      <c r="E8107" s="235">
        <f t="shared" si="936"/>
        <v>45840</v>
      </c>
      <c r="F8107" s="480"/>
      <c r="G8107" s="208" t="s">
        <v>1111</v>
      </c>
      <c r="J8107" s="165" t="s">
        <v>1112</v>
      </c>
      <c r="K8107" s="205">
        <v>8892.3099999999977</v>
      </c>
      <c r="L8107" s="156"/>
    </row>
    <row r="8108" spans="1:12" ht="11.25" customHeight="1" x14ac:dyDescent="0.2">
      <c r="A8108" s="226">
        <v>2025</v>
      </c>
      <c r="B8108" s="226">
        <v>7</v>
      </c>
      <c r="C8108" s="226">
        <v>2</v>
      </c>
      <c r="D8108" s="232">
        <f t="shared" si="934"/>
        <v>45840</v>
      </c>
      <c r="E8108" s="234">
        <f t="shared" si="936"/>
        <v>45840</v>
      </c>
      <c r="F8108" s="479"/>
      <c r="G8108" s="227" t="s">
        <v>1111</v>
      </c>
      <c r="H8108" s="228"/>
      <c r="I8108" s="228"/>
      <c r="J8108" s="229" t="s">
        <v>55</v>
      </c>
      <c r="K8108" s="230"/>
      <c r="L8108" s="230">
        <v>114002.31</v>
      </c>
    </row>
    <row r="8109" spans="1:12" ht="11.25" customHeight="1" x14ac:dyDescent="0.2">
      <c r="A8109" s="221">
        <v>2025</v>
      </c>
      <c r="B8109" s="221">
        <v>7</v>
      </c>
      <c r="C8109" s="221">
        <v>2</v>
      </c>
      <c r="D8109" s="231">
        <f t="shared" si="934"/>
        <v>45840</v>
      </c>
      <c r="E8109" s="233">
        <f t="shared" si="936"/>
        <v>45840</v>
      </c>
      <c r="F8109" s="478" t="s">
        <v>1142</v>
      </c>
      <c r="G8109" s="222" t="s">
        <v>1111</v>
      </c>
      <c r="H8109" s="223"/>
      <c r="I8109" s="223"/>
      <c r="J8109" s="224" t="s">
        <v>189</v>
      </c>
      <c r="K8109" s="225">
        <v>1575</v>
      </c>
      <c r="L8109" s="225"/>
    </row>
    <row r="8110" spans="1:12" ht="11.25" customHeight="1" x14ac:dyDescent="0.2">
      <c r="A8110" s="164">
        <v>2025</v>
      </c>
      <c r="B8110" s="164">
        <v>7</v>
      </c>
      <c r="C8110" s="164">
        <v>2</v>
      </c>
      <c r="D8110" s="156">
        <f t="shared" si="934"/>
        <v>45840</v>
      </c>
      <c r="E8110" s="235">
        <f t="shared" si="936"/>
        <v>45840</v>
      </c>
      <c r="F8110" s="480"/>
      <c r="G8110" s="208" t="s">
        <v>1111</v>
      </c>
      <c r="J8110" s="165" t="s">
        <v>1707</v>
      </c>
      <c r="K8110" s="205"/>
      <c r="L8110" s="205">
        <v>150</v>
      </c>
    </row>
    <row r="8111" spans="1:12" ht="11.25" customHeight="1" x14ac:dyDescent="0.2">
      <c r="A8111" s="226">
        <v>2025</v>
      </c>
      <c r="B8111" s="226">
        <v>7</v>
      </c>
      <c r="C8111" s="226">
        <v>2</v>
      </c>
      <c r="D8111" s="232">
        <f t="shared" si="934"/>
        <v>45840</v>
      </c>
      <c r="E8111" s="234">
        <f t="shared" si="936"/>
        <v>45840</v>
      </c>
      <c r="F8111" s="479"/>
      <c r="G8111" s="227" t="s">
        <v>1111</v>
      </c>
      <c r="H8111" s="228"/>
      <c r="I8111" s="228"/>
      <c r="J8111" s="229" t="s">
        <v>55</v>
      </c>
      <c r="K8111" s="230"/>
      <c r="L8111" s="230">
        <v>1425</v>
      </c>
    </row>
    <row r="8112" spans="1:12" ht="11.25" customHeight="1" x14ac:dyDescent="0.2">
      <c r="A8112" s="221">
        <v>2025</v>
      </c>
      <c r="B8112" s="221">
        <v>7</v>
      </c>
      <c r="C8112" s="221">
        <v>2</v>
      </c>
      <c r="D8112" s="231">
        <f t="shared" si="934"/>
        <v>45840</v>
      </c>
      <c r="E8112" s="233">
        <f t="shared" si="936"/>
        <v>45840</v>
      </c>
      <c r="F8112" s="478" t="s">
        <v>1844</v>
      </c>
      <c r="G8112" s="222" t="s">
        <v>1111</v>
      </c>
      <c r="H8112" s="223"/>
      <c r="I8112" s="223"/>
      <c r="J8112" s="224" t="s">
        <v>55</v>
      </c>
      <c r="K8112" s="225">
        <v>509743.6</v>
      </c>
      <c r="L8112" s="225"/>
    </row>
    <row r="8113" spans="1:13" ht="11.25" customHeight="1" x14ac:dyDescent="0.2">
      <c r="A8113" s="226">
        <v>2025</v>
      </c>
      <c r="B8113" s="226">
        <v>7</v>
      </c>
      <c r="C8113" s="226">
        <v>2</v>
      </c>
      <c r="D8113" s="232">
        <f t="shared" si="934"/>
        <v>45840</v>
      </c>
      <c r="E8113" s="234">
        <f t="shared" si="936"/>
        <v>45840</v>
      </c>
      <c r="F8113" s="479"/>
      <c r="G8113" s="227" t="s">
        <v>1111</v>
      </c>
      <c r="H8113" s="228"/>
      <c r="I8113" s="228"/>
      <c r="J8113" s="229" t="s">
        <v>199</v>
      </c>
      <c r="K8113" s="230"/>
      <c r="L8113" s="230">
        <v>509743.6</v>
      </c>
    </row>
    <row r="8114" spans="1:13" ht="11.25" customHeight="1" x14ac:dyDescent="0.2">
      <c r="A8114" s="221">
        <v>2025</v>
      </c>
      <c r="B8114" s="221">
        <v>7</v>
      </c>
      <c r="C8114" s="221">
        <v>2</v>
      </c>
      <c r="D8114" s="221">
        <f t="shared" si="934"/>
        <v>45840</v>
      </c>
      <c r="E8114" s="233">
        <f t="shared" si="936"/>
        <v>45840</v>
      </c>
      <c r="F8114" s="478" t="s">
        <v>1593</v>
      </c>
      <c r="G8114" s="222" t="s">
        <v>86</v>
      </c>
      <c r="H8114" s="222"/>
      <c r="I8114" s="223"/>
      <c r="J8114" s="224" t="s">
        <v>80</v>
      </c>
      <c r="K8114" s="225">
        <v>503031.7</v>
      </c>
      <c r="L8114" s="225"/>
    </row>
    <row r="8115" spans="1:13" ht="11.25" customHeight="1" x14ac:dyDescent="0.2">
      <c r="A8115" s="164">
        <v>2025</v>
      </c>
      <c r="B8115" s="164">
        <v>7</v>
      </c>
      <c r="C8115" s="164">
        <v>2</v>
      </c>
      <c r="D8115" s="164">
        <f t="shared" si="934"/>
        <v>45840</v>
      </c>
      <c r="E8115" s="235">
        <f t="shared" si="936"/>
        <v>45840</v>
      </c>
      <c r="F8115" s="480"/>
      <c r="G8115" s="208" t="s">
        <v>86</v>
      </c>
      <c r="H8115" s="208"/>
      <c r="J8115" s="165" t="s">
        <v>960</v>
      </c>
      <c r="K8115" s="205">
        <v>905.46</v>
      </c>
      <c r="L8115" s="205"/>
    </row>
    <row r="8116" spans="1:13" ht="11.25" customHeight="1" x14ac:dyDescent="0.2">
      <c r="A8116" s="226">
        <v>2025</v>
      </c>
      <c r="B8116" s="226">
        <v>7</v>
      </c>
      <c r="C8116" s="226">
        <v>2</v>
      </c>
      <c r="D8116" s="226">
        <f t="shared" si="934"/>
        <v>45840</v>
      </c>
      <c r="E8116" s="234">
        <f t="shared" si="936"/>
        <v>45840</v>
      </c>
      <c r="F8116" s="479"/>
      <c r="G8116" s="227" t="s">
        <v>86</v>
      </c>
      <c r="H8116" s="227"/>
      <c r="I8116" s="228"/>
      <c r="J8116" s="229" t="s">
        <v>143</v>
      </c>
      <c r="K8116" s="230"/>
      <c r="L8116" s="230">
        <v>503937.16</v>
      </c>
    </row>
    <row r="8117" spans="1:13" ht="11.25" customHeight="1" x14ac:dyDescent="0.2">
      <c r="A8117" s="221">
        <v>2025</v>
      </c>
      <c r="B8117" s="221">
        <v>7</v>
      </c>
      <c r="C8117" s="221">
        <v>2</v>
      </c>
      <c r="D8117" s="221">
        <f t="shared" si="934"/>
        <v>45840</v>
      </c>
      <c r="E8117" s="233">
        <f t="shared" ref="E8117:E8119" si="937">DATE(A8117,B8117,C8117)</f>
        <v>45840</v>
      </c>
      <c r="F8117" s="478" t="s">
        <v>1887</v>
      </c>
      <c r="G8117" s="222" t="s">
        <v>86</v>
      </c>
      <c r="H8117" s="222"/>
      <c r="I8117" s="223"/>
      <c r="J8117" s="224" t="s">
        <v>80</v>
      </c>
      <c r="K8117" s="225">
        <v>2054094.5</v>
      </c>
      <c r="L8117" s="225"/>
    </row>
    <row r="8118" spans="1:13" ht="11.25" customHeight="1" x14ac:dyDescent="0.2">
      <c r="A8118" s="164">
        <v>2025</v>
      </c>
      <c r="B8118" s="164">
        <v>7</v>
      </c>
      <c r="C8118" s="164">
        <v>2</v>
      </c>
      <c r="D8118" s="164">
        <f t="shared" si="934"/>
        <v>45840</v>
      </c>
      <c r="E8118" s="235">
        <f t="shared" si="937"/>
        <v>45840</v>
      </c>
      <c r="F8118" s="480"/>
      <c r="G8118" s="208" t="s">
        <v>86</v>
      </c>
      <c r="H8118" s="208"/>
      <c r="J8118" s="165" t="s">
        <v>960</v>
      </c>
      <c r="K8118" s="205">
        <v>3697.37</v>
      </c>
      <c r="L8118" s="205"/>
    </row>
    <row r="8119" spans="1:13" ht="11.25" customHeight="1" x14ac:dyDescent="0.2">
      <c r="A8119" s="226">
        <v>2025</v>
      </c>
      <c r="B8119" s="226">
        <v>7</v>
      </c>
      <c r="C8119" s="226">
        <v>2</v>
      </c>
      <c r="D8119" s="226">
        <f t="shared" si="934"/>
        <v>45840</v>
      </c>
      <c r="E8119" s="234">
        <f t="shared" si="937"/>
        <v>45840</v>
      </c>
      <c r="F8119" s="479"/>
      <c r="G8119" s="227" t="s">
        <v>86</v>
      </c>
      <c r="H8119" s="227"/>
      <c r="I8119" s="228"/>
      <c r="J8119" s="229" t="s">
        <v>143</v>
      </c>
      <c r="K8119" s="230"/>
      <c r="L8119" s="230">
        <v>2057791.87</v>
      </c>
    </row>
    <row r="8120" spans="1:13" ht="11.25" customHeight="1" x14ac:dyDescent="0.2">
      <c r="A8120" s="221">
        <v>2025</v>
      </c>
      <c r="B8120" s="221">
        <v>7</v>
      </c>
      <c r="C8120" s="221">
        <v>3</v>
      </c>
      <c r="D8120" s="231">
        <f t="shared" si="934"/>
        <v>45841</v>
      </c>
      <c r="E8120" s="233">
        <f>DATE(A8120,B8120,C8120)</f>
        <v>45841</v>
      </c>
      <c r="F8120" s="478" t="s">
        <v>1890</v>
      </c>
      <c r="G8120" s="222" t="s">
        <v>1111</v>
      </c>
      <c r="H8120" s="223"/>
      <c r="I8120" s="223"/>
      <c r="J8120" s="224" t="s">
        <v>55</v>
      </c>
      <c r="K8120" s="225">
        <v>8509219.4399999995</v>
      </c>
      <c r="L8120" s="225"/>
    </row>
    <row r="8121" spans="1:13" ht="11.25" customHeight="1" x14ac:dyDescent="0.2">
      <c r="A8121" s="226">
        <v>2025</v>
      </c>
      <c r="B8121" s="226">
        <v>7</v>
      </c>
      <c r="C8121" s="226">
        <v>3</v>
      </c>
      <c r="D8121" s="232">
        <f t="shared" si="934"/>
        <v>45841</v>
      </c>
      <c r="E8121" s="234">
        <f>DATE(A8121,B8121,C8121)</f>
        <v>45841</v>
      </c>
      <c r="F8121" s="479"/>
      <c r="G8121" s="227" t="s">
        <v>1111</v>
      </c>
      <c r="H8121" s="228"/>
      <c r="I8121" s="228"/>
      <c r="J8121" s="229" t="s">
        <v>199</v>
      </c>
      <c r="K8121" s="230"/>
      <c r="L8121" s="230">
        <v>8509219.4399999995</v>
      </c>
    </row>
    <row r="8122" spans="1:13" ht="11.25" customHeight="1" x14ac:dyDescent="0.2">
      <c r="A8122" s="221">
        <v>2025</v>
      </c>
      <c r="B8122" s="221">
        <v>7</v>
      </c>
      <c r="C8122" s="221">
        <v>3</v>
      </c>
      <c r="D8122" s="231">
        <f t="shared" si="934"/>
        <v>45841</v>
      </c>
      <c r="E8122" s="233">
        <f t="shared" si="936"/>
        <v>45841</v>
      </c>
      <c r="F8122" s="478" t="s">
        <v>1670</v>
      </c>
      <c r="G8122" s="222" t="s">
        <v>1111</v>
      </c>
      <c r="H8122" s="223"/>
      <c r="I8122" s="223"/>
      <c r="J8122" s="224" t="s">
        <v>63</v>
      </c>
      <c r="K8122" s="225">
        <v>58</v>
      </c>
      <c r="L8122" s="225"/>
    </row>
    <row r="8123" spans="1:13" ht="11.25" customHeight="1" x14ac:dyDescent="0.2">
      <c r="A8123" s="226">
        <v>2025</v>
      </c>
      <c r="B8123" s="226">
        <v>7</v>
      </c>
      <c r="C8123" s="226">
        <v>3</v>
      </c>
      <c r="D8123" s="232">
        <f t="shared" si="934"/>
        <v>45841</v>
      </c>
      <c r="E8123" s="234">
        <f t="shared" si="936"/>
        <v>45841</v>
      </c>
      <c r="F8123" s="479"/>
      <c r="G8123" s="227" t="s">
        <v>1111</v>
      </c>
      <c r="H8123" s="228"/>
      <c r="I8123" s="228"/>
      <c r="J8123" s="229" t="s">
        <v>55</v>
      </c>
      <c r="K8123" s="230"/>
      <c r="L8123" s="230">
        <v>58</v>
      </c>
    </row>
    <row r="8124" spans="1:13" ht="11.25" customHeight="1" x14ac:dyDescent="0.2">
      <c r="A8124" s="221">
        <v>2025</v>
      </c>
      <c r="B8124" s="221">
        <v>7</v>
      </c>
      <c r="C8124" s="221">
        <v>3</v>
      </c>
      <c r="D8124" s="231">
        <f t="shared" si="934"/>
        <v>45841</v>
      </c>
      <c r="E8124" s="233">
        <f t="shared" ref="E8124:E8148" si="938">DATE(A8124,B8124,C8124)</f>
        <v>45841</v>
      </c>
      <c r="F8124" s="478" t="s">
        <v>1670</v>
      </c>
      <c r="G8124" s="222" t="s">
        <v>1111</v>
      </c>
      <c r="H8124" s="223"/>
      <c r="I8124" s="223"/>
      <c r="J8124" s="224" t="s">
        <v>63</v>
      </c>
      <c r="K8124" s="225">
        <v>1290</v>
      </c>
      <c r="L8124" s="225"/>
    </row>
    <row r="8125" spans="1:13" ht="11.25" customHeight="1" x14ac:dyDescent="0.2">
      <c r="A8125" s="226">
        <v>2025</v>
      </c>
      <c r="B8125" s="226">
        <v>7</v>
      </c>
      <c r="C8125" s="226">
        <v>3</v>
      </c>
      <c r="D8125" s="232">
        <f t="shared" si="934"/>
        <v>45841</v>
      </c>
      <c r="E8125" s="234">
        <f t="shared" si="938"/>
        <v>45841</v>
      </c>
      <c r="F8125" s="479"/>
      <c r="G8125" s="227" t="s">
        <v>1111</v>
      </c>
      <c r="H8125" s="228"/>
      <c r="I8125" s="228"/>
      <c r="J8125" s="229" t="s">
        <v>55</v>
      </c>
      <c r="K8125" s="230"/>
      <c r="L8125" s="230">
        <v>1290</v>
      </c>
    </row>
    <row r="8126" spans="1:13" ht="11.25" customHeight="1" x14ac:dyDescent="0.2">
      <c r="A8126" s="164">
        <v>2025</v>
      </c>
      <c r="B8126" s="164">
        <v>7</v>
      </c>
      <c r="C8126" s="164">
        <v>3</v>
      </c>
      <c r="D8126" s="164">
        <f t="shared" si="934"/>
        <v>45841</v>
      </c>
      <c r="E8126" s="235">
        <f t="shared" si="938"/>
        <v>45841</v>
      </c>
      <c r="F8126" s="480" t="s">
        <v>1842</v>
      </c>
      <c r="G8126" s="208" t="s">
        <v>86</v>
      </c>
      <c r="H8126" s="208"/>
      <c r="J8126" s="165" t="s">
        <v>199</v>
      </c>
      <c r="K8126" s="205">
        <v>528047.80000000005</v>
      </c>
      <c r="L8126" s="205"/>
    </row>
    <row r="8127" spans="1:13" ht="11.25" customHeight="1" x14ac:dyDescent="0.2">
      <c r="A8127" s="164">
        <v>2025</v>
      </c>
      <c r="B8127" s="164">
        <v>7</v>
      </c>
      <c r="C8127" s="164">
        <v>3</v>
      </c>
      <c r="D8127" s="164">
        <f t="shared" si="934"/>
        <v>45841</v>
      </c>
      <c r="E8127" s="235">
        <f t="shared" si="938"/>
        <v>45841</v>
      </c>
      <c r="F8127" s="480"/>
      <c r="G8127" s="208" t="s">
        <v>86</v>
      </c>
      <c r="H8127" s="208"/>
      <c r="J8127" s="165" t="s">
        <v>960</v>
      </c>
      <c r="K8127" s="205">
        <v>952.2</v>
      </c>
      <c r="L8127" s="205"/>
      <c r="M8127" s="401"/>
    </row>
    <row r="8128" spans="1:13" ht="11.25" customHeight="1" x14ac:dyDescent="0.2">
      <c r="A8128" s="164">
        <v>2025</v>
      </c>
      <c r="B8128" s="164">
        <v>7</v>
      </c>
      <c r="C8128" s="164">
        <v>3</v>
      </c>
      <c r="D8128" s="164">
        <f t="shared" si="934"/>
        <v>45841</v>
      </c>
      <c r="E8128" s="235">
        <f t="shared" si="938"/>
        <v>45841</v>
      </c>
      <c r="F8128" s="480"/>
      <c r="G8128" s="208" t="s">
        <v>86</v>
      </c>
      <c r="H8128" s="208"/>
      <c r="J8128" s="165" t="s">
        <v>200</v>
      </c>
      <c r="K8128" s="205"/>
      <c r="L8128" s="205">
        <v>131159.74</v>
      </c>
    </row>
    <row r="8129" spans="1:14" ht="11.25" customHeight="1" x14ac:dyDescent="0.2">
      <c r="A8129" s="226">
        <v>2025</v>
      </c>
      <c r="B8129" s="226">
        <v>7</v>
      </c>
      <c r="C8129" s="226">
        <v>3</v>
      </c>
      <c r="D8129" s="226">
        <f t="shared" si="934"/>
        <v>45841</v>
      </c>
      <c r="E8129" s="234">
        <f t="shared" si="938"/>
        <v>45841</v>
      </c>
      <c r="F8129" s="479"/>
      <c r="G8129" s="227" t="s">
        <v>86</v>
      </c>
      <c r="H8129" s="228"/>
      <c r="I8129" s="228"/>
      <c r="J8129" s="229" t="s">
        <v>80</v>
      </c>
      <c r="K8129" s="230"/>
      <c r="L8129" s="230">
        <v>397840.26</v>
      </c>
    </row>
    <row r="8130" spans="1:14" ht="11.25" customHeight="1" x14ac:dyDescent="0.2">
      <c r="A8130" s="221">
        <v>2025</v>
      </c>
      <c r="B8130" s="221">
        <v>7</v>
      </c>
      <c r="C8130" s="221">
        <v>3</v>
      </c>
      <c r="D8130" s="221">
        <f t="shared" si="934"/>
        <v>45841</v>
      </c>
      <c r="E8130" s="233">
        <f t="shared" si="938"/>
        <v>45841</v>
      </c>
      <c r="F8130" s="478" t="s">
        <v>1918</v>
      </c>
      <c r="G8130" s="222" t="s">
        <v>86</v>
      </c>
      <c r="H8130" s="222"/>
      <c r="I8130" s="223"/>
      <c r="J8130" s="224" t="s">
        <v>80</v>
      </c>
      <c r="K8130" s="225">
        <v>1969294.4</v>
      </c>
      <c r="L8130" s="225"/>
    </row>
    <row r="8131" spans="1:14" ht="11.25" customHeight="1" x14ac:dyDescent="0.2">
      <c r="A8131" s="164">
        <v>2025</v>
      </c>
      <c r="B8131" s="164">
        <v>7</v>
      </c>
      <c r="C8131" s="164">
        <v>3</v>
      </c>
      <c r="D8131" s="164">
        <f t="shared" si="934"/>
        <v>45841</v>
      </c>
      <c r="E8131" s="235">
        <f t="shared" si="938"/>
        <v>45841</v>
      </c>
      <c r="F8131" s="480"/>
      <c r="G8131" s="208" t="s">
        <v>86</v>
      </c>
      <c r="H8131" s="208"/>
      <c r="J8131" s="165" t="s">
        <v>960</v>
      </c>
      <c r="K8131" s="205">
        <v>6310.43</v>
      </c>
      <c r="L8131" s="205"/>
      <c r="M8131" s="263"/>
      <c r="N8131" s="263"/>
    </row>
    <row r="8132" spans="1:14" ht="11.25" customHeight="1" x14ac:dyDescent="0.2">
      <c r="A8132" s="164">
        <v>2025</v>
      </c>
      <c r="B8132" s="164">
        <v>7</v>
      </c>
      <c r="C8132" s="164">
        <v>3</v>
      </c>
      <c r="D8132" s="164">
        <f t="shared" si="934"/>
        <v>45841</v>
      </c>
      <c r="E8132" s="235">
        <f t="shared" si="938"/>
        <v>45841</v>
      </c>
      <c r="F8132" s="480"/>
      <c r="G8132" s="208" t="s">
        <v>86</v>
      </c>
      <c r="H8132" s="208"/>
      <c r="J8132" s="165" t="s">
        <v>143</v>
      </c>
      <c r="K8132" s="205"/>
      <c r="L8132" s="205">
        <v>439104.83</v>
      </c>
      <c r="M8132" s="263"/>
    </row>
    <row r="8133" spans="1:14" ht="11.25" customHeight="1" x14ac:dyDescent="0.2">
      <c r="A8133" s="164">
        <v>2025</v>
      </c>
      <c r="B8133" s="164">
        <v>7</v>
      </c>
      <c r="C8133" s="164">
        <v>3</v>
      </c>
      <c r="D8133" s="164">
        <f t="shared" si="934"/>
        <v>45841</v>
      </c>
      <c r="E8133" s="235">
        <f t="shared" si="938"/>
        <v>45841</v>
      </c>
      <c r="F8133" s="480"/>
      <c r="G8133" s="208" t="s">
        <v>86</v>
      </c>
      <c r="H8133" s="208"/>
      <c r="J8133" s="165" t="s">
        <v>200</v>
      </c>
      <c r="K8133" s="205"/>
      <c r="L8133" s="205">
        <v>287990.76</v>
      </c>
      <c r="M8133" s="263"/>
    </row>
    <row r="8134" spans="1:14" ht="11.25" customHeight="1" x14ac:dyDescent="0.2">
      <c r="A8134" s="226">
        <v>2025</v>
      </c>
      <c r="B8134" s="226">
        <v>7</v>
      </c>
      <c r="C8134" s="226">
        <v>3</v>
      </c>
      <c r="D8134" s="226">
        <f t="shared" si="934"/>
        <v>45841</v>
      </c>
      <c r="E8134" s="234">
        <f t="shared" si="938"/>
        <v>45841</v>
      </c>
      <c r="F8134" s="479"/>
      <c r="G8134" s="227" t="s">
        <v>86</v>
      </c>
      <c r="H8134" s="228"/>
      <c r="I8134" s="228"/>
      <c r="J8134" s="229" t="s">
        <v>80</v>
      </c>
      <c r="K8134" s="230"/>
      <c r="L8134" s="230">
        <v>1248509.24</v>
      </c>
      <c r="M8134" s="263"/>
    </row>
    <row r="8135" spans="1:14" ht="11.25" customHeight="1" x14ac:dyDescent="0.2">
      <c r="A8135" s="221">
        <v>2025</v>
      </c>
      <c r="B8135" s="221">
        <v>7</v>
      </c>
      <c r="C8135" s="221">
        <v>3</v>
      </c>
      <c r="D8135" s="231">
        <f t="shared" si="934"/>
        <v>45841</v>
      </c>
      <c r="E8135" s="233">
        <f>DATE(A8135,B8135,C8135)</f>
        <v>45841</v>
      </c>
      <c r="F8135" s="478" t="s">
        <v>1890</v>
      </c>
      <c r="G8135" s="222" t="s">
        <v>1111</v>
      </c>
      <c r="H8135" s="223"/>
      <c r="I8135" s="223"/>
      <c r="J8135" s="224" t="s">
        <v>55</v>
      </c>
      <c r="K8135" s="225">
        <v>2448426.19</v>
      </c>
      <c r="L8135" s="225"/>
    </row>
    <row r="8136" spans="1:14" ht="11.25" customHeight="1" x14ac:dyDescent="0.2">
      <c r="A8136" s="226">
        <v>2025</v>
      </c>
      <c r="B8136" s="226">
        <v>7</v>
      </c>
      <c r="C8136" s="226">
        <v>3</v>
      </c>
      <c r="D8136" s="232">
        <f t="shared" si="934"/>
        <v>45841</v>
      </c>
      <c r="E8136" s="234">
        <f>DATE(A8136,B8136,C8136)</f>
        <v>45841</v>
      </c>
      <c r="F8136" s="479"/>
      <c r="G8136" s="227" t="s">
        <v>1111</v>
      </c>
      <c r="H8136" s="228"/>
      <c r="I8136" s="228"/>
      <c r="J8136" s="229" t="s">
        <v>199</v>
      </c>
      <c r="K8136" s="230"/>
      <c r="L8136" s="230">
        <v>2448426.19</v>
      </c>
    </row>
    <row r="8137" spans="1:14" ht="11.25" customHeight="1" x14ac:dyDescent="0.2">
      <c r="A8137" s="221">
        <v>2025</v>
      </c>
      <c r="B8137" s="221">
        <v>7</v>
      </c>
      <c r="C8137" s="221">
        <v>3</v>
      </c>
      <c r="D8137" s="231">
        <f t="shared" ref="D8137:D8200" si="939">DATE(A8137,B8137,C8137)</f>
        <v>45841</v>
      </c>
      <c r="E8137" s="233">
        <f t="shared" ref="E8137:E8140" si="940">DATE(A8137,B8137,C8137)</f>
        <v>45841</v>
      </c>
      <c r="F8137" s="478" t="s">
        <v>1803</v>
      </c>
      <c r="G8137" s="222" t="s">
        <v>1111</v>
      </c>
      <c r="H8137" s="223"/>
      <c r="I8137" s="223"/>
      <c r="J8137" s="165" t="s">
        <v>55</v>
      </c>
      <c r="K8137" s="225">
        <v>115000</v>
      </c>
      <c r="L8137" s="225"/>
    </row>
    <row r="8138" spans="1:14" ht="11.25" customHeight="1" x14ac:dyDescent="0.2">
      <c r="A8138" s="226">
        <v>2025</v>
      </c>
      <c r="B8138" s="226">
        <v>7</v>
      </c>
      <c r="C8138" s="226">
        <v>3</v>
      </c>
      <c r="D8138" s="232">
        <f t="shared" si="939"/>
        <v>45841</v>
      </c>
      <c r="E8138" s="234">
        <f t="shared" si="940"/>
        <v>45841</v>
      </c>
      <c r="F8138" s="479"/>
      <c r="G8138" s="227" t="s">
        <v>1111</v>
      </c>
      <c r="H8138" s="228"/>
      <c r="I8138" s="228"/>
      <c r="J8138" s="229" t="s">
        <v>131</v>
      </c>
      <c r="K8138" s="230"/>
      <c r="L8138" s="230">
        <v>115000</v>
      </c>
    </row>
    <row r="8139" spans="1:14" ht="11.25" customHeight="1" x14ac:dyDescent="0.2">
      <c r="A8139" s="221">
        <v>2025</v>
      </c>
      <c r="B8139" s="221">
        <v>7</v>
      </c>
      <c r="C8139" s="221">
        <v>3</v>
      </c>
      <c r="D8139" s="231">
        <f t="shared" si="939"/>
        <v>45841</v>
      </c>
      <c r="E8139" s="233">
        <f t="shared" si="940"/>
        <v>45841</v>
      </c>
      <c r="F8139" s="478" t="s">
        <v>1670</v>
      </c>
      <c r="G8139" s="222" t="s">
        <v>1111</v>
      </c>
      <c r="H8139" s="223"/>
      <c r="I8139" s="223"/>
      <c r="J8139" s="224" t="s">
        <v>63</v>
      </c>
      <c r="K8139" s="225">
        <v>72.971526660025106</v>
      </c>
      <c r="L8139" s="225"/>
    </row>
    <row r="8140" spans="1:14" ht="11.25" customHeight="1" x14ac:dyDescent="0.2">
      <c r="A8140" s="226">
        <v>2025</v>
      </c>
      <c r="B8140" s="226">
        <v>7</v>
      </c>
      <c r="C8140" s="226">
        <v>3</v>
      </c>
      <c r="D8140" s="232">
        <f t="shared" si="939"/>
        <v>45841</v>
      </c>
      <c r="E8140" s="234">
        <f t="shared" si="940"/>
        <v>45841</v>
      </c>
      <c r="F8140" s="479"/>
      <c r="G8140" s="227" t="s">
        <v>1111</v>
      </c>
      <c r="H8140" s="228"/>
      <c r="I8140" s="228"/>
      <c r="J8140" s="229" t="s">
        <v>55</v>
      </c>
      <c r="K8140" s="230"/>
      <c r="L8140" s="230">
        <v>72.971526660025106</v>
      </c>
    </row>
    <row r="8141" spans="1:14" ht="11.25" customHeight="1" x14ac:dyDescent="0.2">
      <c r="A8141" s="280">
        <v>2025</v>
      </c>
      <c r="B8141" s="280">
        <v>7</v>
      </c>
      <c r="C8141" s="280">
        <v>3</v>
      </c>
      <c r="D8141" s="281">
        <f t="shared" si="939"/>
        <v>45841</v>
      </c>
      <c r="E8141" s="282">
        <f t="shared" si="938"/>
        <v>45841</v>
      </c>
      <c r="F8141" s="472" t="s">
        <v>1744</v>
      </c>
      <c r="G8141" s="283" t="s">
        <v>86</v>
      </c>
      <c r="H8141" s="284"/>
      <c r="I8141" s="284"/>
      <c r="J8141" s="285" t="s">
        <v>131</v>
      </c>
      <c r="K8141" s="286">
        <v>19358.330000000002</v>
      </c>
      <c r="L8141" s="286"/>
      <c r="M8141" s="401"/>
    </row>
    <row r="8142" spans="1:14" ht="11.25" customHeight="1" x14ac:dyDescent="0.2">
      <c r="A8142" s="287">
        <v>2025</v>
      </c>
      <c r="B8142" s="287">
        <v>7</v>
      </c>
      <c r="C8142" s="287">
        <v>3</v>
      </c>
      <c r="D8142" s="288">
        <f t="shared" si="939"/>
        <v>45841</v>
      </c>
      <c r="E8142" s="289">
        <f t="shared" si="938"/>
        <v>45841</v>
      </c>
      <c r="F8142" s="473"/>
      <c r="G8142" s="290" t="s">
        <v>86</v>
      </c>
      <c r="H8142" s="291"/>
      <c r="I8142" s="291"/>
      <c r="J8142" s="292" t="s">
        <v>174</v>
      </c>
      <c r="K8142" s="293"/>
      <c r="L8142" s="293">
        <f>K8141</f>
        <v>19358.330000000002</v>
      </c>
    </row>
    <row r="8143" spans="1:14" ht="11.25" customHeight="1" x14ac:dyDescent="0.2">
      <c r="A8143" s="280">
        <v>2025</v>
      </c>
      <c r="B8143" s="280">
        <v>7</v>
      </c>
      <c r="C8143" s="280">
        <v>3</v>
      </c>
      <c r="D8143" s="281">
        <f t="shared" si="939"/>
        <v>45841</v>
      </c>
      <c r="E8143" s="282">
        <f t="shared" si="938"/>
        <v>45841</v>
      </c>
      <c r="F8143" s="472" t="s">
        <v>1584</v>
      </c>
      <c r="G8143" s="283" t="s">
        <v>86</v>
      </c>
      <c r="H8143" s="284"/>
      <c r="I8143" s="284"/>
      <c r="J8143" s="285" t="s">
        <v>131</v>
      </c>
      <c r="K8143" s="286">
        <v>8846.15</v>
      </c>
      <c r="L8143" s="286"/>
      <c r="M8143" s="401"/>
    </row>
    <row r="8144" spans="1:14" ht="11.25" customHeight="1" x14ac:dyDescent="0.2">
      <c r="A8144" s="287">
        <v>2025</v>
      </c>
      <c r="B8144" s="287">
        <v>7</v>
      </c>
      <c r="C8144" s="287">
        <v>3</v>
      </c>
      <c r="D8144" s="288">
        <f t="shared" si="939"/>
        <v>45841</v>
      </c>
      <c r="E8144" s="289">
        <f t="shared" si="938"/>
        <v>45841</v>
      </c>
      <c r="F8144" s="473"/>
      <c r="G8144" s="290" t="s">
        <v>86</v>
      </c>
      <c r="H8144" s="291"/>
      <c r="I8144" s="291"/>
      <c r="J8144" s="292" t="s">
        <v>174</v>
      </c>
      <c r="K8144" s="293"/>
      <c r="L8144" s="293">
        <f>K8143</f>
        <v>8846.15</v>
      </c>
    </row>
    <row r="8145" spans="1:13" ht="11.25" customHeight="1" x14ac:dyDescent="0.2">
      <c r="A8145" s="280">
        <v>2025</v>
      </c>
      <c r="B8145" s="280">
        <v>7</v>
      </c>
      <c r="C8145" s="280">
        <v>3</v>
      </c>
      <c r="D8145" s="281">
        <f t="shared" si="939"/>
        <v>45841</v>
      </c>
      <c r="E8145" s="282">
        <f t="shared" si="938"/>
        <v>45841</v>
      </c>
      <c r="F8145" s="472" t="s">
        <v>1830</v>
      </c>
      <c r="G8145" s="283" t="s">
        <v>86</v>
      </c>
      <c r="H8145" s="284"/>
      <c r="I8145" s="284"/>
      <c r="J8145" s="285" t="s">
        <v>131</v>
      </c>
      <c r="K8145" s="286">
        <v>11634.615384615385</v>
      </c>
      <c r="L8145" s="286"/>
      <c r="M8145" s="401"/>
    </row>
    <row r="8146" spans="1:13" ht="11.25" customHeight="1" x14ac:dyDescent="0.2">
      <c r="A8146" s="287">
        <v>2025</v>
      </c>
      <c r="B8146" s="287">
        <v>7</v>
      </c>
      <c r="C8146" s="287">
        <v>3</v>
      </c>
      <c r="D8146" s="288">
        <f t="shared" si="939"/>
        <v>45841</v>
      </c>
      <c r="E8146" s="289">
        <f t="shared" si="938"/>
        <v>45841</v>
      </c>
      <c r="F8146" s="473"/>
      <c r="G8146" s="290" t="s">
        <v>86</v>
      </c>
      <c r="H8146" s="291"/>
      <c r="I8146" s="291"/>
      <c r="J8146" s="292" t="s">
        <v>174</v>
      </c>
      <c r="K8146" s="293"/>
      <c r="L8146" s="293">
        <v>11634.615384615385</v>
      </c>
    </row>
    <row r="8147" spans="1:13" ht="11.25" customHeight="1" x14ac:dyDescent="0.2">
      <c r="A8147" s="341">
        <v>2025</v>
      </c>
      <c r="B8147" s="341">
        <v>7</v>
      </c>
      <c r="C8147" s="341">
        <v>3</v>
      </c>
      <c r="D8147" s="328">
        <f t="shared" si="939"/>
        <v>45841</v>
      </c>
      <c r="E8147" s="329">
        <f t="shared" si="938"/>
        <v>45841</v>
      </c>
      <c r="F8147" s="474" t="s">
        <v>1767</v>
      </c>
      <c r="G8147" s="330" t="s">
        <v>86</v>
      </c>
      <c r="H8147" s="332"/>
      <c r="I8147" s="332"/>
      <c r="J8147" s="342" t="s">
        <v>67</v>
      </c>
      <c r="K8147" s="343">
        <v>14120.36</v>
      </c>
      <c r="L8147" s="343"/>
    </row>
    <row r="8148" spans="1:13" ht="11.25" customHeight="1" x14ac:dyDescent="0.2">
      <c r="A8148" s="344">
        <v>2025</v>
      </c>
      <c r="B8148" s="344">
        <v>7</v>
      </c>
      <c r="C8148" s="344">
        <v>3</v>
      </c>
      <c r="D8148" s="337">
        <f t="shared" si="939"/>
        <v>45841</v>
      </c>
      <c r="E8148" s="338">
        <f t="shared" si="938"/>
        <v>45841</v>
      </c>
      <c r="F8148" s="475"/>
      <c r="G8148" s="339" t="s">
        <v>86</v>
      </c>
      <c r="H8148" s="340"/>
      <c r="I8148" s="340"/>
      <c r="J8148" s="345" t="s">
        <v>174</v>
      </c>
      <c r="K8148" s="346"/>
      <c r="L8148" s="346">
        <f>K8147</f>
        <v>14120.36</v>
      </c>
    </row>
    <row r="8149" spans="1:13" ht="11.25" customHeight="1" x14ac:dyDescent="0.2">
      <c r="A8149" s="358">
        <v>2025</v>
      </c>
      <c r="B8149" s="358">
        <v>7</v>
      </c>
      <c r="C8149" s="358">
        <v>3</v>
      </c>
      <c r="D8149" s="312">
        <f t="shared" si="939"/>
        <v>45841</v>
      </c>
      <c r="E8149" s="313">
        <f>DATE(A8149,B8149,C8149)</f>
        <v>45841</v>
      </c>
      <c r="F8149" s="482" t="s">
        <v>1627</v>
      </c>
      <c r="G8149" s="314" t="s">
        <v>86</v>
      </c>
      <c r="H8149" s="324"/>
      <c r="I8149" s="324"/>
      <c r="J8149" s="364" t="s">
        <v>1613</v>
      </c>
      <c r="K8149" s="365">
        <v>0</v>
      </c>
      <c r="L8149" s="365"/>
      <c r="M8149" s="156">
        <f>BS!$I$12</f>
        <v>0</v>
      </c>
    </row>
    <row r="8150" spans="1:13" ht="11.25" customHeight="1" x14ac:dyDescent="0.2">
      <c r="A8150" s="320">
        <v>2025</v>
      </c>
      <c r="B8150" s="320">
        <v>7</v>
      </c>
      <c r="C8150" s="320">
        <v>3</v>
      </c>
      <c r="D8150" s="323">
        <f t="shared" si="939"/>
        <v>45841</v>
      </c>
      <c r="E8150" s="321">
        <f t="shared" ref="E8150" si="941">DATE(A8150,B8150,C8150)</f>
        <v>45841</v>
      </c>
      <c r="F8150" s="483"/>
      <c r="G8150" s="322" t="s">
        <v>86</v>
      </c>
      <c r="H8150" s="325"/>
      <c r="I8150" s="325"/>
      <c r="J8150" s="366" t="s">
        <v>1621</v>
      </c>
      <c r="K8150" s="367"/>
      <c r="L8150" s="367">
        <f>K8149</f>
        <v>0</v>
      </c>
    </row>
    <row r="8151" spans="1:13" ht="11.25" customHeight="1" x14ac:dyDescent="0.2">
      <c r="A8151" s="358">
        <v>2025</v>
      </c>
      <c r="B8151" s="358">
        <v>7</v>
      </c>
      <c r="C8151" s="358">
        <v>3</v>
      </c>
      <c r="D8151" s="312">
        <f t="shared" si="939"/>
        <v>45841</v>
      </c>
      <c r="E8151" s="313">
        <f>DATE(A8151,B8151,C8151)</f>
        <v>45841</v>
      </c>
      <c r="F8151" s="482" t="s">
        <v>1713</v>
      </c>
      <c r="G8151" s="314" t="s">
        <v>86</v>
      </c>
      <c r="H8151" s="324"/>
      <c r="I8151" s="324"/>
      <c r="J8151" s="364" t="s">
        <v>1614</v>
      </c>
      <c r="K8151" s="365">
        <v>42419.979000002146</v>
      </c>
      <c r="L8151" s="365"/>
      <c r="M8151" s="156">
        <f>BS!$I$15</f>
        <v>0</v>
      </c>
    </row>
    <row r="8152" spans="1:13" ht="11.25" customHeight="1" x14ac:dyDescent="0.2">
      <c r="A8152" s="320">
        <v>2025</v>
      </c>
      <c r="B8152" s="320">
        <v>7</v>
      </c>
      <c r="C8152" s="320">
        <v>3</v>
      </c>
      <c r="D8152" s="323">
        <f t="shared" si="939"/>
        <v>45841</v>
      </c>
      <c r="E8152" s="321">
        <f t="shared" ref="E8152:E8162" si="942">DATE(A8152,B8152,C8152)</f>
        <v>45841</v>
      </c>
      <c r="F8152" s="483"/>
      <c r="G8152" s="322" t="s">
        <v>86</v>
      </c>
      <c r="H8152" s="325"/>
      <c r="I8152" s="325"/>
      <c r="J8152" s="366" t="s">
        <v>1622</v>
      </c>
      <c r="K8152" s="367"/>
      <c r="L8152" s="367">
        <f>K8151</f>
        <v>42419.979000002146</v>
      </c>
    </row>
    <row r="8153" spans="1:13" ht="11.25" customHeight="1" x14ac:dyDescent="0.2">
      <c r="A8153" s="236">
        <v>2025</v>
      </c>
      <c r="B8153" s="236">
        <v>7</v>
      </c>
      <c r="C8153" s="236">
        <v>3</v>
      </c>
      <c r="D8153" s="237">
        <f t="shared" si="939"/>
        <v>45841</v>
      </c>
      <c r="E8153" s="238">
        <f t="shared" si="942"/>
        <v>45841</v>
      </c>
      <c r="F8153" s="476" t="s">
        <v>1118</v>
      </c>
      <c r="G8153" s="239" t="s">
        <v>86</v>
      </c>
      <c r="H8153" s="239"/>
      <c r="I8153" s="240"/>
      <c r="J8153" s="241" t="s">
        <v>98</v>
      </c>
      <c r="K8153" s="242">
        <v>1800548.8300000131</v>
      </c>
      <c r="L8153" s="242"/>
      <c r="M8153" s="156">
        <f>BS!$I$8</f>
        <v>0</v>
      </c>
    </row>
    <row r="8154" spans="1:13" ht="11.25" customHeight="1" x14ac:dyDescent="0.2">
      <c r="A8154" s="243">
        <v>2025</v>
      </c>
      <c r="B8154" s="243">
        <v>7</v>
      </c>
      <c r="C8154" s="243">
        <v>3</v>
      </c>
      <c r="D8154" s="248">
        <f t="shared" si="939"/>
        <v>45841</v>
      </c>
      <c r="E8154" s="249">
        <f t="shared" si="942"/>
        <v>45841</v>
      </c>
      <c r="F8154" s="477"/>
      <c r="G8154" s="244" t="s">
        <v>86</v>
      </c>
      <c r="H8154" s="244"/>
      <c r="I8154" s="245"/>
      <c r="J8154" s="246" t="s">
        <v>82</v>
      </c>
      <c r="K8154" s="247"/>
      <c r="L8154" s="247">
        <f>K8153</f>
        <v>1800548.8300000131</v>
      </c>
    </row>
    <row r="8155" spans="1:13" ht="11.25" customHeight="1" x14ac:dyDescent="0.2">
      <c r="A8155" s="236">
        <v>2025</v>
      </c>
      <c r="B8155" s="236">
        <v>7</v>
      </c>
      <c r="C8155" s="236">
        <v>3</v>
      </c>
      <c r="D8155" s="237">
        <f t="shared" si="939"/>
        <v>45841</v>
      </c>
      <c r="E8155" s="238">
        <f t="shared" si="942"/>
        <v>45841</v>
      </c>
      <c r="F8155" s="476" t="s">
        <v>1120</v>
      </c>
      <c r="G8155" s="239" t="s">
        <v>86</v>
      </c>
      <c r="H8155" s="239"/>
      <c r="I8155" s="240"/>
      <c r="J8155" s="241" t="s">
        <v>87</v>
      </c>
      <c r="K8155" s="242">
        <v>2747.2527472527472</v>
      </c>
      <c r="L8155" s="242"/>
      <c r="M8155" s="401"/>
    </row>
    <row r="8156" spans="1:13" ht="11.25" customHeight="1" x14ac:dyDescent="0.2">
      <c r="A8156" s="243">
        <v>2025</v>
      </c>
      <c r="B8156" s="243">
        <v>7</v>
      </c>
      <c r="C8156" s="243">
        <v>3</v>
      </c>
      <c r="D8156" s="248">
        <f t="shared" si="939"/>
        <v>45841</v>
      </c>
      <c r="E8156" s="249">
        <f t="shared" si="942"/>
        <v>45841</v>
      </c>
      <c r="F8156" s="477"/>
      <c r="G8156" s="244" t="s">
        <v>86</v>
      </c>
      <c r="H8156" s="244"/>
      <c r="I8156" s="245"/>
      <c r="J8156" s="246" t="s">
        <v>64</v>
      </c>
      <c r="K8156" s="247"/>
      <c r="L8156" s="247">
        <f>K8155</f>
        <v>2747.2527472527472</v>
      </c>
    </row>
    <row r="8157" spans="1:13" ht="11.25" customHeight="1" x14ac:dyDescent="0.2">
      <c r="A8157" s="236">
        <v>2025</v>
      </c>
      <c r="B8157" s="236">
        <v>7</v>
      </c>
      <c r="C8157" s="236">
        <v>3</v>
      </c>
      <c r="D8157" s="237">
        <f t="shared" si="939"/>
        <v>45841</v>
      </c>
      <c r="E8157" s="238">
        <f t="shared" si="942"/>
        <v>45841</v>
      </c>
      <c r="F8157" s="476" t="s">
        <v>1121</v>
      </c>
      <c r="G8157" s="239" t="s">
        <v>86</v>
      </c>
      <c r="H8157" s="239"/>
      <c r="I8157" s="240"/>
      <c r="J8157" s="241" t="s">
        <v>89</v>
      </c>
      <c r="K8157" s="242">
        <f>M8157</f>
        <v>73096.998273668869</v>
      </c>
      <c r="L8157" s="242"/>
      <c r="M8157" s="156">
        <v>73096.998273668869</v>
      </c>
    </row>
    <row r="8158" spans="1:13" ht="11.25" customHeight="1" x14ac:dyDescent="0.2">
      <c r="A8158" s="243">
        <v>2025</v>
      </c>
      <c r="B8158" s="243">
        <v>7</v>
      </c>
      <c r="C8158" s="243">
        <v>3</v>
      </c>
      <c r="D8158" s="248">
        <f t="shared" si="939"/>
        <v>45841</v>
      </c>
      <c r="E8158" s="249">
        <f t="shared" si="942"/>
        <v>45841</v>
      </c>
      <c r="F8158" s="477"/>
      <c r="G8158" s="244" t="s">
        <v>86</v>
      </c>
      <c r="H8158" s="244"/>
      <c r="I8158" s="245"/>
      <c r="J8158" s="246" t="s">
        <v>50</v>
      </c>
      <c r="K8158" s="247"/>
      <c r="L8158" s="247">
        <f>K8157</f>
        <v>73096.998273668869</v>
      </c>
      <c r="M8158" s="156">
        <v>3414.4652982988287</v>
      </c>
    </row>
    <row r="8159" spans="1:13" ht="11.25" customHeight="1" x14ac:dyDescent="0.2">
      <c r="A8159" s="236">
        <v>2025</v>
      </c>
      <c r="B8159" s="236">
        <v>7</v>
      </c>
      <c r="C8159" s="236">
        <v>3</v>
      </c>
      <c r="D8159" s="237">
        <f t="shared" si="939"/>
        <v>45841</v>
      </c>
      <c r="E8159" s="238">
        <f t="shared" si="942"/>
        <v>45841</v>
      </c>
      <c r="F8159" s="476" t="s">
        <v>1122</v>
      </c>
      <c r="G8159" s="239" t="s">
        <v>86</v>
      </c>
      <c r="H8159" s="239"/>
      <c r="I8159" s="240"/>
      <c r="J8159" s="241" t="s">
        <v>91</v>
      </c>
      <c r="K8159" s="242">
        <f>M8158</f>
        <v>3414.4652982988287</v>
      </c>
      <c r="L8159" s="242"/>
    </row>
    <row r="8160" spans="1:13" ht="11.25" customHeight="1" x14ac:dyDescent="0.2">
      <c r="A8160" s="243">
        <v>2025</v>
      </c>
      <c r="B8160" s="243">
        <v>7</v>
      </c>
      <c r="C8160" s="243">
        <v>3</v>
      </c>
      <c r="D8160" s="248">
        <f t="shared" si="939"/>
        <v>45841</v>
      </c>
      <c r="E8160" s="249">
        <f t="shared" si="942"/>
        <v>45841</v>
      </c>
      <c r="F8160" s="477"/>
      <c r="G8160" s="244" t="s">
        <v>86</v>
      </c>
      <c r="H8160" s="244"/>
      <c r="I8160" s="245"/>
      <c r="J8160" s="246" t="s">
        <v>51</v>
      </c>
      <c r="K8160" s="247"/>
      <c r="L8160" s="247">
        <f>K8159</f>
        <v>3414.4652982988287</v>
      </c>
    </row>
    <row r="8161" spans="1:14" ht="11.25" customHeight="1" x14ac:dyDescent="0.2">
      <c r="A8161" s="221">
        <v>2025</v>
      </c>
      <c r="B8161" s="221">
        <v>7</v>
      </c>
      <c r="C8161" s="221">
        <v>7</v>
      </c>
      <c r="D8161" s="231">
        <f t="shared" si="939"/>
        <v>45845</v>
      </c>
      <c r="E8161" s="233">
        <f t="shared" si="942"/>
        <v>45845</v>
      </c>
      <c r="F8161" s="478" t="s">
        <v>1919</v>
      </c>
      <c r="G8161" s="222" t="s">
        <v>1111</v>
      </c>
      <c r="H8161" s="223"/>
      <c r="I8161" s="223"/>
      <c r="J8161" s="224" t="s">
        <v>961</v>
      </c>
      <c r="K8161" s="225">
        <v>439104.83</v>
      </c>
      <c r="L8161" s="225"/>
    </row>
    <row r="8162" spans="1:14" ht="11.25" customHeight="1" x14ac:dyDescent="0.2">
      <c r="A8162" s="226">
        <v>2025</v>
      </c>
      <c r="B8162" s="226">
        <v>7</v>
      </c>
      <c r="C8162" s="226">
        <v>7</v>
      </c>
      <c r="D8162" s="232">
        <f t="shared" si="939"/>
        <v>45845</v>
      </c>
      <c r="E8162" s="234">
        <f t="shared" si="942"/>
        <v>45845</v>
      </c>
      <c r="F8162" s="479"/>
      <c r="G8162" s="227" t="s">
        <v>1111</v>
      </c>
      <c r="H8162" s="228"/>
      <c r="I8162" s="228"/>
      <c r="J8162" s="229" t="s">
        <v>55</v>
      </c>
      <c r="K8162" s="230"/>
      <c r="L8162" s="230">
        <v>439104.83</v>
      </c>
    </row>
    <row r="8163" spans="1:14" ht="11.25" customHeight="1" x14ac:dyDescent="0.2">
      <c r="A8163" s="221">
        <v>2025</v>
      </c>
      <c r="B8163" s="221">
        <v>7</v>
      </c>
      <c r="C8163" s="221">
        <v>7</v>
      </c>
      <c r="D8163" s="231">
        <f t="shared" si="939"/>
        <v>45845</v>
      </c>
      <c r="E8163" s="233">
        <f t="shared" ref="E8163:E8171" si="943">DATE(A8163,B8163,C8163)</f>
        <v>45845</v>
      </c>
      <c r="F8163" s="478" t="s">
        <v>1814</v>
      </c>
      <c r="G8163" s="222" t="s">
        <v>1111</v>
      </c>
      <c r="H8163" s="223"/>
      <c r="I8163" s="223"/>
      <c r="J8163" s="224" t="s">
        <v>961</v>
      </c>
      <c r="K8163" s="225">
        <v>503937.16</v>
      </c>
      <c r="L8163" s="225"/>
    </row>
    <row r="8164" spans="1:14" ht="11.25" customHeight="1" x14ac:dyDescent="0.2">
      <c r="A8164" s="226">
        <v>2025</v>
      </c>
      <c r="B8164" s="226">
        <v>7</v>
      </c>
      <c r="C8164" s="226">
        <v>7</v>
      </c>
      <c r="D8164" s="232">
        <f t="shared" si="939"/>
        <v>45845</v>
      </c>
      <c r="E8164" s="234">
        <f t="shared" si="943"/>
        <v>45845</v>
      </c>
      <c r="F8164" s="479"/>
      <c r="G8164" s="227" t="s">
        <v>1111</v>
      </c>
      <c r="H8164" s="228"/>
      <c r="I8164" s="228"/>
      <c r="J8164" s="229" t="s">
        <v>55</v>
      </c>
      <c r="K8164" s="230"/>
      <c r="L8164" s="230">
        <v>503937.16</v>
      </c>
    </row>
    <row r="8165" spans="1:14" ht="11.25" customHeight="1" x14ac:dyDescent="0.2">
      <c r="A8165" s="221">
        <v>2025</v>
      </c>
      <c r="B8165" s="221">
        <v>7</v>
      </c>
      <c r="C8165" s="221">
        <v>7</v>
      </c>
      <c r="D8165" s="231">
        <f t="shared" si="939"/>
        <v>45845</v>
      </c>
      <c r="E8165" s="233">
        <f t="shared" si="943"/>
        <v>45845</v>
      </c>
      <c r="F8165" s="478" t="s">
        <v>1919</v>
      </c>
      <c r="G8165" s="222" t="s">
        <v>1111</v>
      </c>
      <c r="H8165" s="223"/>
      <c r="I8165" s="223"/>
      <c r="J8165" s="224" t="s">
        <v>961</v>
      </c>
      <c r="K8165" s="225">
        <v>2057791.87</v>
      </c>
      <c r="L8165" s="225"/>
    </row>
    <row r="8166" spans="1:14" ht="11.25" customHeight="1" x14ac:dyDescent="0.2">
      <c r="A8166" s="226">
        <v>2025</v>
      </c>
      <c r="B8166" s="226">
        <v>7</v>
      </c>
      <c r="C8166" s="226">
        <v>7</v>
      </c>
      <c r="D8166" s="232">
        <f t="shared" si="939"/>
        <v>45845</v>
      </c>
      <c r="E8166" s="234">
        <f t="shared" si="943"/>
        <v>45845</v>
      </c>
      <c r="F8166" s="479"/>
      <c r="G8166" s="227" t="s">
        <v>1111</v>
      </c>
      <c r="H8166" s="228"/>
      <c r="I8166" s="228"/>
      <c r="J8166" s="229" t="s">
        <v>55</v>
      </c>
      <c r="K8166" s="230"/>
      <c r="L8166" s="230">
        <v>2057791.87</v>
      </c>
    </row>
    <row r="8167" spans="1:14" ht="11.25" customHeight="1" x14ac:dyDescent="0.2">
      <c r="A8167" s="221">
        <v>2025</v>
      </c>
      <c r="B8167" s="221">
        <v>7</v>
      </c>
      <c r="C8167" s="221">
        <v>7</v>
      </c>
      <c r="D8167" s="221">
        <f t="shared" si="939"/>
        <v>45845</v>
      </c>
      <c r="E8167" s="233">
        <f t="shared" si="943"/>
        <v>45845</v>
      </c>
      <c r="F8167" s="478" t="s">
        <v>1875</v>
      </c>
      <c r="G8167" s="222" t="s">
        <v>86</v>
      </c>
      <c r="H8167" s="222"/>
      <c r="I8167" s="223"/>
      <c r="J8167" s="224" t="s">
        <v>80</v>
      </c>
      <c r="K8167" s="225">
        <v>3934820</v>
      </c>
      <c r="L8167" s="225"/>
      <c r="N8167" s="263"/>
    </row>
    <row r="8168" spans="1:14" ht="11.25" customHeight="1" x14ac:dyDescent="0.2">
      <c r="A8168" s="164">
        <v>2025</v>
      </c>
      <c r="B8168" s="164">
        <v>7</v>
      </c>
      <c r="C8168" s="164">
        <v>7</v>
      </c>
      <c r="D8168" s="164">
        <f t="shared" si="939"/>
        <v>45845</v>
      </c>
      <c r="E8168" s="235">
        <f t="shared" si="943"/>
        <v>45845</v>
      </c>
      <c r="F8168" s="480"/>
      <c r="G8168" s="208" t="s">
        <v>86</v>
      </c>
      <c r="H8168" s="208"/>
      <c r="J8168" s="165" t="s">
        <v>960</v>
      </c>
      <c r="K8168" s="205">
        <v>9571.18</v>
      </c>
      <c r="L8168" s="205"/>
      <c r="M8168" s="263"/>
      <c r="N8168" s="263"/>
    </row>
    <row r="8169" spans="1:14" ht="11.25" customHeight="1" x14ac:dyDescent="0.2">
      <c r="A8169" s="164">
        <v>2025</v>
      </c>
      <c r="B8169" s="164">
        <v>7</v>
      </c>
      <c r="C8169" s="164">
        <v>7</v>
      </c>
      <c r="D8169" s="164">
        <f t="shared" si="939"/>
        <v>45845</v>
      </c>
      <c r="E8169" s="235">
        <f t="shared" si="943"/>
        <v>45845</v>
      </c>
      <c r="F8169" s="480"/>
      <c r="G8169" s="208" t="s">
        <v>86</v>
      </c>
      <c r="H8169" s="208"/>
      <c r="J8169" s="165" t="s">
        <v>143</v>
      </c>
      <c r="K8169" s="205"/>
      <c r="L8169" s="205">
        <v>2561891.1800000002</v>
      </c>
      <c r="M8169" s="263"/>
    </row>
    <row r="8170" spans="1:14" ht="11.25" customHeight="1" x14ac:dyDescent="0.2">
      <c r="A8170" s="164">
        <v>2025</v>
      </c>
      <c r="B8170" s="164">
        <v>7</v>
      </c>
      <c r="C8170" s="164">
        <v>7</v>
      </c>
      <c r="D8170" s="164">
        <f t="shared" si="939"/>
        <v>45845</v>
      </c>
      <c r="E8170" s="235">
        <f t="shared" si="943"/>
        <v>45845</v>
      </c>
      <c r="F8170" s="480"/>
      <c r="G8170" s="208" t="s">
        <v>86</v>
      </c>
      <c r="H8170" s="208"/>
      <c r="J8170" s="165" t="s">
        <v>200</v>
      </c>
      <c r="K8170" s="205"/>
      <c r="L8170" s="205">
        <v>387899.36</v>
      </c>
      <c r="M8170" s="263"/>
    </row>
    <row r="8171" spans="1:14" ht="11.25" customHeight="1" x14ac:dyDescent="0.2">
      <c r="A8171" s="226">
        <v>2025</v>
      </c>
      <c r="B8171" s="226">
        <v>7</v>
      </c>
      <c r="C8171" s="226">
        <v>7</v>
      </c>
      <c r="D8171" s="226">
        <f t="shared" si="939"/>
        <v>45845</v>
      </c>
      <c r="E8171" s="234">
        <f t="shared" si="943"/>
        <v>45845</v>
      </c>
      <c r="F8171" s="479"/>
      <c r="G8171" s="227" t="s">
        <v>86</v>
      </c>
      <c r="H8171" s="228"/>
      <c r="I8171" s="228"/>
      <c r="J8171" s="229" t="s">
        <v>80</v>
      </c>
      <c r="K8171" s="230"/>
      <c r="L8171" s="230">
        <v>994600.64</v>
      </c>
      <c r="M8171" s="263"/>
    </row>
    <row r="8172" spans="1:14" ht="11.25" customHeight="1" x14ac:dyDescent="0.2">
      <c r="A8172" s="221">
        <v>2025</v>
      </c>
      <c r="B8172" s="221">
        <v>7</v>
      </c>
      <c r="C8172" s="221">
        <v>7</v>
      </c>
      <c r="D8172" s="221">
        <f t="shared" si="939"/>
        <v>45845</v>
      </c>
      <c r="E8172" s="233">
        <f t="shared" ref="E8172:E8178" si="944">DATE(A8172,B8172,C8172)</f>
        <v>45845</v>
      </c>
      <c r="F8172" s="478" t="s">
        <v>1769</v>
      </c>
      <c r="G8172" s="222" t="s">
        <v>86</v>
      </c>
      <c r="H8172" s="222"/>
      <c r="I8172" s="223"/>
      <c r="J8172" s="224" t="s">
        <v>80</v>
      </c>
      <c r="K8172" s="225">
        <v>2828108.6</v>
      </c>
      <c r="L8172" s="225"/>
      <c r="N8172" s="263"/>
    </row>
    <row r="8173" spans="1:14" ht="11.25" customHeight="1" x14ac:dyDescent="0.2">
      <c r="A8173" s="164">
        <v>2025</v>
      </c>
      <c r="B8173" s="164">
        <v>7</v>
      </c>
      <c r="C8173" s="164">
        <v>7</v>
      </c>
      <c r="D8173" s="164">
        <f t="shared" si="939"/>
        <v>45845</v>
      </c>
      <c r="E8173" s="235">
        <f t="shared" si="944"/>
        <v>45845</v>
      </c>
      <c r="F8173" s="480"/>
      <c r="G8173" s="208" t="s">
        <v>86</v>
      </c>
      <c r="H8173" s="208"/>
      <c r="J8173" s="165" t="s">
        <v>960</v>
      </c>
      <c r="K8173" s="205">
        <v>6585.5</v>
      </c>
      <c r="L8173" s="205"/>
      <c r="M8173" s="263"/>
      <c r="N8173" s="263"/>
    </row>
    <row r="8174" spans="1:14" ht="11.25" customHeight="1" x14ac:dyDescent="0.2">
      <c r="A8174" s="164">
        <v>2025</v>
      </c>
      <c r="B8174" s="164">
        <v>7</v>
      </c>
      <c r="C8174" s="164">
        <v>7</v>
      </c>
      <c r="D8174" s="164">
        <f t="shared" si="939"/>
        <v>45845</v>
      </c>
      <c r="E8174" s="235">
        <f t="shared" si="944"/>
        <v>45845</v>
      </c>
      <c r="F8174" s="480"/>
      <c r="G8174" s="208" t="s">
        <v>86</v>
      </c>
      <c r="H8174" s="208"/>
      <c r="J8174" s="165" t="s">
        <v>143</v>
      </c>
      <c r="K8174" s="205"/>
      <c r="L8174" s="205">
        <v>2004189.1</v>
      </c>
      <c r="M8174" s="263"/>
    </row>
    <row r="8175" spans="1:14" ht="11.25" customHeight="1" x14ac:dyDescent="0.2">
      <c r="A8175" s="164">
        <v>2025</v>
      </c>
      <c r="B8175" s="164">
        <v>7</v>
      </c>
      <c r="C8175" s="164">
        <v>7</v>
      </c>
      <c r="D8175" s="164">
        <f t="shared" si="939"/>
        <v>45845</v>
      </c>
      <c r="E8175" s="235">
        <f t="shared" si="944"/>
        <v>45845</v>
      </c>
      <c r="F8175" s="480"/>
      <c r="G8175" s="208" t="s">
        <v>86</v>
      </c>
      <c r="H8175" s="208"/>
      <c r="J8175" s="165" t="s">
        <v>200</v>
      </c>
      <c r="K8175" s="205"/>
      <c r="L8175" s="205">
        <v>233744.62</v>
      </c>
      <c r="M8175" s="263"/>
    </row>
    <row r="8176" spans="1:14" ht="11.25" customHeight="1" x14ac:dyDescent="0.2">
      <c r="A8176" s="226">
        <v>2025</v>
      </c>
      <c r="B8176" s="226">
        <v>7</v>
      </c>
      <c r="C8176" s="226">
        <v>7</v>
      </c>
      <c r="D8176" s="226">
        <f t="shared" si="939"/>
        <v>45845</v>
      </c>
      <c r="E8176" s="234">
        <f t="shared" si="944"/>
        <v>45845</v>
      </c>
      <c r="F8176" s="479"/>
      <c r="G8176" s="227" t="s">
        <v>86</v>
      </c>
      <c r="H8176" s="228"/>
      <c r="I8176" s="228"/>
      <c r="J8176" s="229" t="s">
        <v>80</v>
      </c>
      <c r="K8176" s="230"/>
      <c r="L8176" s="230">
        <v>596760.38</v>
      </c>
      <c r="M8176" s="263"/>
    </row>
    <row r="8177" spans="1:14" ht="11.25" customHeight="1" x14ac:dyDescent="0.2">
      <c r="A8177" s="221">
        <v>2025</v>
      </c>
      <c r="B8177" s="221">
        <v>7</v>
      </c>
      <c r="C8177" s="221">
        <v>7</v>
      </c>
      <c r="D8177" s="231">
        <f t="shared" si="939"/>
        <v>45845</v>
      </c>
      <c r="E8177" s="233">
        <f t="shared" si="944"/>
        <v>45845</v>
      </c>
      <c r="F8177" s="478" t="s">
        <v>1753</v>
      </c>
      <c r="G8177" s="222" t="s">
        <v>1111</v>
      </c>
      <c r="H8177" s="223"/>
      <c r="I8177" s="223"/>
      <c r="J8177" s="224" t="s">
        <v>63</v>
      </c>
      <c r="K8177" s="225">
        <v>100</v>
      </c>
      <c r="L8177" s="225"/>
    </row>
    <row r="8178" spans="1:14" ht="11.25" customHeight="1" x14ac:dyDescent="0.2">
      <c r="A8178" s="226">
        <v>2025</v>
      </c>
      <c r="B8178" s="226">
        <v>7</v>
      </c>
      <c r="C8178" s="226">
        <v>7</v>
      </c>
      <c r="D8178" s="232">
        <f t="shared" si="939"/>
        <v>45845</v>
      </c>
      <c r="E8178" s="234">
        <f t="shared" si="944"/>
        <v>45845</v>
      </c>
      <c r="F8178" s="479"/>
      <c r="G8178" s="227" t="s">
        <v>1111</v>
      </c>
      <c r="H8178" s="228"/>
      <c r="I8178" s="228"/>
      <c r="J8178" s="229" t="s">
        <v>55</v>
      </c>
      <c r="K8178" s="230"/>
      <c r="L8178" s="230">
        <f>K8177</f>
        <v>100</v>
      </c>
    </row>
    <row r="8179" spans="1:14" ht="11.25" customHeight="1" x14ac:dyDescent="0.2">
      <c r="A8179" s="221">
        <v>2025</v>
      </c>
      <c r="B8179" s="221">
        <v>7</v>
      </c>
      <c r="C8179" s="221">
        <v>8</v>
      </c>
      <c r="D8179" s="231">
        <f t="shared" si="939"/>
        <v>45846</v>
      </c>
      <c r="E8179" s="233">
        <f>DATE(A8179,B8179,C8179)</f>
        <v>45846</v>
      </c>
      <c r="F8179" s="478" t="s">
        <v>1843</v>
      </c>
      <c r="G8179" s="222" t="s">
        <v>1111</v>
      </c>
      <c r="H8179" s="223"/>
      <c r="I8179" s="223"/>
      <c r="J8179" s="224" t="s">
        <v>55</v>
      </c>
      <c r="K8179" s="225">
        <v>362346</v>
      </c>
      <c r="L8179" s="225"/>
    </row>
    <row r="8180" spans="1:14" ht="11.25" customHeight="1" x14ac:dyDescent="0.2">
      <c r="A8180" s="226">
        <v>2025</v>
      </c>
      <c r="B8180" s="226">
        <v>7</v>
      </c>
      <c r="C8180" s="226">
        <v>8</v>
      </c>
      <c r="D8180" s="232">
        <f t="shared" si="939"/>
        <v>45846</v>
      </c>
      <c r="E8180" s="234">
        <f>DATE(A8180,B8180,C8180)</f>
        <v>45846</v>
      </c>
      <c r="F8180" s="479"/>
      <c r="G8180" s="227" t="s">
        <v>1111</v>
      </c>
      <c r="H8180" s="228"/>
      <c r="I8180" s="228"/>
      <c r="J8180" s="229" t="s">
        <v>199</v>
      </c>
      <c r="K8180" s="230"/>
      <c r="L8180" s="230">
        <v>362346</v>
      </c>
    </row>
    <row r="8181" spans="1:14" ht="11.25" customHeight="1" x14ac:dyDescent="0.2">
      <c r="A8181" s="221">
        <v>2025</v>
      </c>
      <c r="B8181" s="221">
        <v>7</v>
      </c>
      <c r="C8181" s="221">
        <v>8</v>
      </c>
      <c r="D8181" s="231">
        <f t="shared" si="939"/>
        <v>45846</v>
      </c>
      <c r="E8181" s="233">
        <f>DATE(A8181,B8181,C8181)</f>
        <v>45846</v>
      </c>
      <c r="F8181" s="478" t="s">
        <v>1843</v>
      </c>
      <c r="G8181" s="222" t="s">
        <v>1111</v>
      </c>
      <c r="H8181" s="223"/>
      <c r="I8181" s="223"/>
      <c r="J8181" s="224" t="s">
        <v>55</v>
      </c>
      <c r="K8181" s="225">
        <v>9449951</v>
      </c>
      <c r="L8181" s="225"/>
    </row>
    <row r="8182" spans="1:14" ht="11.25" customHeight="1" x14ac:dyDescent="0.2">
      <c r="A8182" s="226">
        <v>2025</v>
      </c>
      <c r="B8182" s="226">
        <v>7</v>
      </c>
      <c r="C8182" s="226">
        <v>8</v>
      </c>
      <c r="D8182" s="232">
        <f t="shared" si="939"/>
        <v>45846</v>
      </c>
      <c r="E8182" s="234">
        <f>DATE(A8182,B8182,C8182)</f>
        <v>45846</v>
      </c>
      <c r="F8182" s="479"/>
      <c r="G8182" s="227" t="s">
        <v>1111</v>
      </c>
      <c r="H8182" s="228"/>
      <c r="I8182" s="228"/>
      <c r="J8182" s="229" t="s">
        <v>199</v>
      </c>
      <c r="K8182" s="230"/>
      <c r="L8182" s="230">
        <v>9449951</v>
      </c>
    </row>
    <row r="8183" spans="1:14" ht="11.25" customHeight="1" x14ac:dyDescent="0.2">
      <c r="A8183" s="221">
        <v>2025</v>
      </c>
      <c r="B8183" s="221">
        <v>7</v>
      </c>
      <c r="C8183" s="221">
        <v>8</v>
      </c>
      <c r="D8183" s="231">
        <f t="shared" si="939"/>
        <v>45846</v>
      </c>
      <c r="E8183" s="233">
        <f t="shared" ref="E8183:E8184" si="945">DATE(A8183,B8183,C8183)</f>
        <v>45846</v>
      </c>
      <c r="F8183" s="478" t="s">
        <v>1814</v>
      </c>
      <c r="G8183" s="222" t="s">
        <v>1111</v>
      </c>
      <c r="H8183" s="223"/>
      <c r="I8183" s="223"/>
      <c r="J8183" s="224" t="s">
        <v>961</v>
      </c>
      <c r="K8183" s="225">
        <v>2004189.1</v>
      </c>
      <c r="L8183" s="225"/>
    </row>
    <row r="8184" spans="1:14" ht="11.25" customHeight="1" x14ac:dyDescent="0.2">
      <c r="A8184" s="226">
        <v>2025</v>
      </c>
      <c r="B8184" s="226">
        <v>7</v>
      </c>
      <c r="C8184" s="226">
        <v>8</v>
      </c>
      <c r="D8184" s="232">
        <f t="shared" si="939"/>
        <v>45846</v>
      </c>
      <c r="E8184" s="234">
        <f t="shared" si="945"/>
        <v>45846</v>
      </c>
      <c r="F8184" s="479"/>
      <c r="G8184" s="227" t="s">
        <v>1111</v>
      </c>
      <c r="H8184" s="228"/>
      <c r="I8184" s="228"/>
      <c r="J8184" s="229" t="s">
        <v>55</v>
      </c>
      <c r="K8184" s="230"/>
      <c r="L8184" s="230">
        <v>2004189.1</v>
      </c>
    </row>
    <row r="8185" spans="1:14" ht="11.25" customHeight="1" x14ac:dyDescent="0.2">
      <c r="A8185" s="221">
        <v>2025</v>
      </c>
      <c r="B8185" s="221">
        <v>7</v>
      </c>
      <c r="C8185" s="221">
        <v>8</v>
      </c>
      <c r="D8185" s="231">
        <f t="shared" si="939"/>
        <v>45846</v>
      </c>
      <c r="E8185" s="233">
        <f>DATE(A8185,B8185,C8185)</f>
        <v>45846</v>
      </c>
      <c r="F8185" s="478" t="s">
        <v>1844</v>
      </c>
      <c r="G8185" s="222" t="s">
        <v>1111</v>
      </c>
      <c r="H8185" s="223"/>
      <c r="I8185" s="223"/>
      <c r="J8185" s="224" t="s">
        <v>55</v>
      </c>
      <c r="K8185" s="225">
        <v>528047.80000000005</v>
      </c>
      <c r="L8185" s="225"/>
    </row>
    <row r="8186" spans="1:14" ht="11.25" customHeight="1" x14ac:dyDescent="0.2">
      <c r="A8186" s="226">
        <v>2025</v>
      </c>
      <c r="B8186" s="226">
        <v>7</v>
      </c>
      <c r="C8186" s="226">
        <v>8</v>
      </c>
      <c r="D8186" s="232">
        <f t="shared" si="939"/>
        <v>45846</v>
      </c>
      <c r="E8186" s="234">
        <f>DATE(A8186,B8186,C8186)</f>
        <v>45846</v>
      </c>
      <c r="F8186" s="479"/>
      <c r="G8186" s="227" t="s">
        <v>1111</v>
      </c>
      <c r="H8186" s="228"/>
      <c r="I8186" s="228"/>
      <c r="J8186" s="229" t="s">
        <v>199</v>
      </c>
      <c r="K8186" s="230"/>
      <c r="L8186" s="230">
        <v>528047.80000000005</v>
      </c>
    </row>
    <row r="8187" spans="1:14" ht="11.25" customHeight="1" x14ac:dyDescent="0.2">
      <c r="A8187" s="221">
        <v>2025</v>
      </c>
      <c r="B8187" s="221">
        <v>7</v>
      </c>
      <c r="C8187" s="221">
        <v>8</v>
      </c>
      <c r="D8187" s="221">
        <f t="shared" si="939"/>
        <v>45846</v>
      </c>
      <c r="E8187" s="233">
        <f t="shared" ref="E8187:E8191" si="946">DATE(A8187,B8187,C8187)</f>
        <v>45846</v>
      </c>
      <c r="F8187" s="478" t="s">
        <v>1769</v>
      </c>
      <c r="G8187" s="222" t="s">
        <v>86</v>
      </c>
      <c r="H8187" s="222"/>
      <c r="I8187" s="223"/>
      <c r="J8187" s="224" t="s">
        <v>80</v>
      </c>
      <c r="K8187" s="225">
        <v>2566850</v>
      </c>
      <c r="L8187" s="225"/>
      <c r="N8187" s="263"/>
    </row>
    <row r="8188" spans="1:14" ht="11.25" customHeight="1" x14ac:dyDescent="0.2">
      <c r="A8188" s="164">
        <v>2025</v>
      </c>
      <c r="B8188" s="164">
        <v>7</v>
      </c>
      <c r="C8188" s="164">
        <v>8</v>
      </c>
      <c r="D8188" s="164">
        <f t="shared" si="939"/>
        <v>45846</v>
      </c>
      <c r="E8188" s="235">
        <f t="shared" si="946"/>
        <v>45846</v>
      </c>
      <c r="F8188" s="480"/>
      <c r="G8188" s="208" t="s">
        <v>86</v>
      </c>
      <c r="H8188" s="208"/>
      <c r="J8188" s="165" t="s">
        <v>960</v>
      </c>
      <c r="K8188" s="205">
        <v>6432.51</v>
      </c>
      <c r="L8188" s="205"/>
      <c r="M8188" s="263"/>
      <c r="N8188" s="263"/>
    </row>
    <row r="8189" spans="1:14" ht="11.25" customHeight="1" x14ac:dyDescent="0.2">
      <c r="A8189" s="164">
        <v>2025</v>
      </c>
      <c r="B8189" s="164">
        <v>7</v>
      </c>
      <c r="C8189" s="164">
        <v>8</v>
      </c>
      <c r="D8189" s="164">
        <f t="shared" si="939"/>
        <v>45846</v>
      </c>
      <c r="E8189" s="235">
        <f t="shared" si="946"/>
        <v>45846</v>
      </c>
      <c r="F8189" s="480"/>
      <c r="G8189" s="208" t="s">
        <v>86</v>
      </c>
      <c r="H8189" s="208"/>
      <c r="J8189" s="165" t="s">
        <v>143</v>
      </c>
      <c r="K8189" s="205"/>
      <c r="L8189" s="205">
        <v>1566514.51</v>
      </c>
      <c r="M8189" s="263"/>
    </row>
    <row r="8190" spans="1:14" ht="11.25" customHeight="1" x14ac:dyDescent="0.2">
      <c r="A8190" s="164">
        <v>2025</v>
      </c>
      <c r="B8190" s="164">
        <v>7</v>
      </c>
      <c r="C8190" s="164">
        <v>8</v>
      </c>
      <c r="D8190" s="164">
        <f t="shared" si="939"/>
        <v>45846</v>
      </c>
      <c r="E8190" s="235">
        <f t="shared" si="946"/>
        <v>45846</v>
      </c>
      <c r="F8190" s="480"/>
      <c r="G8190" s="208" t="s">
        <v>86</v>
      </c>
      <c r="H8190" s="208"/>
      <c r="J8190" s="165" t="s">
        <v>200</v>
      </c>
      <c r="K8190" s="205"/>
      <c r="L8190" s="205">
        <v>82992.740000000005</v>
      </c>
      <c r="M8190" s="263"/>
    </row>
    <row r="8191" spans="1:14" ht="11.25" customHeight="1" x14ac:dyDescent="0.2">
      <c r="A8191" s="226">
        <v>2025</v>
      </c>
      <c r="B8191" s="226">
        <v>7</v>
      </c>
      <c r="C8191" s="226">
        <v>8</v>
      </c>
      <c r="D8191" s="226">
        <f t="shared" si="939"/>
        <v>45846</v>
      </c>
      <c r="E8191" s="234">
        <f t="shared" si="946"/>
        <v>45846</v>
      </c>
      <c r="F8191" s="479"/>
      <c r="G8191" s="227" t="s">
        <v>86</v>
      </c>
      <c r="H8191" s="228"/>
      <c r="I8191" s="228"/>
      <c r="J8191" s="229" t="s">
        <v>80</v>
      </c>
      <c r="K8191" s="230"/>
      <c r="L8191" s="230">
        <v>923775.26</v>
      </c>
      <c r="M8191" s="263"/>
    </row>
    <row r="8192" spans="1:14" ht="11.25" customHeight="1" x14ac:dyDescent="0.2">
      <c r="A8192" s="221">
        <v>2025</v>
      </c>
      <c r="B8192" s="221">
        <v>7</v>
      </c>
      <c r="C8192" s="221">
        <v>9</v>
      </c>
      <c r="D8192" s="231">
        <f t="shared" si="939"/>
        <v>45847</v>
      </c>
      <c r="E8192" s="233">
        <f t="shared" ref="E8192:E8227" si="947">DATE(A8192,B8192,C8192)</f>
        <v>45847</v>
      </c>
      <c r="F8192" s="478" t="s">
        <v>1880</v>
      </c>
      <c r="G8192" s="222" t="s">
        <v>1111</v>
      </c>
      <c r="H8192" s="223"/>
      <c r="I8192" s="223"/>
      <c r="J8192" s="224" t="s">
        <v>55</v>
      </c>
      <c r="K8192" s="225">
        <v>262500</v>
      </c>
      <c r="L8192" s="225"/>
    </row>
    <row r="8193" spans="1:14" ht="11.25" customHeight="1" x14ac:dyDescent="0.2">
      <c r="A8193" s="226">
        <v>2025</v>
      </c>
      <c r="B8193" s="226">
        <v>7</v>
      </c>
      <c r="C8193" s="226">
        <v>9</v>
      </c>
      <c r="D8193" s="232">
        <f t="shared" si="939"/>
        <v>45847</v>
      </c>
      <c r="E8193" s="234">
        <f t="shared" si="947"/>
        <v>45847</v>
      </c>
      <c r="F8193" s="479"/>
      <c r="G8193" s="227" t="s">
        <v>1111</v>
      </c>
      <c r="H8193" s="228"/>
      <c r="I8193" s="228"/>
      <c r="J8193" s="229" t="s">
        <v>192</v>
      </c>
      <c r="K8193" s="230"/>
      <c r="L8193" s="230">
        <v>262500</v>
      </c>
    </row>
    <row r="8194" spans="1:14" ht="11.25" customHeight="1" x14ac:dyDescent="0.2">
      <c r="A8194" s="221">
        <v>2025</v>
      </c>
      <c r="B8194" s="221">
        <v>7</v>
      </c>
      <c r="C8194" s="221">
        <v>9</v>
      </c>
      <c r="D8194" s="231">
        <f t="shared" si="939"/>
        <v>45847</v>
      </c>
      <c r="E8194" s="233">
        <f t="shared" si="947"/>
        <v>45847</v>
      </c>
      <c r="F8194" s="478" t="s">
        <v>1814</v>
      </c>
      <c r="G8194" s="222" t="s">
        <v>1111</v>
      </c>
      <c r="H8194" s="223"/>
      <c r="I8194" s="223"/>
      <c r="J8194" s="224" t="s">
        <v>961</v>
      </c>
      <c r="K8194" s="225">
        <v>1566514.51</v>
      </c>
      <c r="L8194" s="225"/>
    </row>
    <row r="8195" spans="1:14" ht="11.25" customHeight="1" x14ac:dyDescent="0.2">
      <c r="A8195" s="226">
        <v>2025</v>
      </c>
      <c r="B8195" s="226">
        <v>7</v>
      </c>
      <c r="C8195" s="226">
        <v>9</v>
      </c>
      <c r="D8195" s="232">
        <f t="shared" si="939"/>
        <v>45847</v>
      </c>
      <c r="E8195" s="234">
        <f t="shared" si="947"/>
        <v>45847</v>
      </c>
      <c r="F8195" s="479"/>
      <c r="G8195" s="227" t="s">
        <v>1111</v>
      </c>
      <c r="H8195" s="228"/>
      <c r="I8195" s="228"/>
      <c r="J8195" s="229" t="s">
        <v>55</v>
      </c>
      <c r="K8195" s="230"/>
      <c r="L8195" s="230">
        <v>1566514.51</v>
      </c>
    </row>
    <row r="8196" spans="1:14" ht="11.25" customHeight="1" x14ac:dyDescent="0.2">
      <c r="A8196" s="231">
        <v>2025</v>
      </c>
      <c r="B8196" s="231">
        <v>7</v>
      </c>
      <c r="C8196" s="231">
        <v>9</v>
      </c>
      <c r="D8196" s="221">
        <f t="shared" si="939"/>
        <v>45847</v>
      </c>
      <c r="E8196" s="271">
        <f t="shared" si="947"/>
        <v>45847</v>
      </c>
      <c r="F8196" s="478" t="s">
        <v>1231</v>
      </c>
      <c r="G8196" s="222" t="s">
        <v>1111</v>
      </c>
      <c r="H8196" s="222"/>
      <c r="I8196" s="223" t="s">
        <v>1119</v>
      </c>
      <c r="J8196" s="224" t="s">
        <v>92</v>
      </c>
      <c r="K8196" s="225">
        <v>180112.35</v>
      </c>
      <c r="L8196" s="225"/>
    </row>
    <row r="8197" spans="1:14" ht="11.25" customHeight="1" x14ac:dyDescent="0.2">
      <c r="A8197" s="156">
        <v>2025</v>
      </c>
      <c r="B8197" s="156">
        <v>7</v>
      </c>
      <c r="C8197" s="156">
        <v>9</v>
      </c>
      <c r="D8197" s="164">
        <f t="shared" si="939"/>
        <v>45847</v>
      </c>
      <c r="E8197" s="276">
        <f t="shared" si="947"/>
        <v>45847</v>
      </c>
      <c r="F8197" s="480"/>
      <c r="G8197" s="208" t="s">
        <v>1111</v>
      </c>
      <c r="H8197" s="208"/>
      <c r="J8197" s="165" t="s">
        <v>63</v>
      </c>
      <c r="K8197" s="205">
        <v>115</v>
      </c>
      <c r="L8197" s="205"/>
    </row>
    <row r="8198" spans="1:14" ht="11.25" customHeight="1" x14ac:dyDescent="0.2">
      <c r="A8198" s="232">
        <v>2025</v>
      </c>
      <c r="B8198" s="232">
        <v>7</v>
      </c>
      <c r="C8198" s="232">
        <v>9</v>
      </c>
      <c r="D8198" s="164">
        <f t="shared" si="939"/>
        <v>45847</v>
      </c>
      <c r="E8198" s="276">
        <f t="shared" si="947"/>
        <v>45847</v>
      </c>
      <c r="F8198" s="479"/>
      <c r="G8198" s="227" t="s">
        <v>1111</v>
      </c>
      <c r="H8198" s="227"/>
      <c r="I8198" s="228" t="s">
        <v>1119</v>
      </c>
      <c r="J8198" s="229" t="s">
        <v>55</v>
      </c>
      <c r="K8198" s="230"/>
      <c r="L8198" s="230">
        <v>180227.35</v>
      </c>
    </row>
    <row r="8199" spans="1:14" ht="11.25" customHeight="1" x14ac:dyDescent="0.2">
      <c r="A8199" s="221">
        <v>2025</v>
      </c>
      <c r="B8199" s="221">
        <v>7</v>
      </c>
      <c r="C8199" s="221">
        <v>9</v>
      </c>
      <c r="D8199" s="231">
        <f t="shared" si="939"/>
        <v>45847</v>
      </c>
      <c r="E8199" s="233">
        <f t="shared" si="947"/>
        <v>45847</v>
      </c>
      <c r="F8199" s="478" t="s">
        <v>1920</v>
      </c>
      <c r="G8199" s="222" t="s">
        <v>1111</v>
      </c>
      <c r="H8199" s="222"/>
      <c r="I8199" s="223"/>
      <c r="J8199" s="224" t="s">
        <v>1615</v>
      </c>
      <c r="K8199" s="357">
        <v>1000522</v>
      </c>
      <c r="L8199" s="225"/>
    </row>
    <row r="8200" spans="1:14" ht="11.25" customHeight="1" x14ac:dyDescent="0.2">
      <c r="A8200" s="226">
        <v>2025</v>
      </c>
      <c r="B8200" s="226">
        <v>7</v>
      </c>
      <c r="C8200" s="226">
        <v>9</v>
      </c>
      <c r="D8200" s="226">
        <f t="shared" si="939"/>
        <v>45847</v>
      </c>
      <c r="E8200" s="234">
        <f t="shared" si="947"/>
        <v>45847</v>
      </c>
      <c r="F8200" s="479"/>
      <c r="G8200" s="227" t="s">
        <v>1111</v>
      </c>
      <c r="H8200" s="227"/>
      <c r="I8200" s="228"/>
      <c r="J8200" s="229" t="s">
        <v>55</v>
      </c>
      <c r="K8200" s="294"/>
      <c r="L8200" s="230">
        <v>1000522</v>
      </c>
    </row>
    <row r="8201" spans="1:14" ht="11.25" customHeight="1" x14ac:dyDescent="0.2">
      <c r="A8201" s="221">
        <v>2025</v>
      </c>
      <c r="B8201" s="221">
        <v>7</v>
      </c>
      <c r="C8201" s="221">
        <v>9</v>
      </c>
      <c r="D8201" s="221">
        <f t="shared" ref="D8201:D8264" si="948">DATE(A8201,B8201,C8201)</f>
        <v>45847</v>
      </c>
      <c r="E8201" s="233">
        <f t="shared" si="947"/>
        <v>45847</v>
      </c>
      <c r="F8201" s="478" t="s">
        <v>1769</v>
      </c>
      <c r="G8201" s="222" t="s">
        <v>86</v>
      </c>
      <c r="H8201" s="222"/>
      <c r="I8201" s="223"/>
      <c r="J8201" s="224" t="s">
        <v>80</v>
      </c>
      <c r="K8201" s="225">
        <v>3333748.5</v>
      </c>
      <c r="L8201" s="225"/>
      <c r="N8201" s="263"/>
    </row>
    <row r="8202" spans="1:14" ht="11.25" customHeight="1" x14ac:dyDescent="0.2">
      <c r="A8202" s="164">
        <v>2025</v>
      </c>
      <c r="B8202" s="164">
        <v>7</v>
      </c>
      <c r="C8202" s="164">
        <v>9</v>
      </c>
      <c r="D8202" s="164">
        <f t="shared" si="948"/>
        <v>45847</v>
      </c>
      <c r="E8202" s="235">
        <f t="shared" si="947"/>
        <v>45847</v>
      </c>
      <c r="F8202" s="480"/>
      <c r="G8202" s="208" t="s">
        <v>86</v>
      </c>
      <c r="H8202" s="208"/>
      <c r="J8202" s="165" t="s">
        <v>960</v>
      </c>
      <c r="K8202" s="205">
        <v>9612.4500000000007</v>
      </c>
      <c r="L8202" s="205"/>
      <c r="M8202" s="263"/>
      <c r="N8202" s="263"/>
    </row>
    <row r="8203" spans="1:14" ht="11.25" customHeight="1" x14ac:dyDescent="0.2">
      <c r="A8203" s="164">
        <v>2025</v>
      </c>
      <c r="B8203" s="164">
        <v>7</v>
      </c>
      <c r="C8203" s="164">
        <v>9</v>
      </c>
      <c r="D8203" s="164">
        <f t="shared" si="948"/>
        <v>45847</v>
      </c>
      <c r="E8203" s="235">
        <f t="shared" si="947"/>
        <v>45847</v>
      </c>
      <c r="F8203" s="480"/>
      <c r="G8203" s="208" t="s">
        <v>86</v>
      </c>
      <c r="H8203" s="208"/>
      <c r="J8203" s="165" t="s">
        <v>143</v>
      </c>
      <c r="K8203" s="205"/>
      <c r="L8203" s="205">
        <v>1336860.95</v>
      </c>
      <c r="M8203" s="263"/>
    </row>
    <row r="8204" spans="1:14" ht="11.25" customHeight="1" x14ac:dyDescent="0.2">
      <c r="A8204" s="164">
        <v>2025</v>
      </c>
      <c r="B8204" s="164">
        <v>7</v>
      </c>
      <c r="C8204" s="164">
        <v>9</v>
      </c>
      <c r="D8204" s="164">
        <f t="shared" si="948"/>
        <v>45847</v>
      </c>
      <c r="E8204" s="235">
        <f t="shared" si="947"/>
        <v>45847</v>
      </c>
      <c r="F8204" s="480"/>
      <c r="G8204" s="208" t="s">
        <v>86</v>
      </c>
      <c r="H8204" s="208"/>
      <c r="J8204" s="165" t="s">
        <v>200</v>
      </c>
      <c r="K8204" s="205"/>
      <c r="L8204" s="205">
        <v>80197.02</v>
      </c>
      <c r="M8204" s="263"/>
    </row>
    <row r="8205" spans="1:14" ht="11.25" customHeight="1" x14ac:dyDescent="0.2">
      <c r="A8205" s="226">
        <v>2025</v>
      </c>
      <c r="B8205" s="226">
        <v>7</v>
      </c>
      <c r="C8205" s="226">
        <v>9</v>
      </c>
      <c r="D8205" s="226">
        <f t="shared" si="948"/>
        <v>45847</v>
      </c>
      <c r="E8205" s="234">
        <f t="shared" si="947"/>
        <v>45847</v>
      </c>
      <c r="F8205" s="479"/>
      <c r="G8205" s="227" t="s">
        <v>86</v>
      </c>
      <c r="H8205" s="228"/>
      <c r="I8205" s="228"/>
      <c r="J8205" s="229" t="s">
        <v>80</v>
      </c>
      <c r="K8205" s="230"/>
      <c r="L8205" s="230">
        <v>1926302.98</v>
      </c>
      <c r="M8205" s="263"/>
    </row>
    <row r="8206" spans="1:14" ht="11.25" customHeight="1" x14ac:dyDescent="0.2">
      <c r="A8206" s="221">
        <v>2025</v>
      </c>
      <c r="B8206" s="221">
        <v>7</v>
      </c>
      <c r="C8206" s="221">
        <v>10</v>
      </c>
      <c r="D8206" s="221">
        <f t="shared" si="948"/>
        <v>45848</v>
      </c>
      <c r="E8206" s="233">
        <f t="shared" si="947"/>
        <v>45848</v>
      </c>
      <c r="F8206" s="478" t="s">
        <v>1875</v>
      </c>
      <c r="G8206" s="222" t="s">
        <v>86</v>
      </c>
      <c r="H8206" s="222"/>
      <c r="I8206" s="223"/>
      <c r="J8206" s="224" t="s">
        <v>80</v>
      </c>
      <c r="K8206" s="225">
        <v>912350</v>
      </c>
      <c r="L8206" s="225"/>
    </row>
    <row r="8207" spans="1:14" ht="11.25" customHeight="1" x14ac:dyDescent="0.2">
      <c r="A8207" s="164">
        <v>2025</v>
      </c>
      <c r="B8207" s="164">
        <v>7</v>
      </c>
      <c r="C8207" s="164">
        <v>10</v>
      </c>
      <c r="D8207" s="164">
        <f t="shared" si="948"/>
        <v>45848</v>
      </c>
      <c r="E8207" s="235">
        <f t="shared" si="947"/>
        <v>45848</v>
      </c>
      <c r="F8207" s="480"/>
      <c r="G8207" s="208" t="s">
        <v>86</v>
      </c>
      <c r="H8207" s="208"/>
      <c r="J8207" s="165" t="s">
        <v>960</v>
      </c>
      <c r="K8207" s="205">
        <v>4643.82</v>
      </c>
      <c r="L8207" s="205"/>
      <c r="M8207" s="263"/>
      <c r="N8207" s="263"/>
    </row>
    <row r="8208" spans="1:14" ht="11.25" customHeight="1" x14ac:dyDescent="0.2">
      <c r="A8208" s="164">
        <v>2025</v>
      </c>
      <c r="B8208" s="164">
        <v>7</v>
      </c>
      <c r="C8208" s="164">
        <v>10</v>
      </c>
      <c r="D8208" s="164">
        <f t="shared" si="948"/>
        <v>45848</v>
      </c>
      <c r="E8208" s="235">
        <f t="shared" si="947"/>
        <v>45848</v>
      </c>
      <c r="F8208" s="480"/>
      <c r="G8208" s="208" t="s">
        <v>86</v>
      </c>
      <c r="H8208" s="208"/>
      <c r="J8208" s="165" t="s">
        <v>199</v>
      </c>
      <c r="K8208" s="205">
        <v>750558.68</v>
      </c>
      <c r="L8208" s="205"/>
      <c r="M8208" s="263"/>
    </row>
    <row r="8209" spans="1:13" ht="11.25" customHeight="1" x14ac:dyDescent="0.2">
      <c r="A8209" s="164">
        <v>2025</v>
      </c>
      <c r="B8209" s="164">
        <v>7</v>
      </c>
      <c r="C8209" s="164">
        <v>10</v>
      </c>
      <c r="D8209" s="164">
        <f t="shared" si="948"/>
        <v>45848</v>
      </c>
      <c r="E8209" s="235">
        <f t="shared" si="947"/>
        <v>45848</v>
      </c>
      <c r="F8209" s="480"/>
      <c r="G8209" s="208" t="s">
        <v>86</v>
      </c>
      <c r="H8209" s="208"/>
      <c r="J8209" s="165" t="s">
        <v>200</v>
      </c>
      <c r="K8209" s="205"/>
      <c r="L8209" s="205">
        <v>404688.52</v>
      </c>
      <c r="M8209" s="263"/>
    </row>
    <row r="8210" spans="1:13" ht="11.25" customHeight="1" x14ac:dyDescent="0.2">
      <c r="A8210" s="226">
        <v>2025</v>
      </c>
      <c r="B8210" s="226">
        <v>7</v>
      </c>
      <c r="C8210" s="226">
        <v>10</v>
      </c>
      <c r="D8210" s="226">
        <f t="shared" si="948"/>
        <v>45848</v>
      </c>
      <c r="E8210" s="234">
        <f t="shared" si="947"/>
        <v>45848</v>
      </c>
      <c r="F8210" s="479"/>
      <c r="G8210" s="227" t="s">
        <v>86</v>
      </c>
      <c r="H8210" s="228"/>
      <c r="I8210" s="228"/>
      <c r="J8210" s="229" t="s">
        <v>80</v>
      </c>
      <c r="K8210" s="230"/>
      <c r="L8210" s="230">
        <v>1262863.98</v>
      </c>
      <c r="M8210" s="263"/>
    </row>
    <row r="8211" spans="1:13" ht="11.25" customHeight="1" x14ac:dyDescent="0.2">
      <c r="A8211" s="164">
        <v>2025</v>
      </c>
      <c r="B8211" s="164">
        <v>7</v>
      </c>
      <c r="C8211" s="164">
        <v>10</v>
      </c>
      <c r="D8211" s="164">
        <f t="shared" si="948"/>
        <v>45848</v>
      </c>
      <c r="E8211" s="235">
        <f t="shared" si="947"/>
        <v>45848</v>
      </c>
      <c r="F8211" s="480" t="s">
        <v>1842</v>
      </c>
      <c r="G8211" s="208" t="s">
        <v>86</v>
      </c>
      <c r="H8211" s="208"/>
      <c r="J8211" s="165" t="s">
        <v>199</v>
      </c>
      <c r="K8211" s="205">
        <v>1590132.6</v>
      </c>
      <c r="L8211" s="205"/>
    </row>
    <row r="8212" spans="1:13" ht="11.25" customHeight="1" x14ac:dyDescent="0.2">
      <c r="A8212" s="164">
        <v>2025</v>
      </c>
      <c r="B8212" s="164">
        <v>7</v>
      </c>
      <c r="C8212" s="164">
        <v>10</v>
      </c>
      <c r="D8212" s="164">
        <f t="shared" si="948"/>
        <v>45848</v>
      </c>
      <c r="E8212" s="235">
        <f t="shared" si="947"/>
        <v>45848</v>
      </c>
      <c r="F8212" s="480"/>
      <c r="G8212" s="208" t="s">
        <v>86</v>
      </c>
      <c r="H8212" s="208"/>
      <c r="J8212" s="165" t="s">
        <v>960</v>
      </c>
      <c r="K8212" s="205">
        <v>2867.4</v>
      </c>
      <c r="L8212" s="205"/>
      <c r="M8212" s="401"/>
    </row>
    <row r="8213" spans="1:13" ht="11.25" customHeight="1" x14ac:dyDescent="0.2">
      <c r="A8213" s="164">
        <v>2025</v>
      </c>
      <c r="B8213" s="164">
        <v>7</v>
      </c>
      <c r="C8213" s="164">
        <v>10</v>
      </c>
      <c r="D8213" s="164">
        <f t="shared" si="948"/>
        <v>45848</v>
      </c>
      <c r="E8213" s="235">
        <f t="shared" si="947"/>
        <v>45848</v>
      </c>
      <c r="F8213" s="480"/>
      <c r="G8213" s="208" t="s">
        <v>86</v>
      </c>
      <c r="H8213" s="208"/>
      <c r="J8213" s="165" t="s">
        <v>200</v>
      </c>
      <c r="K8213" s="205"/>
      <c r="L8213" s="205">
        <v>112117.85</v>
      </c>
    </row>
    <row r="8214" spans="1:13" ht="11.25" customHeight="1" x14ac:dyDescent="0.2">
      <c r="A8214" s="226">
        <v>2025</v>
      </c>
      <c r="B8214" s="226">
        <v>7</v>
      </c>
      <c r="C8214" s="226">
        <v>10</v>
      </c>
      <c r="D8214" s="226">
        <f t="shared" si="948"/>
        <v>45848</v>
      </c>
      <c r="E8214" s="234">
        <f t="shared" si="947"/>
        <v>45848</v>
      </c>
      <c r="F8214" s="479"/>
      <c r="G8214" s="227" t="s">
        <v>86</v>
      </c>
      <c r="H8214" s="228"/>
      <c r="I8214" s="228"/>
      <c r="J8214" s="229" t="s">
        <v>80</v>
      </c>
      <c r="K8214" s="230"/>
      <c r="L8214" s="230">
        <v>1480882.15</v>
      </c>
    </row>
    <row r="8215" spans="1:13" ht="11.25" customHeight="1" x14ac:dyDescent="0.2">
      <c r="A8215" s="221">
        <v>2025</v>
      </c>
      <c r="B8215" s="221">
        <v>7</v>
      </c>
      <c r="C8215" s="221">
        <v>10</v>
      </c>
      <c r="D8215" s="231">
        <f t="shared" si="948"/>
        <v>45848</v>
      </c>
      <c r="E8215" s="233">
        <f t="shared" si="947"/>
        <v>45848</v>
      </c>
      <c r="F8215" s="478" t="s">
        <v>802</v>
      </c>
      <c r="G8215" s="222" t="s">
        <v>1111</v>
      </c>
      <c r="H8215" s="223"/>
      <c r="I8215" s="223"/>
      <c r="J8215" s="224" t="s">
        <v>55</v>
      </c>
      <c r="K8215" s="167">
        <v>500000</v>
      </c>
      <c r="L8215" s="225"/>
    </row>
    <row r="8216" spans="1:13" ht="11.25" customHeight="1" x14ac:dyDescent="0.2">
      <c r="A8216" s="164">
        <v>2025</v>
      </c>
      <c r="B8216" s="164">
        <v>7</v>
      </c>
      <c r="C8216" s="164">
        <v>10</v>
      </c>
      <c r="D8216" s="156">
        <f t="shared" si="948"/>
        <v>45848</v>
      </c>
      <c r="E8216" s="235">
        <f t="shared" si="947"/>
        <v>45848</v>
      </c>
      <c r="F8216" s="480"/>
      <c r="G8216" s="208" t="s">
        <v>1111</v>
      </c>
      <c r="J8216" s="165" t="s">
        <v>14</v>
      </c>
      <c r="L8216" s="205">
        <v>456000</v>
      </c>
    </row>
    <row r="8217" spans="1:13" ht="11.25" customHeight="1" x14ac:dyDescent="0.2">
      <c r="A8217" s="226">
        <v>2025</v>
      </c>
      <c r="B8217" s="226">
        <v>7</v>
      </c>
      <c r="C8217" s="226">
        <v>10</v>
      </c>
      <c r="D8217" s="232">
        <f t="shared" si="948"/>
        <v>45848</v>
      </c>
      <c r="E8217" s="234">
        <f t="shared" si="947"/>
        <v>45848</v>
      </c>
      <c r="F8217" s="479"/>
      <c r="G8217" s="227" t="s">
        <v>1111</v>
      </c>
      <c r="H8217" s="228"/>
      <c r="I8217" s="228"/>
      <c r="J8217" s="229" t="s">
        <v>1112</v>
      </c>
      <c r="K8217" s="230"/>
      <c r="L8217" s="230">
        <v>44000</v>
      </c>
    </row>
    <row r="8218" spans="1:13" ht="11.25" customHeight="1" x14ac:dyDescent="0.2">
      <c r="A8218" s="221">
        <v>2025</v>
      </c>
      <c r="B8218" s="221">
        <v>7</v>
      </c>
      <c r="C8218" s="221">
        <v>10</v>
      </c>
      <c r="D8218" s="231">
        <f t="shared" si="948"/>
        <v>45848</v>
      </c>
      <c r="E8218" s="233">
        <f t="shared" si="947"/>
        <v>45848</v>
      </c>
      <c r="F8218" s="478" t="s">
        <v>1670</v>
      </c>
      <c r="G8218" s="222" t="s">
        <v>1111</v>
      </c>
      <c r="H8218" s="223"/>
      <c r="I8218" s="223"/>
      <c r="J8218" s="224" t="s">
        <v>63</v>
      </c>
      <c r="K8218" s="225">
        <v>60</v>
      </c>
      <c r="L8218" s="225"/>
    </row>
    <row r="8219" spans="1:13" ht="11.25" customHeight="1" x14ac:dyDescent="0.2">
      <c r="A8219" s="226">
        <v>2025</v>
      </c>
      <c r="B8219" s="226">
        <v>7</v>
      </c>
      <c r="C8219" s="226">
        <v>10</v>
      </c>
      <c r="D8219" s="232">
        <f t="shared" si="948"/>
        <v>45848</v>
      </c>
      <c r="E8219" s="234">
        <f t="shared" si="947"/>
        <v>45848</v>
      </c>
      <c r="F8219" s="479"/>
      <c r="G8219" s="227" t="s">
        <v>1111</v>
      </c>
      <c r="H8219" s="228"/>
      <c r="I8219" s="228"/>
      <c r="J8219" s="229" t="s">
        <v>55</v>
      </c>
      <c r="K8219" s="230"/>
      <c r="L8219" s="230">
        <v>60</v>
      </c>
    </row>
    <row r="8220" spans="1:13" ht="11.25" customHeight="1" x14ac:dyDescent="0.2">
      <c r="A8220" s="280">
        <v>2025</v>
      </c>
      <c r="B8220" s="280">
        <v>7</v>
      </c>
      <c r="C8220" s="280">
        <v>10</v>
      </c>
      <c r="D8220" s="281">
        <f t="shared" si="948"/>
        <v>45848</v>
      </c>
      <c r="E8220" s="282">
        <f t="shared" si="947"/>
        <v>45848</v>
      </c>
      <c r="F8220" s="472" t="s">
        <v>1744</v>
      </c>
      <c r="G8220" s="283" t="s">
        <v>86</v>
      </c>
      <c r="H8220" s="284"/>
      <c r="I8220" s="284"/>
      <c r="J8220" s="285" t="s">
        <v>131</v>
      </c>
      <c r="K8220" s="286">
        <v>19358.330000000002</v>
      </c>
      <c r="L8220" s="286"/>
      <c r="M8220" s="401"/>
    </row>
    <row r="8221" spans="1:13" ht="11.25" customHeight="1" x14ac:dyDescent="0.2">
      <c r="A8221" s="287">
        <v>2025</v>
      </c>
      <c r="B8221" s="287">
        <v>7</v>
      </c>
      <c r="C8221" s="287">
        <v>10</v>
      </c>
      <c r="D8221" s="288">
        <f t="shared" si="948"/>
        <v>45848</v>
      </c>
      <c r="E8221" s="289">
        <f t="shared" si="947"/>
        <v>45848</v>
      </c>
      <c r="F8221" s="473"/>
      <c r="G8221" s="290" t="s">
        <v>86</v>
      </c>
      <c r="H8221" s="291"/>
      <c r="I8221" s="291"/>
      <c r="J8221" s="292" t="s">
        <v>174</v>
      </c>
      <c r="K8221" s="293"/>
      <c r="L8221" s="293">
        <f>K8220</f>
        <v>19358.330000000002</v>
      </c>
    </row>
    <row r="8222" spans="1:13" ht="11.25" customHeight="1" x14ac:dyDescent="0.2">
      <c r="A8222" s="280">
        <v>2025</v>
      </c>
      <c r="B8222" s="280">
        <v>7</v>
      </c>
      <c r="C8222" s="280">
        <v>10</v>
      </c>
      <c r="D8222" s="281">
        <f t="shared" si="948"/>
        <v>45848</v>
      </c>
      <c r="E8222" s="282">
        <f t="shared" si="947"/>
        <v>45848</v>
      </c>
      <c r="F8222" s="472" t="s">
        <v>1584</v>
      </c>
      <c r="G8222" s="283" t="s">
        <v>86</v>
      </c>
      <c r="H8222" s="284"/>
      <c r="I8222" s="284"/>
      <c r="J8222" s="285" t="s">
        <v>131</v>
      </c>
      <c r="K8222" s="286">
        <v>8846.15</v>
      </c>
      <c r="L8222" s="286"/>
      <c r="M8222" s="401"/>
    </row>
    <row r="8223" spans="1:13" ht="11.25" customHeight="1" x14ac:dyDescent="0.2">
      <c r="A8223" s="287">
        <v>2025</v>
      </c>
      <c r="B8223" s="287">
        <v>7</v>
      </c>
      <c r="C8223" s="287">
        <v>10</v>
      </c>
      <c r="D8223" s="288">
        <f t="shared" si="948"/>
        <v>45848</v>
      </c>
      <c r="E8223" s="289">
        <f t="shared" si="947"/>
        <v>45848</v>
      </c>
      <c r="F8223" s="473"/>
      <c r="G8223" s="290" t="s">
        <v>86</v>
      </c>
      <c r="H8223" s="291"/>
      <c r="I8223" s="291"/>
      <c r="J8223" s="292" t="s">
        <v>174</v>
      </c>
      <c r="K8223" s="293"/>
      <c r="L8223" s="293">
        <f>K8222</f>
        <v>8846.15</v>
      </c>
    </row>
    <row r="8224" spans="1:13" ht="11.25" customHeight="1" x14ac:dyDescent="0.2">
      <c r="A8224" s="280">
        <v>2025</v>
      </c>
      <c r="B8224" s="280">
        <v>7</v>
      </c>
      <c r="C8224" s="280">
        <v>10</v>
      </c>
      <c r="D8224" s="281">
        <f t="shared" si="948"/>
        <v>45848</v>
      </c>
      <c r="E8224" s="282">
        <f t="shared" si="947"/>
        <v>45848</v>
      </c>
      <c r="F8224" s="472" t="s">
        <v>1830</v>
      </c>
      <c r="G8224" s="283" t="s">
        <v>86</v>
      </c>
      <c r="H8224" s="284"/>
      <c r="I8224" s="284"/>
      <c r="J8224" s="285" t="s">
        <v>131</v>
      </c>
      <c r="K8224" s="286">
        <v>11634.615384615385</v>
      </c>
      <c r="L8224" s="286"/>
      <c r="M8224" s="401"/>
    </row>
    <row r="8225" spans="1:14" ht="11.25" customHeight="1" x14ac:dyDescent="0.2">
      <c r="A8225" s="287">
        <v>2025</v>
      </c>
      <c r="B8225" s="287">
        <v>7</v>
      </c>
      <c r="C8225" s="287">
        <v>10</v>
      </c>
      <c r="D8225" s="288">
        <f t="shared" si="948"/>
        <v>45848</v>
      </c>
      <c r="E8225" s="289">
        <f t="shared" si="947"/>
        <v>45848</v>
      </c>
      <c r="F8225" s="473"/>
      <c r="G8225" s="290" t="s">
        <v>86</v>
      </c>
      <c r="H8225" s="291"/>
      <c r="I8225" s="291"/>
      <c r="J8225" s="292" t="s">
        <v>174</v>
      </c>
      <c r="K8225" s="293"/>
      <c r="L8225" s="293">
        <v>11634.615384615385</v>
      </c>
    </row>
    <row r="8226" spans="1:14" ht="11.25" customHeight="1" x14ac:dyDescent="0.2">
      <c r="A8226" s="341">
        <v>2025</v>
      </c>
      <c r="B8226" s="341">
        <v>7</v>
      </c>
      <c r="C8226" s="341">
        <v>10</v>
      </c>
      <c r="D8226" s="328">
        <f t="shared" si="948"/>
        <v>45848</v>
      </c>
      <c r="E8226" s="329">
        <f t="shared" si="947"/>
        <v>45848</v>
      </c>
      <c r="F8226" s="474" t="s">
        <v>1767</v>
      </c>
      <c r="G8226" s="330" t="s">
        <v>86</v>
      </c>
      <c r="H8226" s="332"/>
      <c r="I8226" s="332"/>
      <c r="J8226" s="342" t="s">
        <v>67</v>
      </c>
      <c r="K8226" s="343">
        <v>31627.23</v>
      </c>
      <c r="L8226" s="343"/>
    </row>
    <row r="8227" spans="1:14" ht="11.25" customHeight="1" x14ac:dyDescent="0.2">
      <c r="A8227" s="344">
        <v>2025</v>
      </c>
      <c r="B8227" s="344">
        <v>7</v>
      </c>
      <c r="C8227" s="344">
        <v>10</v>
      </c>
      <c r="D8227" s="337">
        <f t="shared" si="948"/>
        <v>45848</v>
      </c>
      <c r="E8227" s="338">
        <f t="shared" si="947"/>
        <v>45848</v>
      </c>
      <c r="F8227" s="475"/>
      <c r="G8227" s="339" t="s">
        <v>86</v>
      </c>
      <c r="H8227" s="340"/>
      <c r="I8227" s="340"/>
      <c r="J8227" s="345" t="s">
        <v>174</v>
      </c>
      <c r="K8227" s="346"/>
      <c r="L8227" s="346">
        <f>K8226</f>
        <v>31627.23</v>
      </c>
    </row>
    <row r="8228" spans="1:14" ht="11.25" customHeight="1" x14ac:dyDescent="0.2">
      <c r="A8228" s="358">
        <v>2025</v>
      </c>
      <c r="B8228" s="358">
        <v>7</v>
      </c>
      <c r="C8228" s="358">
        <v>10</v>
      </c>
      <c r="D8228" s="312">
        <f t="shared" si="948"/>
        <v>45848</v>
      </c>
      <c r="E8228" s="313">
        <f>DATE(A8228,B8228,C8228)</f>
        <v>45848</v>
      </c>
      <c r="F8228" s="482" t="s">
        <v>1627</v>
      </c>
      <c r="G8228" s="314" t="s">
        <v>86</v>
      </c>
      <c r="H8228" s="324"/>
      <c r="I8228" s="324"/>
      <c r="J8228" s="364" t="s">
        <v>1613</v>
      </c>
      <c r="K8228" s="365">
        <v>0</v>
      </c>
      <c r="L8228" s="365"/>
      <c r="M8228" s="156">
        <f>BS!$I$12</f>
        <v>0</v>
      </c>
    </row>
    <row r="8229" spans="1:14" ht="11.25" customHeight="1" x14ac:dyDescent="0.2">
      <c r="A8229" s="320">
        <v>2025</v>
      </c>
      <c r="B8229" s="320">
        <v>7</v>
      </c>
      <c r="C8229" s="320">
        <v>10</v>
      </c>
      <c r="D8229" s="323">
        <f t="shared" si="948"/>
        <v>45848</v>
      </c>
      <c r="E8229" s="321">
        <f t="shared" ref="E8229" si="949">DATE(A8229,B8229,C8229)</f>
        <v>45848</v>
      </c>
      <c r="F8229" s="483"/>
      <c r="G8229" s="322" t="s">
        <v>86</v>
      </c>
      <c r="H8229" s="325"/>
      <c r="I8229" s="325"/>
      <c r="J8229" s="366" t="s">
        <v>1621</v>
      </c>
      <c r="K8229" s="367"/>
      <c r="L8229" s="367">
        <f>K8228</f>
        <v>0</v>
      </c>
    </row>
    <row r="8230" spans="1:14" ht="11.25" customHeight="1" x14ac:dyDescent="0.2">
      <c r="A8230" s="358">
        <v>2025</v>
      </c>
      <c r="B8230" s="358">
        <v>7</v>
      </c>
      <c r="C8230" s="358">
        <v>10</v>
      </c>
      <c r="D8230" s="312">
        <f t="shared" si="948"/>
        <v>45848</v>
      </c>
      <c r="E8230" s="313">
        <f>DATE(A8230,B8230,C8230)</f>
        <v>45848</v>
      </c>
      <c r="F8230" s="482" t="s">
        <v>1713</v>
      </c>
      <c r="G8230" s="314" t="s">
        <v>86</v>
      </c>
      <c r="H8230" s="324"/>
      <c r="I8230" s="324"/>
      <c r="J8230" s="364" t="s">
        <v>1622</v>
      </c>
      <c r="K8230" s="365">
        <v>95828.673000000417</v>
      </c>
      <c r="L8230" s="365"/>
      <c r="M8230" s="156">
        <f>BS!$I$15</f>
        <v>0</v>
      </c>
    </row>
    <row r="8231" spans="1:14" ht="11.25" customHeight="1" x14ac:dyDescent="0.2">
      <c r="A8231" s="320">
        <v>2025</v>
      </c>
      <c r="B8231" s="320">
        <v>7</v>
      </c>
      <c r="C8231" s="320">
        <v>10</v>
      </c>
      <c r="D8231" s="323">
        <f t="shared" si="948"/>
        <v>45848</v>
      </c>
      <c r="E8231" s="321">
        <f t="shared" ref="E8231:E8244" si="950">DATE(A8231,B8231,C8231)</f>
        <v>45848</v>
      </c>
      <c r="F8231" s="483"/>
      <c r="G8231" s="322" t="s">
        <v>86</v>
      </c>
      <c r="H8231" s="325"/>
      <c r="I8231" s="325"/>
      <c r="J8231" s="366" t="s">
        <v>1614</v>
      </c>
      <c r="K8231" s="367"/>
      <c r="L8231" s="367">
        <f>K8230</f>
        <v>95828.673000000417</v>
      </c>
    </row>
    <row r="8232" spans="1:14" ht="11.25" customHeight="1" x14ac:dyDescent="0.2">
      <c r="A8232" s="236">
        <v>2025</v>
      </c>
      <c r="B8232" s="236">
        <v>7</v>
      </c>
      <c r="C8232" s="236">
        <v>10</v>
      </c>
      <c r="D8232" s="237">
        <f t="shared" si="948"/>
        <v>45848</v>
      </c>
      <c r="E8232" s="238">
        <f t="shared" si="950"/>
        <v>45848</v>
      </c>
      <c r="F8232" s="476" t="s">
        <v>1118</v>
      </c>
      <c r="G8232" s="239" t="s">
        <v>86</v>
      </c>
      <c r="H8232" s="239"/>
      <c r="I8232" s="240"/>
      <c r="J8232" s="241" t="s">
        <v>98</v>
      </c>
      <c r="K8232" s="242">
        <v>2326249.2199999541</v>
      </c>
      <c r="L8232" s="242"/>
      <c r="M8232" s="156">
        <f>BS!$I$8</f>
        <v>0</v>
      </c>
    </row>
    <row r="8233" spans="1:14" ht="11.25" customHeight="1" x14ac:dyDescent="0.2">
      <c r="A8233" s="243">
        <v>2025</v>
      </c>
      <c r="B8233" s="243">
        <v>7</v>
      </c>
      <c r="C8233" s="243">
        <v>10</v>
      </c>
      <c r="D8233" s="248">
        <f t="shared" si="948"/>
        <v>45848</v>
      </c>
      <c r="E8233" s="249">
        <f t="shared" si="950"/>
        <v>45848</v>
      </c>
      <c r="F8233" s="477"/>
      <c r="G8233" s="244" t="s">
        <v>86</v>
      </c>
      <c r="H8233" s="244"/>
      <c r="I8233" s="245"/>
      <c r="J8233" s="246" t="s">
        <v>82</v>
      </c>
      <c r="K8233" s="247"/>
      <c r="L8233" s="247">
        <f>K8232</f>
        <v>2326249.2199999541</v>
      </c>
    </row>
    <row r="8234" spans="1:14" ht="11.25" customHeight="1" x14ac:dyDescent="0.2">
      <c r="A8234" s="236">
        <v>2025</v>
      </c>
      <c r="B8234" s="236">
        <v>7</v>
      </c>
      <c r="C8234" s="236">
        <v>10</v>
      </c>
      <c r="D8234" s="237">
        <f t="shared" si="948"/>
        <v>45848</v>
      </c>
      <c r="E8234" s="238">
        <f t="shared" si="950"/>
        <v>45848</v>
      </c>
      <c r="F8234" s="476" t="s">
        <v>1120</v>
      </c>
      <c r="G8234" s="239" t="s">
        <v>86</v>
      </c>
      <c r="H8234" s="239"/>
      <c r="I8234" s="240"/>
      <c r="J8234" s="241" t="s">
        <v>87</v>
      </c>
      <c r="K8234" s="242">
        <v>2747.2527472527472</v>
      </c>
      <c r="L8234" s="242"/>
      <c r="M8234" s="401"/>
    </row>
    <row r="8235" spans="1:14" ht="11.25" customHeight="1" x14ac:dyDescent="0.2">
      <c r="A8235" s="243">
        <v>2025</v>
      </c>
      <c r="B8235" s="243">
        <v>7</v>
      </c>
      <c r="C8235" s="243">
        <v>10</v>
      </c>
      <c r="D8235" s="248">
        <f t="shared" si="948"/>
        <v>45848</v>
      </c>
      <c r="E8235" s="249">
        <f t="shared" si="950"/>
        <v>45848</v>
      </c>
      <c r="F8235" s="477"/>
      <c r="G8235" s="244" t="s">
        <v>86</v>
      </c>
      <c r="H8235" s="244"/>
      <c r="I8235" s="245"/>
      <c r="J8235" s="246" t="s">
        <v>64</v>
      </c>
      <c r="K8235" s="247"/>
      <c r="L8235" s="247">
        <f>K8234</f>
        <v>2747.2527472527472</v>
      </c>
    </row>
    <row r="8236" spans="1:14" ht="11.25" customHeight="1" x14ac:dyDescent="0.2">
      <c r="A8236" s="236">
        <v>2025</v>
      </c>
      <c r="B8236" s="236">
        <v>7</v>
      </c>
      <c r="C8236" s="236">
        <v>10</v>
      </c>
      <c r="D8236" s="237">
        <f t="shared" si="948"/>
        <v>45848</v>
      </c>
      <c r="E8236" s="238">
        <f t="shared" si="950"/>
        <v>45848</v>
      </c>
      <c r="F8236" s="476" t="s">
        <v>1121</v>
      </c>
      <c r="G8236" s="239" t="s">
        <v>86</v>
      </c>
      <c r="H8236" s="239"/>
      <c r="I8236" s="240"/>
      <c r="J8236" s="241" t="s">
        <v>89</v>
      </c>
      <c r="K8236" s="242">
        <f>M8236</f>
        <v>75563.610339260675</v>
      </c>
      <c r="L8236" s="242"/>
      <c r="M8236" s="156">
        <v>75563.610339260675</v>
      </c>
    </row>
    <row r="8237" spans="1:14" ht="11.25" customHeight="1" x14ac:dyDescent="0.2">
      <c r="A8237" s="243">
        <v>2025</v>
      </c>
      <c r="B8237" s="243">
        <v>7</v>
      </c>
      <c r="C8237" s="243">
        <v>10</v>
      </c>
      <c r="D8237" s="248">
        <f t="shared" si="948"/>
        <v>45848</v>
      </c>
      <c r="E8237" s="249">
        <f t="shared" si="950"/>
        <v>45848</v>
      </c>
      <c r="F8237" s="477"/>
      <c r="G8237" s="244" t="s">
        <v>86</v>
      </c>
      <c r="H8237" s="244"/>
      <c r="I8237" s="245"/>
      <c r="J8237" s="246" t="s">
        <v>50</v>
      </c>
      <c r="K8237" s="247"/>
      <c r="L8237" s="247">
        <f>K8236</f>
        <v>75563.610339260675</v>
      </c>
      <c r="M8237" s="156">
        <v>3537.7959015784186</v>
      </c>
    </row>
    <row r="8238" spans="1:14" ht="11.25" customHeight="1" x14ac:dyDescent="0.2">
      <c r="A8238" s="236">
        <v>2025</v>
      </c>
      <c r="B8238" s="236">
        <v>7</v>
      </c>
      <c r="C8238" s="236">
        <v>10</v>
      </c>
      <c r="D8238" s="237">
        <f t="shared" si="948"/>
        <v>45848</v>
      </c>
      <c r="E8238" s="238">
        <f t="shared" si="950"/>
        <v>45848</v>
      </c>
      <c r="F8238" s="476" t="s">
        <v>1122</v>
      </c>
      <c r="G8238" s="239" t="s">
        <v>86</v>
      </c>
      <c r="H8238" s="239"/>
      <c r="I8238" s="240"/>
      <c r="J8238" s="241" t="s">
        <v>91</v>
      </c>
      <c r="K8238" s="242">
        <f>M8237</f>
        <v>3537.7959015784186</v>
      </c>
      <c r="L8238" s="242"/>
    </row>
    <row r="8239" spans="1:14" ht="11.25" customHeight="1" x14ac:dyDescent="0.2">
      <c r="A8239" s="243">
        <v>2025</v>
      </c>
      <c r="B8239" s="243">
        <v>7</v>
      </c>
      <c r="C8239" s="243">
        <v>10</v>
      </c>
      <c r="D8239" s="248">
        <f t="shared" si="948"/>
        <v>45848</v>
      </c>
      <c r="E8239" s="249">
        <f t="shared" si="950"/>
        <v>45848</v>
      </c>
      <c r="F8239" s="477"/>
      <c r="G8239" s="244" t="s">
        <v>86</v>
      </c>
      <c r="H8239" s="244"/>
      <c r="I8239" s="245"/>
      <c r="J8239" s="246" t="s">
        <v>51</v>
      </c>
      <c r="K8239" s="247"/>
      <c r="L8239" s="247">
        <f>K8238</f>
        <v>3537.7959015784186</v>
      </c>
    </row>
    <row r="8240" spans="1:14" ht="11.25" customHeight="1" x14ac:dyDescent="0.2">
      <c r="A8240" s="221">
        <v>2025</v>
      </c>
      <c r="B8240" s="221">
        <v>7</v>
      </c>
      <c r="C8240" s="221">
        <v>13</v>
      </c>
      <c r="D8240" s="221">
        <f t="shared" si="948"/>
        <v>45851</v>
      </c>
      <c r="E8240" s="233">
        <f t="shared" si="950"/>
        <v>45851</v>
      </c>
      <c r="F8240" s="478" t="s">
        <v>1769</v>
      </c>
      <c r="G8240" s="222" t="s">
        <v>86</v>
      </c>
      <c r="H8240" s="222"/>
      <c r="I8240" s="223"/>
      <c r="J8240" s="224" t="s">
        <v>80</v>
      </c>
      <c r="K8240" s="225">
        <v>1556144</v>
      </c>
      <c r="L8240" s="225"/>
      <c r="N8240" s="263"/>
    </row>
    <row r="8241" spans="1:14" ht="11.25" customHeight="1" x14ac:dyDescent="0.2">
      <c r="A8241" s="164">
        <v>2025</v>
      </c>
      <c r="B8241" s="164">
        <v>7</v>
      </c>
      <c r="C8241" s="164">
        <v>13</v>
      </c>
      <c r="D8241" s="164">
        <f t="shared" si="948"/>
        <v>45851</v>
      </c>
      <c r="E8241" s="235">
        <f t="shared" si="950"/>
        <v>45851</v>
      </c>
      <c r="F8241" s="480"/>
      <c r="G8241" s="208" t="s">
        <v>86</v>
      </c>
      <c r="H8241" s="208"/>
      <c r="J8241" s="165" t="s">
        <v>960</v>
      </c>
      <c r="K8241" s="205">
        <v>7279.25</v>
      </c>
      <c r="L8241" s="205"/>
      <c r="M8241" s="263"/>
      <c r="N8241" s="263"/>
    </row>
    <row r="8242" spans="1:14" ht="11.25" customHeight="1" x14ac:dyDescent="0.2">
      <c r="A8242" s="164">
        <v>2025</v>
      </c>
      <c r="B8242" s="164">
        <v>7</v>
      </c>
      <c r="C8242" s="164">
        <v>13</v>
      </c>
      <c r="D8242" s="164">
        <f t="shared" si="948"/>
        <v>45851</v>
      </c>
      <c r="E8242" s="235">
        <f t="shared" si="950"/>
        <v>45851</v>
      </c>
      <c r="F8242" s="480"/>
      <c r="G8242" s="208" t="s">
        <v>86</v>
      </c>
      <c r="H8242" s="208"/>
      <c r="J8242" s="165" t="s">
        <v>199</v>
      </c>
      <c r="K8242" s="205">
        <v>924459.55</v>
      </c>
      <c r="L8242" s="205"/>
      <c r="M8242" s="263"/>
    </row>
    <row r="8243" spans="1:14" ht="11.25" customHeight="1" x14ac:dyDescent="0.2">
      <c r="A8243" s="164">
        <v>2025</v>
      </c>
      <c r="B8243" s="164">
        <v>7</v>
      </c>
      <c r="C8243" s="164">
        <v>13</v>
      </c>
      <c r="D8243" s="164">
        <f t="shared" si="948"/>
        <v>45851</v>
      </c>
      <c r="E8243" s="235">
        <f t="shared" si="950"/>
        <v>45851</v>
      </c>
      <c r="F8243" s="480"/>
      <c r="G8243" s="208" t="s">
        <v>86</v>
      </c>
      <c r="H8243" s="208"/>
      <c r="J8243" s="165" t="s">
        <v>200</v>
      </c>
      <c r="K8243" s="205"/>
      <c r="L8243" s="205">
        <v>342867</v>
      </c>
      <c r="M8243" s="263"/>
    </row>
    <row r="8244" spans="1:14" ht="11.25" customHeight="1" x14ac:dyDescent="0.2">
      <c r="A8244" s="226">
        <v>2025</v>
      </c>
      <c r="B8244" s="226">
        <v>7</v>
      </c>
      <c r="C8244" s="226">
        <v>13</v>
      </c>
      <c r="D8244" s="226">
        <f t="shared" si="948"/>
        <v>45851</v>
      </c>
      <c r="E8244" s="234">
        <f t="shared" si="950"/>
        <v>45851</v>
      </c>
      <c r="F8244" s="479"/>
      <c r="G8244" s="227" t="s">
        <v>86</v>
      </c>
      <c r="H8244" s="228"/>
      <c r="I8244" s="228"/>
      <c r="J8244" s="229" t="s">
        <v>80</v>
      </c>
      <c r="K8244" s="230"/>
      <c r="L8244" s="230">
        <v>2145015.7999999998</v>
      </c>
      <c r="M8244" s="263"/>
    </row>
    <row r="8245" spans="1:14" ht="11.25" customHeight="1" x14ac:dyDescent="0.2">
      <c r="A8245" s="221">
        <v>2025</v>
      </c>
      <c r="B8245" s="221">
        <v>7</v>
      </c>
      <c r="C8245" s="221">
        <v>13</v>
      </c>
      <c r="D8245" s="221">
        <f t="shared" si="948"/>
        <v>45851</v>
      </c>
      <c r="E8245" s="233">
        <f t="shared" ref="E8245:E8249" si="951">DATE(A8245,B8245,C8245)</f>
        <v>45851</v>
      </c>
      <c r="F8245" s="478" t="s">
        <v>1886</v>
      </c>
      <c r="G8245" s="222" t="s">
        <v>86</v>
      </c>
      <c r="H8245" s="222"/>
      <c r="I8245" s="223"/>
      <c r="J8245" s="224" t="s">
        <v>80</v>
      </c>
      <c r="K8245" s="225">
        <v>1091300</v>
      </c>
      <c r="L8245" s="225"/>
      <c r="N8245" s="263"/>
    </row>
    <row r="8246" spans="1:14" ht="11.25" customHeight="1" x14ac:dyDescent="0.2">
      <c r="A8246" s="164">
        <v>2025</v>
      </c>
      <c r="B8246" s="164">
        <v>7</v>
      </c>
      <c r="C8246" s="164">
        <v>13</v>
      </c>
      <c r="D8246" s="164">
        <f t="shared" si="948"/>
        <v>45851</v>
      </c>
      <c r="E8246" s="235">
        <f t="shared" si="951"/>
        <v>45851</v>
      </c>
      <c r="F8246" s="480"/>
      <c r="G8246" s="208" t="s">
        <v>86</v>
      </c>
      <c r="H8246" s="208"/>
      <c r="J8246" s="165" t="s">
        <v>960</v>
      </c>
      <c r="K8246" s="205">
        <v>5852.34</v>
      </c>
      <c r="L8246" s="205"/>
      <c r="M8246" s="263"/>
      <c r="N8246" s="263"/>
    </row>
    <row r="8247" spans="1:14" ht="11.25" customHeight="1" x14ac:dyDescent="0.2">
      <c r="A8247" s="164">
        <v>2025</v>
      </c>
      <c r="B8247" s="164">
        <v>7</v>
      </c>
      <c r="C8247" s="164">
        <v>13</v>
      </c>
      <c r="D8247" s="164">
        <f t="shared" si="948"/>
        <v>45851</v>
      </c>
      <c r="E8247" s="235">
        <f t="shared" si="951"/>
        <v>45851</v>
      </c>
      <c r="F8247" s="480"/>
      <c r="G8247" s="208" t="s">
        <v>86</v>
      </c>
      <c r="H8247" s="208"/>
      <c r="J8247" s="165" t="s">
        <v>199</v>
      </c>
      <c r="K8247" s="205">
        <v>1062847.6599999999</v>
      </c>
      <c r="L8247" s="205"/>
      <c r="M8247" s="263"/>
    </row>
    <row r="8248" spans="1:14" ht="11.25" customHeight="1" x14ac:dyDescent="0.2">
      <c r="A8248" s="164">
        <v>2025</v>
      </c>
      <c r="B8248" s="164">
        <v>7</v>
      </c>
      <c r="C8248" s="164">
        <v>13</v>
      </c>
      <c r="D8248" s="164">
        <f t="shared" si="948"/>
        <v>45851</v>
      </c>
      <c r="E8248" s="235">
        <f t="shared" si="951"/>
        <v>45851</v>
      </c>
      <c r="F8248" s="480"/>
      <c r="G8248" s="208" t="s">
        <v>86</v>
      </c>
      <c r="H8248" s="208"/>
      <c r="J8248" s="165" t="s">
        <v>200</v>
      </c>
      <c r="K8248" s="205"/>
      <c r="L8248" s="205">
        <v>127934.14</v>
      </c>
      <c r="M8248" s="263"/>
    </row>
    <row r="8249" spans="1:14" ht="11.25" customHeight="1" x14ac:dyDescent="0.2">
      <c r="A8249" s="226">
        <v>2025</v>
      </c>
      <c r="B8249" s="226">
        <v>7</v>
      </c>
      <c r="C8249" s="226">
        <v>13</v>
      </c>
      <c r="D8249" s="226">
        <f t="shared" si="948"/>
        <v>45851</v>
      </c>
      <c r="E8249" s="234">
        <f t="shared" si="951"/>
        <v>45851</v>
      </c>
      <c r="F8249" s="479"/>
      <c r="G8249" s="227" t="s">
        <v>86</v>
      </c>
      <c r="H8249" s="228"/>
      <c r="I8249" s="228"/>
      <c r="J8249" s="229" t="s">
        <v>80</v>
      </c>
      <c r="K8249" s="230"/>
      <c r="L8249" s="230">
        <v>2032065.86</v>
      </c>
      <c r="M8249" s="263"/>
    </row>
    <row r="8250" spans="1:14" ht="11.25" customHeight="1" x14ac:dyDescent="0.2">
      <c r="A8250" s="221">
        <v>2025</v>
      </c>
      <c r="B8250" s="221">
        <v>7</v>
      </c>
      <c r="C8250" s="221">
        <v>13</v>
      </c>
      <c r="D8250" s="221">
        <f t="shared" si="948"/>
        <v>45851</v>
      </c>
      <c r="E8250" s="233">
        <f t="shared" ref="E8250:E8270" si="952">DATE(A8250,B8250,C8250)</f>
        <v>45851</v>
      </c>
      <c r="F8250" s="478" t="s">
        <v>1922</v>
      </c>
      <c r="G8250" s="222" t="s">
        <v>86</v>
      </c>
      <c r="H8250" s="222"/>
      <c r="I8250" s="223"/>
      <c r="J8250" s="224" t="s">
        <v>80</v>
      </c>
      <c r="K8250" s="225">
        <v>842095.6</v>
      </c>
      <c r="L8250" s="225"/>
      <c r="N8250" s="263"/>
    </row>
    <row r="8251" spans="1:14" ht="11.25" customHeight="1" x14ac:dyDescent="0.2">
      <c r="A8251" s="164">
        <v>2025</v>
      </c>
      <c r="B8251" s="164">
        <v>7</v>
      </c>
      <c r="C8251" s="164">
        <v>13</v>
      </c>
      <c r="D8251" s="164">
        <f t="shared" si="948"/>
        <v>45851</v>
      </c>
      <c r="E8251" s="235">
        <f t="shared" si="952"/>
        <v>45851</v>
      </c>
      <c r="F8251" s="480"/>
      <c r="G8251" s="208" t="s">
        <v>86</v>
      </c>
      <c r="H8251" s="208"/>
      <c r="J8251" s="165" t="s">
        <v>960</v>
      </c>
      <c r="K8251" s="205">
        <v>3512.82</v>
      </c>
      <c r="L8251" s="205"/>
      <c r="M8251" s="263"/>
      <c r="N8251" s="263"/>
    </row>
    <row r="8252" spans="1:14" ht="11.25" customHeight="1" x14ac:dyDescent="0.2">
      <c r="A8252" s="164">
        <v>2025</v>
      </c>
      <c r="B8252" s="164">
        <v>7</v>
      </c>
      <c r="C8252" s="164">
        <v>13</v>
      </c>
      <c r="D8252" s="164">
        <f t="shared" si="948"/>
        <v>45851</v>
      </c>
      <c r="E8252" s="235">
        <f t="shared" si="952"/>
        <v>45851</v>
      </c>
      <c r="F8252" s="480"/>
      <c r="G8252" s="208" t="s">
        <v>86</v>
      </c>
      <c r="H8252" s="208"/>
      <c r="J8252" s="165" t="s">
        <v>199</v>
      </c>
      <c r="K8252" s="205">
        <v>263863.58</v>
      </c>
      <c r="L8252" s="205"/>
      <c r="M8252" s="263"/>
    </row>
    <row r="8253" spans="1:14" ht="11.25" customHeight="1" x14ac:dyDescent="0.2">
      <c r="A8253" s="164">
        <v>2025</v>
      </c>
      <c r="B8253" s="164">
        <v>7</v>
      </c>
      <c r="C8253" s="164">
        <v>13</v>
      </c>
      <c r="D8253" s="164">
        <f t="shared" si="948"/>
        <v>45851</v>
      </c>
      <c r="E8253" s="235">
        <f t="shared" si="952"/>
        <v>45851</v>
      </c>
      <c r="F8253" s="480"/>
      <c r="G8253" s="208" t="s">
        <v>86</v>
      </c>
      <c r="H8253" s="208"/>
      <c r="J8253" s="165" t="s">
        <v>200</v>
      </c>
      <c r="K8253" s="205"/>
      <c r="L8253" s="205">
        <v>210514.84</v>
      </c>
      <c r="M8253" s="263"/>
    </row>
    <row r="8254" spans="1:14" ht="11.25" customHeight="1" x14ac:dyDescent="0.2">
      <c r="A8254" s="226">
        <v>2025</v>
      </c>
      <c r="B8254" s="226">
        <v>7</v>
      </c>
      <c r="C8254" s="226">
        <v>13</v>
      </c>
      <c r="D8254" s="226">
        <f t="shared" si="948"/>
        <v>45851</v>
      </c>
      <c r="E8254" s="234">
        <f t="shared" si="952"/>
        <v>45851</v>
      </c>
      <c r="F8254" s="479"/>
      <c r="G8254" s="227" t="s">
        <v>86</v>
      </c>
      <c r="H8254" s="228"/>
      <c r="I8254" s="228"/>
      <c r="J8254" s="229" t="s">
        <v>80</v>
      </c>
      <c r="K8254" s="230"/>
      <c r="L8254" s="230">
        <v>898957.16</v>
      </c>
      <c r="M8254" s="263"/>
    </row>
    <row r="8255" spans="1:14" ht="11.25" customHeight="1" x14ac:dyDescent="0.2">
      <c r="A8255" s="221">
        <v>2025</v>
      </c>
      <c r="B8255" s="221">
        <v>7</v>
      </c>
      <c r="C8255" s="221">
        <v>13</v>
      </c>
      <c r="D8255" s="231">
        <f t="shared" si="948"/>
        <v>45851</v>
      </c>
      <c r="E8255" s="233">
        <f t="shared" si="952"/>
        <v>45851</v>
      </c>
      <c r="F8255" s="478" t="s">
        <v>1814</v>
      </c>
      <c r="G8255" s="222" t="s">
        <v>1111</v>
      </c>
      <c r="H8255" s="223"/>
      <c r="I8255" s="223"/>
      <c r="J8255" s="224" t="s">
        <v>961</v>
      </c>
      <c r="K8255" s="225">
        <v>1336860.95</v>
      </c>
      <c r="L8255" s="225"/>
    </row>
    <row r="8256" spans="1:14" ht="11.25" customHeight="1" x14ac:dyDescent="0.2">
      <c r="A8256" s="226">
        <v>2025</v>
      </c>
      <c r="B8256" s="226">
        <v>7</v>
      </c>
      <c r="C8256" s="226">
        <v>13</v>
      </c>
      <c r="D8256" s="232">
        <f t="shared" si="948"/>
        <v>45851</v>
      </c>
      <c r="E8256" s="234">
        <f t="shared" si="952"/>
        <v>45851</v>
      </c>
      <c r="F8256" s="479"/>
      <c r="G8256" s="227" t="s">
        <v>1111</v>
      </c>
      <c r="H8256" s="228"/>
      <c r="I8256" s="228"/>
      <c r="J8256" s="229" t="s">
        <v>55</v>
      </c>
      <c r="K8256" s="230"/>
      <c r="L8256" s="230">
        <f>K8255</f>
        <v>1336860.95</v>
      </c>
    </row>
    <row r="8257" spans="1:14" ht="11.25" customHeight="1" x14ac:dyDescent="0.2">
      <c r="A8257" s="221">
        <v>2025</v>
      </c>
      <c r="B8257" s="221">
        <v>7</v>
      </c>
      <c r="C8257" s="221">
        <v>13</v>
      </c>
      <c r="D8257" s="231">
        <f t="shared" si="948"/>
        <v>45851</v>
      </c>
      <c r="E8257" s="233">
        <f t="shared" ref="E8257:E8260" si="953">DATE(A8257,B8257,C8257)</f>
        <v>45851</v>
      </c>
      <c r="F8257" s="478" t="s">
        <v>1888</v>
      </c>
      <c r="G8257" s="222" t="s">
        <v>1111</v>
      </c>
      <c r="H8257" s="223"/>
      <c r="I8257" s="223"/>
      <c r="J8257" s="224" t="s">
        <v>961</v>
      </c>
      <c r="K8257" s="225">
        <v>2561891.1800000002</v>
      </c>
      <c r="L8257" s="225"/>
    </row>
    <row r="8258" spans="1:14" ht="11.25" customHeight="1" x14ac:dyDescent="0.2">
      <c r="A8258" s="226">
        <v>2025</v>
      </c>
      <c r="B8258" s="226">
        <v>7</v>
      </c>
      <c r="C8258" s="226">
        <v>13</v>
      </c>
      <c r="D8258" s="232">
        <f t="shared" si="948"/>
        <v>45851</v>
      </c>
      <c r="E8258" s="234">
        <f t="shared" si="953"/>
        <v>45851</v>
      </c>
      <c r="F8258" s="479"/>
      <c r="G8258" s="227" t="s">
        <v>1111</v>
      </c>
      <c r="H8258" s="228"/>
      <c r="I8258" s="228"/>
      <c r="J8258" s="229" t="s">
        <v>55</v>
      </c>
      <c r="K8258" s="230"/>
      <c r="L8258" s="230">
        <f>K8257</f>
        <v>2561891.1800000002</v>
      </c>
    </row>
    <row r="8259" spans="1:14" ht="11.25" customHeight="1" x14ac:dyDescent="0.2">
      <c r="A8259" s="221">
        <v>2025</v>
      </c>
      <c r="B8259" s="221">
        <v>7</v>
      </c>
      <c r="C8259" s="221">
        <v>13</v>
      </c>
      <c r="D8259" s="231">
        <f t="shared" si="948"/>
        <v>45851</v>
      </c>
      <c r="E8259" s="233">
        <f t="shared" si="953"/>
        <v>45851</v>
      </c>
      <c r="F8259" s="478" t="s">
        <v>1670</v>
      </c>
      <c r="G8259" s="222" t="s">
        <v>1111</v>
      </c>
      <c r="H8259" s="223"/>
      <c r="I8259" s="223"/>
      <c r="J8259" s="224" t="s">
        <v>63</v>
      </c>
      <c r="K8259" s="225">
        <v>200</v>
      </c>
      <c r="L8259" s="225"/>
    </row>
    <row r="8260" spans="1:14" ht="11.25" customHeight="1" x14ac:dyDescent="0.2">
      <c r="A8260" s="226">
        <v>2025</v>
      </c>
      <c r="B8260" s="226">
        <v>7</v>
      </c>
      <c r="C8260" s="226">
        <v>13</v>
      </c>
      <c r="D8260" s="232">
        <f t="shared" si="948"/>
        <v>45851</v>
      </c>
      <c r="E8260" s="234">
        <f t="shared" si="953"/>
        <v>45851</v>
      </c>
      <c r="F8260" s="479"/>
      <c r="G8260" s="227" t="s">
        <v>1111</v>
      </c>
      <c r="H8260" s="228"/>
      <c r="I8260" s="228"/>
      <c r="J8260" s="229" t="s">
        <v>55</v>
      </c>
      <c r="K8260" s="230"/>
      <c r="L8260" s="230">
        <v>200</v>
      </c>
    </row>
    <row r="8261" spans="1:14" ht="11.25" customHeight="1" x14ac:dyDescent="0.2">
      <c r="A8261" s="221">
        <v>2025</v>
      </c>
      <c r="B8261" s="221">
        <v>7</v>
      </c>
      <c r="C8261" s="221">
        <v>14</v>
      </c>
      <c r="D8261" s="221">
        <f t="shared" si="948"/>
        <v>45852</v>
      </c>
      <c r="E8261" s="233">
        <f t="shared" si="952"/>
        <v>45852</v>
      </c>
      <c r="F8261" s="478" t="s">
        <v>1769</v>
      </c>
      <c r="G8261" s="222" t="s">
        <v>86</v>
      </c>
      <c r="H8261" s="222"/>
      <c r="I8261" s="223"/>
      <c r="J8261" s="224" t="s">
        <v>80</v>
      </c>
      <c r="K8261" s="225">
        <v>2095148.6</v>
      </c>
      <c r="L8261" s="225"/>
      <c r="N8261" s="263"/>
    </row>
    <row r="8262" spans="1:14" ht="11.25" customHeight="1" x14ac:dyDescent="0.2">
      <c r="A8262" s="164">
        <v>2025</v>
      </c>
      <c r="B8262" s="164">
        <v>7</v>
      </c>
      <c r="C8262" s="164">
        <v>14</v>
      </c>
      <c r="D8262" s="164">
        <f t="shared" si="948"/>
        <v>45852</v>
      </c>
      <c r="E8262" s="235">
        <f t="shared" si="952"/>
        <v>45852</v>
      </c>
      <c r="F8262" s="480"/>
      <c r="G8262" s="208" t="s">
        <v>86</v>
      </c>
      <c r="H8262" s="208"/>
      <c r="J8262" s="165" t="s">
        <v>960</v>
      </c>
      <c r="K8262" s="205">
        <v>6007.77</v>
      </c>
      <c r="L8262" s="205"/>
      <c r="M8262" s="263"/>
      <c r="N8262" s="263"/>
    </row>
    <row r="8263" spans="1:14" ht="11.25" customHeight="1" x14ac:dyDescent="0.2">
      <c r="A8263" s="164">
        <v>2025</v>
      </c>
      <c r="B8263" s="164">
        <v>7</v>
      </c>
      <c r="C8263" s="164">
        <v>14</v>
      </c>
      <c r="D8263" s="164">
        <f t="shared" si="948"/>
        <v>45852</v>
      </c>
      <c r="E8263" s="235">
        <f t="shared" si="952"/>
        <v>45852</v>
      </c>
      <c r="F8263" s="480"/>
      <c r="G8263" s="208" t="s">
        <v>86</v>
      </c>
      <c r="H8263" s="208"/>
      <c r="J8263" s="165" t="s">
        <v>143</v>
      </c>
      <c r="K8263" s="205"/>
      <c r="L8263" s="205">
        <v>858656.37</v>
      </c>
      <c r="M8263" s="263"/>
    </row>
    <row r="8264" spans="1:14" ht="11.25" customHeight="1" x14ac:dyDescent="0.2">
      <c r="A8264" s="164">
        <v>2025</v>
      </c>
      <c r="B8264" s="164">
        <v>7</v>
      </c>
      <c r="C8264" s="164">
        <v>14</v>
      </c>
      <c r="D8264" s="164">
        <f t="shared" si="948"/>
        <v>45852</v>
      </c>
      <c r="E8264" s="235">
        <f t="shared" si="952"/>
        <v>45852</v>
      </c>
      <c r="F8264" s="480"/>
      <c r="G8264" s="208" t="s">
        <v>86</v>
      </c>
      <c r="H8264" s="208"/>
      <c r="J8264" s="165" t="s">
        <v>200</v>
      </c>
      <c r="K8264" s="205"/>
      <c r="L8264" s="205">
        <v>156975.17000000001</v>
      </c>
      <c r="M8264" s="263"/>
    </row>
    <row r="8265" spans="1:14" ht="11.25" customHeight="1" x14ac:dyDescent="0.2">
      <c r="A8265" s="226">
        <v>2025</v>
      </c>
      <c r="B8265" s="226">
        <v>7</v>
      </c>
      <c r="C8265" s="226">
        <v>14</v>
      </c>
      <c r="D8265" s="226">
        <f t="shared" ref="D8265:D8328" si="954">DATE(A8265,B8265,C8265)</f>
        <v>45852</v>
      </c>
      <c r="E8265" s="234">
        <f t="shared" si="952"/>
        <v>45852</v>
      </c>
      <c r="F8265" s="479"/>
      <c r="G8265" s="227" t="s">
        <v>86</v>
      </c>
      <c r="H8265" s="228"/>
      <c r="I8265" s="228"/>
      <c r="J8265" s="229" t="s">
        <v>80</v>
      </c>
      <c r="K8265" s="230"/>
      <c r="L8265" s="230">
        <v>1085524.83</v>
      </c>
      <c r="M8265" s="263"/>
    </row>
    <row r="8266" spans="1:14" ht="11.25" customHeight="1" x14ac:dyDescent="0.2">
      <c r="A8266" s="221">
        <v>2025</v>
      </c>
      <c r="B8266" s="221">
        <v>7</v>
      </c>
      <c r="C8266" s="221">
        <v>14</v>
      </c>
      <c r="D8266" s="221">
        <f t="shared" si="954"/>
        <v>45852</v>
      </c>
      <c r="E8266" s="233">
        <f t="shared" si="952"/>
        <v>45852</v>
      </c>
      <c r="F8266" s="478" t="s">
        <v>1886</v>
      </c>
      <c r="G8266" s="222" t="s">
        <v>86</v>
      </c>
      <c r="H8266" s="222"/>
      <c r="I8266" s="223"/>
      <c r="J8266" s="224" t="s">
        <v>80</v>
      </c>
      <c r="K8266" s="225">
        <v>1308700</v>
      </c>
      <c r="L8266" s="225"/>
      <c r="N8266" s="263"/>
    </row>
    <row r="8267" spans="1:14" ht="11.25" customHeight="1" x14ac:dyDescent="0.2">
      <c r="A8267" s="164">
        <v>2025</v>
      </c>
      <c r="B8267" s="164">
        <v>7</v>
      </c>
      <c r="C8267" s="164">
        <v>14</v>
      </c>
      <c r="D8267" s="164">
        <f t="shared" si="954"/>
        <v>45852</v>
      </c>
      <c r="E8267" s="235">
        <f t="shared" si="952"/>
        <v>45852</v>
      </c>
      <c r="F8267" s="480"/>
      <c r="G8267" s="208" t="s">
        <v>86</v>
      </c>
      <c r="H8267" s="208"/>
      <c r="J8267" s="165" t="s">
        <v>960</v>
      </c>
      <c r="K8267" s="205">
        <v>11558.5</v>
      </c>
      <c r="L8267" s="205"/>
      <c r="M8267" s="263"/>
      <c r="N8267" s="263"/>
    </row>
    <row r="8268" spans="1:14" ht="11.25" customHeight="1" x14ac:dyDescent="0.2">
      <c r="A8268" s="164">
        <v>2025</v>
      </c>
      <c r="B8268" s="164">
        <v>7</v>
      </c>
      <c r="C8268" s="164">
        <v>14</v>
      </c>
      <c r="D8268" s="164">
        <f t="shared" si="954"/>
        <v>45852</v>
      </c>
      <c r="E8268" s="235">
        <f t="shared" si="952"/>
        <v>45852</v>
      </c>
      <c r="F8268" s="480"/>
      <c r="G8268" s="208" t="s">
        <v>86</v>
      </c>
      <c r="H8268" s="208"/>
      <c r="J8268" s="165" t="s">
        <v>199</v>
      </c>
      <c r="K8268" s="205">
        <v>3792428.8</v>
      </c>
      <c r="L8268" s="205"/>
      <c r="M8268" s="263"/>
    </row>
    <row r="8269" spans="1:14" ht="11.25" customHeight="1" x14ac:dyDescent="0.2">
      <c r="A8269" s="164">
        <v>2025</v>
      </c>
      <c r="B8269" s="164">
        <v>7</v>
      </c>
      <c r="C8269" s="164">
        <v>14</v>
      </c>
      <c r="D8269" s="164">
        <f t="shared" si="954"/>
        <v>45852</v>
      </c>
      <c r="E8269" s="235">
        <f t="shared" si="952"/>
        <v>45852</v>
      </c>
      <c r="F8269" s="480"/>
      <c r="G8269" s="208" t="s">
        <v>86</v>
      </c>
      <c r="H8269" s="208"/>
      <c r="J8269" s="165" t="s">
        <v>200</v>
      </c>
      <c r="K8269" s="205"/>
      <c r="L8269" s="205">
        <v>187666.15</v>
      </c>
      <c r="M8269" s="263"/>
    </row>
    <row r="8270" spans="1:14" ht="11.25" customHeight="1" x14ac:dyDescent="0.2">
      <c r="A8270" s="226">
        <v>2025</v>
      </c>
      <c r="B8270" s="226">
        <v>7</v>
      </c>
      <c r="C8270" s="226">
        <v>14</v>
      </c>
      <c r="D8270" s="226">
        <f t="shared" si="954"/>
        <v>45852</v>
      </c>
      <c r="E8270" s="234">
        <f t="shared" si="952"/>
        <v>45852</v>
      </c>
      <c r="F8270" s="479"/>
      <c r="G8270" s="227" t="s">
        <v>86</v>
      </c>
      <c r="H8270" s="228"/>
      <c r="I8270" s="228"/>
      <c r="J8270" s="229" t="s">
        <v>80</v>
      </c>
      <c r="K8270" s="230"/>
      <c r="L8270" s="230">
        <v>4925021.1500000004</v>
      </c>
      <c r="M8270" s="263"/>
    </row>
    <row r="8271" spans="1:14" ht="11.25" customHeight="1" x14ac:dyDescent="0.2">
      <c r="A8271" s="221">
        <v>2025</v>
      </c>
      <c r="B8271" s="221">
        <v>7</v>
      </c>
      <c r="C8271" s="221">
        <v>14</v>
      </c>
      <c r="D8271" s="221">
        <f t="shared" si="954"/>
        <v>45852</v>
      </c>
      <c r="E8271" s="233">
        <f t="shared" ref="E8271:E8300" si="955">DATE(A8271,B8271,C8271)</f>
        <v>45852</v>
      </c>
      <c r="F8271" s="478" t="s">
        <v>1922</v>
      </c>
      <c r="G8271" s="222" t="s">
        <v>86</v>
      </c>
      <c r="H8271" s="222"/>
      <c r="I8271" s="223"/>
      <c r="J8271" s="224" t="s">
        <v>80</v>
      </c>
      <c r="K8271" s="225">
        <v>1373390.8</v>
      </c>
      <c r="L8271" s="225"/>
      <c r="N8271" s="263"/>
    </row>
    <row r="8272" spans="1:14" ht="11.25" customHeight="1" x14ac:dyDescent="0.2">
      <c r="A8272" s="164">
        <v>2025</v>
      </c>
      <c r="B8272" s="164">
        <v>7</v>
      </c>
      <c r="C8272" s="164">
        <v>14</v>
      </c>
      <c r="D8272" s="164">
        <f t="shared" si="954"/>
        <v>45852</v>
      </c>
      <c r="E8272" s="235">
        <f t="shared" si="955"/>
        <v>45852</v>
      </c>
      <c r="F8272" s="480"/>
      <c r="G8272" s="208" t="s">
        <v>86</v>
      </c>
      <c r="H8272" s="208"/>
      <c r="J8272" s="165" t="s">
        <v>960</v>
      </c>
      <c r="K8272" s="205">
        <v>10591.9</v>
      </c>
      <c r="L8272" s="205"/>
      <c r="M8272" s="263"/>
      <c r="N8272" s="263"/>
    </row>
    <row r="8273" spans="1:13" ht="11.25" customHeight="1" x14ac:dyDescent="0.2">
      <c r="A8273" s="164">
        <v>2025</v>
      </c>
      <c r="B8273" s="164">
        <v>7</v>
      </c>
      <c r="C8273" s="164">
        <v>14</v>
      </c>
      <c r="D8273" s="164">
        <f t="shared" si="954"/>
        <v>45852</v>
      </c>
      <c r="E8273" s="235">
        <f t="shared" si="955"/>
        <v>45852</v>
      </c>
      <c r="F8273" s="480"/>
      <c r="G8273" s="208" t="s">
        <v>86</v>
      </c>
      <c r="H8273" s="208"/>
      <c r="J8273" s="165" t="s">
        <v>199</v>
      </c>
      <c r="K8273" s="205">
        <v>3127017.3</v>
      </c>
      <c r="L8273" s="205"/>
      <c r="M8273" s="263"/>
    </row>
    <row r="8274" spans="1:13" ht="11.25" customHeight="1" x14ac:dyDescent="0.2">
      <c r="A8274" s="164">
        <v>2025</v>
      </c>
      <c r="B8274" s="164">
        <v>7</v>
      </c>
      <c r="C8274" s="164">
        <v>14</v>
      </c>
      <c r="D8274" s="164">
        <f t="shared" si="954"/>
        <v>45852</v>
      </c>
      <c r="E8274" s="235">
        <f t="shared" si="955"/>
        <v>45852</v>
      </c>
      <c r="F8274" s="480"/>
      <c r="G8274" s="208" t="s">
        <v>86</v>
      </c>
      <c r="H8274" s="208"/>
      <c r="J8274" s="165" t="s">
        <v>200</v>
      </c>
      <c r="K8274" s="205"/>
      <c r="L8274" s="205">
        <v>867060.26</v>
      </c>
      <c r="M8274" s="263"/>
    </row>
    <row r="8275" spans="1:13" ht="11.25" customHeight="1" x14ac:dyDescent="0.2">
      <c r="A8275" s="226">
        <v>2025</v>
      </c>
      <c r="B8275" s="226">
        <v>7</v>
      </c>
      <c r="C8275" s="226">
        <v>14</v>
      </c>
      <c r="D8275" s="226">
        <f t="shared" si="954"/>
        <v>45852</v>
      </c>
      <c r="E8275" s="234">
        <f t="shared" si="955"/>
        <v>45852</v>
      </c>
      <c r="F8275" s="479"/>
      <c r="G8275" s="227" t="s">
        <v>86</v>
      </c>
      <c r="H8275" s="228"/>
      <c r="I8275" s="228"/>
      <c r="J8275" s="229" t="s">
        <v>80</v>
      </c>
      <c r="K8275" s="230"/>
      <c r="L8275" s="230">
        <v>3643939.74</v>
      </c>
      <c r="M8275" s="263"/>
    </row>
    <row r="8276" spans="1:13" ht="11.25" customHeight="1" x14ac:dyDescent="0.2">
      <c r="A8276" s="221">
        <v>2025</v>
      </c>
      <c r="B8276" s="221">
        <v>7</v>
      </c>
      <c r="C8276" s="221">
        <v>14</v>
      </c>
      <c r="D8276" s="231">
        <f t="shared" si="954"/>
        <v>45852</v>
      </c>
      <c r="E8276" s="233">
        <f t="shared" si="955"/>
        <v>45852</v>
      </c>
      <c r="F8276" s="478" t="s">
        <v>1923</v>
      </c>
      <c r="G8276" s="222" t="s">
        <v>1111</v>
      </c>
      <c r="H8276" s="222"/>
      <c r="I8276" s="223"/>
      <c r="J8276" s="224" t="s">
        <v>80</v>
      </c>
      <c r="K8276" s="225">
        <v>7500000</v>
      </c>
      <c r="L8276" s="225"/>
    </row>
    <row r="8277" spans="1:13" ht="11.25" customHeight="1" x14ac:dyDescent="0.2">
      <c r="A8277" s="226">
        <v>2025</v>
      </c>
      <c r="B8277" s="226">
        <v>7</v>
      </c>
      <c r="C8277" s="226">
        <v>14</v>
      </c>
      <c r="D8277" s="226">
        <f t="shared" si="954"/>
        <v>45852</v>
      </c>
      <c r="E8277" s="234">
        <f t="shared" si="955"/>
        <v>45852</v>
      </c>
      <c r="F8277" s="479"/>
      <c r="G8277" s="227" t="s">
        <v>1111</v>
      </c>
      <c r="H8277" s="227"/>
      <c r="I8277" s="228"/>
      <c r="J8277" s="229" t="s">
        <v>55</v>
      </c>
      <c r="K8277" s="294"/>
      <c r="L8277" s="230">
        <f>K8276</f>
        <v>7500000</v>
      </c>
    </row>
    <row r="8278" spans="1:13" ht="11.25" customHeight="1" x14ac:dyDescent="0.2">
      <c r="A8278" s="221">
        <v>2025</v>
      </c>
      <c r="B8278" s="221">
        <v>7</v>
      </c>
      <c r="C8278" s="221">
        <v>14</v>
      </c>
      <c r="D8278" s="231">
        <f t="shared" si="954"/>
        <v>45852</v>
      </c>
      <c r="E8278" s="233">
        <f t="shared" si="955"/>
        <v>45852</v>
      </c>
      <c r="F8278" s="478" t="s">
        <v>1866</v>
      </c>
      <c r="G8278" s="222" t="s">
        <v>1111</v>
      </c>
      <c r="H8278" s="223"/>
      <c r="I8278" s="223"/>
      <c r="J8278" s="224" t="s">
        <v>55</v>
      </c>
      <c r="K8278" s="225">
        <v>1.7</v>
      </c>
      <c r="L8278" s="225"/>
    </row>
    <row r="8279" spans="1:13" ht="11.25" customHeight="1" x14ac:dyDescent="0.2">
      <c r="A8279" s="226">
        <v>2025</v>
      </c>
      <c r="B8279" s="226">
        <v>7</v>
      </c>
      <c r="C8279" s="226">
        <v>14</v>
      </c>
      <c r="D8279" s="232">
        <f t="shared" si="954"/>
        <v>45852</v>
      </c>
      <c r="E8279" s="234">
        <f t="shared" si="955"/>
        <v>45852</v>
      </c>
      <c r="F8279" s="479"/>
      <c r="G8279" s="227" t="s">
        <v>1111</v>
      </c>
      <c r="H8279" s="228"/>
      <c r="I8279" s="228"/>
      <c r="J8279" s="229" t="s">
        <v>192</v>
      </c>
      <c r="K8279" s="230"/>
      <c r="L8279" s="230">
        <v>1.7</v>
      </c>
    </row>
    <row r="8280" spans="1:13" ht="11.25" customHeight="1" x14ac:dyDescent="0.2">
      <c r="A8280" s="221">
        <v>2025</v>
      </c>
      <c r="B8280" s="221">
        <v>7</v>
      </c>
      <c r="C8280" s="221">
        <v>14</v>
      </c>
      <c r="D8280" s="231">
        <f t="shared" si="954"/>
        <v>45852</v>
      </c>
      <c r="E8280" s="233">
        <f>DATE(A8280,B8280,C8280)</f>
        <v>45852</v>
      </c>
      <c r="F8280" s="478" t="s">
        <v>1844</v>
      </c>
      <c r="G8280" s="222" t="s">
        <v>1111</v>
      </c>
      <c r="H8280" s="223"/>
      <c r="I8280" s="223"/>
      <c r="J8280" s="224" t="s">
        <v>55</v>
      </c>
      <c r="K8280" s="225">
        <v>1590132.6</v>
      </c>
      <c r="L8280" s="225"/>
    </row>
    <row r="8281" spans="1:13" ht="11.25" customHeight="1" x14ac:dyDescent="0.2">
      <c r="A8281" s="226">
        <v>2025</v>
      </c>
      <c r="B8281" s="226">
        <v>7</v>
      </c>
      <c r="C8281" s="226">
        <v>14</v>
      </c>
      <c r="D8281" s="232">
        <f t="shared" si="954"/>
        <v>45852</v>
      </c>
      <c r="E8281" s="234">
        <f>DATE(A8281,B8281,C8281)</f>
        <v>45852</v>
      </c>
      <c r="F8281" s="479"/>
      <c r="G8281" s="227" t="s">
        <v>1111</v>
      </c>
      <c r="H8281" s="228"/>
      <c r="I8281" s="228"/>
      <c r="J8281" s="229" t="s">
        <v>199</v>
      </c>
      <c r="K8281" s="230"/>
      <c r="L8281" s="230">
        <f>K8280</f>
        <v>1590132.6</v>
      </c>
    </row>
    <row r="8282" spans="1:13" ht="11.25" customHeight="1" x14ac:dyDescent="0.2">
      <c r="A8282" s="221">
        <v>2025</v>
      </c>
      <c r="B8282" s="221">
        <v>7</v>
      </c>
      <c r="C8282" s="221">
        <v>14</v>
      </c>
      <c r="D8282" s="231">
        <f t="shared" si="954"/>
        <v>45852</v>
      </c>
      <c r="E8282" s="233">
        <f>DATE(A8282,B8282,C8282)</f>
        <v>45852</v>
      </c>
      <c r="F8282" s="478" t="s">
        <v>1890</v>
      </c>
      <c r="G8282" s="222" t="s">
        <v>1111</v>
      </c>
      <c r="H8282" s="223"/>
      <c r="I8282" s="223"/>
      <c r="J8282" s="224" t="s">
        <v>55</v>
      </c>
      <c r="K8282" s="225">
        <v>750558.68</v>
      </c>
      <c r="L8282" s="225"/>
    </row>
    <row r="8283" spans="1:13" ht="11.25" customHeight="1" x14ac:dyDescent="0.2">
      <c r="A8283" s="226">
        <v>2025</v>
      </c>
      <c r="B8283" s="226">
        <v>7</v>
      </c>
      <c r="C8283" s="226">
        <v>14</v>
      </c>
      <c r="D8283" s="232">
        <f t="shared" si="954"/>
        <v>45852</v>
      </c>
      <c r="E8283" s="234">
        <f>DATE(A8283,B8283,C8283)</f>
        <v>45852</v>
      </c>
      <c r="F8283" s="479"/>
      <c r="G8283" s="227" t="s">
        <v>1111</v>
      </c>
      <c r="H8283" s="228"/>
      <c r="I8283" s="228"/>
      <c r="J8283" s="229" t="s">
        <v>199</v>
      </c>
      <c r="K8283" s="230"/>
      <c r="L8283" s="230">
        <f>K8282</f>
        <v>750558.68</v>
      </c>
    </row>
    <row r="8284" spans="1:13" ht="11.25" customHeight="1" x14ac:dyDescent="0.2">
      <c r="A8284" s="221">
        <v>2025</v>
      </c>
      <c r="B8284" s="221">
        <v>7</v>
      </c>
      <c r="C8284" s="221">
        <v>14</v>
      </c>
      <c r="D8284" s="231">
        <f t="shared" si="954"/>
        <v>45852</v>
      </c>
      <c r="E8284" s="233">
        <f t="shared" ref="E8284:E8285" si="956">DATE(A8284,B8284,C8284)</f>
        <v>45852</v>
      </c>
      <c r="F8284" s="478" t="s">
        <v>1670</v>
      </c>
      <c r="G8284" s="222" t="s">
        <v>1111</v>
      </c>
      <c r="H8284" s="223"/>
      <c r="I8284" s="223"/>
      <c r="J8284" s="224" t="s">
        <v>63</v>
      </c>
      <c r="K8284" s="225">
        <v>100</v>
      </c>
      <c r="L8284" s="225"/>
    </row>
    <row r="8285" spans="1:13" ht="11.25" customHeight="1" x14ac:dyDescent="0.2">
      <c r="A8285" s="226">
        <v>2025</v>
      </c>
      <c r="B8285" s="226">
        <v>7</v>
      </c>
      <c r="C8285" s="226">
        <v>14</v>
      </c>
      <c r="D8285" s="232">
        <f t="shared" si="954"/>
        <v>45852</v>
      </c>
      <c r="E8285" s="234">
        <f t="shared" si="956"/>
        <v>45852</v>
      </c>
      <c r="F8285" s="479"/>
      <c r="G8285" s="227" t="s">
        <v>1111</v>
      </c>
      <c r="H8285" s="228"/>
      <c r="I8285" s="228"/>
      <c r="J8285" s="229" t="s">
        <v>55</v>
      </c>
      <c r="K8285" s="230"/>
      <c r="L8285" s="230">
        <v>100</v>
      </c>
    </row>
    <row r="8286" spans="1:13" ht="11.25" customHeight="1" x14ac:dyDescent="0.2">
      <c r="A8286" s="221">
        <v>2025</v>
      </c>
      <c r="B8286" s="221">
        <v>7</v>
      </c>
      <c r="C8286" s="221">
        <v>15</v>
      </c>
      <c r="D8286" s="231">
        <f t="shared" si="954"/>
        <v>45853</v>
      </c>
      <c r="E8286" s="233">
        <f t="shared" ref="E8286:E8289" si="957">DATE(A8286,B8286,C8286)</f>
        <v>45853</v>
      </c>
      <c r="F8286" s="478" t="s">
        <v>1923</v>
      </c>
      <c r="G8286" s="222" t="s">
        <v>1111</v>
      </c>
      <c r="H8286" s="222"/>
      <c r="I8286" s="223"/>
      <c r="J8286" s="224" t="s">
        <v>80</v>
      </c>
      <c r="K8286" s="225">
        <v>2500000</v>
      </c>
      <c r="L8286" s="225"/>
    </row>
    <row r="8287" spans="1:13" ht="11.25" customHeight="1" x14ac:dyDescent="0.2">
      <c r="A8287" s="226">
        <v>2025</v>
      </c>
      <c r="B8287" s="226">
        <v>7</v>
      </c>
      <c r="C8287" s="226">
        <v>15</v>
      </c>
      <c r="D8287" s="226">
        <f t="shared" si="954"/>
        <v>45853</v>
      </c>
      <c r="E8287" s="234">
        <f t="shared" si="957"/>
        <v>45853</v>
      </c>
      <c r="F8287" s="479"/>
      <c r="G8287" s="227" t="s">
        <v>1111</v>
      </c>
      <c r="H8287" s="227"/>
      <c r="I8287" s="228"/>
      <c r="J8287" s="229" t="s">
        <v>55</v>
      </c>
      <c r="K8287" s="294"/>
      <c r="L8287" s="230">
        <f>K8286</f>
        <v>2500000</v>
      </c>
    </row>
    <row r="8288" spans="1:13" ht="11.25" customHeight="1" x14ac:dyDescent="0.2">
      <c r="A8288" s="221">
        <v>2025</v>
      </c>
      <c r="B8288" s="221">
        <v>7</v>
      </c>
      <c r="C8288" s="221">
        <v>15</v>
      </c>
      <c r="D8288" s="231">
        <f t="shared" si="954"/>
        <v>45853</v>
      </c>
      <c r="E8288" s="233">
        <f t="shared" si="957"/>
        <v>45853</v>
      </c>
      <c r="F8288" s="478" t="s">
        <v>1670</v>
      </c>
      <c r="G8288" s="222" t="s">
        <v>1111</v>
      </c>
      <c r="H8288" s="223"/>
      <c r="I8288" s="223"/>
      <c r="J8288" s="224" t="s">
        <v>63</v>
      </c>
      <c r="K8288" s="225">
        <v>200</v>
      </c>
      <c r="L8288" s="225"/>
    </row>
    <row r="8289" spans="1:14" ht="11.25" customHeight="1" x14ac:dyDescent="0.2">
      <c r="A8289" s="226">
        <v>2025</v>
      </c>
      <c r="B8289" s="226">
        <v>7</v>
      </c>
      <c r="C8289" s="226">
        <v>15</v>
      </c>
      <c r="D8289" s="232">
        <f t="shared" si="954"/>
        <v>45853</v>
      </c>
      <c r="E8289" s="234">
        <f t="shared" si="957"/>
        <v>45853</v>
      </c>
      <c r="F8289" s="479"/>
      <c r="G8289" s="227" t="s">
        <v>1111</v>
      </c>
      <c r="H8289" s="228"/>
      <c r="I8289" s="228"/>
      <c r="J8289" s="229" t="s">
        <v>55</v>
      </c>
      <c r="K8289" s="230"/>
      <c r="L8289" s="230">
        <v>200</v>
      </c>
    </row>
    <row r="8290" spans="1:14" ht="11.25" customHeight="1" x14ac:dyDescent="0.2">
      <c r="A8290" s="164">
        <v>2025</v>
      </c>
      <c r="B8290" s="164">
        <v>7</v>
      </c>
      <c r="C8290" s="164">
        <v>15</v>
      </c>
      <c r="D8290" s="164">
        <f t="shared" si="954"/>
        <v>45853</v>
      </c>
      <c r="E8290" s="235">
        <f t="shared" si="955"/>
        <v>45853</v>
      </c>
      <c r="F8290" s="480" t="s">
        <v>1589</v>
      </c>
      <c r="G8290" s="208" t="s">
        <v>86</v>
      </c>
      <c r="H8290" s="208"/>
      <c r="J8290" s="165" t="s">
        <v>199</v>
      </c>
      <c r="K8290" s="205">
        <v>3692135.67</v>
      </c>
      <c r="L8290" s="205"/>
    </row>
    <row r="8291" spans="1:14" ht="11.25" customHeight="1" x14ac:dyDescent="0.2">
      <c r="A8291" s="164">
        <v>2025</v>
      </c>
      <c r="B8291" s="164">
        <v>7</v>
      </c>
      <c r="C8291" s="164">
        <v>15</v>
      </c>
      <c r="D8291" s="164">
        <f t="shared" si="954"/>
        <v>45853</v>
      </c>
      <c r="E8291" s="235">
        <f t="shared" si="955"/>
        <v>45853</v>
      </c>
      <c r="F8291" s="480"/>
      <c r="G8291" s="208" t="s">
        <v>86</v>
      </c>
      <c r="H8291" s="208"/>
      <c r="J8291" s="165" t="s">
        <v>960</v>
      </c>
      <c r="K8291" s="205">
        <v>6657.83</v>
      </c>
      <c r="L8291" s="205"/>
      <c r="M8291" s="401"/>
    </row>
    <row r="8292" spans="1:14" ht="11.25" customHeight="1" x14ac:dyDescent="0.2">
      <c r="A8292" s="164">
        <v>2025</v>
      </c>
      <c r="B8292" s="164">
        <v>7</v>
      </c>
      <c r="C8292" s="164">
        <v>15</v>
      </c>
      <c r="D8292" s="164">
        <f t="shared" si="954"/>
        <v>45853</v>
      </c>
      <c r="E8292" s="235">
        <f t="shared" si="955"/>
        <v>45853</v>
      </c>
      <c r="F8292" s="480"/>
      <c r="G8292" s="208" t="s">
        <v>86</v>
      </c>
      <c r="H8292" s="208"/>
      <c r="J8292" s="165" t="s">
        <v>200</v>
      </c>
      <c r="K8292" s="205"/>
      <c r="L8292" s="205">
        <v>769283.42</v>
      </c>
    </row>
    <row r="8293" spans="1:14" ht="11.25" customHeight="1" x14ac:dyDescent="0.2">
      <c r="A8293" s="226">
        <v>2025</v>
      </c>
      <c r="B8293" s="226">
        <v>7</v>
      </c>
      <c r="C8293" s="226">
        <v>15</v>
      </c>
      <c r="D8293" s="226">
        <f t="shared" si="954"/>
        <v>45853</v>
      </c>
      <c r="E8293" s="234">
        <f t="shared" si="955"/>
        <v>45853</v>
      </c>
      <c r="F8293" s="479"/>
      <c r="G8293" s="227" t="s">
        <v>86</v>
      </c>
      <c r="H8293" s="228"/>
      <c r="I8293" s="228"/>
      <c r="J8293" s="229" t="s">
        <v>80</v>
      </c>
      <c r="K8293" s="230"/>
      <c r="L8293" s="230">
        <v>2929510.08</v>
      </c>
    </row>
    <row r="8294" spans="1:14" ht="11.25" customHeight="1" x14ac:dyDescent="0.2">
      <c r="A8294" s="221">
        <v>2025</v>
      </c>
      <c r="B8294" s="221">
        <v>7</v>
      </c>
      <c r="C8294" s="221">
        <v>15</v>
      </c>
      <c r="D8294" s="221">
        <f t="shared" si="954"/>
        <v>45853</v>
      </c>
      <c r="E8294" s="233">
        <f t="shared" si="955"/>
        <v>45853</v>
      </c>
      <c r="F8294" s="478" t="s">
        <v>1886</v>
      </c>
      <c r="G8294" s="222" t="s">
        <v>86</v>
      </c>
      <c r="H8294" s="222"/>
      <c r="I8294" s="223"/>
      <c r="J8294" s="224" t="s">
        <v>80</v>
      </c>
      <c r="K8294" s="225">
        <v>157000</v>
      </c>
      <c r="L8294" s="225"/>
      <c r="N8294" s="263"/>
    </row>
    <row r="8295" spans="1:14" ht="11.25" customHeight="1" x14ac:dyDescent="0.2">
      <c r="A8295" s="164">
        <v>2025</v>
      </c>
      <c r="B8295" s="164">
        <v>7</v>
      </c>
      <c r="C8295" s="164">
        <v>15</v>
      </c>
      <c r="D8295" s="164">
        <f t="shared" si="954"/>
        <v>45853</v>
      </c>
      <c r="E8295" s="235">
        <f t="shared" si="955"/>
        <v>45853</v>
      </c>
      <c r="F8295" s="480"/>
      <c r="G8295" s="208" t="s">
        <v>86</v>
      </c>
      <c r="H8295" s="208"/>
      <c r="J8295" s="165" t="s">
        <v>960</v>
      </c>
      <c r="K8295" s="205">
        <v>1857.6</v>
      </c>
      <c r="L8295" s="205"/>
      <c r="M8295" s="263"/>
      <c r="N8295" s="263"/>
    </row>
    <row r="8296" spans="1:14" ht="11.25" customHeight="1" x14ac:dyDescent="0.2">
      <c r="A8296" s="164">
        <v>2025</v>
      </c>
      <c r="B8296" s="164">
        <v>7</v>
      </c>
      <c r="C8296" s="164">
        <v>15</v>
      </c>
      <c r="D8296" s="164">
        <f t="shared" si="954"/>
        <v>45853</v>
      </c>
      <c r="E8296" s="235">
        <f t="shared" si="955"/>
        <v>45853</v>
      </c>
      <c r="F8296" s="480"/>
      <c r="G8296" s="208" t="s">
        <v>86</v>
      </c>
      <c r="H8296" s="208"/>
      <c r="J8296" s="165" t="s">
        <v>199</v>
      </c>
      <c r="K8296" s="205">
        <v>716142.4</v>
      </c>
      <c r="L8296" s="205"/>
      <c r="M8296" s="263"/>
    </row>
    <row r="8297" spans="1:14" ht="11.25" customHeight="1" x14ac:dyDescent="0.2">
      <c r="A8297" s="164">
        <v>2025</v>
      </c>
      <c r="B8297" s="164">
        <v>7</v>
      </c>
      <c r="C8297" s="164">
        <v>15</v>
      </c>
      <c r="D8297" s="164">
        <f t="shared" si="954"/>
        <v>45853</v>
      </c>
      <c r="E8297" s="235">
        <f t="shared" si="955"/>
        <v>45853</v>
      </c>
      <c r="F8297" s="480"/>
      <c r="G8297" s="208" t="s">
        <v>86</v>
      </c>
      <c r="H8297" s="208"/>
      <c r="J8297" s="165" t="s">
        <v>200</v>
      </c>
      <c r="K8297" s="205"/>
      <c r="L8297" s="205">
        <v>2287.75</v>
      </c>
      <c r="M8297" s="263"/>
    </row>
    <row r="8298" spans="1:14" ht="11.25" customHeight="1" x14ac:dyDescent="0.2">
      <c r="A8298" s="226">
        <v>2025</v>
      </c>
      <c r="B8298" s="226">
        <v>7</v>
      </c>
      <c r="C8298" s="226">
        <v>15</v>
      </c>
      <c r="D8298" s="226">
        <f t="shared" si="954"/>
        <v>45853</v>
      </c>
      <c r="E8298" s="234">
        <f t="shared" si="955"/>
        <v>45853</v>
      </c>
      <c r="F8298" s="479"/>
      <c r="G8298" s="227" t="s">
        <v>86</v>
      </c>
      <c r="H8298" s="228"/>
      <c r="I8298" s="228"/>
      <c r="J8298" s="229" t="s">
        <v>80</v>
      </c>
      <c r="K8298" s="230"/>
      <c r="L8298" s="230">
        <v>872712.25</v>
      </c>
      <c r="M8298" s="263"/>
    </row>
    <row r="8299" spans="1:14" ht="11.25" customHeight="1" x14ac:dyDescent="0.2">
      <c r="A8299" s="221">
        <v>2025</v>
      </c>
      <c r="B8299" s="221">
        <v>7</v>
      </c>
      <c r="C8299" s="221">
        <v>15</v>
      </c>
      <c r="D8299" s="231">
        <f t="shared" si="954"/>
        <v>45853</v>
      </c>
      <c r="E8299" s="233">
        <f t="shared" si="955"/>
        <v>45853</v>
      </c>
      <c r="F8299" s="478" t="s">
        <v>1814</v>
      </c>
      <c r="G8299" s="222" t="s">
        <v>1111</v>
      </c>
      <c r="H8299" s="223"/>
      <c r="I8299" s="223"/>
      <c r="J8299" s="224" t="s">
        <v>961</v>
      </c>
      <c r="K8299" s="225">
        <v>858656.37</v>
      </c>
      <c r="L8299" s="225"/>
    </row>
    <row r="8300" spans="1:14" ht="11.25" customHeight="1" x14ac:dyDescent="0.2">
      <c r="A8300" s="226">
        <v>2025</v>
      </c>
      <c r="B8300" s="226">
        <v>7</v>
      </c>
      <c r="C8300" s="226">
        <v>15</v>
      </c>
      <c r="D8300" s="232">
        <f t="shared" si="954"/>
        <v>45853</v>
      </c>
      <c r="E8300" s="234">
        <f t="shared" si="955"/>
        <v>45853</v>
      </c>
      <c r="F8300" s="479"/>
      <c r="G8300" s="227" t="s">
        <v>1111</v>
      </c>
      <c r="H8300" s="228"/>
      <c r="I8300" s="228"/>
      <c r="J8300" s="229" t="s">
        <v>55</v>
      </c>
      <c r="K8300" s="230"/>
      <c r="L8300" s="230">
        <f>K8299</f>
        <v>858656.37</v>
      </c>
    </row>
    <row r="8301" spans="1:14" ht="11.25" customHeight="1" x14ac:dyDescent="0.2">
      <c r="A8301" s="221">
        <v>2025</v>
      </c>
      <c r="B8301" s="221">
        <v>7</v>
      </c>
      <c r="C8301" s="221">
        <v>15</v>
      </c>
      <c r="D8301" s="231">
        <f t="shared" si="954"/>
        <v>45853</v>
      </c>
      <c r="E8301" s="233">
        <f t="shared" ref="E8301:E8306" si="958">DATE(A8301,B8301,C8301)</f>
        <v>45853</v>
      </c>
      <c r="F8301" s="478" t="s">
        <v>1890</v>
      </c>
      <c r="G8301" s="222" t="s">
        <v>1111</v>
      </c>
      <c r="H8301" s="223"/>
      <c r="I8301" s="223"/>
      <c r="J8301" s="224" t="s">
        <v>55</v>
      </c>
      <c r="K8301" s="225">
        <v>263863.58</v>
      </c>
      <c r="L8301" s="225"/>
    </row>
    <row r="8302" spans="1:14" ht="11.25" customHeight="1" x14ac:dyDescent="0.2">
      <c r="A8302" s="226">
        <v>2025</v>
      </c>
      <c r="B8302" s="226">
        <v>7</v>
      </c>
      <c r="C8302" s="226">
        <v>15</v>
      </c>
      <c r="D8302" s="232">
        <f t="shared" si="954"/>
        <v>45853</v>
      </c>
      <c r="E8302" s="234">
        <f t="shared" si="958"/>
        <v>45853</v>
      </c>
      <c r="F8302" s="479"/>
      <c r="G8302" s="227" t="s">
        <v>1111</v>
      </c>
      <c r="H8302" s="228"/>
      <c r="I8302" s="228"/>
      <c r="J8302" s="229" t="s">
        <v>199</v>
      </c>
      <c r="K8302" s="230"/>
      <c r="L8302" s="230">
        <f>K8301</f>
        <v>263863.58</v>
      </c>
    </row>
    <row r="8303" spans="1:14" ht="11.25" customHeight="1" x14ac:dyDescent="0.2">
      <c r="A8303" s="221">
        <v>2025</v>
      </c>
      <c r="B8303" s="221">
        <v>7</v>
      </c>
      <c r="C8303" s="221">
        <v>15</v>
      </c>
      <c r="D8303" s="231">
        <f t="shared" si="954"/>
        <v>45853</v>
      </c>
      <c r="E8303" s="233">
        <f t="shared" si="958"/>
        <v>45853</v>
      </c>
      <c r="F8303" s="478" t="s">
        <v>1844</v>
      </c>
      <c r="G8303" s="222" t="s">
        <v>1111</v>
      </c>
      <c r="H8303" s="223"/>
      <c r="I8303" s="223"/>
      <c r="J8303" s="224" t="s">
        <v>55</v>
      </c>
      <c r="K8303" s="225">
        <v>1062847.6599999999</v>
      </c>
      <c r="L8303" s="225"/>
    </row>
    <row r="8304" spans="1:14" ht="11.25" customHeight="1" x14ac:dyDescent="0.2">
      <c r="A8304" s="226">
        <v>2025</v>
      </c>
      <c r="B8304" s="226">
        <v>7</v>
      </c>
      <c r="C8304" s="226">
        <v>15</v>
      </c>
      <c r="D8304" s="232">
        <f t="shared" si="954"/>
        <v>45853</v>
      </c>
      <c r="E8304" s="234">
        <f t="shared" si="958"/>
        <v>45853</v>
      </c>
      <c r="F8304" s="479"/>
      <c r="G8304" s="227" t="s">
        <v>1111</v>
      </c>
      <c r="H8304" s="228"/>
      <c r="I8304" s="228"/>
      <c r="J8304" s="229" t="s">
        <v>199</v>
      </c>
      <c r="K8304" s="230"/>
      <c r="L8304" s="230">
        <f>K8303</f>
        <v>1062847.6599999999</v>
      </c>
    </row>
    <row r="8305" spans="1:14" ht="11.25" customHeight="1" x14ac:dyDescent="0.2">
      <c r="A8305" s="221">
        <v>2025</v>
      </c>
      <c r="B8305" s="221">
        <v>7</v>
      </c>
      <c r="C8305" s="221">
        <v>15</v>
      </c>
      <c r="D8305" s="231">
        <f t="shared" si="954"/>
        <v>45853</v>
      </c>
      <c r="E8305" s="233">
        <f t="shared" si="958"/>
        <v>45853</v>
      </c>
      <c r="F8305" s="478" t="s">
        <v>1843</v>
      </c>
      <c r="G8305" s="222" t="s">
        <v>1111</v>
      </c>
      <c r="H8305" s="223"/>
      <c r="I8305" s="223"/>
      <c r="J8305" s="224" t="s">
        <v>55</v>
      </c>
      <c r="K8305" s="225">
        <v>924459</v>
      </c>
      <c r="L8305" s="225"/>
    </row>
    <row r="8306" spans="1:14" ht="11.25" customHeight="1" x14ac:dyDescent="0.2">
      <c r="A8306" s="226">
        <v>2025</v>
      </c>
      <c r="B8306" s="226">
        <v>7</v>
      </c>
      <c r="C8306" s="226">
        <v>15</v>
      </c>
      <c r="D8306" s="232">
        <f t="shared" si="954"/>
        <v>45853</v>
      </c>
      <c r="E8306" s="234">
        <f t="shared" si="958"/>
        <v>45853</v>
      </c>
      <c r="F8306" s="479"/>
      <c r="G8306" s="227" t="s">
        <v>1111</v>
      </c>
      <c r="H8306" s="228"/>
      <c r="I8306" s="228"/>
      <c r="J8306" s="229" t="s">
        <v>199</v>
      </c>
      <c r="K8306" s="230"/>
      <c r="L8306" s="230">
        <f>K8305</f>
        <v>924459</v>
      </c>
    </row>
    <row r="8307" spans="1:14" ht="11.25" customHeight="1" x14ac:dyDescent="0.2">
      <c r="A8307" s="221">
        <v>2025</v>
      </c>
      <c r="B8307" s="221">
        <v>7</v>
      </c>
      <c r="C8307" s="221">
        <v>16</v>
      </c>
      <c r="D8307" s="221">
        <f t="shared" si="954"/>
        <v>45854</v>
      </c>
      <c r="E8307" s="233">
        <f t="shared" ref="E8307:E8316" si="959">DATE(A8307,B8307,C8307)</f>
        <v>45854</v>
      </c>
      <c r="F8307" s="478" t="s">
        <v>1886</v>
      </c>
      <c r="G8307" s="222" t="s">
        <v>86</v>
      </c>
      <c r="H8307" s="222"/>
      <c r="I8307" s="223"/>
      <c r="J8307" s="224" t="s">
        <v>80</v>
      </c>
      <c r="K8307" s="225">
        <v>3957650</v>
      </c>
      <c r="L8307" s="225"/>
      <c r="N8307" s="263"/>
    </row>
    <row r="8308" spans="1:14" ht="11.25" customHeight="1" x14ac:dyDescent="0.2">
      <c r="A8308" s="164">
        <v>2025</v>
      </c>
      <c r="B8308" s="164">
        <v>7</v>
      </c>
      <c r="C8308" s="164">
        <v>16</v>
      </c>
      <c r="D8308" s="164">
        <f t="shared" si="954"/>
        <v>45854</v>
      </c>
      <c r="E8308" s="235">
        <f t="shared" si="959"/>
        <v>45854</v>
      </c>
      <c r="F8308" s="480"/>
      <c r="G8308" s="208" t="s">
        <v>86</v>
      </c>
      <c r="H8308" s="208"/>
      <c r="J8308" s="165" t="s">
        <v>960</v>
      </c>
      <c r="K8308" s="205">
        <v>11157.404501590729</v>
      </c>
      <c r="L8308" s="205"/>
      <c r="M8308" s="263"/>
      <c r="N8308" s="263"/>
    </row>
    <row r="8309" spans="1:14" ht="11.25" customHeight="1" x14ac:dyDescent="0.2">
      <c r="A8309" s="164">
        <v>2025</v>
      </c>
      <c r="B8309" s="164">
        <v>7</v>
      </c>
      <c r="C8309" s="164">
        <v>16</v>
      </c>
      <c r="D8309" s="164">
        <f t="shared" si="954"/>
        <v>45854</v>
      </c>
      <c r="E8309" s="235">
        <f t="shared" si="959"/>
        <v>45854</v>
      </c>
      <c r="F8309" s="480"/>
      <c r="G8309" s="208" t="s">
        <v>86</v>
      </c>
      <c r="H8309" s="208"/>
      <c r="J8309" s="165" t="s">
        <v>143</v>
      </c>
      <c r="K8309" s="205"/>
      <c r="L8309" s="205">
        <v>1727899.4</v>
      </c>
      <c r="M8309" s="263"/>
    </row>
    <row r="8310" spans="1:14" ht="11.25" customHeight="1" x14ac:dyDescent="0.2">
      <c r="A8310" s="164">
        <v>2025</v>
      </c>
      <c r="B8310" s="164">
        <v>7</v>
      </c>
      <c r="C8310" s="164">
        <v>16</v>
      </c>
      <c r="D8310" s="164">
        <f t="shared" si="954"/>
        <v>45854</v>
      </c>
      <c r="E8310" s="235">
        <f t="shared" si="959"/>
        <v>45854</v>
      </c>
      <c r="F8310" s="480"/>
      <c r="G8310" s="208" t="s">
        <v>86</v>
      </c>
      <c r="H8310" s="208"/>
      <c r="J8310" s="165" t="s">
        <v>200</v>
      </c>
      <c r="K8310" s="205">
        <v>506.47</v>
      </c>
      <c r="L8310" s="205"/>
      <c r="M8310" s="263"/>
    </row>
    <row r="8311" spans="1:14" ht="11.25" customHeight="1" x14ac:dyDescent="0.2">
      <c r="A8311" s="226">
        <v>2025</v>
      </c>
      <c r="B8311" s="226">
        <v>7</v>
      </c>
      <c r="C8311" s="226">
        <v>16</v>
      </c>
      <c r="D8311" s="226">
        <f t="shared" si="954"/>
        <v>45854</v>
      </c>
      <c r="E8311" s="234">
        <f t="shared" si="959"/>
        <v>45854</v>
      </c>
      <c r="F8311" s="479"/>
      <c r="G8311" s="227" t="s">
        <v>86</v>
      </c>
      <c r="H8311" s="228"/>
      <c r="I8311" s="228"/>
      <c r="J8311" s="229" t="s">
        <v>80</v>
      </c>
      <c r="K8311" s="230"/>
      <c r="L8311" s="230">
        <v>2241414.4700000002</v>
      </c>
      <c r="M8311" s="263"/>
    </row>
    <row r="8312" spans="1:14" ht="11.25" customHeight="1" x14ac:dyDescent="0.2">
      <c r="A8312" s="221">
        <v>2025</v>
      </c>
      <c r="B8312" s="221">
        <v>7</v>
      </c>
      <c r="C8312" s="221">
        <v>16</v>
      </c>
      <c r="D8312" s="221">
        <f t="shared" si="954"/>
        <v>45854</v>
      </c>
      <c r="E8312" s="233">
        <f t="shared" si="959"/>
        <v>45854</v>
      </c>
      <c r="F8312" s="478" t="s">
        <v>1922</v>
      </c>
      <c r="G8312" s="222" t="s">
        <v>86</v>
      </c>
      <c r="H8312" s="222"/>
      <c r="I8312" s="223"/>
      <c r="J8312" s="224" t="s">
        <v>80</v>
      </c>
      <c r="K8312" s="225">
        <v>586600</v>
      </c>
      <c r="L8312" s="225"/>
      <c r="N8312" s="263"/>
    </row>
    <row r="8313" spans="1:14" ht="11.25" customHeight="1" x14ac:dyDescent="0.2">
      <c r="A8313" s="164">
        <v>2025</v>
      </c>
      <c r="B8313" s="164">
        <v>7</v>
      </c>
      <c r="C8313" s="164">
        <v>16</v>
      </c>
      <c r="D8313" s="164">
        <f t="shared" si="954"/>
        <v>45854</v>
      </c>
      <c r="E8313" s="235">
        <f t="shared" si="959"/>
        <v>45854</v>
      </c>
      <c r="F8313" s="480"/>
      <c r="G8313" s="208" t="s">
        <v>86</v>
      </c>
      <c r="H8313" s="208"/>
      <c r="J8313" s="165" t="s">
        <v>960</v>
      </c>
      <c r="K8313" s="205">
        <v>3665.97</v>
      </c>
      <c r="L8313" s="205"/>
      <c r="M8313" s="263"/>
      <c r="N8313" s="263"/>
    </row>
    <row r="8314" spans="1:14" ht="11.25" customHeight="1" x14ac:dyDescent="0.2">
      <c r="A8314" s="164">
        <v>2025</v>
      </c>
      <c r="B8314" s="164">
        <v>7</v>
      </c>
      <c r="C8314" s="164">
        <v>16</v>
      </c>
      <c r="D8314" s="164">
        <f t="shared" si="954"/>
        <v>45854</v>
      </c>
      <c r="E8314" s="235">
        <f t="shared" si="959"/>
        <v>45854</v>
      </c>
      <c r="F8314" s="480"/>
      <c r="G8314" s="208" t="s">
        <v>86</v>
      </c>
      <c r="H8314" s="208"/>
      <c r="J8314" s="165" t="s">
        <v>199</v>
      </c>
      <c r="K8314" s="205">
        <v>859784.03</v>
      </c>
      <c r="L8314" s="205"/>
      <c r="M8314" s="263"/>
    </row>
    <row r="8315" spans="1:14" ht="11.25" customHeight="1" x14ac:dyDescent="0.2">
      <c r="A8315" s="164">
        <v>2025</v>
      </c>
      <c r="B8315" s="164">
        <v>7</v>
      </c>
      <c r="C8315" s="164">
        <v>16</v>
      </c>
      <c r="D8315" s="164">
        <f t="shared" si="954"/>
        <v>45854</v>
      </c>
      <c r="E8315" s="235">
        <f t="shared" si="959"/>
        <v>45854</v>
      </c>
      <c r="F8315" s="480"/>
      <c r="G8315" s="208" t="s">
        <v>86</v>
      </c>
      <c r="H8315" s="208"/>
      <c r="J8315" s="165" t="s">
        <v>200</v>
      </c>
      <c r="K8315" s="205"/>
      <c r="L8315" s="205">
        <v>406306.99</v>
      </c>
      <c r="M8315" s="263"/>
    </row>
    <row r="8316" spans="1:14" ht="11.25" customHeight="1" x14ac:dyDescent="0.2">
      <c r="A8316" s="226">
        <v>2025</v>
      </c>
      <c r="B8316" s="226">
        <v>7</v>
      </c>
      <c r="C8316" s="226">
        <v>16</v>
      </c>
      <c r="D8316" s="226">
        <f t="shared" si="954"/>
        <v>45854</v>
      </c>
      <c r="E8316" s="234">
        <f t="shared" si="959"/>
        <v>45854</v>
      </c>
      <c r="F8316" s="479"/>
      <c r="G8316" s="227" t="s">
        <v>86</v>
      </c>
      <c r="H8316" s="228"/>
      <c r="I8316" s="228"/>
      <c r="J8316" s="229" t="s">
        <v>80</v>
      </c>
      <c r="K8316" s="230"/>
      <c r="L8316" s="230">
        <v>1043743.01</v>
      </c>
      <c r="M8316" s="263"/>
    </row>
    <row r="8317" spans="1:14" ht="11.25" customHeight="1" x14ac:dyDescent="0.2">
      <c r="A8317" s="221">
        <v>2025</v>
      </c>
      <c r="B8317" s="221">
        <v>7</v>
      </c>
      <c r="C8317" s="221">
        <v>16</v>
      </c>
      <c r="D8317" s="231">
        <f t="shared" si="954"/>
        <v>45854</v>
      </c>
      <c r="E8317" s="233">
        <f>DATE(A8317,B8317,C8317)</f>
        <v>45854</v>
      </c>
      <c r="F8317" s="478" t="s">
        <v>1890</v>
      </c>
      <c r="G8317" s="222" t="s">
        <v>1111</v>
      </c>
      <c r="H8317" s="223"/>
      <c r="I8317" s="223"/>
      <c r="J8317" s="224" t="s">
        <v>55</v>
      </c>
      <c r="K8317" s="225">
        <v>3127017.3</v>
      </c>
      <c r="L8317" s="225"/>
    </row>
    <row r="8318" spans="1:14" ht="11.25" customHeight="1" x14ac:dyDescent="0.2">
      <c r="A8318" s="226">
        <v>2025</v>
      </c>
      <c r="B8318" s="226">
        <v>7</v>
      </c>
      <c r="C8318" s="226">
        <v>16</v>
      </c>
      <c r="D8318" s="232">
        <f t="shared" si="954"/>
        <v>45854</v>
      </c>
      <c r="E8318" s="234">
        <f>DATE(A8318,B8318,C8318)</f>
        <v>45854</v>
      </c>
      <c r="F8318" s="479"/>
      <c r="G8318" s="227" t="s">
        <v>1111</v>
      </c>
      <c r="H8318" s="228"/>
      <c r="I8318" s="228"/>
      <c r="J8318" s="229" t="s">
        <v>199</v>
      </c>
      <c r="K8318" s="230"/>
      <c r="L8318" s="230">
        <f>K8317</f>
        <v>3127017.3</v>
      </c>
    </row>
    <row r="8319" spans="1:14" ht="11.25" customHeight="1" x14ac:dyDescent="0.2">
      <c r="A8319" s="221">
        <v>2025</v>
      </c>
      <c r="B8319" s="221">
        <v>7</v>
      </c>
      <c r="C8319" s="221">
        <v>16</v>
      </c>
      <c r="D8319" s="231">
        <f t="shared" si="954"/>
        <v>45854</v>
      </c>
      <c r="E8319" s="233">
        <f>DATE(A8319,B8319,C8319)</f>
        <v>45854</v>
      </c>
      <c r="F8319" s="478" t="s">
        <v>1844</v>
      </c>
      <c r="G8319" s="222" t="s">
        <v>1111</v>
      </c>
      <c r="H8319" s="223"/>
      <c r="I8319" s="223"/>
      <c r="J8319" s="224" t="s">
        <v>55</v>
      </c>
      <c r="K8319" s="225">
        <v>3792428.8</v>
      </c>
      <c r="L8319" s="225"/>
    </row>
    <row r="8320" spans="1:14" ht="11.25" customHeight="1" x14ac:dyDescent="0.2">
      <c r="A8320" s="226">
        <v>2025</v>
      </c>
      <c r="B8320" s="226">
        <v>7</v>
      </c>
      <c r="C8320" s="226">
        <v>16</v>
      </c>
      <c r="D8320" s="232">
        <f t="shared" si="954"/>
        <v>45854</v>
      </c>
      <c r="E8320" s="234">
        <f>DATE(A8320,B8320,C8320)</f>
        <v>45854</v>
      </c>
      <c r="F8320" s="479"/>
      <c r="G8320" s="227" t="s">
        <v>1111</v>
      </c>
      <c r="H8320" s="228"/>
      <c r="I8320" s="228"/>
      <c r="J8320" s="229" t="s">
        <v>199</v>
      </c>
      <c r="K8320" s="230"/>
      <c r="L8320" s="230">
        <f>K8319</f>
        <v>3792428.8</v>
      </c>
    </row>
    <row r="8321" spans="1:14" ht="11.25" customHeight="1" x14ac:dyDescent="0.2">
      <c r="A8321" s="221">
        <v>2025</v>
      </c>
      <c r="B8321" s="221">
        <v>7</v>
      </c>
      <c r="C8321" s="221">
        <v>16</v>
      </c>
      <c r="D8321" s="231">
        <f t="shared" si="954"/>
        <v>45854</v>
      </c>
      <c r="E8321" s="233">
        <f t="shared" ref="E8321:E8351" si="960">DATE(A8321,B8321,C8321)</f>
        <v>45854</v>
      </c>
      <c r="F8321" s="478" t="s">
        <v>1924</v>
      </c>
      <c r="G8321" s="222" t="s">
        <v>1111</v>
      </c>
      <c r="H8321" s="222"/>
      <c r="I8321" s="223"/>
      <c r="J8321" s="224" t="s">
        <v>1615</v>
      </c>
      <c r="K8321" s="357">
        <v>1061336.3400000001</v>
      </c>
      <c r="L8321" s="225"/>
    </row>
    <row r="8322" spans="1:14" ht="11.25" customHeight="1" x14ac:dyDescent="0.2">
      <c r="A8322" s="226">
        <v>2025</v>
      </c>
      <c r="B8322" s="226">
        <v>7</v>
      </c>
      <c r="C8322" s="226">
        <v>16</v>
      </c>
      <c r="D8322" s="226">
        <f t="shared" si="954"/>
        <v>45854</v>
      </c>
      <c r="E8322" s="234">
        <f t="shared" si="960"/>
        <v>45854</v>
      </c>
      <c r="F8322" s="479"/>
      <c r="G8322" s="227" t="s">
        <v>1111</v>
      </c>
      <c r="H8322" s="227"/>
      <c r="I8322" s="228"/>
      <c r="J8322" s="229" t="s">
        <v>55</v>
      </c>
      <c r="K8322" s="294"/>
      <c r="L8322" s="230">
        <v>1061336.3400000001</v>
      </c>
    </row>
    <row r="8323" spans="1:14" ht="11.25" customHeight="1" x14ac:dyDescent="0.2">
      <c r="A8323" s="221">
        <v>2025</v>
      </c>
      <c r="B8323" s="221">
        <v>7</v>
      </c>
      <c r="C8323" s="221">
        <v>17</v>
      </c>
      <c r="D8323" s="231">
        <f t="shared" si="954"/>
        <v>45855</v>
      </c>
      <c r="E8323" s="233">
        <f t="shared" si="960"/>
        <v>45855</v>
      </c>
      <c r="F8323" s="478" t="s">
        <v>1889</v>
      </c>
      <c r="G8323" s="222" t="s">
        <v>1111</v>
      </c>
      <c r="H8323" s="223"/>
      <c r="I8323" s="223"/>
      <c r="J8323" s="224" t="s">
        <v>961</v>
      </c>
      <c r="K8323" s="225">
        <v>1727899.4</v>
      </c>
      <c r="L8323" s="225"/>
    </row>
    <row r="8324" spans="1:14" ht="11.25" customHeight="1" x14ac:dyDescent="0.2">
      <c r="A8324" s="226">
        <v>2025</v>
      </c>
      <c r="B8324" s="226">
        <v>7</v>
      </c>
      <c r="C8324" s="226">
        <v>17</v>
      </c>
      <c r="D8324" s="232">
        <f t="shared" si="954"/>
        <v>45855</v>
      </c>
      <c r="E8324" s="234">
        <f t="shared" si="960"/>
        <v>45855</v>
      </c>
      <c r="F8324" s="479"/>
      <c r="G8324" s="227" t="s">
        <v>1111</v>
      </c>
      <c r="H8324" s="228"/>
      <c r="I8324" s="228"/>
      <c r="J8324" s="229" t="s">
        <v>55</v>
      </c>
      <c r="K8324" s="230"/>
      <c r="L8324" s="230">
        <f>K8323</f>
        <v>1727899.4</v>
      </c>
    </row>
    <row r="8325" spans="1:14" ht="11.25" customHeight="1" x14ac:dyDescent="0.2">
      <c r="A8325" s="221">
        <v>2025</v>
      </c>
      <c r="B8325" s="221">
        <v>7</v>
      </c>
      <c r="C8325" s="221">
        <v>17</v>
      </c>
      <c r="D8325" s="231">
        <f t="shared" si="954"/>
        <v>45855</v>
      </c>
      <c r="E8325" s="233">
        <f t="shared" si="960"/>
        <v>45855</v>
      </c>
      <c r="F8325" s="478" t="s">
        <v>1670</v>
      </c>
      <c r="G8325" s="222" t="s">
        <v>1111</v>
      </c>
      <c r="H8325" s="223"/>
      <c r="I8325" s="223"/>
      <c r="J8325" s="224" t="s">
        <v>63</v>
      </c>
      <c r="K8325" s="225">
        <v>100</v>
      </c>
      <c r="L8325" s="225"/>
    </row>
    <row r="8326" spans="1:14" ht="11.25" customHeight="1" x14ac:dyDescent="0.2">
      <c r="A8326" s="226">
        <v>2025</v>
      </c>
      <c r="B8326" s="226">
        <v>7</v>
      </c>
      <c r="C8326" s="226">
        <v>17</v>
      </c>
      <c r="D8326" s="232">
        <f t="shared" si="954"/>
        <v>45855</v>
      </c>
      <c r="E8326" s="234">
        <f t="shared" si="960"/>
        <v>45855</v>
      </c>
      <c r="F8326" s="479"/>
      <c r="G8326" s="227" t="s">
        <v>1111</v>
      </c>
      <c r="H8326" s="228"/>
      <c r="I8326" s="228"/>
      <c r="J8326" s="229" t="s">
        <v>55</v>
      </c>
      <c r="K8326" s="230"/>
      <c r="L8326" s="230">
        <v>100</v>
      </c>
    </row>
    <row r="8327" spans="1:14" ht="11.25" customHeight="1" x14ac:dyDescent="0.2">
      <c r="A8327" s="221">
        <v>2025</v>
      </c>
      <c r="B8327" s="221">
        <v>7</v>
      </c>
      <c r="C8327" s="221">
        <v>17</v>
      </c>
      <c r="D8327" s="221">
        <f t="shared" si="954"/>
        <v>45855</v>
      </c>
      <c r="E8327" s="233">
        <f t="shared" si="960"/>
        <v>45855</v>
      </c>
      <c r="F8327" s="478" t="s">
        <v>1886</v>
      </c>
      <c r="G8327" s="222" t="s">
        <v>86</v>
      </c>
      <c r="H8327" s="222"/>
      <c r="I8327" s="223"/>
      <c r="J8327" s="224" t="s">
        <v>80</v>
      </c>
      <c r="K8327" s="225">
        <v>2426375</v>
      </c>
      <c r="L8327" s="225"/>
      <c r="N8327" s="263"/>
    </row>
    <row r="8328" spans="1:14" ht="11.25" customHeight="1" x14ac:dyDescent="0.2">
      <c r="A8328" s="164">
        <v>2025</v>
      </c>
      <c r="B8328" s="164">
        <v>7</v>
      </c>
      <c r="C8328" s="164">
        <v>17</v>
      </c>
      <c r="D8328" s="164">
        <f t="shared" si="954"/>
        <v>45855</v>
      </c>
      <c r="E8328" s="235">
        <f t="shared" si="960"/>
        <v>45855</v>
      </c>
      <c r="F8328" s="480"/>
      <c r="G8328" s="208" t="s">
        <v>86</v>
      </c>
      <c r="H8328" s="208"/>
      <c r="J8328" s="165" t="s">
        <v>960</v>
      </c>
      <c r="K8328" s="205">
        <v>5610.85</v>
      </c>
      <c r="L8328" s="205"/>
      <c r="M8328" s="263"/>
      <c r="N8328" s="263"/>
    </row>
    <row r="8329" spans="1:14" ht="11.25" customHeight="1" x14ac:dyDescent="0.2">
      <c r="A8329" s="164">
        <v>2025</v>
      </c>
      <c r="B8329" s="164">
        <v>7</v>
      </c>
      <c r="C8329" s="164">
        <v>17</v>
      </c>
      <c r="D8329" s="164">
        <f t="shared" ref="D8329:D8392" si="961">DATE(A8329,B8329,C8329)</f>
        <v>45855</v>
      </c>
      <c r="E8329" s="235">
        <f t="shared" si="960"/>
        <v>45855</v>
      </c>
      <c r="F8329" s="480"/>
      <c r="G8329" s="208" t="s">
        <v>86</v>
      </c>
      <c r="H8329" s="208"/>
      <c r="J8329" s="165" t="s">
        <v>143</v>
      </c>
      <c r="K8329" s="205"/>
      <c r="L8329" s="205">
        <v>1741221.35</v>
      </c>
      <c r="M8329" s="263"/>
    </row>
    <row r="8330" spans="1:14" ht="11.25" customHeight="1" x14ac:dyDescent="0.2">
      <c r="A8330" s="164">
        <v>2025</v>
      </c>
      <c r="B8330" s="164">
        <v>7</v>
      </c>
      <c r="C8330" s="164">
        <v>17</v>
      </c>
      <c r="D8330" s="164">
        <f t="shared" si="961"/>
        <v>45855</v>
      </c>
      <c r="E8330" s="235">
        <f t="shared" si="960"/>
        <v>45855</v>
      </c>
      <c r="F8330" s="480"/>
      <c r="G8330" s="208" t="s">
        <v>86</v>
      </c>
      <c r="H8330" s="208"/>
      <c r="J8330" s="165" t="s">
        <v>200</v>
      </c>
      <c r="K8330" s="205"/>
      <c r="L8330" s="205">
        <v>121579.61</v>
      </c>
      <c r="M8330" s="263"/>
    </row>
    <row r="8331" spans="1:14" ht="11.25" customHeight="1" x14ac:dyDescent="0.2">
      <c r="A8331" s="226">
        <v>2025</v>
      </c>
      <c r="B8331" s="226">
        <v>7</v>
      </c>
      <c r="C8331" s="226">
        <v>17</v>
      </c>
      <c r="D8331" s="226">
        <f t="shared" si="961"/>
        <v>45855</v>
      </c>
      <c r="E8331" s="234">
        <f t="shared" si="960"/>
        <v>45855</v>
      </c>
      <c r="F8331" s="479"/>
      <c r="G8331" s="227" t="s">
        <v>86</v>
      </c>
      <c r="H8331" s="228"/>
      <c r="I8331" s="228"/>
      <c r="J8331" s="229" t="s">
        <v>80</v>
      </c>
      <c r="K8331" s="230"/>
      <c r="L8331" s="230">
        <v>569184.89</v>
      </c>
      <c r="M8331" s="263"/>
    </row>
    <row r="8332" spans="1:14" ht="11.25" customHeight="1" x14ac:dyDescent="0.2">
      <c r="A8332" s="221">
        <v>2025</v>
      </c>
      <c r="B8332" s="221">
        <v>7</v>
      </c>
      <c r="C8332" s="221">
        <v>17</v>
      </c>
      <c r="D8332" s="221">
        <f t="shared" si="961"/>
        <v>45855</v>
      </c>
      <c r="E8332" s="233">
        <f t="shared" ref="E8332:E8341" si="962">DATE(A8332,B8332,C8332)</f>
        <v>45855</v>
      </c>
      <c r="F8332" s="478" t="s">
        <v>1884</v>
      </c>
      <c r="G8332" s="222" t="s">
        <v>86</v>
      </c>
      <c r="H8332" s="222"/>
      <c r="I8332" s="223"/>
      <c r="J8332" s="224" t="s">
        <v>80</v>
      </c>
      <c r="K8332" s="225">
        <v>1061899.3</v>
      </c>
      <c r="L8332" s="225"/>
      <c r="N8332" s="263"/>
    </row>
    <row r="8333" spans="1:14" ht="11.25" customHeight="1" x14ac:dyDescent="0.2">
      <c r="A8333" s="164">
        <v>2025</v>
      </c>
      <c r="B8333" s="164">
        <v>7</v>
      </c>
      <c r="C8333" s="164">
        <v>17</v>
      </c>
      <c r="D8333" s="164">
        <f t="shared" si="961"/>
        <v>45855</v>
      </c>
      <c r="E8333" s="235">
        <f t="shared" si="962"/>
        <v>45855</v>
      </c>
      <c r="F8333" s="480"/>
      <c r="G8333" s="208" t="s">
        <v>86</v>
      </c>
      <c r="H8333" s="208"/>
      <c r="J8333" s="165" t="s">
        <v>960</v>
      </c>
      <c r="K8333" s="205">
        <v>3512.52</v>
      </c>
      <c r="L8333" s="205"/>
      <c r="M8333" s="263"/>
      <c r="N8333" s="263"/>
    </row>
    <row r="8334" spans="1:14" ht="11.25" customHeight="1" x14ac:dyDescent="0.2">
      <c r="A8334" s="164">
        <v>2025</v>
      </c>
      <c r="B8334" s="164">
        <v>7</v>
      </c>
      <c r="C8334" s="164">
        <v>17</v>
      </c>
      <c r="D8334" s="164">
        <f t="shared" si="961"/>
        <v>45855</v>
      </c>
      <c r="E8334" s="235">
        <f t="shared" si="962"/>
        <v>45855</v>
      </c>
      <c r="F8334" s="480"/>
      <c r="G8334" s="208" t="s">
        <v>86</v>
      </c>
      <c r="H8334" s="208"/>
      <c r="J8334" s="165" t="s">
        <v>143</v>
      </c>
      <c r="K8334" s="205"/>
      <c r="L8334" s="205">
        <v>175911.82</v>
      </c>
      <c r="M8334" s="263"/>
    </row>
    <row r="8335" spans="1:14" ht="11.25" customHeight="1" x14ac:dyDescent="0.2">
      <c r="A8335" s="164">
        <v>2025</v>
      </c>
      <c r="B8335" s="164">
        <v>7</v>
      </c>
      <c r="C8335" s="164">
        <v>17</v>
      </c>
      <c r="D8335" s="164">
        <f t="shared" si="961"/>
        <v>45855</v>
      </c>
      <c r="E8335" s="235">
        <f t="shared" si="962"/>
        <v>45855</v>
      </c>
      <c r="F8335" s="480"/>
      <c r="G8335" s="208" t="s">
        <v>86</v>
      </c>
      <c r="H8335" s="208"/>
      <c r="J8335" s="165" t="s">
        <v>200</v>
      </c>
      <c r="K8335" s="205"/>
      <c r="L8335" s="205">
        <v>235007.35</v>
      </c>
      <c r="M8335" s="263"/>
    </row>
    <row r="8336" spans="1:14" ht="11.25" customHeight="1" x14ac:dyDescent="0.2">
      <c r="A8336" s="226">
        <v>2025</v>
      </c>
      <c r="B8336" s="226">
        <v>7</v>
      </c>
      <c r="C8336" s="226">
        <v>17</v>
      </c>
      <c r="D8336" s="226">
        <f t="shared" si="961"/>
        <v>45855</v>
      </c>
      <c r="E8336" s="234">
        <f t="shared" si="962"/>
        <v>45855</v>
      </c>
      <c r="F8336" s="479"/>
      <c r="G8336" s="227" t="s">
        <v>86</v>
      </c>
      <c r="H8336" s="228"/>
      <c r="I8336" s="228"/>
      <c r="J8336" s="229" t="s">
        <v>80</v>
      </c>
      <c r="K8336" s="230"/>
      <c r="L8336" s="230">
        <v>654492.65</v>
      </c>
      <c r="M8336" s="263"/>
    </row>
    <row r="8337" spans="1:13" ht="11.25" customHeight="1" x14ac:dyDescent="0.2">
      <c r="A8337" s="221">
        <v>2025</v>
      </c>
      <c r="B8337" s="221">
        <v>7</v>
      </c>
      <c r="C8337" s="221">
        <v>17</v>
      </c>
      <c r="D8337" s="231">
        <f t="shared" si="961"/>
        <v>45855</v>
      </c>
      <c r="E8337" s="233">
        <f t="shared" si="962"/>
        <v>45855</v>
      </c>
      <c r="F8337" s="478" t="s">
        <v>1889</v>
      </c>
      <c r="G8337" s="222" t="s">
        <v>1111</v>
      </c>
      <c r="H8337" s="223"/>
      <c r="I8337" s="223"/>
      <c r="J8337" s="224" t="s">
        <v>961</v>
      </c>
      <c r="K8337" s="225">
        <v>1741221.35</v>
      </c>
      <c r="L8337" s="225"/>
    </row>
    <row r="8338" spans="1:13" ht="11.25" customHeight="1" x14ac:dyDescent="0.2">
      <c r="A8338" s="226">
        <v>2025</v>
      </c>
      <c r="B8338" s="226">
        <v>7</v>
      </c>
      <c r="C8338" s="226">
        <v>17</v>
      </c>
      <c r="D8338" s="232">
        <f t="shared" si="961"/>
        <v>45855</v>
      </c>
      <c r="E8338" s="234">
        <f t="shared" si="962"/>
        <v>45855</v>
      </c>
      <c r="F8338" s="479"/>
      <c r="G8338" s="227" t="s">
        <v>1111</v>
      </c>
      <c r="H8338" s="228"/>
      <c r="I8338" s="228"/>
      <c r="J8338" s="229" t="s">
        <v>55</v>
      </c>
      <c r="K8338" s="230"/>
      <c r="L8338" s="230">
        <f>K8337</f>
        <v>1741221.35</v>
      </c>
    </row>
    <row r="8339" spans="1:13" ht="11.25" customHeight="1" x14ac:dyDescent="0.2">
      <c r="A8339" s="221">
        <v>2025</v>
      </c>
      <c r="B8339" s="221">
        <v>7</v>
      </c>
      <c r="C8339" s="221">
        <v>17</v>
      </c>
      <c r="D8339" s="231">
        <f t="shared" si="961"/>
        <v>45855</v>
      </c>
      <c r="E8339" s="233">
        <f t="shared" si="962"/>
        <v>45855</v>
      </c>
      <c r="F8339" s="478" t="s">
        <v>802</v>
      </c>
      <c r="G8339" s="222" t="s">
        <v>1111</v>
      </c>
      <c r="H8339" s="223"/>
      <c r="I8339" s="223"/>
      <c r="J8339" s="224" t="s">
        <v>55</v>
      </c>
      <c r="K8339" s="167">
        <v>230000</v>
      </c>
      <c r="L8339" s="225"/>
    </row>
    <row r="8340" spans="1:13" ht="11.25" customHeight="1" x14ac:dyDescent="0.2">
      <c r="A8340" s="164">
        <v>2025</v>
      </c>
      <c r="B8340" s="164">
        <v>7</v>
      </c>
      <c r="C8340" s="164">
        <v>17</v>
      </c>
      <c r="D8340" s="156">
        <f t="shared" si="961"/>
        <v>45855</v>
      </c>
      <c r="E8340" s="235">
        <f t="shared" si="962"/>
        <v>45855</v>
      </c>
      <c r="F8340" s="480"/>
      <c r="G8340" s="208" t="s">
        <v>1111</v>
      </c>
      <c r="J8340" s="165" t="s">
        <v>14</v>
      </c>
      <c r="L8340" s="205">
        <v>204830</v>
      </c>
    </row>
    <row r="8341" spans="1:13" ht="11.25" customHeight="1" x14ac:dyDescent="0.2">
      <c r="A8341" s="226">
        <v>2025</v>
      </c>
      <c r="B8341" s="226">
        <v>7</v>
      </c>
      <c r="C8341" s="226">
        <v>17</v>
      </c>
      <c r="D8341" s="232">
        <f t="shared" si="961"/>
        <v>45855</v>
      </c>
      <c r="E8341" s="234">
        <f t="shared" si="962"/>
        <v>45855</v>
      </c>
      <c r="F8341" s="479"/>
      <c r="G8341" s="227" t="s">
        <v>1111</v>
      </c>
      <c r="H8341" s="228"/>
      <c r="I8341" s="228"/>
      <c r="J8341" s="229" t="s">
        <v>1112</v>
      </c>
      <c r="K8341" s="230"/>
      <c r="L8341" s="230">
        <v>25170</v>
      </c>
    </row>
    <row r="8342" spans="1:13" ht="11.25" customHeight="1" x14ac:dyDescent="0.2">
      <c r="A8342" s="221">
        <v>2025</v>
      </c>
      <c r="B8342" s="221">
        <v>7</v>
      </c>
      <c r="C8342" s="221">
        <v>17</v>
      </c>
      <c r="D8342" s="231">
        <f t="shared" si="961"/>
        <v>45855</v>
      </c>
      <c r="E8342" s="233">
        <f>DATE(A8342,B8342,C8342)</f>
        <v>45855</v>
      </c>
      <c r="F8342" s="478" t="s">
        <v>1844</v>
      </c>
      <c r="G8342" s="222" t="s">
        <v>1111</v>
      </c>
      <c r="H8342" s="223"/>
      <c r="I8342" s="223"/>
      <c r="J8342" s="224" t="s">
        <v>55</v>
      </c>
      <c r="K8342" s="225">
        <v>716142.4</v>
      </c>
      <c r="L8342" s="225"/>
    </row>
    <row r="8343" spans="1:13" ht="11.25" customHeight="1" x14ac:dyDescent="0.2">
      <c r="A8343" s="226">
        <v>2025</v>
      </c>
      <c r="B8343" s="226">
        <v>7</v>
      </c>
      <c r="C8343" s="226">
        <v>17</v>
      </c>
      <c r="D8343" s="232">
        <f t="shared" si="961"/>
        <v>45855</v>
      </c>
      <c r="E8343" s="234">
        <f>DATE(A8343,B8343,C8343)</f>
        <v>45855</v>
      </c>
      <c r="F8343" s="479"/>
      <c r="G8343" s="227" t="s">
        <v>1111</v>
      </c>
      <c r="H8343" s="228"/>
      <c r="I8343" s="228"/>
      <c r="J8343" s="229" t="s">
        <v>199</v>
      </c>
      <c r="K8343" s="230"/>
      <c r="L8343" s="230">
        <f>K8342</f>
        <v>716142.4</v>
      </c>
    </row>
    <row r="8344" spans="1:13" ht="11.25" customHeight="1" x14ac:dyDescent="0.2">
      <c r="A8344" s="280">
        <v>2025</v>
      </c>
      <c r="B8344" s="280">
        <v>7</v>
      </c>
      <c r="C8344" s="280">
        <v>17</v>
      </c>
      <c r="D8344" s="281">
        <f t="shared" si="961"/>
        <v>45855</v>
      </c>
      <c r="E8344" s="282">
        <f t="shared" si="960"/>
        <v>45855</v>
      </c>
      <c r="F8344" s="472" t="s">
        <v>1744</v>
      </c>
      <c r="G8344" s="283" t="s">
        <v>86</v>
      </c>
      <c r="H8344" s="284"/>
      <c r="I8344" s="284"/>
      <c r="J8344" s="285" t="s">
        <v>131</v>
      </c>
      <c r="K8344" s="286">
        <v>19358.330000000002</v>
      </c>
      <c r="L8344" s="286"/>
      <c r="M8344" s="401"/>
    </row>
    <row r="8345" spans="1:13" ht="11.25" customHeight="1" x14ac:dyDescent="0.2">
      <c r="A8345" s="287">
        <v>2025</v>
      </c>
      <c r="B8345" s="287">
        <v>7</v>
      </c>
      <c r="C8345" s="287">
        <v>17</v>
      </c>
      <c r="D8345" s="288">
        <f t="shared" si="961"/>
        <v>45855</v>
      </c>
      <c r="E8345" s="289">
        <f t="shared" si="960"/>
        <v>45855</v>
      </c>
      <c r="F8345" s="473"/>
      <c r="G8345" s="290" t="s">
        <v>86</v>
      </c>
      <c r="H8345" s="291"/>
      <c r="I8345" s="291"/>
      <c r="J8345" s="292" t="s">
        <v>174</v>
      </c>
      <c r="K8345" s="293"/>
      <c r="L8345" s="293">
        <f>K8344</f>
        <v>19358.330000000002</v>
      </c>
    </row>
    <row r="8346" spans="1:13" ht="11.25" customHeight="1" x14ac:dyDescent="0.2">
      <c r="A8346" s="280">
        <v>2025</v>
      </c>
      <c r="B8346" s="280">
        <v>7</v>
      </c>
      <c r="C8346" s="280">
        <v>17</v>
      </c>
      <c r="D8346" s="281">
        <f t="shared" si="961"/>
        <v>45855</v>
      </c>
      <c r="E8346" s="282">
        <f t="shared" si="960"/>
        <v>45855</v>
      </c>
      <c r="F8346" s="472" t="s">
        <v>1584</v>
      </c>
      <c r="G8346" s="283" t="s">
        <v>86</v>
      </c>
      <c r="H8346" s="284"/>
      <c r="I8346" s="284"/>
      <c r="J8346" s="285" t="s">
        <v>131</v>
      </c>
      <c r="K8346" s="286">
        <v>8846.15</v>
      </c>
      <c r="L8346" s="286"/>
      <c r="M8346" s="401"/>
    </row>
    <row r="8347" spans="1:13" ht="11.25" customHeight="1" x14ac:dyDescent="0.2">
      <c r="A8347" s="287">
        <v>2025</v>
      </c>
      <c r="B8347" s="287">
        <v>7</v>
      </c>
      <c r="C8347" s="287">
        <v>17</v>
      </c>
      <c r="D8347" s="288">
        <f t="shared" si="961"/>
        <v>45855</v>
      </c>
      <c r="E8347" s="289">
        <f t="shared" si="960"/>
        <v>45855</v>
      </c>
      <c r="F8347" s="473"/>
      <c r="G8347" s="290" t="s">
        <v>86</v>
      </c>
      <c r="H8347" s="291"/>
      <c r="I8347" s="291"/>
      <c r="J8347" s="292" t="s">
        <v>174</v>
      </c>
      <c r="K8347" s="293"/>
      <c r="L8347" s="293">
        <f>K8346</f>
        <v>8846.15</v>
      </c>
    </row>
    <row r="8348" spans="1:13" ht="11.25" customHeight="1" x14ac:dyDescent="0.2">
      <c r="A8348" s="280">
        <v>2025</v>
      </c>
      <c r="B8348" s="280">
        <v>7</v>
      </c>
      <c r="C8348" s="280">
        <v>17</v>
      </c>
      <c r="D8348" s="281">
        <f t="shared" si="961"/>
        <v>45855</v>
      </c>
      <c r="E8348" s="282">
        <f t="shared" si="960"/>
        <v>45855</v>
      </c>
      <c r="F8348" s="472" t="s">
        <v>1830</v>
      </c>
      <c r="G8348" s="283" t="s">
        <v>86</v>
      </c>
      <c r="H8348" s="284"/>
      <c r="I8348" s="284"/>
      <c r="J8348" s="285" t="s">
        <v>131</v>
      </c>
      <c r="K8348" s="286">
        <v>11634.615384615385</v>
      </c>
      <c r="L8348" s="286"/>
      <c r="M8348" s="401"/>
    </row>
    <row r="8349" spans="1:13" ht="11.25" customHeight="1" x14ac:dyDescent="0.2">
      <c r="A8349" s="287">
        <v>2025</v>
      </c>
      <c r="B8349" s="287">
        <v>7</v>
      </c>
      <c r="C8349" s="287">
        <v>17</v>
      </c>
      <c r="D8349" s="288">
        <f t="shared" si="961"/>
        <v>45855</v>
      </c>
      <c r="E8349" s="289">
        <f t="shared" si="960"/>
        <v>45855</v>
      </c>
      <c r="F8349" s="473"/>
      <c r="G8349" s="290" t="s">
        <v>86</v>
      </c>
      <c r="H8349" s="291"/>
      <c r="I8349" s="291"/>
      <c r="J8349" s="292" t="s">
        <v>174</v>
      </c>
      <c r="K8349" s="293"/>
      <c r="L8349" s="293">
        <v>11634.615384615385</v>
      </c>
    </row>
    <row r="8350" spans="1:13" ht="11.25" customHeight="1" x14ac:dyDescent="0.2">
      <c r="A8350" s="341">
        <v>2025</v>
      </c>
      <c r="B8350" s="341">
        <v>7</v>
      </c>
      <c r="C8350" s="341">
        <v>17</v>
      </c>
      <c r="D8350" s="328">
        <f t="shared" si="961"/>
        <v>45855</v>
      </c>
      <c r="E8350" s="329">
        <f t="shared" si="960"/>
        <v>45855</v>
      </c>
      <c r="F8350" s="474" t="s">
        <v>1767</v>
      </c>
      <c r="G8350" s="330" t="s">
        <v>86</v>
      </c>
      <c r="H8350" s="332"/>
      <c r="I8350" s="332"/>
      <c r="J8350" s="342" t="s">
        <v>67</v>
      </c>
      <c r="K8350" s="343">
        <v>23347.72</v>
      </c>
      <c r="L8350" s="343"/>
    </row>
    <row r="8351" spans="1:13" ht="11.25" customHeight="1" x14ac:dyDescent="0.2">
      <c r="A8351" s="344">
        <v>2025</v>
      </c>
      <c r="B8351" s="344">
        <v>7</v>
      </c>
      <c r="C8351" s="344">
        <v>17</v>
      </c>
      <c r="D8351" s="337">
        <f t="shared" si="961"/>
        <v>45855</v>
      </c>
      <c r="E8351" s="338">
        <f t="shared" si="960"/>
        <v>45855</v>
      </c>
      <c r="F8351" s="475"/>
      <c r="G8351" s="339" t="s">
        <v>86</v>
      </c>
      <c r="H8351" s="340"/>
      <c r="I8351" s="340"/>
      <c r="J8351" s="345" t="s">
        <v>174</v>
      </c>
      <c r="K8351" s="346"/>
      <c r="L8351" s="346">
        <f>K8350</f>
        <v>23347.72</v>
      </c>
    </row>
    <row r="8352" spans="1:13" ht="11.25" customHeight="1" x14ac:dyDescent="0.2">
      <c r="A8352" s="358">
        <v>2025</v>
      </c>
      <c r="B8352" s="358">
        <v>7</v>
      </c>
      <c r="C8352" s="358">
        <v>17</v>
      </c>
      <c r="D8352" s="312">
        <f t="shared" si="961"/>
        <v>45855</v>
      </c>
      <c r="E8352" s="313">
        <f>DATE(A8352,B8352,C8352)</f>
        <v>45855</v>
      </c>
      <c r="F8352" s="482" t="s">
        <v>1627</v>
      </c>
      <c r="G8352" s="314" t="s">
        <v>86</v>
      </c>
      <c r="H8352" s="324"/>
      <c r="I8352" s="324"/>
      <c r="J8352" s="364" t="s">
        <v>1613</v>
      </c>
      <c r="K8352" s="365">
        <v>0</v>
      </c>
      <c r="L8352" s="365"/>
      <c r="M8352" s="156">
        <f>BS!$I$12</f>
        <v>0</v>
      </c>
    </row>
    <row r="8353" spans="1:14" ht="11.25" customHeight="1" x14ac:dyDescent="0.2">
      <c r="A8353" s="320">
        <v>2025</v>
      </c>
      <c r="B8353" s="320">
        <v>7</v>
      </c>
      <c r="C8353" s="320">
        <v>17</v>
      </c>
      <c r="D8353" s="323">
        <f t="shared" si="961"/>
        <v>45855</v>
      </c>
      <c r="E8353" s="321">
        <f t="shared" ref="E8353" si="963">DATE(A8353,B8353,C8353)</f>
        <v>45855</v>
      </c>
      <c r="F8353" s="483"/>
      <c r="G8353" s="322" t="s">
        <v>86</v>
      </c>
      <c r="H8353" s="325"/>
      <c r="I8353" s="325"/>
      <c r="J8353" s="366" t="s">
        <v>1621</v>
      </c>
      <c r="K8353" s="367"/>
      <c r="L8353" s="367">
        <f>K8352</f>
        <v>0</v>
      </c>
    </row>
    <row r="8354" spans="1:14" ht="11.25" customHeight="1" x14ac:dyDescent="0.2">
      <c r="A8354" s="358">
        <v>2025</v>
      </c>
      <c r="B8354" s="358">
        <v>7</v>
      </c>
      <c r="C8354" s="358">
        <v>17</v>
      </c>
      <c r="D8354" s="312">
        <f t="shared" si="961"/>
        <v>45855</v>
      </c>
      <c r="E8354" s="313">
        <f>DATE(A8354,B8354,C8354)</f>
        <v>45855</v>
      </c>
      <c r="F8354" s="482" t="s">
        <v>1713</v>
      </c>
      <c r="G8354" s="314" t="s">
        <v>86</v>
      </c>
      <c r="H8354" s="324"/>
      <c r="I8354" s="324"/>
      <c r="J8354" s="364" t="s">
        <v>1622</v>
      </c>
      <c r="K8354" s="365">
        <v>105807.72399999946</v>
      </c>
      <c r="L8354" s="365"/>
      <c r="M8354" s="156">
        <f>BS!$I$15</f>
        <v>0</v>
      </c>
    </row>
    <row r="8355" spans="1:14" ht="11.25" customHeight="1" x14ac:dyDescent="0.2">
      <c r="A8355" s="320">
        <v>2025</v>
      </c>
      <c r="B8355" s="320">
        <v>7</v>
      </c>
      <c r="C8355" s="320">
        <v>17</v>
      </c>
      <c r="D8355" s="323">
        <f t="shared" si="961"/>
        <v>45855</v>
      </c>
      <c r="E8355" s="321">
        <f t="shared" ref="E8355:E8370" si="964">DATE(A8355,B8355,C8355)</f>
        <v>45855</v>
      </c>
      <c r="F8355" s="483"/>
      <c r="G8355" s="322" t="s">
        <v>86</v>
      </c>
      <c r="H8355" s="325"/>
      <c r="I8355" s="325"/>
      <c r="J8355" s="366" t="s">
        <v>1614</v>
      </c>
      <c r="K8355" s="367"/>
      <c r="L8355" s="367">
        <f>K8354</f>
        <v>105807.72399999946</v>
      </c>
    </row>
    <row r="8356" spans="1:14" ht="11.25" customHeight="1" x14ac:dyDescent="0.2">
      <c r="A8356" s="236">
        <v>2025</v>
      </c>
      <c r="B8356" s="236">
        <v>7</v>
      </c>
      <c r="C8356" s="236">
        <v>17</v>
      </c>
      <c r="D8356" s="237">
        <f t="shared" si="961"/>
        <v>45855</v>
      </c>
      <c r="E8356" s="238">
        <f t="shared" si="964"/>
        <v>45855</v>
      </c>
      <c r="F8356" s="476" t="s">
        <v>1118</v>
      </c>
      <c r="G8356" s="239" t="s">
        <v>86</v>
      </c>
      <c r="H8356" s="239"/>
      <c r="I8356" s="240"/>
      <c r="J8356" s="241" t="s">
        <v>82</v>
      </c>
      <c r="K8356" s="242">
        <v>914973.10879994929</v>
      </c>
      <c r="L8356" s="242"/>
      <c r="M8356" s="156">
        <f>BS!$I$8</f>
        <v>0</v>
      </c>
    </row>
    <row r="8357" spans="1:14" ht="11.25" customHeight="1" x14ac:dyDescent="0.2">
      <c r="A8357" s="243">
        <v>2025</v>
      </c>
      <c r="B8357" s="243">
        <v>7</v>
      </c>
      <c r="C8357" s="243">
        <v>17</v>
      </c>
      <c r="D8357" s="248">
        <f t="shared" si="961"/>
        <v>45855</v>
      </c>
      <c r="E8357" s="249">
        <f t="shared" si="964"/>
        <v>45855</v>
      </c>
      <c r="F8357" s="477"/>
      <c r="G8357" s="244" t="s">
        <v>86</v>
      </c>
      <c r="H8357" s="244"/>
      <c r="I8357" s="245"/>
      <c r="J8357" s="246" t="s">
        <v>98</v>
      </c>
      <c r="K8357" s="247"/>
      <c r="L8357" s="247">
        <f>K8356</f>
        <v>914973.10879994929</v>
      </c>
    </row>
    <row r="8358" spans="1:14" ht="11.25" customHeight="1" x14ac:dyDescent="0.2">
      <c r="A8358" s="236">
        <v>2025</v>
      </c>
      <c r="B8358" s="236">
        <v>7</v>
      </c>
      <c r="C8358" s="236">
        <v>17</v>
      </c>
      <c r="D8358" s="237">
        <f t="shared" si="961"/>
        <v>45855</v>
      </c>
      <c r="E8358" s="238">
        <f t="shared" si="964"/>
        <v>45855</v>
      </c>
      <c r="F8358" s="476" t="s">
        <v>1120</v>
      </c>
      <c r="G8358" s="239" t="s">
        <v>86</v>
      </c>
      <c r="H8358" s="239"/>
      <c r="I8358" s="240"/>
      <c r="J8358" s="241" t="s">
        <v>87</v>
      </c>
      <c r="K8358" s="242">
        <v>2747.2527472527472</v>
      </c>
      <c r="L8358" s="242"/>
      <c r="M8358" s="401"/>
    </row>
    <row r="8359" spans="1:14" ht="11.25" customHeight="1" x14ac:dyDescent="0.2">
      <c r="A8359" s="243">
        <v>2025</v>
      </c>
      <c r="B8359" s="243">
        <v>7</v>
      </c>
      <c r="C8359" s="243">
        <v>17</v>
      </c>
      <c r="D8359" s="248">
        <f t="shared" si="961"/>
        <v>45855</v>
      </c>
      <c r="E8359" s="249">
        <f t="shared" si="964"/>
        <v>45855</v>
      </c>
      <c r="F8359" s="477"/>
      <c r="G8359" s="244" t="s">
        <v>86</v>
      </c>
      <c r="H8359" s="244"/>
      <c r="I8359" s="245"/>
      <c r="J8359" s="246" t="s">
        <v>64</v>
      </c>
      <c r="K8359" s="247"/>
      <c r="L8359" s="247">
        <f>K8358</f>
        <v>2747.2527472527472</v>
      </c>
    </row>
    <row r="8360" spans="1:14" ht="11.25" customHeight="1" x14ac:dyDescent="0.2">
      <c r="A8360" s="236">
        <v>2025</v>
      </c>
      <c r="B8360" s="236">
        <v>7</v>
      </c>
      <c r="C8360" s="236">
        <v>17</v>
      </c>
      <c r="D8360" s="237">
        <f t="shared" si="961"/>
        <v>45855</v>
      </c>
      <c r="E8360" s="238">
        <f t="shared" si="964"/>
        <v>45855</v>
      </c>
      <c r="F8360" s="476" t="s">
        <v>1121</v>
      </c>
      <c r="G8360" s="239" t="s">
        <v>86</v>
      </c>
      <c r="H8360" s="239"/>
      <c r="I8360" s="240"/>
      <c r="J8360" s="241" t="s">
        <v>89</v>
      </c>
      <c r="K8360" s="242">
        <f>M8360</f>
        <v>76829.371522758738</v>
      </c>
      <c r="L8360" s="242"/>
      <c r="M8360" s="156">
        <v>76829.371522758738</v>
      </c>
    </row>
    <row r="8361" spans="1:14" ht="11.25" customHeight="1" x14ac:dyDescent="0.2">
      <c r="A8361" s="243">
        <v>2025</v>
      </c>
      <c r="B8361" s="243">
        <v>7</v>
      </c>
      <c r="C8361" s="243">
        <v>17</v>
      </c>
      <c r="D8361" s="248">
        <f t="shared" si="961"/>
        <v>45855</v>
      </c>
      <c r="E8361" s="249">
        <f t="shared" si="964"/>
        <v>45855</v>
      </c>
      <c r="F8361" s="477"/>
      <c r="G8361" s="244" t="s">
        <v>86</v>
      </c>
      <c r="H8361" s="244"/>
      <c r="I8361" s="245"/>
      <c r="J8361" s="246" t="s">
        <v>50</v>
      </c>
      <c r="K8361" s="247"/>
      <c r="L8361" s="247">
        <f>K8360</f>
        <v>76829.371522758738</v>
      </c>
      <c r="M8361" s="156">
        <v>3601.0839607533217</v>
      </c>
    </row>
    <row r="8362" spans="1:14" ht="11.25" customHeight="1" x14ac:dyDescent="0.2">
      <c r="A8362" s="236">
        <v>2025</v>
      </c>
      <c r="B8362" s="236">
        <v>7</v>
      </c>
      <c r="C8362" s="236">
        <v>17</v>
      </c>
      <c r="D8362" s="237">
        <f t="shared" si="961"/>
        <v>45855</v>
      </c>
      <c r="E8362" s="238">
        <f t="shared" si="964"/>
        <v>45855</v>
      </c>
      <c r="F8362" s="476" t="s">
        <v>1122</v>
      </c>
      <c r="G8362" s="239" t="s">
        <v>86</v>
      </c>
      <c r="H8362" s="239"/>
      <c r="I8362" s="240"/>
      <c r="J8362" s="241" t="s">
        <v>91</v>
      </c>
      <c r="K8362" s="242">
        <f>M8361</f>
        <v>3601.0839607533217</v>
      </c>
      <c r="L8362" s="242"/>
    </row>
    <row r="8363" spans="1:14" ht="11.25" customHeight="1" x14ac:dyDescent="0.2">
      <c r="A8363" s="243">
        <v>2025</v>
      </c>
      <c r="B8363" s="243">
        <v>7</v>
      </c>
      <c r="C8363" s="243">
        <v>17</v>
      </c>
      <c r="D8363" s="248">
        <f t="shared" si="961"/>
        <v>45855</v>
      </c>
      <c r="E8363" s="249">
        <f t="shared" si="964"/>
        <v>45855</v>
      </c>
      <c r="F8363" s="477"/>
      <c r="G8363" s="244" t="s">
        <v>86</v>
      </c>
      <c r="H8363" s="244"/>
      <c r="I8363" s="245"/>
      <c r="J8363" s="246" t="s">
        <v>51</v>
      </c>
      <c r="K8363" s="247"/>
      <c r="L8363" s="247">
        <f>K8362</f>
        <v>3601.0839607533217</v>
      </c>
    </row>
    <row r="8364" spans="1:14" ht="11.25" customHeight="1" x14ac:dyDescent="0.2">
      <c r="A8364" s="221">
        <v>2025</v>
      </c>
      <c r="B8364" s="221">
        <v>7</v>
      </c>
      <c r="C8364" s="221">
        <v>20</v>
      </c>
      <c r="D8364" s="221">
        <f t="shared" si="961"/>
        <v>45858</v>
      </c>
      <c r="E8364" s="233">
        <f t="shared" si="964"/>
        <v>45858</v>
      </c>
      <c r="F8364" s="478" t="s">
        <v>1886</v>
      </c>
      <c r="G8364" s="222" t="s">
        <v>86</v>
      </c>
      <c r="H8364" s="222"/>
      <c r="I8364" s="223"/>
      <c r="J8364" s="224" t="s">
        <v>80</v>
      </c>
      <c r="K8364" s="225">
        <v>7407176.5999999996</v>
      </c>
      <c r="L8364" s="225"/>
      <c r="N8364" s="263"/>
    </row>
    <row r="8365" spans="1:14" ht="11.25" customHeight="1" x14ac:dyDescent="0.2">
      <c r="A8365" s="164">
        <v>2025</v>
      </c>
      <c r="B8365" s="164">
        <v>7</v>
      </c>
      <c r="C8365" s="164">
        <v>20</v>
      </c>
      <c r="D8365" s="164">
        <f t="shared" si="961"/>
        <v>45858</v>
      </c>
      <c r="E8365" s="235">
        <f t="shared" si="964"/>
        <v>45858</v>
      </c>
      <c r="F8365" s="480"/>
      <c r="G8365" s="208" t="s">
        <v>86</v>
      </c>
      <c r="H8365" s="208"/>
      <c r="J8365" s="165" t="s">
        <v>960</v>
      </c>
      <c r="K8365" s="205">
        <v>14700.92</v>
      </c>
      <c r="L8365" s="205"/>
      <c r="M8365" s="263"/>
      <c r="N8365" s="263"/>
    </row>
    <row r="8366" spans="1:14" ht="11.25" customHeight="1" x14ac:dyDescent="0.2">
      <c r="A8366" s="164">
        <v>2025</v>
      </c>
      <c r="B8366" s="164">
        <v>7</v>
      </c>
      <c r="C8366" s="164">
        <v>20</v>
      </c>
      <c r="D8366" s="164">
        <f t="shared" si="961"/>
        <v>45858</v>
      </c>
      <c r="E8366" s="235">
        <f t="shared" si="964"/>
        <v>45858</v>
      </c>
      <c r="F8366" s="480"/>
      <c r="G8366" s="208" t="s">
        <v>86</v>
      </c>
      <c r="H8366" s="208"/>
      <c r="J8366" s="165" t="s">
        <v>143</v>
      </c>
      <c r="K8366" s="205"/>
      <c r="L8366" s="205">
        <v>6661877.5199999996</v>
      </c>
      <c r="M8366" s="263"/>
    </row>
    <row r="8367" spans="1:14" ht="11.25" customHeight="1" x14ac:dyDescent="0.2">
      <c r="A8367" s="164">
        <v>2025</v>
      </c>
      <c r="B8367" s="164">
        <v>7</v>
      </c>
      <c r="C8367" s="164">
        <v>20</v>
      </c>
      <c r="D8367" s="164">
        <f t="shared" si="961"/>
        <v>45858</v>
      </c>
      <c r="E8367" s="235">
        <f t="shared" si="964"/>
        <v>45858</v>
      </c>
      <c r="F8367" s="480"/>
      <c r="G8367" s="208" t="s">
        <v>86</v>
      </c>
      <c r="H8367" s="208"/>
      <c r="J8367" s="165" t="s">
        <v>200</v>
      </c>
      <c r="K8367" s="205"/>
      <c r="L8367" s="205">
        <v>152115.57</v>
      </c>
      <c r="M8367" s="263"/>
    </row>
    <row r="8368" spans="1:14" ht="11.25" customHeight="1" x14ac:dyDescent="0.2">
      <c r="A8368" s="226">
        <v>2025</v>
      </c>
      <c r="B8368" s="226">
        <v>7</v>
      </c>
      <c r="C8368" s="226">
        <v>20</v>
      </c>
      <c r="D8368" s="226">
        <f t="shared" si="961"/>
        <v>45858</v>
      </c>
      <c r="E8368" s="234">
        <f t="shared" si="964"/>
        <v>45858</v>
      </c>
      <c r="F8368" s="479"/>
      <c r="G8368" s="227" t="s">
        <v>86</v>
      </c>
      <c r="H8368" s="228"/>
      <c r="I8368" s="228"/>
      <c r="J8368" s="229" t="s">
        <v>80</v>
      </c>
      <c r="K8368" s="230"/>
      <c r="L8368" s="230">
        <v>607884.43000000005</v>
      </c>
      <c r="M8368" s="263"/>
    </row>
    <row r="8369" spans="1:14" ht="11.25" customHeight="1" x14ac:dyDescent="0.2">
      <c r="A8369" s="221">
        <v>2025</v>
      </c>
      <c r="B8369" s="221">
        <v>7</v>
      </c>
      <c r="C8369" s="221">
        <v>20</v>
      </c>
      <c r="D8369" s="231">
        <f t="shared" si="961"/>
        <v>45858</v>
      </c>
      <c r="E8369" s="233">
        <f t="shared" si="964"/>
        <v>45858</v>
      </c>
      <c r="F8369" s="478" t="s">
        <v>1889</v>
      </c>
      <c r="G8369" s="222" t="s">
        <v>1111</v>
      </c>
      <c r="H8369" s="223"/>
      <c r="I8369" s="223"/>
      <c r="J8369" s="224" t="s">
        <v>961</v>
      </c>
      <c r="K8369" s="225">
        <v>6661877.5199999996</v>
      </c>
      <c r="L8369" s="225"/>
    </row>
    <row r="8370" spans="1:14" ht="11.25" customHeight="1" x14ac:dyDescent="0.2">
      <c r="A8370" s="226">
        <v>2025</v>
      </c>
      <c r="B8370" s="226">
        <v>7</v>
      </c>
      <c r="C8370" s="226">
        <v>20</v>
      </c>
      <c r="D8370" s="232">
        <f t="shared" si="961"/>
        <v>45858</v>
      </c>
      <c r="E8370" s="234">
        <f t="shared" si="964"/>
        <v>45858</v>
      </c>
      <c r="F8370" s="479"/>
      <c r="G8370" s="227" t="s">
        <v>1111</v>
      </c>
      <c r="H8370" s="228"/>
      <c r="I8370" s="228"/>
      <c r="J8370" s="229" t="s">
        <v>55</v>
      </c>
      <c r="K8370" s="230"/>
      <c r="L8370" s="230">
        <f>K8369</f>
        <v>6661877.5199999996</v>
      </c>
    </row>
    <row r="8371" spans="1:14" ht="11.25" customHeight="1" x14ac:dyDescent="0.2">
      <c r="A8371" s="221">
        <v>2025</v>
      </c>
      <c r="B8371" s="221">
        <v>7</v>
      </c>
      <c r="C8371" s="221">
        <v>20</v>
      </c>
      <c r="D8371" s="231">
        <f t="shared" si="961"/>
        <v>45858</v>
      </c>
      <c r="E8371" s="233">
        <f>DATE(A8371,B8371,C8371)</f>
        <v>45858</v>
      </c>
      <c r="F8371" s="478" t="s">
        <v>1844</v>
      </c>
      <c r="G8371" s="222" t="s">
        <v>1111</v>
      </c>
      <c r="H8371" s="223"/>
      <c r="I8371" s="223"/>
      <c r="J8371" s="224" t="s">
        <v>55</v>
      </c>
      <c r="K8371" s="225">
        <v>859784.03</v>
      </c>
      <c r="L8371" s="225"/>
    </row>
    <row r="8372" spans="1:14" ht="11.25" customHeight="1" x14ac:dyDescent="0.2">
      <c r="A8372" s="226">
        <v>2025</v>
      </c>
      <c r="B8372" s="226">
        <v>7</v>
      </c>
      <c r="C8372" s="226">
        <v>20</v>
      </c>
      <c r="D8372" s="232">
        <f t="shared" si="961"/>
        <v>45858</v>
      </c>
      <c r="E8372" s="234">
        <f>DATE(A8372,B8372,C8372)</f>
        <v>45858</v>
      </c>
      <c r="F8372" s="479"/>
      <c r="G8372" s="227" t="s">
        <v>1111</v>
      </c>
      <c r="H8372" s="228"/>
      <c r="I8372" s="228"/>
      <c r="J8372" s="229" t="s">
        <v>199</v>
      </c>
      <c r="K8372" s="230"/>
      <c r="L8372" s="230">
        <f>K8371</f>
        <v>859784.03</v>
      </c>
    </row>
    <row r="8373" spans="1:14" ht="11.25" customHeight="1" x14ac:dyDescent="0.2">
      <c r="A8373" s="221">
        <v>2025</v>
      </c>
      <c r="B8373" s="221">
        <v>7</v>
      </c>
      <c r="C8373" s="221">
        <v>21</v>
      </c>
      <c r="D8373" s="231">
        <f t="shared" si="961"/>
        <v>45859</v>
      </c>
      <c r="E8373" s="233">
        <f>DATE(A8373,B8373,C8373)</f>
        <v>45859</v>
      </c>
      <c r="F8373" s="478" t="s">
        <v>1115</v>
      </c>
      <c r="G8373" s="222" t="s">
        <v>1111</v>
      </c>
      <c r="H8373" s="223"/>
      <c r="I8373" s="223"/>
      <c r="J8373" s="224" t="s">
        <v>14</v>
      </c>
      <c r="K8373" s="167">
        <v>204830</v>
      </c>
      <c r="L8373" s="225"/>
    </row>
    <row r="8374" spans="1:14" ht="11.25" customHeight="1" x14ac:dyDescent="0.2">
      <c r="A8374" s="164">
        <v>2025</v>
      </c>
      <c r="B8374" s="164">
        <v>7</v>
      </c>
      <c r="C8374" s="164">
        <v>21</v>
      </c>
      <c r="D8374" s="156">
        <f t="shared" si="961"/>
        <v>45859</v>
      </c>
      <c r="E8374" s="235">
        <f>DATE(A8374,B8374,C8374)</f>
        <v>45859</v>
      </c>
      <c r="F8374" s="480"/>
      <c r="G8374" s="208" t="s">
        <v>1111</v>
      </c>
      <c r="J8374" s="165" t="s">
        <v>1112</v>
      </c>
      <c r="K8374" s="205">
        <v>28553.299999999988</v>
      </c>
      <c r="L8374" s="156"/>
    </row>
    <row r="8375" spans="1:14" ht="11.25" customHeight="1" x14ac:dyDescent="0.2">
      <c r="A8375" s="226">
        <v>2025</v>
      </c>
      <c r="B8375" s="226">
        <v>7</v>
      </c>
      <c r="C8375" s="226">
        <v>21</v>
      </c>
      <c r="D8375" s="232">
        <f t="shared" si="961"/>
        <v>45859</v>
      </c>
      <c r="E8375" s="234">
        <f>DATE(A8375,B8375,C8375)</f>
        <v>45859</v>
      </c>
      <c r="F8375" s="479"/>
      <c r="G8375" s="227" t="s">
        <v>1111</v>
      </c>
      <c r="H8375" s="228"/>
      <c r="I8375" s="228"/>
      <c r="J8375" s="229" t="s">
        <v>55</v>
      </c>
      <c r="K8375" s="230"/>
      <c r="L8375" s="230">
        <v>233383.3</v>
      </c>
    </row>
    <row r="8376" spans="1:14" ht="11.25" customHeight="1" x14ac:dyDescent="0.2">
      <c r="A8376" s="221">
        <v>2025</v>
      </c>
      <c r="B8376" s="221">
        <v>7</v>
      </c>
      <c r="C8376" s="221">
        <v>21</v>
      </c>
      <c r="D8376" s="221">
        <f t="shared" si="961"/>
        <v>45859</v>
      </c>
      <c r="E8376" s="233">
        <f t="shared" ref="E8376:E8385" si="965">DATE(A8376,B8376,C8376)</f>
        <v>45859</v>
      </c>
      <c r="F8376" s="478" t="s">
        <v>1593</v>
      </c>
      <c r="G8376" s="222" t="s">
        <v>86</v>
      </c>
      <c r="H8376" s="222"/>
      <c r="I8376" s="223"/>
      <c r="J8376" s="224" t="s">
        <v>80</v>
      </c>
      <c r="K8376" s="225">
        <v>1490788</v>
      </c>
      <c r="L8376" s="225"/>
    </row>
    <row r="8377" spans="1:14" ht="11.25" customHeight="1" x14ac:dyDescent="0.2">
      <c r="A8377" s="164">
        <v>2025</v>
      </c>
      <c r="B8377" s="164">
        <v>7</v>
      </c>
      <c r="C8377" s="164">
        <v>21</v>
      </c>
      <c r="D8377" s="164">
        <f t="shared" si="961"/>
        <v>45859</v>
      </c>
      <c r="E8377" s="235">
        <f t="shared" si="965"/>
        <v>45859</v>
      </c>
      <c r="F8377" s="480"/>
      <c r="G8377" s="208" t="s">
        <v>86</v>
      </c>
      <c r="H8377" s="208"/>
      <c r="J8377" s="165" t="s">
        <v>960</v>
      </c>
      <c r="K8377" s="205">
        <v>2683.42</v>
      </c>
      <c r="L8377" s="205"/>
    </row>
    <row r="8378" spans="1:14" ht="11.25" customHeight="1" x14ac:dyDescent="0.2">
      <c r="A8378" s="226">
        <v>2025</v>
      </c>
      <c r="B8378" s="226">
        <v>7</v>
      </c>
      <c r="C8378" s="226">
        <v>21</v>
      </c>
      <c r="D8378" s="226">
        <f t="shared" si="961"/>
        <v>45859</v>
      </c>
      <c r="E8378" s="234">
        <f t="shared" si="965"/>
        <v>45859</v>
      </c>
      <c r="F8378" s="479"/>
      <c r="G8378" s="227" t="s">
        <v>86</v>
      </c>
      <c r="H8378" s="227"/>
      <c r="I8378" s="228"/>
      <c r="J8378" s="229" t="s">
        <v>143</v>
      </c>
      <c r="K8378" s="230"/>
      <c r="L8378" s="230">
        <v>1493471.42</v>
      </c>
    </row>
    <row r="8379" spans="1:14" ht="11.25" customHeight="1" x14ac:dyDescent="0.2">
      <c r="A8379" s="221">
        <v>2025</v>
      </c>
      <c r="B8379" s="221">
        <v>7</v>
      </c>
      <c r="C8379" s="221">
        <v>21</v>
      </c>
      <c r="D8379" s="221">
        <f t="shared" si="961"/>
        <v>45859</v>
      </c>
      <c r="E8379" s="233">
        <f t="shared" si="965"/>
        <v>45859</v>
      </c>
      <c r="F8379" s="478" t="s">
        <v>1886</v>
      </c>
      <c r="G8379" s="222" t="s">
        <v>86</v>
      </c>
      <c r="H8379" s="222"/>
      <c r="I8379" s="223"/>
      <c r="J8379" s="224" t="s">
        <v>80</v>
      </c>
      <c r="K8379" s="225">
        <v>6238385.7999999998</v>
      </c>
      <c r="L8379" s="225"/>
      <c r="N8379" s="263"/>
    </row>
    <row r="8380" spans="1:14" ht="11.25" customHeight="1" x14ac:dyDescent="0.2">
      <c r="A8380" s="164">
        <v>2025</v>
      </c>
      <c r="B8380" s="164">
        <v>7</v>
      </c>
      <c r="C8380" s="164">
        <v>21</v>
      </c>
      <c r="D8380" s="164">
        <f t="shared" si="961"/>
        <v>45859</v>
      </c>
      <c r="E8380" s="235">
        <f t="shared" si="965"/>
        <v>45859</v>
      </c>
      <c r="F8380" s="480"/>
      <c r="G8380" s="208" t="s">
        <v>86</v>
      </c>
      <c r="H8380" s="208"/>
      <c r="J8380" s="165" t="s">
        <v>960</v>
      </c>
      <c r="K8380" s="205">
        <v>12675.58</v>
      </c>
      <c r="L8380" s="205"/>
      <c r="M8380" s="263"/>
      <c r="N8380" s="263"/>
    </row>
    <row r="8381" spans="1:14" ht="11.25" customHeight="1" x14ac:dyDescent="0.2">
      <c r="A8381" s="164">
        <v>2025</v>
      </c>
      <c r="B8381" s="164">
        <v>7</v>
      </c>
      <c r="C8381" s="164">
        <v>21</v>
      </c>
      <c r="D8381" s="164">
        <f t="shared" si="961"/>
        <v>45859</v>
      </c>
      <c r="E8381" s="235">
        <f t="shared" si="965"/>
        <v>45859</v>
      </c>
      <c r="F8381" s="480"/>
      <c r="G8381" s="208" t="s">
        <v>86</v>
      </c>
      <c r="H8381" s="208"/>
      <c r="J8381" s="165" t="s">
        <v>143</v>
      </c>
      <c r="K8381" s="205"/>
      <c r="L8381" s="205">
        <v>5447459.4800000004</v>
      </c>
      <c r="M8381" s="263"/>
    </row>
    <row r="8382" spans="1:14" ht="11.25" customHeight="1" x14ac:dyDescent="0.2">
      <c r="A8382" s="164">
        <v>2025</v>
      </c>
      <c r="B8382" s="164">
        <v>7</v>
      </c>
      <c r="C8382" s="164">
        <v>21</v>
      </c>
      <c r="D8382" s="164">
        <f t="shared" si="961"/>
        <v>45859</v>
      </c>
      <c r="E8382" s="235">
        <f t="shared" si="965"/>
        <v>45859</v>
      </c>
      <c r="F8382" s="480"/>
      <c r="G8382" s="208" t="s">
        <v>86</v>
      </c>
      <c r="H8382" s="208"/>
      <c r="J8382" s="165" t="s">
        <v>200</v>
      </c>
      <c r="K8382" s="205"/>
      <c r="L8382" s="205">
        <v>180520.43</v>
      </c>
      <c r="M8382" s="263"/>
    </row>
    <row r="8383" spans="1:14" ht="11.25" customHeight="1" x14ac:dyDescent="0.2">
      <c r="A8383" s="226">
        <v>2025</v>
      </c>
      <c r="B8383" s="226">
        <v>7</v>
      </c>
      <c r="C8383" s="226">
        <v>21</v>
      </c>
      <c r="D8383" s="226">
        <f t="shared" si="961"/>
        <v>45859</v>
      </c>
      <c r="E8383" s="234">
        <f t="shared" si="965"/>
        <v>45859</v>
      </c>
      <c r="F8383" s="479"/>
      <c r="G8383" s="227" t="s">
        <v>86</v>
      </c>
      <c r="H8383" s="228"/>
      <c r="I8383" s="228"/>
      <c r="J8383" s="229" t="s">
        <v>80</v>
      </c>
      <c r="K8383" s="230"/>
      <c r="L8383" s="230">
        <v>623081.47</v>
      </c>
      <c r="M8383" s="263"/>
    </row>
    <row r="8384" spans="1:14" ht="11.25" customHeight="1" x14ac:dyDescent="0.2">
      <c r="A8384" s="221">
        <v>2025</v>
      </c>
      <c r="B8384" s="221">
        <v>7</v>
      </c>
      <c r="C8384" s="221">
        <v>21</v>
      </c>
      <c r="D8384" s="231">
        <f t="shared" si="961"/>
        <v>45859</v>
      </c>
      <c r="E8384" s="233">
        <f t="shared" si="965"/>
        <v>45859</v>
      </c>
      <c r="F8384" s="478" t="s">
        <v>1889</v>
      </c>
      <c r="G8384" s="222" t="s">
        <v>1111</v>
      </c>
      <c r="H8384" s="223"/>
      <c r="I8384" s="223"/>
      <c r="J8384" s="224" t="s">
        <v>961</v>
      </c>
      <c r="K8384" s="225">
        <v>5447459.4800000004</v>
      </c>
      <c r="L8384" s="225"/>
    </row>
    <row r="8385" spans="1:14" ht="11.25" customHeight="1" x14ac:dyDescent="0.2">
      <c r="A8385" s="226">
        <v>2025</v>
      </c>
      <c r="B8385" s="226">
        <v>7</v>
      </c>
      <c r="C8385" s="226">
        <v>21</v>
      </c>
      <c r="D8385" s="232">
        <f t="shared" si="961"/>
        <v>45859</v>
      </c>
      <c r="E8385" s="234">
        <f t="shared" si="965"/>
        <v>45859</v>
      </c>
      <c r="F8385" s="479"/>
      <c r="G8385" s="227" t="s">
        <v>1111</v>
      </c>
      <c r="H8385" s="228"/>
      <c r="I8385" s="228"/>
      <c r="J8385" s="229" t="s">
        <v>55</v>
      </c>
      <c r="K8385" s="230"/>
      <c r="L8385" s="230">
        <f>K8384</f>
        <v>5447459.4800000004</v>
      </c>
    </row>
    <row r="8386" spans="1:14" ht="11.25" customHeight="1" x14ac:dyDescent="0.2">
      <c r="A8386" s="221">
        <v>2025</v>
      </c>
      <c r="B8386" s="221">
        <v>7</v>
      </c>
      <c r="C8386" s="221">
        <v>21</v>
      </c>
      <c r="D8386" s="231">
        <f t="shared" si="961"/>
        <v>45859</v>
      </c>
      <c r="E8386" s="233">
        <f>DATE(A8386,B8386,C8386)</f>
        <v>45859</v>
      </c>
      <c r="F8386" s="478" t="s">
        <v>1843</v>
      </c>
      <c r="G8386" s="222" t="s">
        <v>1111</v>
      </c>
      <c r="H8386" s="223"/>
      <c r="I8386" s="223"/>
      <c r="J8386" s="224" t="s">
        <v>55</v>
      </c>
      <c r="K8386" s="225">
        <v>3692138</v>
      </c>
      <c r="L8386" s="225"/>
    </row>
    <row r="8387" spans="1:14" ht="11.25" customHeight="1" x14ac:dyDescent="0.2">
      <c r="A8387" s="226">
        <v>2025</v>
      </c>
      <c r="B8387" s="226">
        <v>7</v>
      </c>
      <c r="C8387" s="226">
        <v>21</v>
      </c>
      <c r="D8387" s="232">
        <f t="shared" si="961"/>
        <v>45859</v>
      </c>
      <c r="E8387" s="234">
        <f>DATE(A8387,B8387,C8387)</f>
        <v>45859</v>
      </c>
      <c r="F8387" s="479"/>
      <c r="G8387" s="227" t="s">
        <v>1111</v>
      </c>
      <c r="H8387" s="228"/>
      <c r="I8387" s="228"/>
      <c r="J8387" s="229" t="s">
        <v>199</v>
      </c>
      <c r="K8387" s="230"/>
      <c r="L8387" s="230">
        <f>K8386</f>
        <v>3692138</v>
      </c>
    </row>
    <row r="8388" spans="1:14" ht="11.25" customHeight="1" x14ac:dyDescent="0.2">
      <c r="A8388" s="221">
        <v>2025</v>
      </c>
      <c r="B8388" s="221">
        <v>7</v>
      </c>
      <c r="C8388" s="221">
        <v>21</v>
      </c>
      <c r="D8388" s="231">
        <f t="shared" si="961"/>
        <v>45859</v>
      </c>
      <c r="E8388" s="233">
        <f t="shared" ref="E8388:E8393" si="966">DATE(A8388,B8388,C8388)</f>
        <v>45859</v>
      </c>
      <c r="F8388" s="478" t="s">
        <v>1670</v>
      </c>
      <c r="G8388" s="222" t="s">
        <v>1111</v>
      </c>
      <c r="H8388" s="223"/>
      <c r="I8388" s="223"/>
      <c r="J8388" s="224" t="s">
        <v>63</v>
      </c>
      <c r="K8388" s="225">
        <v>58</v>
      </c>
      <c r="L8388" s="225"/>
    </row>
    <row r="8389" spans="1:14" ht="11.25" customHeight="1" x14ac:dyDescent="0.2">
      <c r="A8389" s="226">
        <v>2025</v>
      </c>
      <c r="B8389" s="226">
        <v>7</v>
      </c>
      <c r="C8389" s="226">
        <v>21</v>
      </c>
      <c r="D8389" s="232">
        <f t="shared" si="961"/>
        <v>45859</v>
      </c>
      <c r="E8389" s="234">
        <f t="shared" si="966"/>
        <v>45859</v>
      </c>
      <c r="F8389" s="479"/>
      <c r="G8389" s="227" t="s">
        <v>1111</v>
      </c>
      <c r="H8389" s="228"/>
      <c r="I8389" s="228"/>
      <c r="J8389" s="229" t="s">
        <v>55</v>
      </c>
      <c r="K8389" s="230"/>
      <c r="L8389" s="230">
        <v>58</v>
      </c>
    </row>
    <row r="8390" spans="1:14" ht="11.25" customHeight="1" x14ac:dyDescent="0.2">
      <c r="A8390" s="221">
        <v>2025</v>
      </c>
      <c r="B8390" s="221">
        <v>7</v>
      </c>
      <c r="C8390" s="221">
        <v>21</v>
      </c>
      <c r="D8390" s="231">
        <f t="shared" si="961"/>
        <v>45859</v>
      </c>
      <c r="E8390" s="233">
        <f t="shared" si="966"/>
        <v>45859</v>
      </c>
      <c r="F8390" s="478" t="s">
        <v>1821</v>
      </c>
      <c r="G8390" s="222" t="s">
        <v>1111</v>
      </c>
      <c r="H8390" s="223"/>
      <c r="I8390" s="223"/>
      <c r="J8390" s="165" t="s">
        <v>55</v>
      </c>
      <c r="K8390" s="225">
        <v>145187.5</v>
      </c>
      <c r="L8390" s="225"/>
    </row>
    <row r="8391" spans="1:14" ht="11.25" customHeight="1" x14ac:dyDescent="0.2">
      <c r="A8391" s="226">
        <v>2025</v>
      </c>
      <c r="B8391" s="226">
        <v>7</v>
      </c>
      <c r="C8391" s="226">
        <v>21</v>
      </c>
      <c r="D8391" s="232">
        <f t="shared" si="961"/>
        <v>45859</v>
      </c>
      <c r="E8391" s="234">
        <f t="shared" si="966"/>
        <v>45859</v>
      </c>
      <c r="F8391" s="479"/>
      <c r="G8391" s="227" t="s">
        <v>1111</v>
      </c>
      <c r="H8391" s="228"/>
      <c r="I8391" s="228"/>
      <c r="J8391" s="229" t="s">
        <v>131</v>
      </c>
      <c r="K8391" s="230"/>
      <c r="L8391" s="230">
        <v>145187.5</v>
      </c>
    </row>
    <row r="8392" spans="1:14" ht="11.25" customHeight="1" x14ac:dyDescent="0.2">
      <c r="A8392" s="221">
        <v>2025</v>
      </c>
      <c r="B8392" s="221">
        <v>7</v>
      </c>
      <c r="C8392" s="221">
        <v>21</v>
      </c>
      <c r="D8392" s="231">
        <f t="shared" si="961"/>
        <v>45859</v>
      </c>
      <c r="E8392" s="233">
        <f t="shared" si="966"/>
        <v>45859</v>
      </c>
      <c r="F8392" s="478" t="s">
        <v>1821</v>
      </c>
      <c r="G8392" s="222" t="s">
        <v>1111</v>
      </c>
      <c r="H8392" s="223"/>
      <c r="I8392" s="223"/>
      <c r="J8392" s="165" t="s">
        <v>55</v>
      </c>
      <c r="K8392" s="225">
        <v>145187.5</v>
      </c>
      <c r="L8392" s="225"/>
    </row>
    <row r="8393" spans="1:14" ht="11.25" customHeight="1" x14ac:dyDescent="0.2">
      <c r="A8393" s="226">
        <v>2025</v>
      </c>
      <c r="B8393" s="226">
        <v>7</v>
      </c>
      <c r="C8393" s="226">
        <v>21</v>
      </c>
      <c r="D8393" s="232">
        <f t="shared" ref="D8393:D8456" si="967">DATE(A8393,B8393,C8393)</f>
        <v>45859</v>
      </c>
      <c r="E8393" s="234">
        <f t="shared" si="966"/>
        <v>45859</v>
      </c>
      <c r="F8393" s="479"/>
      <c r="G8393" s="227" t="s">
        <v>1111</v>
      </c>
      <c r="H8393" s="228"/>
      <c r="I8393" s="228"/>
      <c r="J8393" s="229" t="s">
        <v>131</v>
      </c>
      <c r="K8393" s="230"/>
      <c r="L8393" s="230">
        <v>145187.5</v>
      </c>
    </row>
    <row r="8394" spans="1:14" ht="11.25" customHeight="1" x14ac:dyDescent="0.2">
      <c r="A8394" s="221">
        <v>2025</v>
      </c>
      <c r="B8394" s="221">
        <v>7</v>
      </c>
      <c r="C8394" s="221">
        <v>22</v>
      </c>
      <c r="D8394" s="231">
        <f t="shared" si="967"/>
        <v>45860</v>
      </c>
      <c r="E8394" s="233">
        <f t="shared" ref="E8394:E8395" si="968">DATE(A8394,B8394,C8394)</f>
        <v>45860</v>
      </c>
      <c r="F8394" s="478" t="s">
        <v>1670</v>
      </c>
      <c r="G8394" s="222" t="s">
        <v>1111</v>
      </c>
      <c r="H8394" s="223"/>
      <c r="I8394" s="223"/>
      <c r="J8394" s="224" t="s">
        <v>63</v>
      </c>
      <c r="K8394" s="225">
        <v>100</v>
      </c>
      <c r="L8394" s="225"/>
    </row>
    <row r="8395" spans="1:14" ht="11.25" customHeight="1" x14ac:dyDescent="0.2">
      <c r="A8395" s="226">
        <v>2025</v>
      </c>
      <c r="B8395" s="226">
        <v>7</v>
      </c>
      <c r="C8395" s="226">
        <v>22</v>
      </c>
      <c r="D8395" s="232">
        <f t="shared" si="967"/>
        <v>45860</v>
      </c>
      <c r="E8395" s="234">
        <f t="shared" si="968"/>
        <v>45860</v>
      </c>
      <c r="F8395" s="479"/>
      <c r="G8395" s="227" t="s">
        <v>1111</v>
      </c>
      <c r="H8395" s="228"/>
      <c r="I8395" s="228"/>
      <c r="J8395" s="229" t="s">
        <v>55</v>
      </c>
      <c r="K8395" s="230"/>
      <c r="L8395" s="230">
        <v>100</v>
      </c>
    </row>
    <row r="8396" spans="1:14" ht="11.25" customHeight="1" x14ac:dyDescent="0.2">
      <c r="A8396" s="221">
        <v>2025</v>
      </c>
      <c r="B8396" s="221">
        <v>7</v>
      </c>
      <c r="C8396" s="221">
        <v>22</v>
      </c>
      <c r="D8396" s="221">
        <f t="shared" si="967"/>
        <v>45860</v>
      </c>
      <c r="E8396" s="233">
        <f t="shared" ref="E8396:E8411" si="969">DATE(A8396,B8396,C8396)</f>
        <v>45860</v>
      </c>
      <c r="F8396" s="478" t="s">
        <v>1769</v>
      </c>
      <c r="G8396" s="222" t="s">
        <v>86</v>
      </c>
      <c r="H8396" s="222"/>
      <c r="I8396" s="223"/>
      <c r="J8396" s="224" t="s">
        <v>80</v>
      </c>
      <c r="K8396" s="225">
        <v>4811763.5</v>
      </c>
      <c r="L8396" s="225"/>
      <c r="N8396" s="263"/>
    </row>
    <row r="8397" spans="1:14" ht="11.25" customHeight="1" x14ac:dyDescent="0.2">
      <c r="A8397" s="164">
        <v>2025</v>
      </c>
      <c r="B8397" s="164">
        <v>7</v>
      </c>
      <c r="C8397" s="164">
        <v>22</v>
      </c>
      <c r="D8397" s="164">
        <f t="shared" si="967"/>
        <v>45860</v>
      </c>
      <c r="E8397" s="235">
        <f t="shared" si="969"/>
        <v>45860</v>
      </c>
      <c r="F8397" s="480"/>
      <c r="G8397" s="208" t="s">
        <v>86</v>
      </c>
      <c r="H8397" s="208"/>
      <c r="J8397" s="165" t="s">
        <v>960</v>
      </c>
      <c r="K8397" s="205">
        <v>15156.88</v>
      </c>
      <c r="L8397" s="205"/>
      <c r="M8397" s="263"/>
      <c r="N8397" s="263"/>
    </row>
    <row r="8398" spans="1:14" ht="11.25" customHeight="1" x14ac:dyDescent="0.2">
      <c r="A8398" s="164">
        <v>2025</v>
      </c>
      <c r="B8398" s="164">
        <v>7</v>
      </c>
      <c r="C8398" s="164">
        <v>22</v>
      </c>
      <c r="D8398" s="164">
        <f t="shared" si="967"/>
        <v>45860</v>
      </c>
      <c r="E8398" s="235">
        <f t="shared" si="969"/>
        <v>45860</v>
      </c>
      <c r="F8398" s="480"/>
      <c r="G8398" s="208" t="s">
        <v>86</v>
      </c>
      <c r="H8398" s="208"/>
      <c r="J8398" s="165" t="s">
        <v>143</v>
      </c>
      <c r="K8398" s="205"/>
      <c r="L8398" s="205">
        <v>1218197.3799999999</v>
      </c>
      <c r="M8398" s="263"/>
    </row>
    <row r="8399" spans="1:14" ht="11.25" customHeight="1" x14ac:dyDescent="0.2">
      <c r="A8399" s="164">
        <v>2025</v>
      </c>
      <c r="B8399" s="164">
        <v>7</v>
      </c>
      <c r="C8399" s="164">
        <v>22</v>
      </c>
      <c r="D8399" s="164">
        <f t="shared" si="967"/>
        <v>45860</v>
      </c>
      <c r="E8399" s="235">
        <f t="shared" si="969"/>
        <v>45860</v>
      </c>
      <c r="F8399" s="480"/>
      <c r="G8399" s="208" t="s">
        <v>86</v>
      </c>
      <c r="H8399" s="208"/>
      <c r="J8399" s="165" t="s">
        <v>200</v>
      </c>
      <c r="K8399" s="205"/>
      <c r="L8399" s="205">
        <v>480307.91</v>
      </c>
      <c r="M8399" s="263"/>
    </row>
    <row r="8400" spans="1:14" ht="11.25" customHeight="1" x14ac:dyDescent="0.2">
      <c r="A8400" s="226">
        <v>2025</v>
      </c>
      <c r="B8400" s="226">
        <v>7</v>
      </c>
      <c r="C8400" s="226">
        <v>22</v>
      </c>
      <c r="D8400" s="226">
        <f t="shared" si="967"/>
        <v>45860</v>
      </c>
      <c r="E8400" s="234">
        <f t="shared" si="969"/>
        <v>45860</v>
      </c>
      <c r="F8400" s="479"/>
      <c r="G8400" s="227" t="s">
        <v>86</v>
      </c>
      <c r="H8400" s="228"/>
      <c r="I8400" s="228"/>
      <c r="J8400" s="229" t="s">
        <v>80</v>
      </c>
      <c r="K8400" s="230"/>
      <c r="L8400" s="230">
        <v>3128415.09</v>
      </c>
      <c r="M8400" s="263"/>
    </row>
    <row r="8401" spans="1:14" ht="11.25" customHeight="1" x14ac:dyDescent="0.2">
      <c r="A8401" s="164">
        <v>2025</v>
      </c>
      <c r="B8401" s="164">
        <v>7</v>
      </c>
      <c r="C8401" s="164">
        <v>23</v>
      </c>
      <c r="D8401" s="164">
        <f t="shared" si="967"/>
        <v>45861</v>
      </c>
      <c r="E8401" s="235">
        <f t="shared" si="969"/>
        <v>45861</v>
      </c>
      <c r="F8401" s="480" t="s">
        <v>1589</v>
      </c>
      <c r="G8401" s="208" t="s">
        <v>86</v>
      </c>
      <c r="H8401" s="208"/>
      <c r="J8401" s="165" t="s">
        <v>199</v>
      </c>
      <c r="K8401" s="205">
        <v>273506.8</v>
      </c>
      <c r="L8401" s="205"/>
    </row>
    <row r="8402" spans="1:14" ht="11.25" customHeight="1" x14ac:dyDescent="0.2">
      <c r="A8402" s="164">
        <v>2025</v>
      </c>
      <c r="B8402" s="164">
        <v>7</v>
      </c>
      <c r="C8402" s="164">
        <v>23</v>
      </c>
      <c r="D8402" s="164">
        <f t="shared" si="967"/>
        <v>45861</v>
      </c>
      <c r="E8402" s="235">
        <f t="shared" si="969"/>
        <v>45861</v>
      </c>
      <c r="F8402" s="480"/>
      <c r="G8402" s="208" t="s">
        <v>86</v>
      </c>
      <c r="H8402" s="208"/>
      <c r="J8402" s="165" t="s">
        <v>960</v>
      </c>
      <c r="K8402" s="205">
        <v>493.2</v>
      </c>
      <c r="L8402" s="205"/>
      <c r="M8402" s="401"/>
    </row>
    <row r="8403" spans="1:14" ht="11.25" customHeight="1" x14ac:dyDescent="0.2">
      <c r="A8403" s="164">
        <v>2025</v>
      </c>
      <c r="B8403" s="164">
        <v>7</v>
      </c>
      <c r="C8403" s="164">
        <v>23</v>
      </c>
      <c r="D8403" s="164">
        <f t="shared" si="967"/>
        <v>45861</v>
      </c>
      <c r="E8403" s="235">
        <f t="shared" si="969"/>
        <v>45861</v>
      </c>
      <c r="F8403" s="480"/>
      <c r="G8403" s="208" t="s">
        <v>86</v>
      </c>
      <c r="H8403" s="208"/>
      <c r="J8403" s="165" t="s">
        <v>200</v>
      </c>
      <c r="K8403" s="205"/>
      <c r="L8403" s="205">
        <v>36974.31</v>
      </c>
    </row>
    <row r="8404" spans="1:14" ht="11.25" customHeight="1" x14ac:dyDescent="0.2">
      <c r="A8404" s="226">
        <v>2025</v>
      </c>
      <c r="B8404" s="226">
        <v>7</v>
      </c>
      <c r="C8404" s="226">
        <v>23</v>
      </c>
      <c r="D8404" s="226">
        <f t="shared" si="967"/>
        <v>45861</v>
      </c>
      <c r="E8404" s="234">
        <f t="shared" si="969"/>
        <v>45861</v>
      </c>
      <c r="F8404" s="479"/>
      <c r="G8404" s="227" t="s">
        <v>86</v>
      </c>
      <c r="H8404" s="228"/>
      <c r="I8404" s="228"/>
      <c r="J8404" s="229" t="s">
        <v>80</v>
      </c>
      <c r="K8404" s="230"/>
      <c r="L8404" s="230">
        <v>237025.69</v>
      </c>
    </row>
    <row r="8405" spans="1:14" ht="11.25" customHeight="1" x14ac:dyDescent="0.2">
      <c r="A8405" s="221">
        <v>2025</v>
      </c>
      <c r="B8405" s="221">
        <v>7</v>
      </c>
      <c r="C8405" s="221">
        <v>23</v>
      </c>
      <c r="D8405" s="221">
        <f t="shared" si="967"/>
        <v>45861</v>
      </c>
      <c r="E8405" s="233">
        <f t="shared" si="969"/>
        <v>45861</v>
      </c>
      <c r="F8405" s="478" t="s">
        <v>1886</v>
      </c>
      <c r="G8405" s="222" t="s">
        <v>86</v>
      </c>
      <c r="H8405" s="222"/>
      <c r="I8405" s="223"/>
      <c r="J8405" s="224" t="s">
        <v>80</v>
      </c>
      <c r="K8405" s="225">
        <v>4402460.8</v>
      </c>
      <c r="L8405" s="225"/>
      <c r="N8405" s="263"/>
    </row>
    <row r="8406" spans="1:14" ht="11.25" customHeight="1" x14ac:dyDescent="0.2">
      <c r="A8406" s="164">
        <v>2025</v>
      </c>
      <c r="B8406" s="164">
        <v>7</v>
      </c>
      <c r="C8406" s="164">
        <v>23</v>
      </c>
      <c r="D8406" s="164">
        <f t="shared" si="967"/>
        <v>45861</v>
      </c>
      <c r="E8406" s="235">
        <f t="shared" si="969"/>
        <v>45861</v>
      </c>
      <c r="F8406" s="480"/>
      <c r="G8406" s="208" t="s">
        <v>86</v>
      </c>
      <c r="H8406" s="208"/>
      <c r="J8406" s="165" t="s">
        <v>960</v>
      </c>
      <c r="K8406" s="205">
        <v>9580.1200000000008</v>
      </c>
      <c r="L8406" s="205"/>
      <c r="M8406" s="263"/>
      <c r="N8406" s="263"/>
    </row>
    <row r="8407" spans="1:14" ht="11.25" customHeight="1" x14ac:dyDescent="0.2">
      <c r="A8407" s="164">
        <v>2025</v>
      </c>
      <c r="B8407" s="164">
        <v>7</v>
      </c>
      <c r="C8407" s="164">
        <v>23</v>
      </c>
      <c r="D8407" s="164">
        <f t="shared" si="967"/>
        <v>45861</v>
      </c>
      <c r="E8407" s="235">
        <f t="shared" si="969"/>
        <v>45861</v>
      </c>
      <c r="F8407" s="480"/>
      <c r="G8407" s="208" t="s">
        <v>86</v>
      </c>
      <c r="H8407" s="208"/>
      <c r="J8407" s="165" t="s">
        <v>143</v>
      </c>
      <c r="K8407" s="205"/>
      <c r="L8407" s="205">
        <v>3492215.12</v>
      </c>
      <c r="M8407" s="263"/>
    </row>
    <row r="8408" spans="1:14" ht="11.25" customHeight="1" x14ac:dyDescent="0.2">
      <c r="A8408" s="164">
        <v>2025</v>
      </c>
      <c r="B8408" s="164">
        <v>7</v>
      </c>
      <c r="C8408" s="164">
        <v>23</v>
      </c>
      <c r="D8408" s="164">
        <f t="shared" si="967"/>
        <v>45861</v>
      </c>
      <c r="E8408" s="235">
        <f t="shared" si="969"/>
        <v>45861</v>
      </c>
      <c r="F8408" s="480"/>
      <c r="G8408" s="208" t="s">
        <v>86</v>
      </c>
      <c r="H8408" s="208"/>
      <c r="J8408" s="165" t="s">
        <v>200</v>
      </c>
      <c r="K8408" s="205"/>
      <c r="L8408" s="205">
        <v>56661.02</v>
      </c>
      <c r="M8408" s="263"/>
    </row>
    <row r="8409" spans="1:14" ht="11.25" customHeight="1" x14ac:dyDescent="0.2">
      <c r="A8409" s="226">
        <v>2025</v>
      </c>
      <c r="B8409" s="226">
        <v>7</v>
      </c>
      <c r="C8409" s="226">
        <v>23</v>
      </c>
      <c r="D8409" s="226">
        <f t="shared" si="967"/>
        <v>45861</v>
      </c>
      <c r="E8409" s="234">
        <f t="shared" si="969"/>
        <v>45861</v>
      </c>
      <c r="F8409" s="479"/>
      <c r="G8409" s="227" t="s">
        <v>86</v>
      </c>
      <c r="H8409" s="228"/>
      <c r="I8409" s="228"/>
      <c r="J8409" s="229" t="s">
        <v>80</v>
      </c>
      <c r="K8409" s="230"/>
      <c r="L8409" s="230">
        <v>863164.78</v>
      </c>
      <c r="M8409" s="263"/>
    </row>
    <row r="8410" spans="1:14" ht="11.25" customHeight="1" x14ac:dyDescent="0.2">
      <c r="A8410" s="221">
        <v>2025</v>
      </c>
      <c r="B8410" s="221">
        <v>7</v>
      </c>
      <c r="C8410" s="221">
        <v>23</v>
      </c>
      <c r="D8410" s="231">
        <f t="shared" si="967"/>
        <v>45861</v>
      </c>
      <c r="E8410" s="233">
        <f t="shared" si="969"/>
        <v>45861</v>
      </c>
      <c r="F8410" s="478" t="s">
        <v>1814</v>
      </c>
      <c r="G8410" s="222" t="s">
        <v>1111</v>
      </c>
      <c r="H8410" s="223"/>
      <c r="I8410" s="223"/>
      <c r="J8410" s="224" t="s">
        <v>961</v>
      </c>
      <c r="K8410" s="225">
        <v>1218197.3799999999</v>
      </c>
      <c r="L8410" s="225"/>
    </row>
    <row r="8411" spans="1:14" ht="11.25" customHeight="1" x14ac:dyDescent="0.2">
      <c r="A8411" s="226">
        <v>2025</v>
      </c>
      <c r="B8411" s="226">
        <v>7</v>
      </c>
      <c r="C8411" s="226">
        <v>23</v>
      </c>
      <c r="D8411" s="232">
        <f t="shared" si="967"/>
        <v>45861</v>
      </c>
      <c r="E8411" s="234">
        <f t="shared" si="969"/>
        <v>45861</v>
      </c>
      <c r="F8411" s="479"/>
      <c r="G8411" s="227" t="s">
        <v>1111</v>
      </c>
      <c r="H8411" s="228"/>
      <c r="I8411" s="228"/>
      <c r="J8411" s="229" t="s">
        <v>55</v>
      </c>
      <c r="K8411" s="230"/>
      <c r="L8411" s="230">
        <f>K8410</f>
        <v>1218197.3799999999</v>
      </c>
    </row>
    <row r="8412" spans="1:14" ht="11.25" customHeight="1" x14ac:dyDescent="0.2">
      <c r="A8412" s="221">
        <v>2025</v>
      </c>
      <c r="B8412" s="221">
        <v>7</v>
      </c>
      <c r="C8412" s="221">
        <v>23</v>
      </c>
      <c r="D8412" s="231">
        <f t="shared" si="967"/>
        <v>45861</v>
      </c>
      <c r="E8412" s="233">
        <f t="shared" ref="E8412:E8421" si="970">DATE(A8412,B8412,C8412)</f>
        <v>45861</v>
      </c>
      <c r="F8412" s="478" t="s">
        <v>1814</v>
      </c>
      <c r="G8412" s="222" t="s">
        <v>1111</v>
      </c>
      <c r="H8412" s="223"/>
      <c r="I8412" s="223"/>
      <c r="J8412" s="224" t="s">
        <v>961</v>
      </c>
      <c r="K8412" s="225">
        <v>1493471.42</v>
      </c>
      <c r="L8412" s="225"/>
    </row>
    <row r="8413" spans="1:14" ht="11.25" customHeight="1" x14ac:dyDescent="0.2">
      <c r="A8413" s="226">
        <v>2025</v>
      </c>
      <c r="B8413" s="226">
        <v>7</v>
      </c>
      <c r="C8413" s="226">
        <v>23</v>
      </c>
      <c r="D8413" s="232">
        <f t="shared" si="967"/>
        <v>45861</v>
      </c>
      <c r="E8413" s="234">
        <f t="shared" si="970"/>
        <v>45861</v>
      </c>
      <c r="F8413" s="479"/>
      <c r="G8413" s="227" t="s">
        <v>1111</v>
      </c>
      <c r="H8413" s="228"/>
      <c r="I8413" s="228"/>
      <c r="J8413" s="229" t="s">
        <v>55</v>
      </c>
      <c r="K8413" s="230"/>
      <c r="L8413" s="230">
        <f>K8412</f>
        <v>1493471.42</v>
      </c>
    </row>
    <row r="8414" spans="1:14" ht="11.25" customHeight="1" x14ac:dyDescent="0.2">
      <c r="A8414" s="221">
        <v>2025</v>
      </c>
      <c r="B8414" s="221">
        <v>7</v>
      </c>
      <c r="C8414" s="221">
        <v>23</v>
      </c>
      <c r="D8414" s="231">
        <f t="shared" si="967"/>
        <v>45861</v>
      </c>
      <c r="E8414" s="233">
        <f t="shared" si="970"/>
        <v>45861</v>
      </c>
      <c r="F8414" s="478" t="s">
        <v>1670</v>
      </c>
      <c r="G8414" s="222" t="s">
        <v>1111</v>
      </c>
      <c r="H8414" s="223"/>
      <c r="I8414" s="223"/>
      <c r="J8414" s="224" t="s">
        <v>63</v>
      </c>
      <c r="K8414" s="225">
        <v>200</v>
      </c>
      <c r="L8414" s="225"/>
    </row>
    <row r="8415" spans="1:14" ht="11.25" customHeight="1" x14ac:dyDescent="0.2">
      <c r="A8415" s="226">
        <v>2025</v>
      </c>
      <c r="B8415" s="226">
        <v>7</v>
      </c>
      <c r="C8415" s="226">
        <v>23</v>
      </c>
      <c r="D8415" s="232">
        <f t="shared" si="967"/>
        <v>45861</v>
      </c>
      <c r="E8415" s="234">
        <f t="shared" si="970"/>
        <v>45861</v>
      </c>
      <c r="F8415" s="479"/>
      <c r="G8415" s="227" t="s">
        <v>1111</v>
      </c>
      <c r="H8415" s="228"/>
      <c r="I8415" s="228"/>
      <c r="J8415" s="229" t="s">
        <v>55</v>
      </c>
      <c r="K8415" s="230"/>
      <c r="L8415" s="230">
        <v>200</v>
      </c>
    </row>
    <row r="8416" spans="1:14" ht="11.25" customHeight="1" x14ac:dyDescent="0.2">
      <c r="A8416" s="221">
        <v>2025</v>
      </c>
      <c r="B8416" s="221">
        <v>7</v>
      </c>
      <c r="C8416" s="221">
        <v>23</v>
      </c>
      <c r="D8416" s="231">
        <f t="shared" si="967"/>
        <v>45861</v>
      </c>
      <c r="E8416" s="233">
        <f>DATE(A8416,B8416,C8416)</f>
        <v>45861</v>
      </c>
      <c r="F8416" s="478" t="s">
        <v>1142</v>
      </c>
      <c r="G8416" s="222" t="s">
        <v>1111</v>
      </c>
      <c r="H8416" s="223"/>
      <c r="I8416" s="223"/>
      <c r="J8416" s="224" t="s">
        <v>189</v>
      </c>
      <c r="K8416" s="225">
        <v>1575</v>
      </c>
      <c r="L8416" s="225"/>
    </row>
    <row r="8417" spans="1:12" ht="11.25" customHeight="1" x14ac:dyDescent="0.2">
      <c r="A8417" s="164">
        <v>2025</v>
      </c>
      <c r="B8417" s="164">
        <v>7</v>
      </c>
      <c r="C8417" s="164">
        <v>23</v>
      </c>
      <c r="D8417" s="156">
        <f t="shared" si="967"/>
        <v>45861</v>
      </c>
      <c r="E8417" s="235">
        <f>DATE(A8417,B8417,C8417)</f>
        <v>45861</v>
      </c>
      <c r="F8417" s="480"/>
      <c r="G8417" s="208" t="s">
        <v>1111</v>
      </c>
      <c r="J8417" s="165" t="s">
        <v>1707</v>
      </c>
      <c r="K8417" s="205"/>
      <c r="L8417" s="205">
        <v>75</v>
      </c>
    </row>
    <row r="8418" spans="1:12" ht="11.25" customHeight="1" x14ac:dyDescent="0.2">
      <c r="A8418" s="226">
        <v>2025</v>
      </c>
      <c r="B8418" s="226">
        <v>7</v>
      </c>
      <c r="C8418" s="226">
        <v>23</v>
      </c>
      <c r="D8418" s="232">
        <f t="shared" si="967"/>
        <v>45861</v>
      </c>
      <c r="E8418" s="234">
        <f>DATE(A8418,B8418,C8418)</f>
        <v>45861</v>
      </c>
      <c r="F8418" s="479"/>
      <c r="G8418" s="227" t="s">
        <v>1111</v>
      </c>
      <c r="H8418" s="228"/>
      <c r="I8418" s="228"/>
      <c r="J8418" s="229" t="s">
        <v>55</v>
      </c>
      <c r="K8418" s="230"/>
      <c r="L8418" s="230">
        <v>1500</v>
      </c>
    </row>
    <row r="8419" spans="1:12" ht="11.25" customHeight="1" x14ac:dyDescent="0.2">
      <c r="A8419" s="221">
        <v>2025</v>
      </c>
      <c r="B8419" s="221">
        <v>7</v>
      </c>
      <c r="C8419" s="221">
        <v>24</v>
      </c>
      <c r="D8419" s="231">
        <f t="shared" si="967"/>
        <v>45862</v>
      </c>
      <c r="E8419" s="233">
        <f t="shared" si="970"/>
        <v>45862</v>
      </c>
      <c r="F8419" s="478" t="s">
        <v>802</v>
      </c>
      <c r="G8419" s="222" t="s">
        <v>1111</v>
      </c>
      <c r="H8419" s="223"/>
      <c r="I8419" s="223"/>
      <c r="J8419" s="224" t="s">
        <v>55</v>
      </c>
      <c r="K8419" s="167">
        <v>200000</v>
      </c>
      <c r="L8419" s="225"/>
    </row>
    <row r="8420" spans="1:12" ht="11.25" customHeight="1" x14ac:dyDescent="0.2">
      <c r="A8420" s="164">
        <v>2025</v>
      </c>
      <c r="B8420" s="164">
        <v>7</v>
      </c>
      <c r="C8420" s="164">
        <v>24</v>
      </c>
      <c r="D8420" s="156">
        <f t="shared" si="967"/>
        <v>45862</v>
      </c>
      <c r="E8420" s="235">
        <f t="shared" si="970"/>
        <v>45862</v>
      </c>
      <c r="F8420" s="480"/>
      <c r="G8420" s="208" t="s">
        <v>1111</v>
      </c>
      <c r="J8420" s="165" t="s">
        <v>14</v>
      </c>
      <c r="L8420" s="205">
        <v>175530</v>
      </c>
    </row>
    <row r="8421" spans="1:12" ht="11.25" customHeight="1" x14ac:dyDescent="0.2">
      <c r="A8421" s="226">
        <v>2025</v>
      </c>
      <c r="B8421" s="226">
        <v>7</v>
      </c>
      <c r="C8421" s="226">
        <v>24</v>
      </c>
      <c r="D8421" s="232">
        <f t="shared" si="967"/>
        <v>45862</v>
      </c>
      <c r="E8421" s="234">
        <f t="shared" si="970"/>
        <v>45862</v>
      </c>
      <c r="F8421" s="479"/>
      <c r="G8421" s="227" t="s">
        <v>1111</v>
      </c>
      <c r="H8421" s="228"/>
      <c r="I8421" s="228"/>
      <c r="J8421" s="229" t="s">
        <v>1112</v>
      </c>
      <c r="K8421" s="230"/>
      <c r="L8421" s="230">
        <v>24470</v>
      </c>
    </row>
    <row r="8422" spans="1:12" ht="11.25" customHeight="1" x14ac:dyDescent="0.2">
      <c r="A8422" s="221">
        <v>2025</v>
      </c>
      <c r="B8422" s="221">
        <v>7</v>
      </c>
      <c r="C8422" s="221">
        <v>24</v>
      </c>
      <c r="D8422" s="231">
        <f t="shared" si="967"/>
        <v>45862</v>
      </c>
      <c r="E8422" s="233">
        <f t="shared" ref="E8422:E8424" si="971">DATE(A8422,B8422,C8422)</f>
        <v>45862</v>
      </c>
      <c r="F8422" s="478" t="s">
        <v>802</v>
      </c>
      <c r="G8422" s="222" t="s">
        <v>1111</v>
      </c>
      <c r="H8422" s="223"/>
      <c r="I8422" s="223"/>
      <c r="J8422" s="224" t="s">
        <v>55</v>
      </c>
      <c r="K8422" s="167">
        <v>90000</v>
      </c>
      <c r="L8422" s="225"/>
    </row>
    <row r="8423" spans="1:12" ht="11.25" customHeight="1" x14ac:dyDescent="0.2">
      <c r="A8423" s="164">
        <v>2025</v>
      </c>
      <c r="B8423" s="164">
        <v>7</v>
      </c>
      <c r="C8423" s="164">
        <v>24</v>
      </c>
      <c r="D8423" s="156">
        <f t="shared" si="967"/>
        <v>45862</v>
      </c>
      <c r="E8423" s="235">
        <f t="shared" si="971"/>
        <v>45862</v>
      </c>
      <c r="F8423" s="480"/>
      <c r="G8423" s="208" t="s">
        <v>1111</v>
      </c>
      <c r="J8423" s="165" t="s">
        <v>14</v>
      </c>
      <c r="L8423" s="205">
        <v>78990</v>
      </c>
    </row>
    <row r="8424" spans="1:12" ht="11.25" customHeight="1" x14ac:dyDescent="0.2">
      <c r="A8424" s="226">
        <v>2025</v>
      </c>
      <c r="B8424" s="226">
        <v>7</v>
      </c>
      <c r="C8424" s="226">
        <v>24</v>
      </c>
      <c r="D8424" s="232">
        <f t="shared" si="967"/>
        <v>45862</v>
      </c>
      <c r="E8424" s="234">
        <f t="shared" si="971"/>
        <v>45862</v>
      </c>
      <c r="F8424" s="479"/>
      <c r="G8424" s="227" t="s">
        <v>1111</v>
      </c>
      <c r="H8424" s="228"/>
      <c r="I8424" s="228"/>
      <c r="J8424" s="229" t="s">
        <v>1112</v>
      </c>
      <c r="K8424" s="230"/>
      <c r="L8424" s="230">
        <v>11010</v>
      </c>
    </row>
    <row r="8425" spans="1:12" ht="11.25" customHeight="1" x14ac:dyDescent="0.2">
      <c r="A8425" s="221">
        <v>2025</v>
      </c>
      <c r="B8425" s="221">
        <v>7</v>
      </c>
      <c r="C8425" s="221">
        <v>24</v>
      </c>
      <c r="D8425" s="231">
        <f t="shared" si="967"/>
        <v>45862</v>
      </c>
      <c r="E8425" s="233">
        <f t="shared" ref="E8425:E8429" si="972">DATE(A8425,B8425,C8425)</f>
        <v>45862</v>
      </c>
      <c r="F8425" s="478" t="s">
        <v>802</v>
      </c>
      <c r="G8425" s="222" t="s">
        <v>1111</v>
      </c>
      <c r="H8425" s="223"/>
      <c r="I8425" s="223"/>
      <c r="J8425" s="224" t="s">
        <v>55</v>
      </c>
      <c r="K8425" s="167">
        <v>80000</v>
      </c>
      <c r="L8425" s="225"/>
    </row>
    <row r="8426" spans="1:12" ht="11.25" customHeight="1" x14ac:dyDescent="0.2">
      <c r="A8426" s="164">
        <v>2025</v>
      </c>
      <c r="B8426" s="164">
        <v>7</v>
      </c>
      <c r="C8426" s="164">
        <v>24</v>
      </c>
      <c r="D8426" s="156">
        <f t="shared" si="967"/>
        <v>45862</v>
      </c>
      <c r="E8426" s="235">
        <f t="shared" si="972"/>
        <v>45862</v>
      </c>
      <c r="F8426" s="480"/>
      <c r="G8426" s="208" t="s">
        <v>1111</v>
      </c>
      <c r="J8426" s="165" t="s">
        <v>14</v>
      </c>
      <c r="L8426" s="205">
        <v>70210</v>
      </c>
    </row>
    <row r="8427" spans="1:12" ht="11.25" customHeight="1" x14ac:dyDescent="0.2">
      <c r="A8427" s="226">
        <v>2025</v>
      </c>
      <c r="B8427" s="226">
        <v>7</v>
      </c>
      <c r="C8427" s="226">
        <v>24</v>
      </c>
      <c r="D8427" s="232">
        <f t="shared" si="967"/>
        <v>45862</v>
      </c>
      <c r="E8427" s="234">
        <f t="shared" si="972"/>
        <v>45862</v>
      </c>
      <c r="F8427" s="479"/>
      <c r="G8427" s="227" t="s">
        <v>1111</v>
      </c>
      <c r="H8427" s="228"/>
      <c r="I8427" s="228"/>
      <c r="J8427" s="229" t="s">
        <v>1112</v>
      </c>
      <c r="K8427" s="230"/>
      <c r="L8427" s="230">
        <v>9790</v>
      </c>
    </row>
    <row r="8428" spans="1:12" ht="11.25" customHeight="1" x14ac:dyDescent="0.2">
      <c r="A8428" s="221">
        <v>2025</v>
      </c>
      <c r="B8428" s="221">
        <v>7</v>
      </c>
      <c r="C8428" s="221">
        <v>24</v>
      </c>
      <c r="D8428" s="231">
        <f t="shared" si="967"/>
        <v>45862</v>
      </c>
      <c r="E8428" s="233">
        <f t="shared" si="972"/>
        <v>45862</v>
      </c>
      <c r="F8428" s="478" t="s">
        <v>1889</v>
      </c>
      <c r="G8428" s="222" t="s">
        <v>1111</v>
      </c>
      <c r="H8428" s="223"/>
      <c r="I8428" s="223"/>
      <c r="J8428" s="224" t="s">
        <v>961</v>
      </c>
      <c r="K8428" s="225">
        <v>3492215.12</v>
      </c>
      <c r="L8428" s="225"/>
    </row>
    <row r="8429" spans="1:12" ht="11.25" customHeight="1" x14ac:dyDescent="0.2">
      <c r="A8429" s="226">
        <v>2025</v>
      </c>
      <c r="B8429" s="226">
        <v>7</v>
      </c>
      <c r="C8429" s="226">
        <v>24</v>
      </c>
      <c r="D8429" s="232">
        <f t="shared" si="967"/>
        <v>45862</v>
      </c>
      <c r="E8429" s="234">
        <f t="shared" si="972"/>
        <v>45862</v>
      </c>
      <c r="F8429" s="479"/>
      <c r="G8429" s="227" t="s">
        <v>1111</v>
      </c>
      <c r="H8429" s="228"/>
      <c r="I8429" s="228"/>
      <c r="J8429" s="229" t="s">
        <v>55</v>
      </c>
      <c r="K8429" s="230"/>
      <c r="L8429" s="230">
        <f>K8428</f>
        <v>3492215.12</v>
      </c>
    </row>
    <row r="8430" spans="1:12" ht="11.25" customHeight="1" x14ac:dyDescent="0.2">
      <c r="A8430" s="221">
        <v>2025</v>
      </c>
      <c r="B8430" s="221">
        <v>7</v>
      </c>
      <c r="C8430" s="221">
        <v>24</v>
      </c>
      <c r="D8430" s="231">
        <f t="shared" si="967"/>
        <v>45862</v>
      </c>
      <c r="E8430" s="233">
        <f t="shared" ref="E8430:E8457" si="973">DATE(A8430,B8430,C8430)</f>
        <v>45862</v>
      </c>
      <c r="F8430" s="478" t="s">
        <v>1888</v>
      </c>
      <c r="G8430" s="222" t="s">
        <v>1111</v>
      </c>
      <c r="H8430" s="223"/>
      <c r="I8430" s="223"/>
      <c r="J8430" s="224" t="s">
        <v>961</v>
      </c>
      <c r="K8430" s="225">
        <v>175911.82</v>
      </c>
      <c r="L8430" s="225"/>
    </row>
    <row r="8431" spans="1:12" ht="11.25" customHeight="1" x14ac:dyDescent="0.2">
      <c r="A8431" s="226">
        <v>2025</v>
      </c>
      <c r="B8431" s="226">
        <v>7</v>
      </c>
      <c r="C8431" s="226">
        <v>24</v>
      </c>
      <c r="D8431" s="232">
        <f t="shared" si="967"/>
        <v>45862</v>
      </c>
      <c r="E8431" s="234">
        <f t="shared" si="973"/>
        <v>45862</v>
      </c>
      <c r="F8431" s="479"/>
      <c r="G8431" s="227" t="s">
        <v>1111</v>
      </c>
      <c r="H8431" s="228"/>
      <c r="I8431" s="228"/>
      <c r="J8431" s="229" t="s">
        <v>55</v>
      </c>
      <c r="K8431" s="230"/>
      <c r="L8431" s="230">
        <f>K8430</f>
        <v>175911.82</v>
      </c>
    </row>
    <row r="8432" spans="1:12" ht="11.25" customHeight="1" x14ac:dyDescent="0.2">
      <c r="A8432" s="221">
        <v>2025</v>
      </c>
      <c r="B8432" s="221">
        <v>7</v>
      </c>
      <c r="C8432" s="221">
        <v>24</v>
      </c>
      <c r="D8432" s="231">
        <f t="shared" si="967"/>
        <v>45862</v>
      </c>
      <c r="E8432" s="233">
        <f t="shared" si="973"/>
        <v>45862</v>
      </c>
      <c r="F8432" s="478" t="s">
        <v>1670</v>
      </c>
      <c r="G8432" s="222" t="s">
        <v>1111</v>
      </c>
      <c r="H8432" s="223"/>
      <c r="I8432" s="223"/>
      <c r="J8432" s="224" t="s">
        <v>63</v>
      </c>
      <c r="K8432" s="225">
        <v>158</v>
      </c>
      <c r="L8432" s="225"/>
    </row>
    <row r="8433" spans="1:14" ht="11.25" customHeight="1" x14ac:dyDescent="0.2">
      <c r="A8433" s="226">
        <v>2025</v>
      </c>
      <c r="B8433" s="226">
        <v>7</v>
      </c>
      <c r="C8433" s="226">
        <v>24</v>
      </c>
      <c r="D8433" s="232">
        <f t="shared" si="967"/>
        <v>45862</v>
      </c>
      <c r="E8433" s="234">
        <f t="shared" si="973"/>
        <v>45862</v>
      </c>
      <c r="F8433" s="479"/>
      <c r="G8433" s="227" t="s">
        <v>1111</v>
      </c>
      <c r="H8433" s="228"/>
      <c r="I8433" s="228"/>
      <c r="J8433" s="229" t="s">
        <v>55</v>
      </c>
      <c r="K8433" s="230"/>
      <c r="L8433" s="230">
        <v>158</v>
      </c>
    </row>
    <row r="8434" spans="1:14" ht="11.25" customHeight="1" x14ac:dyDescent="0.2">
      <c r="A8434" s="221">
        <v>2025</v>
      </c>
      <c r="B8434" s="221">
        <v>7</v>
      </c>
      <c r="C8434" s="221">
        <v>24</v>
      </c>
      <c r="D8434" s="231">
        <f t="shared" si="967"/>
        <v>45862</v>
      </c>
      <c r="E8434" s="233">
        <f t="shared" si="973"/>
        <v>45862</v>
      </c>
      <c r="F8434" s="478" t="s">
        <v>1906</v>
      </c>
      <c r="G8434" s="222" t="s">
        <v>1111</v>
      </c>
      <c r="H8434" s="222"/>
      <c r="I8434" s="223"/>
      <c r="J8434" s="224" t="s">
        <v>55</v>
      </c>
      <c r="K8434" s="357">
        <v>5530594.04</v>
      </c>
      <c r="L8434" s="225"/>
    </row>
    <row r="8435" spans="1:14" ht="11.25" customHeight="1" x14ac:dyDescent="0.2">
      <c r="A8435" s="164">
        <v>2025</v>
      </c>
      <c r="B8435" s="164">
        <v>7</v>
      </c>
      <c r="C8435" s="164">
        <v>24</v>
      </c>
      <c r="D8435" s="164">
        <f t="shared" si="967"/>
        <v>45862</v>
      </c>
      <c r="E8435" s="235">
        <f t="shared" si="973"/>
        <v>45862</v>
      </c>
      <c r="F8435" s="480"/>
      <c r="G8435" s="208" t="s">
        <v>1111</v>
      </c>
      <c r="H8435" s="208"/>
      <c r="J8435" s="165" t="s">
        <v>1618</v>
      </c>
      <c r="K8435" s="263"/>
      <c r="L8435" s="205">
        <v>227387.48699999973</v>
      </c>
    </row>
    <row r="8436" spans="1:14" ht="11.25" customHeight="1" x14ac:dyDescent="0.2">
      <c r="A8436" s="226">
        <v>2025</v>
      </c>
      <c r="B8436" s="226">
        <v>7</v>
      </c>
      <c r="C8436" s="226">
        <v>24</v>
      </c>
      <c r="D8436" s="226">
        <f t="shared" si="967"/>
        <v>45862</v>
      </c>
      <c r="E8436" s="234">
        <f t="shared" si="973"/>
        <v>45862</v>
      </c>
      <c r="F8436" s="479"/>
      <c r="G8436" s="227" t="s">
        <v>1111</v>
      </c>
      <c r="H8436" s="227"/>
      <c r="I8436" s="228"/>
      <c r="J8436" s="229" t="s">
        <v>1615</v>
      </c>
      <c r="K8436" s="294"/>
      <c r="L8436" s="230">
        <v>5303206.5530000003</v>
      </c>
    </row>
    <row r="8437" spans="1:14" ht="11.25" customHeight="1" x14ac:dyDescent="0.2">
      <c r="A8437" s="221">
        <v>2025</v>
      </c>
      <c r="B8437" s="221">
        <v>7</v>
      </c>
      <c r="C8437" s="221">
        <v>24</v>
      </c>
      <c r="D8437" s="221">
        <f t="shared" si="967"/>
        <v>45862</v>
      </c>
      <c r="E8437" s="233">
        <f t="shared" si="973"/>
        <v>45862</v>
      </c>
      <c r="F8437" s="478" t="s">
        <v>1886</v>
      </c>
      <c r="G8437" s="222" t="s">
        <v>86</v>
      </c>
      <c r="H8437" s="222"/>
      <c r="I8437" s="223"/>
      <c r="J8437" s="224" t="s">
        <v>80</v>
      </c>
      <c r="K8437" s="225">
        <v>4783350</v>
      </c>
      <c r="L8437" s="225"/>
      <c r="N8437" s="263"/>
    </row>
    <row r="8438" spans="1:14" ht="11.25" customHeight="1" x14ac:dyDescent="0.2">
      <c r="A8438" s="164">
        <v>2025</v>
      </c>
      <c r="B8438" s="164">
        <v>7</v>
      </c>
      <c r="C8438" s="164">
        <v>24</v>
      </c>
      <c r="D8438" s="164">
        <f t="shared" si="967"/>
        <v>45862</v>
      </c>
      <c r="E8438" s="235">
        <f t="shared" si="973"/>
        <v>45862</v>
      </c>
      <c r="F8438" s="480"/>
      <c r="G8438" s="208" t="s">
        <v>86</v>
      </c>
      <c r="H8438" s="208"/>
      <c r="J8438" s="165" t="s">
        <v>960</v>
      </c>
      <c r="K8438" s="205">
        <v>12064.77</v>
      </c>
      <c r="L8438" s="205"/>
      <c r="M8438" s="263"/>
      <c r="N8438" s="263"/>
    </row>
    <row r="8439" spans="1:14" ht="11.25" customHeight="1" x14ac:dyDescent="0.2">
      <c r="A8439" s="164">
        <v>2025</v>
      </c>
      <c r="B8439" s="164">
        <v>7</v>
      </c>
      <c r="C8439" s="164">
        <v>24</v>
      </c>
      <c r="D8439" s="164">
        <f t="shared" si="967"/>
        <v>45862</v>
      </c>
      <c r="E8439" s="235">
        <f t="shared" si="973"/>
        <v>45862</v>
      </c>
      <c r="F8439" s="480"/>
      <c r="G8439" s="208" t="s">
        <v>86</v>
      </c>
      <c r="H8439" s="208"/>
      <c r="J8439" s="165" t="s">
        <v>143</v>
      </c>
      <c r="K8439" s="205"/>
      <c r="L8439" s="205">
        <v>2876112.17</v>
      </c>
      <c r="M8439" s="263"/>
    </row>
    <row r="8440" spans="1:14" ht="11.25" customHeight="1" x14ac:dyDescent="0.2">
      <c r="A8440" s="164">
        <v>2025</v>
      </c>
      <c r="B8440" s="164">
        <v>7</v>
      </c>
      <c r="C8440" s="164">
        <v>24</v>
      </c>
      <c r="D8440" s="164">
        <f t="shared" si="967"/>
        <v>45862</v>
      </c>
      <c r="E8440" s="235">
        <f t="shared" si="973"/>
        <v>45862</v>
      </c>
      <c r="F8440" s="480"/>
      <c r="G8440" s="208" t="s">
        <v>86</v>
      </c>
      <c r="H8440" s="208"/>
      <c r="J8440" s="165" t="s">
        <v>200</v>
      </c>
      <c r="K8440" s="205"/>
      <c r="L8440" s="205">
        <v>573274.71</v>
      </c>
      <c r="M8440" s="263"/>
    </row>
    <row r="8441" spans="1:14" ht="11.25" customHeight="1" x14ac:dyDescent="0.2">
      <c r="A8441" s="226">
        <v>2025</v>
      </c>
      <c r="B8441" s="226">
        <v>7</v>
      </c>
      <c r="C8441" s="226">
        <v>24</v>
      </c>
      <c r="D8441" s="226">
        <f t="shared" si="967"/>
        <v>45862</v>
      </c>
      <c r="E8441" s="234">
        <f t="shared" si="973"/>
        <v>45862</v>
      </c>
      <c r="F8441" s="479"/>
      <c r="G8441" s="227" t="s">
        <v>86</v>
      </c>
      <c r="H8441" s="228"/>
      <c r="I8441" s="228"/>
      <c r="J8441" s="229" t="s">
        <v>80</v>
      </c>
      <c r="K8441" s="230"/>
      <c r="L8441" s="230">
        <v>1346027.89</v>
      </c>
      <c r="M8441" s="263"/>
    </row>
    <row r="8442" spans="1:14" ht="11.25" customHeight="1" x14ac:dyDescent="0.2">
      <c r="A8442" s="221">
        <v>2025</v>
      </c>
      <c r="B8442" s="221">
        <v>7</v>
      </c>
      <c r="C8442" s="221">
        <v>24</v>
      </c>
      <c r="D8442" s="221">
        <f t="shared" si="967"/>
        <v>45862</v>
      </c>
      <c r="E8442" s="233">
        <f t="shared" si="973"/>
        <v>45862</v>
      </c>
      <c r="F8442" s="478" t="s">
        <v>1593</v>
      </c>
      <c r="G8442" s="222" t="s">
        <v>86</v>
      </c>
      <c r="H8442" s="222"/>
      <c r="I8442" s="223"/>
      <c r="J8442" s="224" t="s">
        <v>80</v>
      </c>
      <c r="K8442" s="225">
        <v>1156000</v>
      </c>
      <c r="L8442" s="225"/>
    </row>
    <row r="8443" spans="1:14" ht="11.25" customHeight="1" x14ac:dyDescent="0.2">
      <c r="A8443" s="164">
        <v>2025</v>
      </c>
      <c r="B8443" s="164">
        <v>7</v>
      </c>
      <c r="C8443" s="164">
        <v>24</v>
      </c>
      <c r="D8443" s="164">
        <f t="shared" si="967"/>
        <v>45862</v>
      </c>
      <c r="E8443" s="235">
        <f t="shared" si="973"/>
        <v>45862</v>
      </c>
      <c r="F8443" s="480"/>
      <c r="G8443" s="208" t="s">
        <v>86</v>
      </c>
      <c r="H8443" s="208"/>
      <c r="J8443" s="165" t="s">
        <v>960</v>
      </c>
      <c r="K8443" s="205">
        <v>2080.8000000000002</v>
      </c>
      <c r="L8443" s="205"/>
    </row>
    <row r="8444" spans="1:14" ht="11.25" customHeight="1" x14ac:dyDescent="0.2">
      <c r="A8444" s="226">
        <v>2025</v>
      </c>
      <c r="B8444" s="226">
        <v>7</v>
      </c>
      <c r="C8444" s="226">
        <v>24</v>
      </c>
      <c r="D8444" s="226">
        <f t="shared" si="967"/>
        <v>45862</v>
      </c>
      <c r="E8444" s="234">
        <f t="shared" si="973"/>
        <v>45862</v>
      </c>
      <c r="F8444" s="479"/>
      <c r="G8444" s="227" t="s">
        <v>86</v>
      </c>
      <c r="H8444" s="227"/>
      <c r="I8444" s="228"/>
      <c r="J8444" s="229" t="s">
        <v>143</v>
      </c>
      <c r="K8444" s="230"/>
      <c r="L8444" s="230">
        <v>1158080.8</v>
      </c>
    </row>
    <row r="8445" spans="1:14" ht="11.25" customHeight="1" x14ac:dyDescent="0.2">
      <c r="A8445" s="221">
        <v>2025</v>
      </c>
      <c r="B8445" s="221">
        <v>7</v>
      </c>
      <c r="C8445" s="221">
        <v>24</v>
      </c>
      <c r="D8445" s="231">
        <f t="shared" si="967"/>
        <v>45862</v>
      </c>
      <c r="E8445" s="233">
        <f t="shared" si="973"/>
        <v>45862</v>
      </c>
      <c r="F8445" s="478" t="s">
        <v>802</v>
      </c>
      <c r="G8445" s="222" t="s">
        <v>1111</v>
      </c>
      <c r="H8445" s="223"/>
      <c r="I8445" s="223"/>
      <c r="J8445" s="224" t="s">
        <v>55</v>
      </c>
      <c r="K8445" s="167">
        <v>285000</v>
      </c>
      <c r="L8445" s="225"/>
    </row>
    <row r="8446" spans="1:14" ht="11.25" customHeight="1" x14ac:dyDescent="0.2">
      <c r="A8446" s="164">
        <v>2025</v>
      </c>
      <c r="B8446" s="164">
        <v>7</v>
      </c>
      <c r="C8446" s="164">
        <v>24</v>
      </c>
      <c r="D8446" s="156">
        <f t="shared" si="967"/>
        <v>45862</v>
      </c>
      <c r="E8446" s="235">
        <f t="shared" si="973"/>
        <v>45862</v>
      </c>
      <c r="F8446" s="480"/>
      <c r="G8446" s="208" t="s">
        <v>1111</v>
      </c>
      <c r="J8446" s="165" t="s">
        <v>14</v>
      </c>
      <c r="L8446" s="205">
        <v>250130</v>
      </c>
    </row>
    <row r="8447" spans="1:14" ht="11.25" customHeight="1" x14ac:dyDescent="0.2">
      <c r="A8447" s="226">
        <v>2025</v>
      </c>
      <c r="B8447" s="226">
        <v>7</v>
      </c>
      <c r="C8447" s="226">
        <v>24</v>
      </c>
      <c r="D8447" s="232">
        <f t="shared" si="967"/>
        <v>45862</v>
      </c>
      <c r="E8447" s="234">
        <f t="shared" si="973"/>
        <v>45862</v>
      </c>
      <c r="F8447" s="479"/>
      <c r="G8447" s="227" t="s">
        <v>1111</v>
      </c>
      <c r="H8447" s="228"/>
      <c r="I8447" s="228"/>
      <c r="J8447" s="229" t="s">
        <v>1112</v>
      </c>
      <c r="K8447" s="230"/>
      <c r="L8447" s="230">
        <v>34870</v>
      </c>
    </row>
    <row r="8448" spans="1:14" ht="11.25" customHeight="1" x14ac:dyDescent="0.2">
      <c r="A8448" s="221">
        <v>2025</v>
      </c>
      <c r="B8448" s="221">
        <v>7</v>
      </c>
      <c r="C8448" s="221">
        <v>24</v>
      </c>
      <c r="D8448" s="231">
        <f t="shared" si="967"/>
        <v>45862</v>
      </c>
      <c r="E8448" s="233">
        <f t="shared" si="973"/>
        <v>45862</v>
      </c>
      <c r="F8448" s="478" t="s">
        <v>1925</v>
      </c>
      <c r="G8448" s="222" t="s">
        <v>1111</v>
      </c>
      <c r="H8448" s="223"/>
      <c r="I8448" s="223"/>
      <c r="J8448" s="224" t="s">
        <v>55</v>
      </c>
      <c r="K8448" s="225">
        <v>1450800</v>
      </c>
      <c r="L8448" s="225"/>
    </row>
    <row r="8449" spans="1:13" ht="11.25" customHeight="1" x14ac:dyDescent="0.2">
      <c r="A8449" s="226">
        <v>2025</v>
      </c>
      <c r="B8449" s="226">
        <v>7</v>
      </c>
      <c r="C8449" s="226">
        <v>24</v>
      </c>
      <c r="D8449" s="232">
        <f t="shared" si="967"/>
        <v>45862</v>
      </c>
      <c r="E8449" s="234">
        <f t="shared" si="973"/>
        <v>45862</v>
      </c>
      <c r="F8449" s="479"/>
      <c r="G8449" s="227" t="s">
        <v>1111</v>
      </c>
      <c r="H8449" s="228"/>
      <c r="I8449" s="228"/>
      <c r="J8449" s="229" t="s">
        <v>192</v>
      </c>
      <c r="K8449" s="230"/>
      <c r="L8449" s="230">
        <v>1450800</v>
      </c>
    </row>
    <row r="8450" spans="1:13" ht="11.25" customHeight="1" x14ac:dyDescent="0.2">
      <c r="A8450" s="280">
        <v>2025</v>
      </c>
      <c r="B8450" s="280">
        <v>7</v>
      </c>
      <c r="C8450" s="280">
        <v>24</v>
      </c>
      <c r="D8450" s="281">
        <f t="shared" si="967"/>
        <v>45862</v>
      </c>
      <c r="E8450" s="282">
        <f t="shared" si="973"/>
        <v>45862</v>
      </c>
      <c r="F8450" s="472" t="s">
        <v>1744</v>
      </c>
      <c r="G8450" s="283" t="s">
        <v>86</v>
      </c>
      <c r="H8450" s="284"/>
      <c r="I8450" s="284"/>
      <c r="J8450" s="285" t="s">
        <v>131</v>
      </c>
      <c r="K8450" s="286">
        <v>19358.330000000002</v>
      </c>
      <c r="L8450" s="286"/>
      <c r="M8450" s="401"/>
    </row>
    <row r="8451" spans="1:13" ht="11.25" customHeight="1" x14ac:dyDescent="0.2">
      <c r="A8451" s="287">
        <v>2025</v>
      </c>
      <c r="B8451" s="287">
        <v>7</v>
      </c>
      <c r="C8451" s="287">
        <v>24</v>
      </c>
      <c r="D8451" s="288">
        <f t="shared" si="967"/>
        <v>45862</v>
      </c>
      <c r="E8451" s="289">
        <f t="shared" si="973"/>
        <v>45862</v>
      </c>
      <c r="F8451" s="473"/>
      <c r="G8451" s="290" t="s">
        <v>86</v>
      </c>
      <c r="H8451" s="291"/>
      <c r="I8451" s="291"/>
      <c r="J8451" s="292" t="s">
        <v>174</v>
      </c>
      <c r="K8451" s="293"/>
      <c r="L8451" s="293">
        <f>K8450</f>
        <v>19358.330000000002</v>
      </c>
    </row>
    <row r="8452" spans="1:13" ht="11.25" customHeight="1" x14ac:dyDescent="0.2">
      <c r="A8452" s="280">
        <v>2025</v>
      </c>
      <c r="B8452" s="280">
        <v>7</v>
      </c>
      <c r="C8452" s="280">
        <v>24</v>
      </c>
      <c r="D8452" s="281">
        <f t="shared" si="967"/>
        <v>45862</v>
      </c>
      <c r="E8452" s="282">
        <f t="shared" si="973"/>
        <v>45862</v>
      </c>
      <c r="F8452" s="472" t="s">
        <v>1584</v>
      </c>
      <c r="G8452" s="283" t="s">
        <v>86</v>
      </c>
      <c r="H8452" s="284"/>
      <c r="I8452" s="284"/>
      <c r="J8452" s="285" t="s">
        <v>131</v>
      </c>
      <c r="K8452" s="286">
        <v>8846.15</v>
      </c>
      <c r="L8452" s="286"/>
      <c r="M8452" s="401"/>
    </row>
    <row r="8453" spans="1:13" ht="11.25" customHeight="1" x14ac:dyDescent="0.2">
      <c r="A8453" s="287">
        <v>2025</v>
      </c>
      <c r="B8453" s="287">
        <v>7</v>
      </c>
      <c r="C8453" s="287">
        <v>24</v>
      </c>
      <c r="D8453" s="288">
        <f t="shared" si="967"/>
        <v>45862</v>
      </c>
      <c r="E8453" s="289">
        <f t="shared" si="973"/>
        <v>45862</v>
      </c>
      <c r="F8453" s="473"/>
      <c r="G8453" s="290" t="s">
        <v>86</v>
      </c>
      <c r="H8453" s="291"/>
      <c r="I8453" s="291"/>
      <c r="J8453" s="292" t="s">
        <v>174</v>
      </c>
      <c r="K8453" s="293"/>
      <c r="L8453" s="293">
        <f>K8452</f>
        <v>8846.15</v>
      </c>
    </row>
    <row r="8454" spans="1:13" ht="11.25" customHeight="1" x14ac:dyDescent="0.2">
      <c r="A8454" s="280">
        <v>2025</v>
      </c>
      <c r="B8454" s="280">
        <v>7</v>
      </c>
      <c r="C8454" s="280">
        <v>24</v>
      </c>
      <c r="D8454" s="281">
        <f t="shared" si="967"/>
        <v>45862</v>
      </c>
      <c r="E8454" s="282">
        <f t="shared" si="973"/>
        <v>45862</v>
      </c>
      <c r="F8454" s="472" t="s">
        <v>1830</v>
      </c>
      <c r="G8454" s="283" t="s">
        <v>86</v>
      </c>
      <c r="H8454" s="284"/>
      <c r="I8454" s="284"/>
      <c r="J8454" s="285" t="s">
        <v>131</v>
      </c>
      <c r="K8454" s="286">
        <v>11634.615384615385</v>
      </c>
      <c r="L8454" s="286"/>
      <c r="M8454" s="401"/>
    </row>
    <row r="8455" spans="1:13" ht="11.25" customHeight="1" x14ac:dyDescent="0.2">
      <c r="A8455" s="287">
        <v>2025</v>
      </c>
      <c r="B8455" s="287">
        <v>7</v>
      </c>
      <c r="C8455" s="287">
        <v>24</v>
      </c>
      <c r="D8455" s="288">
        <f t="shared" si="967"/>
        <v>45862</v>
      </c>
      <c r="E8455" s="289">
        <f t="shared" si="973"/>
        <v>45862</v>
      </c>
      <c r="F8455" s="473"/>
      <c r="G8455" s="290" t="s">
        <v>86</v>
      </c>
      <c r="H8455" s="291"/>
      <c r="I8455" s="291"/>
      <c r="J8455" s="292" t="s">
        <v>174</v>
      </c>
      <c r="K8455" s="293"/>
      <c r="L8455" s="293">
        <v>11634.615384615385</v>
      </c>
    </row>
    <row r="8456" spans="1:13" ht="11.25" customHeight="1" x14ac:dyDescent="0.2">
      <c r="A8456" s="341">
        <v>2025</v>
      </c>
      <c r="B8456" s="341">
        <v>7</v>
      </c>
      <c r="C8456" s="341">
        <v>24</v>
      </c>
      <c r="D8456" s="328">
        <f t="shared" si="967"/>
        <v>45862</v>
      </c>
      <c r="E8456" s="329">
        <f t="shared" si="973"/>
        <v>45862</v>
      </c>
      <c r="F8456" s="474" t="s">
        <v>1767</v>
      </c>
      <c r="G8456" s="330" t="s">
        <v>86</v>
      </c>
      <c r="H8456" s="332"/>
      <c r="I8456" s="332"/>
      <c r="J8456" s="342" t="s">
        <v>67</v>
      </c>
      <c r="K8456" s="343">
        <v>11816.87</v>
      </c>
      <c r="L8456" s="343"/>
    </row>
    <row r="8457" spans="1:13" ht="11.25" customHeight="1" x14ac:dyDescent="0.2">
      <c r="A8457" s="344">
        <v>2025</v>
      </c>
      <c r="B8457" s="344">
        <v>7</v>
      </c>
      <c r="C8457" s="344">
        <v>24</v>
      </c>
      <c r="D8457" s="337">
        <f t="shared" ref="D8457:D8520" si="974">DATE(A8457,B8457,C8457)</f>
        <v>45862</v>
      </c>
      <c r="E8457" s="338">
        <f t="shared" si="973"/>
        <v>45862</v>
      </c>
      <c r="F8457" s="475"/>
      <c r="G8457" s="339" t="s">
        <v>86</v>
      </c>
      <c r="H8457" s="340"/>
      <c r="I8457" s="340"/>
      <c r="J8457" s="345" t="s">
        <v>174</v>
      </c>
      <c r="K8457" s="346"/>
      <c r="L8457" s="346">
        <f>K8456</f>
        <v>11816.87</v>
      </c>
    </row>
    <row r="8458" spans="1:13" ht="11.25" customHeight="1" x14ac:dyDescent="0.2">
      <c r="A8458" s="358">
        <v>2025</v>
      </c>
      <c r="B8458" s="358">
        <v>7</v>
      </c>
      <c r="C8458" s="358">
        <v>24</v>
      </c>
      <c r="D8458" s="312">
        <f t="shared" si="974"/>
        <v>45862</v>
      </c>
      <c r="E8458" s="313">
        <f>DATE(A8458,B8458,C8458)</f>
        <v>45862</v>
      </c>
      <c r="F8458" s="482" t="s">
        <v>1627</v>
      </c>
      <c r="G8458" s="314" t="s">
        <v>86</v>
      </c>
      <c r="H8458" s="324"/>
      <c r="I8458" s="324"/>
      <c r="J8458" s="364" t="s">
        <v>1613</v>
      </c>
      <c r="K8458" s="365">
        <v>0</v>
      </c>
      <c r="L8458" s="365"/>
      <c r="M8458" s="156">
        <f>BS!$I$12</f>
        <v>0</v>
      </c>
    </row>
    <row r="8459" spans="1:13" ht="11.25" customHeight="1" x14ac:dyDescent="0.2">
      <c r="A8459" s="320">
        <v>2025</v>
      </c>
      <c r="B8459" s="320">
        <v>7</v>
      </c>
      <c r="C8459" s="320">
        <v>24</v>
      </c>
      <c r="D8459" s="323">
        <f t="shared" si="974"/>
        <v>45862</v>
      </c>
      <c r="E8459" s="321">
        <f t="shared" ref="E8459" si="975">DATE(A8459,B8459,C8459)</f>
        <v>45862</v>
      </c>
      <c r="F8459" s="483"/>
      <c r="G8459" s="322" t="s">
        <v>86</v>
      </c>
      <c r="H8459" s="325"/>
      <c r="I8459" s="325"/>
      <c r="J8459" s="366" t="s">
        <v>1621</v>
      </c>
      <c r="K8459" s="367"/>
      <c r="L8459" s="367">
        <f>K8458</f>
        <v>0</v>
      </c>
    </row>
    <row r="8460" spans="1:13" ht="11.25" customHeight="1" x14ac:dyDescent="0.2">
      <c r="A8460" s="358">
        <v>2025</v>
      </c>
      <c r="B8460" s="358">
        <v>7</v>
      </c>
      <c r="C8460" s="358">
        <v>24</v>
      </c>
      <c r="D8460" s="312">
        <f t="shared" si="974"/>
        <v>45862</v>
      </c>
      <c r="E8460" s="313">
        <f>DATE(A8460,B8460,C8460)</f>
        <v>45862</v>
      </c>
      <c r="F8460" s="482" t="s">
        <v>1713</v>
      </c>
      <c r="G8460" s="314" t="s">
        <v>86</v>
      </c>
      <c r="H8460" s="324"/>
      <c r="I8460" s="324"/>
      <c r="J8460" s="364" t="s">
        <v>1622</v>
      </c>
      <c r="K8460" s="365">
        <v>570511.71100000292</v>
      </c>
      <c r="L8460" s="365"/>
      <c r="M8460" s="156">
        <f>BS!$I$15</f>
        <v>0</v>
      </c>
    </row>
    <row r="8461" spans="1:13" ht="11.25" customHeight="1" x14ac:dyDescent="0.2">
      <c r="A8461" s="320">
        <v>2025</v>
      </c>
      <c r="B8461" s="320">
        <v>7</v>
      </c>
      <c r="C8461" s="320">
        <v>24</v>
      </c>
      <c r="D8461" s="323">
        <f t="shared" si="974"/>
        <v>45862</v>
      </c>
      <c r="E8461" s="321">
        <f t="shared" ref="E8461:E8469" si="976">DATE(A8461,B8461,C8461)</f>
        <v>45862</v>
      </c>
      <c r="F8461" s="483"/>
      <c r="G8461" s="322" t="s">
        <v>86</v>
      </c>
      <c r="H8461" s="325"/>
      <c r="I8461" s="325"/>
      <c r="J8461" s="366" t="s">
        <v>1614</v>
      </c>
      <c r="K8461" s="367"/>
      <c r="L8461" s="367">
        <f>K8460</f>
        <v>570511.71100000292</v>
      </c>
    </row>
    <row r="8462" spans="1:13" ht="11.25" customHeight="1" x14ac:dyDescent="0.2">
      <c r="A8462" s="236">
        <v>2025</v>
      </c>
      <c r="B8462" s="236">
        <v>7</v>
      </c>
      <c r="C8462" s="236">
        <v>24</v>
      </c>
      <c r="D8462" s="237">
        <f t="shared" si="974"/>
        <v>45862</v>
      </c>
      <c r="E8462" s="238">
        <f t="shared" si="976"/>
        <v>45862</v>
      </c>
      <c r="F8462" s="476" t="s">
        <v>1118</v>
      </c>
      <c r="G8462" s="239" t="s">
        <v>86</v>
      </c>
      <c r="H8462" s="239"/>
      <c r="I8462" s="240"/>
      <c r="J8462" s="241" t="s">
        <v>98</v>
      </c>
      <c r="K8462" s="242">
        <v>5505525.87469998</v>
      </c>
      <c r="L8462" s="242"/>
      <c r="M8462" s="156">
        <f>BS!$I$8</f>
        <v>0</v>
      </c>
    </row>
    <row r="8463" spans="1:13" ht="11.25" customHeight="1" x14ac:dyDescent="0.2">
      <c r="A8463" s="243">
        <v>2025</v>
      </c>
      <c r="B8463" s="243">
        <v>7</v>
      </c>
      <c r="C8463" s="243">
        <v>24</v>
      </c>
      <c r="D8463" s="248">
        <f t="shared" si="974"/>
        <v>45862</v>
      </c>
      <c r="E8463" s="249">
        <f t="shared" si="976"/>
        <v>45862</v>
      </c>
      <c r="F8463" s="477"/>
      <c r="G8463" s="244" t="s">
        <v>86</v>
      </c>
      <c r="H8463" s="244"/>
      <c r="I8463" s="245"/>
      <c r="J8463" s="246" t="s">
        <v>82</v>
      </c>
      <c r="K8463" s="247"/>
      <c r="L8463" s="247">
        <f>K8462</f>
        <v>5505525.87469998</v>
      </c>
    </row>
    <row r="8464" spans="1:13" ht="11.25" customHeight="1" x14ac:dyDescent="0.2">
      <c r="A8464" s="236">
        <v>2025</v>
      </c>
      <c r="B8464" s="236">
        <v>7</v>
      </c>
      <c r="C8464" s="236">
        <v>24</v>
      </c>
      <c r="D8464" s="237">
        <f t="shared" si="974"/>
        <v>45862</v>
      </c>
      <c r="E8464" s="238">
        <f t="shared" si="976"/>
        <v>45862</v>
      </c>
      <c r="F8464" s="476" t="s">
        <v>1120</v>
      </c>
      <c r="G8464" s="239" t="s">
        <v>86</v>
      </c>
      <c r="H8464" s="239"/>
      <c r="I8464" s="240"/>
      <c r="J8464" s="241" t="s">
        <v>87</v>
      </c>
      <c r="K8464" s="242">
        <v>2747.2527472527472</v>
      </c>
      <c r="L8464" s="242"/>
      <c r="M8464" s="401"/>
    </row>
    <row r="8465" spans="1:13" ht="11.25" customHeight="1" x14ac:dyDescent="0.2">
      <c r="A8465" s="243">
        <v>2025</v>
      </c>
      <c r="B8465" s="243">
        <v>7</v>
      </c>
      <c r="C8465" s="243">
        <v>24</v>
      </c>
      <c r="D8465" s="248">
        <f t="shared" si="974"/>
        <v>45862</v>
      </c>
      <c r="E8465" s="249">
        <f t="shared" si="976"/>
        <v>45862</v>
      </c>
      <c r="F8465" s="477"/>
      <c r="G8465" s="244" t="s">
        <v>86</v>
      </c>
      <c r="H8465" s="244"/>
      <c r="I8465" s="245"/>
      <c r="J8465" s="246" t="s">
        <v>64</v>
      </c>
      <c r="K8465" s="247"/>
      <c r="L8465" s="247">
        <f>K8464</f>
        <v>2747.2527472527472</v>
      </c>
    </row>
    <row r="8466" spans="1:13" ht="11.25" customHeight="1" x14ac:dyDescent="0.2">
      <c r="A8466" s="236">
        <v>2025</v>
      </c>
      <c r="B8466" s="236">
        <v>7</v>
      </c>
      <c r="C8466" s="236">
        <v>24</v>
      </c>
      <c r="D8466" s="237">
        <f t="shared" si="974"/>
        <v>45862</v>
      </c>
      <c r="E8466" s="238">
        <f t="shared" si="976"/>
        <v>45862</v>
      </c>
      <c r="F8466" s="476" t="s">
        <v>1121</v>
      </c>
      <c r="G8466" s="239" t="s">
        <v>86</v>
      </c>
      <c r="H8466" s="239"/>
      <c r="I8466" s="240"/>
      <c r="J8466" s="241" t="s">
        <v>89</v>
      </c>
      <c r="K8466" s="242">
        <f>M8466</f>
        <v>79920.749518856377</v>
      </c>
      <c r="L8466" s="242"/>
      <c r="M8466" s="156">
        <v>79920.749518856377</v>
      </c>
    </row>
    <row r="8467" spans="1:13" ht="11.25" customHeight="1" x14ac:dyDescent="0.2">
      <c r="A8467" s="243">
        <v>2025</v>
      </c>
      <c r="B8467" s="243">
        <v>7</v>
      </c>
      <c r="C8467" s="243">
        <v>24</v>
      </c>
      <c r="D8467" s="248">
        <f t="shared" si="974"/>
        <v>45862</v>
      </c>
      <c r="E8467" s="249">
        <f t="shared" si="976"/>
        <v>45862</v>
      </c>
      <c r="F8467" s="477"/>
      <c r="G8467" s="244" t="s">
        <v>86</v>
      </c>
      <c r="H8467" s="244"/>
      <c r="I8467" s="245"/>
      <c r="J8467" s="246" t="s">
        <v>50</v>
      </c>
      <c r="K8467" s="247"/>
      <c r="L8467" s="247">
        <f>K8466</f>
        <v>79920.749518856377</v>
      </c>
      <c r="M8467" s="156">
        <v>3755.6528605582034</v>
      </c>
    </row>
    <row r="8468" spans="1:13" ht="11.25" customHeight="1" x14ac:dyDescent="0.2">
      <c r="A8468" s="236">
        <v>2025</v>
      </c>
      <c r="B8468" s="236">
        <v>7</v>
      </c>
      <c r="C8468" s="236">
        <v>24</v>
      </c>
      <c r="D8468" s="237">
        <f t="shared" si="974"/>
        <v>45862</v>
      </c>
      <c r="E8468" s="238">
        <f t="shared" si="976"/>
        <v>45862</v>
      </c>
      <c r="F8468" s="476" t="s">
        <v>1122</v>
      </c>
      <c r="G8468" s="239" t="s">
        <v>86</v>
      </c>
      <c r="H8468" s="239"/>
      <c r="I8468" s="240"/>
      <c r="J8468" s="241" t="s">
        <v>91</v>
      </c>
      <c r="K8468" s="242">
        <f>M8467</f>
        <v>3755.6528605582034</v>
      </c>
      <c r="L8468" s="242"/>
    </row>
    <row r="8469" spans="1:13" ht="11.25" customHeight="1" x14ac:dyDescent="0.2">
      <c r="A8469" s="243">
        <v>2025</v>
      </c>
      <c r="B8469" s="243">
        <v>7</v>
      </c>
      <c r="C8469" s="243">
        <v>24</v>
      </c>
      <c r="D8469" s="248">
        <f t="shared" si="974"/>
        <v>45862</v>
      </c>
      <c r="E8469" s="249">
        <f t="shared" si="976"/>
        <v>45862</v>
      </c>
      <c r="F8469" s="477"/>
      <c r="G8469" s="244" t="s">
        <v>86</v>
      </c>
      <c r="H8469" s="244"/>
      <c r="I8469" s="245"/>
      <c r="J8469" s="246" t="s">
        <v>51</v>
      </c>
      <c r="K8469" s="247"/>
      <c r="L8469" s="247">
        <f>K8468</f>
        <v>3755.6528605582034</v>
      </c>
    </row>
    <row r="8470" spans="1:13" ht="11.25" customHeight="1" x14ac:dyDescent="0.2">
      <c r="A8470" s="221">
        <v>2025</v>
      </c>
      <c r="B8470" s="221">
        <v>7</v>
      </c>
      <c r="C8470" s="221">
        <v>27</v>
      </c>
      <c r="D8470" s="231">
        <f t="shared" si="974"/>
        <v>45865</v>
      </c>
      <c r="E8470" s="233">
        <f t="shared" ref="E8470:E8475" si="977">DATE(A8470,B8470,C8470)</f>
        <v>45865</v>
      </c>
      <c r="F8470" s="478" t="s">
        <v>1115</v>
      </c>
      <c r="G8470" s="222" t="s">
        <v>1111</v>
      </c>
      <c r="H8470" s="223"/>
      <c r="I8470" s="223"/>
      <c r="J8470" s="224" t="s">
        <v>14</v>
      </c>
      <c r="K8470" s="167">
        <v>254520</v>
      </c>
      <c r="L8470" s="225"/>
    </row>
    <row r="8471" spans="1:13" ht="11.25" customHeight="1" x14ac:dyDescent="0.2">
      <c r="A8471" s="164">
        <v>2025</v>
      </c>
      <c r="B8471" s="164">
        <v>7</v>
      </c>
      <c r="C8471" s="164">
        <v>27</v>
      </c>
      <c r="D8471" s="156">
        <f t="shared" si="974"/>
        <v>45865</v>
      </c>
      <c r="E8471" s="235">
        <f t="shared" si="977"/>
        <v>45865</v>
      </c>
      <c r="F8471" s="480"/>
      <c r="G8471" s="208" t="s">
        <v>1111</v>
      </c>
      <c r="J8471" s="165" t="s">
        <v>1112</v>
      </c>
      <c r="K8471" s="205">
        <v>47315.270000000019</v>
      </c>
      <c r="L8471" s="156"/>
    </row>
    <row r="8472" spans="1:13" ht="11.25" customHeight="1" x14ac:dyDescent="0.2">
      <c r="A8472" s="226">
        <v>2025</v>
      </c>
      <c r="B8472" s="226">
        <v>7</v>
      </c>
      <c r="C8472" s="226">
        <v>27</v>
      </c>
      <c r="D8472" s="232">
        <f t="shared" si="974"/>
        <v>45865</v>
      </c>
      <c r="E8472" s="234">
        <f t="shared" si="977"/>
        <v>45865</v>
      </c>
      <c r="F8472" s="479"/>
      <c r="G8472" s="227" t="s">
        <v>1111</v>
      </c>
      <c r="H8472" s="228"/>
      <c r="I8472" s="228"/>
      <c r="J8472" s="229" t="s">
        <v>55</v>
      </c>
      <c r="K8472" s="230"/>
      <c r="L8472" s="230">
        <v>301835.27</v>
      </c>
    </row>
    <row r="8473" spans="1:13" ht="11.25" customHeight="1" x14ac:dyDescent="0.2">
      <c r="A8473" s="221">
        <v>2025</v>
      </c>
      <c r="B8473" s="221">
        <v>7</v>
      </c>
      <c r="C8473" s="221">
        <v>27</v>
      </c>
      <c r="D8473" s="231">
        <f t="shared" si="974"/>
        <v>45865</v>
      </c>
      <c r="E8473" s="233">
        <f t="shared" si="977"/>
        <v>45865</v>
      </c>
      <c r="F8473" s="478" t="s">
        <v>1115</v>
      </c>
      <c r="G8473" s="222" t="s">
        <v>1111</v>
      </c>
      <c r="H8473" s="223"/>
      <c r="I8473" s="223"/>
      <c r="J8473" s="224" t="s">
        <v>14</v>
      </c>
      <c r="K8473" s="167">
        <v>621300</v>
      </c>
      <c r="L8473" s="225"/>
    </row>
    <row r="8474" spans="1:13" ht="11.25" customHeight="1" x14ac:dyDescent="0.2">
      <c r="A8474" s="164">
        <v>2025</v>
      </c>
      <c r="B8474" s="164">
        <v>7</v>
      </c>
      <c r="C8474" s="164">
        <v>27</v>
      </c>
      <c r="D8474" s="156">
        <f t="shared" si="974"/>
        <v>45865</v>
      </c>
      <c r="E8474" s="235">
        <f t="shared" si="977"/>
        <v>45865</v>
      </c>
      <c r="F8474" s="480"/>
      <c r="G8474" s="208" t="s">
        <v>1111</v>
      </c>
      <c r="J8474" s="165" t="s">
        <v>1112</v>
      </c>
      <c r="K8474" s="205">
        <v>115499.67000000004</v>
      </c>
      <c r="L8474" s="156"/>
    </row>
    <row r="8475" spans="1:13" ht="11.25" customHeight="1" x14ac:dyDescent="0.2">
      <c r="A8475" s="226">
        <v>2025</v>
      </c>
      <c r="B8475" s="226">
        <v>7</v>
      </c>
      <c r="C8475" s="226">
        <v>27</v>
      </c>
      <c r="D8475" s="232">
        <f t="shared" si="974"/>
        <v>45865</v>
      </c>
      <c r="E8475" s="234">
        <f t="shared" si="977"/>
        <v>45865</v>
      </c>
      <c r="F8475" s="479"/>
      <c r="G8475" s="227" t="s">
        <v>1111</v>
      </c>
      <c r="H8475" s="228"/>
      <c r="I8475" s="228"/>
      <c r="J8475" s="229" t="s">
        <v>55</v>
      </c>
      <c r="K8475" s="230"/>
      <c r="L8475" s="230">
        <v>736799.67</v>
      </c>
    </row>
    <row r="8476" spans="1:13" ht="11.25" customHeight="1" x14ac:dyDescent="0.2">
      <c r="A8476" s="221">
        <v>2025</v>
      </c>
      <c r="B8476" s="221">
        <v>7</v>
      </c>
      <c r="C8476" s="221">
        <v>27</v>
      </c>
      <c r="D8476" s="231">
        <f t="shared" si="974"/>
        <v>45865</v>
      </c>
      <c r="E8476" s="233">
        <f t="shared" ref="E8476:E8477" si="978">DATE(A8476,B8476,C8476)</f>
        <v>45865</v>
      </c>
      <c r="F8476" s="478" t="s">
        <v>1814</v>
      </c>
      <c r="G8476" s="222" t="s">
        <v>1111</v>
      </c>
      <c r="H8476" s="223"/>
      <c r="I8476" s="223"/>
      <c r="J8476" s="224" t="s">
        <v>961</v>
      </c>
      <c r="K8476" s="225">
        <v>1158080.8</v>
      </c>
      <c r="L8476" s="225"/>
    </row>
    <row r="8477" spans="1:13" ht="11.25" customHeight="1" x14ac:dyDescent="0.2">
      <c r="A8477" s="226">
        <v>2025</v>
      </c>
      <c r="B8477" s="226">
        <v>7</v>
      </c>
      <c r="C8477" s="226">
        <v>27</v>
      </c>
      <c r="D8477" s="232">
        <f t="shared" si="974"/>
        <v>45865</v>
      </c>
      <c r="E8477" s="234">
        <f t="shared" si="978"/>
        <v>45865</v>
      </c>
      <c r="F8477" s="479"/>
      <c r="G8477" s="227" t="s">
        <v>1111</v>
      </c>
      <c r="H8477" s="228"/>
      <c r="I8477" s="228"/>
      <c r="J8477" s="229" t="s">
        <v>55</v>
      </c>
      <c r="K8477" s="230"/>
      <c r="L8477" s="230">
        <f>K8476</f>
        <v>1158080.8</v>
      </c>
    </row>
    <row r="8478" spans="1:13" ht="11.25" customHeight="1" x14ac:dyDescent="0.2">
      <c r="A8478" s="221">
        <v>2025</v>
      </c>
      <c r="B8478" s="221">
        <v>7</v>
      </c>
      <c r="C8478" s="221">
        <v>27</v>
      </c>
      <c r="D8478" s="231">
        <f t="shared" si="974"/>
        <v>45865</v>
      </c>
      <c r="E8478" s="233">
        <f t="shared" ref="E8478:E8491" si="979">DATE(A8478,B8478,C8478)</f>
        <v>45865</v>
      </c>
      <c r="F8478" s="478" t="s">
        <v>1889</v>
      </c>
      <c r="G8478" s="222" t="s">
        <v>1111</v>
      </c>
      <c r="H8478" s="223"/>
      <c r="I8478" s="223"/>
      <c r="J8478" s="224" t="s">
        <v>961</v>
      </c>
      <c r="K8478" s="225">
        <v>2876112.17</v>
      </c>
      <c r="L8478" s="225"/>
    </row>
    <row r="8479" spans="1:13" ht="11.25" customHeight="1" x14ac:dyDescent="0.2">
      <c r="A8479" s="226">
        <v>2025</v>
      </c>
      <c r="B8479" s="226">
        <v>7</v>
      </c>
      <c r="C8479" s="226">
        <v>27</v>
      </c>
      <c r="D8479" s="232">
        <f t="shared" si="974"/>
        <v>45865</v>
      </c>
      <c r="E8479" s="234">
        <f t="shared" si="979"/>
        <v>45865</v>
      </c>
      <c r="F8479" s="479"/>
      <c r="G8479" s="227" t="s">
        <v>1111</v>
      </c>
      <c r="H8479" s="228"/>
      <c r="I8479" s="228"/>
      <c r="J8479" s="229" t="s">
        <v>55</v>
      </c>
      <c r="K8479" s="230"/>
      <c r="L8479" s="230">
        <f>K8478</f>
        <v>2876112.17</v>
      </c>
    </row>
    <row r="8480" spans="1:13" ht="11.25" customHeight="1" x14ac:dyDescent="0.2">
      <c r="A8480" s="221">
        <v>2025</v>
      </c>
      <c r="B8480" s="221">
        <v>7</v>
      </c>
      <c r="C8480" s="221">
        <v>27</v>
      </c>
      <c r="D8480" s="231">
        <f t="shared" si="974"/>
        <v>45865</v>
      </c>
      <c r="E8480" s="233">
        <f t="shared" si="979"/>
        <v>45865</v>
      </c>
      <c r="F8480" s="478" t="s">
        <v>1670</v>
      </c>
      <c r="G8480" s="222" t="s">
        <v>1111</v>
      </c>
      <c r="H8480" s="223"/>
      <c r="I8480" s="223"/>
      <c r="J8480" s="224" t="s">
        <v>63</v>
      </c>
      <c r="K8480" s="225">
        <v>200</v>
      </c>
      <c r="L8480" s="225"/>
    </row>
    <row r="8481" spans="1:14" ht="11.25" customHeight="1" x14ac:dyDescent="0.2">
      <c r="A8481" s="226">
        <v>2025</v>
      </c>
      <c r="B8481" s="226">
        <v>7</v>
      </c>
      <c r="C8481" s="226">
        <v>27</v>
      </c>
      <c r="D8481" s="232">
        <f t="shared" si="974"/>
        <v>45865</v>
      </c>
      <c r="E8481" s="234">
        <f t="shared" si="979"/>
        <v>45865</v>
      </c>
      <c r="F8481" s="479"/>
      <c r="G8481" s="227" t="s">
        <v>1111</v>
      </c>
      <c r="H8481" s="228"/>
      <c r="I8481" s="228"/>
      <c r="J8481" s="229" t="s">
        <v>55</v>
      </c>
      <c r="K8481" s="230"/>
      <c r="L8481" s="230">
        <v>200</v>
      </c>
    </row>
    <row r="8482" spans="1:14" ht="11.25" customHeight="1" x14ac:dyDescent="0.2">
      <c r="A8482" s="221">
        <v>2025</v>
      </c>
      <c r="B8482" s="221">
        <v>7</v>
      </c>
      <c r="C8482" s="221">
        <v>27</v>
      </c>
      <c r="D8482" s="221">
        <f t="shared" si="974"/>
        <v>45865</v>
      </c>
      <c r="E8482" s="233">
        <f t="shared" si="979"/>
        <v>45865</v>
      </c>
      <c r="F8482" s="478" t="s">
        <v>1886</v>
      </c>
      <c r="G8482" s="222" t="s">
        <v>86</v>
      </c>
      <c r="H8482" s="222"/>
      <c r="I8482" s="223"/>
      <c r="J8482" s="224" t="s">
        <v>80</v>
      </c>
      <c r="K8482" s="225">
        <v>2838295.2</v>
      </c>
      <c r="L8482" s="225"/>
      <c r="N8482" s="263"/>
    </row>
    <row r="8483" spans="1:14" ht="11.25" customHeight="1" x14ac:dyDescent="0.2">
      <c r="A8483" s="164">
        <v>2025</v>
      </c>
      <c r="B8483" s="164">
        <v>7</v>
      </c>
      <c r="C8483" s="164">
        <v>27</v>
      </c>
      <c r="D8483" s="164">
        <f t="shared" si="974"/>
        <v>45865</v>
      </c>
      <c r="E8483" s="235">
        <f t="shared" si="979"/>
        <v>45865</v>
      </c>
      <c r="F8483" s="480"/>
      <c r="G8483" s="208" t="s">
        <v>86</v>
      </c>
      <c r="H8483" s="208"/>
      <c r="J8483" s="165" t="s">
        <v>960</v>
      </c>
      <c r="K8483" s="205">
        <v>6755.12</v>
      </c>
      <c r="L8483" s="205"/>
      <c r="M8483" s="263"/>
      <c r="N8483" s="263"/>
    </row>
    <row r="8484" spans="1:14" ht="11.25" customHeight="1" x14ac:dyDescent="0.2">
      <c r="A8484" s="164">
        <v>2025</v>
      </c>
      <c r="B8484" s="164">
        <v>7</v>
      </c>
      <c r="C8484" s="164">
        <v>27</v>
      </c>
      <c r="D8484" s="164">
        <f t="shared" si="974"/>
        <v>45865</v>
      </c>
      <c r="E8484" s="235">
        <f t="shared" si="979"/>
        <v>45865</v>
      </c>
      <c r="F8484" s="480"/>
      <c r="G8484" s="208" t="s">
        <v>86</v>
      </c>
      <c r="H8484" s="208"/>
      <c r="J8484" s="165" t="s">
        <v>143</v>
      </c>
      <c r="K8484" s="205"/>
      <c r="L8484" s="205">
        <v>1930502.12</v>
      </c>
      <c r="M8484" s="263"/>
    </row>
    <row r="8485" spans="1:14" ht="11.25" customHeight="1" x14ac:dyDescent="0.2">
      <c r="A8485" s="164">
        <v>2025</v>
      </c>
      <c r="B8485" s="164">
        <v>7</v>
      </c>
      <c r="C8485" s="164">
        <v>27</v>
      </c>
      <c r="D8485" s="164">
        <f t="shared" si="974"/>
        <v>45865</v>
      </c>
      <c r="E8485" s="235">
        <f t="shared" si="979"/>
        <v>45865</v>
      </c>
      <c r="F8485" s="480"/>
      <c r="G8485" s="208" t="s">
        <v>86</v>
      </c>
      <c r="H8485" s="208"/>
      <c r="J8485" s="165" t="s">
        <v>200</v>
      </c>
      <c r="K8485" s="205"/>
      <c r="L8485" s="205">
        <v>240921.06</v>
      </c>
      <c r="M8485" s="263"/>
    </row>
    <row r="8486" spans="1:14" ht="11.25" customHeight="1" x14ac:dyDescent="0.2">
      <c r="A8486" s="226">
        <v>2025</v>
      </c>
      <c r="B8486" s="226">
        <v>7</v>
      </c>
      <c r="C8486" s="226">
        <v>27</v>
      </c>
      <c r="D8486" s="226">
        <f t="shared" si="974"/>
        <v>45865</v>
      </c>
      <c r="E8486" s="234">
        <f t="shared" si="979"/>
        <v>45865</v>
      </c>
      <c r="F8486" s="479"/>
      <c r="G8486" s="227" t="s">
        <v>86</v>
      </c>
      <c r="H8486" s="228"/>
      <c r="I8486" s="228"/>
      <c r="J8486" s="229" t="s">
        <v>80</v>
      </c>
      <c r="K8486" s="230"/>
      <c r="L8486" s="230">
        <v>673627.14</v>
      </c>
      <c r="M8486" s="263"/>
    </row>
    <row r="8487" spans="1:14" ht="11.25" customHeight="1" x14ac:dyDescent="0.2">
      <c r="A8487" s="221">
        <v>2025</v>
      </c>
      <c r="B8487" s="221">
        <v>7</v>
      </c>
      <c r="C8487" s="221">
        <v>27</v>
      </c>
      <c r="D8487" s="231">
        <f t="shared" si="974"/>
        <v>45865</v>
      </c>
      <c r="E8487" s="233">
        <f t="shared" si="979"/>
        <v>45865</v>
      </c>
      <c r="F8487" s="478" t="s">
        <v>1132</v>
      </c>
      <c r="G8487" s="222" t="s">
        <v>1111</v>
      </c>
      <c r="H8487" s="223"/>
      <c r="I8487" s="223"/>
      <c r="J8487" s="224" t="s">
        <v>55</v>
      </c>
      <c r="K8487" s="167">
        <v>12000</v>
      </c>
      <c r="L8487" s="225"/>
    </row>
    <row r="8488" spans="1:14" ht="11.25" customHeight="1" x14ac:dyDescent="0.2">
      <c r="A8488" s="164">
        <v>2025</v>
      </c>
      <c r="B8488" s="164">
        <v>7</v>
      </c>
      <c r="C8488" s="164">
        <v>27</v>
      </c>
      <c r="D8488" s="156">
        <f t="shared" si="974"/>
        <v>45865</v>
      </c>
      <c r="E8488" s="235">
        <f t="shared" si="979"/>
        <v>45865</v>
      </c>
      <c r="F8488" s="480"/>
      <c r="G8488" s="208" t="s">
        <v>1111</v>
      </c>
      <c r="J8488" s="165" t="s">
        <v>14</v>
      </c>
      <c r="L8488" s="205">
        <v>10120</v>
      </c>
    </row>
    <row r="8489" spans="1:14" ht="11.25" customHeight="1" x14ac:dyDescent="0.2">
      <c r="A8489" s="226">
        <v>2025</v>
      </c>
      <c r="B8489" s="226">
        <v>7</v>
      </c>
      <c r="C8489" s="226">
        <v>27</v>
      </c>
      <c r="D8489" s="232">
        <f t="shared" si="974"/>
        <v>45865</v>
      </c>
      <c r="E8489" s="234">
        <f t="shared" si="979"/>
        <v>45865</v>
      </c>
      <c r="F8489" s="479"/>
      <c r="G8489" s="227" t="s">
        <v>1111</v>
      </c>
      <c r="H8489" s="228"/>
      <c r="I8489" s="228"/>
      <c r="J8489" s="229" t="s">
        <v>1112</v>
      </c>
      <c r="K8489" s="230"/>
      <c r="L8489" s="230">
        <v>1880</v>
      </c>
    </row>
    <row r="8490" spans="1:14" ht="11.25" customHeight="1" x14ac:dyDescent="0.2">
      <c r="A8490" s="221">
        <v>2025</v>
      </c>
      <c r="B8490" s="221">
        <v>7</v>
      </c>
      <c r="C8490" s="221">
        <v>27</v>
      </c>
      <c r="D8490" s="231">
        <f t="shared" si="974"/>
        <v>45865</v>
      </c>
      <c r="E8490" s="233">
        <f t="shared" si="979"/>
        <v>45865</v>
      </c>
      <c r="F8490" s="478" t="s">
        <v>1885</v>
      </c>
      <c r="G8490" s="222" t="s">
        <v>1111</v>
      </c>
      <c r="H8490" s="223"/>
      <c r="I8490" s="223"/>
      <c r="J8490" s="224" t="s">
        <v>192</v>
      </c>
      <c r="K8490" s="225">
        <v>37.04</v>
      </c>
      <c r="L8490" s="225"/>
    </row>
    <row r="8491" spans="1:14" ht="11.25" customHeight="1" x14ac:dyDescent="0.2">
      <c r="A8491" s="226">
        <v>2025</v>
      </c>
      <c r="B8491" s="226">
        <v>7</v>
      </c>
      <c r="C8491" s="226">
        <v>27</v>
      </c>
      <c r="D8491" s="232">
        <f t="shared" si="974"/>
        <v>45865</v>
      </c>
      <c r="E8491" s="234">
        <f t="shared" si="979"/>
        <v>45865</v>
      </c>
      <c r="F8491" s="479"/>
      <c r="G8491" s="227" t="s">
        <v>1111</v>
      </c>
      <c r="H8491" s="228"/>
      <c r="I8491" s="228"/>
      <c r="J8491" s="229" t="s">
        <v>191</v>
      </c>
      <c r="K8491" s="230"/>
      <c r="L8491" s="230">
        <v>37.04</v>
      </c>
    </row>
    <row r="8492" spans="1:14" ht="11.25" customHeight="1" x14ac:dyDescent="0.2">
      <c r="A8492" s="221">
        <v>2025</v>
      </c>
      <c r="B8492" s="221">
        <v>7</v>
      </c>
      <c r="C8492" s="221">
        <v>27</v>
      </c>
      <c r="D8492" s="231">
        <f t="shared" si="974"/>
        <v>45865</v>
      </c>
      <c r="E8492" s="233">
        <f t="shared" ref="E8492:E8493" si="980">DATE(A8492,B8492,C8492)</f>
        <v>45865</v>
      </c>
      <c r="F8492" s="478" t="s">
        <v>1926</v>
      </c>
      <c r="G8492" s="222" t="s">
        <v>1111</v>
      </c>
      <c r="H8492" s="223"/>
      <c r="I8492" s="223"/>
      <c r="J8492" s="224" t="s">
        <v>55</v>
      </c>
      <c r="K8492" s="225">
        <v>37.04</v>
      </c>
      <c r="L8492" s="225"/>
    </row>
    <row r="8493" spans="1:14" ht="11.25" customHeight="1" x14ac:dyDescent="0.2">
      <c r="A8493" s="226">
        <v>2025</v>
      </c>
      <c r="B8493" s="226">
        <v>7</v>
      </c>
      <c r="C8493" s="226">
        <v>27</v>
      </c>
      <c r="D8493" s="232">
        <f t="shared" si="974"/>
        <v>45865</v>
      </c>
      <c r="E8493" s="234">
        <f t="shared" si="980"/>
        <v>45865</v>
      </c>
      <c r="F8493" s="479"/>
      <c r="G8493" s="227" t="s">
        <v>1111</v>
      </c>
      <c r="H8493" s="228"/>
      <c r="I8493" s="228"/>
      <c r="J8493" s="229" t="s">
        <v>192</v>
      </c>
      <c r="K8493" s="230"/>
      <c r="L8493" s="230">
        <v>37.04</v>
      </c>
    </row>
    <row r="8494" spans="1:14" ht="11.25" customHeight="1" x14ac:dyDescent="0.2">
      <c r="A8494" s="221">
        <v>2025</v>
      </c>
      <c r="B8494" s="221">
        <v>7</v>
      </c>
      <c r="C8494" s="221">
        <v>27</v>
      </c>
      <c r="D8494" s="231">
        <f t="shared" si="974"/>
        <v>45865</v>
      </c>
      <c r="E8494" s="233">
        <f>DATE(A8494,B8494,C8494)</f>
        <v>45865</v>
      </c>
      <c r="F8494" s="478" t="s">
        <v>1843</v>
      </c>
      <c r="G8494" s="222" t="s">
        <v>1111</v>
      </c>
      <c r="H8494" s="223"/>
      <c r="I8494" s="223"/>
      <c r="J8494" s="224" t="s">
        <v>55</v>
      </c>
      <c r="K8494" s="225">
        <v>273506</v>
      </c>
      <c r="L8494" s="225"/>
    </row>
    <row r="8495" spans="1:14" ht="11.25" customHeight="1" x14ac:dyDescent="0.2">
      <c r="A8495" s="226">
        <v>2025</v>
      </c>
      <c r="B8495" s="226">
        <v>7</v>
      </c>
      <c r="C8495" s="226">
        <v>27</v>
      </c>
      <c r="D8495" s="232">
        <f t="shared" si="974"/>
        <v>45865</v>
      </c>
      <c r="E8495" s="234">
        <f>DATE(A8495,B8495,C8495)</f>
        <v>45865</v>
      </c>
      <c r="F8495" s="479"/>
      <c r="G8495" s="227" t="s">
        <v>1111</v>
      </c>
      <c r="H8495" s="228"/>
      <c r="I8495" s="228"/>
      <c r="J8495" s="229" t="s">
        <v>199</v>
      </c>
      <c r="K8495" s="230"/>
      <c r="L8495" s="230">
        <f>K8494</f>
        <v>273506</v>
      </c>
    </row>
    <row r="8496" spans="1:14" ht="11.25" customHeight="1" x14ac:dyDescent="0.2">
      <c r="A8496" s="221">
        <v>2025</v>
      </c>
      <c r="B8496" s="221">
        <v>7</v>
      </c>
      <c r="C8496" s="221">
        <v>27</v>
      </c>
      <c r="D8496" s="231">
        <f t="shared" si="974"/>
        <v>45865</v>
      </c>
      <c r="E8496" s="233">
        <f t="shared" ref="E8496:E8497" si="981">DATE(A8496,B8496,C8496)</f>
        <v>45865</v>
      </c>
      <c r="F8496" s="478" t="s">
        <v>1917</v>
      </c>
      <c r="G8496" s="222" t="s">
        <v>1111</v>
      </c>
      <c r="H8496" s="223"/>
      <c r="I8496" s="223"/>
      <c r="J8496" s="224" t="s">
        <v>192</v>
      </c>
      <c r="K8496" s="225">
        <v>17.39000000001397</v>
      </c>
      <c r="L8496" s="225"/>
    </row>
    <row r="8497" spans="1:14" ht="11.25" customHeight="1" x14ac:dyDescent="0.2">
      <c r="A8497" s="226">
        <v>2025</v>
      </c>
      <c r="B8497" s="226">
        <v>7</v>
      </c>
      <c r="C8497" s="226">
        <v>27</v>
      </c>
      <c r="D8497" s="232">
        <f t="shared" si="974"/>
        <v>45865</v>
      </c>
      <c r="E8497" s="234">
        <f t="shared" si="981"/>
        <v>45865</v>
      </c>
      <c r="F8497" s="479"/>
      <c r="G8497" s="227" t="s">
        <v>1111</v>
      </c>
      <c r="H8497" s="228"/>
      <c r="I8497" s="228"/>
      <c r="J8497" s="229" t="s">
        <v>191</v>
      </c>
      <c r="K8497" s="230"/>
      <c r="L8497" s="230">
        <v>17.39000000001397</v>
      </c>
    </row>
    <row r="8498" spans="1:14" ht="11.25" customHeight="1" x14ac:dyDescent="0.2">
      <c r="A8498" s="221">
        <v>2025</v>
      </c>
      <c r="B8498" s="221">
        <v>7</v>
      </c>
      <c r="C8498" s="221">
        <v>27</v>
      </c>
      <c r="D8498" s="231">
        <f t="shared" si="974"/>
        <v>45865</v>
      </c>
      <c r="E8498" s="233">
        <f t="shared" ref="E8498:E8499" si="982">DATE(A8498,B8498,C8498)</f>
        <v>45865</v>
      </c>
      <c r="F8498" s="478" t="s">
        <v>1927</v>
      </c>
      <c r="G8498" s="222" t="s">
        <v>1111</v>
      </c>
      <c r="H8498" s="223"/>
      <c r="I8498" s="223"/>
      <c r="J8498" s="224" t="s">
        <v>55</v>
      </c>
      <c r="K8498" s="225">
        <v>198394.89</v>
      </c>
      <c r="L8498" s="225"/>
    </row>
    <row r="8499" spans="1:14" ht="11.25" customHeight="1" x14ac:dyDescent="0.2">
      <c r="A8499" s="226">
        <v>2025</v>
      </c>
      <c r="B8499" s="226">
        <v>7</v>
      </c>
      <c r="C8499" s="226">
        <v>27</v>
      </c>
      <c r="D8499" s="232">
        <f t="shared" si="974"/>
        <v>45865</v>
      </c>
      <c r="E8499" s="234">
        <f t="shared" si="982"/>
        <v>45865</v>
      </c>
      <c r="F8499" s="479"/>
      <c r="G8499" s="227" t="s">
        <v>1111</v>
      </c>
      <c r="H8499" s="228"/>
      <c r="I8499" s="228"/>
      <c r="J8499" s="229" t="s">
        <v>192</v>
      </c>
      <c r="K8499" s="230"/>
      <c r="L8499" s="230">
        <v>198394.89</v>
      </c>
    </row>
    <row r="8500" spans="1:14" ht="11.25" customHeight="1" x14ac:dyDescent="0.2">
      <c r="A8500" s="221">
        <v>2025</v>
      </c>
      <c r="B8500" s="221">
        <v>7</v>
      </c>
      <c r="C8500" s="221">
        <v>28</v>
      </c>
      <c r="D8500" s="221">
        <f t="shared" si="974"/>
        <v>45866</v>
      </c>
      <c r="E8500" s="233">
        <f t="shared" ref="E8500:E8516" si="983">DATE(A8500,B8500,C8500)</f>
        <v>45866</v>
      </c>
      <c r="F8500" s="478" t="s">
        <v>1769</v>
      </c>
      <c r="G8500" s="222" t="s">
        <v>86</v>
      </c>
      <c r="H8500" s="222"/>
      <c r="I8500" s="223"/>
      <c r="J8500" s="224" t="s">
        <v>80</v>
      </c>
      <c r="K8500" s="225">
        <v>2846000</v>
      </c>
      <c r="L8500" s="225"/>
      <c r="N8500" s="263"/>
    </row>
    <row r="8501" spans="1:14" ht="11.25" customHeight="1" x14ac:dyDescent="0.2">
      <c r="A8501" s="164">
        <v>2025</v>
      </c>
      <c r="B8501" s="164">
        <v>7</v>
      </c>
      <c r="C8501" s="164">
        <v>28</v>
      </c>
      <c r="D8501" s="164">
        <f t="shared" si="974"/>
        <v>45866</v>
      </c>
      <c r="E8501" s="235">
        <f t="shared" si="983"/>
        <v>45866</v>
      </c>
      <c r="F8501" s="480"/>
      <c r="G8501" s="208" t="s">
        <v>86</v>
      </c>
      <c r="H8501" s="208"/>
      <c r="J8501" s="165" t="s">
        <v>960</v>
      </c>
      <c r="K8501" s="205">
        <v>6371.02</v>
      </c>
      <c r="L8501" s="205"/>
      <c r="M8501" s="263"/>
      <c r="N8501" s="263"/>
    </row>
    <row r="8502" spans="1:14" ht="11.25" customHeight="1" x14ac:dyDescent="0.2">
      <c r="A8502" s="164">
        <v>2025</v>
      </c>
      <c r="B8502" s="164">
        <v>7</v>
      </c>
      <c r="C8502" s="164">
        <v>28</v>
      </c>
      <c r="D8502" s="164">
        <f t="shared" si="974"/>
        <v>45866</v>
      </c>
      <c r="E8502" s="235">
        <f t="shared" si="983"/>
        <v>45866</v>
      </c>
      <c r="F8502" s="480"/>
      <c r="G8502" s="208" t="s">
        <v>86</v>
      </c>
      <c r="H8502" s="208"/>
      <c r="J8502" s="165" t="s">
        <v>143</v>
      </c>
      <c r="K8502" s="205"/>
      <c r="L8502" s="205">
        <v>2158917.2200000002</v>
      </c>
      <c r="M8502" s="263"/>
    </row>
    <row r="8503" spans="1:14" ht="11.25" customHeight="1" x14ac:dyDescent="0.2">
      <c r="A8503" s="164">
        <v>2025</v>
      </c>
      <c r="B8503" s="164">
        <v>7</v>
      </c>
      <c r="C8503" s="164">
        <v>28</v>
      </c>
      <c r="D8503" s="164">
        <f t="shared" si="974"/>
        <v>45866</v>
      </c>
      <c r="E8503" s="235">
        <f t="shared" si="983"/>
        <v>45866</v>
      </c>
      <c r="F8503" s="480"/>
      <c r="G8503" s="208" t="s">
        <v>86</v>
      </c>
      <c r="H8503" s="208"/>
      <c r="J8503" s="165" t="s">
        <v>200</v>
      </c>
      <c r="K8503" s="205"/>
      <c r="L8503" s="205">
        <v>246050.52</v>
      </c>
      <c r="M8503" s="263"/>
    </row>
    <row r="8504" spans="1:14" ht="11.25" customHeight="1" x14ac:dyDescent="0.2">
      <c r="A8504" s="226">
        <v>2025</v>
      </c>
      <c r="B8504" s="226">
        <v>7</v>
      </c>
      <c r="C8504" s="226">
        <v>28</v>
      </c>
      <c r="D8504" s="226">
        <f t="shared" si="974"/>
        <v>45866</v>
      </c>
      <c r="E8504" s="234">
        <f t="shared" si="983"/>
        <v>45866</v>
      </c>
      <c r="F8504" s="479"/>
      <c r="G8504" s="227" t="s">
        <v>86</v>
      </c>
      <c r="H8504" s="228"/>
      <c r="I8504" s="228"/>
      <c r="J8504" s="229" t="s">
        <v>80</v>
      </c>
      <c r="K8504" s="230"/>
      <c r="L8504" s="230">
        <v>447403.28</v>
      </c>
      <c r="M8504" s="263"/>
    </row>
    <row r="8505" spans="1:14" ht="11.25" customHeight="1" x14ac:dyDescent="0.2">
      <c r="A8505" s="221">
        <v>2025</v>
      </c>
      <c r="B8505" s="221">
        <v>7</v>
      </c>
      <c r="C8505" s="221">
        <v>28</v>
      </c>
      <c r="D8505" s="231">
        <f t="shared" si="974"/>
        <v>45866</v>
      </c>
      <c r="E8505" s="233">
        <f t="shared" si="983"/>
        <v>45866</v>
      </c>
      <c r="F8505" s="478" t="s">
        <v>1889</v>
      </c>
      <c r="G8505" s="222" t="s">
        <v>1111</v>
      </c>
      <c r="H8505" s="223"/>
      <c r="I8505" s="223"/>
      <c r="J8505" s="224" t="s">
        <v>961</v>
      </c>
      <c r="K8505" s="225">
        <v>1930502.12</v>
      </c>
      <c r="L8505" s="225"/>
    </row>
    <row r="8506" spans="1:14" ht="11.25" customHeight="1" x14ac:dyDescent="0.2">
      <c r="A8506" s="226">
        <v>2025</v>
      </c>
      <c r="B8506" s="226">
        <v>7</v>
      </c>
      <c r="C8506" s="226">
        <v>28</v>
      </c>
      <c r="D8506" s="232">
        <f t="shared" si="974"/>
        <v>45866</v>
      </c>
      <c r="E8506" s="234">
        <f t="shared" si="983"/>
        <v>45866</v>
      </c>
      <c r="F8506" s="479"/>
      <c r="G8506" s="227" t="s">
        <v>1111</v>
      </c>
      <c r="H8506" s="228"/>
      <c r="I8506" s="228"/>
      <c r="J8506" s="229" t="s">
        <v>55</v>
      </c>
      <c r="K8506" s="230"/>
      <c r="L8506" s="230">
        <f>K8505</f>
        <v>1930502.12</v>
      </c>
    </row>
    <row r="8507" spans="1:14" ht="11.25" customHeight="1" x14ac:dyDescent="0.2">
      <c r="A8507" s="221">
        <v>2025</v>
      </c>
      <c r="B8507" s="221">
        <v>7</v>
      </c>
      <c r="C8507" s="221">
        <v>28</v>
      </c>
      <c r="D8507" s="231">
        <f t="shared" si="974"/>
        <v>45866</v>
      </c>
      <c r="E8507" s="233">
        <f t="shared" ref="E8507:E8508" si="984">DATE(A8507,B8507,C8507)</f>
        <v>45866</v>
      </c>
      <c r="F8507" s="478" t="s">
        <v>1670</v>
      </c>
      <c r="G8507" s="222" t="s">
        <v>1111</v>
      </c>
      <c r="H8507" s="223"/>
      <c r="I8507" s="223"/>
      <c r="J8507" s="224" t="s">
        <v>63</v>
      </c>
      <c r="K8507" s="225">
        <v>100</v>
      </c>
      <c r="L8507" s="225"/>
    </row>
    <row r="8508" spans="1:14" ht="11.25" customHeight="1" x14ac:dyDescent="0.2">
      <c r="A8508" s="226">
        <v>2025</v>
      </c>
      <c r="B8508" s="226">
        <v>7</v>
      </c>
      <c r="C8508" s="226">
        <v>28</v>
      </c>
      <c r="D8508" s="232">
        <f t="shared" si="974"/>
        <v>45866</v>
      </c>
      <c r="E8508" s="234">
        <f t="shared" si="984"/>
        <v>45866</v>
      </c>
      <c r="F8508" s="479"/>
      <c r="G8508" s="227" t="s">
        <v>1111</v>
      </c>
      <c r="H8508" s="228"/>
      <c r="I8508" s="228"/>
      <c r="J8508" s="229" t="s">
        <v>55</v>
      </c>
      <c r="K8508" s="230"/>
      <c r="L8508" s="230">
        <v>100</v>
      </c>
    </row>
    <row r="8509" spans="1:14" ht="11.25" customHeight="1" x14ac:dyDescent="0.2">
      <c r="A8509" s="221">
        <v>2025</v>
      </c>
      <c r="B8509" s="221">
        <v>7</v>
      </c>
      <c r="C8509" s="221">
        <v>28</v>
      </c>
      <c r="D8509" s="231">
        <f t="shared" si="974"/>
        <v>45866</v>
      </c>
      <c r="E8509" s="233">
        <f t="shared" si="983"/>
        <v>45866</v>
      </c>
      <c r="F8509" s="478" t="s">
        <v>1115</v>
      </c>
      <c r="G8509" s="222" t="s">
        <v>1111</v>
      </c>
      <c r="H8509" s="223"/>
      <c r="I8509" s="223"/>
      <c r="J8509" s="224" t="s">
        <v>14</v>
      </c>
      <c r="K8509" s="167">
        <v>250130</v>
      </c>
      <c r="L8509" s="225"/>
    </row>
    <row r="8510" spans="1:14" ht="11.25" customHeight="1" x14ac:dyDescent="0.2">
      <c r="A8510" s="164">
        <v>2025</v>
      </c>
      <c r="B8510" s="164">
        <v>7</v>
      </c>
      <c r="C8510" s="164">
        <v>28</v>
      </c>
      <c r="D8510" s="156">
        <f t="shared" si="974"/>
        <v>45866</v>
      </c>
      <c r="E8510" s="235">
        <f t="shared" si="983"/>
        <v>45866</v>
      </c>
      <c r="F8510" s="480"/>
      <c r="G8510" s="208" t="s">
        <v>1111</v>
      </c>
      <c r="J8510" s="165" t="s">
        <v>1112</v>
      </c>
      <c r="K8510" s="205">
        <v>46499.169999999984</v>
      </c>
      <c r="L8510" s="156"/>
    </row>
    <row r="8511" spans="1:14" ht="11.25" customHeight="1" x14ac:dyDescent="0.2">
      <c r="A8511" s="226">
        <v>2025</v>
      </c>
      <c r="B8511" s="226">
        <v>7</v>
      </c>
      <c r="C8511" s="226">
        <v>28</v>
      </c>
      <c r="D8511" s="232">
        <f t="shared" si="974"/>
        <v>45866</v>
      </c>
      <c r="E8511" s="234">
        <f t="shared" si="983"/>
        <v>45866</v>
      </c>
      <c r="F8511" s="479"/>
      <c r="G8511" s="227" t="s">
        <v>1111</v>
      </c>
      <c r="H8511" s="228"/>
      <c r="I8511" s="228"/>
      <c r="J8511" s="229" t="s">
        <v>55</v>
      </c>
      <c r="K8511" s="230"/>
      <c r="L8511" s="230">
        <v>296629.17</v>
      </c>
    </row>
    <row r="8512" spans="1:14" ht="11.25" customHeight="1" x14ac:dyDescent="0.2">
      <c r="A8512" s="221">
        <v>2025</v>
      </c>
      <c r="B8512" s="221">
        <v>7</v>
      </c>
      <c r="C8512" s="221">
        <v>28</v>
      </c>
      <c r="D8512" s="231">
        <f t="shared" si="974"/>
        <v>45866</v>
      </c>
      <c r="E8512" s="233">
        <f t="shared" si="983"/>
        <v>45866</v>
      </c>
      <c r="F8512" s="478" t="s">
        <v>1670</v>
      </c>
      <c r="G8512" s="222" t="s">
        <v>1111</v>
      </c>
      <c r="H8512" s="223"/>
      <c r="I8512" s="223"/>
      <c r="J8512" s="224" t="s">
        <v>63</v>
      </c>
      <c r="K8512" s="225">
        <v>58</v>
      </c>
      <c r="L8512" s="225"/>
    </row>
    <row r="8513" spans="1:14" ht="11.25" customHeight="1" x14ac:dyDescent="0.2">
      <c r="A8513" s="226">
        <v>2025</v>
      </c>
      <c r="B8513" s="226">
        <v>7</v>
      </c>
      <c r="C8513" s="226">
        <v>28</v>
      </c>
      <c r="D8513" s="232">
        <f t="shared" si="974"/>
        <v>45866</v>
      </c>
      <c r="E8513" s="234">
        <f t="shared" si="983"/>
        <v>45866</v>
      </c>
      <c r="F8513" s="479"/>
      <c r="G8513" s="227" t="s">
        <v>1111</v>
      </c>
      <c r="H8513" s="228"/>
      <c r="I8513" s="228"/>
      <c r="J8513" s="229" t="s">
        <v>55</v>
      </c>
      <c r="K8513" s="230"/>
      <c r="L8513" s="230">
        <v>58</v>
      </c>
    </row>
    <row r="8514" spans="1:14" ht="11.25" customHeight="1" x14ac:dyDescent="0.2">
      <c r="A8514" s="221">
        <v>2025</v>
      </c>
      <c r="B8514" s="221">
        <v>7</v>
      </c>
      <c r="C8514" s="221">
        <v>28</v>
      </c>
      <c r="D8514" s="231">
        <f t="shared" si="974"/>
        <v>45866</v>
      </c>
      <c r="E8514" s="233">
        <f t="shared" si="983"/>
        <v>45866</v>
      </c>
      <c r="F8514" s="478" t="s">
        <v>1928</v>
      </c>
      <c r="G8514" s="222" t="s">
        <v>1111</v>
      </c>
      <c r="H8514" s="222"/>
      <c r="I8514" s="223"/>
      <c r="J8514" s="224" t="s">
        <v>55</v>
      </c>
      <c r="K8514" s="357">
        <v>2072714.2</v>
      </c>
      <c r="L8514" s="225"/>
    </row>
    <row r="8515" spans="1:14" ht="11.25" customHeight="1" x14ac:dyDescent="0.2">
      <c r="A8515" s="164">
        <v>2025</v>
      </c>
      <c r="B8515" s="164">
        <v>7</v>
      </c>
      <c r="C8515" s="164">
        <v>28</v>
      </c>
      <c r="D8515" s="164">
        <f t="shared" si="974"/>
        <v>45866</v>
      </c>
      <c r="E8515" s="235">
        <f t="shared" si="983"/>
        <v>45866</v>
      </c>
      <c r="F8515" s="480"/>
      <c r="G8515" s="208" t="s">
        <v>1111</v>
      </c>
      <c r="H8515" s="208"/>
      <c r="J8515" s="165" t="s">
        <v>1618</v>
      </c>
      <c r="K8515" s="263"/>
      <c r="L8515" s="205">
        <v>41597.639999999898</v>
      </c>
    </row>
    <row r="8516" spans="1:14" ht="11.25" customHeight="1" x14ac:dyDescent="0.2">
      <c r="A8516" s="226">
        <v>2025</v>
      </c>
      <c r="B8516" s="226">
        <v>7</v>
      </c>
      <c r="C8516" s="226">
        <v>28</v>
      </c>
      <c r="D8516" s="226">
        <f t="shared" si="974"/>
        <v>45866</v>
      </c>
      <c r="E8516" s="234">
        <f t="shared" si="983"/>
        <v>45866</v>
      </c>
      <c r="F8516" s="479"/>
      <c r="G8516" s="227" t="s">
        <v>1111</v>
      </c>
      <c r="H8516" s="227"/>
      <c r="I8516" s="228"/>
      <c r="J8516" s="229" t="s">
        <v>1615</v>
      </c>
      <c r="K8516" s="294"/>
      <c r="L8516" s="230">
        <v>2031116.56</v>
      </c>
    </row>
    <row r="8517" spans="1:14" ht="11.25" customHeight="1" x14ac:dyDescent="0.2">
      <c r="A8517" s="221">
        <v>2025</v>
      </c>
      <c r="B8517" s="221">
        <v>7</v>
      </c>
      <c r="C8517" s="221">
        <v>28</v>
      </c>
      <c r="D8517" s="231">
        <f t="shared" si="974"/>
        <v>45866</v>
      </c>
      <c r="E8517" s="233">
        <f t="shared" ref="E8517:E8519" si="985">DATE(A8517,B8517,C8517)</f>
        <v>45866</v>
      </c>
      <c r="F8517" s="478" t="s">
        <v>1929</v>
      </c>
      <c r="G8517" s="222" t="s">
        <v>1111</v>
      </c>
      <c r="H8517" s="222"/>
      <c r="I8517" s="223"/>
      <c r="J8517" s="224" t="s">
        <v>55</v>
      </c>
      <c r="K8517" s="357">
        <v>2086115.57</v>
      </c>
      <c r="L8517" s="225"/>
    </row>
    <row r="8518" spans="1:14" ht="11.25" customHeight="1" x14ac:dyDescent="0.2">
      <c r="A8518" s="164">
        <v>2025</v>
      </c>
      <c r="B8518" s="164">
        <v>7</v>
      </c>
      <c r="C8518" s="164">
        <v>28</v>
      </c>
      <c r="D8518" s="164">
        <f t="shared" si="974"/>
        <v>45866</v>
      </c>
      <c r="E8518" s="235">
        <f t="shared" si="985"/>
        <v>45866</v>
      </c>
      <c r="F8518" s="480"/>
      <c r="G8518" s="208" t="s">
        <v>1111</v>
      </c>
      <c r="H8518" s="208"/>
      <c r="J8518" s="165" t="s">
        <v>1618</v>
      </c>
      <c r="K8518" s="263"/>
      <c r="L8518" s="205">
        <v>80924.570000000007</v>
      </c>
    </row>
    <row r="8519" spans="1:14" ht="11.25" customHeight="1" x14ac:dyDescent="0.2">
      <c r="A8519" s="226">
        <v>2025</v>
      </c>
      <c r="B8519" s="226">
        <v>7</v>
      </c>
      <c r="C8519" s="226">
        <v>28</v>
      </c>
      <c r="D8519" s="226">
        <f t="shared" si="974"/>
        <v>45866</v>
      </c>
      <c r="E8519" s="234">
        <f t="shared" si="985"/>
        <v>45866</v>
      </c>
      <c r="F8519" s="479"/>
      <c r="G8519" s="227" t="s">
        <v>1111</v>
      </c>
      <c r="H8519" s="227"/>
      <c r="I8519" s="228"/>
      <c r="J8519" s="229" t="s">
        <v>1615</v>
      </c>
      <c r="K8519" s="294"/>
      <c r="L8519" s="230">
        <v>2005191</v>
      </c>
    </row>
    <row r="8520" spans="1:14" ht="11.25" customHeight="1" x14ac:dyDescent="0.2">
      <c r="A8520" s="221">
        <v>2025</v>
      </c>
      <c r="B8520" s="221">
        <v>7</v>
      </c>
      <c r="C8520" s="221">
        <v>29</v>
      </c>
      <c r="D8520" s="221">
        <f t="shared" si="974"/>
        <v>45867</v>
      </c>
      <c r="E8520" s="233">
        <f t="shared" ref="E8520:E8538" si="986">DATE(A8520,B8520,C8520)</f>
        <v>45867</v>
      </c>
      <c r="F8520" s="478" t="s">
        <v>1769</v>
      </c>
      <c r="G8520" s="222" t="s">
        <v>86</v>
      </c>
      <c r="H8520" s="222"/>
      <c r="I8520" s="223"/>
      <c r="J8520" s="224" t="s">
        <v>80</v>
      </c>
      <c r="K8520" s="225">
        <v>4229395.5</v>
      </c>
      <c r="L8520" s="225"/>
      <c r="N8520" s="263"/>
    </row>
    <row r="8521" spans="1:14" ht="11.25" customHeight="1" x14ac:dyDescent="0.2">
      <c r="A8521" s="164">
        <v>2025</v>
      </c>
      <c r="B8521" s="164">
        <v>7</v>
      </c>
      <c r="C8521" s="164">
        <v>29</v>
      </c>
      <c r="D8521" s="164">
        <f t="shared" ref="D8521:D8584" si="987">DATE(A8521,B8521,C8521)</f>
        <v>45867</v>
      </c>
      <c r="E8521" s="235">
        <f t="shared" si="986"/>
        <v>45867</v>
      </c>
      <c r="F8521" s="480"/>
      <c r="G8521" s="208" t="s">
        <v>86</v>
      </c>
      <c r="H8521" s="208"/>
      <c r="J8521" s="165" t="s">
        <v>960</v>
      </c>
      <c r="K8521" s="205">
        <v>11847.49</v>
      </c>
      <c r="L8521" s="205"/>
      <c r="M8521" s="263"/>
      <c r="N8521" s="263"/>
    </row>
    <row r="8522" spans="1:14" ht="11.25" customHeight="1" x14ac:dyDescent="0.2">
      <c r="A8522" s="164">
        <v>2025</v>
      </c>
      <c r="B8522" s="164">
        <v>7</v>
      </c>
      <c r="C8522" s="164">
        <v>29</v>
      </c>
      <c r="D8522" s="164">
        <f t="shared" si="987"/>
        <v>45867</v>
      </c>
      <c r="E8522" s="235">
        <f t="shared" si="986"/>
        <v>45867</v>
      </c>
      <c r="F8522" s="480"/>
      <c r="G8522" s="208" t="s">
        <v>86</v>
      </c>
      <c r="H8522" s="208"/>
      <c r="J8522" s="165" t="s">
        <v>143</v>
      </c>
      <c r="K8522" s="205"/>
      <c r="L8522" s="205">
        <v>1888699.89</v>
      </c>
      <c r="M8522" s="263"/>
    </row>
    <row r="8523" spans="1:14" ht="11.25" customHeight="1" x14ac:dyDescent="0.2">
      <c r="A8523" s="164">
        <v>2025</v>
      </c>
      <c r="B8523" s="164">
        <v>7</v>
      </c>
      <c r="C8523" s="164">
        <v>29</v>
      </c>
      <c r="D8523" s="164">
        <f t="shared" si="987"/>
        <v>45867</v>
      </c>
      <c r="E8523" s="235">
        <f t="shared" si="986"/>
        <v>45867</v>
      </c>
      <c r="F8523" s="480"/>
      <c r="G8523" s="208" t="s">
        <v>86</v>
      </c>
      <c r="H8523" s="208"/>
      <c r="J8523" s="165" t="s">
        <v>200</v>
      </c>
      <c r="K8523" s="205"/>
      <c r="L8523" s="205">
        <v>450033.13</v>
      </c>
      <c r="M8523" s="263"/>
    </row>
    <row r="8524" spans="1:14" ht="11.25" customHeight="1" x14ac:dyDescent="0.2">
      <c r="A8524" s="226">
        <v>2025</v>
      </c>
      <c r="B8524" s="226">
        <v>7</v>
      </c>
      <c r="C8524" s="226">
        <v>29</v>
      </c>
      <c r="D8524" s="226">
        <f t="shared" si="987"/>
        <v>45867</v>
      </c>
      <c r="E8524" s="234">
        <f t="shared" si="986"/>
        <v>45867</v>
      </c>
      <c r="F8524" s="479"/>
      <c r="G8524" s="227" t="s">
        <v>86</v>
      </c>
      <c r="H8524" s="228"/>
      <c r="I8524" s="228"/>
      <c r="J8524" s="229" t="s">
        <v>80</v>
      </c>
      <c r="K8524" s="230"/>
      <c r="L8524" s="230">
        <v>1902509.97</v>
      </c>
      <c r="M8524" s="263"/>
    </row>
    <row r="8525" spans="1:14" ht="11.25" customHeight="1" x14ac:dyDescent="0.2">
      <c r="A8525" s="221">
        <v>2025</v>
      </c>
      <c r="B8525" s="221">
        <v>7</v>
      </c>
      <c r="C8525" s="221">
        <v>29</v>
      </c>
      <c r="D8525" s="221">
        <f t="shared" si="987"/>
        <v>45867</v>
      </c>
      <c r="E8525" s="233">
        <f t="shared" si="986"/>
        <v>45867</v>
      </c>
      <c r="F8525" s="478" t="s">
        <v>1886</v>
      </c>
      <c r="G8525" s="222" t="s">
        <v>86</v>
      </c>
      <c r="H8525" s="222"/>
      <c r="I8525" s="223"/>
      <c r="J8525" s="224" t="s">
        <v>80</v>
      </c>
      <c r="K8525" s="225">
        <v>420200</v>
      </c>
      <c r="L8525" s="225"/>
      <c r="N8525" s="263"/>
    </row>
    <row r="8526" spans="1:14" ht="11.25" customHeight="1" x14ac:dyDescent="0.2">
      <c r="A8526" s="164">
        <v>2025</v>
      </c>
      <c r="B8526" s="164">
        <v>7</v>
      </c>
      <c r="C8526" s="164">
        <v>29</v>
      </c>
      <c r="D8526" s="164">
        <f t="shared" si="987"/>
        <v>45867</v>
      </c>
      <c r="E8526" s="235">
        <f t="shared" si="986"/>
        <v>45867</v>
      </c>
      <c r="F8526" s="480"/>
      <c r="G8526" s="208" t="s">
        <v>86</v>
      </c>
      <c r="H8526" s="208"/>
      <c r="J8526" s="165" t="s">
        <v>960</v>
      </c>
      <c r="K8526" s="205">
        <v>1497.96</v>
      </c>
      <c r="L8526" s="205"/>
      <c r="M8526" s="263"/>
      <c r="N8526" s="263"/>
    </row>
    <row r="8527" spans="1:14" ht="11.25" customHeight="1" x14ac:dyDescent="0.2">
      <c r="A8527" s="164">
        <v>2025</v>
      </c>
      <c r="B8527" s="164">
        <v>7</v>
      </c>
      <c r="C8527" s="164">
        <v>29</v>
      </c>
      <c r="D8527" s="164">
        <f t="shared" si="987"/>
        <v>45867</v>
      </c>
      <c r="E8527" s="235">
        <f t="shared" si="986"/>
        <v>45867</v>
      </c>
      <c r="F8527" s="480"/>
      <c r="G8527" s="208" t="s">
        <v>86</v>
      </c>
      <c r="H8527" s="208"/>
      <c r="J8527" s="165" t="s">
        <v>143</v>
      </c>
      <c r="K8527" s="205"/>
      <c r="L8527" s="205">
        <v>9697.9599999999991</v>
      </c>
      <c r="M8527" s="263"/>
    </row>
    <row r="8528" spans="1:14" ht="11.25" customHeight="1" x14ac:dyDescent="0.2">
      <c r="A8528" s="164">
        <v>2025</v>
      </c>
      <c r="B8528" s="164">
        <v>7</v>
      </c>
      <c r="C8528" s="164">
        <v>29</v>
      </c>
      <c r="D8528" s="164">
        <f t="shared" si="987"/>
        <v>45867</v>
      </c>
      <c r="E8528" s="235">
        <f t="shared" si="986"/>
        <v>45867</v>
      </c>
      <c r="F8528" s="480"/>
      <c r="G8528" s="208" t="s">
        <v>86</v>
      </c>
      <c r="H8528" s="208"/>
      <c r="J8528" s="165" t="s">
        <v>200</v>
      </c>
      <c r="K8528" s="205"/>
      <c r="L8528" s="205">
        <v>108057.78</v>
      </c>
      <c r="M8528" s="263"/>
    </row>
    <row r="8529" spans="1:14" ht="11.25" customHeight="1" x14ac:dyDescent="0.2">
      <c r="A8529" s="226">
        <v>2025</v>
      </c>
      <c r="B8529" s="226">
        <v>7</v>
      </c>
      <c r="C8529" s="226">
        <v>29</v>
      </c>
      <c r="D8529" s="226">
        <f t="shared" si="987"/>
        <v>45867</v>
      </c>
      <c r="E8529" s="234">
        <f t="shared" si="986"/>
        <v>45867</v>
      </c>
      <c r="F8529" s="479"/>
      <c r="G8529" s="227" t="s">
        <v>86</v>
      </c>
      <c r="H8529" s="228"/>
      <c r="I8529" s="228"/>
      <c r="J8529" s="229" t="s">
        <v>80</v>
      </c>
      <c r="K8529" s="230"/>
      <c r="L8529" s="230">
        <v>303942.21999999997</v>
      </c>
      <c r="M8529" s="263"/>
    </row>
    <row r="8530" spans="1:14" ht="11.25" customHeight="1" x14ac:dyDescent="0.2">
      <c r="A8530" s="221">
        <v>2025</v>
      </c>
      <c r="B8530" s="221">
        <v>7</v>
      </c>
      <c r="C8530" s="221">
        <v>29</v>
      </c>
      <c r="D8530" s="231">
        <f t="shared" si="987"/>
        <v>45867</v>
      </c>
      <c r="E8530" s="233">
        <f t="shared" si="986"/>
        <v>45867</v>
      </c>
      <c r="F8530" s="478" t="s">
        <v>1115</v>
      </c>
      <c r="G8530" s="222" t="s">
        <v>1111</v>
      </c>
      <c r="H8530" s="223"/>
      <c r="I8530" s="223"/>
      <c r="J8530" s="224" t="s">
        <v>14</v>
      </c>
      <c r="K8530" s="167">
        <v>168650</v>
      </c>
      <c r="L8530" s="225"/>
    </row>
    <row r="8531" spans="1:14" ht="11.25" customHeight="1" x14ac:dyDescent="0.2">
      <c r="A8531" s="164">
        <v>2025</v>
      </c>
      <c r="B8531" s="164">
        <v>7</v>
      </c>
      <c r="C8531" s="164">
        <v>29</v>
      </c>
      <c r="D8531" s="156">
        <f t="shared" si="987"/>
        <v>45867</v>
      </c>
      <c r="E8531" s="235">
        <f t="shared" si="986"/>
        <v>45867</v>
      </c>
      <c r="F8531" s="480"/>
      <c r="G8531" s="208" t="s">
        <v>1111</v>
      </c>
      <c r="J8531" s="165" t="s">
        <v>1112</v>
      </c>
      <c r="K8531" s="205">
        <v>31350</v>
      </c>
      <c r="L8531" s="156"/>
    </row>
    <row r="8532" spans="1:14" ht="11.25" customHeight="1" x14ac:dyDescent="0.2">
      <c r="A8532" s="226">
        <v>2025</v>
      </c>
      <c r="B8532" s="226">
        <v>7</v>
      </c>
      <c r="C8532" s="226">
        <v>29</v>
      </c>
      <c r="D8532" s="232">
        <f t="shared" si="987"/>
        <v>45867</v>
      </c>
      <c r="E8532" s="234">
        <f t="shared" si="986"/>
        <v>45867</v>
      </c>
      <c r="F8532" s="479"/>
      <c r="G8532" s="227" t="s">
        <v>1111</v>
      </c>
      <c r="H8532" s="228"/>
      <c r="I8532" s="228"/>
      <c r="J8532" s="229" t="s">
        <v>55</v>
      </c>
      <c r="K8532" s="230"/>
      <c r="L8532" s="230">
        <v>200000</v>
      </c>
    </row>
    <row r="8533" spans="1:14" ht="11.25" customHeight="1" x14ac:dyDescent="0.2">
      <c r="A8533" s="221">
        <v>2025</v>
      </c>
      <c r="B8533" s="221">
        <v>7</v>
      </c>
      <c r="C8533" s="221">
        <v>29</v>
      </c>
      <c r="D8533" s="231">
        <f t="shared" si="987"/>
        <v>45867</v>
      </c>
      <c r="E8533" s="233">
        <f t="shared" si="986"/>
        <v>45867</v>
      </c>
      <c r="F8533" s="478" t="s">
        <v>1814</v>
      </c>
      <c r="G8533" s="222" t="s">
        <v>1111</v>
      </c>
      <c r="H8533" s="223"/>
      <c r="I8533" s="223"/>
      <c r="J8533" s="224" t="s">
        <v>961</v>
      </c>
      <c r="K8533" s="225">
        <v>2158917.2200000002</v>
      </c>
      <c r="L8533" s="225"/>
    </row>
    <row r="8534" spans="1:14" ht="11.25" customHeight="1" x14ac:dyDescent="0.2">
      <c r="A8534" s="226">
        <v>2025</v>
      </c>
      <c r="B8534" s="226">
        <v>7</v>
      </c>
      <c r="C8534" s="226">
        <v>29</v>
      </c>
      <c r="D8534" s="232">
        <f t="shared" si="987"/>
        <v>45867</v>
      </c>
      <c r="E8534" s="234">
        <f t="shared" si="986"/>
        <v>45867</v>
      </c>
      <c r="F8534" s="479"/>
      <c r="G8534" s="227" t="s">
        <v>1111</v>
      </c>
      <c r="H8534" s="228"/>
      <c r="I8534" s="228"/>
      <c r="J8534" s="229" t="s">
        <v>55</v>
      </c>
      <c r="K8534" s="230"/>
      <c r="L8534" s="230">
        <f>K8533</f>
        <v>2158917.2200000002</v>
      </c>
    </row>
    <row r="8535" spans="1:14" ht="11.25" customHeight="1" x14ac:dyDescent="0.2">
      <c r="A8535" s="221">
        <v>2025</v>
      </c>
      <c r="B8535" s="221">
        <v>7</v>
      </c>
      <c r="C8535" s="221">
        <v>29</v>
      </c>
      <c r="D8535" s="231">
        <f t="shared" si="987"/>
        <v>45867</v>
      </c>
      <c r="E8535" s="233">
        <f t="shared" si="986"/>
        <v>45867</v>
      </c>
      <c r="F8535" s="478" t="s">
        <v>1670</v>
      </c>
      <c r="G8535" s="222" t="s">
        <v>1111</v>
      </c>
      <c r="H8535" s="223"/>
      <c r="I8535" s="223"/>
      <c r="J8535" s="224" t="s">
        <v>63</v>
      </c>
      <c r="K8535" s="225">
        <v>100</v>
      </c>
      <c r="L8535" s="225"/>
    </row>
    <row r="8536" spans="1:14" ht="11.25" customHeight="1" x14ac:dyDescent="0.2">
      <c r="A8536" s="226">
        <v>2025</v>
      </c>
      <c r="B8536" s="226">
        <v>7</v>
      </c>
      <c r="C8536" s="226">
        <v>29</v>
      </c>
      <c r="D8536" s="232">
        <f t="shared" si="987"/>
        <v>45867</v>
      </c>
      <c r="E8536" s="234">
        <f t="shared" si="986"/>
        <v>45867</v>
      </c>
      <c r="F8536" s="479"/>
      <c r="G8536" s="227" t="s">
        <v>1111</v>
      </c>
      <c r="H8536" s="228"/>
      <c r="I8536" s="228"/>
      <c r="J8536" s="229" t="s">
        <v>55</v>
      </c>
      <c r="K8536" s="230"/>
      <c r="L8536" s="230">
        <v>100</v>
      </c>
    </row>
    <row r="8537" spans="1:14" ht="11.25" customHeight="1" x14ac:dyDescent="0.2">
      <c r="A8537" s="221">
        <v>2025</v>
      </c>
      <c r="B8537" s="221">
        <v>7</v>
      </c>
      <c r="C8537" s="221">
        <v>30</v>
      </c>
      <c r="D8537" s="231">
        <f t="shared" si="987"/>
        <v>45868</v>
      </c>
      <c r="E8537" s="233">
        <f t="shared" si="986"/>
        <v>45868</v>
      </c>
      <c r="F8537" s="478" t="s">
        <v>1889</v>
      </c>
      <c r="G8537" s="222" t="s">
        <v>1111</v>
      </c>
      <c r="H8537" s="223"/>
      <c r="I8537" s="223"/>
      <c r="J8537" s="224" t="s">
        <v>961</v>
      </c>
      <c r="K8537" s="225">
        <v>9697.9599999999991</v>
      </c>
      <c r="L8537" s="225"/>
    </row>
    <row r="8538" spans="1:14" ht="11.25" customHeight="1" x14ac:dyDescent="0.2">
      <c r="A8538" s="226">
        <v>2025</v>
      </c>
      <c r="B8538" s="226">
        <v>7</v>
      </c>
      <c r="C8538" s="226">
        <v>30</v>
      </c>
      <c r="D8538" s="232">
        <f t="shared" si="987"/>
        <v>45868</v>
      </c>
      <c r="E8538" s="234">
        <f t="shared" si="986"/>
        <v>45868</v>
      </c>
      <c r="F8538" s="479"/>
      <c r="G8538" s="227" t="s">
        <v>1111</v>
      </c>
      <c r="H8538" s="228"/>
      <c r="I8538" s="228"/>
      <c r="J8538" s="229" t="s">
        <v>55</v>
      </c>
      <c r="K8538" s="230"/>
      <c r="L8538" s="230">
        <f>K8537</f>
        <v>9697.9599999999991</v>
      </c>
    </row>
    <row r="8539" spans="1:14" ht="11.25" customHeight="1" x14ac:dyDescent="0.2">
      <c r="A8539" s="221">
        <v>2025</v>
      </c>
      <c r="B8539" s="221">
        <v>7</v>
      </c>
      <c r="C8539" s="221">
        <v>30</v>
      </c>
      <c r="D8539" s="231">
        <f t="shared" si="987"/>
        <v>45868</v>
      </c>
      <c r="E8539" s="233">
        <f t="shared" ref="E8539:E8552" si="988">DATE(A8539,B8539,C8539)</f>
        <v>45868</v>
      </c>
      <c r="F8539" s="478" t="s">
        <v>1814</v>
      </c>
      <c r="G8539" s="222" t="s">
        <v>1111</v>
      </c>
      <c r="H8539" s="223"/>
      <c r="I8539" s="223"/>
      <c r="J8539" s="224" t="s">
        <v>961</v>
      </c>
      <c r="K8539" s="225">
        <v>1888699.89</v>
      </c>
      <c r="L8539" s="225"/>
    </row>
    <row r="8540" spans="1:14" ht="11.25" customHeight="1" x14ac:dyDescent="0.2">
      <c r="A8540" s="226">
        <v>2025</v>
      </c>
      <c r="B8540" s="226">
        <v>7</v>
      </c>
      <c r="C8540" s="226">
        <v>30</v>
      </c>
      <c r="D8540" s="232">
        <f t="shared" si="987"/>
        <v>45868</v>
      </c>
      <c r="E8540" s="234">
        <f t="shared" si="988"/>
        <v>45868</v>
      </c>
      <c r="F8540" s="479"/>
      <c r="G8540" s="227" t="s">
        <v>1111</v>
      </c>
      <c r="H8540" s="228"/>
      <c r="I8540" s="228"/>
      <c r="J8540" s="229" t="s">
        <v>55</v>
      </c>
      <c r="K8540" s="230"/>
      <c r="L8540" s="230">
        <f>K8539</f>
        <v>1888699.89</v>
      </c>
    </row>
    <row r="8541" spans="1:14" ht="11.25" customHeight="1" x14ac:dyDescent="0.2">
      <c r="A8541" s="221">
        <v>2025</v>
      </c>
      <c r="B8541" s="221">
        <v>7</v>
      </c>
      <c r="C8541" s="221">
        <v>30</v>
      </c>
      <c r="D8541" s="231">
        <f t="shared" si="987"/>
        <v>45868</v>
      </c>
      <c r="E8541" s="233">
        <f t="shared" si="988"/>
        <v>45868</v>
      </c>
      <c r="F8541" s="478" t="s">
        <v>1670</v>
      </c>
      <c r="G8541" s="222" t="s">
        <v>1111</v>
      </c>
      <c r="H8541" s="223"/>
      <c r="I8541" s="223"/>
      <c r="J8541" s="224" t="s">
        <v>63</v>
      </c>
      <c r="K8541" s="225">
        <v>100</v>
      </c>
      <c r="L8541" s="225"/>
    </row>
    <row r="8542" spans="1:14" ht="11.25" customHeight="1" x14ac:dyDescent="0.2">
      <c r="A8542" s="226">
        <v>2025</v>
      </c>
      <c r="B8542" s="226">
        <v>7</v>
      </c>
      <c r="C8542" s="226">
        <v>30</v>
      </c>
      <c r="D8542" s="232">
        <f t="shared" si="987"/>
        <v>45868</v>
      </c>
      <c r="E8542" s="234">
        <f t="shared" si="988"/>
        <v>45868</v>
      </c>
      <c r="F8542" s="479"/>
      <c r="G8542" s="227" t="s">
        <v>1111</v>
      </c>
      <c r="H8542" s="228"/>
      <c r="I8542" s="228"/>
      <c r="J8542" s="229" t="s">
        <v>55</v>
      </c>
      <c r="K8542" s="230"/>
      <c r="L8542" s="230">
        <v>100</v>
      </c>
    </row>
    <row r="8543" spans="1:14" ht="11.25" customHeight="1" x14ac:dyDescent="0.2">
      <c r="A8543" s="221">
        <v>2025</v>
      </c>
      <c r="B8543" s="221">
        <v>7</v>
      </c>
      <c r="C8543" s="221">
        <v>30</v>
      </c>
      <c r="D8543" s="221">
        <f t="shared" si="987"/>
        <v>45868</v>
      </c>
      <c r="E8543" s="233">
        <f t="shared" si="988"/>
        <v>45868</v>
      </c>
      <c r="F8543" s="478" t="s">
        <v>1769</v>
      </c>
      <c r="G8543" s="222" t="s">
        <v>86</v>
      </c>
      <c r="H8543" s="222"/>
      <c r="I8543" s="223"/>
      <c r="J8543" s="224" t="s">
        <v>80</v>
      </c>
      <c r="K8543" s="225">
        <v>3321697.8</v>
      </c>
      <c r="L8543" s="225"/>
      <c r="N8543" s="263"/>
    </row>
    <row r="8544" spans="1:14" ht="11.25" customHeight="1" x14ac:dyDescent="0.2">
      <c r="A8544" s="164">
        <v>2025</v>
      </c>
      <c r="B8544" s="164">
        <v>7</v>
      </c>
      <c r="C8544" s="164">
        <v>30</v>
      </c>
      <c r="D8544" s="164">
        <f t="shared" si="987"/>
        <v>45868</v>
      </c>
      <c r="E8544" s="235">
        <f t="shared" si="988"/>
        <v>45868</v>
      </c>
      <c r="F8544" s="480"/>
      <c r="G8544" s="208" t="s">
        <v>86</v>
      </c>
      <c r="H8544" s="208"/>
      <c r="J8544" s="165" t="s">
        <v>960</v>
      </c>
      <c r="K8544" s="205">
        <v>8494.41</v>
      </c>
      <c r="L8544" s="205"/>
      <c r="M8544" s="263"/>
      <c r="N8544" s="263"/>
    </row>
    <row r="8545" spans="1:14" ht="11.25" customHeight="1" x14ac:dyDescent="0.2">
      <c r="A8545" s="164">
        <v>2025</v>
      </c>
      <c r="B8545" s="164">
        <v>7</v>
      </c>
      <c r="C8545" s="164">
        <v>30</v>
      </c>
      <c r="D8545" s="164">
        <f t="shared" si="987"/>
        <v>45868</v>
      </c>
      <c r="E8545" s="235">
        <f t="shared" si="988"/>
        <v>45868</v>
      </c>
      <c r="F8545" s="480"/>
      <c r="G8545" s="208" t="s">
        <v>86</v>
      </c>
      <c r="H8545" s="208"/>
      <c r="J8545" s="165" t="s">
        <v>143</v>
      </c>
      <c r="K8545" s="205"/>
      <c r="L8545" s="205">
        <v>1932772.21</v>
      </c>
      <c r="M8545" s="263"/>
    </row>
    <row r="8546" spans="1:14" ht="11.25" customHeight="1" x14ac:dyDescent="0.2">
      <c r="A8546" s="164">
        <v>2025</v>
      </c>
      <c r="B8546" s="164">
        <v>7</v>
      </c>
      <c r="C8546" s="164">
        <v>30</v>
      </c>
      <c r="D8546" s="164">
        <f t="shared" si="987"/>
        <v>45868</v>
      </c>
      <c r="E8546" s="235">
        <f t="shared" si="988"/>
        <v>45868</v>
      </c>
      <c r="F8546" s="480"/>
      <c r="G8546" s="208" t="s">
        <v>86</v>
      </c>
      <c r="H8546" s="208"/>
      <c r="J8546" s="165" t="s">
        <v>200</v>
      </c>
      <c r="K8546" s="205">
        <v>14214.9</v>
      </c>
      <c r="L8546" s="205"/>
      <c r="M8546" s="263"/>
    </row>
    <row r="8547" spans="1:14" ht="11.25" customHeight="1" x14ac:dyDescent="0.2">
      <c r="A8547" s="226">
        <v>2025</v>
      </c>
      <c r="B8547" s="226">
        <v>7</v>
      </c>
      <c r="C8547" s="226">
        <v>30</v>
      </c>
      <c r="D8547" s="226">
        <f t="shared" si="987"/>
        <v>45868</v>
      </c>
      <c r="E8547" s="234">
        <f t="shared" si="988"/>
        <v>45868</v>
      </c>
      <c r="F8547" s="479"/>
      <c r="G8547" s="227" t="s">
        <v>86</v>
      </c>
      <c r="H8547" s="228"/>
      <c r="I8547" s="228"/>
      <c r="J8547" s="229" t="s">
        <v>80</v>
      </c>
      <c r="K8547" s="230"/>
      <c r="L8547" s="230">
        <v>1411634.9</v>
      </c>
      <c r="M8547" s="263"/>
    </row>
    <row r="8548" spans="1:14" ht="11.25" customHeight="1" x14ac:dyDescent="0.2">
      <c r="A8548" s="221">
        <v>2025</v>
      </c>
      <c r="B8548" s="221">
        <v>7</v>
      </c>
      <c r="C8548" s="221">
        <v>30</v>
      </c>
      <c r="D8548" s="221">
        <f t="shared" si="987"/>
        <v>45868</v>
      </c>
      <c r="E8548" s="233">
        <f t="shared" si="988"/>
        <v>45868</v>
      </c>
      <c r="F8548" s="478" t="s">
        <v>1886</v>
      </c>
      <c r="G8548" s="222" t="s">
        <v>86</v>
      </c>
      <c r="H8548" s="222"/>
      <c r="I8548" s="223"/>
      <c r="J8548" s="224" t="s">
        <v>80</v>
      </c>
      <c r="K8548" s="225">
        <v>278500</v>
      </c>
      <c r="L8548" s="225"/>
      <c r="N8548" s="263"/>
    </row>
    <row r="8549" spans="1:14" ht="11.25" customHeight="1" x14ac:dyDescent="0.2">
      <c r="A8549" s="164">
        <v>2025</v>
      </c>
      <c r="B8549" s="164">
        <v>7</v>
      </c>
      <c r="C8549" s="164">
        <v>30</v>
      </c>
      <c r="D8549" s="164">
        <f t="shared" si="987"/>
        <v>45868</v>
      </c>
      <c r="E8549" s="235">
        <f t="shared" si="988"/>
        <v>45868</v>
      </c>
      <c r="F8549" s="480"/>
      <c r="G8549" s="208" t="s">
        <v>86</v>
      </c>
      <c r="H8549" s="208"/>
      <c r="J8549" s="165" t="s">
        <v>960</v>
      </c>
      <c r="K8549" s="205">
        <v>1243.31</v>
      </c>
      <c r="L8549" s="205"/>
      <c r="M8549" s="263"/>
      <c r="N8549" s="263"/>
    </row>
    <row r="8550" spans="1:14" ht="11.25" customHeight="1" x14ac:dyDescent="0.2">
      <c r="A8550" s="164">
        <v>2025</v>
      </c>
      <c r="B8550" s="164">
        <v>7</v>
      </c>
      <c r="C8550" s="164">
        <v>30</v>
      </c>
      <c r="D8550" s="164">
        <f t="shared" si="987"/>
        <v>45868</v>
      </c>
      <c r="E8550" s="235">
        <f t="shared" si="988"/>
        <v>45868</v>
      </c>
      <c r="F8550" s="480"/>
      <c r="G8550" s="208" t="s">
        <v>86</v>
      </c>
      <c r="H8550" s="208"/>
      <c r="J8550" s="374" t="s">
        <v>199</v>
      </c>
      <c r="K8550" s="418">
        <v>132486.69</v>
      </c>
      <c r="L8550" s="205"/>
      <c r="M8550" s="263"/>
    </row>
    <row r="8551" spans="1:14" ht="11.25" customHeight="1" x14ac:dyDescent="0.2">
      <c r="A8551" s="164">
        <v>2025</v>
      </c>
      <c r="B8551" s="164">
        <v>7</v>
      </c>
      <c r="C8551" s="164">
        <v>30</v>
      </c>
      <c r="D8551" s="164">
        <f t="shared" si="987"/>
        <v>45868</v>
      </c>
      <c r="E8551" s="235">
        <f t="shared" si="988"/>
        <v>45868</v>
      </c>
      <c r="F8551" s="480"/>
      <c r="G8551" s="208" t="s">
        <v>86</v>
      </c>
      <c r="H8551" s="208"/>
      <c r="J8551" s="165" t="s">
        <v>200</v>
      </c>
      <c r="K8551" s="205">
        <v>74558.929999999993</v>
      </c>
      <c r="L8551" s="205"/>
      <c r="M8551" s="263"/>
    </row>
    <row r="8552" spans="1:14" ht="11.25" customHeight="1" x14ac:dyDescent="0.2">
      <c r="A8552" s="226">
        <v>2025</v>
      </c>
      <c r="B8552" s="226">
        <v>7</v>
      </c>
      <c r="C8552" s="226">
        <v>30</v>
      </c>
      <c r="D8552" s="226">
        <f t="shared" si="987"/>
        <v>45868</v>
      </c>
      <c r="E8552" s="234">
        <f t="shared" si="988"/>
        <v>45868</v>
      </c>
      <c r="F8552" s="479"/>
      <c r="G8552" s="227" t="s">
        <v>86</v>
      </c>
      <c r="H8552" s="228"/>
      <c r="I8552" s="228"/>
      <c r="J8552" s="229" t="s">
        <v>80</v>
      </c>
      <c r="K8552" s="230"/>
      <c r="L8552" s="230">
        <v>486788.93</v>
      </c>
      <c r="M8552" s="263"/>
    </row>
    <row r="8553" spans="1:14" ht="11.25" customHeight="1" x14ac:dyDescent="0.2">
      <c r="A8553" s="221">
        <v>2025</v>
      </c>
      <c r="B8553" s="221">
        <v>7</v>
      </c>
      <c r="C8553" s="221">
        <v>30</v>
      </c>
      <c r="D8553" s="231">
        <f t="shared" si="987"/>
        <v>45868</v>
      </c>
      <c r="E8553" s="233">
        <f t="shared" ref="E8553:E8573" si="989">DATE(A8553,B8553,C8553)</f>
        <v>45868</v>
      </c>
      <c r="F8553" s="478" t="s">
        <v>1814</v>
      </c>
      <c r="G8553" s="222" t="s">
        <v>1111</v>
      </c>
      <c r="H8553" s="223"/>
      <c r="I8553" s="223"/>
      <c r="J8553" s="224" t="s">
        <v>961</v>
      </c>
      <c r="K8553" s="225">
        <v>1932772.21</v>
      </c>
      <c r="L8553" s="225"/>
    </row>
    <row r="8554" spans="1:14" ht="11.25" customHeight="1" x14ac:dyDescent="0.2">
      <c r="A8554" s="226">
        <v>2025</v>
      </c>
      <c r="B8554" s="226">
        <v>7</v>
      </c>
      <c r="C8554" s="226">
        <v>30</v>
      </c>
      <c r="D8554" s="232">
        <f t="shared" si="987"/>
        <v>45868</v>
      </c>
      <c r="E8554" s="234">
        <f t="shared" si="989"/>
        <v>45868</v>
      </c>
      <c r="F8554" s="479"/>
      <c r="G8554" s="227" t="s">
        <v>1111</v>
      </c>
      <c r="H8554" s="228"/>
      <c r="I8554" s="228"/>
      <c r="J8554" s="229" t="s">
        <v>55</v>
      </c>
      <c r="K8554" s="230"/>
      <c r="L8554" s="230">
        <f>K8553</f>
        <v>1932772.21</v>
      </c>
    </row>
    <row r="8555" spans="1:14" ht="11.25" customHeight="1" x14ac:dyDescent="0.2">
      <c r="A8555" s="221">
        <v>2025</v>
      </c>
      <c r="B8555" s="221">
        <v>7</v>
      </c>
      <c r="C8555" s="221">
        <v>31</v>
      </c>
      <c r="D8555" s="231">
        <f t="shared" si="987"/>
        <v>45869</v>
      </c>
      <c r="E8555" s="233">
        <f t="shared" si="989"/>
        <v>45869</v>
      </c>
      <c r="F8555" s="478" t="s">
        <v>802</v>
      </c>
      <c r="G8555" s="222" t="s">
        <v>1111</v>
      </c>
      <c r="H8555" s="223"/>
      <c r="I8555" s="223"/>
      <c r="J8555" s="224" t="s">
        <v>55</v>
      </c>
      <c r="K8555" s="167">
        <v>625000</v>
      </c>
      <c r="L8555" s="225"/>
    </row>
    <row r="8556" spans="1:14" ht="11.25" customHeight="1" x14ac:dyDescent="0.2">
      <c r="A8556" s="164">
        <v>2025</v>
      </c>
      <c r="B8556" s="164">
        <v>7</v>
      </c>
      <c r="C8556" s="164">
        <v>31</v>
      </c>
      <c r="D8556" s="156">
        <f t="shared" si="987"/>
        <v>45869</v>
      </c>
      <c r="E8556" s="235">
        <f t="shared" si="989"/>
        <v>45869</v>
      </c>
      <c r="F8556" s="480"/>
      <c r="G8556" s="208" t="s">
        <v>1111</v>
      </c>
      <c r="J8556" s="165" t="s">
        <v>14</v>
      </c>
      <c r="L8556" s="205">
        <v>527020</v>
      </c>
    </row>
    <row r="8557" spans="1:14" ht="11.25" customHeight="1" x14ac:dyDescent="0.2">
      <c r="A8557" s="226">
        <v>2025</v>
      </c>
      <c r="B8557" s="226">
        <v>7</v>
      </c>
      <c r="C8557" s="226">
        <v>31</v>
      </c>
      <c r="D8557" s="232">
        <f t="shared" si="987"/>
        <v>45869</v>
      </c>
      <c r="E8557" s="234">
        <f t="shared" si="989"/>
        <v>45869</v>
      </c>
      <c r="F8557" s="479"/>
      <c r="G8557" s="227" t="s">
        <v>1111</v>
      </c>
      <c r="H8557" s="228"/>
      <c r="I8557" s="228"/>
      <c r="J8557" s="229" t="s">
        <v>1112</v>
      </c>
      <c r="K8557" s="230"/>
      <c r="L8557" s="230">
        <v>97980</v>
      </c>
    </row>
    <row r="8558" spans="1:14" ht="11.25" customHeight="1" x14ac:dyDescent="0.2">
      <c r="A8558" s="221">
        <v>2025</v>
      </c>
      <c r="B8558" s="221">
        <v>7</v>
      </c>
      <c r="C8558" s="221">
        <v>31</v>
      </c>
      <c r="D8558" s="221">
        <f t="shared" si="987"/>
        <v>45869</v>
      </c>
      <c r="E8558" s="233">
        <f t="shared" si="989"/>
        <v>45869</v>
      </c>
      <c r="F8558" s="478" t="s">
        <v>1930</v>
      </c>
      <c r="G8558" s="222" t="s">
        <v>86</v>
      </c>
      <c r="H8558" s="222"/>
      <c r="I8558" s="223"/>
      <c r="J8558" s="224" t="s">
        <v>80</v>
      </c>
      <c r="K8558" s="225">
        <v>1198700</v>
      </c>
      <c r="L8558" s="225"/>
    </row>
    <row r="8559" spans="1:14" ht="11.25" customHeight="1" x14ac:dyDescent="0.2">
      <c r="A8559" s="164">
        <v>2025</v>
      </c>
      <c r="B8559" s="164">
        <v>7</v>
      </c>
      <c r="C8559" s="164">
        <v>31</v>
      </c>
      <c r="D8559" s="164">
        <f t="shared" si="987"/>
        <v>45869</v>
      </c>
      <c r="E8559" s="235">
        <f t="shared" si="989"/>
        <v>45869</v>
      </c>
      <c r="F8559" s="480"/>
      <c r="G8559" s="208" t="s">
        <v>86</v>
      </c>
      <c r="H8559" s="208"/>
      <c r="J8559" s="165" t="s">
        <v>960</v>
      </c>
      <c r="K8559" s="205">
        <v>2157.66</v>
      </c>
      <c r="L8559" s="205"/>
    </row>
    <row r="8560" spans="1:14" ht="11.25" customHeight="1" x14ac:dyDescent="0.2">
      <c r="A8560" s="226">
        <v>2025</v>
      </c>
      <c r="B8560" s="226">
        <v>7</v>
      </c>
      <c r="C8560" s="226">
        <v>31</v>
      </c>
      <c r="D8560" s="226">
        <f t="shared" si="987"/>
        <v>45869</v>
      </c>
      <c r="E8560" s="234">
        <f t="shared" si="989"/>
        <v>45869</v>
      </c>
      <c r="F8560" s="479"/>
      <c r="G8560" s="227" t="s">
        <v>86</v>
      </c>
      <c r="H8560" s="227"/>
      <c r="I8560" s="228"/>
      <c r="J8560" s="229" t="s">
        <v>143</v>
      </c>
      <c r="K8560" s="230"/>
      <c r="L8560" s="230">
        <v>1200857.6599999999</v>
      </c>
    </row>
    <row r="8561" spans="1:14" ht="11.25" customHeight="1" x14ac:dyDescent="0.2">
      <c r="A8561" s="221">
        <v>2025</v>
      </c>
      <c r="B8561" s="221">
        <v>7</v>
      </c>
      <c r="C8561" s="221">
        <v>31</v>
      </c>
      <c r="D8561" s="221">
        <f t="shared" si="987"/>
        <v>45869</v>
      </c>
      <c r="E8561" s="233">
        <f t="shared" si="989"/>
        <v>45869</v>
      </c>
      <c r="F8561" s="478" t="s">
        <v>1769</v>
      </c>
      <c r="G8561" s="222" t="s">
        <v>86</v>
      </c>
      <c r="H8561" s="222"/>
      <c r="I8561" s="223"/>
      <c r="J8561" s="224" t="s">
        <v>80</v>
      </c>
      <c r="K8561" s="225">
        <v>2211033.2999999998</v>
      </c>
      <c r="L8561" s="225"/>
      <c r="N8561" s="263"/>
    </row>
    <row r="8562" spans="1:14" ht="11.25" customHeight="1" x14ac:dyDescent="0.2">
      <c r="A8562" s="164">
        <v>2025</v>
      </c>
      <c r="B8562" s="164">
        <v>7</v>
      </c>
      <c r="C8562" s="164">
        <v>31</v>
      </c>
      <c r="D8562" s="164">
        <f t="shared" si="987"/>
        <v>45869</v>
      </c>
      <c r="E8562" s="235">
        <f t="shared" si="989"/>
        <v>45869</v>
      </c>
      <c r="F8562" s="480"/>
      <c r="G8562" s="208" t="s">
        <v>86</v>
      </c>
      <c r="H8562" s="208"/>
      <c r="J8562" s="165" t="s">
        <v>960</v>
      </c>
      <c r="K8562" s="205">
        <v>6890.95</v>
      </c>
      <c r="L8562" s="205"/>
      <c r="M8562" s="263"/>
      <c r="N8562" s="263"/>
    </row>
    <row r="8563" spans="1:14" ht="11.25" customHeight="1" x14ac:dyDescent="0.2">
      <c r="A8563" s="164">
        <v>2025</v>
      </c>
      <c r="B8563" s="164">
        <v>7</v>
      </c>
      <c r="C8563" s="164">
        <v>31</v>
      </c>
      <c r="D8563" s="164">
        <f t="shared" si="987"/>
        <v>45869</v>
      </c>
      <c r="E8563" s="235">
        <f t="shared" si="989"/>
        <v>45869</v>
      </c>
      <c r="F8563" s="480"/>
      <c r="G8563" s="208" t="s">
        <v>86</v>
      </c>
      <c r="H8563" s="208"/>
      <c r="J8563" s="165" t="s">
        <v>143</v>
      </c>
      <c r="K8563" s="205"/>
      <c r="L8563" s="205">
        <v>600651.05000000005</v>
      </c>
      <c r="M8563" s="263"/>
    </row>
    <row r="8564" spans="1:14" ht="11.25" customHeight="1" x14ac:dyDescent="0.2">
      <c r="A8564" s="164">
        <v>2025</v>
      </c>
      <c r="B8564" s="164">
        <v>7</v>
      </c>
      <c r="C8564" s="164">
        <v>31</v>
      </c>
      <c r="D8564" s="164">
        <f t="shared" si="987"/>
        <v>45869</v>
      </c>
      <c r="E8564" s="235">
        <f t="shared" si="989"/>
        <v>45869</v>
      </c>
      <c r="F8564" s="480"/>
      <c r="G8564" s="208" t="s">
        <v>86</v>
      </c>
      <c r="H8564" s="208"/>
      <c r="J8564" s="165" t="s">
        <v>200</v>
      </c>
      <c r="K8564" s="205"/>
      <c r="L8564" s="205">
        <v>273227.46999999997</v>
      </c>
      <c r="M8564" s="263"/>
    </row>
    <row r="8565" spans="1:14" ht="11.25" customHeight="1" x14ac:dyDescent="0.2">
      <c r="A8565" s="226">
        <v>2025</v>
      </c>
      <c r="B8565" s="226">
        <v>7</v>
      </c>
      <c r="C8565" s="226">
        <v>31</v>
      </c>
      <c r="D8565" s="226">
        <f t="shared" si="987"/>
        <v>45869</v>
      </c>
      <c r="E8565" s="234">
        <f t="shared" si="989"/>
        <v>45869</v>
      </c>
      <c r="F8565" s="479"/>
      <c r="G8565" s="227" t="s">
        <v>86</v>
      </c>
      <c r="H8565" s="228"/>
      <c r="I8565" s="228"/>
      <c r="J8565" s="229" t="s">
        <v>80</v>
      </c>
      <c r="K8565" s="230"/>
      <c r="L8565" s="230">
        <v>1344045.73</v>
      </c>
      <c r="M8565" s="263"/>
    </row>
    <row r="8566" spans="1:14" ht="11.25" customHeight="1" x14ac:dyDescent="0.2">
      <c r="A8566" s="280">
        <v>2025</v>
      </c>
      <c r="B8566" s="280">
        <v>7</v>
      </c>
      <c r="C8566" s="280">
        <v>31</v>
      </c>
      <c r="D8566" s="281">
        <f t="shared" si="987"/>
        <v>45869</v>
      </c>
      <c r="E8566" s="282">
        <f t="shared" si="989"/>
        <v>45869</v>
      </c>
      <c r="F8566" s="472" t="s">
        <v>1744</v>
      </c>
      <c r="G8566" s="283" t="s">
        <v>86</v>
      </c>
      <c r="H8566" s="284"/>
      <c r="I8566" s="284"/>
      <c r="J8566" s="285" t="s">
        <v>131</v>
      </c>
      <c r="K8566" s="286">
        <v>19358.330000000002</v>
      </c>
      <c r="L8566" s="286"/>
      <c r="M8566" s="401"/>
    </row>
    <row r="8567" spans="1:14" ht="11.25" customHeight="1" x14ac:dyDescent="0.2">
      <c r="A8567" s="287">
        <v>2025</v>
      </c>
      <c r="B8567" s="287">
        <v>7</v>
      </c>
      <c r="C8567" s="287">
        <v>31</v>
      </c>
      <c r="D8567" s="288">
        <f t="shared" si="987"/>
        <v>45869</v>
      </c>
      <c r="E8567" s="289">
        <f t="shared" si="989"/>
        <v>45869</v>
      </c>
      <c r="F8567" s="473"/>
      <c r="G8567" s="290" t="s">
        <v>86</v>
      </c>
      <c r="H8567" s="291"/>
      <c r="I8567" s="291"/>
      <c r="J8567" s="292" t="s">
        <v>174</v>
      </c>
      <c r="K8567" s="293"/>
      <c r="L8567" s="293">
        <f>K8566</f>
        <v>19358.330000000002</v>
      </c>
    </row>
    <row r="8568" spans="1:14" ht="11.25" customHeight="1" x14ac:dyDescent="0.2">
      <c r="A8568" s="280">
        <v>2025</v>
      </c>
      <c r="B8568" s="280">
        <v>7</v>
      </c>
      <c r="C8568" s="280">
        <v>31</v>
      </c>
      <c r="D8568" s="281">
        <f t="shared" si="987"/>
        <v>45869</v>
      </c>
      <c r="E8568" s="282">
        <f t="shared" si="989"/>
        <v>45869</v>
      </c>
      <c r="F8568" s="472" t="s">
        <v>1584</v>
      </c>
      <c r="G8568" s="283" t="s">
        <v>86</v>
      </c>
      <c r="H8568" s="284"/>
      <c r="I8568" s="284"/>
      <c r="J8568" s="285" t="s">
        <v>131</v>
      </c>
      <c r="K8568" s="286">
        <v>8846.15</v>
      </c>
      <c r="L8568" s="286"/>
      <c r="M8568" s="401"/>
    </row>
    <row r="8569" spans="1:14" ht="11.25" customHeight="1" x14ac:dyDescent="0.2">
      <c r="A8569" s="287">
        <v>2025</v>
      </c>
      <c r="B8569" s="287">
        <v>7</v>
      </c>
      <c r="C8569" s="287">
        <v>31</v>
      </c>
      <c r="D8569" s="288">
        <f t="shared" si="987"/>
        <v>45869</v>
      </c>
      <c r="E8569" s="289">
        <f t="shared" si="989"/>
        <v>45869</v>
      </c>
      <c r="F8569" s="473"/>
      <c r="G8569" s="290" t="s">
        <v>86</v>
      </c>
      <c r="H8569" s="291"/>
      <c r="I8569" s="291"/>
      <c r="J8569" s="292" t="s">
        <v>174</v>
      </c>
      <c r="K8569" s="293"/>
      <c r="L8569" s="293">
        <f>K8568</f>
        <v>8846.15</v>
      </c>
    </row>
    <row r="8570" spans="1:14" ht="11.25" customHeight="1" x14ac:dyDescent="0.2">
      <c r="A8570" s="280">
        <v>2025</v>
      </c>
      <c r="B8570" s="280">
        <v>7</v>
      </c>
      <c r="C8570" s="280">
        <v>31</v>
      </c>
      <c r="D8570" s="281">
        <f t="shared" si="987"/>
        <v>45869</v>
      </c>
      <c r="E8570" s="282">
        <f t="shared" si="989"/>
        <v>45869</v>
      </c>
      <c r="F8570" s="472" t="s">
        <v>1830</v>
      </c>
      <c r="G8570" s="283" t="s">
        <v>86</v>
      </c>
      <c r="H8570" s="284"/>
      <c r="I8570" s="284"/>
      <c r="J8570" s="285" t="s">
        <v>131</v>
      </c>
      <c r="K8570" s="286">
        <v>11634.615384615385</v>
      </c>
      <c r="L8570" s="286"/>
      <c r="M8570" s="401"/>
    </row>
    <row r="8571" spans="1:14" ht="11.25" customHeight="1" x14ac:dyDescent="0.2">
      <c r="A8571" s="287">
        <v>2025</v>
      </c>
      <c r="B8571" s="287">
        <v>7</v>
      </c>
      <c r="C8571" s="287">
        <v>31</v>
      </c>
      <c r="D8571" s="288">
        <f t="shared" si="987"/>
        <v>45869</v>
      </c>
      <c r="E8571" s="289">
        <f t="shared" si="989"/>
        <v>45869</v>
      </c>
      <c r="F8571" s="473"/>
      <c r="G8571" s="290" t="s">
        <v>86</v>
      </c>
      <c r="H8571" s="291"/>
      <c r="I8571" s="291"/>
      <c r="J8571" s="292" t="s">
        <v>174</v>
      </c>
      <c r="K8571" s="293"/>
      <c r="L8571" s="293">
        <v>11634.615384615385</v>
      </c>
    </row>
    <row r="8572" spans="1:14" ht="11.25" customHeight="1" x14ac:dyDescent="0.2">
      <c r="A8572" s="341">
        <v>2025</v>
      </c>
      <c r="B8572" s="341">
        <v>7</v>
      </c>
      <c r="C8572" s="341">
        <v>31</v>
      </c>
      <c r="D8572" s="328">
        <f t="shared" si="987"/>
        <v>45869</v>
      </c>
      <c r="E8572" s="329">
        <f t="shared" si="989"/>
        <v>45869</v>
      </c>
      <c r="F8572" s="474" t="s">
        <v>1767</v>
      </c>
      <c r="G8572" s="330" t="s">
        <v>86</v>
      </c>
      <c r="H8572" s="332"/>
      <c r="I8572" s="332"/>
      <c r="J8572" s="342" t="s">
        <v>67</v>
      </c>
      <c r="K8572" s="343">
        <v>4866.38</v>
      </c>
      <c r="L8572" s="343"/>
    </row>
    <row r="8573" spans="1:14" ht="11.25" customHeight="1" x14ac:dyDescent="0.2">
      <c r="A8573" s="344">
        <v>2025</v>
      </c>
      <c r="B8573" s="344">
        <v>7</v>
      </c>
      <c r="C8573" s="344">
        <v>31</v>
      </c>
      <c r="D8573" s="337">
        <f t="shared" si="987"/>
        <v>45869</v>
      </c>
      <c r="E8573" s="338">
        <f t="shared" si="989"/>
        <v>45869</v>
      </c>
      <c r="F8573" s="475"/>
      <c r="G8573" s="339" t="s">
        <v>86</v>
      </c>
      <c r="H8573" s="340"/>
      <c r="I8573" s="340"/>
      <c r="J8573" s="345" t="s">
        <v>174</v>
      </c>
      <c r="K8573" s="346"/>
      <c r="L8573" s="346">
        <f>K8572</f>
        <v>4866.38</v>
      </c>
    </row>
    <row r="8574" spans="1:14" ht="11.25" customHeight="1" x14ac:dyDescent="0.2">
      <c r="A8574" s="358">
        <v>2025</v>
      </c>
      <c r="B8574" s="358">
        <v>7</v>
      </c>
      <c r="C8574" s="358">
        <v>31</v>
      </c>
      <c r="D8574" s="312">
        <f t="shared" si="987"/>
        <v>45869</v>
      </c>
      <c r="E8574" s="313">
        <f>DATE(A8574,B8574,C8574)</f>
        <v>45869</v>
      </c>
      <c r="F8574" s="482" t="s">
        <v>1627</v>
      </c>
      <c r="G8574" s="314" t="s">
        <v>86</v>
      </c>
      <c r="H8574" s="324"/>
      <c r="I8574" s="324"/>
      <c r="J8574" s="364" t="s">
        <v>1613</v>
      </c>
      <c r="K8574" s="365">
        <v>0</v>
      </c>
      <c r="L8574" s="365"/>
      <c r="M8574" s="156">
        <f>BS!$I$12</f>
        <v>0</v>
      </c>
    </row>
    <row r="8575" spans="1:14" ht="11.25" customHeight="1" x14ac:dyDescent="0.2">
      <c r="A8575" s="320">
        <v>2025</v>
      </c>
      <c r="B8575" s="320">
        <v>7</v>
      </c>
      <c r="C8575" s="320">
        <v>31</v>
      </c>
      <c r="D8575" s="323">
        <f t="shared" si="987"/>
        <v>45869</v>
      </c>
      <c r="E8575" s="321">
        <f t="shared" ref="E8575" si="990">DATE(A8575,B8575,C8575)</f>
        <v>45869</v>
      </c>
      <c r="F8575" s="483"/>
      <c r="G8575" s="322" t="s">
        <v>86</v>
      </c>
      <c r="H8575" s="325"/>
      <c r="I8575" s="325"/>
      <c r="J8575" s="366" t="s">
        <v>1621</v>
      </c>
      <c r="K8575" s="367"/>
      <c r="L8575" s="367">
        <f>K8574</f>
        <v>0</v>
      </c>
    </row>
    <row r="8576" spans="1:14" ht="11.25" customHeight="1" x14ac:dyDescent="0.2">
      <c r="A8576" s="358">
        <v>2025</v>
      </c>
      <c r="B8576" s="358">
        <v>7</v>
      </c>
      <c r="C8576" s="358">
        <v>31</v>
      </c>
      <c r="D8576" s="312">
        <f t="shared" si="987"/>
        <v>45869</v>
      </c>
      <c r="E8576" s="313">
        <f>DATE(A8576,B8576,C8576)</f>
        <v>45869</v>
      </c>
      <c r="F8576" s="482" t="s">
        <v>1713</v>
      </c>
      <c r="G8576" s="314" t="s">
        <v>86</v>
      </c>
      <c r="H8576" s="324"/>
      <c r="I8576" s="324"/>
      <c r="J8576" s="364" t="s">
        <v>1622</v>
      </c>
      <c r="K8576" s="365">
        <v>216695.07500000298</v>
      </c>
      <c r="L8576" s="365"/>
      <c r="M8576" s="156">
        <f>BS!$I$15</f>
        <v>0</v>
      </c>
    </row>
    <row r="8577" spans="1:14" ht="11.25" customHeight="1" x14ac:dyDescent="0.2">
      <c r="A8577" s="320">
        <v>2025</v>
      </c>
      <c r="B8577" s="320">
        <v>7</v>
      </c>
      <c r="C8577" s="320">
        <v>31</v>
      </c>
      <c r="D8577" s="323">
        <f t="shared" si="987"/>
        <v>45869</v>
      </c>
      <c r="E8577" s="321">
        <f t="shared" ref="E8577:E8603" si="991">DATE(A8577,B8577,C8577)</f>
        <v>45869</v>
      </c>
      <c r="F8577" s="483"/>
      <c r="G8577" s="322" t="s">
        <v>86</v>
      </c>
      <c r="H8577" s="325"/>
      <c r="I8577" s="325"/>
      <c r="J8577" s="366" t="s">
        <v>1614</v>
      </c>
      <c r="K8577" s="367"/>
      <c r="L8577" s="367">
        <f>K8576</f>
        <v>216695.07500000298</v>
      </c>
    </row>
    <row r="8578" spans="1:14" ht="11.25" customHeight="1" x14ac:dyDescent="0.2">
      <c r="A8578" s="236">
        <v>2025</v>
      </c>
      <c r="B8578" s="236">
        <v>7</v>
      </c>
      <c r="C8578" s="236">
        <v>31</v>
      </c>
      <c r="D8578" s="237">
        <f t="shared" si="987"/>
        <v>45869</v>
      </c>
      <c r="E8578" s="238">
        <f t="shared" si="991"/>
        <v>45869</v>
      </c>
      <c r="F8578" s="476" t="s">
        <v>1118</v>
      </c>
      <c r="G8578" s="239" t="s">
        <v>86</v>
      </c>
      <c r="H8578" s="239"/>
      <c r="I8578" s="240"/>
      <c r="J8578" s="241" t="s">
        <v>98</v>
      </c>
      <c r="K8578" s="242">
        <v>2723750.9141999781</v>
      </c>
      <c r="L8578" s="242"/>
      <c r="M8578" s="156">
        <f>BS!$I$8</f>
        <v>0</v>
      </c>
    </row>
    <row r="8579" spans="1:14" ht="11.25" customHeight="1" x14ac:dyDescent="0.2">
      <c r="A8579" s="243">
        <v>2025</v>
      </c>
      <c r="B8579" s="243">
        <v>7</v>
      </c>
      <c r="C8579" s="243">
        <v>31</v>
      </c>
      <c r="D8579" s="248">
        <f t="shared" si="987"/>
        <v>45869</v>
      </c>
      <c r="E8579" s="249">
        <f t="shared" si="991"/>
        <v>45869</v>
      </c>
      <c r="F8579" s="477"/>
      <c r="G8579" s="244" t="s">
        <v>86</v>
      </c>
      <c r="H8579" s="244"/>
      <c r="I8579" s="245"/>
      <c r="J8579" s="246" t="s">
        <v>82</v>
      </c>
      <c r="K8579" s="247"/>
      <c r="L8579" s="247">
        <f>K8578</f>
        <v>2723750.9141999781</v>
      </c>
    </row>
    <row r="8580" spans="1:14" ht="11.25" customHeight="1" x14ac:dyDescent="0.2">
      <c r="A8580" s="236">
        <v>2025</v>
      </c>
      <c r="B8580" s="236">
        <v>7</v>
      </c>
      <c r="C8580" s="236">
        <v>31</v>
      </c>
      <c r="D8580" s="237">
        <f t="shared" si="987"/>
        <v>45869</v>
      </c>
      <c r="E8580" s="238">
        <f t="shared" si="991"/>
        <v>45869</v>
      </c>
      <c r="F8580" s="476" t="s">
        <v>1120</v>
      </c>
      <c r="G8580" s="239" t="s">
        <v>86</v>
      </c>
      <c r="H8580" s="239"/>
      <c r="I8580" s="240"/>
      <c r="J8580" s="241" t="s">
        <v>87</v>
      </c>
      <c r="K8580" s="242">
        <v>2747.2527472527472</v>
      </c>
      <c r="L8580" s="242"/>
      <c r="M8580" s="401"/>
    </row>
    <row r="8581" spans="1:14" ht="11.25" customHeight="1" x14ac:dyDescent="0.2">
      <c r="A8581" s="243">
        <v>2025</v>
      </c>
      <c r="B8581" s="243">
        <v>7</v>
      </c>
      <c r="C8581" s="243">
        <v>31</v>
      </c>
      <c r="D8581" s="248">
        <f t="shared" si="987"/>
        <v>45869</v>
      </c>
      <c r="E8581" s="249">
        <f t="shared" si="991"/>
        <v>45869</v>
      </c>
      <c r="F8581" s="477"/>
      <c r="G8581" s="244" t="s">
        <v>86</v>
      </c>
      <c r="H8581" s="244"/>
      <c r="I8581" s="245"/>
      <c r="J8581" s="246" t="s">
        <v>64</v>
      </c>
      <c r="K8581" s="247"/>
      <c r="L8581" s="247">
        <f>K8580</f>
        <v>2747.2527472527472</v>
      </c>
    </row>
    <row r="8582" spans="1:14" ht="11.25" customHeight="1" x14ac:dyDescent="0.2">
      <c r="A8582" s="236">
        <v>2025</v>
      </c>
      <c r="B8582" s="236">
        <v>7</v>
      </c>
      <c r="C8582" s="236">
        <v>31</v>
      </c>
      <c r="D8582" s="237">
        <f t="shared" si="987"/>
        <v>45869</v>
      </c>
      <c r="E8582" s="238">
        <f t="shared" si="991"/>
        <v>45869</v>
      </c>
      <c r="F8582" s="476" t="s">
        <v>1121</v>
      </c>
      <c r="G8582" s="239" t="s">
        <v>86</v>
      </c>
      <c r="H8582" s="239"/>
      <c r="I8582" s="240"/>
      <c r="J8582" s="241" t="s">
        <v>89</v>
      </c>
      <c r="K8582" s="242">
        <f>M8582</f>
        <v>81222.508191724803</v>
      </c>
      <c r="L8582" s="242"/>
      <c r="M8582" s="156">
        <v>81222.508191724803</v>
      </c>
    </row>
    <row r="8583" spans="1:14" ht="11.25" customHeight="1" x14ac:dyDescent="0.2">
      <c r="A8583" s="243">
        <v>2025</v>
      </c>
      <c r="B8583" s="243">
        <v>7</v>
      </c>
      <c r="C8583" s="243">
        <v>31</v>
      </c>
      <c r="D8583" s="248">
        <f t="shared" si="987"/>
        <v>45869</v>
      </c>
      <c r="E8583" s="249">
        <f t="shared" si="991"/>
        <v>45869</v>
      </c>
      <c r="F8583" s="477"/>
      <c r="G8583" s="244" t="s">
        <v>86</v>
      </c>
      <c r="H8583" s="244"/>
      <c r="I8583" s="245"/>
      <c r="J8583" s="246" t="s">
        <v>50</v>
      </c>
      <c r="K8583" s="247"/>
      <c r="L8583" s="247">
        <f>K8582</f>
        <v>81222.508191724803</v>
      </c>
      <c r="M8583" s="156">
        <v>3820.7407942016248</v>
      </c>
    </row>
    <row r="8584" spans="1:14" ht="11.25" customHeight="1" x14ac:dyDescent="0.2">
      <c r="A8584" s="236">
        <v>2025</v>
      </c>
      <c r="B8584" s="236">
        <v>7</v>
      </c>
      <c r="C8584" s="236">
        <v>31</v>
      </c>
      <c r="D8584" s="237">
        <f t="shared" si="987"/>
        <v>45869</v>
      </c>
      <c r="E8584" s="238">
        <f t="shared" si="991"/>
        <v>45869</v>
      </c>
      <c r="F8584" s="476" t="s">
        <v>1122</v>
      </c>
      <c r="G8584" s="239" t="s">
        <v>86</v>
      </c>
      <c r="H8584" s="239"/>
      <c r="I8584" s="240"/>
      <c r="J8584" s="241" t="s">
        <v>91</v>
      </c>
      <c r="K8584" s="242">
        <f>M8583</f>
        <v>3820.7407942016248</v>
      </c>
      <c r="L8584" s="242"/>
    </row>
    <row r="8585" spans="1:14" ht="11.25" customHeight="1" x14ac:dyDescent="0.2">
      <c r="A8585" s="243">
        <v>2025</v>
      </c>
      <c r="B8585" s="243">
        <v>7</v>
      </c>
      <c r="C8585" s="243">
        <v>31</v>
      </c>
      <c r="D8585" s="248">
        <f t="shared" ref="D8585:D8648" si="992">DATE(A8585,B8585,C8585)</f>
        <v>45869</v>
      </c>
      <c r="E8585" s="249">
        <f t="shared" si="991"/>
        <v>45869</v>
      </c>
      <c r="F8585" s="477"/>
      <c r="G8585" s="244" t="s">
        <v>86</v>
      </c>
      <c r="H8585" s="244"/>
      <c r="I8585" s="245"/>
      <c r="J8585" s="246" t="s">
        <v>51</v>
      </c>
      <c r="K8585" s="247"/>
      <c r="L8585" s="247">
        <f>K8584</f>
        <v>3820.7407942016248</v>
      </c>
    </row>
    <row r="8586" spans="1:14" ht="11.25" customHeight="1" x14ac:dyDescent="0.2">
      <c r="A8586" s="221">
        <v>2025</v>
      </c>
      <c r="B8586" s="221">
        <v>8</v>
      </c>
      <c r="C8586" s="221">
        <v>3</v>
      </c>
      <c r="D8586" s="221">
        <f t="shared" si="992"/>
        <v>45872</v>
      </c>
      <c r="E8586" s="233">
        <f t="shared" si="991"/>
        <v>45872</v>
      </c>
      <c r="F8586" s="478" t="s">
        <v>1930</v>
      </c>
      <c r="G8586" s="222" t="s">
        <v>86</v>
      </c>
      <c r="H8586" s="222"/>
      <c r="I8586" s="223"/>
      <c r="J8586" s="224" t="s">
        <v>80</v>
      </c>
      <c r="K8586" s="225">
        <v>1669000</v>
      </c>
      <c r="L8586" s="225"/>
    </row>
    <row r="8587" spans="1:14" ht="11.25" customHeight="1" x14ac:dyDescent="0.2">
      <c r="A8587" s="164">
        <v>2025</v>
      </c>
      <c r="B8587" s="164">
        <v>8</v>
      </c>
      <c r="C8587" s="164">
        <v>3</v>
      </c>
      <c r="D8587" s="164">
        <f t="shared" si="992"/>
        <v>45872</v>
      </c>
      <c r="E8587" s="235">
        <f t="shared" si="991"/>
        <v>45872</v>
      </c>
      <c r="F8587" s="480"/>
      <c r="G8587" s="208" t="s">
        <v>86</v>
      </c>
      <c r="H8587" s="208"/>
      <c r="J8587" s="165" t="s">
        <v>960</v>
      </c>
      <c r="K8587" s="205">
        <v>3004.2</v>
      </c>
      <c r="L8587" s="205"/>
    </row>
    <row r="8588" spans="1:14" ht="11.25" customHeight="1" x14ac:dyDescent="0.2">
      <c r="A8588" s="226">
        <v>2025</v>
      </c>
      <c r="B8588" s="226">
        <v>8</v>
      </c>
      <c r="C8588" s="226">
        <v>3</v>
      </c>
      <c r="D8588" s="226">
        <f t="shared" si="992"/>
        <v>45872</v>
      </c>
      <c r="E8588" s="234">
        <f t="shared" si="991"/>
        <v>45872</v>
      </c>
      <c r="F8588" s="479"/>
      <c r="G8588" s="227" t="s">
        <v>86</v>
      </c>
      <c r="H8588" s="227"/>
      <c r="I8588" s="228"/>
      <c r="J8588" s="229" t="s">
        <v>143</v>
      </c>
      <c r="K8588" s="230"/>
      <c r="L8588" s="230">
        <v>1672004.2</v>
      </c>
    </row>
    <row r="8589" spans="1:14" ht="11.25" customHeight="1" x14ac:dyDescent="0.2">
      <c r="A8589" s="221">
        <v>2025</v>
      </c>
      <c r="B8589" s="221">
        <v>8</v>
      </c>
      <c r="C8589" s="221">
        <v>3</v>
      </c>
      <c r="D8589" s="221">
        <f t="shared" si="992"/>
        <v>45872</v>
      </c>
      <c r="E8589" s="233">
        <f t="shared" si="991"/>
        <v>45872</v>
      </c>
      <c r="F8589" s="478" t="s">
        <v>1769</v>
      </c>
      <c r="G8589" s="222" t="s">
        <v>86</v>
      </c>
      <c r="H8589" s="222"/>
      <c r="I8589" s="223"/>
      <c r="J8589" s="224" t="s">
        <v>80</v>
      </c>
      <c r="K8589" s="225">
        <v>4369200</v>
      </c>
      <c r="L8589" s="225"/>
      <c r="N8589" s="263"/>
    </row>
    <row r="8590" spans="1:14" ht="11.25" customHeight="1" x14ac:dyDescent="0.2">
      <c r="A8590" s="164">
        <v>2025</v>
      </c>
      <c r="B8590" s="164">
        <v>8</v>
      </c>
      <c r="C8590" s="164">
        <v>3</v>
      </c>
      <c r="D8590" s="164">
        <f t="shared" si="992"/>
        <v>45872</v>
      </c>
      <c r="E8590" s="235">
        <f t="shared" si="991"/>
        <v>45872</v>
      </c>
      <c r="F8590" s="480"/>
      <c r="G8590" s="208" t="s">
        <v>86</v>
      </c>
      <c r="H8590" s="208"/>
      <c r="J8590" s="165" t="s">
        <v>960</v>
      </c>
      <c r="K8590" s="205">
        <v>9456.17</v>
      </c>
      <c r="L8590" s="205"/>
      <c r="M8590" s="263"/>
      <c r="N8590" s="263"/>
    </row>
    <row r="8591" spans="1:14" ht="11.25" customHeight="1" x14ac:dyDescent="0.2">
      <c r="A8591" s="164">
        <v>2025</v>
      </c>
      <c r="B8591" s="164">
        <v>8</v>
      </c>
      <c r="C8591" s="164">
        <v>3</v>
      </c>
      <c r="D8591" s="164">
        <f t="shared" si="992"/>
        <v>45872</v>
      </c>
      <c r="E8591" s="235">
        <f t="shared" si="991"/>
        <v>45872</v>
      </c>
      <c r="F8591" s="480"/>
      <c r="G8591" s="208" t="s">
        <v>86</v>
      </c>
      <c r="H8591" s="208"/>
      <c r="J8591" s="165" t="s">
        <v>143</v>
      </c>
      <c r="K8591" s="205"/>
      <c r="L8591" s="205">
        <v>3494427.97</v>
      </c>
      <c r="M8591" s="263"/>
    </row>
    <row r="8592" spans="1:14" ht="11.25" customHeight="1" x14ac:dyDescent="0.2">
      <c r="A8592" s="164">
        <v>2025</v>
      </c>
      <c r="B8592" s="164">
        <v>8</v>
      </c>
      <c r="C8592" s="164">
        <v>3</v>
      </c>
      <c r="D8592" s="164">
        <f t="shared" si="992"/>
        <v>45872</v>
      </c>
      <c r="E8592" s="235">
        <f t="shared" si="991"/>
        <v>45872</v>
      </c>
      <c r="F8592" s="480"/>
      <c r="G8592" s="208" t="s">
        <v>86</v>
      </c>
      <c r="H8592" s="208"/>
      <c r="J8592" s="165" t="s">
        <v>200</v>
      </c>
      <c r="K8592" s="205"/>
      <c r="L8592" s="205">
        <v>166222.57999999999</v>
      </c>
      <c r="M8592" s="263"/>
    </row>
    <row r="8593" spans="1:13" ht="11.25" customHeight="1" x14ac:dyDescent="0.2">
      <c r="A8593" s="226">
        <v>2025</v>
      </c>
      <c r="B8593" s="226">
        <v>8</v>
      </c>
      <c r="C8593" s="226">
        <v>3</v>
      </c>
      <c r="D8593" s="226">
        <f t="shared" si="992"/>
        <v>45872</v>
      </c>
      <c r="E8593" s="234">
        <f t="shared" si="991"/>
        <v>45872</v>
      </c>
      <c r="F8593" s="479"/>
      <c r="G8593" s="227" t="s">
        <v>86</v>
      </c>
      <c r="H8593" s="228"/>
      <c r="I8593" s="228"/>
      <c r="J8593" s="229" t="s">
        <v>80</v>
      </c>
      <c r="K8593" s="230"/>
      <c r="L8593" s="230">
        <v>718005.62</v>
      </c>
      <c r="M8593" s="263"/>
    </row>
    <row r="8594" spans="1:13" ht="11.25" customHeight="1" x14ac:dyDescent="0.2">
      <c r="A8594" s="221">
        <v>2025</v>
      </c>
      <c r="B8594" s="221">
        <v>8</v>
      </c>
      <c r="C8594" s="221">
        <v>3</v>
      </c>
      <c r="D8594" s="231">
        <f t="shared" si="992"/>
        <v>45872</v>
      </c>
      <c r="E8594" s="233">
        <f t="shared" si="991"/>
        <v>45872</v>
      </c>
      <c r="F8594" s="478" t="s">
        <v>802</v>
      </c>
      <c r="G8594" s="222" t="s">
        <v>1111</v>
      </c>
      <c r="H8594" s="223"/>
      <c r="I8594" s="223"/>
      <c r="J8594" s="224" t="s">
        <v>55</v>
      </c>
      <c r="K8594" s="167">
        <v>4000000</v>
      </c>
      <c r="L8594" s="225"/>
    </row>
    <row r="8595" spans="1:13" ht="11.25" customHeight="1" x14ac:dyDescent="0.2">
      <c r="A8595" s="164">
        <v>2025</v>
      </c>
      <c r="B8595" s="164">
        <v>8</v>
      </c>
      <c r="C8595" s="164">
        <v>3</v>
      </c>
      <c r="D8595" s="156">
        <f t="shared" si="992"/>
        <v>45872</v>
      </c>
      <c r="E8595" s="235">
        <f t="shared" si="991"/>
        <v>45872</v>
      </c>
      <c r="F8595" s="480"/>
      <c r="G8595" s="208" t="s">
        <v>1111</v>
      </c>
      <c r="J8595" s="165" t="s">
        <v>14</v>
      </c>
      <c r="L8595" s="205">
        <v>3372970</v>
      </c>
    </row>
    <row r="8596" spans="1:13" ht="11.25" customHeight="1" x14ac:dyDescent="0.2">
      <c r="A8596" s="226">
        <v>2025</v>
      </c>
      <c r="B8596" s="226">
        <v>8</v>
      </c>
      <c r="C8596" s="226">
        <v>3</v>
      </c>
      <c r="D8596" s="232">
        <f t="shared" si="992"/>
        <v>45872</v>
      </c>
      <c r="E8596" s="234">
        <f t="shared" si="991"/>
        <v>45872</v>
      </c>
      <c r="F8596" s="479"/>
      <c r="G8596" s="227" t="s">
        <v>1111</v>
      </c>
      <c r="H8596" s="228"/>
      <c r="I8596" s="228"/>
      <c r="J8596" s="229" t="s">
        <v>1112</v>
      </c>
      <c r="K8596" s="230"/>
      <c r="L8596" s="230">
        <v>627030</v>
      </c>
    </row>
    <row r="8597" spans="1:13" ht="11.25" customHeight="1" x14ac:dyDescent="0.2">
      <c r="A8597" s="221">
        <v>2025</v>
      </c>
      <c r="B8597" s="221">
        <v>8</v>
      </c>
      <c r="C8597" s="221">
        <v>3</v>
      </c>
      <c r="D8597" s="231">
        <f t="shared" si="992"/>
        <v>45872</v>
      </c>
      <c r="E8597" s="233">
        <f t="shared" si="991"/>
        <v>45872</v>
      </c>
      <c r="F8597" s="478" t="s">
        <v>1670</v>
      </c>
      <c r="G8597" s="222" t="s">
        <v>1111</v>
      </c>
      <c r="H8597" s="223"/>
      <c r="I8597" s="223"/>
      <c r="J8597" s="224" t="s">
        <v>63</v>
      </c>
      <c r="K8597" s="225">
        <v>60</v>
      </c>
      <c r="L8597" s="225"/>
    </row>
    <row r="8598" spans="1:13" ht="11.25" customHeight="1" x14ac:dyDescent="0.2">
      <c r="A8598" s="226">
        <v>2025</v>
      </c>
      <c r="B8598" s="226">
        <v>8</v>
      </c>
      <c r="C8598" s="226">
        <v>3</v>
      </c>
      <c r="D8598" s="232">
        <f t="shared" si="992"/>
        <v>45872</v>
      </c>
      <c r="E8598" s="234">
        <f t="shared" si="991"/>
        <v>45872</v>
      </c>
      <c r="F8598" s="479"/>
      <c r="G8598" s="227" t="s">
        <v>1111</v>
      </c>
      <c r="H8598" s="228"/>
      <c r="I8598" s="228"/>
      <c r="J8598" s="229" t="s">
        <v>55</v>
      </c>
      <c r="K8598" s="230"/>
      <c r="L8598" s="230">
        <v>60</v>
      </c>
    </row>
    <row r="8599" spans="1:13" ht="11.25" customHeight="1" x14ac:dyDescent="0.2">
      <c r="A8599" s="221">
        <v>2025</v>
      </c>
      <c r="B8599" s="221">
        <v>8</v>
      </c>
      <c r="C8599" s="221">
        <v>3</v>
      </c>
      <c r="D8599" s="231">
        <f t="shared" si="992"/>
        <v>45872</v>
      </c>
      <c r="E8599" s="233">
        <f t="shared" si="991"/>
        <v>45872</v>
      </c>
      <c r="F8599" s="478" t="s">
        <v>1814</v>
      </c>
      <c r="G8599" s="222" t="s">
        <v>1111</v>
      </c>
      <c r="H8599" s="223"/>
      <c r="I8599" s="223"/>
      <c r="J8599" s="224" t="s">
        <v>961</v>
      </c>
      <c r="K8599" s="225">
        <v>600651.05000000005</v>
      </c>
      <c r="L8599" s="225"/>
    </row>
    <row r="8600" spans="1:13" ht="11.25" customHeight="1" x14ac:dyDescent="0.2">
      <c r="A8600" s="226">
        <v>2025</v>
      </c>
      <c r="B8600" s="226">
        <v>8</v>
      </c>
      <c r="C8600" s="226">
        <v>3</v>
      </c>
      <c r="D8600" s="232">
        <f t="shared" si="992"/>
        <v>45872</v>
      </c>
      <c r="E8600" s="234">
        <f t="shared" si="991"/>
        <v>45872</v>
      </c>
      <c r="F8600" s="479"/>
      <c r="G8600" s="227" t="s">
        <v>1111</v>
      </c>
      <c r="H8600" s="228"/>
      <c r="I8600" s="228"/>
      <c r="J8600" s="229" t="s">
        <v>55</v>
      </c>
      <c r="K8600" s="230"/>
      <c r="L8600" s="230">
        <f>K8599</f>
        <v>600651.05000000005</v>
      </c>
    </row>
    <row r="8601" spans="1:13" ht="11.25" customHeight="1" x14ac:dyDescent="0.2">
      <c r="A8601" s="221">
        <v>2025</v>
      </c>
      <c r="B8601" s="221">
        <v>8</v>
      </c>
      <c r="C8601" s="221">
        <v>3</v>
      </c>
      <c r="D8601" s="231">
        <f t="shared" si="992"/>
        <v>45872</v>
      </c>
      <c r="E8601" s="233">
        <f t="shared" si="991"/>
        <v>45872</v>
      </c>
      <c r="F8601" s="478" t="s">
        <v>1931</v>
      </c>
      <c r="G8601" s="222" t="s">
        <v>1111</v>
      </c>
      <c r="H8601" s="222"/>
      <c r="I8601" s="223"/>
      <c r="J8601" s="224" t="s">
        <v>55</v>
      </c>
      <c r="K8601" s="357">
        <v>1725589.11</v>
      </c>
      <c r="L8601" s="225"/>
    </row>
    <row r="8602" spans="1:13" ht="11.25" customHeight="1" x14ac:dyDescent="0.2">
      <c r="A8602" s="164">
        <v>2025</v>
      </c>
      <c r="B8602" s="164">
        <v>8</v>
      </c>
      <c r="C8602" s="164">
        <v>3</v>
      </c>
      <c r="D8602" s="164">
        <f t="shared" si="992"/>
        <v>45872</v>
      </c>
      <c r="E8602" s="235">
        <f t="shared" si="991"/>
        <v>45872</v>
      </c>
      <c r="F8602" s="480"/>
      <c r="G8602" s="208" t="s">
        <v>1111</v>
      </c>
      <c r="H8602" s="208"/>
      <c r="J8602" s="165" t="s">
        <v>1618</v>
      </c>
      <c r="K8602" s="263"/>
      <c r="L8602" s="205">
        <v>212200.5</v>
      </c>
    </row>
    <row r="8603" spans="1:13" ht="11.25" customHeight="1" x14ac:dyDescent="0.2">
      <c r="A8603" s="226">
        <v>2025</v>
      </c>
      <c r="B8603" s="226">
        <v>8</v>
      </c>
      <c r="C8603" s="226">
        <v>3</v>
      </c>
      <c r="D8603" s="226">
        <f t="shared" si="992"/>
        <v>45872</v>
      </c>
      <c r="E8603" s="234">
        <f t="shared" si="991"/>
        <v>45872</v>
      </c>
      <c r="F8603" s="479"/>
      <c r="G8603" s="227" t="s">
        <v>1111</v>
      </c>
      <c r="H8603" s="227"/>
      <c r="I8603" s="228"/>
      <c r="J8603" s="229" t="s">
        <v>1615</v>
      </c>
      <c r="K8603" s="294"/>
      <c r="L8603" s="230">
        <v>1513388.61</v>
      </c>
    </row>
    <row r="8604" spans="1:13" ht="11.25" customHeight="1" x14ac:dyDescent="0.2">
      <c r="A8604" s="221">
        <v>2025</v>
      </c>
      <c r="B8604" s="221">
        <v>8</v>
      </c>
      <c r="C8604" s="221">
        <v>3</v>
      </c>
      <c r="D8604" s="231">
        <f t="shared" si="992"/>
        <v>45872</v>
      </c>
      <c r="E8604" s="233">
        <f>DATE(A8604,B8604,C8604)</f>
        <v>45872</v>
      </c>
      <c r="F8604" s="478" t="s">
        <v>1844</v>
      </c>
      <c r="G8604" s="222" t="s">
        <v>1111</v>
      </c>
      <c r="H8604" s="223"/>
      <c r="I8604" s="223"/>
      <c r="J8604" s="224" t="s">
        <v>55</v>
      </c>
      <c r="K8604" s="225">
        <v>132486.69</v>
      </c>
      <c r="L8604" s="225"/>
    </row>
    <row r="8605" spans="1:13" ht="11.25" customHeight="1" x14ac:dyDescent="0.2">
      <c r="A8605" s="226">
        <v>2025</v>
      </c>
      <c r="B8605" s="226">
        <v>8</v>
      </c>
      <c r="C8605" s="226">
        <v>3</v>
      </c>
      <c r="D8605" s="232">
        <f t="shared" si="992"/>
        <v>45872</v>
      </c>
      <c r="E8605" s="234">
        <f>DATE(A8605,B8605,C8605)</f>
        <v>45872</v>
      </c>
      <c r="F8605" s="479"/>
      <c r="G8605" s="227" t="s">
        <v>1111</v>
      </c>
      <c r="H8605" s="228"/>
      <c r="I8605" s="228"/>
      <c r="J8605" s="229" t="s">
        <v>199</v>
      </c>
      <c r="K8605" s="230"/>
      <c r="L8605" s="230">
        <f>K8604</f>
        <v>132486.69</v>
      </c>
    </row>
    <row r="8606" spans="1:13" ht="11.25" customHeight="1" x14ac:dyDescent="0.2">
      <c r="A8606" s="221">
        <v>2025</v>
      </c>
      <c r="B8606" s="221">
        <v>8</v>
      </c>
      <c r="C8606" s="221">
        <v>3</v>
      </c>
      <c r="D8606" s="231">
        <f t="shared" si="992"/>
        <v>45872</v>
      </c>
      <c r="E8606" s="233">
        <f t="shared" ref="E8606:E8607" si="993">DATE(A8606,B8606,C8606)</f>
        <v>45872</v>
      </c>
      <c r="F8606" s="478" t="s">
        <v>1670</v>
      </c>
      <c r="G8606" s="222" t="s">
        <v>1111</v>
      </c>
      <c r="H8606" s="223"/>
      <c r="I8606" s="223"/>
      <c r="J8606" s="224" t="s">
        <v>63</v>
      </c>
      <c r="K8606" s="225">
        <v>100</v>
      </c>
      <c r="L8606" s="225"/>
    </row>
    <row r="8607" spans="1:13" ht="11.25" customHeight="1" x14ac:dyDescent="0.2">
      <c r="A8607" s="226">
        <v>2025</v>
      </c>
      <c r="B8607" s="226">
        <v>8</v>
      </c>
      <c r="C8607" s="226">
        <v>3</v>
      </c>
      <c r="D8607" s="232">
        <f t="shared" si="992"/>
        <v>45872</v>
      </c>
      <c r="E8607" s="234">
        <f t="shared" si="993"/>
        <v>45872</v>
      </c>
      <c r="F8607" s="479"/>
      <c r="G8607" s="227" t="s">
        <v>1111</v>
      </c>
      <c r="H8607" s="228"/>
      <c r="I8607" s="228"/>
      <c r="J8607" s="229" t="s">
        <v>55</v>
      </c>
      <c r="K8607" s="230"/>
      <c r="L8607" s="230">
        <v>100</v>
      </c>
    </row>
    <row r="8608" spans="1:13" ht="11.25" customHeight="1" x14ac:dyDescent="0.2">
      <c r="A8608" s="221">
        <v>2025</v>
      </c>
      <c r="B8608" s="221">
        <v>8</v>
      </c>
      <c r="C8608" s="221">
        <v>4</v>
      </c>
      <c r="D8608" s="221">
        <f t="shared" si="992"/>
        <v>45873</v>
      </c>
      <c r="E8608" s="233">
        <f t="shared" ref="E8608:E8645" si="994">DATE(A8608,B8608,C8608)</f>
        <v>45873</v>
      </c>
      <c r="F8608" s="478" t="s">
        <v>1930</v>
      </c>
      <c r="G8608" s="222" t="s">
        <v>86</v>
      </c>
      <c r="H8608" s="222"/>
      <c r="I8608" s="223"/>
      <c r="J8608" s="224" t="s">
        <v>80</v>
      </c>
      <c r="K8608" s="225">
        <v>3054500</v>
      </c>
      <c r="L8608" s="225"/>
    </row>
    <row r="8609" spans="1:12" ht="11.25" customHeight="1" x14ac:dyDescent="0.2">
      <c r="A8609" s="164">
        <v>2025</v>
      </c>
      <c r="B8609" s="164">
        <v>8</v>
      </c>
      <c r="C8609" s="164">
        <v>4</v>
      </c>
      <c r="D8609" s="164">
        <f t="shared" si="992"/>
        <v>45873</v>
      </c>
      <c r="E8609" s="235">
        <f t="shared" si="994"/>
        <v>45873</v>
      </c>
      <c r="F8609" s="480"/>
      <c r="G8609" s="208" t="s">
        <v>86</v>
      </c>
      <c r="H8609" s="208"/>
      <c r="J8609" s="165" t="s">
        <v>960</v>
      </c>
      <c r="K8609" s="205">
        <v>5498.1</v>
      </c>
      <c r="L8609" s="205"/>
    </row>
    <row r="8610" spans="1:12" ht="11.25" customHeight="1" x14ac:dyDescent="0.2">
      <c r="A8610" s="226">
        <v>2025</v>
      </c>
      <c r="B8610" s="226">
        <v>8</v>
      </c>
      <c r="C8610" s="226">
        <v>4</v>
      </c>
      <c r="D8610" s="226">
        <f t="shared" si="992"/>
        <v>45873</v>
      </c>
      <c r="E8610" s="234">
        <f t="shared" si="994"/>
        <v>45873</v>
      </c>
      <c r="F8610" s="479"/>
      <c r="G8610" s="227" t="s">
        <v>86</v>
      </c>
      <c r="H8610" s="227"/>
      <c r="I8610" s="228"/>
      <c r="J8610" s="229" t="s">
        <v>143</v>
      </c>
      <c r="K8610" s="230"/>
      <c r="L8610" s="230">
        <v>3059998.1</v>
      </c>
    </row>
    <row r="8611" spans="1:12" ht="11.25" customHeight="1" x14ac:dyDescent="0.2">
      <c r="A8611" s="221">
        <v>2025</v>
      </c>
      <c r="B8611" s="221">
        <v>8</v>
      </c>
      <c r="C8611" s="221">
        <v>4</v>
      </c>
      <c r="D8611" s="231">
        <f t="shared" si="992"/>
        <v>45873</v>
      </c>
      <c r="E8611" s="233">
        <f t="shared" si="994"/>
        <v>45873</v>
      </c>
      <c r="F8611" s="478" t="s">
        <v>1115</v>
      </c>
      <c r="G8611" s="222" t="s">
        <v>1111</v>
      </c>
      <c r="H8611" s="223"/>
      <c r="I8611" s="223"/>
      <c r="J8611" s="224" t="s">
        <v>14</v>
      </c>
      <c r="K8611" s="167">
        <v>38500</v>
      </c>
      <c r="L8611" s="225"/>
    </row>
    <row r="8612" spans="1:12" ht="11.25" customHeight="1" x14ac:dyDescent="0.2">
      <c r="A8612" s="164">
        <v>2025</v>
      </c>
      <c r="B8612" s="164">
        <v>8</v>
      </c>
      <c r="C8612" s="164">
        <v>4</v>
      </c>
      <c r="D8612" s="156">
        <f t="shared" si="992"/>
        <v>45873</v>
      </c>
      <c r="E8612" s="235">
        <f t="shared" si="994"/>
        <v>45873</v>
      </c>
      <c r="F8612" s="480"/>
      <c r="G8612" s="208" t="s">
        <v>1111</v>
      </c>
      <c r="J8612" s="165" t="s">
        <v>1112</v>
      </c>
      <c r="K8612" s="167">
        <v>8057.4499999999971</v>
      </c>
      <c r="L8612" s="205"/>
    </row>
    <row r="8613" spans="1:12" ht="11.25" customHeight="1" x14ac:dyDescent="0.2">
      <c r="A8613" s="226">
        <v>2025</v>
      </c>
      <c r="B8613" s="226">
        <v>8</v>
      </c>
      <c r="C8613" s="226">
        <v>4</v>
      </c>
      <c r="D8613" s="232">
        <f t="shared" si="992"/>
        <v>45873</v>
      </c>
      <c r="E8613" s="234">
        <f t="shared" si="994"/>
        <v>45873</v>
      </c>
      <c r="F8613" s="479"/>
      <c r="G8613" s="227" t="s">
        <v>1111</v>
      </c>
      <c r="H8613" s="228"/>
      <c r="I8613" s="228"/>
      <c r="J8613" s="229" t="s">
        <v>55</v>
      </c>
      <c r="K8613" s="230"/>
      <c r="L8613" s="230">
        <v>46557.45</v>
      </c>
    </row>
    <row r="8614" spans="1:12" ht="11.25" customHeight="1" x14ac:dyDescent="0.2">
      <c r="A8614" s="221">
        <v>2025</v>
      </c>
      <c r="B8614" s="221">
        <v>8</v>
      </c>
      <c r="C8614" s="221">
        <v>4</v>
      </c>
      <c r="D8614" s="231">
        <f t="shared" si="992"/>
        <v>45873</v>
      </c>
      <c r="E8614" s="233">
        <f t="shared" si="994"/>
        <v>45873</v>
      </c>
      <c r="F8614" s="478" t="s">
        <v>1814</v>
      </c>
      <c r="G8614" s="222" t="s">
        <v>1111</v>
      </c>
      <c r="H8614" s="223"/>
      <c r="I8614" s="223"/>
      <c r="J8614" s="224" t="s">
        <v>961</v>
      </c>
      <c r="K8614" s="225">
        <v>3494427.97</v>
      </c>
      <c r="L8614" s="225"/>
    </row>
    <row r="8615" spans="1:12" ht="11.25" customHeight="1" x14ac:dyDescent="0.2">
      <c r="A8615" s="226">
        <v>2025</v>
      </c>
      <c r="B8615" s="226">
        <v>8</v>
      </c>
      <c r="C8615" s="226">
        <v>4</v>
      </c>
      <c r="D8615" s="232">
        <f t="shared" si="992"/>
        <v>45873</v>
      </c>
      <c r="E8615" s="234">
        <f t="shared" si="994"/>
        <v>45873</v>
      </c>
      <c r="F8615" s="479"/>
      <c r="G8615" s="227" t="s">
        <v>1111</v>
      </c>
      <c r="H8615" s="228"/>
      <c r="I8615" s="228"/>
      <c r="J8615" s="229" t="s">
        <v>55</v>
      </c>
      <c r="K8615" s="230"/>
      <c r="L8615" s="230">
        <f>K8614</f>
        <v>3494427.97</v>
      </c>
    </row>
    <row r="8616" spans="1:12" ht="11.25" customHeight="1" x14ac:dyDescent="0.2">
      <c r="A8616" s="221">
        <v>2025</v>
      </c>
      <c r="B8616" s="221">
        <v>8</v>
      </c>
      <c r="C8616" s="221">
        <v>4</v>
      </c>
      <c r="D8616" s="231">
        <f t="shared" si="992"/>
        <v>45873</v>
      </c>
      <c r="E8616" s="233">
        <f t="shared" ref="E8616:E8617" si="995">DATE(A8616,B8616,C8616)</f>
        <v>45873</v>
      </c>
      <c r="F8616" s="478" t="s">
        <v>1889</v>
      </c>
      <c r="G8616" s="222" t="s">
        <v>1111</v>
      </c>
      <c r="H8616" s="223"/>
      <c r="I8616" s="223"/>
      <c r="J8616" s="224" t="s">
        <v>961</v>
      </c>
      <c r="K8616" s="225">
        <v>1200857.6599999999</v>
      </c>
      <c r="L8616" s="225"/>
    </row>
    <row r="8617" spans="1:12" ht="11.25" customHeight="1" x14ac:dyDescent="0.2">
      <c r="A8617" s="226">
        <v>2025</v>
      </c>
      <c r="B8617" s="226">
        <v>8</v>
      </c>
      <c r="C8617" s="226">
        <v>4</v>
      </c>
      <c r="D8617" s="232">
        <f t="shared" si="992"/>
        <v>45873</v>
      </c>
      <c r="E8617" s="234">
        <f t="shared" si="995"/>
        <v>45873</v>
      </c>
      <c r="F8617" s="479"/>
      <c r="G8617" s="227" t="s">
        <v>1111</v>
      </c>
      <c r="H8617" s="228"/>
      <c r="I8617" s="228"/>
      <c r="J8617" s="229" t="s">
        <v>55</v>
      </c>
      <c r="K8617" s="230"/>
      <c r="L8617" s="230">
        <f>K8616</f>
        <v>1200857.6599999999</v>
      </c>
    </row>
    <row r="8618" spans="1:12" ht="11.25" customHeight="1" x14ac:dyDescent="0.2">
      <c r="A8618" s="221">
        <v>2025</v>
      </c>
      <c r="B8618" s="221">
        <v>8</v>
      </c>
      <c r="C8618" s="221">
        <v>4</v>
      </c>
      <c r="D8618" s="231">
        <f t="shared" si="992"/>
        <v>45873</v>
      </c>
      <c r="E8618" s="233">
        <f t="shared" ref="E8618:E8627" si="996">DATE(A8618,B8618,C8618)</f>
        <v>45873</v>
      </c>
      <c r="F8618" s="478" t="s">
        <v>1889</v>
      </c>
      <c r="G8618" s="222" t="s">
        <v>1111</v>
      </c>
      <c r="H8618" s="223"/>
      <c r="I8618" s="223"/>
      <c r="J8618" s="224" t="s">
        <v>961</v>
      </c>
      <c r="K8618" s="225">
        <v>1672004.2</v>
      </c>
      <c r="L8618" s="225"/>
    </row>
    <row r="8619" spans="1:12" ht="11.25" customHeight="1" x14ac:dyDescent="0.2">
      <c r="A8619" s="226">
        <v>2025</v>
      </c>
      <c r="B8619" s="226">
        <v>8</v>
      </c>
      <c r="C8619" s="226">
        <v>4</v>
      </c>
      <c r="D8619" s="232">
        <f t="shared" si="992"/>
        <v>45873</v>
      </c>
      <c r="E8619" s="234">
        <f t="shared" si="996"/>
        <v>45873</v>
      </c>
      <c r="F8619" s="479"/>
      <c r="G8619" s="227" t="s">
        <v>1111</v>
      </c>
      <c r="H8619" s="228"/>
      <c r="I8619" s="228"/>
      <c r="J8619" s="229" t="s">
        <v>55</v>
      </c>
      <c r="K8619" s="230"/>
      <c r="L8619" s="230">
        <f>K8618</f>
        <v>1672004.2</v>
      </c>
    </row>
    <row r="8620" spans="1:12" ht="11.25" customHeight="1" x14ac:dyDescent="0.2">
      <c r="A8620" s="164">
        <v>2025</v>
      </c>
      <c r="B8620" s="164">
        <v>8</v>
      </c>
      <c r="C8620" s="164">
        <v>4</v>
      </c>
      <c r="D8620" s="156">
        <f t="shared" si="992"/>
        <v>45873</v>
      </c>
      <c r="E8620" s="235">
        <f t="shared" si="996"/>
        <v>45873</v>
      </c>
      <c r="F8620" s="480" t="s">
        <v>1808</v>
      </c>
      <c r="G8620" s="208" t="s">
        <v>1111</v>
      </c>
      <c r="J8620" s="165" t="s">
        <v>1707</v>
      </c>
      <c r="K8620" s="205">
        <v>300</v>
      </c>
      <c r="L8620" s="205"/>
    </row>
    <row r="8621" spans="1:12" ht="11.25" customHeight="1" x14ac:dyDescent="0.2">
      <c r="A8621" s="164">
        <v>2025</v>
      </c>
      <c r="B8621" s="164">
        <v>8</v>
      </c>
      <c r="C8621" s="164">
        <v>4</v>
      </c>
      <c r="D8621" s="156">
        <f t="shared" si="992"/>
        <v>45873</v>
      </c>
      <c r="E8621" s="235">
        <f t="shared" si="996"/>
        <v>45873</v>
      </c>
      <c r="F8621" s="480"/>
      <c r="G8621" s="208" t="s">
        <v>1111</v>
      </c>
      <c r="J8621" s="165" t="s">
        <v>478</v>
      </c>
      <c r="K8621" s="205">
        <v>655.43</v>
      </c>
      <c r="L8621" s="205"/>
    </row>
    <row r="8622" spans="1:12" ht="11.25" customHeight="1" x14ac:dyDescent="0.2">
      <c r="A8622" s="226">
        <v>2025</v>
      </c>
      <c r="B8622" s="226">
        <v>8</v>
      </c>
      <c r="C8622" s="226">
        <v>4</v>
      </c>
      <c r="D8622" s="232">
        <f t="shared" si="992"/>
        <v>45873</v>
      </c>
      <c r="E8622" s="234">
        <f t="shared" si="996"/>
        <v>45873</v>
      </c>
      <c r="F8622" s="479"/>
      <c r="G8622" s="227" t="s">
        <v>1111</v>
      </c>
      <c r="H8622" s="228"/>
      <c r="I8622" s="228"/>
      <c r="J8622" s="229" t="s">
        <v>55</v>
      </c>
      <c r="K8622" s="230"/>
      <c r="L8622" s="230">
        <v>955.43</v>
      </c>
    </row>
    <row r="8623" spans="1:12" ht="11.25" customHeight="1" x14ac:dyDescent="0.2">
      <c r="A8623" s="221">
        <v>2025</v>
      </c>
      <c r="B8623" s="221">
        <v>8</v>
      </c>
      <c r="C8623" s="221">
        <v>4</v>
      </c>
      <c r="D8623" s="231">
        <f t="shared" si="992"/>
        <v>45873</v>
      </c>
      <c r="E8623" s="233">
        <f t="shared" si="996"/>
        <v>45873</v>
      </c>
      <c r="F8623" s="478" t="s">
        <v>1797</v>
      </c>
      <c r="G8623" s="222" t="s">
        <v>1111</v>
      </c>
      <c r="H8623" s="222"/>
      <c r="I8623" s="223"/>
      <c r="J8623" s="224" t="s">
        <v>55</v>
      </c>
      <c r="K8623" s="357">
        <v>3948499.67</v>
      </c>
      <c r="L8623" s="225"/>
    </row>
    <row r="8624" spans="1:12" ht="11.25" customHeight="1" x14ac:dyDescent="0.2">
      <c r="A8624" s="164">
        <v>2025</v>
      </c>
      <c r="B8624" s="164">
        <v>8</v>
      </c>
      <c r="C8624" s="164">
        <v>4</v>
      </c>
      <c r="D8624" s="164">
        <f t="shared" si="992"/>
        <v>45873</v>
      </c>
      <c r="E8624" s="235">
        <f t="shared" si="996"/>
        <v>45873</v>
      </c>
      <c r="F8624" s="480"/>
      <c r="G8624" s="208" t="s">
        <v>1111</v>
      </c>
      <c r="H8624" s="208"/>
      <c r="J8624" s="165" t="s">
        <v>1618</v>
      </c>
      <c r="K8624" s="263"/>
      <c r="L8624" s="205">
        <v>143308.52000000002</v>
      </c>
    </row>
    <row r="8625" spans="1:14" ht="11.25" customHeight="1" x14ac:dyDescent="0.2">
      <c r="A8625" s="226">
        <v>2025</v>
      </c>
      <c r="B8625" s="226">
        <v>8</v>
      </c>
      <c r="C8625" s="226">
        <v>4</v>
      </c>
      <c r="D8625" s="226">
        <f t="shared" si="992"/>
        <v>45873</v>
      </c>
      <c r="E8625" s="234">
        <f t="shared" si="996"/>
        <v>45873</v>
      </c>
      <c r="F8625" s="479"/>
      <c r="G8625" s="227" t="s">
        <v>1111</v>
      </c>
      <c r="H8625" s="227"/>
      <c r="I8625" s="228"/>
      <c r="J8625" s="229" t="s">
        <v>1615</v>
      </c>
      <c r="K8625" s="294"/>
      <c r="L8625" s="230">
        <v>3805191.15</v>
      </c>
    </row>
    <row r="8626" spans="1:14" ht="11.25" customHeight="1" x14ac:dyDescent="0.2">
      <c r="A8626" s="221">
        <v>2025</v>
      </c>
      <c r="B8626" s="221">
        <v>8</v>
      </c>
      <c r="C8626" s="221">
        <v>4</v>
      </c>
      <c r="D8626" s="231">
        <f t="shared" si="992"/>
        <v>45873</v>
      </c>
      <c r="E8626" s="233">
        <f t="shared" si="996"/>
        <v>45873</v>
      </c>
      <c r="F8626" s="478" t="s">
        <v>1670</v>
      </c>
      <c r="G8626" s="222" t="s">
        <v>1111</v>
      </c>
      <c r="H8626" s="223"/>
      <c r="I8626" s="223"/>
      <c r="J8626" s="224" t="s">
        <v>63</v>
      </c>
      <c r="K8626" s="225">
        <v>300</v>
      </c>
      <c r="L8626" s="225"/>
    </row>
    <row r="8627" spans="1:14" ht="11.25" customHeight="1" x14ac:dyDescent="0.2">
      <c r="A8627" s="226">
        <v>2025</v>
      </c>
      <c r="B8627" s="226">
        <v>8</v>
      </c>
      <c r="C8627" s="226">
        <v>4</v>
      </c>
      <c r="D8627" s="232">
        <f t="shared" si="992"/>
        <v>45873</v>
      </c>
      <c r="E8627" s="234">
        <f t="shared" si="996"/>
        <v>45873</v>
      </c>
      <c r="F8627" s="479"/>
      <c r="G8627" s="227" t="s">
        <v>1111</v>
      </c>
      <c r="H8627" s="228"/>
      <c r="I8627" s="228"/>
      <c r="J8627" s="229" t="s">
        <v>55</v>
      </c>
      <c r="K8627" s="230"/>
      <c r="L8627" s="230">
        <f>K8626</f>
        <v>300</v>
      </c>
    </row>
    <row r="8628" spans="1:14" ht="11.25" customHeight="1" x14ac:dyDescent="0.2">
      <c r="A8628" s="221">
        <v>2025</v>
      </c>
      <c r="B8628" s="221">
        <v>8</v>
      </c>
      <c r="C8628" s="221">
        <v>6</v>
      </c>
      <c r="D8628" s="231">
        <f t="shared" si="992"/>
        <v>45875</v>
      </c>
      <c r="E8628" s="233">
        <f t="shared" ref="E8628:E8630" si="997">DATE(A8628,B8628,C8628)</f>
        <v>45875</v>
      </c>
      <c r="F8628" s="478" t="s">
        <v>1115</v>
      </c>
      <c r="G8628" s="222" t="s">
        <v>1111</v>
      </c>
      <c r="H8628" s="223"/>
      <c r="I8628" s="223"/>
      <c r="J8628" s="224" t="s">
        <v>14</v>
      </c>
      <c r="K8628" s="167">
        <v>527020</v>
      </c>
      <c r="L8628" s="225"/>
    </row>
    <row r="8629" spans="1:14" ht="11.25" customHeight="1" x14ac:dyDescent="0.2">
      <c r="A8629" s="164">
        <v>2025</v>
      </c>
      <c r="B8629" s="164">
        <v>8</v>
      </c>
      <c r="C8629" s="164">
        <v>6</v>
      </c>
      <c r="D8629" s="156">
        <f t="shared" si="992"/>
        <v>45875</v>
      </c>
      <c r="E8629" s="235">
        <f t="shared" si="997"/>
        <v>45875</v>
      </c>
      <c r="F8629" s="480"/>
      <c r="G8629" s="208" t="s">
        <v>1111</v>
      </c>
      <c r="J8629" s="165" t="s">
        <v>1112</v>
      </c>
      <c r="K8629" s="167">
        <v>110357.98999999999</v>
      </c>
      <c r="L8629" s="205"/>
    </row>
    <row r="8630" spans="1:14" ht="11.25" customHeight="1" x14ac:dyDescent="0.2">
      <c r="A8630" s="226">
        <v>2025</v>
      </c>
      <c r="B8630" s="226">
        <v>8</v>
      </c>
      <c r="C8630" s="226">
        <v>6</v>
      </c>
      <c r="D8630" s="232">
        <f t="shared" si="992"/>
        <v>45875</v>
      </c>
      <c r="E8630" s="234">
        <f t="shared" si="997"/>
        <v>45875</v>
      </c>
      <c r="F8630" s="479"/>
      <c r="G8630" s="227" t="s">
        <v>1111</v>
      </c>
      <c r="H8630" s="228"/>
      <c r="I8630" s="228"/>
      <c r="J8630" s="229" t="s">
        <v>55</v>
      </c>
      <c r="K8630" s="230"/>
      <c r="L8630" s="230">
        <v>637377.99</v>
      </c>
    </row>
    <row r="8631" spans="1:14" ht="11.25" customHeight="1" x14ac:dyDescent="0.2">
      <c r="A8631" s="221">
        <v>2025</v>
      </c>
      <c r="B8631" s="221">
        <v>8</v>
      </c>
      <c r="C8631" s="221">
        <v>6</v>
      </c>
      <c r="D8631" s="231">
        <f t="shared" si="992"/>
        <v>45875</v>
      </c>
      <c r="E8631" s="233">
        <f t="shared" ref="E8631:E8633" si="998">DATE(A8631,B8631,C8631)</f>
        <v>45875</v>
      </c>
      <c r="F8631" s="478" t="s">
        <v>1115</v>
      </c>
      <c r="G8631" s="222" t="s">
        <v>1111</v>
      </c>
      <c r="H8631" s="223"/>
      <c r="I8631" s="223"/>
      <c r="J8631" s="224" t="s">
        <v>14</v>
      </c>
      <c r="K8631" s="167">
        <v>44710</v>
      </c>
      <c r="L8631" s="225"/>
    </row>
    <row r="8632" spans="1:14" ht="11.25" customHeight="1" x14ac:dyDescent="0.2">
      <c r="A8632" s="164">
        <v>2025</v>
      </c>
      <c r="B8632" s="164">
        <v>8</v>
      </c>
      <c r="C8632" s="164">
        <v>6</v>
      </c>
      <c r="D8632" s="156">
        <f t="shared" si="992"/>
        <v>45875</v>
      </c>
      <c r="E8632" s="235">
        <f t="shared" si="998"/>
        <v>45875</v>
      </c>
      <c r="F8632" s="480"/>
      <c r="G8632" s="208" t="s">
        <v>1111</v>
      </c>
      <c r="J8632" s="165" t="s">
        <v>1112</v>
      </c>
      <c r="K8632" s="167">
        <v>9362.2699999999968</v>
      </c>
      <c r="L8632" s="205"/>
    </row>
    <row r="8633" spans="1:14" ht="11.25" customHeight="1" x14ac:dyDescent="0.2">
      <c r="A8633" s="226">
        <v>2025</v>
      </c>
      <c r="B8633" s="226">
        <v>8</v>
      </c>
      <c r="C8633" s="226">
        <v>6</v>
      </c>
      <c r="D8633" s="232">
        <f t="shared" si="992"/>
        <v>45875</v>
      </c>
      <c r="E8633" s="234">
        <f t="shared" si="998"/>
        <v>45875</v>
      </c>
      <c r="F8633" s="479"/>
      <c r="G8633" s="227" t="s">
        <v>1111</v>
      </c>
      <c r="H8633" s="228"/>
      <c r="I8633" s="228"/>
      <c r="J8633" s="229" t="s">
        <v>55</v>
      </c>
      <c r="K8633" s="230"/>
      <c r="L8633" s="230">
        <v>54072.27</v>
      </c>
    </row>
    <row r="8634" spans="1:14" ht="11.25" customHeight="1" x14ac:dyDescent="0.2">
      <c r="A8634" s="221">
        <v>2025</v>
      </c>
      <c r="B8634" s="221">
        <v>8</v>
      </c>
      <c r="C8634" s="221">
        <v>6</v>
      </c>
      <c r="D8634" s="231">
        <f t="shared" si="992"/>
        <v>45875</v>
      </c>
      <c r="E8634" s="233">
        <f t="shared" ref="E8634:E8636" si="999">DATE(A8634,B8634,C8634)</f>
        <v>45875</v>
      </c>
      <c r="F8634" s="478" t="s">
        <v>1115</v>
      </c>
      <c r="G8634" s="222" t="s">
        <v>1111</v>
      </c>
      <c r="H8634" s="223"/>
      <c r="I8634" s="223"/>
      <c r="J8634" s="224" t="s">
        <v>14</v>
      </c>
      <c r="K8634" s="167">
        <v>82690</v>
      </c>
      <c r="L8634" s="225"/>
    </row>
    <row r="8635" spans="1:14" ht="11.25" customHeight="1" x14ac:dyDescent="0.2">
      <c r="A8635" s="164">
        <v>2025</v>
      </c>
      <c r="B8635" s="164">
        <v>8</v>
      </c>
      <c r="C8635" s="164">
        <v>6</v>
      </c>
      <c r="D8635" s="156">
        <f t="shared" si="992"/>
        <v>45875</v>
      </c>
      <c r="E8635" s="235">
        <f t="shared" si="999"/>
        <v>45875</v>
      </c>
      <c r="F8635" s="480"/>
      <c r="G8635" s="208" t="s">
        <v>1111</v>
      </c>
      <c r="J8635" s="165" t="s">
        <v>1112</v>
      </c>
      <c r="K8635" s="167">
        <v>17310</v>
      </c>
      <c r="L8635" s="205"/>
    </row>
    <row r="8636" spans="1:14" ht="11.25" customHeight="1" x14ac:dyDescent="0.2">
      <c r="A8636" s="226">
        <v>2025</v>
      </c>
      <c r="B8636" s="226">
        <v>8</v>
      </c>
      <c r="C8636" s="226">
        <v>6</v>
      </c>
      <c r="D8636" s="232">
        <f t="shared" si="992"/>
        <v>45875</v>
      </c>
      <c r="E8636" s="234">
        <f t="shared" si="999"/>
        <v>45875</v>
      </c>
      <c r="F8636" s="479"/>
      <c r="G8636" s="227" t="s">
        <v>1111</v>
      </c>
      <c r="H8636" s="228"/>
      <c r="I8636" s="228"/>
      <c r="J8636" s="229" t="s">
        <v>55</v>
      </c>
      <c r="K8636" s="230"/>
      <c r="L8636" s="230">
        <v>100000</v>
      </c>
    </row>
    <row r="8637" spans="1:14" ht="11.25" customHeight="1" x14ac:dyDescent="0.2">
      <c r="A8637" s="221">
        <v>2025</v>
      </c>
      <c r="B8637" s="221">
        <v>8</v>
      </c>
      <c r="C8637" s="221">
        <v>6</v>
      </c>
      <c r="D8637" s="221">
        <f t="shared" si="992"/>
        <v>45875</v>
      </c>
      <c r="E8637" s="233">
        <f t="shared" si="994"/>
        <v>45875</v>
      </c>
      <c r="F8637" s="478" t="s">
        <v>1769</v>
      </c>
      <c r="G8637" s="222" t="s">
        <v>86</v>
      </c>
      <c r="H8637" s="222"/>
      <c r="I8637" s="223"/>
      <c r="J8637" s="224" t="s">
        <v>80</v>
      </c>
      <c r="K8637" s="225">
        <v>1481000</v>
      </c>
      <c r="L8637" s="225"/>
      <c r="N8637" s="263"/>
    </row>
    <row r="8638" spans="1:14" ht="11.25" customHeight="1" x14ac:dyDescent="0.2">
      <c r="A8638" s="164">
        <v>2025</v>
      </c>
      <c r="B8638" s="164">
        <v>8</v>
      </c>
      <c r="C8638" s="164">
        <v>6</v>
      </c>
      <c r="D8638" s="164">
        <f t="shared" si="992"/>
        <v>45875</v>
      </c>
      <c r="E8638" s="235">
        <f t="shared" si="994"/>
        <v>45875</v>
      </c>
      <c r="F8638" s="480"/>
      <c r="G8638" s="208" t="s">
        <v>86</v>
      </c>
      <c r="H8638" s="208"/>
      <c r="J8638" s="165" t="s">
        <v>960</v>
      </c>
      <c r="K8638" s="205">
        <v>4579.0200000000004</v>
      </c>
      <c r="L8638" s="205"/>
      <c r="M8638" s="263"/>
      <c r="N8638" s="263"/>
    </row>
    <row r="8639" spans="1:14" ht="11.25" customHeight="1" x14ac:dyDescent="0.2">
      <c r="A8639" s="164">
        <v>2025</v>
      </c>
      <c r="B8639" s="164">
        <v>8</v>
      </c>
      <c r="C8639" s="164">
        <v>6</v>
      </c>
      <c r="D8639" s="164">
        <f t="shared" si="992"/>
        <v>45875</v>
      </c>
      <c r="E8639" s="235">
        <f t="shared" si="994"/>
        <v>45875</v>
      </c>
      <c r="F8639" s="480"/>
      <c r="G8639" s="208" t="s">
        <v>86</v>
      </c>
      <c r="H8639" s="208"/>
      <c r="J8639" s="165" t="s">
        <v>143</v>
      </c>
      <c r="K8639" s="205"/>
      <c r="L8639" s="205">
        <v>422679.02</v>
      </c>
      <c r="M8639" s="263"/>
    </row>
    <row r="8640" spans="1:14" ht="11.25" customHeight="1" x14ac:dyDescent="0.2">
      <c r="A8640" s="164">
        <v>2025</v>
      </c>
      <c r="B8640" s="164">
        <v>8</v>
      </c>
      <c r="C8640" s="164">
        <v>6</v>
      </c>
      <c r="D8640" s="164">
        <f t="shared" si="992"/>
        <v>45875</v>
      </c>
      <c r="E8640" s="235">
        <f t="shared" si="994"/>
        <v>45875</v>
      </c>
      <c r="F8640" s="480"/>
      <c r="G8640" s="208" t="s">
        <v>86</v>
      </c>
      <c r="H8640" s="208"/>
      <c r="J8640" s="165" t="s">
        <v>200</v>
      </c>
      <c r="K8640" s="205"/>
      <c r="L8640" s="205">
        <v>93764.6</v>
      </c>
      <c r="M8640" s="263"/>
    </row>
    <row r="8641" spans="1:13" ht="11.25" customHeight="1" x14ac:dyDescent="0.2">
      <c r="A8641" s="226">
        <v>2025</v>
      </c>
      <c r="B8641" s="226">
        <v>8</v>
      </c>
      <c r="C8641" s="226">
        <v>6</v>
      </c>
      <c r="D8641" s="226">
        <f t="shared" si="992"/>
        <v>45875</v>
      </c>
      <c r="E8641" s="234">
        <f t="shared" si="994"/>
        <v>45875</v>
      </c>
      <c r="F8641" s="479"/>
      <c r="G8641" s="227" t="s">
        <v>86</v>
      </c>
      <c r="H8641" s="228"/>
      <c r="I8641" s="228"/>
      <c r="J8641" s="229" t="s">
        <v>80</v>
      </c>
      <c r="K8641" s="230"/>
      <c r="L8641" s="230">
        <v>969135.4</v>
      </c>
      <c r="M8641" s="263"/>
    </row>
    <row r="8642" spans="1:13" ht="11.25" customHeight="1" x14ac:dyDescent="0.2">
      <c r="A8642" s="221">
        <v>2025</v>
      </c>
      <c r="B8642" s="221">
        <v>8</v>
      </c>
      <c r="C8642" s="221">
        <v>6</v>
      </c>
      <c r="D8642" s="231">
        <f t="shared" si="992"/>
        <v>45875</v>
      </c>
      <c r="E8642" s="233">
        <f t="shared" si="994"/>
        <v>45875</v>
      </c>
      <c r="F8642" s="478" t="s">
        <v>1670</v>
      </c>
      <c r="G8642" s="222" t="s">
        <v>1111</v>
      </c>
      <c r="H8642" s="223"/>
      <c r="I8642" s="223"/>
      <c r="J8642" s="224" t="s">
        <v>63</v>
      </c>
      <c r="K8642" s="225">
        <v>100</v>
      </c>
      <c r="L8642" s="225"/>
    </row>
    <row r="8643" spans="1:13" ht="11.25" customHeight="1" x14ac:dyDescent="0.2">
      <c r="A8643" s="226">
        <v>2025</v>
      </c>
      <c r="B8643" s="226">
        <v>8</v>
      </c>
      <c r="C8643" s="226">
        <v>6</v>
      </c>
      <c r="D8643" s="232">
        <f t="shared" si="992"/>
        <v>45875</v>
      </c>
      <c r="E8643" s="234">
        <f t="shared" si="994"/>
        <v>45875</v>
      </c>
      <c r="F8643" s="479"/>
      <c r="G8643" s="227" t="s">
        <v>1111</v>
      </c>
      <c r="H8643" s="228"/>
      <c r="I8643" s="228"/>
      <c r="J8643" s="229" t="s">
        <v>55</v>
      </c>
      <c r="K8643" s="230"/>
      <c r="L8643" s="230">
        <v>100</v>
      </c>
    </row>
    <row r="8644" spans="1:13" ht="11.25" customHeight="1" x14ac:dyDescent="0.2">
      <c r="A8644" s="221">
        <v>2025</v>
      </c>
      <c r="B8644" s="221">
        <v>8</v>
      </c>
      <c r="C8644" s="221">
        <v>6</v>
      </c>
      <c r="D8644" s="231">
        <f t="shared" si="992"/>
        <v>45875</v>
      </c>
      <c r="E8644" s="233">
        <f t="shared" si="994"/>
        <v>45875</v>
      </c>
      <c r="F8644" s="478" t="s">
        <v>1889</v>
      </c>
      <c r="G8644" s="222" t="s">
        <v>1111</v>
      </c>
      <c r="H8644" s="223"/>
      <c r="I8644" s="223"/>
      <c r="J8644" s="224" t="s">
        <v>961</v>
      </c>
      <c r="K8644" s="225">
        <v>3059998.1</v>
      </c>
      <c r="L8644" s="225"/>
    </row>
    <row r="8645" spans="1:13" ht="11.25" customHeight="1" x14ac:dyDescent="0.2">
      <c r="A8645" s="226">
        <v>2025</v>
      </c>
      <c r="B8645" s="226">
        <v>8</v>
      </c>
      <c r="C8645" s="226">
        <v>6</v>
      </c>
      <c r="D8645" s="232">
        <f t="shared" si="992"/>
        <v>45875</v>
      </c>
      <c r="E8645" s="234">
        <f t="shared" si="994"/>
        <v>45875</v>
      </c>
      <c r="F8645" s="479"/>
      <c r="G8645" s="227" t="s">
        <v>1111</v>
      </c>
      <c r="H8645" s="228"/>
      <c r="I8645" s="228"/>
      <c r="J8645" s="229" t="s">
        <v>55</v>
      </c>
      <c r="K8645" s="230"/>
      <c r="L8645" s="230">
        <f>K8644</f>
        <v>3059998.1</v>
      </c>
    </row>
    <row r="8646" spans="1:13" ht="11.25" customHeight="1" x14ac:dyDescent="0.2">
      <c r="A8646" s="221">
        <v>2025</v>
      </c>
      <c r="B8646" s="221">
        <v>8</v>
      </c>
      <c r="C8646" s="221">
        <v>6</v>
      </c>
      <c r="D8646" s="231">
        <f t="shared" si="992"/>
        <v>45875</v>
      </c>
      <c r="E8646" s="233">
        <f>DATE(A8646,B8646,C8646)</f>
        <v>45875</v>
      </c>
      <c r="F8646" s="478" t="s">
        <v>1178</v>
      </c>
      <c r="G8646" s="222" t="s">
        <v>1111</v>
      </c>
      <c r="H8646" s="223"/>
      <c r="I8646" s="223"/>
      <c r="J8646" s="224" t="s">
        <v>189</v>
      </c>
      <c r="K8646" s="225">
        <v>4312.5</v>
      </c>
      <c r="L8646" s="225"/>
    </row>
    <row r="8647" spans="1:13" ht="11.25" customHeight="1" x14ac:dyDescent="0.2">
      <c r="A8647" s="164">
        <v>2025</v>
      </c>
      <c r="B8647" s="164">
        <v>8</v>
      </c>
      <c r="C8647" s="164">
        <v>6</v>
      </c>
      <c r="D8647" s="156">
        <f t="shared" si="992"/>
        <v>45875</v>
      </c>
      <c r="E8647" s="235">
        <f>DATE(A8647,B8647,C8647)</f>
        <v>45875</v>
      </c>
      <c r="F8647" s="480"/>
      <c r="G8647" s="208" t="s">
        <v>1111</v>
      </c>
      <c r="J8647" s="165" t="s">
        <v>1708</v>
      </c>
      <c r="K8647" s="205"/>
      <c r="L8647" s="205">
        <f>3750*0.05</f>
        <v>187.5</v>
      </c>
    </row>
    <row r="8648" spans="1:13" ht="11.25" customHeight="1" x14ac:dyDescent="0.2">
      <c r="A8648" s="226">
        <v>2025</v>
      </c>
      <c r="B8648" s="226">
        <v>8</v>
      </c>
      <c r="C8648" s="226">
        <v>6</v>
      </c>
      <c r="D8648" s="232">
        <f t="shared" si="992"/>
        <v>45875</v>
      </c>
      <c r="E8648" s="234">
        <f>DATE(A8648,B8648,C8648)</f>
        <v>45875</v>
      </c>
      <c r="F8648" s="479"/>
      <c r="G8648" s="227" t="s">
        <v>1111</v>
      </c>
      <c r="H8648" s="228"/>
      <c r="I8648" s="228"/>
      <c r="J8648" s="229" t="s">
        <v>55</v>
      </c>
      <c r="K8648" s="230"/>
      <c r="L8648" s="230">
        <v>4125</v>
      </c>
    </row>
    <row r="8649" spans="1:13" ht="11.25" customHeight="1" x14ac:dyDescent="0.2">
      <c r="A8649" s="221">
        <v>2025</v>
      </c>
      <c r="B8649" s="221">
        <v>8</v>
      </c>
      <c r="C8649" s="221">
        <v>6</v>
      </c>
      <c r="D8649" s="231">
        <f t="shared" ref="D8649:D8712" si="1000">DATE(A8649,B8649,C8649)</f>
        <v>45875</v>
      </c>
      <c r="E8649" s="233">
        <f t="shared" ref="E8649:E8684" si="1001">DATE(A8649,B8649,C8649)</f>
        <v>45875</v>
      </c>
      <c r="F8649" s="478" t="s">
        <v>1670</v>
      </c>
      <c r="G8649" s="222" t="s">
        <v>1111</v>
      </c>
      <c r="H8649" s="223"/>
      <c r="I8649" s="223"/>
      <c r="J8649" s="224" t="s">
        <v>63</v>
      </c>
      <c r="K8649" s="225">
        <v>100</v>
      </c>
      <c r="L8649" s="225"/>
    </row>
    <row r="8650" spans="1:13" ht="11.25" customHeight="1" x14ac:dyDescent="0.2">
      <c r="A8650" s="226">
        <v>2025</v>
      </c>
      <c r="B8650" s="226">
        <v>8</v>
      </c>
      <c r="C8650" s="226">
        <v>6</v>
      </c>
      <c r="D8650" s="232">
        <f t="shared" si="1000"/>
        <v>45875</v>
      </c>
      <c r="E8650" s="234">
        <f t="shared" si="1001"/>
        <v>45875</v>
      </c>
      <c r="F8650" s="479"/>
      <c r="G8650" s="227" t="s">
        <v>1111</v>
      </c>
      <c r="H8650" s="228"/>
      <c r="I8650" s="228"/>
      <c r="J8650" s="229" t="s">
        <v>55</v>
      </c>
      <c r="K8650" s="230"/>
      <c r="L8650" s="230">
        <f>K8649</f>
        <v>100</v>
      </c>
    </row>
    <row r="8651" spans="1:13" ht="11.25" customHeight="1" x14ac:dyDescent="0.2">
      <c r="A8651" s="221">
        <v>2025</v>
      </c>
      <c r="B8651" s="221">
        <v>8</v>
      </c>
      <c r="C8651" s="221">
        <v>7</v>
      </c>
      <c r="D8651" s="231">
        <f t="shared" si="1000"/>
        <v>45876</v>
      </c>
      <c r="E8651" s="233">
        <f t="shared" si="1001"/>
        <v>45876</v>
      </c>
      <c r="F8651" s="478" t="s">
        <v>802</v>
      </c>
      <c r="G8651" s="222" t="s">
        <v>1111</v>
      </c>
      <c r="H8651" s="223"/>
      <c r="I8651" s="223"/>
      <c r="J8651" s="224" t="s">
        <v>55</v>
      </c>
      <c r="K8651" s="167">
        <v>500000</v>
      </c>
      <c r="L8651" s="225"/>
    </row>
    <row r="8652" spans="1:13" ht="11.25" customHeight="1" x14ac:dyDescent="0.2">
      <c r="A8652" s="164">
        <v>2025</v>
      </c>
      <c r="B8652" s="164">
        <v>8</v>
      </c>
      <c r="C8652" s="164">
        <v>7</v>
      </c>
      <c r="D8652" s="156">
        <f t="shared" si="1000"/>
        <v>45876</v>
      </c>
      <c r="E8652" s="235">
        <f t="shared" si="1001"/>
        <v>45876</v>
      </c>
      <c r="F8652" s="480"/>
      <c r="G8652" s="208" t="s">
        <v>1111</v>
      </c>
      <c r="J8652" s="165" t="s">
        <v>14</v>
      </c>
      <c r="L8652" s="205">
        <v>413430</v>
      </c>
    </row>
    <row r="8653" spans="1:13" ht="11.25" customHeight="1" x14ac:dyDescent="0.2">
      <c r="A8653" s="226">
        <v>2025</v>
      </c>
      <c r="B8653" s="226">
        <v>8</v>
      </c>
      <c r="C8653" s="226">
        <v>7</v>
      </c>
      <c r="D8653" s="232">
        <f t="shared" si="1000"/>
        <v>45876</v>
      </c>
      <c r="E8653" s="234">
        <f t="shared" si="1001"/>
        <v>45876</v>
      </c>
      <c r="F8653" s="479"/>
      <c r="G8653" s="227" t="s">
        <v>1111</v>
      </c>
      <c r="H8653" s="228"/>
      <c r="I8653" s="228"/>
      <c r="J8653" s="229" t="s">
        <v>1112</v>
      </c>
      <c r="K8653" s="230"/>
      <c r="L8653" s="230">
        <v>86570</v>
      </c>
    </row>
    <row r="8654" spans="1:13" ht="11.25" customHeight="1" x14ac:dyDescent="0.2">
      <c r="A8654" s="221">
        <v>2025</v>
      </c>
      <c r="B8654" s="221">
        <v>8</v>
      </c>
      <c r="C8654" s="221">
        <v>7</v>
      </c>
      <c r="D8654" s="231">
        <f t="shared" si="1000"/>
        <v>45876</v>
      </c>
      <c r="E8654" s="233">
        <f t="shared" ref="E8654:E8676" si="1002">DATE(A8654,B8654,C8654)</f>
        <v>45876</v>
      </c>
      <c r="F8654" s="478" t="s">
        <v>802</v>
      </c>
      <c r="G8654" s="222" t="s">
        <v>1111</v>
      </c>
      <c r="H8654" s="223"/>
      <c r="I8654" s="223"/>
      <c r="J8654" s="224" t="s">
        <v>55</v>
      </c>
      <c r="K8654" s="167">
        <v>1000</v>
      </c>
      <c r="L8654" s="225"/>
    </row>
    <row r="8655" spans="1:13" ht="11.25" customHeight="1" x14ac:dyDescent="0.2">
      <c r="A8655" s="164">
        <v>2025</v>
      </c>
      <c r="B8655" s="164">
        <v>8</v>
      </c>
      <c r="C8655" s="164">
        <v>7</v>
      </c>
      <c r="D8655" s="156">
        <f t="shared" si="1000"/>
        <v>45876</v>
      </c>
      <c r="E8655" s="235">
        <f t="shared" si="1002"/>
        <v>45876</v>
      </c>
      <c r="F8655" s="480"/>
      <c r="G8655" s="208" t="s">
        <v>1111</v>
      </c>
      <c r="J8655" s="165" t="s">
        <v>14</v>
      </c>
      <c r="L8655" s="205">
        <v>830</v>
      </c>
    </row>
    <row r="8656" spans="1:13" ht="11.25" customHeight="1" x14ac:dyDescent="0.2">
      <c r="A8656" s="226">
        <v>2025</v>
      </c>
      <c r="B8656" s="226">
        <v>8</v>
      </c>
      <c r="C8656" s="226">
        <v>7</v>
      </c>
      <c r="D8656" s="232">
        <f t="shared" si="1000"/>
        <v>45876</v>
      </c>
      <c r="E8656" s="234">
        <f t="shared" si="1002"/>
        <v>45876</v>
      </c>
      <c r="F8656" s="479"/>
      <c r="G8656" s="227" t="s">
        <v>1111</v>
      </c>
      <c r="H8656" s="228"/>
      <c r="I8656" s="228"/>
      <c r="J8656" s="229" t="s">
        <v>1112</v>
      </c>
      <c r="K8656" s="230"/>
      <c r="L8656" s="230">
        <v>170</v>
      </c>
    </row>
    <row r="8657" spans="1:12" ht="11.25" customHeight="1" x14ac:dyDescent="0.2">
      <c r="A8657" s="221">
        <v>2025</v>
      </c>
      <c r="B8657" s="221">
        <v>8</v>
      </c>
      <c r="C8657" s="221">
        <v>7</v>
      </c>
      <c r="D8657" s="231">
        <f t="shared" si="1000"/>
        <v>45876</v>
      </c>
      <c r="E8657" s="233">
        <f t="shared" si="1002"/>
        <v>45876</v>
      </c>
      <c r="F8657" s="478" t="s">
        <v>1814</v>
      </c>
      <c r="G8657" s="222" t="s">
        <v>1111</v>
      </c>
      <c r="H8657" s="223"/>
      <c r="I8657" s="223"/>
      <c r="J8657" s="224" t="s">
        <v>961</v>
      </c>
      <c r="K8657" s="225">
        <v>422679.02</v>
      </c>
      <c r="L8657" s="225"/>
    </row>
    <row r="8658" spans="1:12" ht="11.25" customHeight="1" x14ac:dyDescent="0.2">
      <c r="A8658" s="226">
        <v>2025</v>
      </c>
      <c r="B8658" s="226">
        <v>8</v>
      </c>
      <c r="C8658" s="226">
        <v>7</v>
      </c>
      <c r="D8658" s="232">
        <f t="shared" si="1000"/>
        <v>45876</v>
      </c>
      <c r="E8658" s="234">
        <f t="shared" si="1002"/>
        <v>45876</v>
      </c>
      <c r="F8658" s="479"/>
      <c r="G8658" s="227" t="s">
        <v>1111</v>
      </c>
      <c r="H8658" s="228"/>
      <c r="I8658" s="228"/>
      <c r="J8658" s="229" t="s">
        <v>55</v>
      </c>
      <c r="K8658" s="230"/>
      <c r="L8658" s="230">
        <f>K8657</f>
        <v>422679.02</v>
      </c>
    </row>
    <row r="8659" spans="1:12" ht="11.25" customHeight="1" x14ac:dyDescent="0.2">
      <c r="A8659" s="221">
        <v>2025</v>
      </c>
      <c r="B8659" s="221">
        <v>8</v>
      </c>
      <c r="C8659" s="221">
        <v>7</v>
      </c>
      <c r="D8659" s="231">
        <f t="shared" si="1000"/>
        <v>45876</v>
      </c>
      <c r="E8659" s="233">
        <f t="shared" si="1002"/>
        <v>45876</v>
      </c>
      <c r="F8659" s="478" t="s">
        <v>1670</v>
      </c>
      <c r="G8659" s="222" t="s">
        <v>1111</v>
      </c>
      <c r="H8659" s="223"/>
      <c r="I8659" s="223"/>
      <c r="J8659" s="224" t="s">
        <v>63</v>
      </c>
      <c r="K8659" s="225">
        <v>58</v>
      </c>
      <c r="L8659" s="225"/>
    </row>
    <row r="8660" spans="1:12" ht="11.25" customHeight="1" x14ac:dyDescent="0.2">
      <c r="A8660" s="226">
        <v>2025</v>
      </c>
      <c r="B8660" s="226">
        <v>8</v>
      </c>
      <c r="C8660" s="226">
        <v>7</v>
      </c>
      <c r="D8660" s="232">
        <f t="shared" si="1000"/>
        <v>45876</v>
      </c>
      <c r="E8660" s="234">
        <f t="shared" si="1002"/>
        <v>45876</v>
      </c>
      <c r="F8660" s="479"/>
      <c r="G8660" s="227" t="s">
        <v>1111</v>
      </c>
      <c r="H8660" s="228"/>
      <c r="I8660" s="228"/>
      <c r="J8660" s="229" t="s">
        <v>55</v>
      </c>
      <c r="K8660" s="230"/>
      <c r="L8660" s="230">
        <f>K8659</f>
        <v>58</v>
      </c>
    </row>
    <row r="8661" spans="1:12" ht="11.25" customHeight="1" x14ac:dyDescent="0.2">
      <c r="A8661" s="221">
        <v>2025</v>
      </c>
      <c r="B8661" s="221">
        <v>8</v>
      </c>
      <c r="C8661" s="221">
        <v>7</v>
      </c>
      <c r="D8661" s="231">
        <f t="shared" si="1000"/>
        <v>45876</v>
      </c>
      <c r="E8661" s="233">
        <f t="shared" si="1002"/>
        <v>45876</v>
      </c>
      <c r="F8661" s="478" t="s">
        <v>1932</v>
      </c>
      <c r="G8661" s="222" t="s">
        <v>1111</v>
      </c>
      <c r="H8661" s="222"/>
      <c r="I8661" s="223"/>
      <c r="J8661" s="224" t="s">
        <v>55</v>
      </c>
      <c r="K8661" s="357">
        <v>2175520.56</v>
      </c>
      <c r="L8661" s="225"/>
    </row>
    <row r="8662" spans="1:12" ht="11.25" customHeight="1" x14ac:dyDescent="0.2">
      <c r="A8662" s="164">
        <v>2025</v>
      </c>
      <c r="B8662" s="164">
        <v>8</v>
      </c>
      <c r="C8662" s="164">
        <v>7</v>
      </c>
      <c r="D8662" s="164">
        <f t="shared" si="1000"/>
        <v>45876</v>
      </c>
      <c r="E8662" s="235">
        <f t="shared" si="1002"/>
        <v>45876</v>
      </c>
      <c r="F8662" s="480"/>
      <c r="G8662" s="208" t="s">
        <v>1111</v>
      </c>
      <c r="H8662" s="208"/>
      <c r="J8662" s="165" t="s">
        <v>1618</v>
      </c>
      <c r="K8662" s="263"/>
      <c r="L8662" s="205">
        <v>115609.18000000017</v>
      </c>
    </row>
    <row r="8663" spans="1:12" ht="11.25" customHeight="1" x14ac:dyDescent="0.2">
      <c r="A8663" s="226">
        <v>2025</v>
      </c>
      <c r="B8663" s="226">
        <v>8</v>
      </c>
      <c r="C8663" s="226">
        <v>7</v>
      </c>
      <c r="D8663" s="226">
        <f t="shared" si="1000"/>
        <v>45876</v>
      </c>
      <c r="E8663" s="234">
        <f t="shared" si="1002"/>
        <v>45876</v>
      </c>
      <c r="F8663" s="479"/>
      <c r="G8663" s="227" t="s">
        <v>1111</v>
      </c>
      <c r="H8663" s="227"/>
      <c r="I8663" s="228"/>
      <c r="J8663" s="229" t="s">
        <v>1615</v>
      </c>
      <c r="K8663" s="294"/>
      <c r="L8663" s="230">
        <v>2059911.38</v>
      </c>
    </row>
    <row r="8664" spans="1:12" ht="11.25" customHeight="1" x14ac:dyDescent="0.2">
      <c r="A8664" s="221">
        <v>2025</v>
      </c>
      <c r="B8664" s="221">
        <v>8</v>
      </c>
      <c r="C8664" s="221">
        <v>7</v>
      </c>
      <c r="D8664" s="221">
        <f t="shared" si="1000"/>
        <v>45876</v>
      </c>
      <c r="E8664" s="233">
        <f t="shared" si="1002"/>
        <v>45876</v>
      </c>
      <c r="F8664" s="478" t="s">
        <v>1593</v>
      </c>
      <c r="G8664" s="222" t="s">
        <v>86</v>
      </c>
      <c r="H8664" s="222"/>
      <c r="I8664" s="223"/>
      <c r="J8664" s="224" t="s">
        <v>80</v>
      </c>
      <c r="K8664" s="225">
        <v>1536200</v>
      </c>
      <c r="L8664" s="225"/>
    </row>
    <row r="8665" spans="1:12" ht="11.25" customHeight="1" x14ac:dyDescent="0.2">
      <c r="A8665" s="164">
        <v>2025</v>
      </c>
      <c r="B8665" s="164">
        <v>8</v>
      </c>
      <c r="C8665" s="164">
        <v>7</v>
      </c>
      <c r="D8665" s="164">
        <f t="shared" si="1000"/>
        <v>45876</v>
      </c>
      <c r="E8665" s="235">
        <f t="shared" si="1002"/>
        <v>45876</v>
      </c>
      <c r="F8665" s="480"/>
      <c r="G8665" s="208" t="s">
        <v>86</v>
      </c>
      <c r="H8665" s="208"/>
      <c r="J8665" s="165" t="s">
        <v>960</v>
      </c>
      <c r="K8665" s="205">
        <v>2765.16</v>
      </c>
      <c r="L8665" s="205"/>
    </row>
    <row r="8666" spans="1:12" ht="11.25" customHeight="1" x14ac:dyDescent="0.2">
      <c r="A8666" s="226">
        <v>2025</v>
      </c>
      <c r="B8666" s="226">
        <v>8</v>
      </c>
      <c r="C8666" s="226">
        <v>7</v>
      </c>
      <c r="D8666" s="226">
        <f t="shared" si="1000"/>
        <v>45876</v>
      </c>
      <c r="E8666" s="234">
        <f t="shared" si="1002"/>
        <v>45876</v>
      </c>
      <c r="F8666" s="479"/>
      <c r="G8666" s="227" t="s">
        <v>86</v>
      </c>
      <c r="H8666" s="227"/>
      <c r="I8666" s="228"/>
      <c r="J8666" s="229" t="s">
        <v>143</v>
      </c>
      <c r="K8666" s="230"/>
      <c r="L8666" s="230">
        <v>1538965.16</v>
      </c>
    </row>
    <row r="8667" spans="1:12" ht="11.25" customHeight="1" x14ac:dyDescent="0.2">
      <c r="A8667" s="221">
        <v>2025</v>
      </c>
      <c r="B8667" s="221">
        <v>8</v>
      </c>
      <c r="C8667" s="221">
        <v>7</v>
      </c>
      <c r="D8667" s="231">
        <f t="shared" si="1000"/>
        <v>45876</v>
      </c>
      <c r="E8667" s="233">
        <f t="shared" si="1002"/>
        <v>45876</v>
      </c>
      <c r="F8667" s="478" t="s">
        <v>1670</v>
      </c>
      <c r="G8667" s="222" t="s">
        <v>1111</v>
      </c>
      <c r="H8667" s="223"/>
      <c r="I8667" s="223"/>
      <c r="J8667" s="224" t="s">
        <v>63</v>
      </c>
      <c r="K8667" s="225">
        <v>60</v>
      </c>
      <c r="L8667" s="225"/>
    </row>
    <row r="8668" spans="1:12" ht="11.25" customHeight="1" x14ac:dyDescent="0.2">
      <c r="A8668" s="226">
        <v>2025</v>
      </c>
      <c r="B8668" s="226">
        <v>8</v>
      </c>
      <c r="C8668" s="226">
        <v>7</v>
      </c>
      <c r="D8668" s="232">
        <f t="shared" si="1000"/>
        <v>45876</v>
      </c>
      <c r="E8668" s="234">
        <f t="shared" si="1002"/>
        <v>45876</v>
      </c>
      <c r="F8668" s="479"/>
      <c r="G8668" s="227" t="s">
        <v>1111</v>
      </c>
      <c r="H8668" s="228"/>
      <c r="I8668" s="228"/>
      <c r="J8668" s="229" t="s">
        <v>55</v>
      </c>
      <c r="K8668" s="230"/>
      <c r="L8668" s="230">
        <v>60</v>
      </c>
    </row>
    <row r="8669" spans="1:12" ht="11.25" customHeight="1" x14ac:dyDescent="0.2">
      <c r="A8669" s="221">
        <v>2025</v>
      </c>
      <c r="B8669" s="221">
        <v>8</v>
      </c>
      <c r="C8669" s="221">
        <v>7</v>
      </c>
      <c r="D8669" s="231">
        <f t="shared" si="1000"/>
        <v>45876</v>
      </c>
      <c r="E8669" s="233">
        <f t="shared" si="1002"/>
        <v>45876</v>
      </c>
      <c r="F8669" s="478" t="s">
        <v>1748</v>
      </c>
      <c r="G8669" s="222" t="s">
        <v>1111</v>
      </c>
      <c r="H8669" s="223"/>
      <c r="I8669" s="223"/>
      <c r="J8669" s="224" t="s">
        <v>55</v>
      </c>
      <c r="K8669" s="225">
        <v>177.75</v>
      </c>
      <c r="L8669" s="225"/>
    </row>
    <row r="8670" spans="1:12" ht="11.25" customHeight="1" x14ac:dyDescent="0.2">
      <c r="A8670" s="164">
        <v>2025</v>
      </c>
      <c r="B8670" s="164">
        <v>8</v>
      </c>
      <c r="C8670" s="164">
        <v>7</v>
      </c>
      <c r="D8670" s="156">
        <f t="shared" si="1000"/>
        <v>45876</v>
      </c>
      <c r="E8670" s="235">
        <f t="shared" si="1002"/>
        <v>45876</v>
      </c>
      <c r="F8670" s="480"/>
      <c r="G8670" s="208" t="s">
        <v>1111</v>
      </c>
      <c r="J8670" s="165" t="s">
        <v>174</v>
      </c>
      <c r="K8670" s="205"/>
      <c r="L8670" s="205">
        <f>K8669-L8671</f>
        <v>6.1299999999999955</v>
      </c>
    </row>
    <row r="8671" spans="1:12" ht="11.25" customHeight="1" x14ac:dyDescent="0.2">
      <c r="A8671" s="226">
        <v>2025</v>
      </c>
      <c r="B8671" s="226">
        <v>8</v>
      </c>
      <c r="C8671" s="226">
        <v>7</v>
      </c>
      <c r="D8671" s="232">
        <f t="shared" si="1000"/>
        <v>45876</v>
      </c>
      <c r="E8671" s="234">
        <f t="shared" si="1002"/>
        <v>45876</v>
      </c>
      <c r="F8671" s="479"/>
      <c r="G8671" s="227" t="s">
        <v>1111</v>
      </c>
      <c r="H8671" s="228"/>
      <c r="I8671" s="228"/>
      <c r="J8671" s="229" t="s">
        <v>67</v>
      </c>
      <c r="K8671" s="230"/>
      <c r="L8671" s="230">
        <v>171.62</v>
      </c>
    </row>
    <row r="8672" spans="1:12" ht="11.25" customHeight="1" x14ac:dyDescent="0.2">
      <c r="A8672" s="221">
        <v>2025</v>
      </c>
      <c r="B8672" s="221">
        <v>8</v>
      </c>
      <c r="C8672" s="221">
        <v>7</v>
      </c>
      <c r="D8672" s="231">
        <f t="shared" si="1000"/>
        <v>45876</v>
      </c>
      <c r="E8672" s="233">
        <f t="shared" si="1002"/>
        <v>45876</v>
      </c>
      <c r="F8672" s="478" t="s">
        <v>1748</v>
      </c>
      <c r="G8672" s="222" t="s">
        <v>1111</v>
      </c>
      <c r="H8672" s="223"/>
      <c r="I8672" s="223"/>
      <c r="J8672" s="224" t="s">
        <v>55</v>
      </c>
      <c r="K8672" s="225">
        <v>727</v>
      </c>
      <c r="L8672" s="225"/>
    </row>
    <row r="8673" spans="1:13" ht="11.25" customHeight="1" x14ac:dyDescent="0.2">
      <c r="A8673" s="164">
        <v>2025</v>
      </c>
      <c r="B8673" s="164">
        <v>8</v>
      </c>
      <c r="C8673" s="164">
        <v>7</v>
      </c>
      <c r="D8673" s="156">
        <f t="shared" si="1000"/>
        <v>45876</v>
      </c>
      <c r="E8673" s="235">
        <f t="shared" si="1002"/>
        <v>45876</v>
      </c>
      <c r="F8673" s="480"/>
      <c r="G8673" s="208" t="s">
        <v>1111</v>
      </c>
      <c r="J8673" s="165" t="s">
        <v>174</v>
      </c>
      <c r="K8673" s="205"/>
      <c r="L8673" s="205">
        <v>40.96</v>
      </c>
    </row>
    <row r="8674" spans="1:13" ht="11.25" customHeight="1" x14ac:dyDescent="0.2">
      <c r="A8674" s="226">
        <v>2025</v>
      </c>
      <c r="B8674" s="226">
        <v>8</v>
      </c>
      <c r="C8674" s="226">
        <v>7</v>
      </c>
      <c r="D8674" s="232">
        <f t="shared" si="1000"/>
        <v>45876</v>
      </c>
      <c r="E8674" s="234">
        <f t="shared" si="1002"/>
        <v>45876</v>
      </c>
      <c r="F8674" s="479"/>
      <c r="G8674" s="227" t="s">
        <v>1111</v>
      </c>
      <c r="H8674" s="228"/>
      <c r="I8674" s="228"/>
      <c r="J8674" s="229" t="s">
        <v>67</v>
      </c>
      <c r="K8674" s="230"/>
      <c r="L8674" s="230">
        <v>686.04</v>
      </c>
    </row>
    <row r="8675" spans="1:13" ht="11.25" customHeight="1" x14ac:dyDescent="0.2">
      <c r="A8675" s="221">
        <v>2025</v>
      </c>
      <c r="B8675" s="221">
        <v>7</v>
      </c>
      <c r="C8675" s="221">
        <v>7</v>
      </c>
      <c r="D8675" s="231">
        <f t="shared" si="1000"/>
        <v>45845</v>
      </c>
      <c r="E8675" s="233">
        <f t="shared" si="1002"/>
        <v>45845</v>
      </c>
      <c r="F8675" s="478" t="s">
        <v>1753</v>
      </c>
      <c r="G8675" s="222" t="s">
        <v>1111</v>
      </c>
      <c r="H8675" s="223"/>
      <c r="I8675" s="223"/>
      <c r="J8675" s="224" t="s">
        <v>63</v>
      </c>
      <c r="K8675" s="225">
        <v>100</v>
      </c>
      <c r="L8675" s="225"/>
    </row>
    <row r="8676" spans="1:13" ht="11.25" customHeight="1" x14ac:dyDescent="0.2">
      <c r="A8676" s="226">
        <v>2025</v>
      </c>
      <c r="B8676" s="226">
        <v>7</v>
      </c>
      <c r="C8676" s="226">
        <v>7</v>
      </c>
      <c r="D8676" s="232">
        <f t="shared" si="1000"/>
        <v>45845</v>
      </c>
      <c r="E8676" s="234">
        <f t="shared" si="1002"/>
        <v>45845</v>
      </c>
      <c r="F8676" s="479"/>
      <c r="G8676" s="227" t="s">
        <v>1111</v>
      </c>
      <c r="H8676" s="228"/>
      <c r="I8676" s="228"/>
      <c r="J8676" s="229" t="s">
        <v>55</v>
      </c>
      <c r="K8676" s="230"/>
      <c r="L8676" s="230">
        <f>K8675</f>
        <v>100</v>
      </c>
    </row>
    <row r="8677" spans="1:13" ht="11.25" customHeight="1" x14ac:dyDescent="0.2">
      <c r="A8677" s="280">
        <v>2025</v>
      </c>
      <c r="B8677" s="280">
        <v>8</v>
      </c>
      <c r="C8677" s="280">
        <v>7</v>
      </c>
      <c r="D8677" s="281">
        <f t="shared" si="1000"/>
        <v>45876</v>
      </c>
      <c r="E8677" s="282">
        <f t="shared" si="1001"/>
        <v>45876</v>
      </c>
      <c r="F8677" s="472" t="s">
        <v>1744</v>
      </c>
      <c r="G8677" s="283" t="s">
        <v>86</v>
      </c>
      <c r="H8677" s="284"/>
      <c r="I8677" s="284"/>
      <c r="J8677" s="285" t="s">
        <v>131</v>
      </c>
      <c r="K8677" s="286">
        <v>19358.330000000002</v>
      </c>
      <c r="L8677" s="286"/>
      <c r="M8677" s="401"/>
    </row>
    <row r="8678" spans="1:13" ht="11.25" customHeight="1" x14ac:dyDescent="0.2">
      <c r="A8678" s="287">
        <v>2025</v>
      </c>
      <c r="B8678" s="287">
        <v>8</v>
      </c>
      <c r="C8678" s="287">
        <v>7</v>
      </c>
      <c r="D8678" s="288">
        <f t="shared" si="1000"/>
        <v>45876</v>
      </c>
      <c r="E8678" s="289">
        <f t="shared" si="1001"/>
        <v>45876</v>
      </c>
      <c r="F8678" s="473"/>
      <c r="G8678" s="290" t="s">
        <v>86</v>
      </c>
      <c r="H8678" s="291"/>
      <c r="I8678" s="291"/>
      <c r="J8678" s="292" t="s">
        <v>174</v>
      </c>
      <c r="K8678" s="293"/>
      <c r="L8678" s="293">
        <f>K8677</f>
        <v>19358.330000000002</v>
      </c>
    </row>
    <row r="8679" spans="1:13" ht="11.25" customHeight="1" x14ac:dyDescent="0.2">
      <c r="A8679" s="280">
        <v>2025</v>
      </c>
      <c r="B8679" s="280">
        <v>8</v>
      </c>
      <c r="C8679" s="280">
        <v>7</v>
      </c>
      <c r="D8679" s="281">
        <f t="shared" si="1000"/>
        <v>45876</v>
      </c>
      <c r="E8679" s="282">
        <f t="shared" si="1001"/>
        <v>45876</v>
      </c>
      <c r="F8679" s="472" t="s">
        <v>1584</v>
      </c>
      <c r="G8679" s="283" t="s">
        <v>86</v>
      </c>
      <c r="H8679" s="284"/>
      <c r="I8679" s="284"/>
      <c r="J8679" s="285" t="s">
        <v>131</v>
      </c>
      <c r="K8679" s="286">
        <v>8846.15</v>
      </c>
      <c r="L8679" s="286"/>
      <c r="M8679" s="401"/>
    </row>
    <row r="8680" spans="1:13" ht="11.25" customHeight="1" x14ac:dyDescent="0.2">
      <c r="A8680" s="287">
        <v>2025</v>
      </c>
      <c r="B8680" s="287">
        <v>8</v>
      </c>
      <c r="C8680" s="287">
        <v>7</v>
      </c>
      <c r="D8680" s="288">
        <f t="shared" si="1000"/>
        <v>45876</v>
      </c>
      <c r="E8680" s="289">
        <f t="shared" si="1001"/>
        <v>45876</v>
      </c>
      <c r="F8680" s="473"/>
      <c r="G8680" s="290" t="s">
        <v>86</v>
      </c>
      <c r="H8680" s="291"/>
      <c r="I8680" s="291"/>
      <c r="J8680" s="292" t="s">
        <v>174</v>
      </c>
      <c r="K8680" s="293"/>
      <c r="L8680" s="293">
        <f>K8679</f>
        <v>8846.15</v>
      </c>
    </row>
    <row r="8681" spans="1:13" ht="11.25" customHeight="1" x14ac:dyDescent="0.2">
      <c r="A8681" s="280">
        <v>2025</v>
      </c>
      <c r="B8681" s="280">
        <v>8</v>
      </c>
      <c r="C8681" s="280">
        <v>7</v>
      </c>
      <c r="D8681" s="281">
        <f t="shared" si="1000"/>
        <v>45876</v>
      </c>
      <c r="E8681" s="282">
        <f t="shared" si="1001"/>
        <v>45876</v>
      </c>
      <c r="F8681" s="472" t="s">
        <v>1830</v>
      </c>
      <c r="G8681" s="283" t="s">
        <v>86</v>
      </c>
      <c r="H8681" s="284"/>
      <c r="I8681" s="284"/>
      <c r="J8681" s="285" t="s">
        <v>131</v>
      </c>
      <c r="K8681" s="286">
        <v>11634.615384615385</v>
      </c>
      <c r="L8681" s="286"/>
      <c r="M8681" s="401"/>
    </row>
    <row r="8682" spans="1:13" ht="11.25" customHeight="1" x14ac:dyDescent="0.2">
      <c r="A8682" s="287">
        <v>2025</v>
      </c>
      <c r="B8682" s="287">
        <v>8</v>
      </c>
      <c r="C8682" s="287">
        <v>7</v>
      </c>
      <c r="D8682" s="288">
        <f t="shared" si="1000"/>
        <v>45876</v>
      </c>
      <c r="E8682" s="289">
        <f t="shared" si="1001"/>
        <v>45876</v>
      </c>
      <c r="F8682" s="473"/>
      <c r="G8682" s="290" t="s">
        <v>86</v>
      </c>
      <c r="H8682" s="291"/>
      <c r="I8682" s="291"/>
      <c r="J8682" s="292" t="s">
        <v>174</v>
      </c>
      <c r="K8682" s="293"/>
      <c r="L8682" s="293">
        <v>11634.615384615385</v>
      </c>
    </row>
    <row r="8683" spans="1:13" ht="11.25" customHeight="1" x14ac:dyDescent="0.2">
      <c r="A8683" s="341">
        <v>2025</v>
      </c>
      <c r="B8683" s="341">
        <v>8</v>
      </c>
      <c r="C8683" s="341">
        <v>7</v>
      </c>
      <c r="D8683" s="328">
        <f t="shared" si="1000"/>
        <v>45876</v>
      </c>
      <c r="E8683" s="329">
        <f t="shared" si="1001"/>
        <v>45876</v>
      </c>
      <c r="F8683" s="474" t="s">
        <v>1767</v>
      </c>
      <c r="G8683" s="330" t="s">
        <v>86</v>
      </c>
      <c r="H8683" s="332"/>
      <c r="I8683" s="332"/>
      <c r="J8683" s="342" t="s">
        <v>67</v>
      </c>
      <c r="K8683" s="343">
        <v>5333.38</v>
      </c>
      <c r="L8683" s="343"/>
    </row>
    <row r="8684" spans="1:13" ht="11.25" customHeight="1" x14ac:dyDescent="0.2">
      <c r="A8684" s="344">
        <v>2025</v>
      </c>
      <c r="B8684" s="344">
        <v>8</v>
      </c>
      <c r="C8684" s="344">
        <v>7</v>
      </c>
      <c r="D8684" s="337">
        <f t="shared" si="1000"/>
        <v>45876</v>
      </c>
      <c r="E8684" s="338">
        <f t="shared" si="1001"/>
        <v>45876</v>
      </c>
      <c r="F8684" s="475"/>
      <c r="G8684" s="339" t="s">
        <v>86</v>
      </c>
      <c r="H8684" s="340"/>
      <c r="I8684" s="340"/>
      <c r="J8684" s="345" t="s">
        <v>174</v>
      </c>
      <c r="K8684" s="346"/>
      <c r="L8684" s="346">
        <f>K8683</f>
        <v>5333.38</v>
      </c>
    </row>
    <row r="8685" spans="1:13" ht="11.25" customHeight="1" x14ac:dyDescent="0.2">
      <c r="A8685" s="358">
        <v>2025</v>
      </c>
      <c r="B8685" s="358">
        <v>8</v>
      </c>
      <c r="C8685" s="358">
        <v>7</v>
      </c>
      <c r="D8685" s="312">
        <f t="shared" si="1000"/>
        <v>45876</v>
      </c>
      <c r="E8685" s="313">
        <f>DATE(A8685,B8685,C8685)</f>
        <v>45876</v>
      </c>
      <c r="F8685" s="482" t="s">
        <v>1627</v>
      </c>
      <c r="G8685" s="314" t="s">
        <v>86</v>
      </c>
      <c r="H8685" s="324"/>
      <c r="I8685" s="324"/>
      <c r="J8685" s="364" t="s">
        <v>1613</v>
      </c>
      <c r="K8685" s="365">
        <v>0</v>
      </c>
      <c r="L8685" s="365"/>
      <c r="M8685" s="156">
        <f>BS!$I$12</f>
        <v>0</v>
      </c>
    </row>
    <row r="8686" spans="1:13" ht="11.25" customHeight="1" x14ac:dyDescent="0.2">
      <c r="A8686" s="320">
        <v>2025</v>
      </c>
      <c r="B8686" s="320">
        <v>8</v>
      </c>
      <c r="C8686" s="320">
        <v>7</v>
      </c>
      <c r="D8686" s="323">
        <f t="shared" si="1000"/>
        <v>45876</v>
      </c>
      <c r="E8686" s="321">
        <f t="shared" ref="E8686" si="1003">DATE(A8686,B8686,C8686)</f>
        <v>45876</v>
      </c>
      <c r="F8686" s="483"/>
      <c r="G8686" s="322" t="s">
        <v>86</v>
      </c>
      <c r="H8686" s="325"/>
      <c r="I8686" s="325"/>
      <c r="J8686" s="366" t="s">
        <v>1621</v>
      </c>
      <c r="K8686" s="367"/>
      <c r="L8686" s="367">
        <f>K8685</f>
        <v>0</v>
      </c>
    </row>
    <row r="8687" spans="1:13" ht="11.25" customHeight="1" x14ac:dyDescent="0.2">
      <c r="A8687" s="358">
        <v>2025</v>
      </c>
      <c r="B8687" s="358">
        <v>8</v>
      </c>
      <c r="C8687" s="358">
        <v>7</v>
      </c>
      <c r="D8687" s="312">
        <f t="shared" si="1000"/>
        <v>45876</v>
      </c>
      <c r="E8687" s="313">
        <f>DATE(A8687,B8687,C8687)</f>
        <v>45876</v>
      </c>
      <c r="F8687" s="482" t="s">
        <v>1713</v>
      </c>
      <c r="G8687" s="314" t="s">
        <v>86</v>
      </c>
      <c r="H8687" s="324"/>
      <c r="I8687" s="324"/>
      <c r="J8687" s="364" t="s">
        <v>1614</v>
      </c>
      <c r="K8687" s="365">
        <v>17258.909000005573</v>
      </c>
      <c r="L8687" s="365"/>
      <c r="M8687" s="156">
        <f>BS!$I$15</f>
        <v>0</v>
      </c>
    </row>
    <row r="8688" spans="1:13" ht="11.25" customHeight="1" x14ac:dyDescent="0.2">
      <c r="A8688" s="320">
        <v>2025</v>
      </c>
      <c r="B8688" s="320">
        <v>8</v>
      </c>
      <c r="C8688" s="320">
        <v>7</v>
      </c>
      <c r="D8688" s="323">
        <f t="shared" si="1000"/>
        <v>45876</v>
      </c>
      <c r="E8688" s="321">
        <f t="shared" ref="E8688:E8713" si="1004">DATE(A8688,B8688,C8688)</f>
        <v>45876</v>
      </c>
      <c r="F8688" s="483"/>
      <c r="G8688" s="322" t="s">
        <v>86</v>
      </c>
      <c r="H8688" s="325"/>
      <c r="I8688" s="325"/>
      <c r="J8688" s="366" t="s">
        <v>1622</v>
      </c>
      <c r="K8688" s="367"/>
      <c r="L8688" s="367">
        <f>K8687</f>
        <v>17258.909000005573</v>
      </c>
    </row>
    <row r="8689" spans="1:14" ht="11.25" customHeight="1" x14ac:dyDescent="0.2">
      <c r="A8689" s="236">
        <v>2025</v>
      </c>
      <c r="B8689" s="236">
        <v>8</v>
      </c>
      <c r="C8689" s="236">
        <v>7</v>
      </c>
      <c r="D8689" s="237">
        <f t="shared" si="1000"/>
        <v>45876</v>
      </c>
      <c r="E8689" s="238">
        <f t="shared" si="1004"/>
        <v>45876</v>
      </c>
      <c r="F8689" s="476" t="s">
        <v>1118</v>
      </c>
      <c r="G8689" s="239" t="s">
        <v>86</v>
      </c>
      <c r="H8689" s="239"/>
      <c r="I8689" s="240"/>
      <c r="J8689" s="241" t="s">
        <v>82</v>
      </c>
      <c r="K8689" s="242">
        <v>1530716.2829999626</v>
      </c>
      <c r="L8689" s="242"/>
      <c r="M8689" s="156">
        <f>BS!$I$8</f>
        <v>0</v>
      </c>
    </row>
    <row r="8690" spans="1:14" ht="11.25" customHeight="1" x14ac:dyDescent="0.2">
      <c r="A8690" s="243">
        <v>2025</v>
      </c>
      <c r="B8690" s="243">
        <v>8</v>
      </c>
      <c r="C8690" s="243">
        <v>7</v>
      </c>
      <c r="D8690" s="248">
        <f t="shared" si="1000"/>
        <v>45876</v>
      </c>
      <c r="E8690" s="249">
        <f t="shared" si="1004"/>
        <v>45876</v>
      </c>
      <c r="F8690" s="477"/>
      <c r="G8690" s="244" t="s">
        <v>86</v>
      </c>
      <c r="H8690" s="244"/>
      <c r="I8690" s="245"/>
      <c r="J8690" s="246" t="s">
        <v>98</v>
      </c>
      <c r="K8690" s="247"/>
      <c r="L8690" s="247">
        <f>K8689</f>
        <v>1530716.2829999626</v>
      </c>
    </row>
    <row r="8691" spans="1:14" ht="11.25" customHeight="1" x14ac:dyDescent="0.2">
      <c r="A8691" s="236">
        <v>2025</v>
      </c>
      <c r="B8691" s="236">
        <v>8</v>
      </c>
      <c r="C8691" s="236">
        <v>7</v>
      </c>
      <c r="D8691" s="237">
        <f t="shared" si="1000"/>
        <v>45876</v>
      </c>
      <c r="E8691" s="238">
        <f t="shared" si="1004"/>
        <v>45876</v>
      </c>
      <c r="F8691" s="476" t="s">
        <v>1120</v>
      </c>
      <c r="G8691" s="239" t="s">
        <v>86</v>
      </c>
      <c r="H8691" s="239"/>
      <c r="I8691" s="240"/>
      <c r="J8691" s="241" t="s">
        <v>87</v>
      </c>
      <c r="K8691" s="242">
        <v>2747.2527472527472</v>
      </c>
      <c r="L8691" s="242"/>
      <c r="M8691" s="401"/>
    </row>
    <row r="8692" spans="1:14" ht="11.25" customHeight="1" x14ac:dyDescent="0.2">
      <c r="A8692" s="243">
        <v>2025</v>
      </c>
      <c r="B8692" s="243">
        <v>8</v>
      </c>
      <c r="C8692" s="243">
        <v>7</v>
      </c>
      <c r="D8692" s="248">
        <f t="shared" si="1000"/>
        <v>45876</v>
      </c>
      <c r="E8692" s="249">
        <f t="shared" si="1004"/>
        <v>45876</v>
      </c>
      <c r="F8692" s="477"/>
      <c r="G8692" s="244" t="s">
        <v>86</v>
      </c>
      <c r="H8692" s="244"/>
      <c r="I8692" s="245"/>
      <c r="J8692" s="246" t="s">
        <v>64</v>
      </c>
      <c r="K8692" s="247"/>
      <c r="L8692" s="247">
        <f>K8691</f>
        <v>2747.2527472527472</v>
      </c>
    </row>
    <row r="8693" spans="1:14" ht="11.25" customHeight="1" x14ac:dyDescent="0.2">
      <c r="A8693" s="236">
        <v>2025</v>
      </c>
      <c r="B8693" s="236">
        <v>8</v>
      </c>
      <c r="C8693" s="236">
        <v>7</v>
      </c>
      <c r="D8693" s="237">
        <f t="shared" si="1000"/>
        <v>45876</v>
      </c>
      <c r="E8693" s="238">
        <f t="shared" si="1004"/>
        <v>45876</v>
      </c>
      <c r="F8693" s="476" t="s">
        <v>1121</v>
      </c>
      <c r="G8693" s="239" t="s">
        <v>86</v>
      </c>
      <c r="H8693" s="239"/>
      <c r="I8693" s="240"/>
      <c r="J8693" s="241" t="s">
        <v>89</v>
      </c>
      <c r="K8693" s="242">
        <f>M8693</f>
        <v>82368.792538513837</v>
      </c>
      <c r="L8693" s="242"/>
      <c r="M8693" s="156">
        <v>82368.792538513837</v>
      </c>
    </row>
    <row r="8694" spans="1:14" ht="11.25" customHeight="1" x14ac:dyDescent="0.2">
      <c r="A8694" s="243">
        <v>2025</v>
      </c>
      <c r="B8694" s="243">
        <v>8</v>
      </c>
      <c r="C8694" s="243">
        <v>7</v>
      </c>
      <c r="D8694" s="248">
        <f t="shared" si="1000"/>
        <v>45876</v>
      </c>
      <c r="E8694" s="249">
        <f t="shared" si="1004"/>
        <v>45876</v>
      </c>
      <c r="F8694" s="477"/>
      <c r="G8694" s="244" t="s">
        <v>86</v>
      </c>
      <c r="H8694" s="244"/>
      <c r="I8694" s="245"/>
      <c r="J8694" s="246" t="s">
        <v>50</v>
      </c>
      <c r="K8694" s="247"/>
      <c r="L8694" s="247">
        <f>K8693</f>
        <v>82368.792538513837</v>
      </c>
      <c r="M8694" s="156">
        <v>3878.0550115410765</v>
      </c>
    </row>
    <row r="8695" spans="1:14" ht="11.25" customHeight="1" x14ac:dyDescent="0.2">
      <c r="A8695" s="236">
        <v>2025</v>
      </c>
      <c r="B8695" s="236">
        <v>8</v>
      </c>
      <c r="C8695" s="236">
        <v>7</v>
      </c>
      <c r="D8695" s="237">
        <f t="shared" si="1000"/>
        <v>45876</v>
      </c>
      <c r="E8695" s="238">
        <f t="shared" si="1004"/>
        <v>45876</v>
      </c>
      <c r="F8695" s="476" t="s">
        <v>1122</v>
      </c>
      <c r="G8695" s="239" t="s">
        <v>86</v>
      </c>
      <c r="H8695" s="239"/>
      <c r="I8695" s="240"/>
      <c r="J8695" s="241" t="s">
        <v>91</v>
      </c>
      <c r="K8695" s="242">
        <f>M8694</f>
        <v>3878.0550115410765</v>
      </c>
      <c r="L8695" s="242"/>
    </row>
    <row r="8696" spans="1:14" ht="11.25" customHeight="1" x14ac:dyDescent="0.2">
      <c r="A8696" s="243">
        <v>2025</v>
      </c>
      <c r="B8696" s="243">
        <v>8</v>
      </c>
      <c r="C8696" s="243">
        <v>7</v>
      </c>
      <c r="D8696" s="248">
        <f t="shared" si="1000"/>
        <v>45876</v>
      </c>
      <c r="E8696" s="249">
        <f t="shared" si="1004"/>
        <v>45876</v>
      </c>
      <c r="F8696" s="477"/>
      <c r="G8696" s="244" t="s">
        <v>86</v>
      </c>
      <c r="H8696" s="244"/>
      <c r="I8696" s="245"/>
      <c r="J8696" s="246" t="s">
        <v>51</v>
      </c>
      <c r="K8696" s="247"/>
      <c r="L8696" s="247">
        <f>K8695</f>
        <v>3878.0550115410765</v>
      </c>
    </row>
    <row r="8697" spans="1:14" ht="11.25" customHeight="1" x14ac:dyDescent="0.2">
      <c r="A8697" s="221">
        <v>2025</v>
      </c>
      <c r="B8697" s="221">
        <v>8</v>
      </c>
      <c r="C8697" s="221">
        <v>10</v>
      </c>
      <c r="D8697" s="231">
        <f t="shared" si="1000"/>
        <v>45879</v>
      </c>
      <c r="E8697" s="233">
        <f t="shared" si="1004"/>
        <v>45879</v>
      </c>
      <c r="F8697" s="478" t="s">
        <v>1814</v>
      </c>
      <c r="G8697" s="222" t="s">
        <v>1111</v>
      </c>
      <c r="H8697" s="223"/>
      <c r="I8697" s="223"/>
      <c r="J8697" s="224" t="s">
        <v>961</v>
      </c>
      <c r="K8697" s="225">
        <v>1538965.16</v>
      </c>
      <c r="L8697" s="225"/>
    </row>
    <row r="8698" spans="1:14" ht="11.25" customHeight="1" x14ac:dyDescent="0.2">
      <c r="A8698" s="226">
        <v>2025</v>
      </c>
      <c r="B8698" s="226">
        <v>8</v>
      </c>
      <c r="C8698" s="226">
        <v>10</v>
      </c>
      <c r="D8698" s="232">
        <f t="shared" si="1000"/>
        <v>45879</v>
      </c>
      <c r="E8698" s="234">
        <f t="shared" si="1004"/>
        <v>45879</v>
      </c>
      <c r="F8698" s="479"/>
      <c r="G8698" s="227" t="s">
        <v>1111</v>
      </c>
      <c r="H8698" s="228"/>
      <c r="I8698" s="228"/>
      <c r="J8698" s="229" t="s">
        <v>55</v>
      </c>
      <c r="K8698" s="230"/>
      <c r="L8698" s="230">
        <f>K8697</f>
        <v>1538965.16</v>
      </c>
    </row>
    <row r="8699" spans="1:14" ht="11.25" customHeight="1" x14ac:dyDescent="0.2">
      <c r="A8699" s="221">
        <v>2025</v>
      </c>
      <c r="B8699" s="221">
        <v>8</v>
      </c>
      <c r="C8699" s="221">
        <v>10</v>
      </c>
      <c r="D8699" s="231">
        <f t="shared" si="1000"/>
        <v>45879</v>
      </c>
      <c r="E8699" s="233">
        <f t="shared" si="1004"/>
        <v>45879</v>
      </c>
      <c r="F8699" s="478" t="s">
        <v>1670</v>
      </c>
      <c r="G8699" s="222" t="s">
        <v>1111</v>
      </c>
      <c r="H8699" s="223"/>
      <c r="I8699" s="223"/>
      <c r="J8699" s="224" t="s">
        <v>63</v>
      </c>
      <c r="K8699" s="225">
        <v>100</v>
      </c>
      <c r="L8699" s="225"/>
    </row>
    <row r="8700" spans="1:14" ht="11.25" customHeight="1" x14ac:dyDescent="0.2">
      <c r="A8700" s="226">
        <v>2025</v>
      </c>
      <c r="B8700" s="226">
        <v>8</v>
      </c>
      <c r="C8700" s="226">
        <v>10</v>
      </c>
      <c r="D8700" s="232">
        <f t="shared" si="1000"/>
        <v>45879</v>
      </c>
      <c r="E8700" s="234">
        <f t="shared" si="1004"/>
        <v>45879</v>
      </c>
      <c r="F8700" s="479"/>
      <c r="G8700" s="227" t="s">
        <v>1111</v>
      </c>
      <c r="H8700" s="228"/>
      <c r="I8700" s="228"/>
      <c r="J8700" s="229" t="s">
        <v>55</v>
      </c>
      <c r="K8700" s="230"/>
      <c r="L8700" s="230">
        <f>K8699</f>
        <v>100</v>
      </c>
    </row>
    <row r="8701" spans="1:14" ht="11.25" customHeight="1" x14ac:dyDescent="0.2">
      <c r="A8701" s="221">
        <v>2025</v>
      </c>
      <c r="B8701" s="221">
        <v>8</v>
      </c>
      <c r="C8701" s="221">
        <v>10</v>
      </c>
      <c r="D8701" s="221">
        <f t="shared" si="1000"/>
        <v>45879</v>
      </c>
      <c r="E8701" s="233">
        <f t="shared" si="1004"/>
        <v>45879</v>
      </c>
      <c r="F8701" s="478" t="s">
        <v>1886</v>
      </c>
      <c r="G8701" s="222" t="s">
        <v>86</v>
      </c>
      <c r="H8701" s="222"/>
      <c r="I8701" s="223"/>
      <c r="J8701" s="224" t="s">
        <v>80</v>
      </c>
      <c r="K8701" s="225">
        <v>995200</v>
      </c>
      <c r="L8701" s="225"/>
      <c r="N8701" s="263"/>
    </row>
    <row r="8702" spans="1:14" ht="11.25" customHeight="1" x14ac:dyDescent="0.2">
      <c r="A8702" s="164">
        <v>2025</v>
      </c>
      <c r="B8702" s="164">
        <v>8</v>
      </c>
      <c r="C8702" s="164">
        <v>10</v>
      </c>
      <c r="D8702" s="164">
        <f t="shared" si="1000"/>
        <v>45879</v>
      </c>
      <c r="E8702" s="235">
        <f t="shared" si="1004"/>
        <v>45879</v>
      </c>
      <c r="F8702" s="480"/>
      <c r="G8702" s="208" t="s">
        <v>86</v>
      </c>
      <c r="H8702" s="208"/>
      <c r="J8702" s="165" t="s">
        <v>960</v>
      </c>
      <c r="K8702" s="205">
        <v>3621.98</v>
      </c>
      <c r="L8702" s="205"/>
      <c r="M8702" s="263"/>
      <c r="N8702" s="263"/>
    </row>
    <row r="8703" spans="1:14" ht="11.25" customHeight="1" x14ac:dyDescent="0.2">
      <c r="A8703" s="164">
        <v>2025</v>
      </c>
      <c r="B8703" s="164">
        <v>8</v>
      </c>
      <c r="C8703" s="164">
        <v>10</v>
      </c>
      <c r="D8703" s="164">
        <f t="shared" si="1000"/>
        <v>45879</v>
      </c>
      <c r="E8703" s="235">
        <f t="shared" si="1004"/>
        <v>45879</v>
      </c>
      <c r="F8703" s="480"/>
      <c r="G8703" s="208" t="s">
        <v>86</v>
      </c>
      <c r="H8703" s="208"/>
      <c r="J8703" s="165" t="s">
        <v>199</v>
      </c>
      <c r="K8703" s="205">
        <v>18187.32</v>
      </c>
      <c r="L8703" s="205"/>
      <c r="M8703" s="263"/>
    </row>
    <row r="8704" spans="1:14" ht="11.25" customHeight="1" x14ac:dyDescent="0.2">
      <c r="A8704" s="164">
        <v>2025</v>
      </c>
      <c r="B8704" s="164">
        <v>8</v>
      </c>
      <c r="C8704" s="164">
        <v>10</v>
      </c>
      <c r="D8704" s="164">
        <f t="shared" si="1000"/>
        <v>45879</v>
      </c>
      <c r="E8704" s="235">
        <f t="shared" si="1004"/>
        <v>45879</v>
      </c>
      <c r="F8704" s="480"/>
      <c r="G8704" s="208" t="s">
        <v>86</v>
      </c>
      <c r="H8704" s="208"/>
      <c r="J8704" s="165" t="s">
        <v>200</v>
      </c>
      <c r="K8704" s="205"/>
      <c r="L8704" s="205">
        <v>60093.36</v>
      </c>
      <c r="M8704" s="263"/>
    </row>
    <row r="8705" spans="1:14" ht="11.25" customHeight="1" x14ac:dyDescent="0.2">
      <c r="A8705" s="226">
        <v>2025</v>
      </c>
      <c r="B8705" s="226">
        <v>8</v>
      </c>
      <c r="C8705" s="226">
        <v>10</v>
      </c>
      <c r="D8705" s="226">
        <f t="shared" si="1000"/>
        <v>45879</v>
      </c>
      <c r="E8705" s="234">
        <f t="shared" si="1004"/>
        <v>45879</v>
      </c>
      <c r="F8705" s="479"/>
      <c r="G8705" s="227" t="s">
        <v>86</v>
      </c>
      <c r="H8705" s="228"/>
      <c r="I8705" s="228"/>
      <c r="J8705" s="229" t="s">
        <v>80</v>
      </c>
      <c r="K8705" s="230"/>
      <c r="L8705" s="230">
        <v>956915.94</v>
      </c>
      <c r="M8705" s="263"/>
    </row>
    <row r="8706" spans="1:14" ht="11.25" customHeight="1" x14ac:dyDescent="0.2">
      <c r="A8706" s="221">
        <v>2025</v>
      </c>
      <c r="B8706" s="221">
        <v>8</v>
      </c>
      <c r="C8706" s="221">
        <v>11</v>
      </c>
      <c r="D8706" s="221">
        <f t="shared" si="1000"/>
        <v>45880</v>
      </c>
      <c r="E8706" s="233">
        <f t="shared" ref="E8706:E8710" si="1005">DATE(A8706,B8706,C8706)</f>
        <v>45880</v>
      </c>
      <c r="F8706" s="478" t="s">
        <v>1886</v>
      </c>
      <c r="G8706" s="222" t="s">
        <v>86</v>
      </c>
      <c r="H8706" s="222"/>
      <c r="I8706" s="223"/>
      <c r="J8706" s="224" t="s">
        <v>80</v>
      </c>
      <c r="K8706" s="225">
        <v>461760.5</v>
      </c>
      <c r="L8706" s="225"/>
      <c r="N8706" s="263"/>
    </row>
    <row r="8707" spans="1:14" ht="11.25" customHeight="1" x14ac:dyDescent="0.2">
      <c r="A8707" s="164">
        <v>2025</v>
      </c>
      <c r="B8707" s="164">
        <v>8</v>
      </c>
      <c r="C8707" s="164">
        <v>11</v>
      </c>
      <c r="D8707" s="164">
        <f t="shared" si="1000"/>
        <v>45880</v>
      </c>
      <c r="E8707" s="235">
        <f t="shared" si="1005"/>
        <v>45880</v>
      </c>
      <c r="F8707" s="480"/>
      <c r="G8707" s="208" t="s">
        <v>86</v>
      </c>
      <c r="H8707" s="208"/>
      <c r="J8707" s="165" t="s">
        <v>960</v>
      </c>
      <c r="K8707" s="205">
        <v>1903.97</v>
      </c>
      <c r="L8707" s="205"/>
      <c r="M8707" s="263"/>
      <c r="N8707" s="263"/>
    </row>
    <row r="8708" spans="1:14" ht="11.25" customHeight="1" x14ac:dyDescent="0.2">
      <c r="A8708" s="164">
        <v>2025</v>
      </c>
      <c r="B8708" s="164">
        <v>8</v>
      </c>
      <c r="C8708" s="164">
        <v>11</v>
      </c>
      <c r="D8708" s="164">
        <f t="shared" si="1000"/>
        <v>45880</v>
      </c>
      <c r="E8708" s="235">
        <f t="shared" si="1005"/>
        <v>45880</v>
      </c>
      <c r="F8708" s="480"/>
      <c r="G8708" s="208" t="s">
        <v>86</v>
      </c>
      <c r="H8708" s="208"/>
      <c r="J8708" s="165" t="s">
        <v>199</v>
      </c>
      <c r="K8708" s="205">
        <v>132335.53</v>
      </c>
      <c r="L8708" s="205"/>
      <c r="M8708" s="263"/>
    </row>
    <row r="8709" spans="1:14" ht="11.25" customHeight="1" x14ac:dyDescent="0.2">
      <c r="A8709" s="164">
        <v>2025</v>
      </c>
      <c r="B8709" s="164">
        <v>8</v>
      </c>
      <c r="C8709" s="164">
        <v>11</v>
      </c>
      <c r="D8709" s="164">
        <f t="shared" si="1000"/>
        <v>45880</v>
      </c>
      <c r="E8709" s="235">
        <f t="shared" si="1005"/>
        <v>45880</v>
      </c>
      <c r="F8709" s="480"/>
      <c r="G8709" s="208" t="s">
        <v>86</v>
      </c>
      <c r="H8709" s="208"/>
      <c r="J8709" s="165" t="s">
        <v>200</v>
      </c>
      <c r="K8709" s="205"/>
      <c r="L8709" s="205">
        <v>53993.34</v>
      </c>
      <c r="M8709" s="263"/>
    </row>
    <row r="8710" spans="1:14" ht="11.25" customHeight="1" x14ac:dyDescent="0.2">
      <c r="A8710" s="226">
        <v>2025</v>
      </c>
      <c r="B8710" s="226">
        <v>8</v>
      </c>
      <c r="C8710" s="226">
        <v>11</v>
      </c>
      <c r="D8710" s="226">
        <f t="shared" si="1000"/>
        <v>45880</v>
      </c>
      <c r="E8710" s="234">
        <f t="shared" si="1005"/>
        <v>45880</v>
      </c>
      <c r="F8710" s="479"/>
      <c r="G8710" s="227" t="s">
        <v>86</v>
      </c>
      <c r="H8710" s="228"/>
      <c r="I8710" s="228"/>
      <c r="J8710" s="229" t="s">
        <v>80</v>
      </c>
      <c r="K8710" s="230"/>
      <c r="L8710" s="230">
        <v>542006.66</v>
      </c>
      <c r="M8710" s="263"/>
    </row>
    <row r="8711" spans="1:14" ht="11.25" customHeight="1" x14ac:dyDescent="0.2">
      <c r="A8711" s="221">
        <v>2025</v>
      </c>
      <c r="B8711" s="221">
        <v>8</v>
      </c>
      <c r="C8711" s="221">
        <v>12</v>
      </c>
      <c r="D8711" s="231">
        <f t="shared" si="1000"/>
        <v>45881</v>
      </c>
      <c r="E8711" s="233">
        <f t="shared" si="1004"/>
        <v>45881</v>
      </c>
      <c r="F8711" s="478" t="s">
        <v>1115</v>
      </c>
      <c r="G8711" s="222" t="s">
        <v>1111</v>
      </c>
      <c r="H8711" s="223"/>
      <c r="I8711" s="223"/>
      <c r="J8711" s="224" t="s">
        <v>14</v>
      </c>
      <c r="K8711" s="167">
        <v>381390</v>
      </c>
      <c r="L8711" s="225"/>
    </row>
    <row r="8712" spans="1:14" ht="11.25" customHeight="1" x14ac:dyDescent="0.2">
      <c r="A8712" s="164">
        <v>2025</v>
      </c>
      <c r="B8712" s="164">
        <v>8</v>
      </c>
      <c r="C8712" s="164">
        <v>12</v>
      </c>
      <c r="D8712" s="156">
        <f t="shared" si="1000"/>
        <v>45881</v>
      </c>
      <c r="E8712" s="235">
        <f t="shared" si="1004"/>
        <v>45881</v>
      </c>
      <c r="F8712" s="480"/>
      <c r="G8712" s="208" t="s">
        <v>1111</v>
      </c>
      <c r="J8712" s="165" t="s">
        <v>1112</v>
      </c>
      <c r="K8712" s="167">
        <v>78604.479999999981</v>
      </c>
      <c r="L8712" s="205"/>
    </row>
    <row r="8713" spans="1:14" ht="11.25" customHeight="1" x14ac:dyDescent="0.2">
      <c r="A8713" s="226">
        <v>2025</v>
      </c>
      <c r="B8713" s="226">
        <v>8</v>
      </c>
      <c r="C8713" s="226">
        <v>12</v>
      </c>
      <c r="D8713" s="232">
        <f t="shared" ref="D8713:D8776" si="1006">DATE(A8713,B8713,C8713)</f>
        <v>45881</v>
      </c>
      <c r="E8713" s="234">
        <f t="shared" si="1004"/>
        <v>45881</v>
      </c>
      <c r="F8713" s="479"/>
      <c r="G8713" s="227" t="s">
        <v>1111</v>
      </c>
      <c r="H8713" s="228"/>
      <c r="I8713" s="228"/>
      <c r="J8713" s="229" t="s">
        <v>55</v>
      </c>
      <c r="K8713" s="230"/>
      <c r="L8713" s="230">
        <v>459994.48</v>
      </c>
    </row>
    <row r="8714" spans="1:14" ht="11.25" customHeight="1" x14ac:dyDescent="0.2">
      <c r="A8714" s="221">
        <v>2025</v>
      </c>
      <c r="B8714" s="221">
        <v>8</v>
      </c>
      <c r="C8714" s="221">
        <v>12</v>
      </c>
      <c r="D8714" s="231">
        <f t="shared" si="1006"/>
        <v>45881</v>
      </c>
      <c r="E8714" s="233">
        <f t="shared" ref="E8714:E8719" si="1007">DATE(A8714,B8714,C8714)</f>
        <v>45881</v>
      </c>
      <c r="F8714" s="478" t="s">
        <v>1115</v>
      </c>
      <c r="G8714" s="222" t="s">
        <v>1111</v>
      </c>
      <c r="H8714" s="223"/>
      <c r="I8714" s="223"/>
      <c r="J8714" s="224" t="s">
        <v>14</v>
      </c>
      <c r="K8714" s="167">
        <v>263560</v>
      </c>
      <c r="L8714" s="225"/>
    </row>
    <row r="8715" spans="1:14" ht="11.25" customHeight="1" x14ac:dyDescent="0.2">
      <c r="A8715" s="164">
        <v>2025</v>
      </c>
      <c r="B8715" s="164">
        <v>8</v>
      </c>
      <c r="C8715" s="164">
        <v>12</v>
      </c>
      <c r="D8715" s="156">
        <f t="shared" si="1006"/>
        <v>45881</v>
      </c>
      <c r="E8715" s="235">
        <f t="shared" si="1007"/>
        <v>45881</v>
      </c>
      <c r="F8715" s="480"/>
      <c r="G8715" s="208" t="s">
        <v>1111</v>
      </c>
      <c r="J8715" s="165" t="s">
        <v>1112</v>
      </c>
      <c r="K8715" s="167">
        <v>54319.719999999972</v>
      </c>
      <c r="L8715" s="205"/>
    </row>
    <row r="8716" spans="1:14" ht="11.25" customHeight="1" x14ac:dyDescent="0.2">
      <c r="A8716" s="226">
        <v>2025</v>
      </c>
      <c r="B8716" s="226">
        <v>8</v>
      </c>
      <c r="C8716" s="226">
        <v>12</v>
      </c>
      <c r="D8716" s="232">
        <f t="shared" si="1006"/>
        <v>45881</v>
      </c>
      <c r="E8716" s="234">
        <f t="shared" si="1007"/>
        <v>45881</v>
      </c>
      <c r="F8716" s="479"/>
      <c r="G8716" s="227" t="s">
        <v>1111</v>
      </c>
      <c r="H8716" s="228"/>
      <c r="I8716" s="228"/>
      <c r="J8716" s="229" t="s">
        <v>55</v>
      </c>
      <c r="K8716" s="230"/>
      <c r="L8716" s="230">
        <v>317879.71999999997</v>
      </c>
    </row>
    <row r="8717" spans="1:14" ht="11.25" customHeight="1" x14ac:dyDescent="0.2">
      <c r="A8717" s="221">
        <v>2025</v>
      </c>
      <c r="B8717" s="221">
        <v>8</v>
      </c>
      <c r="C8717" s="221">
        <v>12</v>
      </c>
      <c r="D8717" s="231">
        <f t="shared" si="1006"/>
        <v>45881</v>
      </c>
      <c r="E8717" s="233">
        <f t="shared" si="1007"/>
        <v>45881</v>
      </c>
      <c r="F8717" s="478" t="s">
        <v>1196</v>
      </c>
      <c r="G8717" s="222" t="s">
        <v>1111</v>
      </c>
      <c r="H8717" s="223"/>
      <c r="I8717" s="223"/>
      <c r="J8717" s="224" t="s">
        <v>95</v>
      </c>
      <c r="K8717" s="225">
        <v>6554.31</v>
      </c>
      <c r="L8717" s="225"/>
      <c r="M8717" s="166"/>
    </row>
    <row r="8718" spans="1:14" ht="11.25" customHeight="1" x14ac:dyDescent="0.2">
      <c r="A8718" s="164">
        <v>2025</v>
      </c>
      <c r="B8718" s="164">
        <v>8</v>
      </c>
      <c r="C8718" s="164">
        <v>12</v>
      </c>
      <c r="D8718" s="156">
        <f t="shared" si="1006"/>
        <v>45881</v>
      </c>
      <c r="E8718" s="235">
        <f t="shared" si="1007"/>
        <v>45881</v>
      </c>
      <c r="F8718" s="480"/>
      <c r="G8718" s="208" t="s">
        <v>1111</v>
      </c>
      <c r="J8718" s="165" t="s">
        <v>478</v>
      </c>
      <c r="K8718" s="205"/>
      <c r="L8718" s="205">
        <v>655.43</v>
      </c>
    </row>
    <row r="8719" spans="1:14" ht="11.25" customHeight="1" x14ac:dyDescent="0.2">
      <c r="A8719" s="226">
        <v>2025</v>
      </c>
      <c r="B8719" s="226">
        <v>8</v>
      </c>
      <c r="C8719" s="226">
        <v>12</v>
      </c>
      <c r="D8719" s="232">
        <f t="shared" si="1006"/>
        <v>45881</v>
      </c>
      <c r="E8719" s="234">
        <f t="shared" si="1007"/>
        <v>45881</v>
      </c>
      <c r="F8719" s="479"/>
      <c r="G8719" s="227" t="s">
        <v>1111</v>
      </c>
      <c r="H8719" s="228"/>
      <c r="I8719" s="228"/>
      <c r="J8719" s="229" t="s">
        <v>55</v>
      </c>
      <c r="K8719" s="230"/>
      <c r="L8719" s="230">
        <v>5898.88</v>
      </c>
    </row>
    <row r="8720" spans="1:14" ht="11.25" customHeight="1" x14ac:dyDescent="0.2">
      <c r="A8720" s="221">
        <v>2025</v>
      </c>
      <c r="B8720" s="221">
        <v>8</v>
      </c>
      <c r="C8720" s="221">
        <v>12</v>
      </c>
      <c r="D8720" s="231">
        <f t="shared" si="1006"/>
        <v>45881</v>
      </c>
      <c r="E8720" s="233">
        <f>DATE(A8720,B8720,C8720)</f>
        <v>45881</v>
      </c>
      <c r="F8720" s="478" t="s">
        <v>1844</v>
      </c>
      <c r="G8720" s="222" t="s">
        <v>1111</v>
      </c>
      <c r="H8720" s="223"/>
      <c r="I8720" s="223"/>
      <c r="J8720" s="224" t="s">
        <v>55</v>
      </c>
      <c r="K8720" s="225">
        <v>18187.32</v>
      </c>
      <c r="L8720" s="225"/>
    </row>
    <row r="8721" spans="1:14" ht="11.25" customHeight="1" x14ac:dyDescent="0.2">
      <c r="A8721" s="226">
        <v>2025</v>
      </c>
      <c r="B8721" s="226">
        <v>8</v>
      </c>
      <c r="C8721" s="226">
        <v>12</v>
      </c>
      <c r="D8721" s="232">
        <f t="shared" si="1006"/>
        <v>45881</v>
      </c>
      <c r="E8721" s="234">
        <f>DATE(A8721,B8721,C8721)</f>
        <v>45881</v>
      </c>
      <c r="F8721" s="479"/>
      <c r="G8721" s="227" t="s">
        <v>1111</v>
      </c>
      <c r="H8721" s="228"/>
      <c r="I8721" s="228"/>
      <c r="J8721" s="229" t="s">
        <v>199</v>
      </c>
      <c r="K8721" s="230"/>
      <c r="L8721" s="230">
        <f>K8720</f>
        <v>18187.32</v>
      </c>
    </row>
    <row r="8722" spans="1:14" ht="11.25" customHeight="1" x14ac:dyDescent="0.2">
      <c r="A8722" s="221">
        <v>2025</v>
      </c>
      <c r="B8722" s="221">
        <v>8</v>
      </c>
      <c r="C8722" s="221">
        <v>12</v>
      </c>
      <c r="D8722" s="221">
        <f t="shared" si="1006"/>
        <v>45881</v>
      </c>
      <c r="E8722" s="233">
        <f t="shared" ref="E8722:E8726" si="1008">DATE(A8722,B8722,C8722)</f>
        <v>45881</v>
      </c>
      <c r="F8722" s="478" t="s">
        <v>1886</v>
      </c>
      <c r="G8722" s="222" t="s">
        <v>86</v>
      </c>
      <c r="H8722" s="222"/>
      <c r="I8722" s="223"/>
      <c r="J8722" s="224" t="s">
        <v>80</v>
      </c>
      <c r="K8722" s="225">
        <v>675038.6</v>
      </c>
      <c r="L8722" s="225"/>
      <c r="N8722" s="263"/>
    </row>
    <row r="8723" spans="1:14" ht="11.25" customHeight="1" x14ac:dyDescent="0.2">
      <c r="A8723" s="164">
        <v>2025</v>
      </c>
      <c r="B8723" s="164">
        <v>8</v>
      </c>
      <c r="C8723" s="164">
        <v>12</v>
      </c>
      <c r="D8723" s="164">
        <f t="shared" si="1006"/>
        <v>45881</v>
      </c>
      <c r="E8723" s="235">
        <f t="shared" si="1008"/>
        <v>45881</v>
      </c>
      <c r="F8723" s="480"/>
      <c r="G8723" s="208" t="s">
        <v>86</v>
      </c>
      <c r="H8723" s="208"/>
      <c r="J8723" s="165" t="s">
        <v>960</v>
      </c>
      <c r="K8723" s="205">
        <v>4151.4399999999996</v>
      </c>
      <c r="L8723" s="205"/>
      <c r="M8723" s="263"/>
      <c r="N8723" s="263"/>
    </row>
    <row r="8724" spans="1:14" ht="11.25" customHeight="1" x14ac:dyDescent="0.2">
      <c r="A8724" s="164">
        <v>2025</v>
      </c>
      <c r="B8724" s="164">
        <v>8</v>
      </c>
      <c r="C8724" s="164">
        <v>12</v>
      </c>
      <c r="D8724" s="164">
        <f t="shared" si="1006"/>
        <v>45881</v>
      </c>
      <c r="E8724" s="235">
        <f t="shared" si="1008"/>
        <v>45881</v>
      </c>
      <c r="F8724" s="480"/>
      <c r="G8724" s="208" t="s">
        <v>86</v>
      </c>
      <c r="H8724" s="208"/>
      <c r="J8724" s="165" t="s">
        <v>199</v>
      </c>
      <c r="K8724" s="205">
        <v>952125.36</v>
      </c>
      <c r="L8724" s="205"/>
      <c r="M8724" s="263"/>
    </row>
    <row r="8725" spans="1:14" ht="11.25" customHeight="1" x14ac:dyDescent="0.2">
      <c r="A8725" s="164">
        <v>2025</v>
      </c>
      <c r="B8725" s="164">
        <v>8</v>
      </c>
      <c r="C8725" s="164">
        <v>12</v>
      </c>
      <c r="D8725" s="164">
        <f t="shared" si="1006"/>
        <v>45881</v>
      </c>
      <c r="E8725" s="235">
        <f t="shared" si="1008"/>
        <v>45881</v>
      </c>
      <c r="F8725" s="480"/>
      <c r="G8725" s="208" t="s">
        <v>86</v>
      </c>
      <c r="H8725" s="208"/>
      <c r="J8725" s="165" t="s">
        <v>200</v>
      </c>
      <c r="K8725" s="205"/>
      <c r="L8725" s="205">
        <v>217536.91</v>
      </c>
      <c r="M8725" s="263"/>
    </row>
    <row r="8726" spans="1:14" ht="11.25" customHeight="1" x14ac:dyDescent="0.2">
      <c r="A8726" s="226">
        <v>2025</v>
      </c>
      <c r="B8726" s="226">
        <v>8</v>
      </c>
      <c r="C8726" s="226">
        <v>12</v>
      </c>
      <c r="D8726" s="226">
        <f t="shared" si="1006"/>
        <v>45881</v>
      </c>
      <c r="E8726" s="234">
        <f t="shared" si="1008"/>
        <v>45881</v>
      </c>
      <c r="F8726" s="479"/>
      <c r="G8726" s="227" t="s">
        <v>86</v>
      </c>
      <c r="H8726" s="228"/>
      <c r="I8726" s="228"/>
      <c r="J8726" s="229" t="s">
        <v>80</v>
      </c>
      <c r="K8726" s="230"/>
      <c r="L8726" s="230">
        <v>1413778.49</v>
      </c>
      <c r="M8726" s="263"/>
    </row>
    <row r="8727" spans="1:14" ht="11.25" customHeight="1" x14ac:dyDescent="0.2">
      <c r="A8727" s="221">
        <v>2025</v>
      </c>
      <c r="B8727" s="221">
        <v>8</v>
      </c>
      <c r="C8727" s="221">
        <v>13</v>
      </c>
      <c r="D8727" s="231">
        <f t="shared" si="1006"/>
        <v>45882</v>
      </c>
      <c r="E8727" s="233">
        <f t="shared" ref="E8727:E8729" si="1009">DATE(A8727,B8727,C8727)</f>
        <v>45882</v>
      </c>
      <c r="F8727" s="478" t="s">
        <v>1933</v>
      </c>
      <c r="G8727" s="222" t="s">
        <v>1111</v>
      </c>
      <c r="H8727" s="222"/>
      <c r="I8727" s="223"/>
      <c r="J8727" s="224" t="s">
        <v>55</v>
      </c>
      <c r="K8727" s="357">
        <v>1042477.72</v>
      </c>
      <c r="L8727" s="225"/>
    </row>
    <row r="8728" spans="1:14" ht="11.25" customHeight="1" x14ac:dyDescent="0.2">
      <c r="A8728" s="164">
        <v>2025</v>
      </c>
      <c r="B8728" s="164">
        <v>8</v>
      </c>
      <c r="C8728" s="164">
        <v>13</v>
      </c>
      <c r="D8728" s="164">
        <f t="shared" si="1006"/>
        <v>45882</v>
      </c>
      <c r="E8728" s="235">
        <f t="shared" si="1009"/>
        <v>45882</v>
      </c>
      <c r="F8728" s="480"/>
      <c r="G8728" s="208" t="s">
        <v>1111</v>
      </c>
      <c r="H8728" s="208"/>
      <c r="J8728" s="165" t="s">
        <v>1618</v>
      </c>
      <c r="K8728" s="263"/>
      <c r="L8728" s="205">
        <v>25587.449999999953</v>
      </c>
    </row>
    <row r="8729" spans="1:14" ht="11.25" customHeight="1" x14ac:dyDescent="0.2">
      <c r="A8729" s="226">
        <v>2025</v>
      </c>
      <c r="B8729" s="226">
        <v>8</v>
      </c>
      <c r="C8729" s="226">
        <v>13</v>
      </c>
      <c r="D8729" s="226">
        <f t="shared" si="1006"/>
        <v>45882</v>
      </c>
      <c r="E8729" s="234">
        <f t="shared" si="1009"/>
        <v>45882</v>
      </c>
      <c r="F8729" s="479"/>
      <c r="G8729" s="227" t="s">
        <v>1111</v>
      </c>
      <c r="H8729" s="227"/>
      <c r="I8729" s="228"/>
      <c r="J8729" s="229" t="s">
        <v>1615</v>
      </c>
      <c r="K8729" s="294"/>
      <c r="L8729" s="230">
        <v>1016890.27</v>
      </c>
    </row>
    <row r="8730" spans="1:14" ht="11.25" customHeight="1" x14ac:dyDescent="0.2">
      <c r="A8730" s="221">
        <v>2025</v>
      </c>
      <c r="B8730" s="221">
        <v>8</v>
      </c>
      <c r="C8730" s="221">
        <v>13</v>
      </c>
      <c r="D8730" s="231">
        <f t="shared" si="1006"/>
        <v>45882</v>
      </c>
      <c r="E8730" s="233">
        <f>DATE(A8730,B8730,C8730)</f>
        <v>45882</v>
      </c>
      <c r="F8730" s="478" t="s">
        <v>1844</v>
      </c>
      <c r="G8730" s="222" t="s">
        <v>1111</v>
      </c>
      <c r="H8730" s="223"/>
      <c r="I8730" s="223"/>
      <c r="J8730" s="224" t="s">
        <v>55</v>
      </c>
      <c r="K8730" s="225">
        <v>132335.53</v>
      </c>
      <c r="L8730" s="225"/>
    </row>
    <row r="8731" spans="1:14" ht="11.25" customHeight="1" x14ac:dyDescent="0.2">
      <c r="A8731" s="226">
        <v>2025</v>
      </c>
      <c r="B8731" s="226">
        <v>8</v>
      </c>
      <c r="C8731" s="226">
        <v>13</v>
      </c>
      <c r="D8731" s="232">
        <f t="shared" si="1006"/>
        <v>45882</v>
      </c>
      <c r="E8731" s="234">
        <f>DATE(A8731,B8731,C8731)</f>
        <v>45882</v>
      </c>
      <c r="F8731" s="479"/>
      <c r="G8731" s="227" t="s">
        <v>1111</v>
      </c>
      <c r="H8731" s="228"/>
      <c r="I8731" s="228"/>
      <c r="J8731" s="229" t="s">
        <v>199</v>
      </c>
      <c r="K8731" s="230"/>
      <c r="L8731" s="230">
        <f>K8730</f>
        <v>132335.53</v>
      </c>
    </row>
    <row r="8732" spans="1:14" ht="11.25" customHeight="1" x14ac:dyDescent="0.2">
      <c r="A8732" s="221">
        <v>2025</v>
      </c>
      <c r="B8732" s="221">
        <v>8</v>
      </c>
      <c r="C8732" s="221">
        <v>13</v>
      </c>
      <c r="D8732" s="221">
        <f t="shared" si="1006"/>
        <v>45882</v>
      </c>
      <c r="E8732" s="233">
        <f t="shared" ref="E8732:E8752" si="1010">DATE(A8732,B8732,C8732)</f>
        <v>45882</v>
      </c>
      <c r="F8732" s="478" t="s">
        <v>1886</v>
      </c>
      <c r="G8732" s="222" t="s">
        <v>86</v>
      </c>
      <c r="H8732" s="222"/>
      <c r="I8732" s="223"/>
      <c r="J8732" s="224" t="s">
        <v>80</v>
      </c>
      <c r="K8732" s="225">
        <v>2590050</v>
      </c>
      <c r="L8732" s="225"/>
      <c r="N8732" s="263"/>
    </row>
    <row r="8733" spans="1:14" ht="11.25" customHeight="1" x14ac:dyDescent="0.2">
      <c r="A8733" s="164">
        <v>2025</v>
      </c>
      <c r="B8733" s="164">
        <v>8</v>
      </c>
      <c r="C8733" s="164">
        <v>13</v>
      </c>
      <c r="D8733" s="164">
        <f t="shared" si="1006"/>
        <v>45882</v>
      </c>
      <c r="E8733" s="235">
        <f t="shared" si="1010"/>
        <v>45882</v>
      </c>
      <c r="F8733" s="480"/>
      <c r="G8733" s="208" t="s">
        <v>86</v>
      </c>
      <c r="H8733" s="208"/>
      <c r="J8733" s="165" t="s">
        <v>960</v>
      </c>
      <c r="K8733" s="205">
        <v>5562.27</v>
      </c>
      <c r="L8733" s="205"/>
      <c r="M8733" s="263"/>
      <c r="N8733" s="263"/>
    </row>
    <row r="8734" spans="1:14" ht="11.25" customHeight="1" x14ac:dyDescent="0.2">
      <c r="A8734" s="164">
        <v>2025</v>
      </c>
      <c r="B8734" s="164">
        <v>8</v>
      </c>
      <c r="C8734" s="164">
        <v>13</v>
      </c>
      <c r="D8734" s="164">
        <f t="shared" si="1006"/>
        <v>45882</v>
      </c>
      <c r="E8734" s="235">
        <f t="shared" si="1010"/>
        <v>45882</v>
      </c>
      <c r="F8734" s="480"/>
      <c r="G8734" s="208" t="s">
        <v>86</v>
      </c>
      <c r="H8734" s="208"/>
      <c r="J8734" s="165" t="s">
        <v>961</v>
      </c>
      <c r="K8734" s="205"/>
      <c r="L8734" s="205">
        <v>2095512.27</v>
      </c>
      <c r="M8734" s="263"/>
    </row>
    <row r="8735" spans="1:14" ht="11.25" customHeight="1" x14ac:dyDescent="0.2">
      <c r="A8735" s="164">
        <v>2025</v>
      </c>
      <c r="B8735" s="164">
        <v>8</v>
      </c>
      <c r="C8735" s="164">
        <v>13</v>
      </c>
      <c r="D8735" s="164">
        <f t="shared" si="1006"/>
        <v>45882</v>
      </c>
      <c r="E8735" s="235">
        <f t="shared" si="1010"/>
        <v>45882</v>
      </c>
      <c r="F8735" s="480"/>
      <c r="G8735" s="208" t="s">
        <v>86</v>
      </c>
      <c r="H8735" s="208"/>
      <c r="J8735" s="165" t="s">
        <v>200</v>
      </c>
      <c r="K8735" s="205"/>
      <c r="L8735" s="205">
        <v>6897.29</v>
      </c>
      <c r="M8735" s="263"/>
    </row>
    <row r="8736" spans="1:14" ht="11.25" customHeight="1" x14ac:dyDescent="0.2">
      <c r="A8736" s="226">
        <v>2025</v>
      </c>
      <c r="B8736" s="226">
        <v>8</v>
      </c>
      <c r="C8736" s="226">
        <v>13</v>
      </c>
      <c r="D8736" s="226">
        <f t="shared" si="1006"/>
        <v>45882</v>
      </c>
      <c r="E8736" s="234">
        <f t="shared" si="1010"/>
        <v>45882</v>
      </c>
      <c r="F8736" s="479"/>
      <c r="G8736" s="227" t="s">
        <v>86</v>
      </c>
      <c r="H8736" s="228"/>
      <c r="I8736" s="228"/>
      <c r="J8736" s="229" t="s">
        <v>80</v>
      </c>
      <c r="K8736" s="230"/>
      <c r="L8736" s="230">
        <v>493202.71</v>
      </c>
      <c r="M8736" s="263"/>
    </row>
    <row r="8737" spans="1:13" ht="11.25" customHeight="1" x14ac:dyDescent="0.2">
      <c r="A8737" s="221">
        <v>2025</v>
      </c>
      <c r="B8737" s="221">
        <v>8</v>
      </c>
      <c r="C8737" s="221">
        <v>14</v>
      </c>
      <c r="D8737" s="231">
        <f t="shared" si="1006"/>
        <v>45883</v>
      </c>
      <c r="E8737" s="233">
        <f t="shared" si="1010"/>
        <v>45883</v>
      </c>
      <c r="F8737" s="478" t="s">
        <v>1933</v>
      </c>
      <c r="G8737" s="222" t="s">
        <v>1111</v>
      </c>
      <c r="H8737" s="222"/>
      <c r="I8737" s="223"/>
      <c r="J8737" s="224" t="s">
        <v>55</v>
      </c>
      <c r="K8737" s="357">
        <v>1097524.48</v>
      </c>
      <c r="L8737" s="225"/>
    </row>
    <row r="8738" spans="1:13" ht="11.25" customHeight="1" x14ac:dyDescent="0.2">
      <c r="A8738" s="164">
        <v>2025</v>
      </c>
      <c r="B8738" s="164">
        <v>8</v>
      </c>
      <c r="C8738" s="164">
        <v>14</v>
      </c>
      <c r="D8738" s="164">
        <f t="shared" si="1006"/>
        <v>45883</v>
      </c>
      <c r="E8738" s="235">
        <f t="shared" si="1010"/>
        <v>45883</v>
      </c>
      <c r="F8738" s="480"/>
      <c r="G8738" s="208" t="s">
        <v>1111</v>
      </c>
      <c r="H8738" s="208"/>
      <c r="J8738" s="165" t="s">
        <v>1618</v>
      </c>
      <c r="K8738" s="263"/>
      <c r="L8738" s="205">
        <v>36188.139999999898</v>
      </c>
    </row>
    <row r="8739" spans="1:13" ht="11.25" customHeight="1" x14ac:dyDescent="0.2">
      <c r="A8739" s="226">
        <v>2025</v>
      </c>
      <c r="B8739" s="226">
        <v>8</v>
      </c>
      <c r="C8739" s="226">
        <v>14</v>
      </c>
      <c r="D8739" s="226">
        <f t="shared" si="1006"/>
        <v>45883</v>
      </c>
      <c r="E8739" s="234">
        <f t="shared" si="1010"/>
        <v>45883</v>
      </c>
      <c r="F8739" s="479"/>
      <c r="G8739" s="227" t="s">
        <v>1111</v>
      </c>
      <c r="H8739" s="227"/>
      <c r="I8739" s="228"/>
      <c r="J8739" s="229" t="s">
        <v>1615</v>
      </c>
      <c r="K8739" s="294"/>
      <c r="L8739" s="230">
        <v>1061336.3400000001</v>
      </c>
    </row>
    <row r="8740" spans="1:13" ht="11.25" customHeight="1" x14ac:dyDescent="0.2">
      <c r="A8740" s="221">
        <v>2025</v>
      </c>
      <c r="B8740" s="221">
        <v>8</v>
      </c>
      <c r="C8740" s="221">
        <v>14</v>
      </c>
      <c r="D8740" s="221">
        <f t="shared" si="1006"/>
        <v>45883</v>
      </c>
      <c r="E8740" s="233">
        <f t="shared" si="1010"/>
        <v>45883</v>
      </c>
      <c r="F8740" s="478" t="s">
        <v>1930</v>
      </c>
      <c r="G8740" s="222" t="s">
        <v>86</v>
      </c>
      <c r="H8740" s="222"/>
      <c r="I8740" s="223"/>
      <c r="J8740" s="224" t="s">
        <v>80</v>
      </c>
      <c r="K8740" s="225">
        <v>882125</v>
      </c>
      <c r="L8740" s="225"/>
    </row>
    <row r="8741" spans="1:13" ht="11.25" customHeight="1" x14ac:dyDescent="0.2">
      <c r="A8741" s="164">
        <v>2025</v>
      </c>
      <c r="B8741" s="164">
        <v>8</v>
      </c>
      <c r="C8741" s="164">
        <v>14</v>
      </c>
      <c r="D8741" s="164">
        <f t="shared" si="1006"/>
        <v>45883</v>
      </c>
      <c r="E8741" s="235">
        <f t="shared" si="1010"/>
        <v>45883</v>
      </c>
      <c r="F8741" s="480"/>
      <c r="G8741" s="208" t="s">
        <v>86</v>
      </c>
      <c r="H8741" s="208"/>
      <c r="J8741" s="165" t="s">
        <v>960</v>
      </c>
      <c r="K8741" s="205">
        <v>1587.83</v>
      </c>
      <c r="L8741" s="205"/>
    </row>
    <row r="8742" spans="1:13" ht="11.25" customHeight="1" x14ac:dyDescent="0.2">
      <c r="A8742" s="226">
        <v>2025</v>
      </c>
      <c r="B8742" s="226">
        <v>8</v>
      </c>
      <c r="C8742" s="226">
        <v>14</v>
      </c>
      <c r="D8742" s="226">
        <f t="shared" si="1006"/>
        <v>45883</v>
      </c>
      <c r="E8742" s="234">
        <f t="shared" si="1010"/>
        <v>45883</v>
      </c>
      <c r="F8742" s="479"/>
      <c r="G8742" s="227" t="s">
        <v>86</v>
      </c>
      <c r="H8742" s="227"/>
      <c r="I8742" s="228"/>
      <c r="J8742" s="229" t="s">
        <v>143</v>
      </c>
      <c r="K8742" s="230"/>
      <c r="L8742" s="230">
        <v>883712.83</v>
      </c>
    </row>
    <row r="8743" spans="1:13" ht="11.25" customHeight="1" x14ac:dyDescent="0.2">
      <c r="A8743" s="221">
        <v>2025</v>
      </c>
      <c r="B8743" s="221">
        <v>8</v>
      </c>
      <c r="C8743" s="221">
        <v>14</v>
      </c>
      <c r="D8743" s="231">
        <f t="shared" si="1006"/>
        <v>45883</v>
      </c>
      <c r="E8743" s="233">
        <f>DATE(A8743,B8743,C8743)</f>
        <v>45883</v>
      </c>
      <c r="F8743" s="478" t="s">
        <v>1844</v>
      </c>
      <c r="G8743" s="222" t="s">
        <v>1111</v>
      </c>
      <c r="H8743" s="223"/>
      <c r="I8743" s="223"/>
      <c r="J8743" s="224" t="s">
        <v>55</v>
      </c>
      <c r="K8743" s="225">
        <v>952125.36</v>
      </c>
      <c r="L8743" s="225"/>
    </row>
    <row r="8744" spans="1:13" ht="11.25" customHeight="1" x14ac:dyDescent="0.2">
      <c r="A8744" s="226">
        <v>2025</v>
      </c>
      <c r="B8744" s="226">
        <v>8</v>
      </c>
      <c r="C8744" s="226">
        <v>14</v>
      </c>
      <c r="D8744" s="232">
        <f t="shared" si="1006"/>
        <v>45883</v>
      </c>
      <c r="E8744" s="234">
        <f>DATE(A8744,B8744,C8744)</f>
        <v>45883</v>
      </c>
      <c r="F8744" s="479"/>
      <c r="G8744" s="227" t="s">
        <v>1111</v>
      </c>
      <c r="H8744" s="228"/>
      <c r="I8744" s="228"/>
      <c r="J8744" s="229" t="s">
        <v>199</v>
      </c>
      <c r="K8744" s="230"/>
      <c r="L8744" s="230">
        <f>K8743</f>
        <v>952125.36</v>
      </c>
    </row>
    <row r="8745" spans="1:13" ht="11.25" customHeight="1" x14ac:dyDescent="0.2">
      <c r="A8745" s="280">
        <v>2025</v>
      </c>
      <c r="B8745" s="280">
        <v>8</v>
      </c>
      <c r="C8745" s="280">
        <v>14</v>
      </c>
      <c r="D8745" s="281">
        <f t="shared" si="1006"/>
        <v>45883</v>
      </c>
      <c r="E8745" s="282">
        <f t="shared" si="1010"/>
        <v>45883</v>
      </c>
      <c r="F8745" s="472" t="s">
        <v>1744</v>
      </c>
      <c r="G8745" s="283" t="s">
        <v>86</v>
      </c>
      <c r="H8745" s="284"/>
      <c r="I8745" s="284"/>
      <c r="J8745" s="285" t="s">
        <v>131</v>
      </c>
      <c r="K8745" s="286">
        <v>19358.330000000002</v>
      </c>
      <c r="L8745" s="286"/>
      <c r="M8745" s="401"/>
    </row>
    <row r="8746" spans="1:13" ht="11.25" customHeight="1" x14ac:dyDescent="0.2">
      <c r="A8746" s="287">
        <v>2025</v>
      </c>
      <c r="B8746" s="287">
        <v>8</v>
      </c>
      <c r="C8746" s="287">
        <v>14</v>
      </c>
      <c r="D8746" s="288">
        <f t="shared" si="1006"/>
        <v>45883</v>
      </c>
      <c r="E8746" s="289">
        <f t="shared" si="1010"/>
        <v>45883</v>
      </c>
      <c r="F8746" s="473"/>
      <c r="G8746" s="290" t="s">
        <v>86</v>
      </c>
      <c r="H8746" s="291"/>
      <c r="I8746" s="291"/>
      <c r="J8746" s="292" t="s">
        <v>174</v>
      </c>
      <c r="K8746" s="293"/>
      <c r="L8746" s="293">
        <f>K8745</f>
        <v>19358.330000000002</v>
      </c>
    </row>
    <row r="8747" spans="1:13" ht="11.25" customHeight="1" x14ac:dyDescent="0.2">
      <c r="A8747" s="280">
        <v>2025</v>
      </c>
      <c r="B8747" s="280">
        <v>8</v>
      </c>
      <c r="C8747" s="280">
        <v>14</v>
      </c>
      <c r="D8747" s="281">
        <f t="shared" si="1006"/>
        <v>45883</v>
      </c>
      <c r="E8747" s="282">
        <f t="shared" si="1010"/>
        <v>45883</v>
      </c>
      <c r="F8747" s="472" t="s">
        <v>1584</v>
      </c>
      <c r="G8747" s="283" t="s">
        <v>86</v>
      </c>
      <c r="H8747" s="284"/>
      <c r="I8747" s="284"/>
      <c r="J8747" s="285" t="s">
        <v>131</v>
      </c>
      <c r="K8747" s="286">
        <v>8846.15</v>
      </c>
      <c r="L8747" s="286"/>
      <c r="M8747" s="401"/>
    </row>
    <row r="8748" spans="1:13" ht="11.25" customHeight="1" x14ac:dyDescent="0.2">
      <c r="A8748" s="287">
        <v>2025</v>
      </c>
      <c r="B8748" s="287">
        <v>8</v>
      </c>
      <c r="C8748" s="287">
        <v>14</v>
      </c>
      <c r="D8748" s="288">
        <f t="shared" si="1006"/>
        <v>45883</v>
      </c>
      <c r="E8748" s="289">
        <f t="shared" si="1010"/>
        <v>45883</v>
      </c>
      <c r="F8748" s="473"/>
      <c r="G8748" s="290" t="s">
        <v>86</v>
      </c>
      <c r="H8748" s="291"/>
      <c r="I8748" s="291"/>
      <c r="J8748" s="292" t="s">
        <v>174</v>
      </c>
      <c r="K8748" s="293"/>
      <c r="L8748" s="293">
        <f>K8747</f>
        <v>8846.15</v>
      </c>
    </row>
    <row r="8749" spans="1:13" ht="11.25" customHeight="1" x14ac:dyDescent="0.2">
      <c r="A8749" s="280">
        <v>2025</v>
      </c>
      <c r="B8749" s="280">
        <v>8</v>
      </c>
      <c r="C8749" s="280">
        <v>14</v>
      </c>
      <c r="D8749" s="281">
        <f t="shared" si="1006"/>
        <v>45883</v>
      </c>
      <c r="E8749" s="282">
        <f t="shared" si="1010"/>
        <v>45883</v>
      </c>
      <c r="F8749" s="472" t="s">
        <v>1830</v>
      </c>
      <c r="G8749" s="283" t="s">
        <v>86</v>
      </c>
      <c r="H8749" s="284"/>
      <c r="I8749" s="284"/>
      <c r="J8749" s="285" t="s">
        <v>131</v>
      </c>
      <c r="K8749" s="286">
        <v>11634.615384615385</v>
      </c>
      <c r="L8749" s="286"/>
      <c r="M8749" s="401"/>
    </row>
    <row r="8750" spans="1:13" ht="11.25" customHeight="1" x14ac:dyDescent="0.2">
      <c r="A8750" s="287">
        <v>2025</v>
      </c>
      <c r="B8750" s="287">
        <v>8</v>
      </c>
      <c r="C8750" s="287">
        <v>14</v>
      </c>
      <c r="D8750" s="288">
        <f t="shared" si="1006"/>
        <v>45883</v>
      </c>
      <c r="E8750" s="289">
        <f t="shared" si="1010"/>
        <v>45883</v>
      </c>
      <c r="F8750" s="473"/>
      <c r="G8750" s="290" t="s">
        <v>86</v>
      </c>
      <c r="H8750" s="291"/>
      <c r="I8750" s="291"/>
      <c r="J8750" s="292" t="s">
        <v>174</v>
      </c>
      <c r="K8750" s="293"/>
      <c r="L8750" s="293">
        <v>11634.615384615385</v>
      </c>
    </row>
    <row r="8751" spans="1:13" ht="11.25" customHeight="1" x14ac:dyDescent="0.2">
      <c r="A8751" s="341">
        <v>2025</v>
      </c>
      <c r="B8751" s="341">
        <v>8</v>
      </c>
      <c r="C8751" s="341">
        <v>14</v>
      </c>
      <c r="D8751" s="328">
        <f t="shared" si="1006"/>
        <v>45883</v>
      </c>
      <c r="E8751" s="329">
        <f t="shared" si="1010"/>
        <v>45883</v>
      </c>
      <c r="F8751" s="474" t="s">
        <v>1767</v>
      </c>
      <c r="G8751" s="330" t="s">
        <v>86</v>
      </c>
      <c r="H8751" s="332"/>
      <c r="I8751" s="332"/>
      <c r="J8751" s="342" t="s">
        <v>67</v>
      </c>
      <c r="K8751" s="343">
        <v>2908.48</v>
      </c>
      <c r="L8751" s="343"/>
    </row>
    <row r="8752" spans="1:13" ht="11.25" customHeight="1" x14ac:dyDescent="0.2">
      <c r="A8752" s="344">
        <v>2025</v>
      </c>
      <c r="B8752" s="344">
        <v>8</v>
      </c>
      <c r="C8752" s="344">
        <v>14</v>
      </c>
      <c r="D8752" s="337">
        <f t="shared" si="1006"/>
        <v>45883</v>
      </c>
      <c r="E8752" s="338">
        <f t="shared" si="1010"/>
        <v>45883</v>
      </c>
      <c r="F8752" s="475"/>
      <c r="G8752" s="339" t="s">
        <v>86</v>
      </c>
      <c r="H8752" s="340"/>
      <c r="I8752" s="340"/>
      <c r="J8752" s="345" t="s">
        <v>174</v>
      </c>
      <c r="K8752" s="346"/>
      <c r="L8752" s="346">
        <f>K8751</f>
        <v>2908.48</v>
      </c>
    </row>
    <row r="8753" spans="1:13" ht="11.25" customHeight="1" x14ac:dyDescent="0.2">
      <c r="A8753" s="358">
        <v>2025</v>
      </c>
      <c r="B8753" s="358">
        <v>8</v>
      </c>
      <c r="C8753" s="358">
        <v>14</v>
      </c>
      <c r="D8753" s="312">
        <f t="shared" si="1006"/>
        <v>45883</v>
      </c>
      <c r="E8753" s="313">
        <f>DATE(A8753,B8753,C8753)</f>
        <v>45883</v>
      </c>
      <c r="F8753" s="482" t="s">
        <v>1627</v>
      </c>
      <c r="G8753" s="314" t="s">
        <v>86</v>
      </c>
      <c r="H8753" s="324"/>
      <c r="I8753" s="324"/>
      <c r="J8753" s="364" t="s">
        <v>1613</v>
      </c>
      <c r="K8753" s="365">
        <v>0</v>
      </c>
      <c r="L8753" s="365"/>
      <c r="M8753" s="156">
        <f>BS!$I$12</f>
        <v>0</v>
      </c>
    </row>
    <row r="8754" spans="1:13" ht="11.25" customHeight="1" x14ac:dyDescent="0.2">
      <c r="A8754" s="320">
        <v>2025</v>
      </c>
      <c r="B8754" s="320">
        <v>8</v>
      </c>
      <c r="C8754" s="320">
        <v>14</v>
      </c>
      <c r="D8754" s="323">
        <f t="shared" si="1006"/>
        <v>45883</v>
      </c>
      <c r="E8754" s="321">
        <f t="shared" ref="E8754" si="1011">DATE(A8754,B8754,C8754)</f>
        <v>45883</v>
      </c>
      <c r="F8754" s="483"/>
      <c r="G8754" s="322" t="s">
        <v>86</v>
      </c>
      <c r="H8754" s="325"/>
      <c r="I8754" s="325"/>
      <c r="J8754" s="366" t="s">
        <v>1621</v>
      </c>
      <c r="K8754" s="367"/>
      <c r="L8754" s="367">
        <f>K8753</f>
        <v>0</v>
      </c>
    </row>
    <row r="8755" spans="1:13" ht="11.25" customHeight="1" x14ac:dyDescent="0.2">
      <c r="A8755" s="358">
        <v>2025</v>
      </c>
      <c r="B8755" s="358">
        <v>8</v>
      </c>
      <c r="C8755" s="358">
        <v>14</v>
      </c>
      <c r="D8755" s="312">
        <f t="shared" si="1006"/>
        <v>45883</v>
      </c>
      <c r="E8755" s="313">
        <f>DATE(A8755,B8755,C8755)</f>
        <v>45883</v>
      </c>
      <c r="F8755" s="482" t="s">
        <v>1713</v>
      </c>
      <c r="G8755" s="314" t="s">
        <v>86</v>
      </c>
      <c r="H8755" s="324"/>
      <c r="I8755" s="324"/>
      <c r="J8755" s="364" t="s">
        <v>1622</v>
      </c>
      <c r="K8755" s="365">
        <v>1199639.4749999978</v>
      </c>
      <c r="L8755" s="365"/>
      <c r="M8755" s="156">
        <f>BS!$I$15</f>
        <v>0</v>
      </c>
    </row>
    <row r="8756" spans="1:13" ht="11.25" customHeight="1" x14ac:dyDescent="0.2">
      <c r="A8756" s="320">
        <v>2025</v>
      </c>
      <c r="B8756" s="320">
        <v>8</v>
      </c>
      <c r="C8756" s="320">
        <v>14</v>
      </c>
      <c r="D8756" s="323">
        <f t="shared" si="1006"/>
        <v>45883</v>
      </c>
      <c r="E8756" s="321">
        <f t="shared" ref="E8756:E8792" si="1012">DATE(A8756,B8756,C8756)</f>
        <v>45883</v>
      </c>
      <c r="F8756" s="483"/>
      <c r="G8756" s="322" t="s">
        <v>86</v>
      </c>
      <c r="H8756" s="325"/>
      <c r="I8756" s="325"/>
      <c r="J8756" s="366" t="s">
        <v>1614</v>
      </c>
      <c r="K8756" s="367"/>
      <c r="L8756" s="367">
        <f>K8755</f>
        <v>1199639.4749999978</v>
      </c>
    </row>
    <row r="8757" spans="1:13" ht="11.25" customHeight="1" x14ac:dyDescent="0.2">
      <c r="A8757" s="236">
        <v>2025</v>
      </c>
      <c r="B8757" s="236">
        <v>8</v>
      </c>
      <c r="C8757" s="236">
        <v>14</v>
      </c>
      <c r="D8757" s="237">
        <f t="shared" si="1006"/>
        <v>45883</v>
      </c>
      <c r="E8757" s="238">
        <f t="shared" si="1012"/>
        <v>45883</v>
      </c>
      <c r="F8757" s="476" t="s">
        <v>1118</v>
      </c>
      <c r="G8757" s="239" t="s">
        <v>86</v>
      </c>
      <c r="H8757" s="239"/>
      <c r="I8757" s="240"/>
      <c r="J8757" s="241" t="s">
        <v>82</v>
      </c>
      <c r="K8757" s="242">
        <v>1135280.4054999948</v>
      </c>
      <c r="L8757" s="242"/>
      <c r="M8757" s="156">
        <f>BS!$I$8</f>
        <v>0</v>
      </c>
    </row>
    <row r="8758" spans="1:13" ht="11.25" customHeight="1" x14ac:dyDescent="0.2">
      <c r="A8758" s="243">
        <v>2025</v>
      </c>
      <c r="B8758" s="243">
        <v>8</v>
      </c>
      <c r="C8758" s="243">
        <v>14</v>
      </c>
      <c r="D8758" s="248">
        <f t="shared" si="1006"/>
        <v>45883</v>
      </c>
      <c r="E8758" s="249">
        <f t="shared" si="1012"/>
        <v>45883</v>
      </c>
      <c r="F8758" s="477"/>
      <c r="G8758" s="244" t="s">
        <v>86</v>
      </c>
      <c r="H8758" s="244"/>
      <c r="I8758" s="245"/>
      <c r="J8758" s="246" t="s">
        <v>98</v>
      </c>
      <c r="K8758" s="247"/>
      <c r="L8758" s="247">
        <f>K8757</f>
        <v>1135280.4054999948</v>
      </c>
    </row>
    <row r="8759" spans="1:13" ht="11.25" customHeight="1" x14ac:dyDescent="0.2">
      <c r="A8759" s="236">
        <v>2025</v>
      </c>
      <c r="B8759" s="236">
        <v>8</v>
      </c>
      <c r="C8759" s="236">
        <v>14</v>
      </c>
      <c r="D8759" s="237">
        <f t="shared" si="1006"/>
        <v>45883</v>
      </c>
      <c r="E8759" s="238">
        <f t="shared" si="1012"/>
        <v>45883</v>
      </c>
      <c r="F8759" s="476" t="s">
        <v>1120</v>
      </c>
      <c r="G8759" s="239" t="s">
        <v>86</v>
      </c>
      <c r="H8759" s="239"/>
      <c r="I8759" s="240"/>
      <c r="J8759" s="241" t="s">
        <v>87</v>
      </c>
      <c r="K8759" s="242">
        <v>2747.2527472527472</v>
      </c>
      <c r="L8759" s="242"/>
      <c r="M8759" s="401"/>
    </row>
    <row r="8760" spans="1:13" ht="11.25" customHeight="1" x14ac:dyDescent="0.2">
      <c r="A8760" s="243">
        <v>2025</v>
      </c>
      <c r="B8760" s="243">
        <v>8</v>
      </c>
      <c r="C8760" s="243">
        <v>14</v>
      </c>
      <c r="D8760" s="248">
        <f t="shared" si="1006"/>
        <v>45883</v>
      </c>
      <c r="E8760" s="249">
        <f t="shared" si="1012"/>
        <v>45883</v>
      </c>
      <c r="F8760" s="477"/>
      <c r="G8760" s="244" t="s">
        <v>86</v>
      </c>
      <c r="H8760" s="244"/>
      <c r="I8760" s="245"/>
      <c r="J8760" s="246" t="s">
        <v>64</v>
      </c>
      <c r="K8760" s="247"/>
      <c r="L8760" s="247">
        <f>K8759</f>
        <v>2747.2527472527472</v>
      </c>
    </row>
    <row r="8761" spans="1:13" ht="11.25" customHeight="1" x14ac:dyDescent="0.2">
      <c r="A8761" s="236">
        <v>2025</v>
      </c>
      <c r="B8761" s="236">
        <v>8</v>
      </c>
      <c r="C8761" s="236">
        <v>14</v>
      </c>
      <c r="D8761" s="237">
        <f t="shared" si="1006"/>
        <v>45883</v>
      </c>
      <c r="E8761" s="238">
        <f t="shared" si="1012"/>
        <v>45883</v>
      </c>
      <c r="F8761" s="476" t="s">
        <v>1121</v>
      </c>
      <c r="G8761" s="239" t="s">
        <v>86</v>
      </c>
      <c r="H8761" s="239"/>
      <c r="I8761" s="240"/>
      <c r="J8761" s="241" t="s">
        <v>89</v>
      </c>
      <c r="K8761" s="242">
        <f>M8761</f>
        <v>82221.247023904623</v>
      </c>
      <c r="L8761" s="242"/>
      <c r="M8761" s="156">
        <v>82221.247023904623</v>
      </c>
    </row>
    <row r="8762" spans="1:13" ht="11.25" customHeight="1" x14ac:dyDescent="0.2">
      <c r="A8762" s="243">
        <v>2025</v>
      </c>
      <c r="B8762" s="243">
        <v>8</v>
      </c>
      <c r="C8762" s="243">
        <v>14</v>
      </c>
      <c r="D8762" s="248">
        <f t="shared" si="1006"/>
        <v>45883</v>
      </c>
      <c r="E8762" s="249">
        <f t="shared" si="1012"/>
        <v>45883</v>
      </c>
      <c r="F8762" s="477"/>
      <c r="G8762" s="244" t="s">
        <v>86</v>
      </c>
      <c r="H8762" s="244"/>
      <c r="I8762" s="245"/>
      <c r="J8762" s="246" t="s">
        <v>50</v>
      </c>
      <c r="K8762" s="247"/>
      <c r="L8762" s="247">
        <f>K8761</f>
        <v>82221.247023904623</v>
      </c>
      <c r="M8762" s="156">
        <v>3870.6777358106165</v>
      </c>
    </row>
    <row r="8763" spans="1:13" ht="11.25" customHeight="1" x14ac:dyDescent="0.2">
      <c r="A8763" s="236">
        <v>2025</v>
      </c>
      <c r="B8763" s="236">
        <v>8</v>
      </c>
      <c r="C8763" s="236">
        <v>14</v>
      </c>
      <c r="D8763" s="237">
        <f t="shared" si="1006"/>
        <v>45883</v>
      </c>
      <c r="E8763" s="238">
        <f t="shared" si="1012"/>
        <v>45883</v>
      </c>
      <c r="F8763" s="476" t="s">
        <v>1122</v>
      </c>
      <c r="G8763" s="239" t="s">
        <v>86</v>
      </c>
      <c r="H8763" s="239"/>
      <c r="I8763" s="240"/>
      <c r="J8763" s="241" t="s">
        <v>91</v>
      </c>
      <c r="K8763" s="242">
        <f>M8762</f>
        <v>3870.6777358106165</v>
      </c>
      <c r="L8763" s="242"/>
    </row>
    <row r="8764" spans="1:13" ht="11.25" customHeight="1" x14ac:dyDescent="0.2">
      <c r="A8764" s="243">
        <v>2025</v>
      </c>
      <c r="B8764" s="243">
        <v>8</v>
      </c>
      <c r="C8764" s="243">
        <v>14</v>
      </c>
      <c r="D8764" s="248">
        <f t="shared" si="1006"/>
        <v>45883</v>
      </c>
      <c r="E8764" s="249">
        <f t="shared" si="1012"/>
        <v>45883</v>
      </c>
      <c r="F8764" s="477"/>
      <c r="G8764" s="244" t="s">
        <v>86</v>
      </c>
      <c r="H8764" s="244"/>
      <c r="I8764" s="245"/>
      <c r="J8764" s="246" t="s">
        <v>51</v>
      </c>
      <c r="K8764" s="247"/>
      <c r="L8764" s="247">
        <f>K8763</f>
        <v>3870.6777358106165</v>
      </c>
    </row>
    <row r="8765" spans="1:13" ht="11.25" customHeight="1" x14ac:dyDescent="0.2">
      <c r="A8765" s="221">
        <v>2025</v>
      </c>
      <c r="B8765" s="221">
        <v>8</v>
      </c>
      <c r="C8765" s="221">
        <v>17</v>
      </c>
      <c r="D8765" s="231">
        <f t="shared" si="1006"/>
        <v>45886</v>
      </c>
      <c r="E8765" s="233">
        <f t="shared" si="1012"/>
        <v>45886</v>
      </c>
      <c r="F8765" s="478" t="s">
        <v>1889</v>
      </c>
      <c r="G8765" s="222" t="s">
        <v>1111</v>
      </c>
      <c r="H8765" s="223"/>
      <c r="I8765" s="223"/>
      <c r="J8765" s="224" t="s">
        <v>961</v>
      </c>
      <c r="K8765" s="225">
        <v>883712.83</v>
      </c>
      <c r="L8765" s="225"/>
    </row>
    <row r="8766" spans="1:13" ht="11.25" customHeight="1" x14ac:dyDescent="0.2">
      <c r="A8766" s="226">
        <v>2025</v>
      </c>
      <c r="B8766" s="226">
        <v>8</v>
      </c>
      <c r="C8766" s="226">
        <v>17</v>
      </c>
      <c r="D8766" s="232">
        <f t="shared" si="1006"/>
        <v>45886</v>
      </c>
      <c r="E8766" s="234">
        <f t="shared" si="1012"/>
        <v>45886</v>
      </c>
      <c r="F8766" s="479"/>
      <c r="G8766" s="227" t="s">
        <v>1111</v>
      </c>
      <c r="H8766" s="228"/>
      <c r="I8766" s="228"/>
      <c r="J8766" s="229" t="s">
        <v>55</v>
      </c>
      <c r="K8766" s="230"/>
      <c r="L8766" s="230">
        <f>K8765</f>
        <v>883712.83</v>
      </c>
    </row>
    <row r="8767" spans="1:13" ht="11.25" customHeight="1" x14ac:dyDescent="0.2">
      <c r="A8767" s="221">
        <v>2025</v>
      </c>
      <c r="B8767" s="221">
        <v>8</v>
      </c>
      <c r="C8767" s="221">
        <v>17</v>
      </c>
      <c r="D8767" s="231">
        <f t="shared" si="1006"/>
        <v>45886</v>
      </c>
      <c r="E8767" s="233">
        <f t="shared" ref="E8767:E8773" si="1013">DATE(A8767,B8767,C8767)</f>
        <v>45886</v>
      </c>
      <c r="F8767" s="478" t="s">
        <v>1889</v>
      </c>
      <c r="G8767" s="222" t="s">
        <v>1111</v>
      </c>
      <c r="H8767" s="223"/>
      <c r="I8767" s="223"/>
      <c r="J8767" s="224" t="s">
        <v>961</v>
      </c>
      <c r="K8767" s="225">
        <v>2095512.27</v>
      </c>
      <c r="L8767" s="225"/>
    </row>
    <row r="8768" spans="1:13" ht="11.25" customHeight="1" x14ac:dyDescent="0.2">
      <c r="A8768" s="226">
        <v>2025</v>
      </c>
      <c r="B8768" s="226">
        <v>8</v>
      </c>
      <c r="C8768" s="226">
        <v>17</v>
      </c>
      <c r="D8768" s="232">
        <f t="shared" si="1006"/>
        <v>45886</v>
      </c>
      <c r="E8768" s="234">
        <f t="shared" si="1013"/>
        <v>45886</v>
      </c>
      <c r="F8768" s="479"/>
      <c r="G8768" s="227" t="s">
        <v>1111</v>
      </c>
      <c r="H8768" s="228"/>
      <c r="I8768" s="228"/>
      <c r="J8768" s="229" t="s">
        <v>55</v>
      </c>
      <c r="K8768" s="230"/>
      <c r="L8768" s="230">
        <f>K8767</f>
        <v>2095512.27</v>
      </c>
    </row>
    <row r="8769" spans="1:12" ht="11.25" customHeight="1" x14ac:dyDescent="0.2">
      <c r="A8769" s="221">
        <v>2025</v>
      </c>
      <c r="B8769" s="221">
        <v>8</v>
      </c>
      <c r="C8769" s="221">
        <v>17</v>
      </c>
      <c r="D8769" s="221">
        <f t="shared" si="1006"/>
        <v>45886</v>
      </c>
      <c r="E8769" s="233">
        <f t="shared" si="1013"/>
        <v>45886</v>
      </c>
      <c r="F8769" s="478" t="s">
        <v>1930</v>
      </c>
      <c r="G8769" s="222" t="s">
        <v>86</v>
      </c>
      <c r="H8769" s="222"/>
      <c r="I8769" s="223"/>
      <c r="J8769" s="224" t="s">
        <v>80</v>
      </c>
      <c r="K8769" s="225">
        <v>825787.5</v>
      </c>
      <c r="L8769" s="225"/>
    </row>
    <row r="8770" spans="1:12" ht="11.25" customHeight="1" x14ac:dyDescent="0.2">
      <c r="A8770" s="164">
        <v>2025</v>
      </c>
      <c r="B8770" s="164">
        <v>8</v>
      </c>
      <c r="C8770" s="164">
        <v>17</v>
      </c>
      <c r="D8770" s="164">
        <f t="shared" si="1006"/>
        <v>45886</v>
      </c>
      <c r="E8770" s="235">
        <f t="shared" si="1013"/>
        <v>45886</v>
      </c>
      <c r="F8770" s="480"/>
      <c r="G8770" s="208" t="s">
        <v>86</v>
      </c>
      <c r="H8770" s="208"/>
      <c r="J8770" s="165" t="s">
        <v>960</v>
      </c>
      <c r="K8770" s="205">
        <v>1486.42</v>
      </c>
      <c r="L8770" s="205"/>
    </row>
    <row r="8771" spans="1:12" ht="11.25" customHeight="1" x14ac:dyDescent="0.2">
      <c r="A8771" s="226">
        <v>2025</v>
      </c>
      <c r="B8771" s="226">
        <v>8</v>
      </c>
      <c r="C8771" s="226">
        <v>17</v>
      </c>
      <c r="D8771" s="226">
        <f t="shared" si="1006"/>
        <v>45886</v>
      </c>
      <c r="E8771" s="234">
        <f t="shared" si="1013"/>
        <v>45886</v>
      </c>
      <c r="F8771" s="479"/>
      <c r="G8771" s="227" t="s">
        <v>86</v>
      </c>
      <c r="H8771" s="227"/>
      <c r="I8771" s="228"/>
      <c r="J8771" s="229" t="s">
        <v>143</v>
      </c>
      <c r="K8771" s="230"/>
      <c r="L8771" s="230">
        <v>827273.92</v>
      </c>
    </row>
    <row r="8772" spans="1:12" ht="11.25" customHeight="1" x14ac:dyDescent="0.2">
      <c r="A8772" s="221">
        <v>2025</v>
      </c>
      <c r="B8772" s="221">
        <v>8</v>
      </c>
      <c r="C8772" s="221">
        <v>17</v>
      </c>
      <c r="D8772" s="231">
        <f t="shared" si="1006"/>
        <v>45886</v>
      </c>
      <c r="E8772" s="233">
        <f t="shared" si="1013"/>
        <v>45886</v>
      </c>
      <c r="F8772" s="478" t="s">
        <v>1670</v>
      </c>
      <c r="G8772" s="222" t="s">
        <v>1111</v>
      </c>
      <c r="H8772" s="223"/>
      <c r="I8772" s="223"/>
      <c r="J8772" s="224" t="s">
        <v>63</v>
      </c>
      <c r="K8772" s="225">
        <v>100</v>
      </c>
      <c r="L8772" s="225"/>
    </row>
    <row r="8773" spans="1:12" ht="11.25" customHeight="1" x14ac:dyDescent="0.2">
      <c r="A8773" s="226">
        <v>2025</v>
      </c>
      <c r="B8773" s="226">
        <v>8</v>
      </c>
      <c r="C8773" s="226">
        <v>17</v>
      </c>
      <c r="D8773" s="232">
        <f t="shared" si="1006"/>
        <v>45886</v>
      </c>
      <c r="E8773" s="234">
        <f t="shared" si="1013"/>
        <v>45886</v>
      </c>
      <c r="F8773" s="479"/>
      <c r="G8773" s="227" t="s">
        <v>1111</v>
      </c>
      <c r="H8773" s="228"/>
      <c r="I8773" s="228"/>
      <c r="J8773" s="229" t="s">
        <v>55</v>
      </c>
      <c r="K8773" s="230"/>
      <c r="L8773" s="230">
        <f>K8772</f>
        <v>100</v>
      </c>
    </row>
    <row r="8774" spans="1:12" ht="11.25" customHeight="1" x14ac:dyDescent="0.2">
      <c r="A8774" s="221">
        <v>2025</v>
      </c>
      <c r="B8774" s="221">
        <v>8</v>
      </c>
      <c r="C8774" s="221">
        <v>18</v>
      </c>
      <c r="D8774" s="231">
        <f t="shared" si="1006"/>
        <v>45887</v>
      </c>
      <c r="E8774" s="233">
        <f t="shared" si="1012"/>
        <v>45887</v>
      </c>
      <c r="F8774" s="478" t="s">
        <v>802</v>
      </c>
      <c r="G8774" s="222" t="s">
        <v>1111</v>
      </c>
      <c r="H8774" s="223"/>
      <c r="I8774" s="223"/>
      <c r="J8774" s="224" t="s">
        <v>55</v>
      </c>
      <c r="K8774" s="167">
        <v>150000</v>
      </c>
      <c r="L8774" s="225"/>
    </row>
    <row r="8775" spans="1:12" ht="11.25" customHeight="1" x14ac:dyDescent="0.2">
      <c r="A8775" s="164">
        <v>2025</v>
      </c>
      <c r="B8775" s="164">
        <v>8</v>
      </c>
      <c r="C8775" s="164">
        <v>18</v>
      </c>
      <c r="D8775" s="156">
        <f t="shared" si="1006"/>
        <v>45887</v>
      </c>
      <c r="E8775" s="235">
        <f t="shared" si="1012"/>
        <v>45887</v>
      </c>
      <c r="F8775" s="480"/>
      <c r="G8775" s="208" t="s">
        <v>1111</v>
      </c>
      <c r="J8775" s="165" t="s">
        <v>14</v>
      </c>
      <c r="L8775" s="205">
        <v>124170</v>
      </c>
    </row>
    <row r="8776" spans="1:12" ht="11.25" customHeight="1" x14ac:dyDescent="0.2">
      <c r="A8776" s="226">
        <v>2025</v>
      </c>
      <c r="B8776" s="226">
        <v>8</v>
      </c>
      <c r="C8776" s="226">
        <v>18</v>
      </c>
      <c r="D8776" s="232">
        <f t="shared" si="1006"/>
        <v>45887</v>
      </c>
      <c r="E8776" s="234">
        <f t="shared" si="1012"/>
        <v>45887</v>
      </c>
      <c r="F8776" s="479"/>
      <c r="G8776" s="227" t="s">
        <v>1111</v>
      </c>
      <c r="H8776" s="228"/>
      <c r="I8776" s="228"/>
      <c r="J8776" s="229" t="s">
        <v>1112</v>
      </c>
      <c r="K8776" s="230"/>
      <c r="L8776" s="230">
        <v>25830</v>
      </c>
    </row>
    <row r="8777" spans="1:12" ht="11.25" customHeight="1" x14ac:dyDescent="0.2">
      <c r="A8777" s="221">
        <v>2025</v>
      </c>
      <c r="B8777" s="221">
        <v>8</v>
      </c>
      <c r="C8777" s="221">
        <v>18</v>
      </c>
      <c r="D8777" s="221">
        <f t="shared" ref="D8777:D8840" si="1014">DATE(A8777,B8777,C8777)</f>
        <v>45887</v>
      </c>
      <c r="E8777" s="233">
        <f t="shared" si="1012"/>
        <v>45887</v>
      </c>
      <c r="F8777" s="478" t="s">
        <v>1930</v>
      </c>
      <c r="G8777" s="222" t="s">
        <v>86</v>
      </c>
      <c r="H8777" s="222"/>
      <c r="I8777" s="223"/>
      <c r="J8777" s="224" t="s">
        <v>80</v>
      </c>
      <c r="K8777" s="225">
        <v>1053020</v>
      </c>
      <c r="L8777" s="225"/>
    </row>
    <row r="8778" spans="1:12" ht="11.25" customHeight="1" x14ac:dyDescent="0.2">
      <c r="A8778" s="164">
        <v>2025</v>
      </c>
      <c r="B8778" s="164">
        <v>8</v>
      </c>
      <c r="C8778" s="164">
        <v>18</v>
      </c>
      <c r="D8778" s="164">
        <f t="shared" si="1014"/>
        <v>45887</v>
      </c>
      <c r="E8778" s="235">
        <f t="shared" si="1012"/>
        <v>45887</v>
      </c>
      <c r="F8778" s="480"/>
      <c r="G8778" s="208" t="s">
        <v>86</v>
      </c>
      <c r="H8778" s="208"/>
      <c r="J8778" s="165" t="s">
        <v>960</v>
      </c>
      <c r="K8778" s="205">
        <v>1895.44</v>
      </c>
      <c r="L8778" s="205"/>
    </row>
    <row r="8779" spans="1:12" ht="11.25" customHeight="1" x14ac:dyDescent="0.2">
      <c r="A8779" s="226">
        <v>2025</v>
      </c>
      <c r="B8779" s="226">
        <v>8</v>
      </c>
      <c r="C8779" s="226">
        <v>18</v>
      </c>
      <c r="D8779" s="226">
        <f t="shared" si="1014"/>
        <v>45887</v>
      </c>
      <c r="E8779" s="234">
        <f t="shared" si="1012"/>
        <v>45887</v>
      </c>
      <c r="F8779" s="479"/>
      <c r="G8779" s="227" t="s">
        <v>86</v>
      </c>
      <c r="H8779" s="227"/>
      <c r="I8779" s="228"/>
      <c r="J8779" s="229" t="s">
        <v>143</v>
      </c>
      <c r="K8779" s="230"/>
      <c r="L8779" s="230">
        <v>1054915.44</v>
      </c>
    </row>
    <row r="8780" spans="1:12" ht="11.25" customHeight="1" x14ac:dyDescent="0.2">
      <c r="A8780" s="221">
        <v>2025</v>
      </c>
      <c r="B8780" s="221">
        <v>8</v>
      </c>
      <c r="C8780" s="221">
        <v>19</v>
      </c>
      <c r="D8780" s="231">
        <f t="shared" si="1014"/>
        <v>45888</v>
      </c>
      <c r="E8780" s="233">
        <f t="shared" si="1012"/>
        <v>45888</v>
      </c>
      <c r="F8780" s="478" t="s">
        <v>1889</v>
      </c>
      <c r="G8780" s="222" t="s">
        <v>1111</v>
      </c>
      <c r="H8780" s="223"/>
      <c r="I8780" s="223"/>
      <c r="J8780" s="224" t="s">
        <v>961</v>
      </c>
      <c r="K8780" s="225">
        <v>827273.92</v>
      </c>
      <c r="L8780" s="225"/>
    </row>
    <row r="8781" spans="1:12" ht="11.25" customHeight="1" x14ac:dyDescent="0.2">
      <c r="A8781" s="226">
        <v>2025</v>
      </c>
      <c r="B8781" s="226">
        <v>8</v>
      </c>
      <c r="C8781" s="226">
        <v>19</v>
      </c>
      <c r="D8781" s="232">
        <f t="shared" si="1014"/>
        <v>45888</v>
      </c>
      <c r="E8781" s="234">
        <f t="shared" si="1012"/>
        <v>45888</v>
      </c>
      <c r="F8781" s="479"/>
      <c r="G8781" s="227" t="s">
        <v>1111</v>
      </c>
      <c r="H8781" s="228"/>
      <c r="I8781" s="228"/>
      <c r="J8781" s="229" t="s">
        <v>55</v>
      </c>
      <c r="K8781" s="230"/>
      <c r="L8781" s="230">
        <f>K8780</f>
        <v>827273.92</v>
      </c>
    </row>
    <row r="8782" spans="1:12" ht="11.25" customHeight="1" x14ac:dyDescent="0.2">
      <c r="A8782" s="221">
        <v>2025</v>
      </c>
      <c r="B8782" s="221">
        <v>8</v>
      </c>
      <c r="C8782" s="221">
        <v>19</v>
      </c>
      <c r="D8782" s="231">
        <f t="shared" si="1014"/>
        <v>45888</v>
      </c>
      <c r="E8782" s="233">
        <f t="shared" si="1012"/>
        <v>45888</v>
      </c>
      <c r="F8782" s="478" t="s">
        <v>1933</v>
      </c>
      <c r="G8782" s="222" t="s">
        <v>1111</v>
      </c>
      <c r="H8782" s="222"/>
      <c r="I8782" s="223"/>
      <c r="J8782" s="224" t="s">
        <v>55</v>
      </c>
      <c r="K8782" s="357">
        <v>1122933.5900000001</v>
      </c>
      <c r="L8782" s="225"/>
    </row>
    <row r="8783" spans="1:12" ht="11.25" customHeight="1" x14ac:dyDescent="0.2">
      <c r="A8783" s="164">
        <v>2025</v>
      </c>
      <c r="B8783" s="164">
        <v>8</v>
      </c>
      <c r="C8783" s="164">
        <v>19</v>
      </c>
      <c r="D8783" s="164">
        <f t="shared" si="1014"/>
        <v>45888</v>
      </c>
      <c r="E8783" s="235">
        <f t="shared" si="1012"/>
        <v>45888</v>
      </c>
      <c r="F8783" s="480"/>
      <c r="G8783" s="208" t="s">
        <v>1111</v>
      </c>
      <c r="H8783" s="208"/>
      <c r="J8783" s="165" t="s">
        <v>1618</v>
      </c>
      <c r="K8783" s="263"/>
      <c r="L8783" s="205">
        <v>37369.001999999862</v>
      </c>
    </row>
    <row r="8784" spans="1:12" ht="11.25" customHeight="1" x14ac:dyDescent="0.2">
      <c r="A8784" s="226">
        <v>2025</v>
      </c>
      <c r="B8784" s="226">
        <v>8</v>
      </c>
      <c r="C8784" s="226">
        <v>19</v>
      </c>
      <c r="D8784" s="226">
        <f t="shared" si="1014"/>
        <v>45888</v>
      </c>
      <c r="E8784" s="234">
        <f t="shared" si="1012"/>
        <v>45888</v>
      </c>
      <c r="F8784" s="479"/>
      <c r="G8784" s="227" t="s">
        <v>1111</v>
      </c>
      <c r="H8784" s="227"/>
      <c r="I8784" s="228"/>
      <c r="J8784" s="229" t="s">
        <v>1615</v>
      </c>
      <c r="K8784" s="294"/>
      <c r="L8784" s="230">
        <v>1085564.5900000001</v>
      </c>
    </row>
    <row r="8785" spans="1:14" ht="11.25" customHeight="1" x14ac:dyDescent="0.2">
      <c r="A8785" s="221">
        <v>2025</v>
      </c>
      <c r="B8785" s="221">
        <v>8</v>
      </c>
      <c r="C8785" s="221">
        <v>19</v>
      </c>
      <c r="D8785" s="221">
        <f t="shared" si="1014"/>
        <v>45888</v>
      </c>
      <c r="E8785" s="233">
        <f t="shared" si="1012"/>
        <v>45888</v>
      </c>
      <c r="F8785" s="478" t="s">
        <v>1886</v>
      </c>
      <c r="G8785" s="222" t="s">
        <v>86</v>
      </c>
      <c r="H8785" s="222"/>
      <c r="I8785" s="223"/>
      <c r="J8785" s="224" t="s">
        <v>80</v>
      </c>
      <c r="K8785" s="225">
        <v>772820</v>
      </c>
      <c r="L8785" s="225"/>
      <c r="N8785" s="263"/>
    </row>
    <row r="8786" spans="1:14" ht="11.25" customHeight="1" x14ac:dyDescent="0.2">
      <c r="A8786" s="164">
        <v>2025</v>
      </c>
      <c r="B8786" s="164">
        <v>8</v>
      </c>
      <c r="C8786" s="164">
        <v>19</v>
      </c>
      <c r="D8786" s="164">
        <f t="shared" si="1014"/>
        <v>45888</v>
      </c>
      <c r="E8786" s="235">
        <f t="shared" si="1012"/>
        <v>45888</v>
      </c>
      <c r="F8786" s="480"/>
      <c r="G8786" s="208" t="s">
        <v>86</v>
      </c>
      <c r="H8786" s="208"/>
      <c r="J8786" s="165" t="s">
        <v>960</v>
      </c>
      <c r="K8786" s="205">
        <v>1856.2</v>
      </c>
      <c r="L8786" s="205"/>
      <c r="M8786" s="263"/>
      <c r="N8786" s="263"/>
    </row>
    <row r="8787" spans="1:14" ht="11.25" customHeight="1" x14ac:dyDescent="0.2">
      <c r="A8787" s="164">
        <v>2025</v>
      </c>
      <c r="B8787" s="164">
        <v>8</v>
      </c>
      <c r="C8787" s="164">
        <v>19</v>
      </c>
      <c r="D8787" s="164">
        <f t="shared" si="1014"/>
        <v>45888</v>
      </c>
      <c r="E8787" s="235">
        <f t="shared" si="1012"/>
        <v>45888</v>
      </c>
      <c r="F8787" s="480"/>
      <c r="G8787" s="208" t="s">
        <v>86</v>
      </c>
      <c r="H8787" s="208"/>
      <c r="J8787" s="165" t="s">
        <v>961</v>
      </c>
      <c r="K8787" s="205"/>
      <c r="L8787" s="205">
        <v>516276.2</v>
      </c>
      <c r="M8787" s="263"/>
    </row>
    <row r="8788" spans="1:14" ht="11.25" customHeight="1" x14ac:dyDescent="0.2">
      <c r="A8788" s="164">
        <v>2025</v>
      </c>
      <c r="B8788" s="164">
        <v>8</v>
      </c>
      <c r="C8788" s="164">
        <v>19</v>
      </c>
      <c r="D8788" s="164">
        <f t="shared" si="1014"/>
        <v>45888</v>
      </c>
      <c r="E8788" s="235">
        <f t="shared" si="1012"/>
        <v>45888</v>
      </c>
      <c r="F8788" s="480"/>
      <c r="G8788" s="208" t="s">
        <v>86</v>
      </c>
      <c r="H8788" s="208"/>
      <c r="J8788" s="165" t="s">
        <v>200</v>
      </c>
      <c r="K8788" s="205"/>
      <c r="L8788" s="205">
        <v>57414.61</v>
      </c>
      <c r="M8788" s="263"/>
    </row>
    <row r="8789" spans="1:14" ht="11.25" customHeight="1" x14ac:dyDescent="0.2">
      <c r="A8789" s="226">
        <v>2025</v>
      </c>
      <c r="B8789" s="226">
        <v>8</v>
      </c>
      <c r="C8789" s="226">
        <v>19</v>
      </c>
      <c r="D8789" s="226">
        <f t="shared" si="1014"/>
        <v>45888</v>
      </c>
      <c r="E8789" s="234">
        <f t="shared" si="1012"/>
        <v>45888</v>
      </c>
      <c r="F8789" s="479"/>
      <c r="G8789" s="227" t="s">
        <v>86</v>
      </c>
      <c r="H8789" s="228"/>
      <c r="I8789" s="228"/>
      <c r="J8789" s="229" t="s">
        <v>80</v>
      </c>
      <c r="K8789" s="230"/>
      <c r="L8789" s="230">
        <v>200985.39</v>
      </c>
      <c r="M8789" s="263"/>
    </row>
    <row r="8790" spans="1:14" ht="11.25" customHeight="1" x14ac:dyDescent="0.2">
      <c r="A8790" s="221">
        <v>2025</v>
      </c>
      <c r="B8790" s="221">
        <v>8</v>
      </c>
      <c r="C8790" s="221">
        <v>20</v>
      </c>
      <c r="D8790" s="231">
        <f t="shared" si="1014"/>
        <v>45889</v>
      </c>
      <c r="E8790" s="233">
        <f t="shared" si="1012"/>
        <v>45889</v>
      </c>
      <c r="F8790" s="478" t="s">
        <v>1115</v>
      </c>
      <c r="G8790" s="222" t="s">
        <v>1111</v>
      </c>
      <c r="H8790" s="223"/>
      <c r="I8790" s="223"/>
      <c r="J8790" s="224" t="s">
        <v>14</v>
      </c>
      <c r="K8790" s="167">
        <v>82780</v>
      </c>
      <c r="L8790" s="225"/>
    </row>
    <row r="8791" spans="1:14" ht="11.25" customHeight="1" x14ac:dyDescent="0.2">
      <c r="A8791" s="164">
        <v>2025</v>
      </c>
      <c r="B8791" s="164">
        <v>8</v>
      </c>
      <c r="C8791" s="164">
        <v>20</v>
      </c>
      <c r="D8791" s="156">
        <f t="shared" si="1014"/>
        <v>45889</v>
      </c>
      <c r="E8791" s="235">
        <f t="shared" si="1012"/>
        <v>45889</v>
      </c>
      <c r="F8791" s="480"/>
      <c r="G8791" s="208" t="s">
        <v>1111</v>
      </c>
      <c r="J8791" s="165" t="s">
        <v>1112</v>
      </c>
      <c r="K8791" s="167">
        <v>17220</v>
      </c>
      <c r="L8791" s="205"/>
    </row>
    <row r="8792" spans="1:14" ht="11.25" customHeight="1" x14ac:dyDescent="0.2">
      <c r="A8792" s="226">
        <v>2025</v>
      </c>
      <c r="B8792" s="226">
        <v>8</v>
      </c>
      <c r="C8792" s="226">
        <v>20</v>
      </c>
      <c r="D8792" s="232">
        <f t="shared" si="1014"/>
        <v>45889</v>
      </c>
      <c r="E8792" s="234">
        <f t="shared" si="1012"/>
        <v>45889</v>
      </c>
      <c r="F8792" s="479"/>
      <c r="G8792" s="227" t="s">
        <v>1111</v>
      </c>
      <c r="H8792" s="228"/>
      <c r="I8792" s="228"/>
      <c r="J8792" s="229" t="s">
        <v>55</v>
      </c>
      <c r="K8792" s="230"/>
      <c r="L8792" s="230">
        <v>100000</v>
      </c>
    </row>
    <row r="8793" spans="1:14" ht="11.25" customHeight="1" x14ac:dyDescent="0.2">
      <c r="A8793" s="221">
        <v>2025</v>
      </c>
      <c r="B8793" s="221">
        <v>8</v>
      </c>
      <c r="C8793" s="221">
        <v>20</v>
      </c>
      <c r="D8793" s="221">
        <f t="shared" si="1014"/>
        <v>45889</v>
      </c>
      <c r="E8793" s="233">
        <f t="shared" ref="E8793:E8800" si="1015">DATE(A8793,B8793,C8793)</f>
        <v>45889</v>
      </c>
      <c r="F8793" s="478" t="s">
        <v>1930</v>
      </c>
      <c r="G8793" s="222" t="s">
        <v>86</v>
      </c>
      <c r="H8793" s="222"/>
      <c r="I8793" s="223"/>
      <c r="J8793" s="224" t="s">
        <v>80</v>
      </c>
      <c r="K8793" s="225">
        <v>1422440</v>
      </c>
      <c r="L8793" s="225"/>
    </row>
    <row r="8794" spans="1:14" ht="11.25" customHeight="1" x14ac:dyDescent="0.2">
      <c r="A8794" s="164">
        <v>2025</v>
      </c>
      <c r="B8794" s="164">
        <v>8</v>
      </c>
      <c r="C8794" s="164">
        <v>20</v>
      </c>
      <c r="D8794" s="164">
        <f t="shared" si="1014"/>
        <v>45889</v>
      </c>
      <c r="E8794" s="235">
        <f t="shared" si="1015"/>
        <v>45889</v>
      </c>
      <c r="F8794" s="480"/>
      <c r="G8794" s="208" t="s">
        <v>86</v>
      </c>
      <c r="H8794" s="208"/>
      <c r="J8794" s="165" t="s">
        <v>960</v>
      </c>
      <c r="K8794" s="205">
        <v>2560.39</v>
      </c>
      <c r="L8794" s="205"/>
    </row>
    <row r="8795" spans="1:14" ht="11.25" customHeight="1" x14ac:dyDescent="0.2">
      <c r="A8795" s="226">
        <v>2025</v>
      </c>
      <c r="B8795" s="226">
        <v>8</v>
      </c>
      <c r="C8795" s="226">
        <v>20</v>
      </c>
      <c r="D8795" s="226">
        <f t="shared" si="1014"/>
        <v>45889</v>
      </c>
      <c r="E8795" s="234">
        <f t="shared" si="1015"/>
        <v>45889</v>
      </c>
      <c r="F8795" s="479"/>
      <c r="G8795" s="227" t="s">
        <v>86</v>
      </c>
      <c r="H8795" s="227"/>
      <c r="I8795" s="228"/>
      <c r="J8795" s="229" t="s">
        <v>143</v>
      </c>
      <c r="K8795" s="230"/>
      <c r="L8795" s="230">
        <v>1425000.39</v>
      </c>
    </row>
    <row r="8796" spans="1:14" ht="11.25" customHeight="1" x14ac:dyDescent="0.2">
      <c r="A8796" s="221">
        <v>2025</v>
      </c>
      <c r="B8796" s="221">
        <v>8</v>
      </c>
      <c r="C8796" s="221">
        <v>20</v>
      </c>
      <c r="D8796" s="231">
        <f t="shared" si="1014"/>
        <v>45889</v>
      </c>
      <c r="E8796" s="233">
        <f t="shared" si="1015"/>
        <v>45889</v>
      </c>
      <c r="F8796" s="478" t="s">
        <v>1889</v>
      </c>
      <c r="G8796" s="222" t="s">
        <v>1111</v>
      </c>
      <c r="H8796" s="223"/>
      <c r="I8796" s="223"/>
      <c r="J8796" s="224" t="s">
        <v>961</v>
      </c>
      <c r="K8796" s="225">
        <v>1054915.44</v>
      </c>
      <c r="L8796" s="225"/>
    </row>
    <row r="8797" spans="1:14" ht="11.25" customHeight="1" x14ac:dyDescent="0.2">
      <c r="A8797" s="226">
        <v>2025</v>
      </c>
      <c r="B8797" s="226">
        <v>8</v>
      </c>
      <c r="C8797" s="226">
        <v>20</v>
      </c>
      <c r="D8797" s="232">
        <f t="shared" si="1014"/>
        <v>45889</v>
      </c>
      <c r="E8797" s="234">
        <f t="shared" si="1015"/>
        <v>45889</v>
      </c>
      <c r="F8797" s="479"/>
      <c r="G8797" s="227" t="s">
        <v>1111</v>
      </c>
      <c r="H8797" s="228"/>
      <c r="I8797" s="228"/>
      <c r="J8797" s="229" t="s">
        <v>55</v>
      </c>
      <c r="K8797" s="230"/>
      <c r="L8797" s="230">
        <f>K8796</f>
        <v>1054915.44</v>
      </c>
    </row>
    <row r="8798" spans="1:14" ht="11.25" customHeight="1" x14ac:dyDescent="0.2">
      <c r="A8798" s="221">
        <v>2025</v>
      </c>
      <c r="B8798" s="221">
        <v>8</v>
      </c>
      <c r="C8798" s="221">
        <v>20</v>
      </c>
      <c r="D8798" s="231">
        <f t="shared" si="1014"/>
        <v>45889</v>
      </c>
      <c r="E8798" s="233">
        <f t="shared" si="1015"/>
        <v>45889</v>
      </c>
      <c r="F8798" s="478" t="s">
        <v>1797</v>
      </c>
      <c r="G8798" s="222" t="s">
        <v>1111</v>
      </c>
      <c r="H8798" s="222"/>
      <c r="I8798" s="223"/>
      <c r="J8798" s="224" t="s">
        <v>55</v>
      </c>
      <c r="K8798" s="357">
        <v>3571055.28</v>
      </c>
      <c r="L8798" s="225"/>
    </row>
    <row r="8799" spans="1:14" ht="11.25" customHeight="1" x14ac:dyDescent="0.2">
      <c r="A8799" s="164">
        <v>2025</v>
      </c>
      <c r="B8799" s="164">
        <v>8</v>
      </c>
      <c r="C8799" s="164">
        <v>20</v>
      </c>
      <c r="D8799" s="164">
        <f t="shared" si="1014"/>
        <v>45889</v>
      </c>
      <c r="E8799" s="235">
        <f t="shared" si="1015"/>
        <v>45889</v>
      </c>
      <c r="F8799" s="480"/>
      <c r="G8799" s="208" t="s">
        <v>1111</v>
      </c>
      <c r="H8799" s="208"/>
      <c r="J8799" s="165" t="s">
        <v>1618</v>
      </c>
      <c r="K8799" s="263"/>
      <c r="L8799" s="205">
        <v>244994.78</v>
      </c>
    </row>
    <row r="8800" spans="1:14" ht="11.25" customHeight="1" x14ac:dyDescent="0.2">
      <c r="A8800" s="226">
        <v>2025</v>
      </c>
      <c r="B8800" s="226">
        <v>8</v>
      </c>
      <c r="C8800" s="226">
        <v>20</v>
      </c>
      <c r="D8800" s="226">
        <f t="shared" si="1014"/>
        <v>45889</v>
      </c>
      <c r="E8800" s="234">
        <f t="shared" si="1015"/>
        <v>45889</v>
      </c>
      <c r="F8800" s="479"/>
      <c r="G8800" s="227" t="s">
        <v>1111</v>
      </c>
      <c r="H8800" s="227"/>
      <c r="I8800" s="228"/>
      <c r="J8800" s="229" t="s">
        <v>1615</v>
      </c>
      <c r="K8800" s="294"/>
      <c r="L8800" s="230">
        <v>3326060.5</v>
      </c>
    </row>
    <row r="8801" spans="1:12" ht="11.25" customHeight="1" x14ac:dyDescent="0.2">
      <c r="A8801" s="221">
        <v>2025</v>
      </c>
      <c r="B8801" s="221">
        <v>8</v>
      </c>
      <c r="C8801" s="221">
        <v>21</v>
      </c>
      <c r="D8801" s="231">
        <f t="shared" si="1014"/>
        <v>45890</v>
      </c>
      <c r="E8801" s="233">
        <f t="shared" ref="E8801:E8802" si="1016">DATE(A8801,B8801,C8801)</f>
        <v>45890</v>
      </c>
      <c r="F8801" s="478" t="s">
        <v>1889</v>
      </c>
      <c r="G8801" s="222" t="s">
        <v>1111</v>
      </c>
      <c r="H8801" s="223"/>
      <c r="I8801" s="223"/>
      <c r="J8801" s="224" t="s">
        <v>961</v>
      </c>
      <c r="K8801" s="225">
        <v>516276.2</v>
      </c>
      <c r="L8801" s="225"/>
    </row>
    <row r="8802" spans="1:12" ht="11.25" customHeight="1" x14ac:dyDescent="0.2">
      <c r="A8802" s="226">
        <v>2025</v>
      </c>
      <c r="B8802" s="226">
        <v>8</v>
      </c>
      <c r="C8802" s="226">
        <v>21</v>
      </c>
      <c r="D8802" s="232">
        <f t="shared" si="1014"/>
        <v>45890</v>
      </c>
      <c r="E8802" s="234">
        <f t="shared" si="1016"/>
        <v>45890</v>
      </c>
      <c r="F8802" s="479"/>
      <c r="G8802" s="227" t="s">
        <v>1111</v>
      </c>
      <c r="H8802" s="228"/>
      <c r="I8802" s="228"/>
      <c r="J8802" s="229" t="s">
        <v>55</v>
      </c>
      <c r="K8802" s="230"/>
      <c r="L8802" s="230">
        <f>K8801</f>
        <v>516276.2</v>
      </c>
    </row>
    <row r="8803" spans="1:12" ht="11.25" customHeight="1" x14ac:dyDescent="0.2">
      <c r="A8803" s="221">
        <v>2025</v>
      </c>
      <c r="B8803" s="221">
        <v>8</v>
      </c>
      <c r="C8803" s="221">
        <v>21</v>
      </c>
      <c r="D8803" s="231">
        <f t="shared" si="1014"/>
        <v>45890</v>
      </c>
      <c r="E8803" s="233">
        <f t="shared" ref="E8803:E8825" si="1017">DATE(A8803,B8803,C8803)</f>
        <v>45890</v>
      </c>
      <c r="F8803" s="478" t="s">
        <v>1889</v>
      </c>
      <c r="G8803" s="222" t="s">
        <v>1111</v>
      </c>
      <c r="H8803" s="223"/>
      <c r="I8803" s="223"/>
      <c r="J8803" s="224" t="s">
        <v>961</v>
      </c>
      <c r="K8803" s="225">
        <v>1425000.39</v>
      </c>
      <c r="L8803" s="225"/>
    </row>
    <row r="8804" spans="1:12" ht="11.25" customHeight="1" x14ac:dyDescent="0.2">
      <c r="A8804" s="226">
        <v>2025</v>
      </c>
      <c r="B8804" s="226">
        <v>8</v>
      </c>
      <c r="C8804" s="226">
        <v>21</v>
      </c>
      <c r="D8804" s="232">
        <f t="shared" si="1014"/>
        <v>45890</v>
      </c>
      <c r="E8804" s="234">
        <f t="shared" si="1017"/>
        <v>45890</v>
      </c>
      <c r="F8804" s="479"/>
      <c r="G8804" s="227" t="s">
        <v>1111</v>
      </c>
      <c r="H8804" s="228"/>
      <c r="I8804" s="228"/>
      <c r="J8804" s="229" t="s">
        <v>55</v>
      </c>
      <c r="K8804" s="230"/>
      <c r="L8804" s="230">
        <f>K8803</f>
        <v>1425000.39</v>
      </c>
    </row>
    <row r="8805" spans="1:12" ht="11.25" customHeight="1" x14ac:dyDescent="0.2">
      <c r="A8805" s="221">
        <v>2025</v>
      </c>
      <c r="B8805" s="221">
        <v>8</v>
      </c>
      <c r="C8805" s="221">
        <v>21</v>
      </c>
      <c r="D8805" s="231">
        <f t="shared" si="1014"/>
        <v>45890</v>
      </c>
      <c r="E8805" s="233">
        <f t="shared" si="1017"/>
        <v>45890</v>
      </c>
      <c r="F8805" s="478" t="s">
        <v>1670</v>
      </c>
      <c r="G8805" s="222" t="s">
        <v>1111</v>
      </c>
      <c r="H8805" s="223"/>
      <c r="I8805" s="223"/>
      <c r="J8805" s="224" t="s">
        <v>63</v>
      </c>
      <c r="K8805" s="225">
        <v>100</v>
      </c>
      <c r="L8805" s="225"/>
    </row>
    <row r="8806" spans="1:12" ht="11.25" customHeight="1" x14ac:dyDescent="0.2">
      <c r="A8806" s="226">
        <v>2025</v>
      </c>
      <c r="B8806" s="226">
        <v>8</v>
      </c>
      <c r="C8806" s="226">
        <v>21</v>
      </c>
      <c r="D8806" s="232">
        <f t="shared" si="1014"/>
        <v>45890</v>
      </c>
      <c r="E8806" s="234">
        <f t="shared" si="1017"/>
        <v>45890</v>
      </c>
      <c r="F8806" s="479"/>
      <c r="G8806" s="227" t="s">
        <v>1111</v>
      </c>
      <c r="H8806" s="228"/>
      <c r="I8806" s="228"/>
      <c r="J8806" s="229" t="s">
        <v>55</v>
      </c>
      <c r="K8806" s="230"/>
      <c r="L8806" s="230">
        <f>K8805</f>
        <v>100</v>
      </c>
    </row>
    <row r="8807" spans="1:12" ht="11.25" customHeight="1" x14ac:dyDescent="0.2">
      <c r="A8807" s="221">
        <v>2025</v>
      </c>
      <c r="B8807" s="221">
        <v>8</v>
      </c>
      <c r="C8807" s="221">
        <v>21</v>
      </c>
      <c r="D8807" s="231">
        <f t="shared" si="1014"/>
        <v>45890</v>
      </c>
      <c r="E8807" s="233">
        <f t="shared" si="1017"/>
        <v>45890</v>
      </c>
      <c r="F8807" s="478" t="s">
        <v>1934</v>
      </c>
      <c r="G8807" s="222" t="s">
        <v>1111</v>
      </c>
      <c r="H8807" s="222"/>
      <c r="I8807" s="223"/>
      <c r="J8807" s="224" t="s">
        <v>55</v>
      </c>
      <c r="K8807" s="357">
        <v>1035044.35</v>
      </c>
      <c r="L8807" s="225"/>
    </row>
    <row r="8808" spans="1:12" ht="11.25" customHeight="1" x14ac:dyDescent="0.2">
      <c r="A8808" s="164">
        <v>2025</v>
      </c>
      <c r="B8808" s="164">
        <v>8</v>
      </c>
      <c r="C8808" s="164">
        <v>21</v>
      </c>
      <c r="D8808" s="164">
        <f t="shared" si="1014"/>
        <v>45890</v>
      </c>
      <c r="E8808" s="235">
        <f t="shared" si="1017"/>
        <v>45890</v>
      </c>
      <c r="F8808" s="480"/>
      <c r="G8808" s="208" t="s">
        <v>1111</v>
      </c>
      <c r="H8808" s="208"/>
      <c r="J8808" s="165" t="s">
        <v>1618</v>
      </c>
      <c r="K8808" s="263"/>
      <c r="L8808" s="205">
        <v>34522.349999999977</v>
      </c>
    </row>
    <row r="8809" spans="1:12" ht="11.25" customHeight="1" x14ac:dyDescent="0.2">
      <c r="A8809" s="226">
        <v>2025</v>
      </c>
      <c r="B8809" s="226">
        <v>8</v>
      </c>
      <c r="C8809" s="226">
        <v>21</v>
      </c>
      <c r="D8809" s="226">
        <f t="shared" si="1014"/>
        <v>45890</v>
      </c>
      <c r="E8809" s="234">
        <f t="shared" si="1017"/>
        <v>45890</v>
      </c>
      <c r="F8809" s="479"/>
      <c r="G8809" s="227" t="s">
        <v>1111</v>
      </c>
      <c r="H8809" s="227"/>
      <c r="I8809" s="228"/>
      <c r="J8809" s="229" t="s">
        <v>1615</v>
      </c>
      <c r="K8809" s="294"/>
      <c r="L8809" s="230">
        <v>1000522</v>
      </c>
    </row>
    <row r="8810" spans="1:12" ht="11.25" customHeight="1" x14ac:dyDescent="0.2">
      <c r="A8810" s="221">
        <v>2025</v>
      </c>
      <c r="B8810" s="221">
        <v>8</v>
      </c>
      <c r="C8810" s="221">
        <v>21</v>
      </c>
      <c r="D8810" s="231">
        <f t="shared" si="1014"/>
        <v>45890</v>
      </c>
      <c r="E8810" s="233">
        <f t="shared" si="1017"/>
        <v>45890</v>
      </c>
      <c r="F8810" s="478" t="s">
        <v>1935</v>
      </c>
      <c r="G8810" s="222" t="s">
        <v>1111</v>
      </c>
      <c r="H8810" s="223"/>
      <c r="I8810" s="223"/>
      <c r="J8810" s="224" t="s">
        <v>192</v>
      </c>
      <c r="K8810" s="225">
        <v>403980</v>
      </c>
      <c r="L8810" s="225"/>
    </row>
    <row r="8811" spans="1:12" ht="11.25" customHeight="1" x14ac:dyDescent="0.2">
      <c r="A8811" s="226">
        <v>2025</v>
      </c>
      <c r="B8811" s="226">
        <v>8</v>
      </c>
      <c r="C8811" s="226">
        <v>21</v>
      </c>
      <c r="D8811" s="232">
        <f t="shared" si="1014"/>
        <v>45890</v>
      </c>
      <c r="E8811" s="234">
        <f t="shared" si="1017"/>
        <v>45890</v>
      </c>
      <c r="F8811" s="479"/>
      <c r="G8811" s="227" t="s">
        <v>1111</v>
      </c>
      <c r="H8811" s="228"/>
      <c r="I8811" s="228"/>
      <c r="J8811" s="229" t="s">
        <v>191</v>
      </c>
      <c r="K8811" s="230"/>
      <c r="L8811" s="230">
        <v>403980</v>
      </c>
    </row>
    <row r="8812" spans="1:12" ht="11.25" customHeight="1" x14ac:dyDescent="0.2">
      <c r="A8812" s="221">
        <v>2025</v>
      </c>
      <c r="B8812" s="221">
        <v>8</v>
      </c>
      <c r="C8812" s="221">
        <v>21</v>
      </c>
      <c r="D8812" s="221">
        <f t="shared" si="1014"/>
        <v>45890</v>
      </c>
      <c r="E8812" s="233">
        <f t="shared" si="1017"/>
        <v>45890</v>
      </c>
      <c r="F8812" s="478" t="s">
        <v>1936</v>
      </c>
      <c r="G8812" s="222" t="s">
        <v>86</v>
      </c>
      <c r="H8812" s="222"/>
      <c r="I8812" s="223"/>
      <c r="J8812" s="224" t="s">
        <v>80</v>
      </c>
      <c r="K8812" s="225">
        <v>704350</v>
      </c>
      <c r="L8812" s="225"/>
    </row>
    <row r="8813" spans="1:12" ht="11.25" customHeight="1" x14ac:dyDescent="0.2">
      <c r="A8813" s="164">
        <v>2025</v>
      </c>
      <c r="B8813" s="164">
        <v>8</v>
      </c>
      <c r="C8813" s="164">
        <v>21</v>
      </c>
      <c r="D8813" s="164">
        <f t="shared" si="1014"/>
        <v>45890</v>
      </c>
      <c r="E8813" s="235">
        <f t="shared" si="1017"/>
        <v>45890</v>
      </c>
      <c r="F8813" s="480"/>
      <c r="G8813" s="208" t="s">
        <v>86</v>
      </c>
      <c r="H8813" s="208"/>
      <c r="J8813" s="165" t="s">
        <v>960</v>
      </c>
      <c r="K8813" s="205">
        <v>1267.83</v>
      </c>
      <c r="L8813" s="205"/>
    </row>
    <row r="8814" spans="1:12" ht="11.25" customHeight="1" x14ac:dyDescent="0.2">
      <c r="A8814" s="226">
        <v>2025</v>
      </c>
      <c r="B8814" s="226">
        <v>8</v>
      </c>
      <c r="C8814" s="226">
        <v>21</v>
      </c>
      <c r="D8814" s="226">
        <f t="shared" si="1014"/>
        <v>45890</v>
      </c>
      <c r="E8814" s="234">
        <f t="shared" si="1017"/>
        <v>45890</v>
      </c>
      <c r="F8814" s="479"/>
      <c r="G8814" s="227" t="s">
        <v>86</v>
      </c>
      <c r="H8814" s="227"/>
      <c r="I8814" s="228"/>
      <c r="J8814" s="229" t="s">
        <v>143</v>
      </c>
      <c r="K8814" s="230"/>
      <c r="L8814" s="230">
        <v>705617.83</v>
      </c>
    </row>
    <row r="8815" spans="1:12" ht="11.25" customHeight="1" x14ac:dyDescent="0.2">
      <c r="A8815" s="221">
        <v>2025</v>
      </c>
      <c r="B8815" s="221">
        <v>8</v>
      </c>
      <c r="C8815" s="221">
        <v>21</v>
      </c>
      <c r="D8815" s="231">
        <f t="shared" si="1014"/>
        <v>45890</v>
      </c>
      <c r="E8815" s="233">
        <f>DATE(A8815,B8815,C8815)</f>
        <v>45890</v>
      </c>
      <c r="F8815" s="478" t="s">
        <v>1142</v>
      </c>
      <c r="G8815" s="222" t="s">
        <v>1111</v>
      </c>
      <c r="H8815" s="223"/>
      <c r="I8815" s="223"/>
      <c r="J8815" s="224" t="s">
        <v>189</v>
      </c>
      <c r="K8815" s="225">
        <v>1575</v>
      </c>
      <c r="L8815" s="225"/>
    </row>
    <row r="8816" spans="1:12" ht="11.25" customHeight="1" x14ac:dyDescent="0.2">
      <c r="A8816" s="164">
        <v>2025</v>
      </c>
      <c r="B8816" s="164">
        <v>8</v>
      </c>
      <c r="C8816" s="164">
        <v>21</v>
      </c>
      <c r="D8816" s="156">
        <f t="shared" si="1014"/>
        <v>45890</v>
      </c>
      <c r="E8816" s="235">
        <f>DATE(A8816,B8816,C8816)</f>
        <v>45890</v>
      </c>
      <c r="F8816" s="480"/>
      <c r="G8816" s="208" t="s">
        <v>1111</v>
      </c>
      <c r="J8816" s="165" t="s">
        <v>1707</v>
      </c>
      <c r="K8816" s="205"/>
      <c r="L8816" s="205">
        <v>75</v>
      </c>
    </row>
    <row r="8817" spans="1:13" ht="11.25" customHeight="1" x14ac:dyDescent="0.2">
      <c r="A8817" s="226">
        <v>2025</v>
      </c>
      <c r="B8817" s="226">
        <v>8</v>
      </c>
      <c r="C8817" s="226">
        <v>21</v>
      </c>
      <c r="D8817" s="232">
        <f t="shared" si="1014"/>
        <v>45890</v>
      </c>
      <c r="E8817" s="234">
        <f>DATE(A8817,B8817,C8817)</f>
        <v>45890</v>
      </c>
      <c r="F8817" s="479"/>
      <c r="G8817" s="227" t="s">
        <v>1111</v>
      </c>
      <c r="H8817" s="228"/>
      <c r="I8817" s="228"/>
      <c r="J8817" s="229" t="s">
        <v>55</v>
      </c>
      <c r="K8817" s="230"/>
      <c r="L8817" s="230">
        <v>1500</v>
      </c>
    </row>
    <row r="8818" spans="1:13" ht="11.25" customHeight="1" x14ac:dyDescent="0.2">
      <c r="A8818" s="280">
        <v>2025</v>
      </c>
      <c r="B8818" s="280">
        <v>8</v>
      </c>
      <c r="C8818" s="280">
        <v>21</v>
      </c>
      <c r="D8818" s="281">
        <f t="shared" si="1014"/>
        <v>45890</v>
      </c>
      <c r="E8818" s="282">
        <f t="shared" si="1017"/>
        <v>45890</v>
      </c>
      <c r="F8818" s="472" t="s">
        <v>1744</v>
      </c>
      <c r="G8818" s="283" t="s">
        <v>86</v>
      </c>
      <c r="H8818" s="284"/>
      <c r="I8818" s="284"/>
      <c r="J8818" s="285" t="s">
        <v>131</v>
      </c>
      <c r="K8818" s="286">
        <v>19358.330000000002</v>
      </c>
      <c r="L8818" s="286"/>
      <c r="M8818" s="401"/>
    </row>
    <row r="8819" spans="1:13" ht="11.25" customHeight="1" x14ac:dyDescent="0.2">
      <c r="A8819" s="287">
        <v>2025</v>
      </c>
      <c r="B8819" s="287">
        <v>8</v>
      </c>
      <c r="C8819" s="287">
        <v>21</v>
      </c>
      <c r="D8819" s="288">
        <f t="shared" si="1014"/>
        <v>45890</v>
      </c>
      <c r="E8819" s="289">
        <f t="shared" si="1017"/>
        <v>45890</v>
      </c>
      <c r="F8819" s="473"/>
      <c r="G8819" s="290" t="s">
        <v>86</v>
      </c>
      <c r="H8819" s="291"/>
      <c r="I8819" s="291"/>
      <c r="J8819" s="292" t="s">
        <v>174</v>
      </c>
      <c r="K8819" s="293"/>
      <c r="L8819" s="293">
        <f>K8818</f>
        <v>19358.330000000002</v>
      </c>
    </row>
    <row r="8820" spans="1:13" ht="11.25" customHeight="1" x14ac:dyDescent="0.2">
      <c r="A8820" s="280">
        <v>2025</v>
      </c>
      <c r="B8820" s="280">
        <v>8</v>
      </c>
      <c r="C8820" s="280">
        <v>21</v>
      </c>
      <c r="D8820" s="281">
        <f t="shared" si="1014"/>
        <v>45890</v>
      </c>
      <c r="E8820" s="282">
        <f t="shared" si="1017"/>
        <v>45890</v>
      </c>
      <c r="F8820" s="472" t="s">
        <v>1584</v>
      </c>
      <c r="G8820" s="283" t="s">
        <v>86</v>
      </c>
      <c r="H8820" s="284"/>
      <c r="I8820" s="284"/>
      <c r="J8820" s="285" t="s">
        <v>131</v>
      </c>
      <c r="K8820" s="286">
        <v>8846.15</v>
      </c>
      <c r="L8820" s="286"/>
      <c r="M8820" s="401"/>
    </row>
    <row r="8821" spans="1:13" ht="11.25" customHeight="1" x14ac:dyDescent="0.2">
      <c r="A8821" s="287">
        <v>2025</v>
      </c>
      <c r="B8821" s="287">
        <v>8</v>
      </c>
      <c r="C8821" s="287">
        <v>21</v>
      </c>
      <c r="D8821" s="288">
        <f t="shared" si="1014"/>
        <v>45890</v>
      </c>
      <c r="E8821" s="289">
        <f t="shared" si="1017"/>
        <v>45890</v>
      </c>
      <c r="F8821" s="473"/>
      <c r="G8821" s="290" t="s">
        <v>86</v>
      </c>
      <c r="H8821" s="291"/>
      <c r="I8821" s="291"/>
      <c r="J8821" s="292" t="s">
        <v>174</v>
      </c>
      <c r="K8821" s="293"/>
      <c r="L8821" s="293">
        <f>K8820</f>
        <v>8846.15</v>
      </c>
    </row>
    <row r="8822" spans="1:13" ht="11.25" customHeight="1" x14ac:dyDescent="0.2">
      <c r="A8822" s="280">
        <v>2025</v>
      </c>
      <c r="B8822" s="280">
        <v>8</v>
      </c>
      <c r="C8822" s="280">
        <v>21</v>
      </c>
      <c r="D8822" s="281">
        <f t="shared" si="1014"/>
        <v>45890</v>
      </c>
      <c r="E8822" s="282">
        <f t="shared" si="1017"/>
        <v>45890</v>
      </c>
      <c r="F8822" s="472" t="s">
        <v>1830</v>
      </c>
      <c r="G8822" s="283" t="s">
        <v>86</v>
      </c>
      <c r="H8822" s="284"/>
      <c r="I8822" s="284"/>
      <c r="J8822" s="285" t="s">
        <v>131</v>
      </c>
      <c r="K8822" s="286">
        <v>11634.615384615385</v>
      </c>
      <c r="L8822" s="286"/>
      <c r="M8822" s="401"/>
    </row>
    <row r="8823" spans="1:13" ht="11.25" customHeight="1" x14ac:dyDescent="0.2">
      <c r="A8823" s="287">
        <v>2025</v>
      </c>
      <c r="B8823" s="287">
        <v>8</v>
      </c>
      <c r="C8823" s="287">
        <v>21</v>
      </c>
      <c r="D8823" s="288">
        <f t="shared" si="1014"/>
        <v>45890</v>
      </c>
      <c r="E8823" s="289">
        <f t="shared" si="1017"/>
        <v>45890</v>
      </c>
      <c r="F8823" s="473"/>
      <c r="G8823" s="290" t="s">
        <v>86</v>
      </c>
      <c r="H8823" s="291"/>
      <c r="I8823" s="291"/>
      <c r="J8823" s="292" t="s">
        <v>174</v>
      </c>
      <c r="K8823" s="293"/>
      <c r="L8823" s="293">
        <v>11634.615384615385</v>
      </c>
    </row>
    <row r="8824" spans="1:13" ht="11.25" customHeight="1" x14ac:dyDescent="0.2">
      <c r="A8824" s="341">
        <v>2025</v>
      </c>
      <c r="B8824" s="341">
        <v>8</v>
      </c>
      <c r="C8824" s="341">
        <v>21</v>
      </c>
      <c r="D8824" s="328">
        <f t="shared" si="1014"/>
        <v>45890</v>
      </c>
      <c r="E8824" s="329">
        <f t="shared" si="1017"/>
        <v>45890</v>
      </c>
      <c r="F8824" s="474" t="s">
        <v>1767</v>
      </c>
      <c r="G8824" s="330" t="s">
        <v>86</v>
      </c>
      <c r="H8824" s="332"/>
      <c r="I8824" s="332"/>
      <c r="J8824" s="342" t="s">
        <v>67</v>
      </c>
      <c r="K8824" s="343">
        <v>3225.45</v>
      </c>
      <c r="L8824" s="343"/>
    </row>
    <row r="8825" spans="1:13" ht="11.25" customHeight="1" x14ac:dyDescent="0.2">
      <c r="A8825" s="344">
        <v>2025</v>
      </c>
      <c r="B8825" s="344">
        <v>8</v>
      </c>
      <c r="C8825" s="344">
        <v>21</v>
      </c>
      <c r="D8825" s="337">
        <f t="shared" si="1014"/>
        <v>45890</v>
      </c>
      <c r="E8825" s="338">
        <f t="shared" si="1017"/>
        <v>45890</v>
      </c>
      <c r="F8825" s="475"/>
      <c r="G8825" s="339" t="s">
        <v>86</v>
      </c>
      <c r="H8825" s="340"/>
      <c r="I8825" s="340"/>
      <c r="J8825" s="345" t="s">
        <v>174</v>
      </c>
      <c r="K8825" s="346"/>
      <c r="L8825" s="346">
        <f>K8824</f>
        <v>3225.45</v>
      </c>
    </row>
    <row r="8826" spans="1:13" ht="11.25" customHeight="1" x14ac:dyDescent="0.2">
      <c r="A8826" s="358">
        <v>2025</v>
      </c>
      <c r="B8826" s="358">
        <v>8</v>
      </c>
      <c r="C8826" s="358">
        <v>21</v>
      </c>
      <c r="D8826" s="312">
        <f t="shared" si="1014"/>
        <v>45890</v>
      </c>
      <c r="E8826" s="313">
        <f>DATE(A8826,B8826,C8826)</f>
        <v>45890</v>
      </c>
      <c r="F8826" s="482" t="s">
        <v>1627</v>
      </c>
      <c r="G8826" s="314" t="s">
        <v>86</v>
      </c>
      <c r="H8826" s="324"/>
      <c r="I8826" s="324"/>
      <c r="J8826" s="364" t="s">
        <v>1613</v>
      </c>
      <c r="K8826" s="365">
        <v>0</v>
      </c>
      <c r="L8826" s="365"/>
      <c r="M8826" s="156">
        <f>BS!$I$12</f>
        <v>0</v>
      </c>
    </row>
    <row r="8827" spans="1:13" ht="11.25" customHeight="1" x14ac:dyDescent="0.2">
      <c r="A8827" s="320">
        <v>2025</v>
      </c>
      <c r="B8827" s="320">
        <v>8</v>
      </c>
      <c r="C8827" s="320">
        <v>21</v>
      </c>
      <c r="D8827" s="323">
        <f t="shared" si="1014"/>
        <v>45890</v>
      </c>
      <c r="E8827" s="321">
        <f t="shared" ref="E8827" si="1018">DATE(A8827,B8827,C8827)</f>
        <v>45890</v>
      </c>
      <c r="F8827" s="483"/>
      <c r="G8827" s="322" t="s">
        <v>86</v>
      </c>
      <c r="H8827" s="325"/>
      <c r="I8827" s="325"/>
      <c r="J8827" s="366" t="s">
        <v>1621</v>
      </c>
      <c r="K8827" s="367"/>
      <c r="L8827" s="367">
        <f>K8826</f>
        <v>0</v>
      </c>
    </row>
    <row r="8828" spans="1:13" ht="11.25" customHeight="1" x14ac:dyDescent="0.2">
      <c r="A8828" s="358">
        <v>2025</v>
      </c>
      <c r="B8828" s="358">
        <v>8</v>
      </c>
      <c r="C8828" s="358">
        <v>21</v>
      </c>
      <c r="D8828" s="312">
        <f t="shared" si="1014"/>
        <v>45890</v>
      </c>
      <c r="E8828" s="313">
        <f>DATE(A8828,B8828,C8828)</f>
        <v>45890</v>
      </c>
      <c r="F8828" s="482" t="s">
        <v>1713</v>
      </c>
      <c r="G8828" s="314" t="s">
        <v>86</v>
      </c>
      <c r="H8828" s="324"/>
      <c r="I8828" s="324"/>
      <c r="J8828" s="364" t="s">
        <v>1622</v>
      </c>
      <c r="K8828" s="365">
        <v>176527.24300000072</v>
      </c>
      <c r="L8828" s="365"/>
      <c r="M8828" s="156">
        <f>BS!$I$15</f>
        <v>0</v>
      </c>
    </row>
    <row r="8829" spans="1:13" ht="11.25" customHeight="1" x14ac:dyDescent="0.2">
      <c r="A8829" s="320">
        <v>2025</v>
      </c>
      <c r="B8829" s="320">
        <v>8</v>
      </c>
      <c r="C8829" s="320">
        <v>21</v>
      </c>
      <c r="D8829" s="323">
        <f t="shared" si="1014"/>
        <v>45890</v>
      </c>
      <c r="E8829" s="321">
        <f t="shared" ref="E8829:E8850" si="1019">DATE(A8829,B8829,C8829)</f>
        <v>45890</v>
      </c>
      <c r="F8829" s="483"/>
      <c r="G8829" s="322" t="s">
        <v>86</v>
      </c>
      <c r="H8829" s="325"/>
      <c r="I8829" s="325"/>
      <c r="J8829" s="366" t="s">
        <v>1614</v>
      </c>
      <c r="K8829" s="367"/>
      <c r="L8829" s="367">
        <f>K8828</f>
        <v>176527.24300000072</v>
      </c>
    </row>
    <row r="8830" spans="1:13" ht="11.25" customHeight="1" x14ac:dyDescent="0.2">
      <c r="A8830" s="236">
        <v>2025</v>
      </c>
      <c r="B8830" s="236">
        <v>8</v>
      </c>
      <c r="C8830" s="236">
        <v>21</v>
      </c>
      <c r="D8830" s="237">
        <f t="shared" si="1014"/>
        <v>45890</v>
      </c>
      <c r="E8830" s="238">
        <f t="shared" si="1019"/>
        <v>45890</v>
      </c>
      <c r="F8830" s="476" t="s">
        <v>1118</v>
      </c>
      <c r="G8830" s="239" t="s">
        <v>86</v>
      </c>
      <c r="H8830" s="239"/>
      <c r="I8830" s="240"/>
      <c r="J8830" s="241" t="s">
        <v>98</v>
      </c>
      <c r="K8830" s="242">
        <v>49145.770999968052</v>
      </c>
      <c r="L8830" s="242"/>
      <c r="M8830" s="156">
        <f>BS!$I$8</f>
        <v>0</v>
      </c>
    </row>
    <row r="8831" spans="1:13" ht="11.25" customHeight="1" x14ac:dyDescent="0.2">
      <c r="A8831" s="243">
        <v>2025</v>
      </c>
      <c r="B8831" s="243">
        <v>8</v>
      </c>
      <c r="C8831" s="243">
        <v>21</v>
      </c>
      <c r="D8831" s="248">
        <f t="shared" si="1014"/>
        <v>45890</v>
      </c>
      <c r="E8831" s="249">
        <f t="shared" si="1019"/>
        <v>45890</v>
      </c>
      <c r="F8831" s="477"/>
      <c r="G8831" s="244" t="s">
        <v>86</v>
      </c>
      <c r="H8831" s="244"/>
      <c r="I8831" s="245"/>
      <c r="J8831" s="246" t="s">
        <v>82</v>
      </c>
      <c r="K8831" s="247"/>
      <c r="L8831" s="247">
        <f>K8830</f>
        <v>49145.770999968052</v>
      </c>
    </row>
    <row r="8832" spans="1:13" ht="11.25" customHeight="1" x14ac:dyDescent="0.2">
      <c r="A8832" s="236">
        <v>2025</v>
      </c>
      <c r="B8832" s="236">
        <v>8</v>
      </c>
      <c r="C8832" s="236">
        <v>21</v>
      </c>
      <c r="D8832" s="237">
        <f t="shared" si="1014"/>
        <v>45890</v>
      </c>
      <c r="E8832" s="238">
        <f t="shared" si="1019"/>
        <v>45890</v>
      </c>
      <c r="F8832" s="476" t="s">
        <v>1120</v>
      </c>
      <c r="G8832" s="239" t="s">
        <v>86</v>
      </c>
      <c r="H8832" s="239"/>
      <c r="I8832" s="240"/>
      <c r="J8832" s="241" t="s">
        <v>87</v>
      </c>
      <c r="K8832" s="242">
        <v>2747.2527472527472</v>
      </c>
      <c r="L8832" s="242"/>
      <c r="M8832" s="401"/>
    </row>
    <row r="8833" spans="1:14" ht="11.25" customHeight="1" x14ac:dyDescent="0.2">
      <c r="A8833" s="243">
        <v>2025</v>
      </c>
      <c r="B8833" s="243">
        <v>8</v>
      </c>
      <c r="C8833" s="243">
        <v>21</v>
      </c>
      <c r="D8833" s="248">
        <f t="shared" si="1014"/>
        <v>45890</v>
      </c>
      <c r="E8833" s="249">
        <f t="shared" si="1019"/>
        <v>45890</v>
      </c>
      <c r="F8833" s="477"/>
      <c r="G8833" s="244" t="s">
        <v>86</v>
      </c>
      <c r="H8833" s="244"/>
      <c r="I8833" s="245"/>
      <c r="J8833" s="246" t="s">
        <v>64</v>
      </c>
      <c r="K8833" s="247"/>
      <c r="L8833" s="247">
        <f>K8832</f>
        <v>2747.2527472527472</v>
      </c>
    </row>
    <row r="8834" spans="1:14" ht="11.25" customHeight="1" x14ac:dyDescent="0.2">
      <c r="A8834" s="236">
        <v>2025</v>
      </c>
      <c r="B8834" s="236">
        <v>8</v>
      </c>
      <c r="C8834" s="236">
        <v>21</v>
      </c>
      <c r="D8834" s="237">
        <f t="shared" si="1014"/>
        <v>45890</v>
      </c>
      <c r="E8834" s="238">
        <f t="shared" si="1019"/>
        <v>45890</v>
      </c>
      <c r="F8834" s="476" t="s">
        <v>1121</v>
      </c>
      <c r="G8834" s="239" t="s">
        <v>86</v>
      </c>
      <c r="H8834" s="239"/>
      <c r="I8834" s="240"/>
      <c r="J8834" s="241" t="s">
        <v>89</v>
      </c>
      <c r="K8834" s="242">
        <f>M8834</f>
        <v>82154.44292253883</v>
      </c>
      <c r="L8834" s="242"/>
      <c r="M8834" s="156">
        <v>82154.44292253883</v>
      </c>
    </row>
    <row r="8835" spans="1:14" ht="11.25" customHeight="1" x14ac:dyDescent="0.2">
      <c r="A8835" s="243">
        <v>2025</v>
      </c>
      <c r="B8835" s="243">
        <v>8</v>
      </c>
      <c r="C8835" s="243">
        <v>21</v>
      </c>
      <c r="D8835" s="248">
        <f t="shared" si="1014"/>
        <v>45890</v>
      </c>
      <c r="E8835" s="249">
        <f t="shared" si="1019"/>
        <v>45890</v>
      </c>
      <c r="F8835" s="477"/>
      <c r="G8835" s="244" t="s">
        <v>86</v>
      </c>
      <c r="H8835" s="244"/>
      <c r="I8835" s="245"/>
      <c r="J8835" s="246" t="s">
        <v>50</v>
      </c>
      <c r="K8835" s="247"/>
      <c r="L8835" s="247">
        <f>K8834</f>
        <v>82154.44292253883</v>
      </c>
      <c r="M8835" s="156">
        <v>3867.3375307423257</v>
      </c>
    </row>
    <row r="8836" spans="1:14" ht="11.25" customHeight="1" x14ac:dyDescent="0.2">
      <c r="A8836" s="236">
        <v>2025</v>
      </c>
      <c r="B8836" s="236">
        <v>8</v>
      </c>
      <c r="C8836" s="236">
        <v>21</v>
      </c>
      <c r="D8836" s="237">
        <f t="shared" si="1014"/>
        <v>45890</v>
      </c>
      <c r="E8836" s="238">
        <f t="shared" si="1019"/>
        <v>45890</v>
      </c>
      <c r="F8836" s="476" t="s">
        <v>1122</v>
      </c>
      <c r="G8836" s="239" t="s">
        <v>86</v>
      </c>
      <c r="H8836" s="239"/>
      <c r="I8836" s="240"/>
      <c r="J8836" s="241" t="s">
        <v>91</v>
      </c>
      <c r="K8836" s="242">
        <f>M8835</f>
        <v>3867.3375307423257</v>
      </c>
      <c r="L8836" s="242"/>
    </row>
    <row r="8837" spans="1:14" ht="11.25" customHeight="1" x14ac:dyDescent="0.2">
      <c r="A8837" s="243">
        <v>2025</v>
      </c>
      <c r="B8837" s="243">
        <v>8</v>
      </c>
      <c r="C8837" s="243">
        <v>21</v>
      </c>
      <c r="D8837" s="248">
        <f t="shared" si="1014"/>
        <v>45890</v>
      </c>
      <c r="E8837" s="249">
        <f t="shared" si="1019"/>
        <v>45890</v>
      </c>
      <c r="F8837" s="477"/>
      <c r="G8837" s="244" t="s">
        <v>86</v>
      </c>
      <c r="H8837" s="244"/>
      <c r="I8837" s="245"/>
      <c r="J8837" s="246" t="s">
        <v>51</v>
      </c>
      <c r="K8837" s="247"/>
      <c r="L8837" s="247">
        <f>K8836</f>
        <v>3867.3375307423257</v>
      </c>
    </row>
    <row r="8838" spans="1:14" ht="11.25" customHeight="1" x14ac:dyDescent="0.2">
      <c r="A8838" s="221">
        <v>2025</v>
      </c>
      <c r="B8838" s="221">
        <v>8</v>
      </c>
      <c r="C8838" s="221">
        <v>24</v>
      </c>
      <c r="D8838" s="221">
        <f t="shared" si="1014"/>
        <v>45893</v>
      </c>
      <c r="E8838" s="233">
        <f t="shared" si="1019"/>
        <v>45893</v>
      </c>
      <c r="F8838" s="478" t="s">
        <v>1936</v>
      </c>
      <c r="G8838" s="222" t="s">
        <v>86</v>
      </c>
      <c r="H8838" s="222"/>
      <c r="I8838" s="223"/>
      <c r="J8838" s="224" t="s">
        <v>80</v>
      </c>
      <c r="K8838" s="225">
        <v>896600</v>
      </c>
      <c r="L8838" s="225"/>
    </row>
    <row r="8839" spans="1:14" ht="11.25" customHeight="1" x14ac:dyDescent="0.2">
      <c r="A8839" s="164">
        <v>2025</v>
      </c>
      <c r="B8839" s="164">
        <v>8</v>
      </c>
      <c r="C8839" s="164">
        <v>24</v>
      </c>
      <c r="D8839" s="164">
        <f t="shared" si="1014"/>
        <v>45893</v>
      </c>
      <c r="E8839" s="235">
        <f t="shared" si="1019"/>
        <v>45893</v>
      </c>
      <c r="F8839" s="480"/>
      <c r="G8839" s="208" t="s">
        <v>86</v>
      </c>
      <c r="H8839" s="208"/>
      <c r="J8839" s="165" t="s">
        <v>960</v>
      </c>
      <c r="K8839" s="205">
        <v>1613.88</v>
      </c>
      <c r="L8839" s="205"/>
    </row>
    <row r="8840" spans="1:14" ht="11.25" customHeight="1" x14ac:dyDescent="0.2">
      <c r="A8840" s="226">
        <v>2025</v>
      </c>
      <c r="B8840" s="226">
        <v>8</v>
      </c>
      <c r="C8840" s="226">
        <v>24</v>
      </c>
      <c r="D8840" s="226">
        <f t="shared" si="1014"/>
        <v>45893</v>
      </c>
      <c r="E8840" s="234">
        <f t="shared" si="1019"/>
        <v>45893</v>
      </c>
      <c r="F8840" s="479"/>
      <c r="G8840" s="227" t="s">
        <v>86</v>
      </c>
      <c r="H8840" s="227"/>
      <c r="I8840" s="228"/>
      <c r="J8840" s="229" t="s">
        <v>143</v>
      </c>
      <c r="K8840" s="230"/>
      <c r="L8840" s="230">
        <v>898213.88</v>
      </c>
    </row>
    <row r="8841" spans="1:14" ht="11.25" customHeight="1" x14ac:dyDescent="0.2">
      <c r="A8841" s="221">
        <v>2025</v>
      </c>
      <c r="B8841" s="221">
        <v>8</v>
      </c>
      <c r="C8841" s="221">
        <v>24</v>
      </c>
      <c r="D8841" s="221">
        <f t="shared" ref="D8841:D8904" si="1020">DATE(A8841,B8841,C8841)</f>
        <v>45893</v>
      </c>
      <c r="E8841" s="233">
        <f t="shared" si="1019"/>
        <v>45893</v>
      </c>
      <c r="F8841" s="478" t="s">
        <v>1886</v>
      </c>
      <c r="G8841" s="222" t="s">
        <v>86</v>
      </c>
      <c r="H8841" s="222"/>
      <c r="I8841" s="223"/>
      <c r="J8841" s="224" t="s">
        <v>80</v>
      </c>
      <c r="K8841" s="225">
        <v>410000</v>
      </c>
      <c r="L8841" s="225"/>
      <c r="N8841" s="263"/>
    </row>
    <row r="8842" spans="1:14" ht="11.25" customHeight="1" x14ac:dyDescent="0.2">
      <c r="A8842" s="164">
        <v>2025</v>
      </c>
      <c r="B8842" s="164">
        <v>8</v>
      </c>
      <c r="C8842" s="164">
        <v>24</v>
      </c>
      <c r="D8842" s="164">
        <f t="shared" si="1020"/>
        <v>45893</v>
      </c>
      <c r="E8842" s="235">
        <f t="shared" si="1019"/>
        <v>45893</v>
      </c>
      <c r="F8842" s="480"/>
      <c r="G8842" s="208" t="s">
        <v>86</v>
      </c>
      <c r="H8842" s="208"/>
      <c r="J8842" s="165" t="s">
        <v>960</v>
      </c>
      <c r="K8842" s="205">
        <v>1583.54</v>
      </c>
      <c r="L8842" s="205"/>
      <c r="M8842" s="263"/>
      <c r="N8842" s="263"/>
    </row>
    <row r="8843" spans="1:14" ht="11.25" customHeight="1" x14ac:dyDescent="0.2">
      <c r="A8843" s="164">
        <v>2025</v>
      </c>
      <c r="B8843" s="164">
        <v>8</v>
      </c>
      <c r="C8843" s="164">
        <v>24</v>
      </c>
      <c r="D8843" s="164">
        <f t="shared" si="1020"/>
        <v>45893</v>
      </c>
      <c r="E8843" s="235">
        <f t="shared" si="1019"/>
        <v>45893</v>
      </c>
      <c r="F8843" s="480"/>
      <c r="G8843" s="208" t="s">
        <v>86</v>
      </c>
      <c r="H8843" s="208"/>
      <c r="J8843" s="165" t="s">
        <v>199</v>
      </c>
      <c r="K8843" s="205">
        <v>58160.76</v>
      </c>
      <c r="L8843" s="205"/>
      <c r="M8843" s="263"/>
    </row>
    <row r="8844" spans="1:14" ht="11.25" customHeight="1" x14ac:dyDescent="0.2">
      <c r="A8844" s="164">
        <v>2025</v>
      </c>
      <c r="B8844" s="164">
        <v>8</v>
      </c>
      <c r="C8844" s="164">
        <v>24</v>
      </c>
      <c r="D8844" s="164">
        <f t="shared" si="1020"/>
        <v>45893</v>
      </c>
      <c r="E8844" s="235">
        <f t="shared" si="1019"/>
        <v>45893</v>
      </c>
      <c r="F8844" s="480"/>
      <c r="G8844" s="208" t="s">
        <v>86</v>
      </c>
      <c r="H8844" s="208"/>
      <c r="J8844" s="165" t="s">
        <v>200</v>
      </c>
      <c r="K8844" s="205"/>
      <c r="L8844" s="205">
        <v>118019.86</v>
      </c>
      <c r="M8844" s="263"/>
    </row>
    <row r="8845" spans="1:14" ht="11.25" customHeight="1" x14ac:dyDescent="0.2">
      <c r="A8845" s="226">
        <v>2025</v>
      </c>
      <c r="B8845" s="226">
        <v>8</v>
      </c>
      <c r="C8845" s="226">
        <v>24</v>
      </c>
      <c r="D8845" s="226">
        <f t="shared" si="1020"/>
        <v>45893</v>
      </c>
      <c r="E8845" s="234">
        <f t="shared" si="1019"/>
        <v>45893</v>
      </c>
      <c r="F8845" s="479"/>
      <c r="G8845" s="227" t="s">
        <v>86</v>
      </c>
      <c r="H8845" s="228"/>
      <c r="I8845" s="228"/>
      <c r="J8845" s="229" t="s">
        <v>80</v>
      </c>
      <c r="K8845" s="230"/>
      <c r="L8845" s="230">
        <v>351724.44</v>
      </c>
      <c r="M8845" s="263"/>
    </row>
    <row r="8846" spans="1:14" ht="11.25" customHeight="1" x14ac:dyDescent="0.2">
      <c r="A8846" s="221">
        <v>2025</v>
      </c>
      <c r="B8846" s="221">
        <v>8</v>
      </c>
      <c r="C8846" s="221">
        <v>24</v>
      </c>
      <c r="D8846" s="231">
        <f t="shared" si="1020"/>
        <v>45893</v>
      </c>
      <c r="E8846" s="233">
        <f t="shared" si="1019"/>
        <v>45893</v>
      </c>
      <c r="F8846" s="478" t="s">
        <v>1934</v>
      </c>
      <c r="G8846" s="222" t="s">
        <v>1111</v>
      </c>
      <c r="H8846" s="222"/>
      <c r="I8846" s="223"/>
      <c r="J8846" s="224" t="s">
        <v>55</v>
      </c>
      <c r="K8846" s="225">
        <v>3057682.97</v>
      </c>
      <c r="L8846" s="225"/>
    </row>
    <row r="8847" spans="1:14" ht="11.25" customHeight="1" x14ac:dyDescent="0.2">
      <c r="A8847" s="164">
        <v>2025</v>
      </c>
      <c r="B8847" s="164">
        <v>8</v>
      </c>
      <c r="C8847" s="164">
        <v>24</v>
      </c>
      <c r="D8847" s="164">
        <f t="shared" si="1020"/>
        <v>45893</v>
      </c>
      <c r="E8847" s="235">
        <f t="shared" si="1019"/>
        <v>45893</v>
      </c>
      <c r="F8847" s="480"/>
      <c r="G8847" s="208" t="s">
        <v>1111</v>
      </c>
      <c r="H8847" s="208"/>
      <c r="J8847" s="165" t="s">
        <v>1618</v>
      </c>
      <c r="K8847" s="263"/>
      <c r="L8847" s="205">
        <v>203789.61</v>
      </c>
    </row>
    <row r="8848" spans="1:14" ht="11.25" customHeight="1" x14ac:dyDescent="0.2">
      <c r="A8848" s="226">
        <v>2025</v>
      </c>
      <c r="B8848" s="226">
        <v>8</v>
      </c>
      <c r="C8848" s="226">
        <v>24</v>
      </c>
      <c r="D8848" s="226">
        <f t="shared" si="1020"/>
        <v>45893</v>
      </c>
      <c r="E8848" s="234">
        <f t="shared" si="1019"/>
        <v>45893</v>
      </c>
      <c r="F8848" s="479"/>
      <c r="G8848" s="227" t="s">
        <v>1111</v>
      </c>
      <c r="H8848" s="227"/>
      <c r="I8848" s="228"/>
      <c r="J8848" s="229" t="s">
        <v>1615</v>
      </c>
      <c r="K8848" s="294"/>
      <c r="L8848" s="230">
        <v>2853893.36</v>
      </c>
    </row>
    <row r="8849" spans="1:14" ht="11.25" customHeight="1" x14ac:dyDescent="0.2">
      <c r="A8849" s="221">
        <v>2025</v>
      </c>
      <c r="B8849" s="221">
        <v>8</v>
      </c>
      <c r="C8849" s="221">
        <v>24</v>
      </c>
      <c r="D8849" s="231">
        <f t="shared" si="1020"/>
        <v>45893</v>
      </c>
      <c r="E8849" s="233">
        <f t="shared" si="1019"/>
        <v>45893</v>
      </c>
      <c r="F8849" s="478" t="s">
        <v>1940</v>
      </c>
      <c r="G8849" s="222" t="s">
        <v>1111</v>
      </c>
      <c r="H8849" s="223"/>
      <c r="I8849" s="223"/>
      <c r="J8849" s="224" t="s">
        <v>961</v>
      </c>
      <c r="K8849" s="225">
        <v>705617.83</v>
      </c>
      <c r="L8849" s="225"/>
    </row>
    <row r="8850" spans="1:14" ht="11.25" customHeight="1" x14ac:dyDescent="0.2">
      <c r="A8850" s="226">
        <v>2025</v>
      </c>
      <c r="B8850" s="226">
        <v>8</v>
      </c>
      <c r="C8850" s="226">
        <v>24</v>
      </c>
      <c r="D8850" s="232">
        <f t="shared" si="1020"/>
        <v>45893</v>
      </c>
      <c r="E8850" s="234">
        <f t="shared" si="1019"/>
        <v>45893</v>
      </c>
      <c r="F8850" s="479"/>
      <c r="G8850" s="227" t="s">
        <v>1111</v>
      </c>
      <c r="H8850" s="228"/>
      <c r="I8850" s="228"/>
      <c r="J8850" s="229" t="s">
        <v>55</v>
      </c>
      <c r="K8850" s="230"/>
      <c r="L8850" s="230">
        <f>K8849</f>
        <v>705617.83</v>
      </c>
    </row>
    <row r="8851" spans="1:14" ht="11.25" customHeight="1" x14ac:dyDescent="0.2">
      <c r="A8851" s="221">
        <v>2025</v>
      </c>
      <c r="B8851" s="221">
        <v>8</v>
      </c>
      <c r="C8851" s="221">
        <v>24</v>
      </c>
      <c r="D8851" s="221">
        <f t="shared" si="1020"/>
        <v>45893</v>
      </c>
      <c r="E8851" s="233">
        <f t="shared" ref="E8851:E8853" si="1021">DATE(A8851,B8851,C8851)</f>
        <v>45893</v>
      </c>
      <c r="F8851" s="478" t="s">
        <v>1938</v>
      </c>
      <c r="G8851" s="222" t="s">
        <v>1111</v>
      </c>
      <c r="H8851" s="222"/>
      <c r="I8851" s="223"/>
      <c r="J8851" s="224" t="s">
        <v>50</v>
      </c>
      <c r="K8851" s="225">
        <f>L8853/0.85</f>
        <v>108599.41176470589</v>
      </c>
      <c r="L8851" s="225"/>
    </row>
    <row r="8852" spans="1:14" ht="11.25" customHeight="1" x14ac:dyDescent="0.2">
      <c r="A8852" s="164">
        <v>2025</v>
      </c>
      <c r="B8852" s="164">
        <v>8</v>
      </c>
      <c r="C8852" s="164">
        <v>24</v>
      </c>
      <c r="D8852" s="156">
        <f t="shared" si="1020"/>
        <v>45893</v>
      </c>
      <c r="E8852" s="235">
        <f t="shared" si="1021"/>
        <v>45893</v>
      </c>
      <c r="F8852" s="480"/>
      <c r="G8852" s="208" t="s">
        <v>1111</v>
      </c>
      <c r="J8852" s="165" t="s">
        <v>478</v>
      </c>
      <c r="K8852" s="205"/>
      <c r="L8852" s="205">
        <f>K8851*0.15</f>
        <v>16289.911764705883</v>
      </c>
    </row>
    <row r="8853" spans="1:14" ht="11.25" customHeight="1" x14ac:dyDescent="0.2">
      <c r="A8853" s="226">
        <v>2025</v>
      </c>
      <c r="B8853" s="226">
        <v>8</v>
      </c>
      <c r="C8853" s="226">
        <v>24</v>
      </c>
      <c r="D8853" s="226">
        <f t="shared" si="1020"/>
        <v>45893</v>
      </c>
      <c r="E8853" s="234">
        <f t="shared" si="1021"/>
        <v>45893</v>
      </c>
      <c r="F8853" s="479"/>
      <c r="G8853" s="227" t="s">
        <v>1111</v>
      </c>
      <c r="H8853" s="227"/>
      <c r="I8853" s="228"/>
      <c r="J8853" s="229" t="s">
        <v>55</v>
      </c>
      <c r="K8853" s="230"/>
      <c r="L8853" s="230">
        <v>92309.5</v>
      </c>
    </row>
    <row r="8854" spans="1:14" ht="11.25" customHeight="1" x14ac:dyDescent="0.2">
      <c r="A8854" s="221">
        <v>2025</v>
      </c>
      <c r="B8854" s="221">
        <v>8</v>
      </c>
      <c r="C8854" s="221">
        <v>24</v>
      </c>
      <c r="D8854" s="221">
        <f t="shared" si="1020"/>
        <v>45893</v>
      </c>
      <c r="E8854" s="233">
        <f t="shared" ref="E8854:E8869" si="1022">DATE(A8854,B8854,C8854)</f>
        <v>45893</v>
      </c>
      <c r="F8854" s="478" t="s">
        <v>1939</v>
      </c>
      <c r="G8854" s="222" t="s">
        <v>1111</v>
      </c>
      <c r="H8854" s="222"/>
      <c r="I8854" s="223"/>
      <c r="J8854" s="224" t="s">
        <v>50</v>
      </c>
      <c r="K8854" s="225">
        <f>L8856/0.85</f>
        <v>600000</v>
      </c>
      <c r="L8854" s="225"/>
    </row>
    <row r="8855" spans="1:14" ht="11.25" customHeight="1" x14ac:dyDescent="0.2">
      <c r="A8855" s="164">
        <v>2025</v>
      </c>
      <c r="B8855" s="164">
        <v>8</v>
      </c>
      <c r="C8855" s="164">
        <v>24</v>
      </c>
      <c r="D8855" s="156">
        <f t="shared" si="1020"/>
        <v>45893</v>
      </c>
      <c r="E8855" s="235">
        <f t="shared" si="1022"/>
        <v>45893</v>
      </c>
      <c r="F8855" s="480"/>
      <c r="G8855" s="208" t="s">
        <v>1111</v>
      </c>
      <c r="J8855" s="165" t="s">
        <v>478</v>
      </c>
      <c r="K8855" s="205"/>
      <c r="L8855" s="205">
        <f>K8854*0.15</f>
        <v>90000</v>
      </c>
    </row>
    <row r="8856" spans="1:14" ht="11.25" customHeight="1" x14ac:dyDescent="0.2">
      <c r="A8856" s="226">
        <v>2025</v>
      </c>
      <c r="B8856" s="226">
        <v>8</v>
      </c>
      <c r="C8856" s="226">
        <v>24</v>
      </c>
      <c r="D8856" s="226">
        <f t="shared" si="1020"/>
        <v>45893</v>
      </c>
      <c r="E8856" s="234">
        <f t="shared" si="1022"/>
        <v>45893</v>
      </c>
      <c r="F8856" s="479"/>
      <c r="G8856" s="227" t="s">
        <v>1111</v>
      </c>
      <c r="H8856" s="227"/>
      <c r="I8856" s="228"/>
      <c r="J8856" s="229" t="s">
        <v>55</v>
      </c>
      <c r="K8856" s="230"/>
      <c r="L8856" s="230">
        <v>510000</v>
      </c>
    </row>
    <row r="8857" spans="1:14" ht="11.25" customHeight="1" x14ac:dyDescent="0.2">
      <c r="A8857" s="221">
        <v>2025</v>
      </c>
      <c r="B8857" s="221">
        <v>8</v>
      </c>
      <c r="C8857" s="221">
        <v>25</v>
      </c>
      <c r="D8857" s="221">
        <f t="shared" si="1020"/>
        <v>45894</v>
      </c>
      <c r="E8857" s="233">
        <f t="shared" ref="E8857:E8864" si="1023">DATE(A8857,B8857,C8857)</f>
        <v>45894</v>
      </c>
      <c r="F8857" s="478" t="s">
        <v>1936</v>
      </c>
      <c r="G8857" s="222" t="s">
        <v>86</v>
      </c>
      <c r="H8857" s="222"/>
      <c r="I8857" s="223"/>
      <c r="J8857" s="224" t="s">
        <v>80</v>
      </c>
      <c r="K8857" s="225">
        <v>2269250.4</v>
      </c>
      <c r="L8857" s="225"/>
    </row>
    <row r="8858" spans="1:14" ht="11.25" customHeight="1" x14ac:dyDescent="0.2">
      <c r="A8858" s="164">
        <v>2025</v>
      </c>
      <c r="B8858" s="164">
        <v>8</v>
      </c>
      <c r="C8858" s="164">
        <v>25</v>
      </c>
      <c r="D8858" s="164">
        <f t="shared" si="1020"/>
        <v>45894</v>
      </c>
      <c r="E8858" s="235">
        <f t="shared" si="1023"/>
        <v>45894</v>
      </c>
      <c r="F8858" s="480"/>
      <c r="G8858" s="208" t="s">
        <v>86</v>
      </c>
      <c r="H8858" s="208"/>
      <c r="J8858" s="165" t="s">
        <v>960</v>
      </c>
      <c r="K8858" s="205">
        <v>4084.65</v>
      </c>
      <c r="L8858" s="205"/>
    </row>
    <row r="8859" spans="1:14" ht="11.25" customHeight="1" x14ac:dyDescent="0.2">
      <c r="A8859" s="226">
        <v>2025</v>
      </c>
      <c r="B8859" s="226">
        <v>8</v>
      </c>
      <c r="C8859" s="226">
        <v>25</v>
      </c>
      <c r="D8859" s="226">
        <f t="shared" si="1020"/>
        <v>45894</v>
      </c>
      <c r="E8859" s="234">
        <f t="shared" si="1023"/>
        <v>45894</v>
      </c>
      <c r="F8859" s="479"/>
      <c r="G8859" s="227" t="s">
        <v>86</v>
      </c>
      <c r="H8859" s="227"/>
      <c r="I8859" s="228"/>
      <c r="J8859" s="229" t="s">
        <v>143</v>
      </c>
      <c r="K8859" s="230"/>
      <c r="L8859" s="230">
        <v>2273335.0499999998</v>
      </c>
    </row>
    <row r="8860" spans="1:14" ht="11.25" customHeight="1" x14ac:dyDescent="0.2">
      <c r="A8860" s="221">
        <v>2025</v>
      </c>
      <c r="B8860" s="221">
        <v>8</v>
      </c>
      <c r="C8860" s="221">
        <v>25</v>
      </c>
      <c r="D8860" s="221">
        <f t="shared" si="1020"/>
        <v>45894</v>
      </c>
      <c r="E8860" s="233">
        <f t="shared" si="1023"/>
        <v>45894</v>
      </c>
      <c r="F8860" s="478" t="s">
        <v>1769</v>
      </c>
      <c r="G8860" s="222" t="s">
        <v>86</v>
      </c>
      <c r="H8860" s="222"/>
      <c r="I8860" s="223"/>
      <c r="J8860" s="224" t="s">
        <v>80</v>
      </c>
      <c r="K8860" s="225">
        <v>458300</v>
      </c>
      <c r="L8860" s="225"/>
      <c r="N8860" s="263"/>
    </row>
    <row r="8861" spans="1:14" ht="11.25" customHeight="1" x14ac:dyDescent="0.2">
      <c r="A8861" s="164">
        <v>2025</v>
      </c>
      <c r="B8861" s="164">
        <v>8</v>
      </c>
      <c r="C8861" s="164">
        <v>25</v>
      </c>
      <c r="D8861" s="164">
        <f t="shared" si="1020"/>
        <v>45894</v>
      </c>
      <c r="E8861" s="235">
        <f t="shared" si="1023"/>
        <v>45894</v>
      </c>
      <c r="F8861" s="480"/>
      <c r="G8861" s="208" t="s">
        <v>86</v>
      </c>
      <c r="H8861" s="208"/>
      <c r="J8861" s="165" t="s">
        <v>960</v>
      </c>
      <c r="K8861" s="205">
        <v>1073.7</v>
      </c>
      <c r="L8861" s="205"/>
      <c r="M8861" s="263"/>
      <c r="N8861" s="263"/>
    </row>
    <row r="8862" spans="1:14" ht="11.25" customHeight="1" x14ac:dyDescent="0.2">
      <c r="A8862" s="164">
        <v>2025</v>
      </c>
      <c r="B8862" s="164">
        <v>8</v>
      </c>
      <c r="C8862" s="164">
        <v>25</v>
      </c>
      <c r="D8862" s="164">
        <f t="shared" si="1020"/>
        <v>45894</v>
      </c>
      <c r="E8862" s="235">
        <f t="shared" si="1023"/>
        <v>45894</v>
      </c>
      <c r="F8862" s="480"/>
      <c r="G8862" s="208" t="s">
        <v>86</v>
      </c>
      <c r="H8862" s="208"/>
      <c r="J8862" s="165" t="s">
        <v>143</v>
      </c>
      <c r="K8862" s="156"/>
      <c r="L8862" s="205">
        <v>321173.7</v>
      </c>
      <c r="M8862" s="263"/>
    </row>
    <row r="8863" spans="1:14" ht="11.25" customHeight="1" x14ac:dyDescent="0.2">
      <c r="A8863" s="164">
        <v>2025</v>
      </c>
      <c r="B8863" s="164">
        <v>8</v>
      </c>
      <c r="C8863" s="164">
        <v>25</v>
      </c>
      <c r="D8863" s="164">
        <f t="shared" si="1020"/>
        <v>45894</v>
      </c>
      <c r="E8863" s="235">
        <f t="shared" si="1023"/>
        <v>45894</v>
      </c>
      <c r="F8863" s="480"/>
      <c r="G8863" s="208" t="s">
        <v>86</v>
      </c>
      <c r="H8863" s="208"/>
      <c r="J8863" s="165" t="s">
        <v>200</v>
      </c>
      <c r="K8863" s="205"/>
      <c r="L8863" s="205">
        <v>35044.720000000001</v>
      </c>
      <c r="M8863" s="263"/>
    </row>
    <row r="8864" spans="1:14" ht="11.25" customHeight="1" x14ac:dyDescent="0.2">
      <c r="A8864" s="226">
        <v>2025</v>
      </c>
      <c r="B8864" s="226">
        <v>8</v>
      </c>
      <c r="C8864" s="226">
        <v>25</v>
      </c>
      <c r="D8864" s="226">
        <f t="shared" si="1020"/>
        <v>45894</v>
      </c>
      <c r="E8864" s="234">
        <f t="shared" si="1023"/>
        <v>45894</v>
      </c>
      <c r="F8864" s="479"/>
      <c r="G8864" s="227" t="s">
        <v>86</v>
      </c>
      <c r="H8864" s="228"/>
      <c r="I8864" s="228"/>
      <c r="J8864" s="229" t="s">
        <v>80</v>
      </c>
      <c r="K8864" s="230"/>
      <c r="L8864" s="230">
        <v>103155.28</v>
      </c>
      <c r="M8864" s="263"/>
    </row>
    <row r="8865" spans="1:14" ht="11.25" customHeight="1" x14ac:dyDescent="0.2">
      <c r="A8865" s="221">
        <v>2025</v>
      </c>
      <c r="B8865" s="221">
        <v>8</v>
      </c>
      <c r="C8865" s="221">
        <v>25</v>
      </c>
      <c r="D8865" s="231">
        <f t="shared" si="1020"/>
        <v>45894</v>
      </c>
      <c r="E8865" s="233">
        <f t="shared" si="1022"/>
        <v>45894</v>
      </c>
      <c r="F8865" s="478" t="s">
        <v>1940</v>
      </c>
      <c r="G8865" s="222" t="s">
        <v>1111</v>
      </c>
      <c r="H8865" s="223"/>
      <c r="I8865" s="223"/>
      <c r="J8865" s="224" t="s">
        <v>961</v>
      </c>
      <c r="K8865" s="225">
        <v>898213.88</v>
      </c>
      <c r="L8865" s="225"/>
    </row>
    <row r="8866" spans="1:14" ht="11.25" customHeight="1" x14ac:dyDescent="0.2">
      <c r="A8866" s="226">
        <v>2025</v>
      </c>
      <c r="B8866" s="226">
        <v>8</v>
      </c>
      <c r="C8866" s="226">
        <v>25</v>
      </c>
      <c r="D8866" s="232">
        <f t="shared" si="1020"/>
        <v>45894</v>
      </c>
      <c r="E8866" s="234">
        <f t="shared" si="1022"/>
        <v>45894</v>
      </c>
      <c r="F8866" s="479"/>
      <c r="G8866" s="227" t="s">
        <v>1111</v>
      </c>
      <c r="H8866" s="228"/>
      <c r="I8866" s="228"/>
      <c r="J8866" s="229" t="s">
        <v>55</v>
      </c>
      <c r="K8866" s="230"/>
      <c r="L8866" s="230">
        <f>K8865</f>
        <v>898213.88</v>
      </c>
    </row>
    <row r="8867" spans="1:14" ht="11.25" customHeight="1" x14ac:dyDescent="0.2">
      <c r="A8867" s="221">
        <v>2025</v>
      </c>
      <c r="B8867" s="221">
        <v>8</v>
      </c>
      <c r="C8867" s="221">
        <v>25</v>
      </c>
      <c r="D8867" s="231">
        <f t="shared" si="1020"/>
        <v>45894</v>
      </c>
      <c r="E8867" s="233">
        <f t="shared" si="1022"/>
        <v>45894</v>
      </c>
      <c r="F8867" s="478" t="s">
        <v>1941</v>
      </c>
      <c r="G8867" s="222" t="s">
        <v>1111</v>
      </c>
      <c r="H8867" s="222"/>
      <c r="I8867" s="223"/>
      <c r="J8867" s="224" t="s">
        <v>55</v>
      </c>
      <c r="K8867" s="225">
        <v>1019783.44</v>
      </c>
      <c r="L8867" s="225"/>
    </row>
    <row r="8868" spans="1:14" ht="11.25" customHeight="1" x14ac:dyDescent="0.2">
      <c r="A8868" s="164">
        <v>2025</v>
      </c>
      <c r="B8868" s="164">
        <v>8</v>
      </c>
      <c r="C8868" s="164">
        <v>25</v>
      </c>
      <c r="D8868" s="164">
        <f t="shared" si="1020"/>
        <v>45894</v>
      </c>
      <c r="E8868" s="235">
        <f t="shared" si="1022"/>
        <v>45894</v>
      </c>
      <c r="F8868" s="480"/>
      <c r="G8868" s="208" t="s">
        <v>1111</v>
      </c>
      <c r="H8868" s="208"/>
      <c r="J8868" s="165" t="s">
        <v>1618</v>
      </c>
      <c r="K8868" s="263"/>
      <c r="L8868" s="205">
        <v>68485.649999999907</v>
      </c>
    </row>
    <row r="8869" spans="1:14" ht="11.25" customHeight="1" x14ac:dyDescent="0.2">
      <c r="A8869" s="226">
        <v>2025</v>
      </c>
      <c r="B8869" s="226">
        <v>8</v>
      </c>
      <c r="C8869" s="226">
        <v>25</v>
      </c>
      <c r="D8869" s="226">
        <f t="shared" si="1020"/>
        <v>45894</v>
      </c>
      <c r="E8869" s="234">
        <f t="shared" si="1022"/>
        <v>45894</v>
      </c>
      <c r="F8869" s="479"/>
      <c r="G8869" s="227" t="s">
        <v>1111</v>
      </c>
      <c r="H8869" s="227"/>
      <c r="I8869" s="228"/>
      <c r="J8869" s="229" t="s">
        <v>1615</v>
      </c>
      <c r="K8869" s="294"/>
      <c r="L8869" s="230">
        <v>951297.79</v>
      </c>
    </row>
    <row r="8870" spans="1:14" ht="11.25" customHeight="1" x14ac:dyDescent="0.2">
      <c r="A8870" s="221">
        <v>2025</v>
      </c>
      <c r="B8870" s="221">
        <v>8</v>
      </c>
      <c r="C8870" s="221">
        <v>26</v>
      </c>
      <c r="D8870" s="221">
        <f t="shared" si="1020"/>
        <v>45895</v>
      </c>
      <c r="E8870" s="233">
        <f t="shared" ref="E8870:E8874" si="1024">DATE(A8870,B8870,C8870)</f>
        <v>45895</v>
      </c>
      <c r="F8870" s="478" t="s">
        <v>1937</v>
      </c>
      <c r="G8870" s="222" t="s">
        <v>86</v>
      </c>
      <c r="H8870" s="222"/>
      <c r="I8870" s="223"/>
      <c r="J8870" s="224" t="s">
        <v>80</v>
      </c>
      <c r="K8870" s="225">
        <v>2677287.2000000002</v>
      </c>
      <c r="L8870" s="225"/>
      <c r="N8870" s="263"/>
    </row>
    <row r="8871" spans="1:14" ht="11.25" customHeight="1" x14ac:dyDescent="0.2">
      <c r="A8871" s="164">
        <v>2025</v>
      </c>
      <c r="B8871" s="164">
        <v>8</v>
      </c>
      <c r="C8871" s="164">
        <v>26</v>
      </c>
      <c r="D8871" s="164">
        <f t="shared" si="1020"/>
        <v>45895</v>
      </c>
      <c r="E8871" s="235">
        <f t="shared" si="1024"/>
        <v>45895</v>
      </c>
      <c r="F8871" s="480"/>
      <c r="G8871" s="208" t="s">
        <v>86</v>
      </c>
      <c r="H8871" s="208"/>
      <c r="J8871" s="165" t="s">
        <v>960</v>
      </c>
      <c r="K8871" s="205">
        <v>5317.88</v>
      </c>
      <c r="L8871" s="205"/>
      <c r="M8871" s="263"/>
      <c r="N8871" s="263"/>
    </row>
    <row r="8872" spans="1:14" ht="11.25" customHeight="1" x14ac:dyDescent="0.2">
      <c r="A8872" s="164">
        <v>2025</v>
      </c>
      <c r="B8872" s="164">
        <v>8</v>
      </c>
      <c r="C8872" s="164">
        <v>26</v>
      </c>
      <c r="D8872" s="164">
        <f t="shared" si="1020"/>
        <v>45895</v>
      </c>
      <c r="E8872" s="235">
        <f t="shared" si="1024"/>
        <v>45895</v>
      </c>
      <c r="F8872" s="480"/>
      <c r="G8872" s="208" t="s">
        <v>86</v>
      </c>
      <c r="H8872" s="208"/>
      <c r="J8872" s="165" t="s">
        <v>143</v>
      </c>
      <c r="K8872" s="156"/>
      <c r="L8872" s="205">
        <v>2405514.08</v>
      </c>
      <c r="M8872" s="263"/>
    </row>
    <row r="8873" spans="1:14" ht="11.25" customHeight="1" x14ac:dyDescent="0.2">
      <c r="A8873" s="164">
        <v>2025</v>
      </c>
      <c r="B8873" s="164">
        <v>8</v>
      </c>
      <c r="C8873" s="164">
        <v>26</v>
      </c>
      <c r="D8873" s="164">
        <f t="shared" si="1020"/>
        <v>45895</v>
      </c>
      <c r="E8873" s="235">
        <f t="shared" si="1024"/>
        <v>45895</v>
      </c>
      <c r="F8873" s="480"/>
      <c r="G8873" s="208" t="s">
        <v>86</v>
      </c>
      <c r="H8873" s="208"/>
      <c r="J8873" s="165" t="s">
        <v>200</v>
      </c>
      <c r="K8873" s="205"/>
      <c r="L8873" s="205">
        <v>43374.21</v>
      </c>
      <c r="M8873" s="263"/>
    </row>
    <row r="8874" spans="1:14" ht="11.25" customHeight="1" x14ac:dyDescent="0.2">
      <c r="A8874" s="226">
        <v>2025</v>
      </c>
      <c r="B8874" s="226">
        <v>8</v>
      </c>
      <c r="C8874" s="226">
        <v>26</v>
      </c>
      <c r="D8874" s="226">
        <f t="shared" si="1020"/>
        <v>45895</v>
      </c>
      <c r="E8874" s="234">
        <f t="shared" si="1024"/>
        <v>45895</v>
      </c>
      <c r="F8874" s="479"/>
      <c r="G8874" s="227" t="s">
        <v>86</v>
      </c>
      <c r="H8874" s="228"/>
      <c r="I8874" s="228"/>
      <c r="J8874" s="229" t="s">
        <v>80</v>
      </c>
      <c r="K8874" s="230"/>
      <c r="L8874" s="230">
        <v>233716.79</v>
      </c>
      <c r="M8874" s="263"/>
    </row>
    <row r="8875" spans="1:14" ht="11.25" customHeight="1" x14ac:dyDescent="0.2">
      <c r="A8875" s="221">
        <v>2025</v>
      </c>
      <c r="B8875" s="221">
        <v>8</v>
      </c>
      <c r="C8875" s="221">
        <v>26</v>
      </c>
      <c r="D8875" s="221">
        <f t="shared" si="1020"/>
        <v>45895</v>
      </c>
      <c r="E8875" s="233">
        <f t="shared" ref="E8875:E8896" si="1025">DATE(A8875,B8875,C8875)</f>
        <v>45895</v>
      </c>
      <c r="F8875" s="478" t="s">
        <v>1886</v>
      </c>
      <c r="G8875" s="222" t="s">
        <v>86</v>
      </c>
      <c r="H8875" s="222"/>
      <c r="I8875" s="223"/>
      <c r="J8875" s="224" t="s">
        <v>80</v>
      </c>
      <c r="K8875" s="225">
        <v>252300</v>
      </c>
      <c r="L8875" s="225"/>
      <c r="N8875" s="263"/>
    </row>
    <row r="8876" spans="1:14" ht="11.25" customHeight="1" x14ac:dyDescent="0.2">
      <c r="A8876" s="164">
        <v>2025</v>
      </c>
      <c r="B8876" s="164">
        <v>8</v>
      </c>
      <c r="C8876" s="164">
        <v>26</v>
      </c>
      <c r="D8876" s="164">
        <f t="shared" si="1020"/>
        <v>45895</v>
      </c>
      <c r="E8876" s="235">
        <f t="shared" si="1025"/>
        <v>45895</v>
      </c>
      <c r="F8876" s="480"/>
      <c r="G8876" s="208" t="s">
        <v>86</v>
      </c>
      <c r="H8876" s="208"/>
      <c r="J8876" s="165" t="s">
        <v>960</v>
      </c>
      <c r="K8876" s="205">
        <v>952.52</v>
      </c>
      <c r="L8876" s="205"/>
      <c r="M8876" s="263"/>
      <c r="N8876" s="263"/>
    </row>
    <row r="8877" spans="1:14" ht="11.25" customHeight="1" x14ac:dyDescent="0.2">
      <c r="A8877" s="164">
        <v>2025</v>
      </c>
      <c r="B8877" s="164">
        <v>8</v>
      </c>
      <c r="C8877" s="164">
        <v>26</v>
      </c>
      <c r="D8877" s="164">
        <f t="shared" si="1020"/>
        <v>45895</v>
      </c>
      <c r="E8877" s="235">
        <f t="shared" si="1025"/>
        <v>45895</v>
      </c>
      <c r="F8877" s="480"/>
      <c r="G8877" s="208" t="s">
        <v>86</v>
      </c>
      <c r="H8877" s="208"/>
      <c r="J8877" s="165" t="s">
        <v>199</v>
      </c>
      <c r="K8877" s="263">
        <v>23622.49</v>
      </c>
      <c r="L8877" s="205"/>
      <c r="M8877" s="263"/>
    </row>
    <row r="8878" spans="1:14" ht="11.25" customHeight="1" x14ac:dyDescent="0.2">
      <c r="A8878" s="164">
        <v>2025</v>
      </c>
      <c r="B8878" s="164">
        <v>8</v>
      </c>
      <c r="C8878" s="164">
        <v>26</v>
      </c>
      <c r="D8878" s="164">
        <f t="shared" si="1020"/>
        <v>45895</v>
      </c>
      <c r="E8878" s="235">
        <f t="shared" si="1025"/>
        <v>45895</v>
      </c>
      <c r="F8878" s="480"/>
      <c r="G8878" s="208" t="s">
        <v>86</v>
      </c>
      <c r="H8878" s="208"/>
      <c r="J8878" s="165" t="s">
        <v>200</v>
      </c>
      <c r="K8878" s="205"/>
      <c r="L8878" s="205">
        <v>25071.75</v>
      </c>
      <c r="M8878" s="263"/>
    </row>
    <row r="8879" spans="1:14" ht="11.25" customHeight="1" x14ac:dyDescent="0.2">
      <c r="A8879" s="226">
        <v>2025</v>
      </c>
      <c r="B8879" s="226">
        <v>8</v>
      </c>
      <c r="C8879" s="226">
        <v>26</v>
      </c>
      <c r="D8879" s="226">
        <f t="shared" si="1020"/>
        <v>45895</v>
      </c>
      <c r="E8879" s="234">
        <f t="shared" si="1025"/>
        <v>45895</v>
      </c>
      <c r="F8879" s="479"/>
      <c r="G8879" s="227" t="s">
        <v>86</v>
      </c>
      <c r="H8879" s="228"/>
      <c r="I8879" s="228"/>
      <c r="J8879" s="229" t="s">
        <v>80</v>
      </c>
      <c r="K8879" s="230"/>
      <c r="L8879" s="230">
        <v>251803.25</v>
      </c>
      <c r="M8879" s="263"/>
    </row>
    <row r="8880" spans="1:14" ht="11.25" customHeight="1" x14ac:dyDescent="0.2">
      <c r="A8880" s="221">
        <v>2025</v>
      </c>
      <c r="B8880" s="221">
        <v>8</v>
      </c>
      <c r="C8880" s="221">
        <v>26</v>
      </c>
      <c r="D8880" s="231">
        <f t="shared" si="1020"/>
        <v>45895</v>
      </c>
      <c r="E8880" s="233">
        <f t="shared" si="1025"/>
        <v>45895</v>
      </c>
      <c r="F8880" s="478" t="s">
        <v>1814</v>
      </c>
      <c r="G8880" s="222" t="s">
        <v>1111</v>
      </c>
      <c r="H8880" s="223"/>
      <c r="I8880" s="223"/>
      <c r="J8880" s="224" t="s">
        <v>961</v>
      </c>
      <c r="K8880" s="225">
        <v>321173.7</v>
      </c>
      <c r="L8880" s="225"/>
    </row>
    <row r="8881" spans="1:12" ht="11.25" customHeight="1" x14ac:dyDescent="0.2">
      <c r="A8881" s="226">
        <v>2025</v>
      </c>
      <c r="B8881" s="226">
        <v>8</v>
      </c>
      <c r="C8881" s="226">
        <v>26</v>
      </c>
      <c r="D8881" s="232">
        <f t="shared" si="1020"/>
        <v>45895</v>
      </c>
      <c r="E8881" s="234">
        <f t="shared" si="1025"/>
        <v>45895</v>
      </c>
      <c r="F8881" s="479"/>
      <c r="G8881" s="227" t="s">
        <v>1111</v>
      </c>
      <c r="H8881" s="228"/>
      <c r="I8881" s="228"/>
      <c r="J8881" s="229" t="s">
        <v>55</v>
      </c>
      <c r="K8881" s="230"/>
      <c r="L8881" s="230">
        <f>K8880</f>
        <v>321173.7</v>
      </c>
    </row>
    <row r="8882" spans="1:12" ht="11.25" customHeight="1" x14ac:dyDescent="0.2">
      <c r="A8882" s="221">
        <v>2025</v>
      </c>
      <c r="B8882" s="221">
        <v>8</v>
      </c>
      <c r="C8882" s="221">
        <v>26</v>
      </c>
      <c r="D8882" s="231">
        <f t="shared" si="1020"/>
        <v>45895</v>
      </c>
      <c r="E8882" s="233">
        <f t="shared" ref="E8882:E8885" si="1026">DATE(A8882,B8882,C8882)</f>
        <v>45895</v>
      </c>
      <c r="F8882" s="478" t="s">
        <v>1940</v>
      </c>
      <c r="G8882" s="222" t="s">
        <v>1111</v>
      </c>
      <c r="H8882" s="223"/>
      <c r="I8882" s="223"/>
      <c r="J8882" s="224" t="s">
        <v>961</v>
      </c>
      <c r="K8882" s="225">
        <v>2273335.0499999998</v>
      </c>
      <c r="L8882" s="225"/>
    </row>
    <row r="8883" spans="1:12" ht="11.25" customHeight="1" x14ac:dyDescent="0.2">
      <c r="A8883" s="226">
        <v>2025</v>
      </c>
      <c r="B8883" s="226">
        <v>8</v>
      </c>
      <c r="C8883" s="226">
        <v>26</v>
      </c>
      <c r="D8883" s="232">
        <f t="shared" si="1020"/>
        <v>45895</v>
      </c>
      <c r="E8883" s="234">
        <f t="shared" si="1026"/>
        <v>45895</v>
      </c>
      <c r="F8883" s="479"/>
      <c r="G8883" s="227" t="s">
        <v>1111</v>
      </c>
      <c r="H8883" s="228"/>
      <c r="I8883" s="228"/>
      <c r="J8883" s="229" t="s">
        <v>55</v>
      </c>
      <c r="K8883" s="230"/>
      <c r="L8883" s="230">
        <f>K8882</f>
        <v>2273335.0499999998</v>
      </c>
    </row>
    <row r="8884" spans="1:12" ht="11.25" customHeight="1" x14ac:dyDescent="0.2">
      <c r="A8884" s="164">
        <v>2025</v>
      </c>
      <c r="B8884" s="164">
        <v>8</v>
      </c>
      <c r="C8884" s="164">
        <v>26</v>
      </c>
      <c r="D8884" s="156">
        <f t="shared" si="1020"/>
        <v>45895</v>
      </c>
      <c r="E8884" s="235">
        <f t="shared" si="1026"/>
        <v>45895</v>
      </c>
      <c r="F8884" s="480" t="s">
        <v>1808</v>
      </c>
      <c r="G8884" s="208" t="s">
        <v>1111</v>
      </c>
      <c r="J8884" s="165" t="s">
        <v>478</v>
      </c>
      <c r="K8884" s="205">
        <v>7525.81</v>
      </c>
      <c r="L8884" s="205"/>
    </row>
    <row r="8885" spans="1:12" ht="11.25" customHeight="1" x14ac:dyDescent="0.2">
      <c r="A8885" s="226">
        <v>2025</v>
      </c>
      <c r="B8885" s="226">
        <v>8</v>
      </c>
      <c r="C8885" s="226">
        <v>26</v>
      </c>
      <c r="D8885" s="232">
        <f t="shared" si="1020"/>
        <v>45895</v>
      </c>
      <c r="E8885" s="234">
        <f t="shared" si="1026"/>
        <v>45895</v>
      </c>
      <c r="F8885" s="479"/>
      <c r="G8885" s="227" t="s">
        <v>1111</v>
      </c>
      <c r="H8885" s="228"/>
      <c r="I8885" s="228"/>
      <c r="J8885" s="229" t="s">
        <v>55</v>
      </c>
      <c r="K8885" s="230"/>
      <c r="L8885" s="230">
        <v>7525.81</v>
      </c>
    </row>
    <row r="8886" spans="1:12" ht="11.25" customHeight="1" x14ac:dyDescent="0.2">
      <c r="A8886" s="221">
        <v>2025</v>
      </c>
      <c r="B8886" s="221">
        <v>8</v>
      </c>
      <c r="C8886" s="164">
        <v>26</v>
      </c>
      <c r="D8886" s="231">
        <f t="shared" si="1020"/>
        <v>45895</v>
      </c>
      <c r="E8886" s="233">
        <f>DATE(A8886,B8886,C8886)</f>
        <v>45895</v>
      </c>
      <c r="F8886" s="478" t="s">
        <v>1844</v>
      </c>
      <c r="G8886" s="222" t="s">
        <v>1111</v>
      </c>
      <c r="H8886" s="223"/>
      <c r="I8886" s="223"/>
      <c r="J8886" s="224" t="s">
        <v>55</v>
      </c>
      <c r="K8886" s="225">
        <v>58160.76</v>
      </c>
      <c r="L8886" s="225"/>
    </row>
    <row r="8887" spans="1:12" ht="11.25" customHeight="1" x14ac:dyDescent="0.2">
      <c r="A8887" s="226">
        <v>2025</v>
      </c>
      <c r="B8887" s="226">
        <v>8</v>
      </c>
      <c r="C8887" s="226">
        <v>26</v>
      </c>
      <c r="D8887" s="232">
        <f t="shared" si="1020"/>
        <v>45895</v>
      </c>
      <c r="E8887" s="234">
        <f>DATE(A8887,B8887,C8887)</f>
        <v>45895</v>
      </c>
      <c r="F8887" s="479"/>
      <c r="G8887" s="227" t="s">
        <v>1111</v>
      </c>
      <c r="H8887" s="228"/>
      <c r="I8887" s="228"/>
      <c r="J8887" s="229" t="s">
        <v>199</v>
      </c>
      <c r="K8887" s="230"/>
      <c r="L8887" s="230">
        <f>K8886</f>
        <v>58160.76</v>
      </c>
    </row>
    <row r="8888" spans="1:12" ht="11.25" customHeight="1" x14ac:dyDescent="0.2">
      <c r="A8888" s="221">
        <v>2025</v>
      </c>
      <c r="B8888" s="221">
        <v>8</v>
      </c>
      <c r="C8888" s="221">
        <v>26</v>
      </c>
      <c r="D8888" s="231">
        <f t="shared" si="1020"/>
        <v>45895</v>
      </c>
      <c r="E8888" s="233">
        <f t="shared" ref="E8888:E8890" si="1027">DATE(A8888,B8888,C8888)</f>
        <v>45895</v>
      </c>
      <c r="F8888" s="478" t="s">
        <v>1132</v>
      </c>
      <c r="G8888" s="222" t="s">
        <v>1111</v>
      </c>
      <c r="H8888" s="223"/>
      <c r="I8888" s="223"/>
      <c r="J8888" s="224" t="s">
        <v>55</v>
      </c>
      <c r="K8888" s="167">
        <v>12000</v>
      </c>
      <c r="L8888" s="225"/>
    </row>
    <row r="8889" spans="1:12" ht="11.25" customHeight="1" x14ac:dyDescent="0.2">
      <c r="A8889" s="164">
        <v>2025</v>
      </c>
      <c r="B8889" s="164">
        <v>8</v>
      </c>
      <c r="C8889" s="164">
        <v>26</v>
      </c>
      <c r="D8889" s="156">
        <f t="shared" si="1020"/>
        <v>45895</v>
      </c>
      <c r="E8889" s="235">
        <f t="shared" si="1027"/>
        <v>45895</v>
      </c>
      <c r="F8889" s="480"/>
      <c r="G8889" s="208" t="s">
        <v>1111</v>
      </c>
      <c r="J8889" s="165" t="s">
        <v>14</v>
      </c>
      <c r="L8889" s="205">
        <v>9890</v>
      </c>
    </row>
    <row r="8890" spans="1:12" ht="11.25" customHeight="1" x14ac:dyDescent="0.2">
      <c r="A8890" s="226">
        <v>2025</v>
      </c>
      <c r="B8890" s="226">
        <v>8</v>
      </c>
      <c r="C8890" s="226">
        <v>26</v>
      </c>
      <c r="D8890" s="232">
        <f t="shared" si="1020"/>
        <v>45895</v>
      </c>
      <c r="E8890" s="234">
        <f t="shared" si="1027"/>
        <v>45895</v>
      </c>
      <c r="F8890" s="479"/>
      <c r="G8890" s="227" t="s">
        <v>1111</v>
      </c>
      <c r="H8890" s="228"/>
      <c r="I8890" s="228"/>
      <c r="J8890" s="229" t="s">
        <v>1112</v>
      </c>
      <c r="K8890" s="230"/>
      <c r="L8890" s="230">
        <v>2110</v>
      </c>
    </row>
    <row r="8891" spans="1:12" ht="11.25" customHeight="1" x14ac:dyDescent="0.2">
      <c r="A8891" s="221">
        <v>2025</v>
      </c>
      <c r="B8891" s="221">
        <v>8</v>
      </c>
      <c r="C8891" s="221">
        <v>27</v>
      </c>
      <c r="D8891" s="221">
        <f t="shared" si="1020"/>
        <v>45896</v>
      </c>
      <c r="E8891" s="233">
        <f t="shared" si="1025"/>
        <v>45896</v>
      </c>
      <c r="F8891" s="478" t="s">
        <v>1936</v>
      </c>
      <c r="G8891" s="222" t="s">
        <v>86</v>
      </c>
      <c r="H8891" s="222"/>
      <c r="I8891" s="223"/>
      <c r="J8891" s="224" t="s">
        <v>80</v>
      </c>
      <c r="K8891" s="225">
        <v>614712</v>
      </c>
      <c r="L8891" s="225"/>
    </row>
    <row r="8892" spans="1:12" ht="11.25" customHeight="1" x14ac:dyDescent="0.2">
      <c r="A8892" s="164">
        <v>2025</v>
      </c>
      <c r="B8892" s="164">
        <v>8</v>
      </c>
      <c r="C8892" s="164">
        <v>27</v>
      </c>
      <c r="D8892" s="164">
        <f t="shared" si="1020"/>
        <v>45896</v>
      </c>
      <c r="E8892" s="235">
        <f t="shared" si="1025"/>
        <v>45896</v>
      </c>
      <c r="F8892" s="480"/>
      <c r="G8892" s="208" t="s">
        <v>86</v>
      </c>
      <c r="H8892" s="208"/>
      <c r="J8892" s="165" t="s">
        <v>960</v>
      </c>
      <c r="K8892" s="205">
        <v>1106.48</v>
      </c>
      <c r="L8892" s="205"/>
    </row>
    <row r="8893" spans="1:12" ht="11.25" customHeight="1" x14ac:dyDescent="0.2">
      <c r="A8893" s="226">
        <v>2025</v>
      </c>
      <c r="B8893" s="226">
        <v>8</v>
      </c>
      <c r="C8893" s="226">
        <v>27</v>
      </c>
      <c r="D8893" s="226">
        <f t="shared" si="1020"/>
        <v>45896</v>
      </c>
      <c r="E8893" s="234">
        <f t="shared" si="1025"/>
        <v>45896</v>
      </c>
      <c r="F8893" s="479"/>
      <c r="G8893" s="227" t="s">
        <v>86</v>
      </c>
      <c r="H8893" s="227"/>
      <c r="I8893" s="228"/>
      <c r="J8893" s="229" t="s">
        <v>143</v>
      </c>
      <c r="K8893" s="230"/>
      <c r="L8893" s="230">
        <v>615818.48</v>
      </c>
    </row>
    <row r="8894" spans="1:12" ht="11.25" customHeight="1" x14ac:dyDescent="0.2">
      <c r="A8894" s="221">
        <v>2025</v>
      </c>
      <c r="B8894" s="221">
        <v>8</v>
      </c>
      <c r="C8894" s="221">
        <v>27</v>
      </c>
      <c r="D8894" s="231">
        <f t="shared" si="1020"/>
        <v>45896</v>
      </c>
      <c r="E8894" s="233">
        <f t="shared" si="1025"/>
        <v>45896</v>
      </c>
      <c r="F8894" s="478" t="s">
        <v>802</v>
      </c>
      <c r="G8894" s="222" t="s">
        <v>1111</v>
      </c>
      <c r="H8894" s="223"/>
      <c r="I8894" s="223"/>
      <c r="J8894" s="224" t="s">
        <v>55</v>
      </c>
      <c r="K8894" s="167">
        <v>200000</v>
      </c>
      <c r="L8894" s="225"/>
    </row>
    <row r="8895" spans="1:12" ht="11.25" customHeight="1" x14ac:dyDescent="0.2">
      <c r="A8895" s="164">
        <v>2025</v>
      </c>
      <c r="B8895" s="164">
        <v>8</v>
      </c>
      <c r="C8895" s="164">
        <v>27</v>
      </c>
      <c r="D8895" s="156">
        <f t="shared" si="1020"/>
        <v>45896</v>
      </c>
      <c r="E8895" s="235">
        <f t="shared" si="1025"/>
        <v>45896</v>
      </c>
      <c r="F8895" s="480"/>
      <c r="G8895" s="208" t="s">
        <v>1111</v>
      </c>
      <c r="J8895" s="165" t="s">
        <v>14</v>
      </c>
      <c r="L8895" s="205">
        <v>164790</v>
      </c>
    </row>
    <row r="8896" spans="1:12" ht="11.25" customHeight="1" x14ac:dyDescent="0.2">
      <c r="A8896" s="226">
        <v>2025</v>
      </c>
      <c r="B8896" s="226">
        <v>8</v>
      </c>
      <c r="C8896" s="226">
        <v>27</v>
      </c>
      <c r="D8896" s="232">
        <f t="shared" si="1020"/>
        <v>45896</v>
      </c>
      <c r="E8896" s="234">
        <f t="shared" si="1025"/>
        <v>45896</v>
      </c>
      <c r="F8896" s="479"/>
      <c r="G8896" s="227" t="s">
        <v>1111</v>
      </c>
      <c r="H8896" s="228"/>
      <c r="I8896" s="228"/>
      <c r="J8896" s="229" t="s">
        <v>1112</v>
      </c>
      <c r="K8896" s="230"/>
      <c r="L8896" s="230">
        <v>35210</v>
      </c>
    </row>
    <row r="8897" spans="1:12" ht="11.25" customHeight="1" x14ac:dyDescent="0.2">
      <c r="A8897" s="221">
        <v>2025</v>
      </c>
      <c r="B8897" s="221">
        <v>8</v>
      </c>
      <c r="C8897" s="221">
        <v>27</v>
      </c>
      <c r="D8897" s="231">
        <f t="shared" si="1020"/>
        <v>45896</v>
      </c>
      <c r="E8897" s="233">
        <f t="shared" ref="E8897:E8899" si="1028">DATE(A8897,B8897,C8897)</f>
        <v>45896</v>
      </c>
      <c r="F8897" s="478" t="s">
        <v>802</v>
      </c>
      <c r="G8897" s="222" t="s">
        <v>1111</v>
      </c>
      <c r="H8897" s="223"/>
      <c r="I8897" s="223"/>
      <c r="J8897" s="224" t="s">
        <v>55</v>
      </c>
      <c r="K8897" s="167">
        <v>1000000</v>
      </c>
      <c r="L8897" s="225"/>
    </row>
    <row r="8898" spans="1:12" ht="11.25" customHeight="1" x14ac:dyDescent="0.2">
      <c r="A8898" s="164">
        <v>2025</v>
      </c>
      <c r="B8898" s="164">
        <v>8</v>
      </c>
      <c r="C8898" s="164">
        <v>27</v>
      </c>
      <c r="D8898" s="156">
        <f t="shared" si="1020"/>
        <v>45896</v>
      </c>
      <c r="E8898" s="235">
        <f t="shared" si="1028"/>
        <v>45896</v>
      </c>
      <c r="F8898" s="480"/>
      <c r="G8898" s="208" t="s">
        <v>1111</v>
      </c>
      <c r="J8898" s="165" t="s">
        <v>14</v>
      </c>
      <c r="L8898" s="205">
        <v>823860</v>
      </c>
    </row>
    <row r="8899" spans="1:12" ht="11.25" customHeight="1" x14ac:dyDescent="0.2">
      <c r="A8899" s="226">
        <v>2025</v>
      </c>
      <c r="B8899" s="226">
        <v>8</v>
      </c>
      <c r="C8899" s="226">
        <v>27</v>
      </c>
      <c r="D8899" s="232">
        <f t="shared" si="1020"/>
        <v>45896</v>
      </c>
      <c r="E8899" s="234">
        <f t="shared" si="1028"/>
        <v>45896</v>
      </c>
      <c r="F8899" s="479"/>
      <c r="G8899" s="227" t="s">
        <v>1111</v>
      </c>
      <c r="H8899" s="228"/>
      <c r="I8899" s="228"/>
      <c r="J8899" s="229" t="s">
        <v>1112</v>
      </c>
      <c r="K8899" s="230"/>
      <c r="L8899" s="230">
        <v>176140</v>
      </c>
    </row>
    <row r="8900" spans="1:12" ht="11.25" customHeight="1" x14ac:dyDescent="0.2">
      <c r="A8900" s="221">
        <v>2025</v>
      </c>
      <c r="B8900" s="221">
        <v>8</v>
      </c>
      <c r="C8900" s="221">
        <v>27</v>
      </c>
      <c r="D8900" s="231">
        <f t="shared" si="1020"/>
        <v>45896</v>
      </c>
      <c r="E8900" s="233">
        <f t="shared" ref="E8900:E8949" si="1029">DATE(A8900,B8900,C8900)</f>
        <v>45896</v>
      </c>
      <c r="F8900" s="478" t="s">
        <v>802</v>
      </c>
      <c r="G8900" s="222" t="s">
        <v>1111</v>
      </c>
      <c r="H8900" s="223"/>
      <c r="I8900" s="223"/>
      <c r="J8900" s="224" t="s">
        <v>55</v>
      </c>
      <c r="K8900" s="167">
        <v>200000</v>
      </c>
      <c r="L8900" s="225"/>
    </row>
    <row r="8901" spans="1:12" ht="11.25" customHeight="1" x14ac:dyDescent="0.2">
      <c r="A8901" s="164">
        <v>2025</v>
      </c>
      <c r="B8901" s="164">
        <v>8</v>
      </c>
      <c r="C8901" s="164">
        <v>27</v>
      </c>
      <c r="D8901" s="156">
        <f t="shared" si="1020"/>
        <v>45896</v>
      </c>
      <c r="E8901" s="235">
        <f t="shared" si="1029"/>
        <v>45896</v>
      </c>
      <c r="F8901" s="480"/>
      <c r="G8901" s="208" t="s">
        <v>1111</v>
      </c>
      <c r="J8901" s="165" t="s">
        <v>14</v>
      </c>
      <c r="L8901" s="205">
        <v>164790</v>
      </c>
    </row>
    <row r="8902" spans="1:12" ht="11.25" customHeight="1" x14ac:dyDescent="0.2">
      <c r="A8902" s="226">
        <v>2025</v>
      </c>
      <c r="B8902" s="226">
        <v>8</v>
      </c>
      <c r="C8902" s="226">
        <v>27</v>
      </c>
      <c r="D8902" s="232">
        <f t="shared" si="1020"/>
        <v>45896</v>
      </c>
      <c r="E8902" s="234">
        <f t="shared" si="1029"/>
        <v>45896</v>
      </c>
      <c r="F8902" s="479"/>
      <c r="G8902" s="227" t="s">
        <v>1111</v>
      </c>
      <c r="H8902" s="228"/>
      <c r="I8902" s="228"/>
      <c r="J8902" s="229" t="s">
        <v>1112</v>
      </c>
      <c r="K8902" s="230"/>
      <c r="L8902" s="230">
        <v>35210</v>
      </c>
    </row>
    <row r="8903" spans="1:12" ht="11.25" customHeight="1" x14ac:dyDescent="0.2">
      <c r="A8903" s="221">
        <v>2025</v>
      </c>
      <c r="B8903" s="221">
        <v>8</v>
      </c>
      <c r="C8903" s="221">
        <v>27</v>
      </c>
      <c r="D8903" s="231">
        <f t="shared" si="1020"/>
        <v>45896</v>
      </c>
      <c r="E8903" s="233">
        <f t="shared" ref="E8903:E8905" si="1030">DATE(A8903,B8903,C8903)</f>
        <v>45896</v>
      </c>
      <c r="F8903" s="478" t="s">
        <v>802</v>
      </c>
      <c r="G8903" s="222" t="s">
        <v>1111</v>
      </c>
      <c r="H8903" s="223"/>
      <c r="I8903" s="223"/>
      <c r="J8903" s="224" t="s">
        <v>55</v>
      </c>
      <c r="K8903" s="167">
        <v>810000</v>
      </c>
      <c r="L8903" s="225"/>
    </row>
    <row r="8904" spans="1:12" ht="11.25" customHeight="1" x14ac:dyDescent="0.2">
      <c r="A8904" s="164">
        <v>2025</v>
      </c>
      <c r="B8904" s="164">
        <v>8</v>
      </c>
      <c r="C8904" s="164">
        <v>27</v>
      </c>
      <c r="D8904" s="156">
        <f t="shared" si="1020"/>
        <v>45896</v>
      </c>
      <c r="E8904" s="235">
        <f t="shared" si="1030"/>
        <v>45896</v>
      </c>
      <c r="F8904" s="480"/>
      <c r="G8904" s="208" t="s">
        <v>1111</v>
      </c>
      <c r="J8904" s="165" t="s">
        <v>14</v>
      </c>
      <c r="L8904" s="205">
        <v>667380</v>
      </c>
    </row>
    <row r="8905" spans="1:12" ht="11.25" customHeight="1" x14ac:dyDescent="0.2">
      <c r="A8905" s="226">
        <v>2025</v>
      </c>
      <c r="B8905" s="226">
        <v>8</v>
      </c>
      <c r="C8905" s="226">
        <v>27</v>
      </c>
      <c r="D8905" s="232">
        <f t="shared" ref="D8905:D8968" si="1031">DATE(A8905,B8905,C8905)</f>
        <v>45896</v>
      </c>
      <c r="E8905" s="234">
        <f t="shared" si="1030"/>
        <v>45896</v>
      </c>
      <c r="F8905" s="479"/>
      <c r="G8905" s="227" t="s">
        <v>1111</v>
      </c>
      <c r="H8905" s="228"/>
      <c r="I8905" s="228"/>
      <c r="J8905" s="229" t="s">
        <v>1112</v>
      </c>
      <c r="K8905" s="230"/>
      <c r="L8905" s="230">
        <v>142620</v>
      </c>
    </row>
    <row r="8906" spans="1:12" ht="11.25" customHeight="1" x14ac:dyDescent="0.2">
      <c r="A8906" s="221">
        <v>2025</v>
      </c>
      <c r="B8906" s="221">
        <v>8</v>
      </c>
      <c r="C8906" s="221">
        <v>27</v>
      </c>
      <c r="D8906" s="231">
        <f t="shared" si="1031"/>
        <v>45896</v>
      </c>
      <c r="E8906" s="233">
        <f t="shared" ref="E8906:E8908" si="1032">DATE(A8906,B8906,C8906)</f>
        <v>45896</v>
      </c>
      <c r="F8906" s="478" t="s">
        <v>802</v>
      </c>
      <c r="G8906" s="222" t="s">
        <v>1111</v>
      </c>
      <c r="H8906" s="223"/>
      <c r="I8906" s="223"/>
      <c r="J8906" s="224" t="s">
        <v>55</v>
      </c>
      <c r="K8906" s="167">
        <v>80000</v>
      </c>
      <c r="L8906" s="225"/>
    </row>
    <row r="8907" spans="1:12" ht="11.25" customHeight="1" x14ac:dyDescent="0.2">
      <c r="A8907" s="164">
        <v>2025</v>
      </c>
      <c r="B8907" s="164">
        <v>8</v>
      </c>
      <c r="C8907" s="164">
        <v>27</v>
      </c>
      <c r="D8907" s="156">
        <f t="shared" si="1031"/>
        <v>45896</v>
      </c>
      <c r="E8907" s="235">
        <f t="shared" si="1032"/>
        <v>45896</v>
      </c>
      <c r="F8907" s="480"/>
      <c r="G8907" s="208" t="s">
        <v>1111</v>
      </c>
      <c r="J8907" s="165" t="s">
        <v>14</v>
      </c>
      <c r="L8907" s="205">
        <v>65910</v>
      </c>
    </row>
    <row r="8908" spans="1:12" ht="11.25" customHeight="1" x14ac:dyDescent="0.2">
      <c r="A8908" s="226">
        <v>2025</v>
      </c>
      <c r="B8908" s="226">
        <v>8</v>
      </c>
      <c r="C8908" s="226">
        <v>27</v>
      </c>
      <c r="D8908" s="232">
        <f t="shared" si="1031"/>
        <v>45896</v>
      </c>
      <c r="E8908" s="234">
        <f t="shared" si="1032"/>
        <v>45896</v>
      </c>
      <c r="F8908" s="479"/>
      <c r="G8908" s="227" t="s">
        <v>1111</v>
      </c>
      <c r="H8908" s="228"/>
      <c r="I8908" s="228"/>
      <c r="J8908" s="229" t="s">
        <v>1112</v>
      </c>
      <c r="K8908" s="230"/>
      <c r="L8908" s="230">
        <v>14090</v>
      </c>
    </row>
    <row r="8909" spans="1:12" ht="11.25" customHeight="1" x14ac:dyDescent="0.2">
      <c r="A8909" s="221">
        <v>2025</v>
      </c>
      <c r="B8909" s="221">
        <v>8</v>
      </c>
      <c r="C8909" s="221">
        <v>27</v>
      </c>
      <c r="D8909" s="231">
        <f t="shared" si="1031"/>
        <v>45896</v>
      </c>
      <c r="E8909" s="233">
        <f t="shared" si="1029"/>
        <v>45896</v>
      </c>
      <c r="F8909" s="478" t="s">
        <v>1940</v>
      </c>
      <c r="G8909" s="222" t="s">
        <v>1111</v>
      </c>
      <c r="H8909" s="223"/>
      <c r="I8909" s="223"/>
      <c r="J8909" s="224" t="s">
        <v>961</v>
      </c>
      <c r="K8909" s="225">
        <v>2405514.08</v>
      </c>
      <c r="L8909" s="225"/>
    </row>
    <row r="8910" spans="1:12" ht="11.25" customHeight="1" x14ac:dyDescent="0.2">
      <c r="A8910" s="226">
        <v>2025</v>
      </c>
      <c r="B8910" s="226">
        <v>8</v>
      </c>
      <c r="C8910" s="226">
        <v>27</v>
      </c>
      <c r="D8910" s="232">
        <f t="shared" si="1031"/>
        <v>45896</v>
      </c>
      <c r="E8910" s="234">
        <f t="shared" si="1029"/>
        <v>45896</v>
      </c>
      <c r="F8910" s="479"/>
      <c r="G8910" s="227" t="s">
        <v>1111</v>
      </c>
      <c r="H8910" s="228"/>
      <c r="I8910" s="228"/>
      <c r="J8910" s="229" t="s">
        <v>55</v>
      </c>
      <c r="K8910" s="230"/>
      <c r="L8910" s="230">
        <f>K8909</f>
        <v>2405514.08</v>
      </c>
    </row>
    <row r="8911" spans="1:12" ht="11.25" customHeight="1" x14ac:dyDescent="0.2">
      <c r="A8911" s="221">
        <v>2025</v>
      </c>
      <c r="B8911" s="221">
        <v>8</v>
      </c>
      <c r="C8911" s="221">
        <v>27</v>
      </c>
      <c r="D8911" s="231">
        <f t="shared" si="1031"/>
        <v>45896</v>
      </c>
      <c r="E8911" s="233">
        <f t="shared" si="1029"/>
        <v>45896</v>
      </c>
      <c r="F8911" s="478" t="s">
        <v>1670</v>
      </c>
      <c r="G8911" s="222" t="s">
        <v>1111</v>
      </c>
      <c r="H8911" s="223"/>
      <c r="I8911" s="223"/>
      <c r="J8911" s="224" t="s">
        <v>63</v>
      </c>
      <c r="K8911" s="225">
        <v>458</v>
      </c>
      <c r="L8911" s="225"/>
    </row>
    <row r="8912" spans="1:12" ht="11.25" customHeight="1" x14ac:dyDescent="0.2">
      <c r="A8912" s="226">
        <v>2025</v>
      </c>
      <c r="B8912" s="226">
        <v>8</v>
      </c>
      <c r="C8912" s="226">
        <v>27</v>
      </c>
      <c r="D8912" s="232">
        <f t="shared" si="1031"/>
        <v>45896</v>
      </c>
      <c r="E8912" s="234">
        <f t="shared" si="1029"/>
        <v>45896</v>
      </c>
      <c r="F8912" s="479"/>
      <c r="G8912" s="227" t="s">
        <v>1111</v>
      </c>
      <c r="H8912" s="228"/>
      <c r="I8912" s="228"/>
      <c r="J8912" s="229" t="s">
        <v>55</v>
      </c>
      <c r="K8912" s="230"/>
      <c r="L8912" s="230">
        <f>K8911</f>
        <v>458</v>
      </c>
    </row>
    <row r="8913" spans="1:12" ht="11.25" customHeight="1" x14ac:dyDescent="0.2">
      <c r="A8913" s="221">
        <v>2025</v>
      </c>
      <c r="B8913" s="221">
        <v>8</v>
      </c>
      <c r="C8913" s="221">
        <v>28</v>
      </c>
      <c r="D8913" s="231">
        <f t="shared" si="1031"/>
        <v>45897</v>
      </c>
      <c r="E8913" s="233">
        <f t="shared" ref="E8913:E8925" si="1033">DATE(A8913,B8913,C8913)</f>
        <v>45897</v>
      </c>
      <c r="F8913" s="478" t="s">
        <v>1940</v>
      </c>
      <c r="G8913" s="222" t="s">
        <v>1111</v>
      </c>
      <c r="H8913" s="223"/>
      <c r="I8913" s="223"/>
      <c r="J8913" s="224" t="s">
        <v>961</v>
      </c>
      <c r="K8913" s="225">
        <v>615818.48</v>
      </c>
      <c r="L8913" s="225"/>
    </row>
    <row r="8914" spans="1:12" ht="11.25" customHeight="1" x14ac:dyDescent="0.2">
      <c r="A8914" s="226">
        <v>2025</v>
      </c>
      <c r="B8914" s="226">
        <v>8</v>
      </c>
      <c r="C8914" s="226">
        <v>28</v>
      </c>
      <c r="D8914" s="232">
        <f t="shared" si="1031"/>
        <v>45897</v>
      </c>
      <c r="E8914" s="234">
        <f t="shared" si="1033"/>
        <v>45897</v>
      </c>
      <c r="F8914" s="479"/>
      <c r="G8914" s="227" t="s">
        <v>1111</v>
      </c>
      <c r="H8914" s="228"/>
      <c r="I8914" s="228"/>
      <c r="J8914" s="229" t="s">
        <v>55</v>
      </c>
      <c r="K8914" s="230"/>
      <c r="L8914" s="230">
        <f>K8913</f>
        <v>615818.48</v>
      </c>
    </row>
    <row r="8915" spans="1:12" ht="11.25" customHeight="1" x14ac:dyDescent="0.2">
      <c r="A8915" s="221">
        <v>2025</v>
      </c>
      <c r="B8915" s="221">
        <v>8</v>
      </c>
      <c r="C8915" s="221">
        <v>28</v>
      </c>
      <c r="D8915" s="231">
        <f t="shared" si="1031"/>
        <v>45897</v>
      </c>
      <c r="E8915" s="233">
        <f t="shared" si="1033"/>
        <v>45897</v>
      </c>
      <c r="F8915" s="478" t="s">
        <v>1670</v>
      </c>
      <c r="G8915" s="222" t="s">
        <v>1111</v>
      </c>
      <c r="H8915" s="223"/>
      <c r="I8915" s="223"/>
      <c r="J8915" s="224" t="s">
        <v>63</v>
      </c>
      <c r="K8915" s="225">
        <v>100</v>
      </c>
      <c r="L8915" s="225"/>
    </row>
    <row r="8916" spans="1:12" ht="11.25" customHeight="1" x14ac:dyDescent="0.2">
      <c r="A8916" s="226">
        <v>2025</v>
      </c>
      <c r="B8916" s="226">
        <v>8</v>
      </c>
      <c r="C8916" s="226">
        <v>28</v>
      </c>
      <c r="D8916" s="232">
        <f t="shared" si="1031"/>
        <v>45897</v>
      </c>
      <c r="E8916" s="234">
        <f t="shared" si="1033"/>
        <v>45897</v>
      </c>
      <c r="F8916" s="479"/>
      <c r="G8916" s="227" t="s">
        <v>1111</v>
      </c>
      <c r="H8916" s="228"/>
      <c r="I8916" s="228"/>
      <c r="J8916" s="229" t="s">
        <v>55</v>
      </c>
      <c r="K8916" s="230"/>
      <c r="L8916" s="230">
        <f>K8915</f>
        <v>100</v>
      </c>
    </row>
    <row r="8917" spans="1:12" ht="11.25" customHeight="1" x14ac:dyDescent="0.2">
      <c r="A8917" s="221">
        <v>2025</v>
      </c>
      <c r="B8917" s="221">
        <v>8</v>
      </c>
      <c r="C8917" s="221">
        <v>28</v>
      </c>
      <c r="D8917" s="231">
        <f t="shared" si="1031"/>
        <v>45897</v>
      </c>
      <c r="E8917" s="233">
        <f t="shared" si="1033"/>
        <v>45897</v>
      </c>
      <c r="F8917" s="478" t="s">
        <v>802</v>
      </c>
      <c r="G8917" s="222" t="s">
        <v>1111</v>
      </c>
      <c r="H8917" s="223"/>
      <c r="I8917" s="223"/>
      <c r="J8917" s="224" t="s">
        <v>55</v>
      </c>
      <c r="K8917" s="167">
        <v>300000</v>
      </c>
      <c r="L8917" s="225"/>
    </row>
    <row r="8918" spans="1:12" ht="11.25" customHeight="1" x14ac:dyDescent="0.2">
      <c r="A8918" s="164">
        <v>2025</v>
      </c>
      <c r="B8918" s="164">
        <v>8</v>
      </c>
      <c r="C8918" s="164">
        <v>28</v>
      </c>
      <c r="D8918" s="156">
        <f t="shared" si="1031"/>
        <v>45897</v>
      </c>
      <c r="E8918" s="235">
        <f t="shared" si="1033"/>
        <v>45897</v>
      </c>
      <c r="F8918" s="480"/>
      <c r="G8918" s="208" t="s">
        <v>1111</v>
      </c>
      <c r="J8918" s="165" t="s">
        <v>14</v>
      </c>
      <c r="L8918" s="205">
        <v>247180</v>
      </c>
    </row>
    <row r="8919" spans="1:12" ht="11.25" customHeight="1" x14ac:dyDescent="0.2">
      <c r="A8919" s="226">
        <v>2025</v>
      </c>
      <c r="B8919" s="226">
        <v>8</v>
      </c>
      <c r="C8919" s="226">
        <v>28</v>
      </c>
      <c r="D8919" s="232">
        <f t="shared" si="1031"/>
        <v>45897</v>
      </c>
      <c r="E8919" s="234">
        <f t="shared" si="1033"/>
        <v>45897</v>
      </c>
      <c r="F8919" s="479"/>
      <c r="G8919" s="227" t="s">
        <v>1111</v>
      </c>
      <c r="H8919" s="228"/>
      <c r="I8919" s="228"/>
      <c r="J8919" s="229" t="s">
        <v>1112</v>
      </c>
      <c r="K8919" s="230"/>
      <c r="L8919" s="230">
        <v>52820</v>
      </c>
    </row>
    <row r="8920" spans="1:12" ht="11.25" customHeight="1" x14ac:dyDescent="0.2">
      <c r="A8920" s="221">
        <v>2025</v>
      </c>
      <c r="B8920" s="221">
        <v>8</v>
      </c>
      <c r="C8920" s="221">
        <v>28</v>
      </c>
      <c r="D8920" s="231">
        <f t="shared" si="1031"/>
        <v>45897</v>
      </c>
      <c r="E8920" s="233">
        <f t="shared" ref="E8920:E8922" si="1034">DATE(A8920,B8920,C8920)</f>
        <v>45897</v>
      </c>
      <c r="F8920" s="478" t="s">
        <v>802</v>
      </c>
      <c r="G8920" s="222" t="s">
        <v>1111</v>
      </c>
      <c r="H8920" s="223"/>
      <c r="I8920" s="223"/>
      <c r="J8920" s="224" t="s">
        <v>55</v>
      </c>
      <c r="K8920" s="167">
        <v>200000</v>
      </c>
      <c r="L8920" s="225"/>
    </row>
    <row r="8921" spans="1:12" ht="11.25" customHeight="1" x14ac:dyDescent="0.2">
      <c r="A8921" s="164">
        <v>2025</v>
      </c>
      <c r="B8921" s="164">
        <v>8</v>
      </c>
      <c r="C8921" s="164">
        <v>28</v>
      </c>
      <c r="D8921" s="156">
        <f t="shared" si="1031"/>
        <v>45897</v>
      </c>
      <c r="E8921" s="235">
        <f t="shared" si="1034"/>
        <v>45897</v>
      </c>
      <c r="F8921" s="480"/>
      <c r="G8921" s="208" t="s">
        <v>1111</v>
      </c>
      <c r="J8921" s="165" t="s">
        <v>14</v>
      </c>
      <c r="L8921" s="205">
        <v>164790</v>
      </c>
    </row>
    <row r="8922" spans="1:12" ht="11.25" customHeight="1" x14ac:dyDescent="0.2">
      <c r="A8922" s="226">
        <v>2025</v>
      </c>
      <c r="B8922" s="226">
        <v>8</v>
      </c>
      <c r="C8922" s="226">
        <v>28</v>
      </c>
      <c r="D8922" s="232">
        <f t="shared" si="1031"/>
        <v>45897</v>
      </c>
      <c r="E8922" s="234">
        <f t="shared" si="1034"/>
        <v>45897</v>
      </c>
      <c r="F8922" s="479"/>
      <c r="G8922" s="227" t="s">
        <v>1111</v>
      </c>
      <c r="H8922" s="228"/>
      <c r="I8922" s="228"/>
      <c r="J8922" s="229" t="s">
        <v>1112</v>
      </c>
      <c r="K8922" s="230"/>
      <c r="L8922" s="230">
        <v>35210</v>
      </c>
    </row>
    <row r="8923" spans="1:12" ht="11.25" customHeight="1" x14ac:dyDescent="0.2">
      <c r="A8923" s="221">
        <v>2025</v>
      </c>
      <c r="B8923" s="221">
        <v>8</v>
      </c>
      <c r="C8923" s="221">
        <v>28</v>
      </c>
      <c r="D8923" s="231">
        <f t="shared" si="1031"/>
        <v>45897</v>
      </c>
      <c r="E8923" s="233">
        <f t="shared" si="1033"/>
        <v>45897</v>
      </c>
      <c r="F8923" s="478" t="s">
        <v>802</v>
      </c>
      <c r="G8923" s="222" t="s">
        <v>1111</v>
      </c>
      <c r="H8923" s="223"/>
      <c r="I8923" s="223"/>
      <c r="J8923" s="224" t="s">
        <v>55</v>
      </c>
      <c r="K8923" s="167">
        <v>300000</v>
      </c>
      <c r="L8923" s="225"/>
    </row>
    <row r="8924" spans="1:12" ht="11.25" customHeight="1" x14ac:dyDescent="0.2">
      <c r="A8924" s="164">
        <v>2025</v>
      </c>
      <c r="B8924" s="164">
        <v>8</v>
      </c>
      <c r="C8924" s="164">
        <v>28</v>
      </c>
      <c r="D8924" s="156">
        <f t="shared" si="1031"/>
        <v>45897</v>
      </c>
      <c r="E8924" s="235">
        <f t="shared" si="1033"/>
        <v>45897</v>
      </c>
      <c r="F8924" s="480"/>
      <c r="G8924" s="208" t="s">
        <v>1111</v>
      </c>
      <c r="J8924" s="165" t="s">
        <v>14</v>
      </c>
      <c r="L8924" s="205">
        <v>247180</v>
      </c>
    </row>
    <row r="8925" spans="1:12" ht="11.25" customHeight="1" x14ac:dyDescent="0.2">
      <c r="A8925" s="226">
        <v>2025</v>
      </c>
      <c r="B8925" s="226">
        <v>8</v>
      </c>
      <c r="C8925" s="226">
        <v>28</v>
      </c>
      <c r="D8925" s="232">
        <f t="shared" si="1031"/>
        <v>45897</v>
      </c>
      <c r="E8925" s="234">
        <f t="shared" si="1033"/>
        <v>45897</v>
      </c>
      <c r="F8925" s="479"/>
      <c r="G8925" s="227" t="s">
        <v>1111</v>
      </c>
      <c r="H8925" s="228"/>
      <c r="I8925" s="228"/>
      <c r="J8925" s="229" t="s">
        <v>1112</v>
      </c>
      <c r="K8925" s="230"/>
      <c r="L8925" s="230">
        <v>52820</v>
      </c>
    </row>
    <row r="8926" spans="1:12" ht="11.25" customHeight="1" x14ac:dyDescent="0.2">
      <c r="A8926" s="221">
        <v>2025</v>
      </c>
      <c r="B8926" s="221">
        <v>8</v>
      </c>
      <c r="C8926" s="221">
        <v>28</v>
      </c>
      <c r="D8926" s="231">
        <f t="shared" si="1031"/>
        <v>45897</v>
      </c>
      <c r="E8926" s="233">
        <f t="shared" ref="E8926:E8941" si="1035">DATE(A8926,B8926,C8926)</f>
        <v>45897</v>
      </c>
      <c r="F8926" s="478" t="s">
        <v>802</v>
      </c>
      <c r="G8926" s="222" t="s">
        <v>1111</v>
      </c>
      <c r="H8926" s="223"/>
      <c r="I8926" s="223"/>
      <c r="J8926" s="224" t="s">
        <v>55</v>
      </c>
      <c r="K8926" s="167">
        <v>100000</v>
      </c>
      <c r="L8926" s="225"/>
    </row>
    <row r="8927" spans="1:12" ht="11.25" customHeight="1" x14ac:dyDescent="0.2">
      <c r="A8927" s="164">
        <v>2025</v>
      </c>
      <c r="B8927" s="164">
        <v>8</v>
      </c>
      <c r="C8927" s="164">
        <v>28</v>
      </c>
      <c r="D8927" s="156">
        <f t="shared" si="1031"/>
        <v>45897</v>
      </c>
      <c r="E8927" s="235">
        <f t="shared" si="1035"/>
        <v>45897</v>
      </c>
      <c r="F8927" s="480"/>
      <c r="G8927" s="208" t="s">
        <v>1111</v>
      </c>
      <c r="J8927" s="165" t="s">
        <v>14</v>
      </c>
      <c r="L8927" s="205">
        <v>82390</v>
      </c>
    </row>
    <row r="8928" spans="1:12" ht="11.25" customHeight="1" x14ac:dyDescent="0.2">
      <c r="A8928" s="226">
        <v>2025</v>
      </c>
      <c r="B8928" s="226">
        <v>8</v>
      </c>
      <c r="C8928" s="226">
        <v>28</v>
      </c>
      <c r="D8928" s="232">
        <f t="shared" si="1031"/>
        <v>45897</v>
      </c>
      <c r="E8928" s="234">
        <f t="shared" si="1035"/>
        <v>45897</v>
      </c>
      <c r="F8928" s="479"/>
      <c r="G8928" s="227" t="s">
        <v>1111</v>
      </c>
      <c r="H8928" s="228"/>
      <c r="I8928" s="228"/>
      <c r="J8928" s="229" t="s">
        <v>1112</v>
      </c>
      <c r="K8928" s="230"/>
      <c r="L8928" s="230">
        <v>17610</v>
      </c>
    </row>
    <row r="8929" spans="1:14" ht="11.25" customHeight="1" x14ac:dyDescent="0.2">
      <c r="A8929" s="221">
        <v>2025</v>
      </c>
      <c r="B8929" s="221">
        <v>8</v>
      </c>
      <c r="C8929" s="221">
        <v>28</v>
      </c>
      <c r="D8929" s="231">
        <f t="shared" si="1031"/>
        <v>45897</v>
      </c>
      <c r="E8929" s="233">
        <f t="shared" ref="E8929:E8931" si="1036">DATE(A8929,B8929,C8929)</f>
        <v>45897</v>
      </c>
      <c r="F8929" s="478" t="s">
        <v>802</v>
      </c>
      <c r="G8929" s="222" t="s">
        <v>1111</v>
      </c>
      <c r="H8929" s="223"/>
      <c r="I8929" s="223"/>
      <c r="J8929" s="224" t="s">
        <v>55</v>
      </c>
      <c r="K8929" s="167">
        <v>100000</v>
      </c>
      <c r="L8929" s="225"/>
    </row>
    <row r="8930" spans="1:14" ht="11.25" customHeight="1" x14ac:dyDescent="0.2">
      <c r="A8930" s="164">
        <v>2025</v>
      </c>
      <c r="B8930" s="164">
        <v>8</v>
      </c>
      <c r="C8930" s="164">
        <v>28</v>
      </c>
      <c r="D8930" s="156">
        <f t="shared" si="1031"/>
        <v>45897</v>
      </c>
      <c r="E8930" s="235">
        <f t="shared" si="1036"/>
        <v>45897</v>
      </c>
      <c r="F8930" s="480"/>
      <c r="G8930" s="208" t="s">
        <v>1111</v>
      </c>
      <c r="J8930" s="165" t="s">
        <v>14</v>
      </c>
      <c r="L8930" s="205">
        <v>82390</v>
      </c>
    </row>
    <row r="8931" spans="1:14" ht="11.25" customHeight="1" x14ac:dyDescent="0.2">
      <c r="A8931" s="226">
        <v>2025</v>
      </c>
      <c r="B8931" s="226">
        <v>8</v>
      </c>
      <c r="C8931" s="226">
        <v>28</v>
      </c>
      <c r="D8931" s="232">
        <f t="shared" si="1031"/>
        <v>45897</v>
      </c>
      <c r="E8931" s="234">
        <f t="shared" si="1036"/>
        <v>45897</v>
      </c>
      <c r="F8931" s="479"/>
      <c r="G8931" s="227" t="s">
        <v>1111</v>
      </c>
      <c r="H8931" s="228"/>
      <c r="I8931" s="228"/>
      <c r="J8931" s="229" t="s">
        <v>1112</v>
      </c>
      <c r="K8931" s="230"/>
      <c r="L8931" s="230">
        <v>17610</v>
      </c>
    </row>
    <row r="8932" spans="1:14" ht="11.25" customHeight="1" x14ac:dyDescent="0.2">
      <c r="A8932" s="221">
        <v>2025</v>
      </c>
      <c r="B8932" s="221">
        <v>8</v>
      </c>
      <c r="C8932" s="221">
        <v>28</v>
      </c>
      <c r="D8932" s="231">
        <f t="shared" si="1031"/>
        <v>45897</v>
      </c>
      <c r="E8932" s="233">
        <f t="shared" si="1035"/>
        <v>45897</v>
      </c>
      <c r="F8932" s="478" t="s">
        <v>1670</v>
      </c>
      <c r="G8932" s="222" t="s">
        <v>1111</v>
      </c>
      <c r="H8932" s="223"/>
      <c r="I8932" s="223"/>
      <c r="J8932" s="224" t="s">
        <v>63</v>
      </c>
      <c r="K8932" s="225">
        <v>10</v>
      </c>
      <c r="L8932" s="225"/>
    </row>
    <row r="8933" spans="1:14" ht="11.25" customHeight="1" x14ac:dyDescent="0.2">
      <c r="A8933" s="226">
        <v>2025</v>
      </c>
      <c r="B8933" s="226">
        <v>8</v>
      </c>
      <c r="C8933" s="226">
        <v>28</v>
      </c>
      <c r="D8933" s="232">
        <f t="shared" si="1031"/>
        <v>45897</v>
      </c>
      <c r="E8933" s="234">
        <f t="shared" si="1035"/>
        <v>45897</v>
      </c>
      <c r="F8933" s="479"/>
      <c r="G8933" s="227" t="s">
        <v>1111</v>
      </c>
      <c r="H8933" s="228"/>
      <c r="I8933" s="228"/>
      <c r="J8933" s="229" t="s">
        <v>55</v>
      </c>
      <c r="K8933" s="230"/>
      <c r="L8933" s="230">
        <f>K8932</f>
        <v>10</v>
      </c>
    </row>
    <row r="8934" spans="1:14" ht="11.25" customHeight="1" x14ac:dyDescent="0.2">
      <c r="A8934" s="221">
        <v>2025</v>
      </c>
      <c r="B8934" s="221">
        <v>8</v>
      </c>
      <c r="C8934" s="221">
        <v>28</v>
      </c>
      <c r="D8934" s="221">
        <f t="shared" si="1031"/>
        <v>45897</v>
      </c>
      <c r="E8934" s="233">
        <f t="shared" si="1035"/>
        <v>45897</v>
      </c>
      <c r="F8934" s="478" t="s">
        <v>1886</v>
      </c>
      <c r="G8934" s="222" t="s">
        <v>86</v>
      </c>
      <c r="H8934" s="222"/>
      <c r="I8934" s="223"/>
      <c r="J8934" s="224" t="s">
        <v>80</v>
      </c>
      <c r="K8934" s="225">
        <v>245000</v>
      </c>
      <c r="L8934" s="225"/>
      <c r="N8934" s="263"/>
    </row>
    <row r="8935" spans="1:14" ht="11.25" customHeight="1" x14ac:dyDescent="0.2">
      <c r="A8935" s="164">
        <v>2025</v>
      </c>
      <c r="B8935" s="164">
        <v>8</v>
      </c>
      <c r="C8935" s="164">
        <v>28</v>
      </c>
      <c r="D8935" s="164">
        <f t="shared" si="1031"/>
        <v>45897</v>
      </c>
      <c r="E8935" s="235">
        <f t="shared" si="1035"/>
        <v>45897</v>
      </c>
      <c r="F8935" s="480"/>
      <c r="G8935" s="208" t="s">
        <v>86</v>
      </c>
      <c r="H8935" s="208"/>
      <c r="J8935" s="165" t="s">
        <v>960</v>
      </c>
      <c r="K8935" s="205">
        <v>2010.62</v>
      </c>
      <c r="L8935" s="205"/>
      <c r="M8935" s="263"/>
      <c r="N8935" s="263"/>
    </row>
    <row r="8936" spans="1:14" ht="11.25" customHeight="1" x14ac:dyDescent="0.2">
      <c r="A8936" s="164">
        <v>2025</v>
      </c>
      <c r="B8936" s="164">
        <v>8</v>
      </c>
      <c r="C8936" s="164">
        <v>28</v>
      </c>
      <c r="D8936" s="164">
        <f t="shared" si="1031"/>
        <v>45897</v>
      </c>
      <c r="E8936" s="235">
        <f t="shared" si="1035"/>
        <v>45897</v>
      </c>
      <c r="F8936" s="480"/>
      <c r="G8936" s="208" t="s">
        <v>86</v>
      </c>
      <c r="H8936" s="208"/>
      <c r="J8936" s="165" t="s">
        <v>199</v>
      </c>
      <c r="K8936" s="263">
        <v>624999.38</v>
      </c>
      <c r="L8936" s="205"/>
      <c r="M8936" s="263"/>
    </row>
    <row r="8937" spans="1:14" ht="11.25" customHeight="1" x14ac:dyDescent="0.2">
      <c r="A8937" s="164">
        <v>2025</v>
      </c>
      <c r="B8937" s="164">
        <v>8</v>
      </c>
      <c r="C8937" s="164">
        <v>28</v>
      </c>
      <c r="D8937" s="164">
        <f t="shared" si="1031"/>
        <v>45897</v>
      </c>
      <c r="E8937" s="235">
        <f t="shared" si="1035"/>
        <v>45897</v>
      </c>
      <c r="F8937" s="480"/>
      <c r="G8937" s="208" t="s">
        <v>86</v>
      </c>
      <c r="H8937" s="208"/>
      <c r="J8937" s="165" t="s">
        <v>200</v>
      </c>
      <c r="K8937" s="205"/>
      <c r="L8937" s="205">
        <v>203691.18</v>
      </c>
      <c r="M8937" s="263"/>
    </row>
    <row r="8938" spans="1:14" ht="11.25" customHeight="1" x14ac:dyDescent="0.2">
      <c r="A8938" s="226">
        <v>2025</v>
      </c>
      <c r="B8938" s="226">
        <v>8</v>
      </c>
      <c r="C8938" s="226">
        <v>28</v>
      </c>
      <c r="D8938" s="226">
        <f t="shared" si="1031"/>
        <v>45897</v>
      </c>
      <c r="E8938" s="234">
        <f t="shared" si="1035"/>
        <v>45897</v>
      </c>
      <c r="F8938" s="479"/>
      <c r="G8938" s="227" t="s">
        <v>86</v>
      </c>
      <c r="H8938" s="228"/>
      <c r="I8938" s="228"/>
      <c r="J8938" s="229" t="s">
        <v>80</v>
      </c>
      <c r="K8938" s="230"/>
      <c r="L8938" s="230">
        <v>668318.81999999995</v>
      </c>
      <c r="M8938" s="263"/>
    </row>
    <row r="8939" spans="1:14" ht="11.25" customHeight="1" x14ac:dyDescent="0.2">
      <c r="A8939" s="221">
        <v>2025</v>
      </c>
      <c r="B8939" s="221">
        <v>8</v>
      </c>
      <c r="C8939" s="221">
        <v>28</v>
      </c>
      <c r="D8939" s="221">
        <f t="shared" si="1031"/>
        <v>45897</v>
      </c>
      <c r="E8939" s="233">
        <f t="shared" si="1035"/>
        <v>45897</v>
      </c>
      <c r="F8939" s="478" t="s">
        <v>1936</v>
      </c>
      <c r="G8939" s="222" t="s">
        <v>86</v>
      </c>
      <c r="H8939" s="222"/>
      <c r="I8939" s="223"/>
      <c r="J8939" s="224" t="s">
        <v>80</v>
      </c>
      <c r="K8939" s="225">
        <v>196660</v>
      </c>
      <c r="L8939" s="225"/>
    </row>
    <row r="8940" spans="1:14" ht="11.25" customHeight="1" x14ac:dyDescent="0.2">
      <c r="A8940" s="164">
        <v>2025</v>
      </c>
      <c r="B8940" s="164">
        <v>8</v>
      </c>
      <c r="C8940" s="164">
        <v>28</v>
      </c>
      <c r="D8940" s="164">
        <f t="shared" si="1031"/>
        <v>45897</v>
      </c>
      <c r="E8940" s="235">
        <f t="shared" si="1035"/>
        <v>45897</v>
      </c>
      <c r="F8940" s="480"/>
      <c r="G8940" s="208" t="s">
        <v>86</v>
      </c>
      <c r="H8940" s="208"/>
      <c r="J8940" s="165" t="s">
        <v>960</v>
      </c>
      <c r="K8940" s="205">
        <v>353.99</v>
      </c>
      <c r="L8940" s="205"/>
    </row>
    <row r="8941" spans="1:14" ht="11.25" customHeight="1" x14ac:dyDescent="0.2">
      <c r="A8941" s="226">
        <v>2025</v>
      </c>
      <c r="B8941" s="226">
        <v>8</v>
      </c>
      <c r="C8941" s="226">
        <v>28</v>
      </c>
      <c r="D8941" s="226">
        <f t="shared" si="1031"/>
        <v>45897</v>
      </c>
      <c r="E8941" s="234">
        <f t="shared" si="1035"/>
        <v>45897</v>
      </c>
      <c r="F8941" s="479"/>
      <c r="G8941" s="227" t="s">
        <v>86</v>
      </c>
      <c r="H8941" s="227"/>
      <c r="I8941" s="228"/>
      <c r="J8941" s="229" t="s">
        <v>143</v>
      </c>
      <c r="K8941" s="230"/>
      <c r="L8941" s="230">
        <v>197013.99</v>
      </c>
    </row>
    <row r="8942" spans="1:14" ht="11.25" customHeight="1" x14ac:dyDescent="0.2">
      <c r="A8942" s="221">
        <v>2025</v>
      </c>
      <c r="B8942" s="221">
        <v>8</v>
      </c>
      <c r="C8942" s="164">
        <v>28</v>
      </c>
      <c r="D8942" s="231">
        <f t="shared" si="1031"/>
        <v>45897</v>
      </c>
      <c r="E8942" s="233">
        <f>DATE(A8942,B8942,C8942)</f>
        <v>45897</v>
      </c>
      <c r="F8942" s="478" t="s">
        <v>1844</v>
      </c>
      <c r="G8942" s="222" t="s">
        <v>1111</v>
      </c>
      <c r="H8942" s="223"/>
      <c r="I8942" s="223"/>
      <c r="J8942" s="224" t="s">
        <v>55</v>
      </c>
      <c r="K8942" s="225">
        <v>23622.49</v>
      </c>
      <c r="L8942" s="225"/>
    </row>
    <row r="8943" spans="1:14" ht="11.25" customHeight="1" x14ac:dyDescent="0.2">
      <c r="A8943" s="226">
        <v>2025</v>
      </c>
      <c r="B8943" s="226">
        <v>8</v>
      </c>
      <c r="C8943" s="226">
        <v>28</v>
      </c>
      <c r="D8943" s="232">
        <f t="shared" si="1031"/>
        <v>45897</v>
      </c>
      <c r="E8943" s="234">
        <f>DATE(A8943,B8943,C8943)</f>
        <v>45897</v>
      </c>
      <c r="F8943" s="479"/>
      <c r="G8943" s="227" t="s">
        <v>1111</v>
      </c>
      <c r="H8943" s="228"/>
      <c r="I8943" s="228"/>
      <c r="J8943" s="229" t="s">
        <v>199</v>
      </c>
      <c r="K8943" s="230"/>
      <c r="L8943" s="230">
        <f>K8942</f>
        <v>23622.49</v>
      </c>
    </row>
    <row r="8944" spans="1:14" ht="11.25" customHeight="1" x14ac:dyDescent="0.2">
      <c r="A8944" s="280">
        <v>2025</v>
      </c>
      <c r="B8944" s="280">
        <v>8</v>
      </c>
      <c r="C8944" s="280">
        <v>28</v>
      </c>
      <c r="D8944" s="281">
        <f t="shared" si="1031"/>
        <v>45897</v>
      </c>
      <c r="E8944" s="282">
        <f t="shared" si="1029"/>
        <v>45897</v>
      </c>
      <c r="F8944" s="472" t="s">
        <v>1744</v>
      </c>
      <c r="G8944" s="283" t="s">
        <v>86</v>
      </c>
      <c r="H8944" s="284"/>
      <c r="I8944" s="284"/>
      <c r="J8944" s="285" t="s">
        <v>131</v>
      </c>
      <c r="K8944" s="286">
        <v>19358.330000000002</v>
      </c>
      <c r="L8944" s="286"/>
      <c r="M8944" s="401"/>
    </row>
    <row r="8945" spans="1:13" ht="11.25" customHeight="1" x14ac:dyDescent="0.2">
      <c r="A8945" s="287">
        <v>2025</v>
      </c>
      <c r="B8945" s="287">
        <v>8</v>
      </c>
      <c r="C8945" s="287">
        <v>28</v>
      </c>
      <c r="D8945" s="288">
        <f t="shared" si="1031"/>
        <v>45897</v>
      </c>
      <c r="E8945" s="289">
        <f t="shared" si="1029"/>
        <v>45897</v>
      </c>
      <c r="F8945" s="473"/>
      <c r="G8945" s="290" t="s">
        <v>86</v>
      </c>
      <c r="H8945" s="291"/>
      <c r="I8945" s="291"/>
      <c r="J8945" s="292" t="s">
        <v>174</v>
      </c>
      <c r="K8945" s="293"/>
      <c r="L8945" s="293">
        <f>K8944</f>
        <v>19358.330000000002</v>
      </c>
    </row>
    <row r="8946" spans="1:13" ht="11.25" customHeight="1" x14ac:dyDescent="0.2">
      <c r="A8946" s="280">
        <v>2025</v>
      </c>
      <c r="B8946" s="280">
        <v>8</v>
      </c>
      <c r="C8946" s="280">
        <v>28</v>
      </c>
      <c r="D8946" s="281">
        <f t="shared" si="1031"/>
        <v>45897</v>
      </c>
      <c r="E8946" s="282">
        <f t="shared" si="1029"/>
        <v>45897</v>
      </c>
      <c r="F8946" s="472" t="s">
        <v>1584</v>
      </c>
      <c r="G8946" s="283" t="s">
        <v>86</v>
      </c>
      <c r="H8946" s="284"/>
      <c r="I8946" s="284"/>
      <c r="J8946" s="285" t="s">
        <v>131</v>
      </c>
      <c r="K8946" s="286">
        <v>8846.15</v>
      </c>
      <c r="L8946" s="286"/>
      <c r="M8946" s="401"/>
    </row>
    <row r="8947" spans="1:13" ht="11.25" customHeight="1" x14ac:dyDescent="0.2">
      <c r="A8947" s="287">
        <v>2025</v>
      </c>
      <c r="B8947" s="287">
        <v>8</v>
      </c>
      <c r="C8947" s="287">
        <v>28</v>
      </c>
      <c r="D8947" s="288">
        <f t="shared" si="1031"/>
        <v>45897</v>
      </c>
      <c r="E8947" s="289">
        <f t="shared" si="1029"/>
        <v>45897</v>
      </c>
      <c r="F8947" s="473"/>
      <c r="G8947" s="290" t="s">
        <v>86</v>
      </c>
      <c r="H8947" s="291"/>
      <c r="I8947" s="291"/>
      <c r="J8947" s="292" t="s">
        <v>174</v>
      </c>
      <c r="K8947" s="293"/>
      <c r="L8947" s="293">
        <f>K8946</f>
        <v>8846.15</v>
      </c>
    </row>
    <row r="8948" spans="1:13" ht="11.25" customHeight="1" x14ac:dyDescent="0.2">
      <c r="A8948" s="341">
        <v>2025</v>
      </c>
      <c r="B8948" s="341">
        <v>8</v>
      </c>
      <c r="C8948" s="341">
        <v>28</v>
      </c>
      <c r="D8948" s="328">
        <f t="shared" si="1031"/>
        <v>45897</v>
      </c>
      <c r="E8948" s="329">
        <f t="shared" si="1029"/>
        <v>45897</v>
      </c>
      <c r="F8948" s="474" t="s">
        <v>1767</v>
      </c>
      <c r="G8948" s="330" t="s">
        <v>86</v>
      </c>
      <c r="H8948" s="332"/>
      <c r="I8948" s="332"/>
      <c r="J8948" s="342" t="s">
        <v>67</v>
      </c>
      <c r="K8948" s="343">
        <v>4146.28</v>
      </c>
      <c r="L8948" s="343"/>
    </row>
    <row r="8949" spans="1:13" ht="11.25" customHeight="1" x14ac:dyDescent="0.2">
      <c r="A8949" s="344">
        <v>2025</v>
      </c>
      <c r="B8949" s="344">
        <v>8</v>
      </c>
      <c r="C8949" s="344">
        <v>28</v>
      </c>
      <c r="D8949" s="337">
        <f t="shared" si="1031"/>
        <v>45897</v>
      </c>
      <c r="E8949" s="338">
        <f t="shared" si="1029"/>
        <v>45897</v>
      </c>
      <c r="F8949" s="475"/>
      <c r="G8949" s="339" t="s">
        <v>86</v>
      </c>
      <c r="H8949" s="340"/>
      <c r="I8949" s="340"/>
      <c r="J8949" s="345" t="s">
        <v>174</v>
      </c>
      <c r="K8949" s="346"/>
      <c r="L8949" s="346">
        <f>K8948</f>
        <v>4146.28</v>
      </c>
    </row>
    <row r="8950" spans="1:13" ht="11.25" customHeight="1" x14ac:dyDescent="0.2">
      <c r="A8950" s="358">
        <v>2025</v>
      </c>
      <c r="B8950" s="358">
        <v>8</v>
      </c>
      <c r="C8950" s="358">
        <v>28</v>
      </c>
      <c r="D8950" s="312">
        <f t="shared" si="1031"/>
        <v>45897</v>
      </c>
      <c r="E8950" s="313">
        <f>DATE(A8950,B8950,C8950)</f>
        <v>45897</v>
      </c>
      <c r="F8950" s="482" t="s">
        <v>1627</v>
      </c>
      <c r="G8950" s="314" t="s">
        <v>86</v>
      </c>
      <c r="H8950" s="324"/>
      <c r="I8950" s="324"/>
      <c r="J8950" s="364" t="s">
        <v>1613</v>
      </c>
      <c r="K8950" s="365">
        <v>0</v>
      </c>
      <c r="L8950" s="365"/>
      <c r="M8950" s="156">
        <f>BS!$I$12</f>
        <v>0</v>
      </c>
    </row>
    <row r="8951" spans="1:13" ht="11.25" customHeight="1" x14ac:dyDescent="0.2">
      <c r="A8951" s="320">
        <v>2025</v>
      </c>
      <c r="B8951" s="320">
        <v>8</v>
      </c>
      <c r="C8951" s="320">
        <v>28</v>
      </c>
      <c r="D8951" s="323">
        <f t="shared" si="1031"/>
        <v>45897</v>
      </c>
      <c r="E8951" s="321">
        <f t="shared" ref="E8951" si="1037">DATE(A8951,B8951,C8951)</f>
        <v>45897</v>
      </c>
      <c r="F8951" s="483"/>
      <c r="G8951" s="322" t="s">
        <v>86</v>
      </c>
      <c r="H8951" s="325"/>
      <c r="I8951" s="325"/>
      <c r="J8951" s="366" t="s">
        <v>1621</v>
      </c>
      <c r="K8951" s="367"/>
      <c r="L8951" s="367">
        <f>K8950</f>
        <v>0</v>
      </c>
    </row>
    <row r="8952" spans="1:13" ht="11.25" customHeight="1" x14ac:dyDescent="0.2">
      <c r="A8952" s="358">
        <v>2025</v>
      </c>
      <c r="B8952" s="358">
        <v>8</v>
      </c>
      <c r="C8952" s="358">
        <v>28</v>
      </c>
      <c r="D8952" s="312">
        <f t="shared" si="1031"/>
        <v>45897</v>
      </c>
      <c r="E8952" s="313">
        <f>DATE(A8952,B8952,C8952)</f>
        <v>45897</v>
      </c>
      <c r="F8952" s="482" t="s">
        <v>1713</v>
      </c>
      <c r="G8952" s="314" t="s">
        <v>86</v>
      </c>
      <c r="H8952" s="324"/>
      <c r="I8952" s="324"/>
      <c r="J8952" s="364" t="s">
        <v>1614</v>
      </c>
      <c r="K8952" s="365">
        <v>46999.050999999046</v>
      </c>
      <c r="L8952" s="365"/>
      <c r="M8952" s="156">
        <f>BS!$I$15</f>
        <v>0</v>
      </c>
    </row>
    <row r="8953" spans="1:13" ht="11.25" customHeight="1" x14ac:dyDescent="0.2">
      <c r="A8953" s="320">
        <v>2025</v>
      </c>
      <c r="B8953" s="320">
        <v>8</v>
      </c>
      <c r="C8953" s="320">
        <v>28</v>
      </c>
      <c r="D8953" s="323">
        <f t="shared" si="1031"/>
        <v>45897</v>
      </c>
      <c r="E8953" s="321">
        <f t="shared" ref="E8953:E8976" si="1038">DATE(A8953,B8953,C8953)</f>
        <v>45897</v>
      </c>
      <c r="F8953" s="483"/>
      <c r="G8953" s="322" t="s">
        <v>86</v>
      </c>
      <c r="H8953" s="325"/>
      <c r="I8953" s="325"/>
      <c r="J8953" s="366" t="s">
        <v>1622</v>
      </c>
      <c r="K8953" s="367"/>
      <c r="L8953" s="367">
        <f>K8952</f>
        <v>46999.050999999046</v>
      </c>
    </row>
    <row r="8954" spans="1:13" ht="11.25" customHeight="1" x14ac:dyDescent="0.2">
      <c r="A8954" s="236">
        <v>2025</v>
      </c>
      <c r="B8954" s="236">
        <v>8</v>
      </c>
      <c r="C8954" s="236">
        <v>28</v>
      </c>
      <c r="D8954" s="237">
        <f t="shared" si="1031"/>
        <v>45897</v>
      </c>
      <c r="E8954" s="238">
        <f t="shared" si="1038"/>
        <v>45897</v>
      </c>
      <c r="F8954" s="476" t="s">
        <v>1118</v>
      </c>
      <c r="G8954" s="239" t="s">
        <v>86</v>
      </c>
      <c r="H8954" s="239"/>
      <c r="I8954" s="240"/>
      <c r="J8954" s="241" t="s">
        <v>98</v>
      </c>
      <c r="K8954" s="242">
        <v>2867884.0622000396</v>
      </c>
      <c r="L8954" s="242"/>
      <c r="M8954" s="156">
        <f>BS!$I$8</f>
        <v>0</v>
      </c>
    </row>
    <row r="8955" spans="1:13" ht="11.25" customHeight="1" x14ac:dyDescent="0.2">
      <c r="A8955" s="243">
        <v>2025</v>
      </c>
      <c r="B8955" s="243">
        <v>8</v>
      </c>
      <c r="C8955" s="243">
        <v>28</v>
      </c>
      <c r="D8955" s="248">
        <f t="shared" si="1031"/>
        <v>45897</v>
      </c>
      <c r="E8955" s="249">
        <f t="shared" si="1038"/>
        <v>45897</v>
      </c>
      <c r="F8955" s="477"/>
      <c r="G8955" s="244" t="s">
        <v>86</v>
      </c>
      <c r="H8955" s="244"/>
      <c r="I8955" s="245"/>
      <c r="J8955" s="246" t="s">
        <v>82</v>
      </c>
      <c r="K8955" s="247"/>
      <c r="L8955" s="247">
        <f>K8954</f>
        <v>2867884.0622000396</v>
      </c>
    </row>
    <row r="8956" spans="1:13" ht="11.25" customHeight="1" x14ac:dyDescent="0.2">
      <c r="A8956" s="236">
        <v>2025</v>
      </c>
      <c r="B8956" s="236">
        <v>8</v>
      </c>
      <c r="C8956" s="236">
        <v>28</v>
      </c>
      <c r="D8956" s="237">
        <f t="shared" si="1031"/>
        <v>45897</v>
      </c>
      <c r="E8956" s="238">
        <f t="shared" si="1038"/>
        <v>45897</v>
      </c>
      <c r="F8956" s="476" t="s">
        <v>1120</v>
      </c>
      <c r="G8956" s="239" t="s">
        <v>86</v>
      </c>
      <c r="H8956" s="239"/>
      <c r="I8956" s="240"/>
      <c r="J8956" s="241" t="s">
        <v>87</v>
      </c>
      <c r="K8956" s="242">
        <v>2747.2527472527472</v>
      </c>
      <c r="L8956" s="242"/>
      <c r="M8956" s="401"/>
    </row>
    <row r="8957" spans="1:13" ht="11.25" customHeight="1" x14ac:dyDescent="0.2">
      <c r="A8957" s="243">
        <v>2025</v>
      </c>
      <c r="B8957" s="243">
        <v>8</v>
      </c>
      <c r="C8957" s="243">
        <v>28</v>
      </c>
      <c r="D8957" s="248">
        <f t="shared" si="1031"/>
        <v>45897</v>
      </c>
      <c r="E8957" s="249">
        <f t="shared" si="1038"/>
        <v>45897</v>
      </c>
      <c r="F8957" s="477"/>
      <c r="G8957" s="244" t="s">
        <v>86</v>
      </c>
      <c r="H8957" s="244"/>
      <c r="I8957" s="245"/>
      <c r="J8957" s="246" t="s">
        <v>64</v>
      </c>
      <c r="K8957" s="247"/>
      <c r="L8957" s="247">
        <f>K8956</f>
        <v>2747.2527472527472</v>
      </c>
    </row>
    <row r="8958" spans="1:13" ht="11.25" customHeight="1" x14ac:dyDescent="0.2">
      <c r="A8958" s="236">
        <v>2025</v>
      </c>
      <c r="B8958" s="236">
        <v>8</v>
      </c>
      <c r="C8958" s="236">
        <v>28</v>
      </c>
      <c r="D8958" s="237">
        <f t="shared" si="1031"/>
        <v>45897</v>
      </c>
      <c r="E8958" s="238">
        <f t="shared" si="1038"/>
        <v>45897</v>
      </c>
      <c r="F8958" s="476" t="s">
        <v>1121</v>
      </c>
      <c r="G8958" s="239" t="s">
        <v>86</v>
      </c>
      <c r="H8958" s="239"/>
      <c r="I8958" s="240"/>
      <c r="J8958" s="241" t="s">
        <v>89</v>
      </c>
      <c r="K8958" s="242">
        <f>M8958</f>
        <v>85160.960460230926</v>
      </c>
      <c r="L8958" s="242"/>
      <c r="M8958" s="156">
        <v>85160.960460230926</v>
      </c>
    </row>
    <row r="8959" spans="1:13" ht="11.25" customHeight="1" x14ac:dyDescent="0.2">
      <c r="A8959" s="243">
        <v>2025</v>
      </c>
      <c r="B8959" s="243">
        <v>8</v>
      </c>
      <c r="C8959" s="243">
        <v>28</v>
      </c>
      <c r="D8959" s="248">
        <f t="shared" si="1031"/>
        <v>45897</v>
      </c>
      <c r="E8959" s="249">
        <f t="shared" si="1038"/>
        <v>45897</v>
      </c>
      <c r="F8959" s="477"/>
      <c r="G8959" s="244" t="s">
        <v>86</v>
      </c>
      <c r="H8959" s="244"/>
      <c r="I8959" s="245"/>
      <c r="J8959" s="246" t="s">
        <v>50</v>
      </c>
      <c r="K8959" s="247"/>
      <c r="L8959" s="247">
        <f>K8958</f>
        <v>85160.960460230926</v>
      </c>
      <c r="M8959" s="156">
        <v>4017.6634076269311</v>
      </c>
    </row>
    <row r="8960" spans="1:13" ht="11.25" customHeight="1" x14ac:dyDescent="0.2">
      <c r="A8960" s="236">
        <v>2025</v>
      </c>
      <c r="B8960" s="236">
        <v>8</v>
      </c>
      <c r="C8960" s="236">
        <v>28</v>
      </c>
      <c r="D8960" s="237">
        <f t="shared" si="1031"/>
        <v>45897</v>
      </c>
      <c r="E8960" s="238">
        <f t="shared" si="1038"/>
        <v>45897</v>
      </c>
      <c r="F8960" s="476" t="s">
        <v>1122</v>
      </c>
      <c r="G8960" s="239" t="s">
        <v>86</v>
      </c>
      <c r="H8960" s="239"/>
      <c r="I8960" s="240"/>
      <c r="J8960" s="241" t="s">
        <v>91</v>
      </c>
      <c r="K8960" s="242">
        <f>M8959</f>
        <v>4017.6634076269311</v>
      </c>
      <c r="L8960" s="242"/>
    </row>
    <row r="8961" spans="1:14" ht="11.25" customHeight="1" x14ac:dyDescent="0.2">
      <c r="A8961" s="243">
        <v>2025</v>
      </c>
      <c r="B8961" s="243">
        <v>8</v>
      </c>
      <c r="C8961" s="243">
        <v>28</v>
      </c>
      <c r="D8961" s="248">
        <f t="shared" si="1031"/>
        <v>45897</v>
      </c>
      <c r="E8961" s="249">
        <f t="shared" si="1038"/>
        <v>45897</v>
      </c>
      <c r="F8961" s="477"/>
      <c r="G8961" s="244" t="s">
        <v>86</v>
      </c>
      <c r="H8961" s="244"/>
      <c r="I8961" s="245"/>
      <c r="J8961" s="246" t="s">
        <v>51</v>
      </c>
      <c r="K8961" s="247"/>
      <c r="L8961" s="247">
        <f>K8960</f>
        <v>4017.6634076269311</v>
      </c>
    </row>
    <row r="8962" spans="1:14" ht="11.25" customHeight="1" x14ac:dyDescent="0.2">
      <c r="A8962" s="221">
        <v>2025</v>
      </c>
      <c r="B8962" s="221">
        <v>8</v>
      </c>
      <c r="C8962" s="221">
        <v>31</v>
      </c>
      <c r="D8962" s="221">
        <f t="shared" si="1031"/>
        <v>45900</v>
      </c>
      <c r="E8962" s="233">
        <f t="shared" si="1038"/>
        <v>45900</v>
      </c>
      <c r="F8962" s="478" t="s">
        <v>1886</v>
      </c>
      <c r="G8962" s="222" t="s">
        <v>86</v>
      </c>
      <c r="H8962" s="222"/>
      <c r="I8962" s="223"/>
      <c r="J8962" s="224" t="s">
        <v>80</v>
      </c>
      <c r="K8962" s="225">
        <v>212000</v>
      </c>
      <c r="L8962" s="225"/>
      <c r="N8962" s="263"/>
    </row>
    <row r="8963" spans="1:14" ht="11.25" customHeight="1" x14ac:dyDescent="0.2">
      <c r="A8963" s="164">
        <v>2025</v>
      </c>
      <c r="B8963" s="164">
        <v>8</v>
      </c>
      <c r="C8963" s="164">
        <v>31</v>
      </c>
      <c r="D8963" s="164">
        <f t="shared" si="1031"/>
        <v>45900</v>
      </c>
      <c r="E8963" s="235">
        <f t="shared" si="1038"/>
        <v>45900</v>
      </c>
      <c r="F8963" s="480"/>
      <c r="G8963" s="208" t="s">
        <v>86</v>
      </c>
      <c r="H8963" s="208"/>
      <c r="J8963" s="165" t="s">
        <v>960</v>
      </c>
      <c r="K8963" s="205">
        <v>1071.9000000000001</v>
      </c>
      <c r="L8963" s="205"/>
      <c r="M8963" s="263"/>
      <c r="N8963" s="263"/>
    </row>
    <row r="8964" spans="1:14" ht="11.25" customHeight="1" x14ac:dyDescent="0.2">
      <c r="A8964" s="164">
        <v>2025</v>
      </c>
      <c r="B8964" s="164">
        <v>8</v>
      </c>
      <c r="C8964" s="164">
        <v>31</v>
      </c>
      <c r="D8964" s="164">
        <f t="shared" si="1031"/>
        <v>45900</v>
      </c>
      <c r="E8964" s="235">
        <f t="shared" si="1038"/>
        <v>45900</v>
      </c>
      <c r="F8964" s="480"/>
      <c r="G8964" s="208" t="s">
        <v>86</v>
      </c>
      <c r="H8964" s="208"/>
      <c r="J8964" s="165" t="s">
        <v>199</v>
      </c>
      <c r="K8964" s="263">
        <v>170428.1</v>
      </c>
      <c r="L8964" s="205"/>
      <c r="M8964" s="263"/>
    </row>
    <row r="8965" spans="1:14" ht="11.25" customHeight="1" x14ac:dyDescent="0.2">
      <c r="A8965" s="164">
        <v>2025</v>
      </c>
      <c r="B8965" s="164">
        <v>8</v>
      </c>
      <c r="C8965" s="164">
        <v>31</v>
      </c>
      <c r="D8965" s="164">
        <f t="shared" si="1031"/>
        <v>45900</v>
      </c>
      <c r="E8965" s="235">
        <f t="shared" si="1038"/>
        <v>45900</v>
      </c>
      <c r="F8965" s="480"/>
      <c r="G8965" s="208" t="s">
        <v>86</v>
      </c>
      <c r="H8965" s="208"/>
      <c r="J8965" s="165" t="s">
        <v>200</v>
      </c>
      <c r="K8965" s="205"/>
      <c r="L8965" s="205">
        <v>125401.87</v>
      </c>
      <c r="M8965" s="263"/>
    </row>
    <row r="8966" spans="1:14" ht="11.25" customHeight="1" x14ac:dyDescent="0.2">
      <c r="A8966" s="226">
        <v>2025</v>
      </c>
      <c r="B8966" s="226">
        <v>8</v>
      </c>
      <c r="C8966" s="226">
        <v>31</v>
      </c>
      <c r="D8966" s="226">
        <f t="shared" si="1031"/>
        <v>45900</v>
      </c>
      <c r="E8966" s="234">
        <f t="shared" si="1038"/>
        <v>45900</v>
      </c>
      <c r="F8966" s="479"/>
      <c r="G8966" s="227" t="s">
        <v>86</v>
      </c>
      <c r="H8966" s="228"/>
      <c r="I8966" s="228"/>
      <c r="J8966" s="229" t="s">
        <v>80</v>
      </c>
      <c r="K8966" s="230"/>
      <c r="L8966" s="230">
        <v>258098.13</v>
      </c>
      <c r="M8966" s="263"/>
    </row>
    <row r="8967" spans="1:14" ht="11.25" customHeight="1" x14ac:dyDescent="0.2">
      <c r="A8967" s="221">
        <v>2025</v>
      </c>
      <c r="B8967" s="221">
        <v>8</v>
      </c>
      <c r="C8967" s="221">
        <v>31</v>
      </c>
      <c r="D8967" s="221">
        <f t="shared" si="1031"/>
        <v>45900</v>
      </c>
      <c r="E8967" s="233">
        <f t="shared" si="1038"/>
        <v>45900</v>
      </c>
      <c r="F8967" s="478" t="s">
        <v>1936</v>
      </c>
      <c r="G8967" s="222" t="s">
        <v>86</v>
      </c>
      <c r="H8967" s="222"/>
      <c r="I8967" s="223"/>
      <c r="J8967" s="224" t="s">
        <v>80</v>
      </c>
      <c r="K8967" s="225">
        <v>2979325</v>
      </c>
      <c r="L8967" s="225"/>
    </row>
    <row r="8968" spans="1:14" ht="11.25" customHeight="1" x14ac:dyDescent="0.2">
      <c r="A8968" s="164">
        <v>2025</v>
      </c>
      <c r="B8968" s="164">
        <v>8</v>
      </c>
      <c r="C8968" s="164">
        <v>31</v>
      </c>
      <c r="D8968" s="164">
        <f t="shared" si="1031"/>
        <v>45900</v>
      </c>
      <c r="E8968" s="235">
        <f t="shared" si="1038"/>
        <v>45900</v>
      </c>
      <c r="F8968" s="480"/>
      <c r="G8968" s="208" t="s">
        <v>86</v>
      </c>
      <c r="H8968" s="208"/>
      <c r="J8968" s="165" t="s">
        <v>960</v>
      </c>
      <c r="K8968" s="205">
        <v>5362.79</v>
      </c>
      <c r="L8968" s="205"/>
    </row>
    <row r="8969" spans="1:14" ht="11.25" customHeight="1" x14ac:dyDescent="0.2">
      <c r="A8969" s="226">
        <v>2025</v>
      </c>
      <c r="B8969" s="226">
        <v>8</v>
      </c>
      <c r="C8969" s="226">
        <v>31</v>
      </c>
      <c r="D8969" s="226">
        <f t="shared" ref="D8969:D9032" si="1039">DATE(A8969,B8969,C8969)</f>
        <v>45900</v>
      </c>
      <c r="E8969" s="234">
        <f t="shared" si="1038"/>
        <v>45900</v>
      </c>
      <c r="F8969" s="479"/>
      <c r="G8969" s="227" t="s">
        <v>86</v>
      </c>
      <c r="H8969" s="227"/>
      <c r="I8969" s="228"/>
      <c r="J8969" s="229" t="s">
        <v>143</v>
      </c>
      <c r="K8969" s="230"/>
      <c r="L8969" s="230">
        <v>2984687.79</v>
      </c>
    </row>
    <row r="8970" spans="1:14" ht="11.25" customHeight="1" x14ac:dyDescent="0.2">
      <c r="A8970" s="221">
        <v>2025</v>
      </c>
      <c r="B8970" s="221">
        <v>8</v>
      </c>
      <c r="C8970" s="221">
        <v>31</v>
      </c>
      <c r="D8970" s="231">
        <f t="shared" si="1039"/>
        <v>45900</v>
      </c>
      <c r="E8970" s="233">
        <f t="shared" si="1038"/>
        <v>45900</v>
      </c>
      <c r="F8970" s="478" t="s">
        <v>1940</v>
      </c>
      <c r="G8970" s="222" t="s">
        <v>1111</v>
      </c>
      <c r="H8970" s="223"/>
      <c r="I8970" s="223"/>
      <c r="J8970" s="224" t="s">
        <v>961</v>
      </c>
      <c r="K8970" s="225">
        <v>197013.99</v>
      </c>
      <c r="L8970" s="225"/>
    </row>
    <row r="8971" spans="1:14" ht="11.25" customHeight="1" x14ac:dyDescent="0.2">
      <c r="A8971" s="226">
        <v>2025</v>
      </c>
      <c r="B8971" s="226">
        <v>8</v>
      </c>
      <c r="C8971" s="226">
        <v>31</v>
      </c>
      <c r="D8971" s="232">
        <f t="shared" si="1039"/>
        <v>45900</v>
      </c>
      <c r="E8971" s="234">
        <f t="shared" si="1038"/>
        <v>45900</v>
      </c>
      <c r="F8971" s="479"/>
      <c r="G8971" s="227" t="s">
        <v>1111</v>
      </c>
      <c r="H8971" s="228"/>
      <c r="I8971" s="228"/>
      <c r="J8971" s="229" t="s">
        <v>55</v>
      </c>
      <c r="K8971" s="230"/>
      <c r="L8971" s="230">
        <f>K8970</f>
        <v>197013.99</v>
      </c>
    </row>
    <row r="8972" spans="1:14" ht="11.25" customHeight="1" x14ac:dyDescent="0.2">
      <c r="A8972" s="221">
        <v>2025</v>
      </c>
      <c r="B8972" s="221">
        <v>8</v>
      </c>
      <c r="C8972" s="221">
        <v>31</v>
      </c>
      <c r="D8972" s="231">
        <f t="shared" si="1039"/>
        <v>45900</v>
      </c>
      <c r="E8972" s="233">
        <f t="shared" si="1038"/>
        <v>45900</v>
      </c>
      <c r="F8972" s="478" t="s">
        <v>1670</v>
      </c>
      <c r="G8972" s="222" t="s">
        <v>1111</v>
      </c>
      <c r="H8972" s="223"/>
      <c r="I8972" s="223"/>
      <c r="J8972" s="224" t="s">
        <v>63</v>
      </c>
      <c r="K8972" s="225">
        <v>58</v>
      </c>
      <c r="L8972" s="225"/>
    </row>
    <row r="8973" spans="1:14" ht="11.25" customHeight="1" x14ac:dyDescent="0.2">
      <c r="A8973" s="226">
        <v>2025</v>
      </c>
      <c r="B8973" s="226">
        <v>8</v>
      </c>
      <c r="C8973" s="226">
        <v>31</v>
      </c>
      <c r="D8973" s="232">
        <f t="shared" si="1039"/>
        <v>45900</v>
      </c>
      <c r="E8973" s="234">
        <f t="shared" si="1038"/>
        <v>45900</v>
      </c>
      <c r="F8973" s="479"/>
      <c r="G8973" s="227" t="s">
        <v>1111</v>
      </c>
      <c r="H8973" s="228"/>
      <c r="I8973" s="228"/>
      <c r="J8973" s="229" t="s">
        <v>55</v>
      </c>
      <c r="K8973" s="230"/>
      <c r="L8973" s="230">
        <f>K8972</f>
        <v>58</v>
      </c>
    </row>
    <row r="8974" spans="1:14" ht="11.25" customHeight="1" x14ac:dyDescent="0.2">
      <c r="A8974" s="221">
        <v>2025</v>
      </c>
      <c r="B8974" s="221">
        <v>8</v>
      </c>
      <c r="C8974" s="221">
        <v>31</v>
      </c>
      <c r="D8974" s="231">
        <f t="shared" si="1039"/>
        <v>45900</v>
      </c>
      <c r="E8974" s="233">
        <f t="shared" si="1038"/>
        <v>45900</v>
      </c>
      <c r="F8974" s="478" t="s">
        <v>1934</v>
      </c>
      <c r="G8974" s="222" t="s">
        <v>1111</v>
      </c>
      <c r="H8974" s="222"/>
      <c r="I8974" s="223"/>
      <c r="J8974" s="224" t="s">
        <v>55</v>
      </c>
      <c r="K8974" s="225">
        <v>3479512.96</v>
      </c>
      <c r="L8974" s="225"/>
    </row>
    <row r="8975" spans="1:14" ht="11.25" customHeight="1" x14ac:dyDescent="0.2">
      <c r="A8975" s="164">
        <v>2025</v>
      </c>
      <c r="B8975" s="164">
        <v>8</v>
      </c>
      <c r="C8975" s="164">
        <v>31</v>
      </c>
      <c r="D8975" s="164">
        <f t="shared" si="1039"/>
        <v>45900</v>
      </c>
      <c r="E8975" s="235">
        <f t="shared" si="1038"/>
        <v>45900</v>
      </c>
      <c r="F8975" s="480"/>
      <c r="G8975" s="208" t="s">
        <v>1111</v>
      </c>
      <c r="H8975" s="208"/>
      <c r="J8975" s="165" t="s">
        <v>1618</v>
      </c>
      <c r="K8975" s="263"/>
      <c r="L8975" s="205">
        <v>213079.29</v>
      </c>
    </row>
    <row r="8976" spans="1:14" ht="11.25" customHeight="1" x14ac:dyDescent="0.2">
      <c r="A8976" s="226">
        <v>2025</v>
      </c>
      <c r="B8976" s="226">
        <v>8</v>
      </c>
      <c r="C8976" s="226">
        <v>31</v>
      </c>
      <c r="D8976" s="226">
        <f t="shared" si="1039"/>
        <v>45900</v>
      </c>
      <c r="E8976" s="234">
        <f t="shared" si="1038"/>
        <v>45900</v>
      </c>
      <c r="F8976" s="479"/>
      <c r="G8976" s="227" t="s">
        <v>1111</v>
      </c>
      <c r="H8976" s="227"/>
      <c r="I8976" s="228"/>
      <c r="J8976" s="229" t="s">
        <v>1615</v>
      </c>
      <c r="K8976" s="294"/>
      <c r="L8976" s="230">
        <v>3266433.67</v>
      </c>
    </row>
    <row r="8977" spans="1:14" ht="11.25" customHeight="1" x14ac:dyDescent="0.2">
      <c r="A8977" s="221">
        <v>2025</v>
      </c>
      <c r="B8977" s="221">
        <v>9</v>
      </c>
      <c r="C8977" s="221">
        <v>1</v>
      </c>
      <c r="D8977" s="221">
        <f t="shared" si="1039"/>
        <v>45901</v>
      </c>
      <c r="E8977" s="233">
        <f t="shared" ref="E8977:E8989" si="1040">DATE(A8977,B8977,C8977)</f>
        <v>45901</v>
      </c>
      <c r="F8977" s="478" t="s">
        <v>1936</v>
      </c>
      <c r="G8977" s="222" t="s">
        <v>86</v>
      </c>
      <c r="H8977" s="222"/>
      <c r="I8977" s="223"/>
      <c r="J8977" s="224" t="s">
        <v>80</v>
      </c>
      <c r="K8977" s="225">
        <v>4137762</v>
      </c>
      <c r="L8977" s="225"/>
    </row>
    <row r="8978" spans="1:14" ht="11.25" customHeight="1" x14ac:dyDescent="0.2">
      <c r="A8978" s="164">
        <v>2025</v>
      </c>
      <c r="B8978" s="164">
        <v>9</v>
      </c>
      <c r="C8978" s="164">
        <v>1</v>
      </c>
      <c r="D8978" s="164">
        <f t="shared" si="1039"/>
        <v>45901</v>
      </c>
      <c r="E8978" s="235">
        <f t="shared" si="1040"/>
        <v>45901</v>
      </c>
      <c r="F8978" s="480"/>
      <c r="G8978" s="208" t="s">
        <v>86</v>
      </c>
      <c r="H8978" s="208"/>
      <c r="J8978" s="165" t="s">
        <v>960</v>
      </c>
      <c r="K8978" s="205">
        <v>7447.97</v>
      </c>
      <c r="L8978" s="205"/>
    </row>
    <row r="8979" spans="1:14" ht="11.25" customHeight="1" x14ac:dyDescent="0.2">
      <c r="A8979" s="226">
        <v>2025</v>
      </c>
      <c r="B8979" s="226">
        <v>9</v>
      </c>
      <c r="C8979" s="226">
        <v>1</v>
      </c>
      <c r="D8979" s="226">
        <f t="shared" si="1039"/>
        <v>45901</v>
      </c>
      <c r="E8979" s="234">
        <f t="shared" si="1040"/>
        <v>45901</v>
      </c>
      <c r="F8979" s="479"/>
      <c r="G8979" s="227" t="s">
        <v>86</v>
      </c>
      <c r="H8979" s="227"/>
      <c r="I8979" s="228"/>
      <c r="J8979" s="229" t="s">
        <v>143</v>
      </c>
      <c r="K8979" s="230"/>
      <c r="L8979" s="230">
        <v>4145209.97</v>
      </c>
    </row>
    <row r="8980" spans="1:14" ht="11.25" customHeight="1" x14ac:dyDescent="0.2">
      <c r="A8980" s="221">
        <v>2025</v>
      </c>
      <c r="B8980" s="221">
        <v>9</v>
      </c>
      <c r="C8980" s="221">
        <v>1</v>
      </c>
      <c r="D8980" s="221">
        <f t="shared" si="1039"/>
        <v>45901</v>
      </c>
      <c r="E8980" s="233">
        <f t="shared" si="1040"/>
        <v>45901</v>
      </c>
      <c r="F8980" s="478" t="s">
        <v>1886</v>
      </c>
      <c r="G8980" s="222" t="s">
        <v>86</v>
      </c>
      <c r="H8980" s="222"/>
      <c r="I8980" s="223"/>
      <c r="J8980" s="224" t="s">
        <v>80</v>
      </c>
      <c r="K8980" s="225">
        <v>120600</v>
      </c>
      <c r="L8980" s="225"/>
      <c r="N8980" s="263"/>
    </row>
    <row r="8981" spans="1:14" ht="11.25" customHeight="1" x14ac:dyDescent="0.2">
      <c r="A8981" s="164">
        <v>2025</v>
      </c>
      <c r="B8981" s="164">
        <v>9</v>
      </c>
      <c r="C8981" s="164">
        <v>1</v>
      </c>
      <c r="D8981" s="164">
        <f t="shared" si="1039"/>
        <v>45901</v>
      </c>
      <c r="E8981" s="235">
        <f t="shared" si="1040"/>
        <v>45901</v>
      </c>
      <c r="F8981" s="480"/>
      <c r="G8981" s="208" t="s">
        <v>86</v>
      </c>
      <c r="H8981" s="208"/>
      <c r="J8981" s="165" t="s">
        <v>960</v>
      </c>
      <c r="K8981" s="205">
        <v>501.12</v>
      </c>
      <c r="L8981" s="205"/>
      <c r="M8981" s="263"/>
      <c r="N8981" s="263"/>
    </row>
    <row r="8982" spans="1:14" ht="11.25" customHeight="1" x14ac:dyDescent="0.2">
      <c r="A8982" s="164">
        <v>2025</v>
      </c>
      <c r="B8982" s="164">
        <v>9</v>
      </c>
      <c r="C8982" s="164">
        <v>1</v>
      </c>
      <c r="D8982" s="164">
        <f t="shared" si="1039"/>
        <v>45901</v>
      </c>
      <c r="E8982" s="235">
        <f t="shared" si="1040"/>
        <v>45901</v>
      </c>
      <c r="F8982" s="480"/>
      <c r="G8982" s="208" t="s">
        <v>86</v>
      </c>
      <c r="H8982" s="208"/>
      <c r="J8982" s="165" t="s">
        <v>199</v>
      </c>
      <c r="K8982" s="263">
        <v>36698.879999999997</v>
      </c>
      <c r="L8982" s="205"/>
      <c r="M8982" s="263"/>
    </row>
    <row r="8983" spans="1:14" ht="11.25" customHeight="1" x14ac:dyDescent="0.2">
      <c r="A8983" s="164">
        <v>2025</v>
      </c>
      <c r="B8983" s="164">
        <v>9</v>
      </c>
      <c r="C8983" s="164">
        <v>1</v>
      </c>
      <c r="D8983" s="164">
        <f t="shared" si="1039"/>
        <v>45901</v>
      </c>
      <c r="E8983" s="235">
        <f t="shared" si="1040"/>
        <v>45901</v>
      </c>
      <c r="F8983" s="480"/>
      <c r="G8983" s="208" t="s">
        <v>86</v>
      </c>
      <c r="H8983" s="208"/>
      <c r="J8983" s="165" t="s">
        <v>200</v>
      </c>
      <c r="K8983" s="205"/>
      <c r="L8983" s="205">
        <v>54560.75</v>
      </c>
      <c r="M8983" s="263"/>
    </row>
    <row r="8984" spans="1:14" ht="11.25" customHeight="1" x14ac:dyDescent="0.2">
      <c r="A8984" s="226">
        <v>2025</v>
      </c>
      <c r="B8984" s="226">
        <v>9</v>
      </c>
      <c r="C8984" s="226">
        <v>1</v>
      </c>
      <c r="D8984" s="226">
        <f t="shared" si="1039"/>
        <v>45901</v>
      </c>
      <c r="E8984" s="234">
        <f t="shared" si="1040"/>
        <v>45901</v>
      </c>
      <c r="F8984" s="479"/>
      <c r="G8984" s="227" t="s">
        <v>86</v>
      </c>
      <c r="H8984" s="228"/>
      <c r="I8984" s="228"/>
      <c r="J8984" s="229" t="s">
        <v>80</v>
      </c>
      <c r="K8984" s="230"/>
      <c r="L8984" s="230">
        <v>103239.25</v>
      </c>
      <c r="M8984" s="263"/>
    </row>
    <row r="8985" spans="1:14" ht="11.25" customHeight="1" x14ac:dyDescent="0.2">
      <c r="A8985" s="221">
        <v>2025</v>
      </c>
      <c r="B8985" s="221">
        <v>9</v>
      </c>
      <c r="C8985" s="221">
        <v>1</v>
      </c>
      <c r="D8985" s="231">
        <f t="shared" si="1039"/>
        <v>45901</v>
      </c>
      <c r="E8985" s="233">
        <f t="shared" si="1040"/>
        <v>45901</v>
      </c>
      <c r="F8985" s="478" t="s">
        <v>802</v>
      </c>
      <c r="G8985" s="222" t="s">
        <v>1111</v>
      </c>
      <c r="H8985" s="223"/>
      <c r="I8985" s="223"/>
      <c r="J8985" s="224" t="s">
        <v>55</v>
      </c>
      <c r="K8985" s="167">
        <v>10000000</v>
      </c>
      <c r="L8985" s="225"/>
    </row>
    <row r="8986" spans="1:14" ht="11.25" customHeight="1" x14ac:dyDescent="0.2">
      <c r="A8986" s="164">
        <v>2025</v>
      </c>
      <c r="B8986" s="164">
        <v>9</v>
      </c>
      <c r="C8986" s="164">
        <v>1</v>
      </c>
      <c r="D8986" s="156">
        <f t="shared" si="1039"/>
        <v>45901</v>
      </c>
      <c r="E8986" s="235">
        <f t="shared" si="1040"/>
        <v>45901</v>
      </c>
      <c r="F8986" s="480"/>
      <c r="G8986" s="208" t="s">
        <v>1111</v>
      </c>
      <c r="J8986" s="165" t="s">
        <v>14</v>
      </c>
      <c r="L8986" s="205">
        <v>8103730</v>
      </c>
    </row>
    <row r="8987" spans="1:14" ht="11.25" customHeight="1" x14ac:dyDescent="0.2">
      <c r="A8987" s="226">
        <v>2025</v>
      </c>
      <c r="B8987" s="226">
        <v>9</v>
      </c>
      <c r="C8987" s="226">
        <v>1</v>
      </c>
      <c r="D8987" s="232">
        <f t="shared" si="1039"/>
        <v>45901</v>
      </c>
      <c r="E8987" s="234">
        <f t="shared" si="1040"/>
        <v>45901</v>
      </c>
      <c r="F8987" s="479"/>
      <c r="G8987" s="227" t="s">
        <v>1111</v>
      </c>
      <c r="H8987" s="228"/>
      <c r="I8987" s="228"/>
      <c r="J8987" s="229" t="s">
        <v>1112</v>
      </c>
      <c r="K8987" s="230"/>
      <c r="L8987" s="230">
        <v>1896270</v>
      </c>
    </row>
    <row r="8988" spans="1:14" ht="11.25" customHeight="1" x14ac:dyDescent="0.2">
      <c r="A8988" s="221">
        <v>2025</v>
      </c>
      <c r="B8988" s="221">
        <v>9</v>
      </c>
      <c r="C8988" s="221">
        <v>1</v>
      </c>
      <c r="D8988" s="231">
        <f t="shared" si="1039"/>
        <v>45901</v>
      </c>
      <c r="E8988" s="233">
        <f t="shared" si="1040"/>
        <v>45901</v>
      </c>
      <c r="F8988" s="478" t="s">
        <v>1670</v>
      </c>
      <c r="G8988" s="222" t="s">
        <v>1111</v>
      </c>
      <c r="H8988" s="223"/>
      <c r="I8988" s="223"/>
      <c r="J8988" s="224" t="s">
        <v>63</v>
      </c>
      <c r="K8988" s="225">
        <v>25</v>
      </c>
      <c r="L8988" s="225"/>
    </row>
    <row r="8989" spans="1:14" ht="11.25" customHeight="1" x14ac:dyDescent="0.2">
      <c r="A8989" s="226">
        <v>2025</v>
      </c>
      <c r="B8989" s="226">
        <v>9</v>
      </c>
      <c r="C8989" s="226">
        <v>1</v>
      </c>
      <c r="D8989" s="232">
        <f t="shared" si="1039"/>
        <v>45901</v>
      </c>
      <c r="E8989" s="234">
        <f t="shared" si="1040"/>
        <v>45901</v>
      </c>
      <c r="F8989" s="479"/>
      <c r="G8989" s="227" t="s">
        <v>1111</v>
      </c>
      <c r="H8989" s="228"/>
      <c r="I8989" s="228"/>
      <c r="J8989" s="229" t="s">
        <v>55</v>
      </c>
      <c r="K8989" s="230"/>
      <c r="L8989" s="230">
        <f>K8988</f>
        <v>25</v>
      </c>
    </row>
    <row r="8990" spans="1:14" ht="11.25" customHeight="1" x14ac:dyDescent="0.2">
      <c r="A8990" s="221">
        <v>2025</v>
      </c>
      <c r="B8990" s="221">
        <v>9</v>
      </c>
      <c r="C8990" s="221">
        <v>1</v>
      </c>
      <c r="D8990" s="231">
        <f t="shared" si="1039"/>
        <v>45901</v>
      </c>
      <c r="E8990" s="233">
        <f>DATE(A8990,B8990,C8990)</f>
        <v>45901</v>
      </c>
      <c r="F8990" s="478" t="s">
        <v>1844</v>
      </c>
      <c r="G8990" s="222" t="s">
        <v>1111</v>
      </c>
      <c r="H8990" s="223"/>
      <c r="I8990" s="223"/>
      <c r="J8990" s="224" t="s">
        <v>55</v>
      </c>
      <c r="K8990" s="225">
        <v>624999.38</v>
      </c>
      <c r="L8990" s="225"/>
    </row>
    <row r="8991" spans="1:14" ht="11.25" customHeight="1" x14ac:dyDescent="0.2">
      <c r="A8991" s="226">
        <v>2025</v>
      </c>
      <c r="B8991" s="226">
        <v>9</v>
      </c>
      <c r="C8991" s="226">
        <v>1</v>
      </c>
      <c r="D8991" s="232">
        <f t="shared" si="1039"/>
        <v>45901</v>
      </c>
      <c r="E8991" s="234">
        <f>DATE(A8991,B8991,C8991)</f>
        <v>45901</v>
      </c>
      <c r="F8991" s="479"/>
      <c r="G8991" s="227" t="s">
        <v>1111</v>
      </c>
      <c r="H8991" s="228"/>
      <c r="I8991" s="228"/>
      <c r="J8991" s="229" t="s">
        <v>199</v>
      </c>
      <c r="K8991" s="230"/>
      <c r="L8991" s="230">
        <f>K8990</f>
        <v>624999.38</v>
      </c>
    </row>
    <row r="8992" spans="1:14" ht="11.25" customHeight="1" x14ac:dyDescent="0.2">
      <c r="A8992" s="221">
        <v>2025</v>
      </c>
      <c r="B8992" s="221">
        <v>9</v>
      </c>
      <c r="C8992" s="221">
        <v>1</v>
      </c>
      <c r="D8992" s="231">
        <f t="shared" si="1039"/>
        <v>45901</v>
      </c>
      <c r="E8992" s="233">
        <f t="shared" ref="E8992:E8996" si="1041">DATE(A8992,B8992,C8992)</f>
        <v>45901</v>
      </c>
      <c r="F8992" s="478" t="s">
        <v>1940</v>
      </c>
      <c r="G8992" s="222" t="s">
        <v>1111</v>
      </c>
      <c r="H8992" s="223"/>
      <c r="I8992" s="223"/>
      <c r="J8992" s="224" t="s">
        <v>961</v>
      </c>
      <c r="K8992" s="225">
        <v>2984687.79</v>
      </c>
      <c r="L8992" s="225"/>
    </row>
    <row r="8993" spans="1:12" ht="11.25" customHeight="1" x14ac:dyDescent="0.2">
      <c r="A8993" s="226">
        <v>2025</v>
      </c>
      <c r="B8993" s="226">
        <v>9</v>
      </c>
      <c r="C8993" s="226">
        <v>1</v>
      </c>
      <c r="D8993" s="232">
        <f t="shared" si="1039"/>
        <v>45901</v>
      </c>
      <c r="E8993" s="234">
        <f t="shared" si="1041"/>
        <v>45901</v>
      </c>
      <c r="F8993" s="479"/>
      <c r="G8993" s="227" t="s">
        <v>1111</v>
      </c>
      <c r="H8993" s="228"/>
      <c r="I8993" s="228"/>
      <c r="J8993" s="229" t="s">
        <v>55</v>
      </c>
      <c r="K8993" s="230"/>
      <c r="L8993" s="230">
        <f>K8992</f>
        <v>2984687.79</v>
      </c>
    </row>
    <row r="8994" spans="1:12" ht="11.25" customHeight="1" x14ac:dyDescent="0.2">
      <c r="A8994" s="221">
        <v>2025</v>
      </c>
      <c r="B8994" s="221">
        <v>9</v>
      </c>
      <c r="C8994" s="221">
        <v>2</v>
      </c>
      <c r="D8994" s="221">
        <f t="shared" si="1039"/>
        <v>45902</v>
      </c>
      <c r="E8994" s="233">
        <f t="shared" si="1041"/>
        <v>45902</v>
      </c>
      <c r="F8994" s="478" t="s">
        <v>1936</v>
      </c>
      <c r="G8994" s="222" t="s">
        <v>86</v>
      </c>
      <c r="H8994" s="222"/>
      <c r="I8994" s="223"/>
      <c r="J8994" s="224" t="s">
        <v>80</v>
      </c>
      <c r="K8994" s="225">
        <v>754375</v>
      </c>
      <c r="L8994" s="225"/>
    </row>
    <row r="8995" spans="1:12" ht="11.25" customHeight="1" x14ac:dyDescent="0.2">
      <c r="A8995" s="164">
        <v>2025</v>
      </c>
      <c r="B8995" s="164">
        <v>9</v>
      </c>
      <c r="C8995" s="164">
        <v>2</v>
      </c>
      <c r="D8995" s="164">
        <f t="shared" si="1039"/>
        <v>45902</v>
      </c>
      <c r="E8995" s="235">
        <f t="shared" si="1041"/>
        <v>45902</v>
      </c>
      <c r="F8995" s="480"/>
      <c r="G8995" s="208" t="s">
        <v>86</v>
      </c>
      <c r="H8995" s="208"/>
      <c r="J8995" s="165" t="s">
        <v>960</v>
      </c>
      <c r="K8995" s="205">
        <v>1357.87</v>
      </c>
      <c r="L8995" s="205"/>
    </row>
    <row r="8996" spans="1:12" ht="11.25" customHeight="1" x14ac:dyDescent="0.2">
      <c r="A8996" s="226">
        <v>2025</v>
      </c>
      <c r="B8996" s="226">
        <v>9</v>
      </c>
      <c r="C8996" s="226">
        <v>2</v>
      </c>
      <c r="D8996" s="226">
        <f t="shared" si="1039"/>
        <v>45902</v>
      </c>
      <c r="E8996" s="234">
        <f t="shared" si="1041"/>
        <v>45902</v>
      </c>
      <c r="F8996" s="479"/>
      <c r="G8996" s="227" t="s">
        <v>86</v>
      </c>
      <c r="H8996" s="227"/>
      <c r="I8996" s="228"/>
      <c r="J8996" s="229" t="s">
        <v>143</v>
      </c>
      <c r="K8996" s="230"/>
      <c r="L8996" s="230">
        <v>755732.88</v>
      </c>
    </row>
    <row r="8997" spans="1:12" ht="11.25" customHeight="1" x14ac:dyDescent="0.2">
      <c r="A8997" s="221">
        <v>2025</v>
      </c>
      <c r="B8997" s="221">
        <v>9</v>
      </c>
      <c r="C8997" s="221">
        <v>2</v>
      </c>
      <c r="D8997" s="221">
        <f t="shared" si="1039"/>
        <v>45902</v>
      </c>
      <c r="E8997" s="233">
        <f t="shared" ref="E8997:E9054" si="1042">DATE(A8997,B8997,C8997)</f>
        <v>45902</v>
      </c>
      <c r="F8997" s="478" t="s">
        <v>1930</v>
      </c>
      <c r="G8997" s="222" t="s">
        <v>86</v>
      </c>
      <c r="H8997" s="222"/>
      <c r="I8997" s="223"/>
      <c r="J8997" s="224" t="s">
        <v>80</v>
      </c>
      <c r="K8997" s="225">
        <v>483000</v>
      </c>
      <c r="L8997" s="225"/>
    </row>
    <row r="8998" spans="1:12" ht="11.25" customHeight="1" x14ac:dyDescent="0.2">
      <c r="A8998" s="164">
        <v>2025</v>
      </c>
      <c r="B8998" s="164">
        <v>9</v>
      </c>
      <c r="C8998" s="164">
        <v>2</v>
      </c>
      <c r="D8998" s="164">
        <f t="shared" si="1039"/>
        <v>45902</v>
      </c>
      <c r="E8998" s="235">
        <f t="shared" si="1042"/>
        <v>45902</v>
      </c>
      <c r="F8998" s="480"/>
      <c r="G8998" s="208" t="s">
        <v>86</v>
      </c>
      <c r="H8998" s="208"/>
      <c r="J8998" s="165" t="s">
        <v>960</v>
      </c>
      <c r="K8998" s="205">
        <v>869.4</v>
      </c>
      <c r="L8998" s="205"/>
    </row>
    <row r="8999" spans="1:12" ht="11.25" customHeight="1" x14ac:dyDescent="0.2">
      <c r="A8999" s="226">
        <v>2025</v>
      </c>
      <c r="B8999" s="226">
        <v>9</v>
      </c>
      <c r="C8999" s="226">
        <v>2</v>
      </c>
      <c r="D8999" s="226">
        <f t="shared" si="1039"/>
        <v>45902</v>
      </c>
      <c r="E8999" s="234">
        <f t="shared" si="1042"/>
        <v>45902</v>
      </c>
      <c r="F8999" s="479"/>
      <c r="G8999" s="227" t="s">
        <v>86</v>
      </c>
      <c r="H8999" s="227"/>
      <c r="I8999" s="228"/>
      <c r="J8999" s="229" t="s">
        <v>143</v>
      </c>
      <c r="K8999" s="230"/>
      <c r="L8999" s="230">
        <v>483869.4</v>
      </c>
    </row>
    <row r="9000" spans="1:12" ht="11.25" customHeight="1" x14ac:dyDescent="0.2">
      <c r="A9000" s="221">
        <v>2025</v>
      </c>
      <c r="B9000" s="221">
        <v>9</v>
      </c>
      <c r="C9000" s="221">
        <v>2</v>
      </c>
      <c r="D9000" s="221">
        <f t="shared" si="1039"/>
        <v>45902</v>
      </c>
      <c r="E9000" s="233">
        <f t="shared" si="1042"/>
        <v>45902</v>
      </c>
      <c r="F9000" s="478" t="s">
        <v>1942</v>
      </c>
      <c r="G9000" s="222" t="s">
        <v>1111</v>
      </c>
      <c r="H9000" s="222"/>
      <c r="I9000" s="223"/>
      <c r="J9000" s="224" t="s">
        <v>50</v>
      </c>
      <c r="K9000" s="225">
        <v>200000</v>
      </c>
      <c r="L9000" s="225"/>
    </row>
    <row r="9001" spans="1:12" ht="11.25" customHeight="1" x14ac:dyDescent="0.2">
      <c r="A9001" s="164">
        <v>2025</v>
      </c>
      <c r="B9001" s="164">
        <v>9</v>
      </c>
      <c r="C9001" s="164">
        <v>2</v>
      </c>
      <c r="D9001" s="156">
        <f t="shared" si="1039"/>
        <v>45902</v>
      </c>
      <c r="E9001" s="235">
        <f t="shared" si="1042"/>
        <v>45902</v>
      </c>
      <c r="F9001" s="480"/>
      <c r="G9001" s="208" t="s">
        <v>1111</v>
      </c>
      <c r="J9001" s="165" t="s">
        <v>478</v>
      </c>
      <c r="K9001" s="205"/>
      <c r="L9001" s="205">
        <v>30000</v>
      </c>
    </row>
    <row r="9002" spans="1:12" ht="11.25" customHeight="1" x14ac:dyDescent="0.2">
      <c r="A9002" s="226">
        <v>2025</v>
      </c>
      <c r="B9002" s="226">
        <v>9</v>
      </c>
      <c r="C9002" s="226">
        <v>2</v>
      </c>
      <c r="D9002" s="226">
        <f t="shared" si="1039"/>
        <v>45902</v>
      </c>
      <c r="E9002" s="234">
        <f t="shared" si="1042"/>
        <v>45902</v>
      </c>
      <c r="F9002" s="479"/>
      <c r="G9002" s="227" t="s">
        <v>1111</v>
      </c>
      <c r="H9002" s="227"/>
      <c r="I9002" s="228"/>
      <c r="J9002" s="229" t="s">
        <v>55</v>
      </c>
      <c r="K9002" s="230"/>
      <c r="L9002" s="230">
        <v>170000</v>
      </c>
    </row>
    <row r="9003" spans="1:12" ht="11.25" customHeight="1" x14ac:dyDescent="0.2">
      <c r="A9003" s="221">
        <v>2025</v>
      </c>
      <c r="B9003" s="221">
        <v>9</v>
      </c>
      <c r="C9003" s="221">
        <v>2</v>
      </c>
      <c r="D9003" s="231">
        <f t="shared" si="1039"/>
        <v>45902</v>
      </c>
      <c r="E9003" s="233">
        <f t="shared" si="1042"/>
        <v>45902</v>
      </c>
      <c r="F9003" s="478" t="s">
        <v>1940</v>
      </c>
      <c r="G9003" s="222" t="s">
        <v>1111</v>
      </c>
      <c r="H9003" s="223"/>
      <c r="I9003" s="223"/>
      <c r="J9003" s="224" t="s">
        <v>961</v>
      </c>
      <c r="K9003" s="225">
        <v>4145209.97</v>
      </c>
      <c r="L9003" s="225"/>
    </row>
    <row r="9004" spans="1:12" ht="11.25" customHeight="1" x14ac:dyDescent="0.2">
      <c r="A9004" s="226">
        <v>2025</v>
      </c>
      <c r="B9004" s="226">
        <v>9</v>
      </c>
      <c r="C9004" s="226">
        <v>2</v>
      </c>
      <c r="D9004" s="232">
        <f t="shared" si="1039"/>
        <v>45902</v>
      </c>
      <c r="E9004" s="234">
        <f t="shared" si="1042"/>
        <v>45902</v>
      </c>
      <c r="F9004" s="479"/>
      <c r="G9004" s="227" t="s">
        <v>1111</v>
      </c>
      <c r="H9004" s="228"/>
      <c r="I9004" s="228"/>
      <c r="J9004" s="229" t="s">
        <v>55</v>
      </c>
      <c r="K9004" s="230"/>
      <c r="L9004" s="230">
        <f>K9003</f>
        <v>4145209.97</v>
      </c>
    </row>
    <row r="9005" spans="1:12" ht="11.25" customHeight="1" x14ac:dyDescent="0.2">
      <c r="A9005" s="221">
        <v>2025</v>
      </c>
      <c r="B9005" s="221">
        <v>9</v>
      </c>
      <c r="C9005" s="221">
        <v>2</v>
      </c>
      <c r="D9005" s="231">
        <f t="shared" si="1039"/>
        <v>45902</v>
      </c>
      <c r="E9005" s="233">
        <f t="shared" si="1042"/>
        <v>45902</v>
      </c>
      <c r="F9005" s="478" t="s">
        <v>1670</v>
      </c>
      <c r="G9005" s="222" t="s">
        <v>1111</v>
      </c>
      <c r="H9005" s="223"/>
      <c r="I9005" s="223"/>
      <c r="J9005" s="224" t="s">
        <v>63</v>
      </c>
      <c r="K9005" s="225">
        <v>100</v>
      </c>
      <c r="L9005" s="225"/>
    </row>
    <row r="9006" spans="1:12" ht="11.25" customHeight="1" x14ac:dyDescent="0.2">
      <c r="A9006" s="226">
        <v>2025</v>
      </c>
      <c r="B9006" s="226">
        <v>9</v>
      </c>
      <c r="C9006" s="226">
        <v>2</v>
      </c>
      <c r="D9006" s="232">
        <f t="shared" si="1039"/>
        <v>45902</v>
      </c>
      <c r="E9006" s="234">
        <f t="shared" si="1042"/>
        <v>45902</v>
      </c>
      <c r="F9006" s="479"/>
      <c r="G9006" s="227" t="s">
        <v>1111</v>
      </c>
      <c r="H9006" s="228"/>
      <c r="I9006" s="228"/>
      <c r="J9006" s="229" t="s">
        <v>55</v>
      </c>
      <c r="K9006" s="230"/>
      <c r="L9006" s="230">
        <f>K9005</f>
        <v>100</v>
      </c>
    </row>
    <row r="9007" spans="1:12" ht="11.25" customHeight="1" x14ac:dyDescent="0.2">
      <c r="A9007" s="221">
        <v>2025</v>
      </c>
      <c r="B9007" s="221">
        <v>9</v>
      </c>
      <c r="C9007" s="221">
        <v>2</v>
      </c>
      <c r="D9007" s="231">
        <f t="shared" si="1039"/>
        <v>45902</v>
      </c>
      <c r="E9007" s="233">
        <f t="shared" si="1042"/>
        <v>45902</v>
      </c>
      <c r="F9007" s="478" t="s">
        <v>1894</v>
      </c>
      <c r="G9007" s="222" t="s">
        <v>1111</v>
      </c>
      <c r="H9007" s="223"/>
      <c r="I9007" s="223"/>
      <c r="J9007" s="224" t="s">
        <v>55</v>
      </c>
      <c r="K9007" s="225">
        <f>13129957.07-7981707.07</f>
        <v>5148250</v>
      </c>
      <c r="L9007" s="225"/>
    </row>
    <row r="9008" spans="1:12" ht="11.25" customHeight="1" x14ac:dyDescent="0.2">
      <c r="A9008" s="164">
        <v>2025</v>
      </c>
      <c r="B9008" s="164">
        <v>9</v>
      </c>
      <c r="C9008" s="164">
        <v>2</v>
      </c>
      <c r="D9008" s="156">
        <f t="shared" si="1039"/>
        <v>45902</v>
      </c>
      <c r="E9008" s="235">
        <f t="shared" si="1042"/>
        <v>45902</v>
      </c>
      <c r="F9008" s="480"/>
      <c r="G9008" s="208" t="s">
        <v>1111</v>
      </c>
      <c r="J9008" s="165" t="s">
        <v>63</v>
      </c>
      <c r="K9008" s="205">
        <v>3000</v>
      </c>
      <c r="L9008" s="205"/>
    </row>
    <row r="9009" spans="1:12" ht="11.25" customHeight="1" x14ac:dyDescent="0.2">
      <c r="A9009" s="164">
        <v>2025</v>
      </c>
      <c r="B9009" s="164">
        <v>9</v>
      </c>
      <c r="C9009" s="164">
        <v>2</v>
      </c>
      <c r="D9009" s="156">
        <f t="shared" si="1039"/>
        <v>45902</v>
      </c>
      <c r="E9009" s="235">
        <f t="shared" si="1042"/>
        <v>45902</v>
      </c>
      <c r="F9009" s="480"/>
      <c r="G9009" s="208" t="s">
        <v>1111</v>
      </c>
      <c r="J9009" s="165" t="s">
        <v>131</v>
      </c>
      <c r="K9009" s="156"/>
      <c r="L9009" s="205">
        <v>151250</v>
      </c>
    </row>
    <row r="9010" spans="1:12" ht="11.25" customHeight="1" x14ac:dyDescent="0.2">
      <c r="A9010" s="226">
        <v>2025</v>
      </c>
      <c r="B9010" s="226">
        <v>9</v>
      </c>
      <c r="C9010" s="226">
        <v>2</v>
      </c>
      <c r="D9010" s="232">
        <f t="shared" si="1039"/>
        <v>45902</v>
      </c>
      <c r="E9010" s="234">
        <f t="shared" si="1042"/>
        <v>45902</v>
      </c>
      <c r="F9010" s="479"/>
      <c r="G9010" s="227" t="s">
        <v>1111</v>
      </c>
      <c r="H9010" s="228"/>
      <c r="I9010" s="228"/>
      <c r="J9010" s="229" t="s">
        <v>88</v>
      </c>
      <c r="K9010" s="230"/>
      <c r="L9010" s="230">
        <v>5000000</v>
      </c>
    </row>
    <row r="9011" spans="1:12" ht="11.25" customHeight="1" x14ac:dyDescent="0.2">
      <c r="A9011" s="221">
        <v>2025</v>
      </c>
      <c r="B9011" s="221">
        <v>9</v>
      </c>
      <c r="C9011" s="221">
        <v>2</v>
      </c>
      <c r="D9011" s="231">
        <f t="shared" si="1039"/>
        <v>45902</v>
      </c>
      <c r="E9011" s="233">
        <f t="shared" si="1042"/>
        <v>45902</v>
      </c>
      <c r="F9011" s="478" t="s">
        <v>1115</v>
      </c>
      <c r="G9011" s="222" t="s">
        <v>1111</v>
      </c>
      <c r="H9011" s="223"/>
      <c r="I9011" s="223"/>
      <c r="J9011" s="224" t="s">
        <v>14</v>
      </c>
      <c r="K9011" s="167">
        <v>138300</v>
      </c>
      <c r="L9011" s="225"/>
    </row>
    <row r="9012" spans="1:12" ht="11.25" customHeight="1" x14ac:dyDescent="0.2">
      <c r="A9012" s="164">
        <v>2025</v>
      </c>
      <c r="B9012" s="164">
        <v>9</v>
      </c>
      <c r="C9012" s="164">
        <v>2</v>
      </c>
      <c r="D9012" s="156">
        <f t="shared" si="1039"/>
        <v>45902</v>
      </c>
      <c r="E9012" s="235">
        <f t="shared" si="1042"/>
        <v>45902</v>
      </c>
      <c r="F9012" s="480"/>
      <c r="G9012" s="208" t="s">
        <v>1111</v>
      </c>
      <c r="J9012" s="165" t="s">
        <v>1112</v>
      </c>
      <c r="K9012" s="167">
        <v>32362.200000000012</v>
      </c>
      <c r="L9012" s="205"/>
    </row>
    <row r="9013" spans="1:12" ht="11.25" customHeight="1" x14ac:dyDescent="0.2">
      <c r="A9013" s="226">
        <v>2025</v>
      </c>
      <c r="B9013" s="226">
        <v>9</v>
      </c>
      <c r="C9013" s="226">
        <v>2</v>
      </c>
      <c r="D9013" s="232">
        <f t="shared" si="1039"/>
        <v>45902</v>
      </c>
      <c r="E9013" s="234">
        <f t="shared" si="1042"/>
        <v>45902</v>
      </c>
      <c r="F9013" s="479"/>
      <c r="G9013" s="227" t="s">
        <v>1111</v>
      </c>
      <c r="H9013" s="228"/>
      <c r="I9013" s="228"/>
      <c r="J9013" s="229" t="s">
        <v>55</v>
      </c>
      <c r="K9013" s="230"/>
      <c r="L9013" s="230">
        <v>170662.2</v>
      </c>
    </row>
    <row r="9014" spans="1:12" ht="11.25" customHeight="1" x14ac:dyDescent="0.2">
      <c r="A9014" s="221">
        <v>2025</v>
      </c>
      <c r="B9014" s="221">
        <v>9</v>
      </c>
      <c r="C9014" s="221">
        <v>2</v>
      </c>
      <c r="D9014" s="231">
        <f t="shared" si="1039"/>
        <v>45902</v>
      </c>
      <c r="E9014" s="233">
        <f t="shared" si="1042"/>
        <v>45902</v>
      </c>
      <c r="F9014" s="478" t="s">
        <v>802</v>
      </c>
      <c r="G9014" s="222" t="s">
        <v>1111</v>
      </c>
      <c r="H9014" s="223"/>
      <c r="I9014" s="223"/>
      <c r="J9014" s="224" t="s">
        <v>55</v>
      </c>
      <c r="K9014" s="167">
        <v>80000</v>
      </c>
      <c r="L9014" s="225"/>
    </row>
    <row r="9015" spans="1:12" ht="11.25" customHeight="1" x14ac:dyDescent="0.2">
      <c r="A9015" s="164">
        <v>2025</v>
      </c>
      <c r="B9015" s="164">
        <v>9</v>
      </c>
      <c r="C9015" s="164">
        <v>2</v>
      </c>
      <c r="D9015" s="156">
        <f t="shared" si="1039"/>
        <v>45902</v>
      </c>
      <c r="E9015" s="235">
        <f t="shared" si="1042"/>
        <v>45902</v>
      </c>
      <c r="F9015" s="480"/>
      <c r="G9015" s="208" t="s">
        <v>1111</v>
      </c>
      <c r="J9015" s="165" t="s">
        <v>14</v>
      </c>
      <c r="L9015" s="205">
        <v>64830</v>
      </c>
    </row>
    <row r="9016" spans="1:12" ht="11.25" customHeight="1" x14ac:dyDescent="0.2">
      <c r="A9016" s="226">
        <v>2025</v>
      </c>
      <c r="B9016" s="226">
        <v>9</v>
      </c>
      <c r="C9016" s="226">
        <v>2</v>
      </c>
      <c r="D9016" s="232">
        <f t="shared" si="1039"/>
        <v>45902</v>
      </c>
      <c r="E9016" s="234">
        <f t="shared" si="1042"/>
        <v>45902</v>
      </c>
      <c r="F9016" s="479"/>
      <c r="G9016" s="227" t="s">
        <v>1111</v>
      </c>
      <c r="H9016" s="228"/>
      <c r="I9016" s="228"/>
      <c r="J9016" s="229" t="s">
        <v>1112</v>
      </c>
      <c r="K9016" s="230"/>
      <c r="L9016" s="230">
        <v>15170</v>
      </c>
    </row>
    <row r="9017" spans="1:12" ht="11.25" customHeight="1" x14ac:dyDescent="0.2">
      <c r="A9017" s="221">
        <v>2025</v>
      </c>
      <c r="B9017" s="221">
        <v>9</v>
      </c>
      <c r="C9017" s="221">
        <v>2</v>
      </c>
      <c r="D9017" s="231">
        <f t="shared" si="1039"/>
        <v>45902</v>
      </c>
      <c r="E9017" s="233">
        <f t="shared" ref="E9017:E9022" si="1043">DATE(A9017,B9017,C9017)</f>
        <v>45902</v>
      </c>
      <c r="F9017" s="478" t="s">
        <v>802</v>
      </c>
      <c r="G9017" s="222" t="s">
        <v>1111</v>
      </c>
      <c r="H9017" s="223"/>
      <c r="I9017" s="223"/>
      <c r="J9017" s="224" t="s">
        <v>55</v>
      </c>
      <c r="K9017" s="167">
        <v>12340</v>
      </c>
      <c r="L9017" s="225"/>
    </row>
    <row r="9018" spans="1:12" ht="11.25" customHeight="1" x14ac:dyDescent="0.2">
      <c r="A9018" s="164">
        <v>2025</v>
      </c>
      <c r="B9018" s="164">
        <v>9</v>
      </c>
      <c r="C9018" s="164">
        <v>2</v>
      </c>
      <c r="D9018" s="156">
        <f t="shared" si="1039"/>
        <v>45902</v>
      </c>
      <c r="E9018" s="235">
        <f t="shared" si="1043"/>
        <v>45902</v>
      </c>
      <c r="F9018" s="480"/>
      <c r="G9018" s="208" t="s">
        <v>1111</v>
      </c>
      <c r="J9018" s="165" t="s">
        <v>14</v>
      </c>
      <c r="L9018" s="205">
        <v>10000</v>
      </c>
    </row>
    <row r="9019" spans="1:12" ht="11.25" customHeight="1" x14ac:dyDescent="0.2">
      <c r="A9019" s="226">
        <v>2025</v>
      </c>
      <c r="B9019" s="226">
        <v>9</v>
      </c>
      <c r="C9019" s="226">
        <v>2</v>
      </c>
      <c r="D9019" s="232">
        <f t="shared" si="1039"/>
        <v>45902</v>
      </c>
      <c r="E9019" s="234">
        <f t="shared" si="1043"/>
        <v>45902</v>
      </c>
      <c r="F9019" s="479"/>
      <c r="G9019" s="227" t="s">
        <v>1111</v>
      </c>
      <c r="H9019" s="228"/>
      <c r="I9019" s="228"/>
      <c r="J9019" s="229" t="s">
        <v>1112</v>
      </c>
      <c r="K9019" s="230"/>
      <c r="L9019" s="230">
        <v>2340</v>
      </c>
    </row>
    <row r="9020" spans="1:12" ht="11.25" customHeight="1" x14ac:dyDescent="0.2">
      <c r="A9020" s="221">
        <v>2025</v>
      </c>
      <c r="B9020" s="221">
        <v>9</v>
      </c>
      <c r="C9020" s="221">
        <v>2</v>
      </c>
      <c r="D9020" s="231">
        <f t="shared" si="1039"/>
        <v>45902</v>
      </c>
      <c r="E9020" s="233">
        <f t="shared" si="1043"/>
        <v>45902</v>
      </c>
      <c r="F9020" s="478" t="s">
        <v>1943</v>
      </c>
      <c r="G9020" s="222" t="s">
        <v>1111</v>
      </c>
      <c r="H9020" s="223"/>
      <c r="I9020" s="223"/>
      <c r="J9020" s="224" t="s">
        <v>194</v>
      </c>
      <c r="K9020" s="225">
        <v>66055.02</v>
      </c>
      <c r="L9020" s="225"/>
    </row>
    <row r="9021" spans="1:12" ht="11.25" customHeight="1" x14ac:dyDescent="0.2">
      <c r="A9021" s="164">
        <v>2025</v>
      </c>
      <c r="B9021" s="164">
        <v>9</v>
      </c>
      <c r="C9021" s="164">
        <v>2</v>
      </c>
      <c r="D9021" s="156">
        <f t="shared" si="1039"/>
        <v>45902</v>
      </c>
      <c r="E9021" s="235">
        <f t="shared" si="1043"/>
        <v>45902</v>
      </c>
      <c r="F9021" s="480"/>
      <c r="G9021" s="208" t="s">
        <v>1111</v>
      </c>
      <c r="J9021" s="165" t="s">
        <v>478</v>
      </c>
      <c r="K9021" s="205"/>
      <c r="L9021" s="205">
        <v>5743.92</v>
      </c>
    </row>
    <row r="9022" spans="1:12" ht="11.25" customHeight="1" x14ac:dyDescent="0.2">
      <c r="A9022" s="226">
        <v>2025</v>
      </c>
      <c r="B9022" s="226">
        <v>9</v>
      </c>
      <c r="C9022" s="226">
        <v>2</v>
      </c>
      <c r="D9022" s="232">
        <f t="shared" si="1039"/>
        <v>45902</v>
      </c>
      <c r="E9022" s="234">
        <f t="shared" si="1043"/>
        <v>45902</v>
      </c>
      <c r="F9022" s="479"/>
      <c r="G9022" s="227" t="s">
        <v>1111</v>
      </c>
      <c r="H9022" s="228"/>
      <c r="I9022" s="228"/>
      <c r="J9022" s="229" t="s">
        <v>55</v>
      </c>
      <c r="K9022" s="230"/>
      <c r="L9022" s="230">
        <v>60311.1</v>
      </c>
    </row>
    <row r="9023" spans="1:12" ht="11.25" customHeight="1" x14ac:dyDescent="0.2">
      <c r="A9023" s="221">
        <v>2025</v>
      </c>
      <c r="B9023" s="221">
        <v>9</v>
      </c>
      <c r="C9023" s="221">
        <v>2</v>
      </c>
      <c r="D9023" s="231">
        <f t="shared" si="1039"/>
        <v>45902</v>
      </c>
      <c r="E9023" s="233">
        <f>DATE(A9023,B9023,C9023)</f>
        <v>45902</v>
      </c>
      <c r="F9023" s="478" t="s">
        <v>1844</v>
      </c>
      <c r="G9023" s="222" t="s">
        <v>1111</v>
      </c>
      <c r="H9023" s="223"/>
      <c r="I9023" s="223"/>
      <c r="J9023" s="224" t="s">
        <v>55</v>
      </c>
      <c r="K9023" s="225">
        <v>170428.1</v>
      </c>
      <c r="L9023" s="225"/>
    </row>
    <row r="9024" spans="1:12" ht="11.25" customHeight="1" x14ac:dyDescent="0.2">
      <c r="A9024" s="226">
        <v>2025</v>
      </c>
      <c r="B9024" s="226">
        <v>9</v>
      </c>
      <c r="C9024" s="226">
        <v>2</v>
      </c>
      <c r="D9024" s="232">
        <f t="shared" si="1039"/>
        <v>45902</v>
      </c>
      <c r="E9024" s="234">
        <f>DATE(A9024,B9024,C9024)</f>
        <v>45902</v>
      </c>
      <c r="F9024" s="479"/>
      <c r="G9024" s="227" t="s">
        <v>1111</v>
      </c>
      <c r="H9024" s="228"/>
      <c r="I9024" s="228"/>
      <c r="J9024" s="229" t="s">
        <v>199</v>
      </c>
      <c r="K9024" s="230"/>
      <c r="L9024" s="230">
        <f>K9023</f>
        <v>170428.1</v>
      </c>
    </row>
    <row r="9025" spans="1:14" ht="11.25" customHeight="1" x14ac:dyDescent="0.2">
      <c r="A9025" s="221">
        <v>2025</v>
      </c>
      <c r="B9025" s="221">
        <v>9</v>
      </c>
      <c r="C9025" s="221">
        <v>3</v>
      </c>
      <c r="D9025" s="221">
        <f t="shared" si="1039"/>
        <v>45903</v>
      </c>
      <c r="E9025" s="233">
        <f t="shared" ref="E9025:E9032" si="1044">DATE(A9025,B9025,C9025)</f>
        <v>45903</v>
      </c>
      <c r="F9025" s="478" t="s">
        <v>1936</v>
      </c>
      <c r="G9025" s="222" t="s">
        <v>86</v>
      </c>
      <c r="H9025" s="222"/>
      <c r="I9025" s="223"/>
      <c r="J9025" s="224" t="s">
        <v>80</v>
      </c>
      <c r="K9025" s="225">
        <v>4395537.5</v>
      </c>
      <c r="L9025" s="225"/>
    </row>
    <row r="9026" spans="1:14" ht="11.25" customHeight="1" x14ac:dyDescent="0.2">
      <c r="A9026" s="164">
        <v>2025</v>
      </c>
      <c r="B9026" s="164">
        <v>9</v>
      </c>
      <c r="C9026" s="164">
        <v>3</v>
      </c>
      <c r="D9026" s="164">
        <f t="shared" si="1039"/>
        <v>45903</v>
      </c>
      <c r="E9026" s="235">
        <f t="shared" si="1044"/>
        <v>45903</v>
      </c>
      <c r="F9026" s="480"/>
      <c r="G9026" s="208" t="s">
        <v>86</v>
      </c>
      <c r="H9026" s="208"/>
      <c r="J9026" s="165" t="s">
        <v>960</v>
      </c>
      <c r="K9026" s="205">
        <v>7911.97</v>
      </c>
      <c r="L9026" s="205"/>
    </row>
    <row r="9027" spans="1:14" ht="11.25" customHeight="1" x14ac:dyDescent="0.2">
      <c r="A9027" s="226">
        <v>2025</v>
      </c>
      <c r="B9027" s="226">
        <v>9</v>
      </c>
      <c r="C9027" s="226">
        <v>3</v>
      </c>
      <c r="D9027" s="226">
        <f t="shared" si="1039"/>
        <v>45903</v>
      </c>
      <c r="E9027" s="234">
        <f t="shared" si="1044"/>
        <v>45903</v>
      </c>
      <c r="F9027" s="479"/>
      <c r="G9027" s="227" t="s">
        <v>86</v>
      </c>
      <c r="H9027" s="227"/>
      <c r="I9027" s="228"/>
      <c r="J9027" s="229" t="s">
        <v>143</v>
      </c>
      <c r="K9027" s="230"/>
      <c r="L9027" s="230">
        <v>4403449.47</v>
      </c>
    </row>
    <row r="9028" spans="1:14" ht="11.25" customHeight="1" x14ac:dyDescent="0.2">
      <c r="A9028" s="221">
        <v>2025</v>
      </c>
      <c r="B9028" s="221">
        <v>9</v>
      </c>
      <c r="C9028" s="221">
        <v>3</v>
      </c>
      <c r="D9028" s="221">
        <f t="shared" si="1039"/>
        <v>45903</v>
      </c>
      <c r="E9028" s="233">
        <f t="shared" si="1044"/>
        <v>45903</v>
      </c>
      <c r="F9028" s="478" t="s">
        <v>1886</v>
      </c>
      <c r="G9028" s="222" t="s">
        <v>86</v>
      </c>
      <c r="H9028" s="222"/>
      <c r="I9028" s="223"/>
      <c r="J9028" s="224" t="s">
        <v>80</v>
      </c>
      <c r="K9028" s="225">
        <v>763680</v>
      </c>
      <c r="L9028" s="225"/>
      <c r="N9028" s="263"/>
    </row>
    <row r="9029" spans="1:14" ht="11.25" customHeight="1" x14ac:dyDescent="0.2">
      <c r="A9029" s="164">
        <v>2025</v>
      </c>
      <c r="B9029" s="164">
        <v>9</v>
      </c>
      <c r="C9029" s="164">
        <v>3</v>
      </c>
      <c r="D9029" s="164">
        <f t="shared" si="1039"/>
        <v>45903</v>
      </c>
      <c r="E9029" s="235">
        <f t="shared" si="1044"/>
        <v>45903</v>
      </c>
      <c r="F9029" s="480"/>
      <c r="G9029" s="208" t="s">
        <v>86</v>
      </c>
      <c r="H9029" s="208"/>
      <c r="J9029" s="165" t="s">
        <v>960</v>
      </c>
      <c r="K9029" s="205">
        <v>1528.13</v>
      </c>
      <c r="L9029" s="205"/>
      <c r="M9029" s="263"/>
      <c r="N9029" s="263"/>
    </row>
    <row r="9030" spans="1:14" ht="11.25" customHeight="1" x14ac:dyDescent="0.2">
      <c r="A9030" s="164">
        <v>2025</v>
      </c>
      <c r="B9030" s="164">
        <v>9</v>
      </c>
      <c r="C9030" s="164">
        <v>3</v>
      </c>
      <c r="D9030" s="164">
        <f t="shared" si="1039"/>
        <v>45903</v>
      </c>
      <c r="E9030" s="235">
        <f t="shared" si="1044"/>
        <v>45903</v>
      </c>
      <c r="F9030" s="480"/>
      <c r="G9030" s="208" t="s">
        <v>86</v>
      </c>
      <c r="H9030" s="208"/>
      <c r="J9030" s="165" t="s">
        <v>143</v>
      </c>
      <c r="K9030" s="263"/>
      <c r="L9030" s="205">
        <v>679925.63</v>
      </c>
      <c r="M9030" s="263"/>
    </row>
    <row r="9031" spans="1:14" ht="11.25" customHeight="1" x14ac:dyDescent="0.2">
      <c r="A9031" s="164">
        <v>2025</v>
      </c>
      <c r="B9031" s="164">
        <v>9</v>
      </c>
      <c r="C9031" s="164">
        <v>3</v>
      </c>
      <c r="D9031" s="164">
        <f t="shared" si="1039"/>
        <v>45903</v>
      </c>
      <c r="E9031" s="235">
        <f t="shared" si="1044"/>
        <v>45903</v>
      </c>
      <c r="F9031" s="480"/>
      <c r="G9031" s="208" t="s">
        <v>86</v>
      </c>
      <c r="H9031" s="208"/>
      <c r="J9031" s="165" t="s">
        <v>200</v>
      </c>
      <c r="K9031" s="205"/>
      <c r="L9031" s="205">
        <v>7537.89</v>
      </c>
      <c r="M9031" s="263"/>
    </row>
    <row r="9032" spans="1:14" ht="11.25" customHeight="1" x14ac:dyDescent="0.2">
      <c r="A9032" s="226">
        <v>2025</v>
      </c>
      <c r="B9032" s="226">
        <v>9</v>
      </c>
      <c r="C9032" s="226">
        <v>3</v>
      </c>
      <c r="D9032" s="226">
        <f t="shared" si="1039"/>
        <v>45903</v>
      </c>
      <c r="E9032" s="234">
        <f t="shared" si="1044"/>
        <v>45903</v>
      </c>
      <c r="F9032" s="479"/>
      <c r="G9032" s="227" t="s">
        <v>86</v>
      </c>
      <c r="H9032" s="228"/>
      <c r="I9032" s="228"/>
      <c r="J9032" s="229" t="s">
        <v>80</v>
      </c>
      <c r="K9032" s="230"/>
      <c r="L9032" s="230">
        <v>77744.61</v>
      </c>
      <c r="M9032" s="263"/>
    </row>
    <row r="9033" spans="1:14" ht="11.25" customHeight="1" x14ac:dyDescent="0.2">
      <c r="A9033" s="221">
        <v>2025</v>
      </c>
      <c r="B9033" s="221">
        <v>9</v>
      </c>
      <c r="C9033" s="221">
        <v>3</v>
      </c>
      <c r="D9033" s="231">
        <f t="shared" ref="D9033:D9096" si="1045">DATE(A9033,B9033,C9033)</f>
        <v>45903</v>
      </c>
      <c r="E9033" s="233">
        <f t="shared" si="1042"/>
        <v>45903</v>
      </c>
      <c r="F9033" s="478" t="s">
        <v>802</v>
      </c>
      <c r="G9033" s="222" t="s">
        <v>1111</v>
      </c>
      <c r="H9033" s="223"/>
      <c r="I9033" s="223"/>
      <c r="J9033" s="224" t="s">
        <v>55</v>
      </c>
      <c r="K9033" s="167">
        <v>300000</v>
      </c>
      <c r="L9033" s="225"/>
    </row>
    <row r="9034" spans="1:14" ht="11.25" customHeight="1" x14ac:dyDescent="0.2">
      <c r="A9034" s="164">
        <v>2025</v>
      </c>
      <c r="B9034" s="164">
        <v>9</v>
      </c>
      <c r="C9034" s="164">
        <v>3</v>
      </c>
      <c r="D9034" s="156">
        <f t="shared" si="1045"/>
        <v>45903</v>
      </c>
      <c r="E9034" s="235">
        <f t="shared" si="1042"/>
        <v>45903</v>
      </c>
      <c r="F9034" s="480"/>
      <c r="G9034" s="208" t="s">
        <v>1111</v>
      </c>
      <c r="J9034" s="165" t="s">
        <v>14</v>
      </c>
      <c r="L9034" s="205">
        <v>243110</v>
      </c>
    </row>
    <row r="9035" spans="1:14" ht="11.25" customHeight="1" x14ac:dyDescent="0.2">
      <c r="A9035" s="226">
        <v>2025</v>
      </c>
      <c r="B9035" s="226">
        <v>9</v>
      </c>
      <c r="C9035" s="226">
        <v>3</v>
      </c>
      <c r="D9035" s="232">
        <f t="shared" si="1045"/>
        <v>45903</v>
      </c>
      <c r="E9035" s="234">
        <f t="shared" si="1042"/>
        <v>45903</v>
      </c>
      <c r="F9035" s="479"/>
      <c r="G9035" s="227" t="s">
        <v>1111</v>
      </c>
      <c r="H9035" s="228"/>
      <c r="I9035" s="228"/>
      <c r="J9035" s="229" t="s">
        <v>1112</v>
      </c>
      <c r="K9035" s="230"/>
      <c r="L9035" s="230">
        <v>56890</v>
      </c>
    </row>
    <row r="9036" spans="1:14" ht="11.25" customHeight="1" x14ac:dyDescent="0.2">
      <c r="A9036" s="221">
        <v>2025</v>
      </c>
      <c r="B9036" s="221">
        <v>9</v>
      </c>
      <c r="C9036" s="221">
        <v>3</v>
      </c>
      <c r="D9036" s="231">
        <f t="shared" si="1045"/>
        <v>45903</v>
      </c>
      <c r="E9036" s="233">
        <f t="shared" ref="E9036:E9038" si="1046">DATE(A9036,B9036,C9036)</f>
        <v>45903</v>
      </c>
      <c r="F9036" s="478" t="s">
        <v>802</v>
      </c>
      <c r="G9036" s="222" t="s">
        <v>1111</v>
      </c>
      <c r="H9036" s="223"/>
      <c r="I9036" s="223"/>
      <c r="J9036" s="224" t="s">
        <v>55</v>
      </c>
      <c r="K9036" s="167">
        <v>200000</v>
      </c>
      <c r="L9036" s="225"/>
    </row>
    <row r="9037" spans="1:14" ht="11.25" customHeight="1" x14ac:dyDescent="0.2">
      <c r="A9037" s="164">
        <v>2025</v>
      </c>
      <c r="B9037" s="164">
        <v>9</v>
      </c>
      <c r="C9037" s="164">
        <v>3</v>
      </c>
      <c r="D9037" s="156">
        <f t="shared" si="1045"/>
        <v>45903</v>
      </c>
      <c r="E9037" s="235">
        <f t="shared" si="1046"/>
        <v>45903</v>
      </c>
      <c r="F9037" s="480"/>
      <c r="G9037" s="208" t="s">
        <v>1111</v>
      </c>
      <c r="J9037" s="165" t="s">
        <v>14</v>
      </c>
      <c r="L9037" s="205">
        <v>162070</v>
      </c>
    </row>
    <row r="9038" spans="1:14" ht="11.25" customHeight="1" x14ac:dyDescent="0.2">
      <c r="A9038" s="226">
        <v>2025</v>
      </c>
      <c r="B9038" s="226">
        <v>9</v>
      </c>
      <c r="C9038" s="226">
        <v>3</v>
      </c>
      <c r="D9038" s="232">
        <f t="shared" si="1045"/>
        <v>45903</v>
      </c>
      <c r="E9038" s="234">
        <f t="shared" si="1046"/>
        <v>45903</v>
      </c>
      <c r="F9038" s="479"/>
      <c r="G9038" s="227" t="s">
        <v>1111</v>
      </c>
      <c r="H9038" s="228"/>
      <c r="I9038" s="228"/>
      <c r="J9038" s="229" t="s">
        <v>1112</v>
      </c>
      <c r="K9038" s="230"/>
      <c r="L9038" s="230">
        <v>37930</v>
      </c>
    </row>
    <row r="9039" spans="1:14" ht="11.25" customHeight="1" x14ac:dyDescent="0.2">
      <c r="A9039" s="221">
        <v>2025</v>
      </c>
      <c r="B9039" s="221">
        <v>9</v>
      </c>
      <c r="C9039" s="221">
        <v>3</v>
      </c>
      <c r="D9039" s="231">
        <f t="shared" si="1045"/>
        <v>45903</v>
      </c>
      <c r="E9039" s="233">
        <f t="shared" si="1042"/>
        <v>45903</v>
      </c>
      <c r="F9039" s="478" t="s">
        <v>802</v>
      </c>
      <c r="G9039" s="222" t="s">
        <v>1111</v>
      </c>
      <c r="H9039" s="223"/>
      <c r="I9039" s="223"/>
      <c r="J9039" s="224" t="s">
        <v>55</v>
      </c>
      <c r="K9039" s="167">
        <v>300000</v>
      </c>
      <c r="L9039" s="225"/>
    </row>
    <row r="9040" spans="1:14" ht="11.25" customHeight="1" x14ac:dyDescent="0.2">
      <c r="A9040" s="164">
        <v>2025</v>
      </c>
      <c r="B9040" s="164">
        <v>9</v>
      </c>
      <c r="C9040" s="164">
        <v>3</v>
      </c>
      <c r="D9040" s="156">
        <f t="shared" si="1045"/>
        <v>45903</v>
      </c>
      <c r="E9040" s="235">
        <f t="shared" si="1042"/>
        <v>45903</v>
      </c>
      <c r="F9040" s="480"/>
      <c r="G9040" s="208" t="s">
        <v>1111</v>
      </c>
      <c r="J9040" s="165" t="s">
        <v>14</v>
      </c>
      <c r="L9040" s="205">
        <v>243110</v>
      </c>
    </row>
    <row r="9041" spans="1:13" ht="11.25" customHeight="1" x14ac:dyDescent="0.2">
      <c r="A9041" s="226">
        <v>2025</v>
      </c>
      <c r="B9041" s="226">
        <v>9</v>
      </c>
      <c r="C9041" s="226">
        <v>3</v>
      </c>
      <c r="D9041" s="232">
        <f t="shared" si="1045"/>
        <v>45903</v>
      </c>
      <c r="E9041" s="234">
        <f t="shared" si="1042"/>
        <v>45903</v>
      </c>
      <c r="F9041" s="479"/>
      <c r="G9041" s="227" t="s">
        <v>1111</v>
      </c>
      <c r="H9041" s="228"/>
      <c r="I9041" s="228"/>
      <c r="J9041" s="229" t="s">
        <v>1112</v>
      </c>
      <c r="K9041" s="230"/>
      <c r="L9041" s="230">
        <v>56890</v>
      </c>
    </row>
    <row r="9042" spans="1:13" ht="11.25" customHeight="1" x14ac:dyDescent="0.2">
      <c r="A9042" s="221">
        <v>2025</v>
      </c>
      <c r="B9042" s="221">
        <v>9</v>
      </c>
      <c r="C9042" s="221">
        <v>3</v>
      </c>
      <c r="D9042" s="231">
        <f t="shared" si="1045"/>
        <v>45903</v>
      </c>
      <c r="E9042" s="233">
        <f t="shared" ref="E9042:E9051" si="1047">DATE(A9042,B9042,C9042)</f>
        <v>45903</v>
      </c>
      <c r="F9042" s="478" t="s">
        <v>802</v>
      </c>
      <c r="G9042" s="222" t="s">
        <v>1111</v>
      </c>
      <c r="H9042" s="223"/>
      <c r="I9042" s="223"/>
      <c r="J9042" s="224" t="s">
        <v>55</v>
      </c>
      <c r="K9042" s="167">
        <v>500000</v>
      </c>
      <c r="L9042" s="225"/>
    </row>
    <row r="9043" spans="1:13" ht="11.25" customHeight="1" x14ac:dyDescent="0.2">
      <c r="A9043" s="164">
        <v>2025</v>
      </c>
      <c r="B9043" s="164">
        <v>9</v>
      </c>
      <c r="C9043" s="164">
        <v>3</v>
      </c>
      <c r="D9043" s="156">
        <f t="shared" si="1045"/>
        <v>45903</v>
      </c>
      <c r="E9043" s="235">
        <f t="shared" si="1047"/>
        <v>45903</v>
      </c>
      <c r="F9043" s="480"/>
      <c r="G9043" s="208" t="s">
        <v>1111</v>
      </c>
      <c r="J9043" s="165" t="s">
        <v>14</v>
      </c>
      <c r="L9043" s="205">
        <v>405190</v>
      </c>
    </row>
    <row r="9044" spans="1:13" ht="11.25" customHeight="1" x14ac:dyDescent="0.2">
      <c r="A9044" s="226">
        <v>2025</v>
      </c>
      <c r="B9044" s="226">
        <v>9</v>
      </c>
      <c r="C9044" s="226">
        <v>3</v>
      </c>
      <c r="D9044" s="232">
        <f t="shared" si="1045"/>
        <v>45903</v>
      </c>
      <c r="E9044" s="234">
        <f t="shared" si="1047"/>
        <v>45903</v>
      </c>
      <c r="F9044" s="479"/>
      <c r="G9044" s="227" t="s">
        <v>1111</v>
      </c>
      <c r="H9044" s="228"/>
      <c r="I9044" s="228"/>
      <c r="J9044" s="229" t="s">
        <v>1112</v>
      </c>
      <c r="K9044" s="230"/>
      <c r="L9044" s="230">
        <v>94810</v>
      </c>
    </row>
    <row r="9045" spans="1:13" ht="11.25" customHeight="1" x14ac:dyDescent="0.2">
      <c r="A9045" s="221">
        <v>2025</v>
      </c>
      <c r="B9045" s="221">
        <v>9</v>
      </c>
      <c r="C9045" s="221">
        <v>3</v>
      </c>
      <c r="D9045" s="231">
        <f t="shared" si="1045"/>
        <v>45903</v>
      </c>
      <c r="E9045" s="233">
        <f t="shared" si="1047"/>
        <v>45903</v>
      </c>
      <c r="F9045" s="478" t="s">
        <v>1670</v>
      </c>
      <c r="G9045" s="222" t="s">
        <v>1111</v>
      </c>
      <c r="H9045" s="223"/>
      <c r="I9045" s="223"/>
      <c r="J9045" s="224" t="s">
        <v>63</v>
      </c>
      <c r="K9045" s="225">
        <v>25</v>
      </c>
      <c r="L9045" s="225"/>
    </row>
    <row r="9046" spans="1:13" ht="11.25" customHeight="1" x14ac:dyDescent="0.2">
      <c r="A9046" s="226">
        <v>2025</v>
      </c>
      <c r="B9046" s="226">
        <v>9</v>
      </c>
      <c r="C9046" s="226">
        <v>3</v>
      </c>
      <c r="D9046" s="232">
        <f t="shared" si="1045"/>
        <v>45903</v>
      </c>
      <c r="E9046" s="234">
        <f t="shared" si="1047"/>
        <v>45903</v>
      </c>
      <c r="F9046" s="479"/>
      <c r="G9046" s="227" t="s">
        <v>1111</v>
      </c>
      <c r="H9046" s="228"/>
      <c r="I9046" s="228"/>
      <c r="J9046" s="229" t="s">
        <v>55</v>
      </c>
      <c r="K9046" s="230"/>
      <c r="L9046" s="230">
        <f>K9045</f>
        <v>25</v>
      </c>
    </row>
    <row r="9047" spans="1:13" ht="11.25" customHeight="1" x14ac:dyDescent="0.2">
      <c r="A9047" s="221">
        <v>2025</v>
      </c>
      <c r="B9047" s="221">
        <v>9</v>
      </c>
      <c r="C9047" s="221">
        <v>3</v>
      </c>
      <c r="D9047" s="231">
        <f t="shared" si="1045"/>
        <v>45903</v>
      </c>
      <c r="E9047" s="233">
        <f>DATE(A9047,B9047,C9047)</f>
        <v>45903</v>
      </c>
      <c r="F9047" s="478" t="s">
        <v>1844</v>
      </c>
      <c r="G9047" s="222" t="s">
        <v>1111</v>
      </c>
      <c r="H9047" s="223"/>
      <c r="I9047" s="223"/>
      <c r="J9047" s="224" t="s">
        <v>55</v>
      </c>
      <c r="K9047" s="225">
        <v>36698.879999999997</v>
      </c>
      <c r="L9047" s="225"/>
    </row>
    <row r="9048" spans="1:13" ht="11.25" customHeight="1" x14ac:dyDescent="0.2">
      <c r="A9048" s="226">
        <v>2025</v>
      </c>
      <c r="B9048" s="226">
        <v>9</v>
      </c>
      <c r="C9048" s="226">
        <v>3</v>
      </c>
      <c r="D9048" s="232">
        <f t="shared" si="1045"/>
        <v>45903</v>
      </c>
      <c r="E9048" s="234">
        <f>DATE(A9048,B9048,C9048)</f>
        <v>45903</v>
      </c>
      <c r="F9048" s="479"/>
      <c r="G9048" s="227" t="s">
        <v>1111</v>
      </c>
      <c r="H9048" s="228"/>
      <c r="I9048" s="228"/>
      <c r="J9048" s="229" t="s">
        <v>199</v>
      </c>
      <c r="K9048" s="230"/>
      <c r="L9048" s="230">
        <f>K9047</f>
        <v>36698.879999999997</v>
      </c>
    </row>
    <row r="9049" spans="1:13" ht="11.25" customHeight="1" x14ac:dyDescent="0.2">
      <c r="A9049" s="221">
        <v>2025</v>
      </c>
      <c r="B9049" s="221">
        <v>9</v>
      </c>
      <c r="C9049" s="221">
        <v>3</v>
      </c>
      <c r="D9049" s="231">
        <f t="shared" si="1045"/>
        <v>45903</v>
      </c>
      <c r="E9049" s="233">
        <f t="shared" si="1047"/>
        <v>45903</v>
      </c>
      <c r="F9049" s="478" t="s">
        <v>1196</v>
      </c>
      <c r="G9049" s="222" t="s">
        <v>1111</v>
      </c>
      <c r="H9049" s="223"/>
      <c r="I9049" s="223"/>
      <c r="J9049" s="224" t="s">
        <v>95</v>
      </c>
      <c r="K9049" s="225">
        <v>17818.86</v>
      </c>
      <c r="L9049" s="225"/>
      <c r="M9049" s="166"/>
    </row>
    <row r="9050" spans="1:13" ht="11.25" customHeight="1" x14ac:dyDescent="0.2">
      <c r="A9050" s="164">
        <v>2025</v>
      </c>
      <c r="B9050" s="164">
        <v>9</v>
      </c>
      <c r="C9050" s="164">
        <v>3</v>
      </c>
      <c r="D9050" s="156">
        <f t="shared" si="1045"/>
        <v>45903</v>
      </c>
      <c r="E9050" s="235">
        <f t="shared" si="1047"/>
        <v>45903</v>
      </c>
      <c r="F9050" s="480"/>
      <c r="G9050" s="208" t="s">
        <v>1111</v>
      </c>
      <c r="J9050" s="165" t="s">
        <v>478</v>
      </c>
      <c r="K9050" s="205"/>
      <c r="L9050" s="205">
        <v>1781.89</v>
      </c>
    </row>
    <row r="9051" spans="1:13" ht="11.25" customHeight="1" x14ac:dyDescent="0.2">
      <c r="A9051" s="226">
        <v>2025</v>
      </c>
      <c r="B9051" s="226">
        <v>9</v>
      </c>
      <c r="C9051" s="226">
        <v>3</v>
      </c>
      <c r="D9051" s="232">
        <f t="shared" si="1045"/>
        <v>45903</v>
      </c>
      <c r="E9051" s="234">
        <f t="shared" si="1047"/>
        <v>45903</v>
      </c>
      <c r="F9051" s="479"/>
      <c r="G9051" s="227" t="s">
        <v>1111</v>
      </c>
      <c r="H9051" s="228"/>
      <c r="I9051" s="228"/>
      <c r="J9051" s="229" t="s">
        <v>55</v>
      </c>
      <c r="K9051" s="230"/>
      <c r="L9051" s="230">
        <v>16036.97</v>
      </c>
    </row>
    <row r="9052" spans="1:13" ht="11.25" customHeight="1" x14ac:dyDescent="0.2">
      <c r="A9052" s="221">
        <v>2025</v>
      </c>
      <c r="B9052" s="221">
        <v>9</v>
      </c>
      <c r="C9052" s="221">
        <v>4</v>
      </c>
      <c r="D9052" s="231">
        <f t="shared" si="1045"/>
        <v>45904</v>
      </c>
      <c r="E9052" s="233">
        <f t="shared" si="1042"/>
        <v>45904</v>
      </c>
      <c r="F9052" s="478" t="s">
        <v>802</v>
      </c>
      <c r="G9052" s="222" t="s">
        <v>1111</v>
      </c>
      <c r="H9052" s="223"/>
      <c r="I9052" s="223"/>
      <c r="J9052" s="224" t="s">
        <v>55</v>
      </c>
      <c r="K9052" s="167">
        <v>200000</v>
      </c>
      <c r="L9052" s="225"/>
    </row>
    <row r="9053" spans="1:13" ht="11.25" customHeight="1" x14ac:dyDescent="0.2">
      <c r="A9053" s="164">
        <v>2025</v>
      </c>
      <c r="B9053" s="164">
        <v>9</v>
      </c>
      <c r="C9053" s="164">
        <v>4</v>
      </c>
      <c r="D9053" s="156">
        <f t="shared" si="1045"/>
        <v>45904</v>
      </c>
      <c r="E9053" s="235">
        <f t="shared" si="1042"/>
        <v>45904</v>
      </c>
      <c r="F9053" s="480"/>
      <c r="G9053" s="208" t="s">
        <v>1111</v>
      </c>
      <c r="J9053" s="165" t="s">
        <v>14</v>
      </c>
      <c r="L9053" s="205">
        <v>162070</v>
      </c>
    </row>
    <row r="9054" spans="1:13" ht="11.25" customHeight="1" x14ac:dyDescent="0.2">
      <c r="A9054" s="226">
        <v>2025</v>
      </c>
      <c r="B9054" s="226">
        <v>9</v>
      </c>
      <c r="C9054" s="226">
        <v>4</v>
      </c>
      <c r="D9054" s="232">
        <f t="shared" si="1045"/>
        <v>45904</v>
      </c>
      <c r="E9054" s="234">
        <f t="shared" si="1042"/>
        <v>45904</v>
      </c>
      <c r="F9054" s="479"/>
      <c r="G9054" s="227" t="s">
        <v>1111</v>
      </c>
      <c r="H9054" s="228"/>
      <c r="I9054" s="228"/>
      <c r="J9054" s="229" t="s">
        <v>1112</v>
      </c>
      <c r="K9054" s="230"/>
      <c r="L9054" s="230">
        <v>37930</v>
      </c>
    </row>
    <row r="9055" spans="1:13" ht="11.25" customHeight="1" x14ac:dyDescent="0.2">
      <c r="A9055" s="221">
        <v>2025</v>
      </c>
      <c r="B9055" s="221">
        <v>9</v>
      </c>
      <c r="C9055" s="221">
        <v>4</v>
      </c>
      <c r="D9055" s="231">
        <f t="shared" si="1045"/>
        <v>45904</v>
      </c>
      <c r="E9055" s="233">
        <f t="shared" ref="E9055:E9057" si="1048">DATE(A9055,B9055,C9055)</f>
        <v>45904</v>
      </c>
      <c r="F9055" s="478" t="s">
        <v>1115</v>
      </c>
      <c r="G9055" s="222" t="s">
        <v>1111</v>
      </c>
      <c r="H9055" s="223"/>
      <c r="I9055" s="223"/>
      <c r="J9055" s="224" t="s">
        <v>14</v>
      </c>
      <c r="K9055" s="167">
        <v>81040</v>
      </c>
      <c r="L9055" s="225"/>
    </row>
    <row r="9056" spans="1:13" ht="11.25" customHeight="1" x14ac:dyDescent="0.2">
      <c r="A9056" s="164">
        <v>2025</v>
      </c>
      <c r="B9056" s="164">
        <v>9</v>
      </c>
      <c r="C9056" s="164">
        <v>4</v>
      </c>
      <c r="D9056" s="156">
        <f t="shared" si="1045"/>
        <v>45904</v>
      </c>
      <c r="E9056" s="235">
        <f t="shared" si="1048"/>
        <v>45904</v>
      </c>
      <c r="F9056" s="480"/>
      <c r="G9056" s="208" t="s">
        <v>1111</v>
      </c>
      <c r="J9056" s="165" t="s">
        <v>1112</v>
      </c>
      <c r="K9056" s="167">
        <v>18960</v>
      </c>
      <c r="L9056" s="205"/>
    </row>
    <row r="9057" spans="1:12" ht="11.25" customHeight="1" x14ac:dyDescent="0.2">
      <c r="A9057" s="226">
        <v>2025</v>
      </c>
      <c r="B9057" s="226">
        <v>9</v>
      </c>
      <c r="C9057" s="226">
        <v>4</v>
      </c>
      <c r="D9057" s="232">
        <f t="shared" si="1045"/>
        <v>45904</v>
      </c>
      <c r="E9057" s="234">
        <f t="shared" si="1048"/>
        <v>45904</v>
      </c>
      <c r="F9057" s="479"/>
      <c r="G9057" s="227" t="s">
        <v>1111</v>
      </c>
      <c r="H9057" s="228"/>
      <c r="I9057" s="228"/>
      <c r="J9057" s="229" t="s">
        <v>55</v>
      </c>
      <c r="K9057" s="230"/>
      <c r="L9057" s="230">
        <v>100000</v>
      </c>
    </row>
    <row r="9058" spans="1:12" ht="11.25" customHeight="1" x14ac:dyDescent="0.2">
      <c r="A9058" s="221">
        <v>2025</v>
      </c>
      <c r="B9058" s="221">
        <v>9</v>
      </c>
      <c r="C9058" s="221">
        <v>4</v>
      </c>
      <c r="D9058" s="231">
        <f t="shared" si="1045"/>
        <v>45904</v>
      </c>
      <c r="E9058" s="233">
        <f t="shared" ref="E9058:E9060" si="1049">DATE(A9058,B9058,C9058)</f>
        <v>45904</v>
      </c>
      <c r="F9058" s="478" t="s">
        <v>802</v>
      </c>
      <c r="G9058" s="222" t="s">
        <v>1111</v>
      </c>
      <c r="H9058" s="223"/>
      <c r="I9058" s="223"/>
      <c r="J9058" s="224" t="s">
        <v>55</v>
      </c>
      <c r="K9058" s="167">
        <v>667535</v>
      </c>
      <c r="L9058" s="225"/>
    </row>
    <row r="9059" spans="1:12" ht="11.25" customHeight="1" x14ac:dyDescent="0.2">
      <c r="A9059" s="164">
        <v>2025</v>
      </c>
      <c r="B9059" s="164">
        <v>9</v>
      </c>
      <c r="C9059" s="164">
        <v>4</v>
      </c>
      <c r="D9059" s="156">
        <f t="shared" si="1045"/>
        <v>45904</v>
      </c>
      <c r="E9059" s="235">
        <f t="shared" si="1049"/>
        <v>45904</v>
      </c>
      <c r="F9059" s="480"/>
      <c r="G9059" s="208" t="s">
        <v>1111</v>
      </c>
      <c r="J9059" s="165" t="s">
        <v>14</v>
      </c>
      <c r="L9059" s="205">
        <v>540950</v>
      </c>
    </row>
    <row r="9060" spans="1:12" ht="11.25" customHeight="1" x14ac:dyDescent="0.2">
      <c r="A9060" s="226">
        <v>2025</v>
      </c>
      <c r="B9060" s="226">
        <v>9</v>
      </c>
      <c r="C9060" s="226">
        <v>4</v>
      </c>
      <c r="D9060" s="232">
        <f t="shared" si="1045"/>
        <v>45904</v>
      </c>
      <c r="E9060" s="234">
        <f t="shared" si="1049"/>
        <v>45904</v>
      </c>
      <c r="F9060" s="479"/>
      <c r="G9060" s="227" t="s">
        <v>1111</v>
      </c>
      <c r="H9060" s="228"/>
      <c r="I9060" s="228"/>
      <c r="J9060" s="229" t="s">
        <v>1112</v>
      </c>
      <c r="K9060" s="230"/>
      <c r="L9060" s="230">
        <v>126585</v>
      </c>
    </row>
    <row r="9061" spans="1:12" ht="11.25" customHeight="1" x14ac:dyDescent="0.2">
      <c r="A9061" s="221">
        <v>2025</v>
      </c>
      <c r="B9061" s="221">
        <v>9</v>
      </c>
      <c r="C9061" s="221">
        <v>4</v>
      </c>
      <c r="D9061" s="231">
        <f t="shared" si="1045"/>
        <v>45904</v>
      </c>
      <c r="E9061" s="233">
        <f t="shared" ref="E9061:E9067" si="1050">DATE(A9061,B9061,C9061)</f>
        <v>45904</v>
      </c>
      <c r="F9061" s="478" t="s">
        <v>802</v>
      </c>
      <c r="G9061" s="222" t="s">
        <v>1111</v>
      </c>
      <c r="H9061" s="223"/>
      <c r="I9061" s="223"/>
      <c r="J9061" s="224" t="s">
        <v>55</v>
      </c>
      <c r="K9061" s="167">
        <v>300000</v>
      </c>
      <c r="L9061" s="225"/>
    </row>
    <row r="9062" spans="1:12" ht="11.25" customHeight="1" x14ac:dyDescent="0.2">
      <c r="A9062" s="164">
        <v>2025</v>
      </c>
      <c r="B9062" s="164">
        <v>9</v>
      </c>
      <c r="C9062" s="164">
        <v>4</v>
      </c>
      <c r="D9062" s="156">
        <f t="shared" si="1045"/>
        <v>45904</v>
      </c>
      <c r="E9062" s="235">
        <f t="shared" si="1050"/>
        <v>45904</v>
      </c>
      <c r="F9062" s="480"/>
      <c r="G9062" s="208" t="s">
        <v>1111</v>
      </c>
      <c r="J9062" s="165" t="s">
        <v>14</v>
      </c>
      <c r="L9062" s="205">
        <v>243110</v>
      </c>
    </row>
    <row r="9063" spans="1:12" ht="11.25" customHeight="1" x14ac:dyDescent="0.2">
      <c r="A9063" s="226">
        <v>2025</v>
      </c>
      <c r="B9063" s="226">
        <v>9</v>
      </c>
      <c r="C9063" s="226">
        <v>4</v>
      </c>
      <c r="D9063" s="232">
        <f t="shared" si="1045"/>
        <v>45904</v>
      </c>
      <c r="E9063" s="234">
        <f t="shared" si="1050"/>
        <v>45904</v>
      </c>
      <c r="F9063" s="479"/>
      <c r="G9063" s="227" t="s">
        <v>1111</v>
      </c>
      <c r="H9063" s="228"/>
      <c r="I9063" s="228"/>
      <c r="J9063" s="229" t="s">
        <v>1112</v>
      </c>
      <c r="K9063" s="230"/>
      <c r="L9063" s="230">
        <v>56890</v>
      </c>
    </row>
    <row r="9064" spans="1:12" ht="11.25" customHeight="1" x14ac:dyDescent="0.2">
      <c r="A9064" s="221">
        <v>2025</v>
      </c>
      <c r="B9064" s="221">
        <v>9</v>
      </c>
      <c r="C9064" s="221">
        <v>4</v>
      </c>
      <c r="D9064" s="231">
        <f t="shared" si="1045"/>
        <v>45904</v>
      </c>
      <c r="E9064" s="233">
        <f t="shared" si="1050"/>
        <v>45904</v>
      </c>
      <c r="F9064" s="478" t="s">
        <v>1670</v>
      </c>
      <c r="G9064" s="222" t="s">
        <v>1111</v>
      </c>
      <c r="H9064" s="223"/>
      <c r="I9064" s="223"/>
      <c r="J9064" s="224" t="s">
        <v>63</v>
      </c>
      <c r="K9064" s="225">
        <v>58</v>
      </c>
      <c r="L9064" s="225"/>
    </row>
    <row r="9065" spans="1:12" ht="11.25" customHeight="1" x14ac:dyDescent="0.2">
      <c r="A9065" s="226">
        <v>2025</v>
      </c>
      <c r="B9065" s="226">
        <v>9</v>
      </c>
      <c r="C9065" s="226">
        <v>4</v>
      </c>
      <c r="D9065" s="232">
        <f t="shared" si="1045"/>
        <v>45904</v>
      </c>
      <c r="E9065" s="234">
        <f t="shared" si="1050"/>
        <v>45904</v>
      </c>
      <c r="F9065" s="479"/>
      <c r="G9065" s="227" t="s">
        <v>1111</v>
      </c>
      <c r="H9065" s="228"/>
      <c r="I9065" s="228"/>
      <c r="J9065" s="229" t="s">
        <v>55</v>
      </c>
      <c r="K9065" s="230"/>
      <c r="L9065" s="230">
        <f>K9064</f>
        <v>58</v>
      </c>
    </row>
    <row r="9066" spans="1:12" ht="11.25" customHeight="1" x14ac:dyDescent="0.2">
      <c r="A9066" s="221">
        <v>2025</v>
      </c>
      <c r="B9066" s="221">
        <v>9</v>
      </c>
      <c r="C9066" s="221">
        <v>4</v>
      </c>
      <c r="D9066" s="231">
        <f t="shared" si="1045"/>
        <v>45904</v>
      </c>
      <c r="E9066" s="233">
        <f t="shared" si="1050"/>
        <v>45904</v>
      </c>
      <c r="F9066" s="478" t="s">
        <v>1940</v>
      </c>
      <c r="G9066" s="222" t="s">
        <v>1111</v>
      </c>
      <c r="H9066" s="223"/>
      <c r="I9066" s="223"/>
      <c r="J9066" s="224" t="s">
        <v>961</v>
      </c>
      <c r="K9066" s="225">
        <v>755732.88</v>
      </c>
      <c r="L9066" s="225"/>
    </row>
    <row r="9067" spans="1:12" ht="11.25" customHeight="1" x14ac:dyDescent="0.2">
      <c r="A9067" s="226">
        <v>2025</v>
      </c>
      <c r="B9067" s="226">
        <v>9</v>
      </c>
      <c r="C9067" s="226">
        <v>4</v>
      </c>
      <c r="D9067" s="232">
        <f t="shared" si="1045"/>
        <v>45904</v>
      </c>
      <c r="E9067" s="234">
        <f t="shared" si="1050"/>
        <v>45904</v>
      </c>
      <c r="F9067" s="479"/>
      <c r="G9067" s="227" t="s">
        <v>1111</v>
      </c>
      <c r="H9067" s="228"/>
      <c r="I9067" s="228"/>
      <c r="J9067" s="229" t="s">
        <v>55</v>
      </c>
      <c r="K9067" s="230"/>
      <c r="L9067" s="230">
        <f>K9066</f>
        <v>755732.88</v>
      </c>
    </row>
    <row r="9068" spans="1:12" ht="11.25" customHeight="1" x14ac:dyDescent="0.2">
      <c r="A9068" s="221">
        <v>2025</v>
      </c>
      <c r="B9068" s="221">
        <v>9</v>
      </c>
      <c r="C9068" s="221">
        <v>4</v>
      </c>
      <c r="D9068" s="231">
        <f t="shared" si="1045"/>
        <v>45904</v>
      </c>
      <c r="E9068" s="233">
        <f t="shared" ref="E9068:E9069" si="1051">DATE(A9068,B9068,C9068)</f>
        <v>45904</v>
      </c>
      <c r="F9068" s="478" t="s">
        <v>1889</v>
      </c>
      <c r="G9068" s="222" t="s">
        <v>1111</v>
      </c>
      <c r="H9068" s="223"/>
      <c r="I9068" s="223"/>
      <c r="J9068" s="224" t="s">
        <v>961</v>
      </c>
      <c r="K9068" s="225">
        <v>483869.4</v>
      </c>
      <c r="L9068" s="225"/>
    </row>
    <row r="9069" spans="1:12" ht="11.25" customHeight="1" x14ac:dyDescent="0.2">
      <c r="A9069" s="226">
        <v>2025</v>
      </c>
      <c r="B9069" s="226">
        <v>9</v>
      </c>
      <c r="C9069" s="226">
        <v>4</v>
      </c>
      <c r="D9069" s="232">
        <f t="shared" si="1045"/>
        <v>45904</v>
      </c>
      <c r="E9069" s="234">
        <f t="shared" si="1051"/>
        <v>45904</v>
      </c>
      <c r="F9069" s="479"/>
      <c r="G9069" s="227" t="s">
        <v>1111</v>
      </c>
      <c r="H9069" s="228"/>
      <c r="I9069" s="228"/>
      <c r="J9069" s="229" t="s">
        <v>55</v>
      </c>
      <c r="K9069" s="230"/>
      <c r="L9069" s="230">
        <f>K9068</f>
        <v>483869.4</v>
      </c>
    </row>
    <row r="9070" spans="1:12" ht="11.25" customHeight="1" x14ac:dyDescent="0.2">
      <c r="A9070" s="221">
        <v>2025</v>
      </c>
      <c r="B9070" s="221">
        <v>9</v>
      </c>
      <c r="C9070" s="221">
        <v>4</v>
      </c>
      <c r="D9070" s="231">
        <f t="shared" si="1045"/>
        <v>45904</v>
      </c>
      <c r="E9070" s="233">
        <f t="shared" ref="E9070:E9084" si="1052">DATE(A9070,B9070,C9070)</f>
        <v>45904</v>
      </c>
      <c r="F9070" s="478" t="s">
        <v>1889</v>
      </c>
      <c r="G9070" s="222" t="s">
        <v>1111</v>
      </c>
      <c r="H9070" s="223"/>
      <c r="I9070" s="223"/>
      <c r="J9070" s="224" t="s">
        <v>961</v>
      </c>
      <c r="K9070" s="225">
        <v>679925.63</v>
      </c>
      <c r="L9070" s="225"/>
    </row>
    <row r="9071" spans="1:12" ht="11.25" customHeight="1" x14ac:dyDescent="0.2">
      <c r="A9071" s="226">
        <v>2025</v>
      </c>
      <c r="B9071" s="226">
        <v>9</v>
      </c>
      <c r="C9071" s="226">
        <v>4</v>
      </c>
      <c r="D9071" s="232">
        <f t="shared" si="1045"/>
        <v>45904</v>
      </c>
      <c r="E9071" s="234">
        <f t="shared" si="1052"/>
        <v>45904</v>
      </c>
      <c r="F9071" s="479"/>
      <c r="G9071" s="227" t="s">
        <v>1111</v>
      </c>
      <c r="H9071" s="228"/>
      <c r="I9071" s="228"/>
      <c r="J9071" s="229" t="s">
        <v>55</v>
      </c>
      <c r="K9071" s="230"/>
      <c r="L9071" s="230">
        <f>K9070</f>
        <v>679925.63</v>
      </c>
    </row>
    <row r="9072" spans="1:12" ht="11.25" customHeight="1" x14ac:dyDescent="0.2">
      <c r="A9072" s="221">
        <v>2025</v>
      </c>
      <c r="B9072" s="221">
        <v>9</v>
      </c>
      <c r="C9072" s="221">
        <v>4</v>
      </c>
      <c r="D9072" s="231">
        <f t="shared" si="1045"/>
        <v>45904</v>
      </c>
      <c r="E9072" s="233">
        <f t="shared" si="1052"/>
        <v>45904</v>
      </c>
      <c r="F9072" s="478" t="s">
        <v>1940</v>
      </c>
      <c r="G9072" s="222" t="s">
        <v>1111</v>
      </c>
      <c r="H9072" s="223"/>
      <c r="I9072" s="223"/>
      <c r="J9072" s="224" t="s">
        <v>961</v>
      </c>
      <c r="K9072" s="225">
        <v>4403449.47</v>
      </c>
      <c r="L9072" s="225"/>
    </row>
    <row r="9073" spans="1:13" ht="11.25" customHeight="1" x14ac:dyDescent="0.2">
      <c r="A9073" s="226">
        <v>2025</v>
      </c>
      <c r="B9073" s="226">
        <v>9</v>
      </c>
      <c r="C9073" s="226">
        <v>4</v>
      </c>
      <c r="D9073" s="232">
        <f t="shared" si="1045"/>
        <v>45904</v>
      </c>
      <c r="E9073" s="234">
        <f t="shared" si="1052"/>
        <v>45904</v>
      </c>
      <c r="F9073" s="479"/>
      <c r="G9073" s="227" t="s">
        <v>1111</v>
      </c>
      <c r="H9073" s="228"/>
      <c r="I9073" s="228"/>
      <c r="J9073" s="229" t="s">
        <v>55</v>
      </c>
      <c r="K9073" s="230"/>
      <c r="L9073" s="230">
        <f>K9072</f>
        <v>4403449.47</v>
      </c>
    </row>
    <row r="9074" spans="1:13" ht="11.25" customHeight="1" x14ac:dyDescent="0.2">
      <c r="A9074" s="221">
        <v>2025</v>
      </c>
      <c r="B9074" s="221">
        <v>9</v>
      </c>
      <c r="C9074" s="221">
        <v>4</v>
      </c>
      <c r="D9074" s="231">
        <f t="shared" si="1045"/>
        <v>45904</v>
      </c>
      <c r="E9074" s="233">
        <f t="shared" si="1052"/>
        <v>45904</v>
      </c>
      <c r="F9074" s="478" t="s">
        <v>1670</v>
      </c>
      <c r="G9074" s="222" t="s">
        <v>1111</v>
      </c>
      <c r="H9074" s="223"/>
      <c r="I9074" s="223"/>
      <c r="J9074" s="224" t="s">
        <v>63</v>
      </c>
      <c r="K9074" s="225">
        <v>200</v>
      </c>
      <c r="L9074" s="225"/>
    </row>
    <row r="9075" spans="1:13" ht="11.25" customHeight="1" x14ac:dyDescent="0.2">
      <c r="A9075" s="226">
        <v>2025</v>
      </c>
      <c r="B9075" s="226">
        <v>9</v>
      </c>
      <c r="C9075" s="226">
        <v>4</v>
      </c>
      <c r="D9075" s="232">
        <f t="shared" si="1045"/>
        <v>45904</v>
      </c>
      <c r="E9075" s="234">
        <f t="shared" si="1052"/>
        <v>45904</v>
      </c>
      <c r="F9075" s="479"/>
      <c r="G9075" s="227" t="s">
        <v>1111</v>
      </c>
      <c r="H9075" s="228"/>
      <c r="I9075" s="228"/>
      <c r="J9075" s="229" t="s">
        <v>55</v>
      </c>
      <c r="K9075" s="230"/>
      <c r="L9075" s="230">
        <f>K9074</f>
        <v>200</v>
      </c>
    </row>
    <row r="9076" spans="1:13" ht="11.25" customHeight="1" x14ac:dyDescent="0.2">
      <c r="A9076" s="221">
        <v>2025</v>
      </c>
      <c r="B9076" s="221">
        <v>9</v>
      </c>
      <c r="C9076" s="221">
        <v>4</v>
      </c>
      <c r="D9076" s="221">
        <f t="shared" si="1045"/>
        <v>45904</v>
      </c>
      <c r="E9076" s="233">
        <f t="shared" si="1052"/>
        <v>45904</v>
      </c>
      <c r="F9076" s="478" t="s">
        <v>1936</v>
      </c>
      <c r="G9076" s="222" t="s">
        <v>86</v>
      </c>
      <c r="H9076" s="222"/>
      <c r="I9076" s="223"/>
      <c r="J9076" s="224" t="s">
        <v>80</v>
      </c>
      <c r="K9076" s="225">
        <v>1417650</v>
      </c>
      <c r="L9076" s="225"/>
    </row>
    <row r="9077" spans="1:13" ht="11.25" customHeight="1" x14ac:dyDescent="0.2">
      <c r="A9077" s="164">
        <v>2025</v>
      </c>
      <c r="B9077" s="164">
        <v>9</v>
      </c>
      <c r="C9077" s="164">
        <v>4</v>
      </c>
      <c r="D9077" s="164">
        <f t="shared" si="1045"/>
        <v>45904</v>
      </c>
      <c r="E9077" s="235">
        <f t="shared" si="1052"/>
        <v>45904</v>
      </c>
      <c r="F9077" s="480"/>
      <c r="G9077" s="208" t="s">
        <v>86</v>
      </c>
      <c r="H9077" s="208"/>
      <c r="J9077" s="165" t="s">
        <v>960</v>
      </c>
      <c r="K9077" s="205">
        <v>2551.77</v>
      </c>
      <c r="L9077" s="205"/>
    </row>
    <row r="9078" spans="1:13" ht="11.25" customHeight="1" x14ac:dyDescent="0.2">
      <c r="A9078" s="226">
        <v>2025</v>
      </c>
      <c r="B9078" s="226">
        <v>9</v>
      </c>
      <c r="C9078" s="226">
        <v>4</v>
      </c>
      <c r="D9078" s="226">
        <f t="shared" si="1045"/>
        <v>45904</v>
      </c>
      <c r="E9078" s="234">
        <f t="shared" si="1052"/>
        <v>45904</v>
      </c>
      <c r="F9078" s="479"/>
      <c r="G9078" s="227" t="s">
        <v>86</v>
      </c>
      <c r="H9078" s="227"/>
      <c r="I9078" s="228"/>
      <c r="J9078" s="229" t="s">
        <v>143</v>
      </c>
      <c r="K9078" s="230"/>
      <c r="L9078" s="230">
        <v>1420201.77</v>
      </c>
    </row>
    <row r="9079" spans="1:13" ht="11.25" customHeight="1" x14ac:dyDescent="0.2">
      <c r="A9079" s="280">
        <v>2025</v>
      </c>
      <c r="B9079" s="280">
        <v>9</v>
      </c>
      <c r="C9079" s="280">
        <v>4</v>
      </c>
      <c r="D9079" s="281">
        <f t="shared" si="1045"/>
        <v>45904</v>
      </c>
      <c r="E9079" s="282">
        <f t="shared" si="1052"/>
        <v>45904</v>
      </c>
      <c r="F9079" s="472" t="s">
        <v>1744</v>
      </c>
      <c r="G9079" s="283" t="s">
        <v>86</v>
      </c>
      <c r="H9079" s="284"/>
      <c r="I9079" s="284"/>
      <c r="J9079" s="285" t="s">
        <v>131</v>
      </c>
      <c r="K9079" s="286">
        <v>19358.330000000002</v>
      </c>
      <c r="L9079" s="286"/>
      <c r="M9079" s="401"/>
    </row>
    <row r="9080" spans="1:13" ht="11.25" customHeight="1" x14ac:dyDescent="0.2">
      <c r="A9080" s="287">
        <v>2025</v>
      </c>
      <c r="B9080" s="287">
        <v>9</v>
      </c>
      <c r="C9080" s="287">
        <v>4</v>
      </c>
      <c r="D9080" s="288">
        <f t="shared" si="1045"/>
        <v>45904</v>
      </c>
      <c r="E9080" s="289">
        <f t="shared" si="1052"/>
        <v>45904</v>
      </c>
      <c r="F9080" s="473"/>
      <c r="G9080" s="290" t="s">
        <v>86</v>
      </c>
      <c r="H9080" s="291"/>
      <c r="I9080" s="291"/>
      <c r="J9080" s="292" t="s">
        <v>174</v>
      </c>
      <c r="K9080" s="293"/>
      <c r="L9080" s="293">
        <f>K9079</f>
        <v>19358.330000000002</v>
      </c>
    </row>
    <row r="9081" spans="1:13" ht="11.25" customHeight="1" x14ac:dyDescent="0.2">
      <c r="A9081" s="280">
        <v>2025</v>
      </c>
      <c r="B9081" s="280">
        <v>9</v>
      </c>
      <c r="C9081" s="280">
        <v>4</v>
      </c>
      <c r="D9081" s="281">
        <f t="shared" si="1045"/>
        <v>45904</v>
      </c>
      <c r="E9081" s="282">
        <f t="shared" si="1052"/>
        <v>45904</v>
      </c>
      <c r="F9081" s="472" t="s">
        <v>1584</v>
      </c>
      <c r="G9081" s="283" t="s">
        <v>86</v>
      </c>
      <c r="H9081" s="284"/>
      <c r="I9081" s="284"/>
      <c r="J9081" s="285" t="s">
        <v>131</v>
      </c>
      <c r="K9081" s="286">
        <v>8846.15</v>
      </c>
      <c r="L9081" s="286"/>
      <c r="M9081" s="401"/>
    </row>
    <row r="9082" spans="1:13" ht="11.25" customHeight="1" x14ac:dyDescent="0.2">
      <c r="A9082" s="287">
        <v>2025</v>
      </c>
      <c r="B9082" s="287">
        <v>9</v>
      </c>
      <c r="C9082" s="287">
        <v>4</v>
      </c>
      <c r="D9082" s="288">
        <f t="shared" si="1045"/>
        <v>45904</v>
      </c>
      <c r="E9082" s="289">
        <f t="shared" si="1052"/>
        <v>45904</v>
      </c>
      <c r="F9082" s="473"/>
      <c r="G9082" s="290" t="s">
        <v>86</v>
      </c>
      <c r="H9082" s="291"/>
      <c r="I9082" s="291"/>
      <c r="J9082" s="292" t="s">
        <v>174</v>
      </c>
      <c r="K9082" s="293"/>
      <c r="L9082" s="293">
        <f>K9081</f>
        <v>8846.15</v>
      </c>
    </row>
    <row r="9083" spans="1:13" ht="11.25" customHeight="1" x14ac:dyDescent="0.2">
      <c r="A9083" s="341">
        <v>2025</v>
      </c>
      <c r="B9083" s="341">
        <v>9</v>
      </c>
      <c r="C9083" s="341">
        <v>4</v>
      </c>
      <c r="D9083" s="328">
        <f t="shared" si="1045"/>
        <v>45904</v>
      </c>
      <c r="E9083" s="329">
        <f t="shared" si="1052"/>
        <v>45904</v>
      </c>
      <c r="F9083" s="474" t="s">
        <v>1767</v>
      </c>
      <c r="G9083" s="330" t="s">
        <v>86</v>
      </c>
      <c r="H9083" s="332"/>
      <c r="I9083" s="332"/>
      <c r="J9083" s="342" t="s">
        <v>67</v>
      </c>
      <c r="K9083" s="343">
        <v>16447.2</v>
      </c>
      <c r="L9083" s="343"/>
    </row>
    <row r="9084" spans="1:13" ht="11.25" customHeight="1" x14ac:dyDescent="0.2">
      <c r="A9084" s="344">
        <v>2025</v>
      </c>
      <c r="B9084" s="344">
        <v>9</v>
      </c>
      <c r="C9084" s="344">
        <v>4</v>
      </c>
      <c r="D9084" s="337">
        <f t="shared" si="1045"/>
        <v>45904</v>
      </c>
      <c r="E9084" s="338">
        <f t="shared" si="1052"/>
        <v>45904</v>
      </c>
      <c r="F9084" s="475"/>
      <c r="G9084" s="339" t="s">
        <v>86</v>
      </c>
      <c r="H9084" s="340"/>
      <c r="I9084" s="340"/>
      <c r="J9084" s="345" t="s">
        <v>174</v>
      </c>
      <c r="K9084" s="346"/>
      <c r="L9084" s="346">
        <f>K9083</f>
        <v>16447.2</v>
      </c>
    </row>
    <row r="9085" spans="1:13" ht="11.25" customHeight="1" x14ac:dyDescent="0.2">
      <c r="A9085" s="358">
        <v>2025</v>
      </c>
      <c r="B9085" s="358">
        <v>9</v>
      </c>
      <c r="C9085" s="358">
        <v>4</v>
      </c>
      <c r="D9085" s="312">
        <f t="shared" si="1045"/>
        <v>45904</v>
      </c>
      <c r="E9085" s="313">
        <f>DATE(A9085,B9085,C9085)</f>
        <v>45904</v>
      </c>
      <c r="F9085" s="482" t="s">
        <v>1627</v>
      </c>
      <c r="G9085" s="314" t="s">
        <v>86</v>
      </c>
      <c r="H9085" s="324"/>
      <c r="I9085" s="324"/>
      <c r="J9085" s="364" t="s">
        <v>1613</v>
      </c>
      <c r="K9085" s="365">
        <v>0</v>
      </c>
      <c r="L9085" s="365"/>
      <c r="M9085" s="156">
        <f>BS!$I$12</f>
        <v>0</v>
      </c>
    </row>
    <row r="9086" spans="1:13" ht="11.25" customHeight="1" x14ac:dyDescent="0.2">
      <c r="A9086" s="320">
        <v>2025</v>
      </c>
      <c r="B9086" s="320">
        <v>9</v>
      </c>
      <c r="C9086" s="320">
        <v>4</v>
      </c>
      <c r="D9086" s="323">
        <f t="shared" si="1045"/>
        <v>45904</v>
      </c>
      <c r="E9086" s="321">
        <f t="shared" ref="E9086" si="1053">DATE(A9086,B9086,C9086)</f>
        <v>45904</v>
      </c>
      <c r="F9086" s="483"/>
      <c r="G9086" s="322" t="s">
        <v>86</v>
      </c>
      <c r="H9086" s="325"/>
      <c r="I9086" s="325"/>
      <c r="J9086" s="366" t="s">
        <v>1621</v>
      </c>
      <c r="K9086" s="367"/>
      <c r="L9086" s="367">
        <f>K9085</f>
        <v>0</v>
      </c>
    </row>
    <row r="9087" spans="1:13" ht="11.25" customHeight="1" x14ac:dyDescent="0.2">
      <c r="A9087" s="358">
        <v>2025</v>
      </c>
      <c r="B9087" s="358">
        <v>9</v>
      </c>
      <c r="C9087" s="358">
        <v>4</v>
      </c>
      <c r="D9087" s="312">
        <f t="shared" si="1045"/>
        <v>45904</v>
      </c>
      <c r="E9087" s="313">
        <f>DATE(A9087,B9087,C9087)</f>
        <v>45904</v>
      </c>
      <c r="F9087" s="482" t="s">
        <v>1713</v>
      </c>
      <c r="G9087" s="314" t="s">
        <v>86</v>
      </c>
      <c r="H9087" s="324"/>
      <c r="I9087" s="324"/>
      <c r="J9087" s="364" t="s">
        <v>1614</v>
      </c>
      <c r="K9087" s="365">
        <v>183680.94600000232</v>
      </c>
      <c r="L9087" s="365"/>
      <c r="M9087" s="156">
        <f>BS!$I$15</f>
        <v>0</v>
      </c>
    </row>
    <row r="9088" spans="1:13" ht="11.25" customHeight="1" x14ac:dyDescent="0.2">
      <c r="A9088" s="320">
        <v>2025</v>
      </c>
      <c r="B9088" s="320">
        <v>9</v>
      </c>
      <c r="C9088" s="320">
        <v>4</v>
      </c>
      <c r="D9088" s="323">
        <f t="shared" si="1045"/>
        <v>45904</v>
      </c>
      <c r="E9088" s="321">
        <f t="shared" ref="E9088:E9105" si="1054">DATE(A9088,B9088,C9088)</f>
        <v>45904</v>
      </c>
      <c r="F9088" s="483"/>
      <c r="G9088" s="322" t="s">
        <v>86</v>
      </c>
      <c r="H9088" s="325"/>
      <c r="I9088" s="325"/>
      <c r="J9088" s="366" t="s">
        <v>1622</v>
      </c>
      <c r="K9088" s="367"/>
      <c r="L9088" s="367">
        <f>K9087</f>
        <v>183680.94600000232</v>
      </c>
    </row>
    <row r="9089" spans="1:14" ht="11.25" customHeight="1" x14ac:dyDescent="0.2">
      <c r="A9089" s="236">
        <v>2025</v>
      </c>
      <c r="B9089" s="236">
        <v>9</v>
      </c>
      <c r="C9089" s="236">
        <v>4</v>
      </c>
      <c r="D9089" s="237">
        <f t="shared" si="1045"/>
        <v>45904</v>
      </c>
      <c r="E9089" s="238">
        <f t="shared" si="1054"/>
        <v>45904</v>
      </c>
      <c r="F9089" s="476" t="s">
        <v>1118</v>
      </c>
      <c r="G9089" s="239" t="s">
        <v>86</v>
      </c>
      <c r="H9089" s="239"/>
      <c r="I9089" s="240"/>
      <c r="J9089" s="241" t="s">
        <v>98</v>
      </c>
      <c r="K9089" s="242">
        <v>3031422.3491999805</v>
      </c>
      <c r="L9089" s="242"/>
      <c r="M9089" s="156">
        <f>BS!$I$8</f>
        <v>0</v>
      </c>
    </row>
    <row r="9090" spans="1:14" ht="11.25" customHeight="1" x14ac:dyDescent="0.2">
      <c r="A9090" s="243">
        <v>2025</v>
      </c>
      <c r="B9090" s="243">
        <v>9</v>
      </c>
      <c r="C9090" s="243">
        <v>4</v>
      </c>
      <c r="D9090" s="248">
        <f t="shared" si="1045"/>
        <v>45904</v>
      </c>
      <c r="E9090" s="249">
        <f t="shared" si="1054"/>
        <v>45904</v>
      </c>
      <c r="F9090" s="477"/>
      <c r="G9090" s="244" t="s">
        <v>86</v>
      </c>
      <c r="H9090" s="244"/>
      <c r="I9090" s="245"/>
      <c r="J9090" s="246" t="s">
        <v>82</v>
      </c>
      <c r="K9090" s="247"/>
      <c r="L9090" s="247">
        <f>K9089</f>
        <v>3031422.3491999805</v>
      </c>
    </row>
    <row r="9091" spans="1:14" ht="11.25" customHeight="1" x14ac:dyDescent="0.2">
      <c r="A9091" s="236">
        <v>2025</v>
      </c>
      <c r="B9091" s="236">
        <v>9</v>
      </c>
      <c r="C9091" s="236">
        <v>4</v>
      </c>
      <c r="D9091" s="237">
        <f t="shared" si="1045"/>
        <v>45904</v>
      </c>
      <c r="E9091" s="238">
        <f t="shared" si="1054"/>
        <v>45904</v>
      </c>
      <c r="F9091" s="476" t="s">
        <v>1120</v>
      </c>
      <c r="G9091" s="239" t="s">
        <v>86</v>
      </c>
      <c r="H9091" s="239"/>
      <c r="I9091" s="240"/>
      <c r="J9091" s="241" t="s">
        <v>87</v>
      </c>
      <c r="K9091" s="242">
        <v>2747.2527472527472</v>
      </c>
      <c r="L9091" s="242"/>
      <c r="M9091" s="401"/>
    </row>
    <row r="9092" spans="1:14" ht="11.25" customHeight="1" x14ac:dyDescent="0.2">
      <c r="A9092" s="243">
        <v>2025</v>
      </c>
      <c r="B9092" s="243">
        <v>9</v>
      </c>
      <c r="C9092" s="243">
        <v>4</v>
      </c>
      <c r="D9092" s="248">
        <f t="shared" si="1045"/>
        <v>45904</v>
      </c>
      <c r="E9092" s="249">
        <f t="shared" si="1054"/>
        <v>45904</v>
      </c>
      <c r="F9092" s="477"/>
      <c r="G9092" s="244" t="s">
        <v>86</v>
      </c>
      <c r="H9092" s="244"/>
      <c r="I9092" s="245"/>
      <c r="J9092" s="246" t="s">
        <v>64</v>
      </c>
      <c r="K9092" s="247"/>
      <c r="L9092" s="247">
        <f>K9091</f>
        <v>2747.2527472527472</v>
      </c>
    </row>
    <row r="9093" spans="1:14" ht="11.25" customHeight="1" x14ac:dyDescent="0.2">
      <c r="A9093" s="236">
        <v>2025</v>
      </c>
      <c r="B9093" s="236">
        <v>9</v>
      </c>
      <c r="C9093" s="236">
        <v>4</v>
      </c>
      <c r="D9093" s="237">
        <f t="shared" si="1045"/>
        <v>45904</v>
      </c>
      <c r="E9093" s="238">
        <f t="shared" si="1054"/>
        <v>45904</v>
      </c>
      <c r="F9093" s="476" t="s">
        <v>1121</v>
      </c>
      <c r="G9093" s="239" t="s">
        <v>86</v>
      </c>
      <c r="H9093" s="239"/>
      <c r="I9093" s="240"/>
      <c r="J9093" s="241" t="s">
        <v>89</v>
      </c>
      <c r="K9093" s="242">
        <f>M9093</f>
        <v>91112.620847378945</v>
      </c>
      <c r="L9093" s="242"/>
      <c r="M9093" s="156">
        <v>91112.620847378945</v>
      </c>
    </row>
    <row r="9094" spans="1:14" ht="11.25" customHeight="1" x14ac:dyDescent="0.2">
      <c r="A9094" s="243">
        <v>2025</v>
      </c>
      <c r="B9094" s="243">
        <v>9</v>
      </c>
      <c r="C9094" s="243">
        <v>4</v>
      </c>
      <c r="D9094" s="248">
        <f t="shared" si="1045"/>
        <v>45904</v>
      </c>
      <c r="E9094" s="249">
        <f t="shared" si="1054"/>
        <v>45904</v>
      </c>
      <c r="F9094" s="477"/>
      <c r="G9094" s="244" t="s">
        <v>86</v>
      </c>
      <c r="H9094" s="244"/>
      <c r="I9094" s="245"/>
      <c r="J9094" s="246" t="s">
        <v>50</v>
      </c>
      <c r="K9094" s="247"/>
      <c r="L9094" s="247">
        <f>K9093</f>
        <v>91112.620847378945</v>
      </c>
      <c r="M9094" s="156">
        <v>4315.2464269843322</v>
      </c>
    </row>
    <row r="9095" spans="1:14" ht="11.25" customHeight="1" x14ac:dyDescent="0.2">
      <c r="A9095" s="236">
        <v>2025</v>
      </c>
      <c r="B9095" s="236">
        <v>9</v>
      </c>
      <c r="C9095" s="236">
        <v>4</v>
      </c>
      <c r="D9095" s="237">
        <f t="shared" si="1045"/>
        <v>45904</v>
      </c>
      <c r="E9095" s="238">
        <f t="shared" si="1054"/>
        <v>45904</v>
      </c>
      <c r="F9095" s="476" t="s">
        <v>1122</v>
      </c>
      <c r="G9095" s="239" t="s">
        <v>86</v>
      </c>
      <c r="H9095" s="239"/>
      <c r="I9095" s="240"/>
      <c r="J9095" s="241" t="s">
        <v>91</v>
      </c>
      <c r="K9095" s="242">
        <f>M9094</f>
        <v>4315.2464269843322</v>
      </c>
      <c r="L9095" s="242"/>
    </row>
    <row r="9096" spans="1:14" ht="11.25" customHeight="1" x14ac:dyDescent="0.2">
      <c r="A9096" s="243">
        <v>2025</v>
      </c>
      <c r="B9096" s="243">
        <v>9</v>
      </c>
      <c r="C9096" s="243">
        <v>4</v>
      </c>
      <c r="D9096" s="248">
        <f t="shared" si="1045"/>
        <v>45904</v>
      </c>
      <c r="E9096" s="249">
        <f t="shared" si="1054"/>
        <v>45904</v>
      </c>
      <c r="F9096" s="477"/>
      <c r="G9096" s="244" t="s">
        <v>86</v>
      </c>
      <c r="H9096" s="244"/>
      <c r="I9096" s="245"/>
      <c r="J9096" s="246" t="s">
        <v>51</v>
      </c>
      <c r="K9096" s="247"/>
      <c r="L9096" s="247">
        <f>K9095</f>
        <v>4315.2464269843322</v>
      </c>
    </row>
    <row r="9097" spans="1:14" ht="11.25" customHeight="1" x14ac:dyDescent="0.2">
      <c r="A9097" s="221">
        <v>2025</v>
      </c>
      <c r="B9097" s="221">
        <v>9</v>
      </c>
      <c r="C9097" s="221">
        <v>7</v>
      </c>
      <c r="D9097" s="231">
        <f t="shared" ref="D9097:D9160" si="1055">DATE(A9097,B9097,C9097)</f>
        <v>45907</v>
      </c>
      <c r="E9097" s="233">
        <f t="shared" si="1054"/>
        <v>45907</v>
      </c>
      <c r="F9097" s="478" t="s">
        <v>1940</v>
      </c>
      <c r="G9097" s="222" t="s">
        <v>1111</v>
      </c>
      <c r="H9097" s="223"/>
      <c r="I9097" s="223"/>
      <c r="J9097" s="224" t="s">
        <v>961</v>
      </c>
      <c r="K9097" s="225">
        <v>1420201.77</v>
      </c>
      <c r="L9097" s="225"/>
    </row>
    <row r="9098" spans="1:14" ht="11.25" customHeight="1" x14ac:dyDescent="0.2">
      <c r="A9098" s="226">
        <v>2025</v>
      </c>
      <c r="B9098" s="226">
        <v>9</v>
      </c>
      <c r="C9098" s="226">
        <v>7</v>
      </c>
      <c r="D9098" s="232">
        <f t="shared" si="1055"/>
        <v>45907</v>
      </c>
      <c r="E9098" s="234">
        <f t="shared" si="1054"/>
        <v>45907</v>
      </c>
      <c r="F9098" s="479"/>
      <c r="G9098" s="227" t="s">
        <v>1111</v>
      </c>
      <c r="H9098" s="228"/>
      <c r="I9098" s="228"/>
      <c r="J9098" s="229" t="s">
        <v>55</v>
      </c>
      <c r="K9098" s="230"/>
      <c r="L9098" s="230">
        <f>K9097</f>
        <v>1420201.77</v>
      </c>
    </row>
    <row r="9099" spans="1:14" ht="11.25" customHeight="1" x14ac:dyDescent="0.2">
      <c r="A9099" s="221">
        <v>2025</v>
      </c>
      <c r="B9099" s="221">
        <v>9</v>
      </c>
      <c r="C9099" s="221">
        <v>7</v>
      </c>
      <c r="D9099" s="231">
        <f t="shared" si="1055"/>
        <v>45907</v>
      </c>
      <c r="E9099" s="233">
        <f t="shared" si="1054"/>
        <v>45907</v>
      </c>
      <c r="F9099" s="478" t="s">
        <v>1670</v>
      </c>
      <c r="G9099" s="222" t="s">
        <v>1111</v>
      </c>
      <c r="H9099" s="223"/>
      <c r="I9099" s="223"/>
      <c r="J9099" s="224" t="s">
        <v>63</v>
      </c>
      <c r="K9099" s="225">
        <v>100</v>
      </c>
      <c r="L9099" s="225"/>
    </row>
    <row r="9100" spans="1:14" ht="11.25" customHeight="1" x14ac:dyDescent="0.2">
      <c r="A9100" s="226">
        <v>2025</v>
      </c>
      <c r="B9100" s="226">
        <v>9</v>
      </c>
      <c r="C9100" s="226">
        <v>7</v>
      </c>
      <c r="D9100" s="232">
        <f t="shared" si="1055"/>
        <v>45907</v>
      </c>
      <c r="E9100" s="234">
        <f t="shared" si="1054"/>
        <v>45907</v>
      </c>
      <c r="F9100" s="479"/>
      <c r="G9100" s="227" t="s">
        <v>1111</v>
      </c>
      <c r="H9100" s="228"/>
      <c r="I9100" s="228"/>
      <c r="J9100" s="229" t="s">
        <v>55</v>
      </c>
      <c r="K9100" s="230"/>
      <c r="L9100" s="230">
        <f>K9099</f>
        <v>100</v>
      </c>
    </row>
    <row r="9101" spans="1:14" ht="11.25" customHeight="1" x14ac:dyDescent="0.2">
      <c r="A9101" s="221">
        <v>2025</v>
      </c>
      <c r="B9101" s="221">
        <v>9</v>
      </c>
      <c r="C9101" s="221">
        <v>7</v>
      </c>
      <c r="D9101" s="221">
        <f t="shared" si="1055"/>
        <v>45907</v>
      </c>
      <c r="E9101" s="233">
        <f t="shared" si="1054"/>
        <v>45907</v>
      </c>
      <c r="F9101" s="478" t="s">
        <v>1886</v>
      </c>
      <c r="G9101" s="222" t="s">
        <v>86</v>
      </c>
      <c r="H9101" s="222"/>
      <c r="I9101" s="223"/>
      <c r="J9101" s="224" t="s">
        <v>80</v>
      </c>
      <c r="K9101" s="225">
        <v>1915200</v>
      </c>
      <c r="L9101" s="225"/>
      <c r="N9101" s="263"/>
    </row>
    <row r="9102" spans="1:14" ht="11.25" customHeight="1" x14ac:dyDescent="0.2">
      <c r="A9102" s="164">
        <v>2025</v>
      </c>
      <c r="B9102" s="164">
        <v>9</v>
      </c>
      <c r="C9102" s="164">
        <v>7</v>
      </c>
      <c r="D9102" s="164">
        <f t="shared" si="1055"/>
        <v>45907</v>
      </c>
      <c r="E9102" s="235">
        <f t="shared" si="1054"/>
        <v>45907</v>
      </c>
      <c r="F9102" s="480"/>
      <c r="G9102" s="208" t="s">
        <v>86</v>
      </c>
      <c r="H9102" s="208"/>
      <c r="J9102" s="165" t="s">
        <v>960</v>
      </c>
      <c r="K9102" s="205">
        <v>3835.26</v>
      </c>
      <c r="L9102" s="205"/>
      <c r="M9102" s="263"/>
      <c r="N9102" s="263"/>
    </row>
    <row r="9103" spans="1:14" ht="11.25" customHeight="1" x14ac:dyDescent="0.2">
      <c r="A9103" s="164">
        <v>2025</v>
      </c>
      <c r="B9103" s="164">
        <v>9</v>
      </c>
      <c r="C9103" s="164">
        <v>7</v>
      </c>
      <c r="D9103" s="164">
        <f t="shared" si="1055"/>
        <v>45907</v>
      </c>
      <c r="E9103" s="235">
        <f t="shared" si="1054"/>
        <v>45907</v>
      </c>
      <c r="F9103" s="480"/>
      <c r="G9103" s="208" t="s">
        <v>86</v>
      </c>
      <c r="H9103" s="208"/>
      <c r="J9103" s="165" t="s">
        <v>143</v>
      </c>
      <c r="K9103" s="263"/>
      <c r="L9103" s="205">
        <v>1703535.26</v>
      </c>
      <c r="M9103" s="263"/>
    </row>
    <row r="9104" spans="1:14" ht="11.25" customHeight="1" x14ac:dyDescent="0.2">
      <c r="A9104" s="164">
        <v>2025</v>
      </c>
      <c r="B9104" s="164">
        <v>9</v>
      </c>
      <c r="C9104" s="164">
        <v>7</v>
      </c>
      <c r="D9104" s="164">
        <f t="shared" si="1055"/>
        <v>45907</v>
      </c>
      <c r="E9104" s="235">
        <f t="shared" si="1054"/>
        <v>45907</v>
      </c>
      <c r="F9104" s="480"/>
      <c r="G9104" s="208" t="s">
        <v>86</v>
      </c>
      <c r="H9104" s="208"/>
      <c r="J9104" s="165" t="s">
        <v>200</v>
      </c>
      <c r="K9104" s="205"/>
      <c r="L9104" s="205">
        <v>21138.47</v>
      </c>
      <c r="M9104" s="263"/>
    </row>
    <row r="9105" spans="1:14" ht="11.25" customHeight="1" x14ac:dyDescent="0.2">
      <c r="A9105" s="226">
        <v>2025</v>
      </c>
      <c r="B9105" s="226">
        <v>9</v>
      </c>
      <c r="C9105" s="226">
        <v>7</v>
      </c>
      <c r="D9105" s="226">
        <f t="shared" si="1055"/>
        <v>45907</v>
      </c>
      <c r="E9105" s="234">
        <f t="shared" si="1054"/>
        <v>45907</v>
      </c>
      <c r="F9105" s="479"/>
      <c r="G9105" s="227" t="s">
        <v>86</v>
      </c>
      <c r="H9105" s="228"/>
      <c r="I9105" s="228"/>
      <c r="J9105" s="229" t="s">
        <v>80</v>
      </c>
      <c r="K9105" s="230"/>
      <c r="L9105" s="230">
        <v>194361.53</v>
      </c>
      <c r="M9105" s="263"/>
    </row>
    <row r="9106" spans="1:14" ht="11.25" customHeight="1" x14ac:dyDescent="0.2">
      <c r="A9106" s="221">
        <v>2025</v>
      </c>
      <c r="B9106" s="221">
        <v>9</v>
      </c>
      <c r="C9106" s="221">
        <v>7</v>
      </c>
      <c r="D9106" s="221">
        <f t="shared" si="1055"/>
        <v>45907</v>
      </c>
      <c r="E9106" s="233">
        <f t="shared" ref="E9106:E9118" si="1056">DATE(A9106,B9106,C9106)</f>
        <v>45907</v>
      </c>
      <c r="F9106" s="478" t="s">
        <v>1937</v>
      </c>
      <c r="G9106" s="222" t="s">
        <v>86</v>
      </c>
      <c r="H9106" s="222"/>
      <c r="I9106" s="223"/>
      <c r="J9106" s="224" t="s">
        <v>80</v>
      </c>
      <c r="K9106" s="225">
        <v>1741655.6</v>
      </c>
      <c r="L9106" s="225"/>
      <c r="N9106" s="263"/>
    </row>
    <row r="9107" spans="1:14" ht="11.25" customHeight="1" x14ac:dyDescent="0.2">
      <c r="A9107" s="164">
        <v>2025</v>
      </c>
      <c r="B9107" s="164">
        <v>9</v>
      </c>
      <c r="C9107" s="164">
        <v>7</v>
      </c>
      <c r="D9107" s="164">
        <f t="shared" si="1055"/>
        <v>45907</v>
      </c>
      <c r="E9107" s="235">
        <f t="shared" si="1056"/>
        <v>45907</v>
      </c>
      <c r="F9107" s="480"/>
      <c r="G9107" s="208" t="s">
        <v>86</v>
      </c>
      <c r="H9107" s="208"/>
      <c r="J9107" s="165" t="s">
        <v>960</v>
      </c>
      <c r="K9107" s="205">
        <v>3524.01</v>
      </c>
      <c r="L9107" s="205"/>
      <c r="M9107" s="263"/>
      <c r="N9107" s="263"/>
    </row>
    <row r="9108" spans="1:14" ht="11.25" customHeight="1" x14ac:dyDescent="0.2">
      <c r="A9108" s="164">
        <v>2025</v>
      </c>
      <c r="B9108" s="164">
        <v>9</v>
      </c>
      <c r="C9108" s="164">
        <v>7</v>
      </c>
      <c r="D9108" s="164">
        <f t="shared" si="1055"/>
        <v>45907</v>
      </c>
      <c r="E9108" s="235">
        <f t="shared" si="1056"/>
        <v>45907</v>
      </c>
      <c r="F9108" s="480"/>
      <c r="G9108" s="208" t="s">
        <v>86</v>
      </c>
      <c r="H9108" s="208"/>
      <c r="J9108" s="165" t="s">
        <v>143</v>
      </c>
      <c r="K9108" s="263"/>
      <c r="L9108" s="205">
        <v>1529054.61</v>
      </c>
      <c r="M9108" s="263"/>
    </row>
    <row r="9109" spans="1:14" ht="11.25" customHeight="1" x14ac:dyDescent="0.2">
      <c r="A9109" s="164">
        <v>2025</v>
      </c>
      <c r="B9109" s="164">
        <v>9</v>
      </c>
      <c r="C9109" s="164">
        <v>7</v>
      </c>
      <c r="D9109" s="164">
        <f t="shared" si="1055"/>
        <v>45907</v>
      </c>
      <c r="E9109" s="235">
        <f t="shared" si="1056"/>
        <v>45907</v>
      </c>
      <c r="F9109" s="480"/>
      <c r="G9109" s="208" t="s">
        <v>86</v>
      </c>
      <c r="H9109" s="208"/>
      <c r="J9109" s="165" t="s">
        <v>200</v>
      </c>
      <c r="K9109" s="205"/>
      <c r="L9109" s="205">
        <v>21763.47</v>
      </c>
      <c r="M9109" s="263"/>
    </row>
    <row r="9110" spans="1:14" ht="11.25" customHeight="1" x14ac:dyDescent="0.2">
      <c r="A9110" s="226">
        <v>2025</v>
      </c>
      <c r="B9110" s="226">
        <v>9</v>
      </c>
      <c r="C9110" s="226">
        <v>7</v>
      </c>
      <c r="D9110" s="226">
        <f t="shared" si="1055"/>
        <v>45907</v>
      </c>
      <c r="E9110" s="234">
        <f t="shared" si="1056"/>
        <v>45907</v>
      </c>
      <c r="F9110" s="479"/>
      <c r="G9110" s="227" t="s">
        <v>86</v>
      </c>
      <c r="H9110" s="228"/>
      <c r="I9110" s="228"/>
      <c r="J9110" s="229" t="s">
        <v>80</v>
      </c>
      <c r="K9110" s="230"/>
      <c r="L9110" s="230">
        <v>194361.53</v>
      </c>
      <c r="M9110" s="263"/>
    </row>
    <row r="9111" spans="1:14" ht="11.25" customHeight="1" x14ac:dyDescent="0.2">
      <c r="A9111" s="221">
        <v>2025</v>
      </c>
      <c r="B9111" s="221">
        <v>9</v>
      </c>
      <c r="C9111" s="221">
        <v>7</v>
      </c>
      <c r="D9111" s="231">
        <f t="shared" si="1055"/>
        <v>45907</v>
      </c>
      <c r="E9111" s="233">
        <f t="shared" si="1056"/>
        <v>45907</v>
      </c>
      <c r="F9111" s="478" t="s">
        <v>802</v>
      </c>
      <c r="G9111" s="222" t="s">
        <v>1111</v>
      </c>
      <c r="H9111" s="223"/>
      <c r="I9111" s="223"/>
      <c r="J9111" s="224" t="s">
        <v>55</v>
      </c>
      <c r="K9111" s="167">
        <v>1000</v>
      </c>
      <c r="L9111" s="225"/>
    </row>
    <row r="9112" spans="1:14" ht="11.25" customHeight="1" x14ac:dyDescent="0.2">
      <c r="A9112" s="164">
        <v>2025</v>
      </c>
      <c r="B9112" s="164">
        <v>9</v>
      </c>
      <c r="C9112" s="164">
        <v>7</v>
      </c>
      <c r="D9112" s="156">
        <f t="shared" si="1055"/>
        <v>45907</v>
      </c>
      <c r="E9112" s="235">
        <f t="shared" si="1056"/>
        <v>45907</v>
      </c>
      <c r="F9112" s="480"/>
      <c r="G9112" s="208" t="s">
        <v>1111</v>
      </c>
      <c r="J9112" s="165" t="s">
        <v>14</v>
      </c>
      <c r="L9112" s="205">
        <v>800</v>
      </c>
    </row>
    <row r="9113" spans="1:14" ht="11.25" customHeight="1" x14ac:dyDescent="0.2">
      <c r="A9113" s="226">
        <v>2025</v>
      </c>
      <c r="B9113" s="226">
        <v>9</v>
      </c>
      <c r="C9113" s="226">
        <v>7</v>
      </c>
      <c r="D9113" s="232">
        <f t="shared" si="1055"/>
        <v>45907</v>
      </c>
      <c r="E9113" s="234">
        <f t="shared" si="1056"/>
        <v>45907</v>
      </c>
      <c r="F9113" s="479"/>
      <c r="G9113" s="227" t="s">
        <v>1111</v>
      </c>
      <c r="H9113" s="228"/>
      <c r="I9113" s="228"/>
      <c r="J9113" s="229" t="s">
        <v>1112</v>
      </c>
      <c r="K9113" s="230"/>
      <c r="L9113" s="230">
        <v>200</v>
      </c>
    </row>
    <row r="9114" spans="1:14" ht="11.25" customHeight="1" x14ac:dyDescent="0.2">
      <c r="A9114" s="221">
        <v>2025</v>
      </c>
      <c r="B9114" s="221">
        <v>9</v>
      </c>
      <c r="C9114" s="221">
        <v>8</v>
      </c>
      <c r="D9114" s="221">
        <f t="shared" si="1055"/>
        <v>45908</v>
      </c>
      <c r="E9114" s="233">
        <f t="shared" si="1056"/>
        <v>45908</v>
      </c>
      <c r="F9114" s="478" t="s">
        <v>1886</v>
      </c>
      <c r="G9114" s="222" t="s">
        <v>86</v>
      </c>
      <c r="H9114" s="222"/>
      <c r="I9114" s="223"/>
      <c r="J9114" s="224" t="s">
        <v>80</v>
      </c>
      <c r="K9114" s="225">
        <v>686500</v>
      </c>
      <c r="L9114" s="225"/>
      <c r="N9114" s="263"/>
    </row>
    <row r="9115" spans="1:14" ht="11.25" customHeight="1" x14ac:dyDescent="0.2">
      <c r="A9115" s="164">
        <v>2025</v>
      </c>
      <c r="B9115" s="164">
        <v>9</v>
      </c>
      <c r="C9115" s="164">
        <v>8</v>
      </c>
      <c r="D9115" s="164">
        <f t="shared" si="1055"/>
        <v>45908</v>
      </c>
      <c r="E9115" s="235">
        <f t="shared" si="1056"/>
        <v>45908</v>
      </c>
      <c r="F9115" s="480"/>
      <c r="G9115" s="208" t="s">
        <v>86</v>
      </c>
      <c r="H9115" s="208"/>
      <c r="J9115" s="165" t="s">
        <v>960</v>
      </c>
      <c r="K9115" s="205">
        <v>2033.1</v>
      </c>
      <c r="L9115" s="205"/>
      <c r="M9115" s="263"/>
      <c r="N9115" s="263"/>
    </row>
    <row r="9116" spans="1:14" ht="11.25" customHeight="1" x14ac:dyDescent="0.2">
      <c r="A9116" s="164">
        <v>2025</v>
      </c>
      <c r="B9116" s="164">
        <v>9</v>
      </c>
      <c r="C9116" s="164">
        <v>8</v>
      </c>
      <c r="D9116" s="164">
        <f t="shared" si="1055"/>
        <v>45908</v>
      </c>
      <c r="E9116" s="235">
        <f t="shared" si="1056"/>
        <v>45908</v>
      </c>
      <c r="F9116" s="480"/>
      <c r="G9116" s="208" t="s">
        <v>86</v>
      </c>
      <c r="H9116" s="208"/>
      <c r="J9116" s="165" t="s">
        <v>143</v>
      </c>
      <c r="K9116" s="263"/>
      <c r="L9116" s="205">
        <v>245533.1</v>
      </c>
      <c r="M9116" s="263"/>
    </row>
    <row r="9117" spans="1:14" ht="11.25" customHeight="1" x14ac:dyDescent="0.2">
      <c r="A9117" s="164">
        <v>2025</v>
      </c>
      <c r="B9117" s="164">
        <v>9</v>
      </c>
      <c r="C9117" s="164">
        <v>8</v>
      </c>
      <c r="D9117" s="164">
        <f t="shared" si="1055"/>
        <v>45908</v>
      </c>
      <c r="E9117" s="235">
        <f t="shared" si="1056"/>
        <v>45908</v>
      </c>
      <c r="F9117" s="480"/>
      <c r="G9117" s="208" t="s">
        <v>86</v>
      </c>
      <c r="H9117" s="208"/>
      <c r="J9117" s="165" t="s">
        <v>200</v>
      </c>
      <c r="K9117" s="205"/>
      <c r="L9117" s="205">
        <v>54276.94</v>
      </c>
      <c r="M9117" s="263"/>
    </row>
    <row r="9118" spans="1:14" ht="11.25" customHeight="1" x14ac:dyDescent="0.2">
      <c r="A9118" s="226">
        <v>2025</v>
      </c>
      <c r="B9118" s="226">
        <v>9</v>
      </c>
      <c r="C9118" s="226">
        <v>8</v>
      </c>
      <c r="D9118" s="226">
        <f t="shared" si="1055"/>
        <v>45908</v>
      </c>
      <c r="E9118" s="234">
        <f t="shared" si="1056"/>
        <v>45908</v>
      </c>
      <c r="F9118" s="479"/>
      <c r="G9118" s="227" t="s">
        <v>86</v>
      </c>
      <c r="H9118" s="228"/>
      <c r="I9118" s="228"/>
      <c r="J9118" s="229" t="s">
        <v>80</v>
      </c>
      <c r="K9118" s="230"/>
      <c r="L9118" s="230">
        <v>388723.06</v>
      </c>
      <c r="M9118" s="263"/>
    </row>
    <row r="9119" spans="1:14" ht="11.25" customHeight="1" x14ac:dyDescent="0.2">
      <c r="A9119" s="221">
        <v>2025</v>
      </c>
      <c r="B9119" s="221">
        <v>9</v>
      </c>
      <c r="C9119" s="221">
        <v>8</v>
      </c>
      <c r="D9119" s="221">
        <f t="shared" si="1055"/>
        <v>45908</v>
      </c>
      <c r="E9119" s="233">
        <f t="shared" ref="E9119:E9129" si="1057">DATE(A9119,B9119,C9119)</f>
        <v>45908</v>
      </c>
      <c r="F9119" s="478" t="s">
        <v>1937</v>
      </c>
      <c r="G9119" s="222" t="s">
        <v>86</v>
      </c>
      <c r="H9119" s="222"/>
      <c r="I9119" s="223"/>
      <c r="J9119" s="224" t="s">
        <v>80</v>
      </c>
      <c r="K9119" s="225">
        <v>2907500</v>
      </c>
      <c r="L9119" s="225"/>
      <c r="N9119" s="263"/>
    </row>
    <row r="9120" spans="1:14" ht="11.25" customHeight="1" x14ac:dyDescent="0.2">
      <c r="A9120" s="164">
        <v>2025</v>
      </c>
      <c r="B9120" s="164">
        <v>9</v>
      </c>
      <c r="C9120" s="164">
        <v>8</v>
      </c>
      <c r="D9120" s="164">
        <f t="shared" si="1055"/>
        <v>45908</v>
      </c>
      <c r="E9120" s="235">
        <f t="shared" si="1057"/>
        <v>45908</v>
      </c>
      <c r="F9120" s="480"/>
      <c r="G9120" s="208" t="s">
        <v>86</v>
      </c>
      <c r="H9120" s="208"/>
      <c r="J9120" s="165" t="s">
        <v>960</v>
      </c>
      <c r="K9120" s="205">
        <v>7765.56</v>
      </c>
      <c r="L9120" s="205"/>
      <c r="M9120" s="263"/>
      <c r="N9120" s="263"/>
    </row>
    <row r="9121" spans="1:13" ht="11.25" customHeight="1" x14ac:dyDescent="0.2">
      <c r="A9121" s="164">
        <v>2025</v>
      </c>
      <c r="B9121" s="164">
        <v>9</v>
      </c>
      <c r="C9121" s="164">
        <v>8</v>
      </c>
      <c r="D9121" s="164">
        <f t="shared" si="1055"/>
        <v>45908</v>
      </c>
      <c r="E9121" s="235">
        <f t="shared" si="1057"/>
        <v>45908</v>
      </c>
      <c r="F9121" s="480"/>
      <c r="G9121" s="208" t="s">
        <v>86</v>
      </c>
      <c r="H9121" s="208"/>
      <c r="J9121" s="165" t="s">
        <v>143</v>
      </c>
      <c r="K9121" s="263"/>
      <c r="L9121" s="205">
        <v>1508565.56</v>
      </c>
      <c r="M9121" s="263"/>
    </row>
    <row r="9122" spans="1:13" ht="11.25" customHeight="1" x14ac:dyDescent="0.2">
      <c r="A9122" s="164">
        <v>2025</v>
      </c>
      <c r="B9122" s="164">
        <v>9</v>
      </c>
      <c r="C9122" s="164">
        <v>8</v>
      </c>
      <c r="D9122" s="164">
        <f t="shared" si="1055"/>
        <v>45908</v>
      </c>
      <c r="E9122" s="235">
        <f t="shared" si="1057"/>
        <v>45908</v>
      </c>
      <c r="F9122" s="480"/>
      <c r="G9122" s="208" t="s">
        <v>86</v>
      </c>
      <c r="H9122" s="208"/>
      <c r="J9122" s="165" t="s">
        <v>200</v>
      </c>
      <c r="K9122" s="205"/>
      <c r="L9122" s="205">
        <v>162786.21</v>
      </c>
      <c r="M9122" s="263"/>
    </row>
    <row r="9123" spans="1:13" ht="11.25" customHeight="1" x14ac:dyDescent="0.2">
      <c r="A9123" s="226">
        <v>2025</v>
      </c>
      <c r="B9123" s="226">
        <v>9</v>
      </c>
      <c r="C9123" s="226">
        <v>8</v>
      </c>
      <c r="D9123" s="226">
        <f t="shared" si="1055"/>
        <v>45908</v>
      </c>
      <c r="E9123" s="234">
        <f t="shared" si="1057"/>
        <v>45908</v>
      </c>
      <c r="F9123" s="479"/>
      <c r="G9123" s="227" t="s">
        <v>86</v>
      </c>
      <c r="H9123" s="228"/>
      <c r="I9123" s="228"/>
      <c r="J9123" s="229" t="s">
        <v>80</v>
      </c>
      <c r="K9123" s="230"/>
      <c r="L9123" s="230">
        <v>1243913.79</v>
      </c>
      <c r="M9123" s="263"/>
    </row>
    <row r="9124" spans="1:13" ht="11.25" customHeight="1" x14ac:dyDescent="0.2">
      <c r="A9124" s="221">
        <v>2025</v>
      </c>
      <c r="B9124" s="221">
        <v>9</v>
      </c>
      <c r="C9124" s="221">
        <v>8</v>
      </c>
      <c r="D9124" s="231">
        <f t="shared" si="1055"/>
        <v>45908</v>
      </c>
      <c r="E9124" s="233">
        <f t="shared" si="1057"/>
        <v>45908</v>
      </c>
      <c r="F9124" s="478" t="s">
        <v>1889</v>
      </c>
      <c r="G9124" s="222" t="s">
        <v>1111</v>
      </c>
      <c r="H9124" s="223"/>
      <c r="I9124" s="223"/>
      <c r="J9124" s="224" t="s">
        <v>961</v>
      </c>
      <c r="K9124" s="225">
        <v>1703535.26</v>
      </c>
      <c r="L9124" s="225"/>
    </row>
    <row r="9125" spans="1:13" ht="11.25" customHeight="1" x14ac:dyDescent="0.2">
      <c r="A9125" s="226">
        <v>2025</v>
      </c>
      <c r="B9125" s="226">
        <v>9</v>
      </c>
      <c r="C9125" s="226">
        <v>8</v>
      </c>
      <c r="D9125" s="232">
        <f t="shared" si="1055"/>
        <v>45908</v>
      </c>
      <c r="E9125" s="234">
        <f t="shared" si="1057"/>
        <v>45908</v>
      </c>
      <c r="F9125" s="479"/>
      <c r="G9125" s="227" t="s">
        <v>1111</v>
      </c>
      <c r="H9125" s="228"/>
      <c r="I9125" s="228"/>
      <c r="J9125" s="229" t="s">
        <v>55</v>
      </c>
      <c r="K9125" s="230"/>
      <c r="L9125" s="230">
        <f>K9124</f>
        <v>1703535.26</v>
      </c>
    </row>
    <row r="9126" spans="1:13" ht="11.25" customHeight="1" x14ac:dyDescent="0.2">
      <c r="A9126" s="221">
        <v>2025</v>
      </c>
      <c r="B9126" s="221">
        <v>9</v>
      </c>
      <c r="C9126" s="221">
        <v>8</v>
      </c>
      <c r="D9126" s="231">
        <f t="shared" si="1055"/>
        <v>45908</v>
      </c>
      <c r="E9126" s="233">
        <f t="shared" si="1057"/>
        <v>45908</v>
      </c>
      <c r="F9126" s="478" t="s">
        <v>1940</v>
      </c>
      <c r="G9126" s="222" t="s">
        <v>1111</v>
      </c>
      <c r="H9126" s="223"/>
      <c r="I9126" s="223"/>
      <c r="J9126" s="224" t="s">
        <v>961</v>
      </c>
      <c r="K9126" s="225">
        <v>1529054.61</v>
      </c>
      <c r="L9126" s="225"/>
    </row>
    <row r="9127" spans="1:13" ht="11.25" customHeight="1" x14ac:dyDescent="0.2">
      <c r="A9127" s="226">
        <v>2025</v>
      </c>
      <c r="B9127" s="226">
        <v>9</v>
      </c>
      <c r="C9127" s="226">
        <v>8</v>
      </c>
      <c r="D9127" s="232">
        <f t="shared" si="1055"/>
        <v>45908</v>
      </c>
      <c r="E9127" s="234">
        <f t="shared" si="1057"/>
        <v>45908</v>
      </c>
      <c r="F9127" s="479"/>
      <c r="G9127" s="227" t="s">
        <v>1111</v>
      </c>
      <c r="H9127" s="228"/>
      <c r="I9127" s="228"/>
      <c r="J9127" s="229" t="s">
        <v>55</v>
      </c>
      <c r="K9127" s="230"/>
      <c r="L9127" s="230">
        <f>K9126</f>
        <v>1529054.61</v>
      </c>
    </row>
    <row r="9128" spans="1:13" ht="11.25" customHeight="1" x14ac:dyDescent="0.2">
      <c r="A9128" s="221">
        <v>2025</v>
      </c>
      <c r="B9128" s="221">
        <v>9</v>
      </c>
      <c r="C9128" s="221">
        <v>8</v>
      </c>
      <c r="D9128" s="231">
        <f t="shared" si="1055"/>
        <v>45908</v>
      </c>
      <c r="E9128" s="233">
        <f t="shared" si="1057"/>
        <v>45908</v>
      </c>
      <c r="F9128" s="478" t="s">
        <v>1670</v>
      </c>
      <c r="G9128" s="222" t="s">
        <v>1111</v>
      </c>
      <c r="H9128" s="223"/>
      <c r="I9128" s="223"/>
      <c r="J9128" s="224" t="s">
        <v>63</v>
      </c>
      <c r="K9128" s="225">
        <v>200</v>
      </c>
      <c r="L9128" s="225"/>
    </row>
    <row r="9129" spans="1:13" ht="11.25" customHeight="1" x14ac:dyDescent="0.2">
      <c r="A9129" s="226">
        <v>2025</v>
      </c>
      <c r="B9129" s="226">
        <v>9</v>
      </c>
      <c r="C9129" s="226">
        <v>8</v>
      </c>
      <c r="D9129" s="232">
        <f t="shared" si="1055"/>
        <v>45908</v>
      </c>
      <c r="E9129" s="234">
        <f t="shared" si="1057"/>
        <v>45908</v>
      </c>
      <c r="F9129" s="479"/>
      <c r="G9129" s="227" t="s">
        <v>1111</v>
      </c>
      <c r="H9129" s="228"/>
      <c r="I9129" s="228"/>
      <c r="J9129" s="229" t="s">
        <v>55</v>
      </c>
      <c r="K9129" s="230"/>
      <c r="L9129" s="230">
        <f>K9128</f>
        <v>200</v>
      </c>
    </row>
    <row r="9130" spans="1:13" ht="11.25" customHeight="1" x14ac:dyDescent="0.2">
      <c r="A9130" s="221">
        <v>2025</v>
      </c>
      <c r="B9130" s="221">
        <v>9</v>
      </c>
      <c r="C9130" s="221">
        <v>8</v>
      </c>
      <c r="D9130" s="231">
        <f t="shared" si="1055"/>
        <v>45908</v>
      </c>
      <c r="E9130" s="233">
        <f>DATE(A9130,B9130,C9130)</f>
        <v>45908</v>
      </c>
      <c r="F9130" s="478" t="s">
        <v>1178</v>
      </c>
      <c r="G9130" s="222" t="s">
        <v>1111</v>
      </c>
      <c r="H9130" s="223"/>
      <c r="I9130" s="223"/>
      <c r="J9130" s="224" t="s">
        <v>189</v>
      </c>
      <c r="K9130" s="225">
        <v>5750</v>
      </c>
      <c r="L9130" s="225"/>
    </row>
    <row r="9131" spans="1:13" ht="11.25" customHeight="1" x14ac:dyDescent="0.2">
      <c r="A9131" s="164">
        <v>2025</v>
      </c>
      <c r="B9131" s="164">
        <v>9</v>
      </c>
      <c r="C9131" s="164">
        <v>8</v>
      </c>
      <c r="D9131" s="156">
        <f t="shared" si="1055"/>
        <v>45908</v>
      </c>
      <c r="E9131" s="235">
        <f>DATE(A9131,B9131,C9131)</f>
        <v>45908</v>
      </c>
      <c r="F9131" s="480"/>
      <c r="G9131" s="208" t="s">
        <v>1111</v>
      </c>
      <c r="J9131" s="165" t="s">
        <v>1708</v>
      </c>
      <c r="K9131" s="205"/>
      <c r="L9131" s="205">
        <v>250</v>
      </c>
    </row>
    <row r="9132" spans="1:13" ht="11.25" customHeight="1" x14ac:dyDescent="0.2">
      <c r="A9132" s="226">
        <v>2025</v>
      </c>
      <c r="B9132" s="226">
        <v>9</v>
      </c>
      <c r="C9132" s="226">
        <v>8</v>
      </c>
      <c r="D9132" s="232">
        <f t="shared" si="1055"/>
        <v>45908</v>
      </c>
      <c r="E9132" s="234">
        <f>DATE(A9132,B9132,C9132)</f>
        <v>45908</v>
      </c>
      <c r="F9132" s="479"/>
      <c r="G9132" s="227" t="s">
        <v>1111</v>
      </c>
      <c r="H9132" s="228"/>
      <c r="I9132" s="228"/>
      <c r="J9132" s="229" t="s">
        <v>55</v>
      </c>
      <c r="K9132" s="230"/>
      <c r="L9132" s="230">
        <v>5500</v>
      </c>
    </row>
    <row r="9133" spans="1:13" ht="11.25" customHeight="1" x14ac:dyDescent="0.2">
      <c r="A9133" s="221">
        <v>2025</v>
      </c>
      <c r="B9133" s="221">
        <v>9</v>
      </c>
      <c r="C9133" s="221">
        <v>8</v>
      </c>
      <c r="D9133" s="231">
        <f t="shared" si="1055"/>
        <v>45908</v>
      </c>
      <c r="E9133" s="233">
        <f t="shared" ref="E9133:E9137" si="1058">DATE(A9133,B9133,C9133)</f>
        <v>45908</v>
      </c>
      <c r="F9133" s="478" t="s">
        <v>1115</v>
      </c>
      <c r="G9133" s="222" t="s">
        <v>1111</v>
      </c>
      <c r="H9133" s="223"/>
      <c r="I9133" s="223"/>
      <c r="J9133" s="224" t="s">
        <v>14</v>
      </c>
      <c r="K9133" s="167">
        <v>329570</v>
      </c>
      <c r="L9133" s="225"/>
    </row>
    <row r="9134" spans="1:13" ht="11.25" customHeight="1" x14ac:dyDescent="0.2">
      <c r="A9134" s="164">
        <v>2025</v>
      </c>
      <c r="B9134" s="164">
        <v>9</v>
      </c>
      <c r="C9134" s="164">
        <v>8</v>
      </c>
      <c r="D9134" s="156">
        <f t="shared" si="1055"/>
        <v>45908</v>
      </c>
      <c r="E9134" s="235">
        <f t="shared" si="1058"/>
        <v>45908</v>
      </c>
      <c r="F9134" s="480"/>
      <c r="G9134" s="208" t="s">
        <v>1111</v>
      </c>
      <c r="J9134" s="165" t="s">
        <v>1112</v>
      </c>
      <c r="K9134" s="167">
        <v>82787.979999999981</v>
      </c>
      <c r="L9134" s="205"/>
    </row>
    <row r="9135" spans="1:13" ht="11.25" customHeight="1" x14ac:dyDescent="0.2">
      <c r="A9135" s="226">
        <v>2025</v>
      </c>
      <c r="B9135" s="226">
        <v>9</v>
      </c>
      <c r="C9135" s="226">
        <v>8</v>
      </c>
      <c r="D9135" s="232">
        <f t="shared" si="1055"/>
        <v>45908</v>
      </c>
      <c r="E9135" s="234">
        <f t="shared" si="1058"/>
        <v>45908</v>
      </c>
      <c r="F9135" s="479"/>
      <c r="G9135" s="227" t="s">
        <v>1111</v>
      </c>
      <c r="H9135" s="228"/>
      <c r="I9135" s="228"/>
      <c r="J9135" s="229" t="s">
        <v>55</v>
      </c>
      <c r="K9135" s="230"/>
      <c r="L9135" s="230">
        <v>412357.98</v>
      </c>
    </row>
    <row r="9136" spans="1:13" ht="11.25" customHeight="1" x14ac:dyDescent="0.2">
      <c r="A9136" s="221">
        <v>2025</v>
      </c>
      <c r="B9136" s="221">
        <v>9</v>
      </c>
      <c r="C9136" s="221">
        <v>8</v>
      </c>
      <c r="D9136" s="231">
        <f t="shared" si="1055"/>
        <v>45908</v>
      </c>
      <c r="E9136" s="233">
        <f t="shared" si="1058"/>
        <v>45908</v>
      </c>
      <c r="F9136" s="478" t="s">
        <v>1670</v>
      </c>
      <c r="G9136" s="222" t="s">
        <v>1111</v>
      </c>
      <c r="H9136" s="223"/>
      <c r="I9136" s="223"/>
      <c r="J9136" s="224" t="s">
        <v>63</v>
      </c>
      <c r="K9136" s="225">
        <v>58</v>
      </c>
      <c r="L9136" s="225"/>
    </row>
    <row r="9137" spans="1:14" ht="11.25" customHeight="1" x14ac:dyDescent="0.2">
      <c r="A9137" s="226">
        <v>2025</v>
      </c>
      <c r="B9137" s="226">
        <v>9</v>
      </c>
      <c r="C9137" s="226">
        <v>8</v>
      </c>
      <c r="D9137" s="232">
        <f t="shared" si="1055"/>
        <v>45908</v>
      </c>
      <c r="E9137" s="234">
        <f t="shared" si="1058"/>
        <v>45908</v>
      </c>
      <c r="F9137" s="479"/>
      <c r="G9137" s="227" t="s">
        <v>1111</v>
      </c>
      <c r="H9137" s="228"/>
      <c r="I9137" s="228"/>
      <c r="J9137" s="229" t="s">
        <v>55</v>
      </c>
      <c r="K9137" s="230"/>
      <c r="L9137" s="230">
        <f>K9136</f>
        <v>58</v>
      </c>
    </row>
    <row r="9138" spans="1:14" ht="11.25" customHeight="1" x14ac:dyDescent="0.2">
      <c r="A9138" s="221">
        <v>2025</v>
      </c>
      <c r="B9138" s="221">
        <v>9</v>
      </c>
      <c r="C9138" s="221">
        <v>9</v>
      </c>
      <c r="D9138" s="231">
        <f t="shared" si="1055"/>
        <v>45909</v>
      </c>
      <c r="E9138" s="233">
        <f t="shared" ref="E9138:E9153" si="1059">DATE(A9138,B9138,C9138)</f>
        <v>45909</v>
      </c>
      <c r="F9138" s="478" t="s">
        <v>1940</v>
      </c>
      <c r="G9138" s="222" t="s">
        <v>1111</v>
      </c>
      <c r="H9138" s="223"/>
      <c r="I9138" s="223"/>
      <c r="J9138" s="224" t="s">
        <v>961</v>
      </c>
      <c r="K9138" s="225">
        <v>1508565.56</v>
      </c>
      <c r="L9138" s="225"/>
    </row>
    <row r="9139" spans="1:14" ht="11.25" customHeight="1" x14ac:dyDescent="0.2">
      <c r="A9139" s="226">
        <v>2025</v>
      </c>
      <c r="B9139" s="226">
        <v>9</v>
      </c>
      <c r="C9139" s="226">
        <v>9</v>
      </c>
      <c r="D9139" s="232">
        <f t="shared" si="1055"/>
        <v>45909</v>
      </c>
      <c r="E9139" s="234">
        <f t="shared" si="1059"/>
        <v>45909</v>
      </c>
      <c r="F9139" s="479"/>
      <c r="G9139" s="227" t="s">
        <v>1111</v>
      </c>
      <c r="H9139" s="228"/>
      <c r="I9139" s="228"/>
      <c r="J9139" s="229" t="s">
        <v>55</v>
      </c>
      <c r="K9139" s="230"/>
      <c r="L9139" s="230">
        <f>K9138</f>
        <v>1508565.56</v>
      </c>
    </row>
    <row r="9140" spans="1:14" ht="11.25" customHeight="1" x14ac:dyDescent="0.2">
      <c r="A9140" s="221">
        <v>2025</v>
      </c>
      <c r="B9140" s="221">
        <v>9</v>
      </c>
      <c r="C9140" s="221">
        <v>9</v>
      </c>
      <c r="D9140" s="231">
        <f t="shared" si="1055"/>
        <v>45909</v>
      </c>
      <c r="E9140" s="233">
        <f t="shared" si="1059"/>
        <v>45909</v>
      </c>
      <c r="F9140" s="478" t="s">
        <v>1889</v>
      </c>
      <c r="G9140" s="222" t="s">
        <v>1111</v>
      </c>
      <c r="H9140" s="223"/>
      <c r="I9140" s="223"/>
      <c r="J9140" s="224" t="s">
        <v>961</v>
      </c>
      <c r="K9140" s="225">
        <v>245533.1</v>
      </c>
      <c r="L9140" s="225"/>
    </row>
    <row r="9141" spans="1:14" ht="11.25" customHeight="1" x14ac:dyDescent="0.2">
      <c r="A9141" s="226">
        <v>2025</v>
      </c>
      <c r="B9141" s="226">
        <v>9</v>
      </c>
      <c r="C9141" s="226">
        <v>9</v>
      </c>
      <c r="D9141" s="232">
        <f t="shared" si="1055"/>
        <v>45909</v>
      </c>
      <c r="E9141" s="234">
        <f t="shared" si="1059"/>
        <v>45909</v>
      </c>
      <c r="F9141" s="479"/>
      <c r="G9141" s="227" t="s">
        <v>1111</v>
      </c>
      <c r="H9141" s="228"/>
      <c r="I9141" s="228"/>
      <c r="J9141" s="229" t="s">
        <v>55</v>
      </c>
      <c r="K9141" s="230"/>
      <c r="L9141" s="230">
        <f>K9140</f>
        <v>245533.1</v>
      </c>
    </row>
    <row r="9142" spans="1:14" ht="11.25" customHeight="1" x14ac:dyDescent="0.2">
      <c r="A9142" s="221">
        <v>2025</v>
      </c>
      <c r="B9142" s="221">
        <v>9</v>
      </c>
      <c r="C9142" s="221">
        <v>9</v>
      </c>
      <c r="D9142" s="231">
        <f t="shared" si="1055"/>
        <v>45909</v>
      </c>
      <c r="E9142" s="233">
        <f t="shared" si="1059"/>
        <v>45909</v>
      </c>
      <c r="F9142" s="478" t="s">
        <v>1670</v>
      </c>
      <c r="G9142" s="222" t="s">
        <v>1111</v>
      </c>
      <c r="H9142" s="223"/>
      <c r="I9142" s="223"/>
      <c r="J9142" s="224" t="s">
        <v>63</v>
      </c>
      <c r="K9142" s="225">
        <v>158</v>
      </c>
      <c r="L9142" s="225"/>
    </row>
    <row r="9143" spans="1:14" ht="11.25" customHeight="1" x14ac:dyDescent="0.2">
      <c r="A9143" s="226">
        <v>2025</v>
      </c>
      <c r="B9143" s="226">
        <v>9</v>
      </c>
      <c r="C9143" s="226">
        <v>9</v>
      </c>
      <c r="D9143" s="232">
        <f t="shared" si="1055"/>
        <v>45909</v>
      </c>
      <c r="E9143" s="234">
        <f t="shared" si="1059"/>
        <v>45909</v>
      </c>
      <c r="F9143" s="479"/>
      <c r="G9143" s="227" t="s">
        <v>1111</v>
      </c>
      <c r="H9143" s="228"/>
      <c r="I9143" s="228"/>
      <c r="J9143" s="229" t="s">
        <v>55</v>
      </c>
      <c r="K9143" s="230"/>
      <c r="L9143" s="230">
        <f>K9142</f>
        <v>158</v>
      </c>
    </row>
    <row r="9144" spans="1:14" ht="11.25" customHeight="1" x14ac:dyDescent="0.2">
      <c r="A9144" s="221">
        <v>2025</v>
      </c>
      <c r="B9144" s="221">
        <v>9</v>
      </c>
      <c r="C9144" s="221">
        <v>9</v>
      </c>
      <c r="D9144" s="231">
        <f t="shared" si="1055"/>
        <v>45909</v>
      </c>
      <c r="E9144" s="233">
        <f t="shared" si="1059"/>
        <v>45909</v>
      </c>
      <c r="F9144" s="478" t="s">
        <v>1115</v>
      </c>
      <c r="G9144" s="222" t="s">
        <v>1111</v>
      </c>
      <c r="H9144" s="223"/>
      <c r="I9144" s="223"/>
      <c r="J9144" s="224" t="s">
        <v>14</v>
      </c>
      <c r="K9144" s="167">
        <v>135470</v>
      </c>
      <c r="L9144" s="225"/>
    </row>
    <row r="9145" spans="1:14" ht="11.25" customHeight="1" x14ac:dyDescent="0.2">
      <c r="A9145" s="164">
        <v>2025</v>
      </c>
      <c r="B9145" s="164">
        <v>9</v>
      </c>
      <c r="C9145" s="164">
        <v>9</v>
      </c>
      <c r="D9145" s="156">
        <f t="shared" si="1055"/>
        <v>45909</v>
      </c>
      <c r="E9145" s="235">
        <f t="shared" si="1059"/>
        <v>45909</v>
      </c>
      <c r="F9145" s="480"/>
      <c r="G9145" s="208" t="s">
        <v>1111</v>
      </c>
      <c r="J9145" s="165" t="s">
        <v>1112</v>
      </c>
      <c r="K9145" s="167">
        <v>34034.609999999986</v>
      </c>
      <c r="L9145" s="205"/>
    </row>
    <row r="9146" spans="1:14" ht="11.25" customHeight="1" x14ac:dyDescent="0.2">
      <c r="A9146" s="226">
        <v>2025</v>
      </c>
      <c r="B9146" s="226">
        <v>9</v>
      </c>
      <c r="C9146" s="226">
        <v>9</v>
      </c>
      <c r="D9146" s="232">
        <f t="shared" si="1055"/>
        <v>45909</v>
      </c>
      <c r="E9146" s="234">
        <f t="shared" si="1059"/>
        <v>45909</v>
      </c>
      <c r="F9146" s="479"/>
      <c r="G9146" s="227" t="s">
        <v>1111</v>
      </c>
      <c r="H9146" s="228"/>
      <c r="I9146" s="228"/>
      <c r="J9146" s="229" t="s">
        <v>55</v>
      </c>
      <c r="K9146" s="230"/>
      <c r="L9146" s="230">
        <v>169504.61</v>
      </c>
    </row>
    <row r="9147" spans="1:14" ht="11.25" customHeight="1" x14ac:dyDescent="0.2">
      <c r="A9147" s="221">
        <v>2025</v>
      </c>
      <c r="B9147" s="221">
        <v>9</v>
      </c>
      <c r="C9147" s="221">
        <v>9</v>
      </c>
      <c r="D9147" s="231">
        <f t="shared" si="1055"/>
        <v>45909</v>
      </c>
      <c r="E9147" s="233">
        <f t="shared" si="1059"/>
        <v>45909</v>
      </c>
      <c r="F9147" s="478" t="s">
        <v>1670</v>
      </c>
      <c r="G9147" s="222" t="s">
        <v>1111</v>
      </c>
      <c r="H9147" s="223"/>
      <c r="I9147" s="223"/>
      <c r="J9147" s="224" t="s">
        <v>63</v>
      </c>
      <c r="K9147" s="225">
        <v>58</v>
      </c>
      <c r="L9147" s="225"/>
    </row>
    <row r="9148" spans="1:14" ht="11.25" customHeight="1" x14ac:dyDescent="0.2">
      <c r="A9148" s="226">
        <v>2025</v>
      </c>
      <c r="B9148" s="226">
        <v>9</v>
      </c>
      <c r="C9148" s="226">
        <v>9</v>
      </c>
      <c r="D9148" s="232">
        <f t="shared" si="1055"/>
        <v>45909</v>
      </c>
      <c r="E9148" s="234">
        <f t="shared" si="1059"/>
        <v>45909</v>
      </c>
      <c r="F9148" s="479"/>
      <c r="G9148" s="227" t="s">
        <v>1111</v>
      </c>
      <c r="H9148" s="228"/>
      <c r="I9148" s="228"/>
      <c r="J9148" s="229" t="s">
        <v>55</v>
      </c>
      <c r="K9148" s="230"/>
      <c r="L9148" s="230">
        <f>K9147</f>
        <v>58</v>
      </c>
    </row>
    <row r="9149" spans="1:14" ht="11.25" customHeight="1" x14ac:dyDescent="0.2">
      <c r="A9149" s="221">
        <v>2025</v>
      </c>
      <c r="B9149" s="221">
        <v>9</v>
      </c>
      <c r="C9149" s="221">
        <v>9</v>
      </c>
      <c r="D9149" s="221">
        <f t="shared" si="1055"/>
        <v>45909</v>
      </c>
      <c r="E9149" s="233">
        <f t="shared" si="1059"/>
        <v>45909</v>
      </c>
      <c r="F9149" s="478" t="s">
        <v>1937</v>
      </c>
      <c r="G9149" s="222" t="s">
        <v>86</v>
      </c>
      <c r="H9149" s="222"/>
      <c r="I9149" s="223"/>
      <c r="J9149" s="224" t="s">
        <v>80</v>
      </c>
      <c r="K9149" s="225">
        <v>2662450</v>
      </c>
      <c r="L9149" s="225"/>
      <c r="N9149" s="263"/>
    </row>
    <row r="9150" spans="1:14" ht="11.25" customHeight="1" x14ac:dyDescent="0.2">
      <c r="A9150" s="164">
        <v>2025</v>
      </c>
      <c r="B9150" s="164">
        <v>9</v>
      </c>
      <c r="C9150" s="164">
        <v>9</v>
      </c>
      <c r="D9150" s="164">
        <f t="shared" si="1055"/>
        <v>45909</v>
      </c>
      <c r="E9150" s="235">
        <f t="shared" si="1059"/>
        <v>45909</v>
      </c>
      <c r="F9150" s="480"/>
      <c r="G9150" s="208" t="s">
        <v>86</v>
      </c>
      <c r="H9150" s="208"/>
      <c r="J9150" s="165" t="s">
        <v>960</v>
      </c>
      <c r="K9150" s="205">
        <v>5194.99</v>
      </c>
      <c r="L9150" s="205"/>
      <c r="M9150" s="263"/>
      <c r="N9150" s="263"/>
    </row>
    <row r="9151" spans="1:14" ht="11.25" customHeight="1" x14ac:dyDescent="0.2">
      <c r="A9151" s="164">
        <v>2025</v>
      </c>
      <c r="B9151" s="164">
        <v>9</v>
      </c>
      <c r="C9151" s="164">
        <v>9</v>
      </c>
      <c r="D9151" s="164">
        <f t="shared" si="1055"/>
        <v>45909</v>
      </c>
      <c r="E9151" s="235">
        <f t="shared" si="1059"/>
        <v>45909</v>
      </c>
      <c r="F9151" s="480"/>
      <c r="G9151" s="208" t="s">
        <v>86</v>
      </c>
      <c r="H9151" s="208"/>
      <c r="J9151" s="165" t="s">
        <v>143</v>
      </c>
      <c r="K9151" s="263"/>
      <c r="L9151" s="205">
        <v>2443988.9900000002</v>
      </c>
      <c r="M9151" s="263"/>
    </row>
    <row r="9152" spans="1:14" ht="11.25" customHeight="1" x14ac:dyDescent="0.2">
      <c r="A9152" s="164">
        <v>2025</v>
      </c>
      <c r="B9152" s="164">
        <v>9</v>
      </c>
      <c r="C9152" s="164">
        <v>9</v>
      </c>
      <c r="D9152" s="164">
        <f t="shared" si="1055"/>
        <v>45909</v>
      </c>
      <c r="E9152" s="235">
        <f t="shared" si="1059"/>
        <v>45909</v>
      </c>
      <c r="F9152" s="480"/>
      <c r="G9152" s="208" t="s">
        <v>86</v>
      </c>
      <c r="H9152" s="208"/>
      <c r="J9152" s="165" t="s">
        <v>200</v>
      </c>
      <c r="K9152" s="205"/>
      <c r="L9152" s="205">
        <v>27694.39</v>
      </c>
      <c r="M9152" s="263"/>
    </row>
    <row r="9153" spans="1:13" ht="11.25" customHeight="1" x14ac:dyDescent="0.2">
      <c r="A9153" s="226">
        <v>2025</v>
      </c>
      <c r="B9153" s="226">
        <v>9</v>
      </c>
      <c r="C9153" s="226">
        <v>9</v>
      </c>
      <c r="D9153" s="226">
        <f t="shared" si="1055"/>
        <v>45909</v>
      </c>
      <c r="E9153" s="234">
        <f t="shared" si="1059"/>
        <v>45909</v>
      </c>
      <c r="F9153" s="479"/>
      <c r="G9153" s="227" t="s">
        <v>86</v>
      </c>
      <c r="H9153" s="228"/>
      <c r="I9153" s="228"/>
      <c r="J9153" s="229" t="s">
        <v>80</v>
      </c>
      <c r="K9153" s="230"/>
      <c r="L9153" s="230">
        <v>195961.61</v>
      </c>
      <c r="M9153" s="263"/>
    </row>
    <row r="9154" spans="1:13" ht="11.25" customHeight="1" x14ac:dyDescent="0.2">
      <c r="A9154" s="221">
        <v>2025</v>
      </c>
      <c r="B9154" s="221">
        <v>9</v>
      </c>
      <c r="C9154" s="221">
        <v>10</v>
      </c>
      <c r="D9154" s="231">
        <f t="shared" si="1055"/>
        <v>45910</v>
      </c>
      <c r="E9154" s="233">
        <f t="shared" ref="E9154:E9163" si="1060">DATE(A9154,B9154,C9154)</f>
        <v>45910</v>
      </c>
      <c r="F9154" s="478" t="s">
        <v>1940</v>
      </c>
      <c r="G9154" s="222" t="s">
        <v>1111</v>
      </c>
      <c r="H9154" s="223"/>
      <c r="I9154" s="223"/>
      <c r="J9154" s="224" t="s">
        <v>961</v>
      </c>
      <c r="K9154" s="225">
        <v>2443988.9900000002</v>
      </c>
      <c r="L9154" s="225"/>
    </row>
    <row r="9155" spans="1:13" ht="11.25" customHeight="1" x14ac:dyDescent="0.2">
      <c r="A9155" s="226">
        <v>2025</v>
      </c>
      <c r="B9155" s="226">
        <v>9</v>
      </c>
      <c r="C9155" s="226">
        <v>10</v>
      </c>
      <c r="D9155" s="232">
        <f t="shared" si="1055"/>
        <v>45910</v>
      </c>
      <c r="E9155" s="234">
        <f t="shared" si="1060"/>
        <v>45910</v>
      </c>
      <c r="F9155" s="479"/>
      <c r="G9155" s="227" t="s">
        <v>1111</v>
      </c>
      <c r="H9155" s="228"/>
      <c r="I9155" s="228"/>
      <c r="J9155" s="229" t="s">
        <v>55</v>
      </c>
      <c r="K9155" s="230"/>
      <c r="L9155" s="230">
        <f>K9154</f>
        <v>2443988.9900000002</v>
      </c>
    </row>
    <row r="9156" spans="1:13" ht="11.25" customHeight="1" x14ac:dyDescent="0.2">
      <c r="A9156" s="221">
        <v>2025</v>
      </c>
      <c r="B9156" s="221">
        <v>9</v>
      </c>
      <c r="C9156" s="221">
        <v>10</v>
      </c>
      <c r="D9156" s="231">
        <f t="shared" si="1055"/>
        <v>45910</v>
      </c>
      <c r="E9156" s="233">
        <f t="shared" si="1060"/>
        <v>45910</v>
      </c>
      <c r="F9156" s="478" t="s">
        <v>1670</v>
      </c>
      <c r="G9156" s="222" t="s">
        <v>1111</v>
      </c>
      <c r="H9156" s="223"/>
      <c r="I9156" s="223"/>
      <c r="J9156" s="224" t="s">
        <v>63</v>
      </c>
      <c r="K9156" s="225">
        <v>100</v>
      </c>
      <c r="L9156" s="225"/>
    </row>
    <row r="9157" spans="1:13" ht="11.25" customHeight="1" x14ac:dyDescent="0.2">
      <c r="A9157" s="226">
        <v>2025</v>
      </c>
      <c r="B9157" s="226">
        <v>9</v>
      </c>
      <c r="C9157" s="226">
        <v>10</v>
      </c>
      <c r="D9157" s="232">
        <f t="shared" si="1055"/>
        <v>45910</v>
      </c>
      <c r="E9157" s="234">
        <f t="shared" si="1060"/>
        <v>45910</v>
      </c>
      <c r="F9157" s="479"/>
      <c r="G9157" s="227" t="s">
        <v>1111</v>
      </c>
      <c r="H9157" s="228"/>
      <c r="I9157" s="228"/>
      <c r="J9157" s="229" t="s">
        <v>55</v>
      </c>
      <c r="K9157" s="230"/>
      <c r="L9157" s="230">
        <f>K9156</f>
        <v>100</v>
      </c>
    </row>
    <row r="9158" spans="1:13" ht="11.25" customHeight="1" x14ac:dyDescent="0.2">
      <c r="A9158" s="221">
        <v>2025</v>
      </c>
      <c r="B9158" s="221">
        <v>9</v>
      </c>
      <c r="C9158" s="221">
        <v>10</v>
      </c>
      <c r="D9158" s="231">
        <f t="shared" si="1055"/>
        <v>45910</v>
      </c>
      <c r="E9158" s="233">
        <f t="shared" si="1060"/>
        <v>45910</v>
      </c>
      <c r="F9158" s="478" t="s">
        <v>1944</v>
      </c>
      <c r="G9158" s="222" t="s">
        <v>1111</v>
      </c>
      <c r="H9158" s="222"/>
      <c r="I9158" s="223"/>
      <c r="J9158" s="224" t="s">
        <v>55</v>
      </c>
      <c r="K9158" s="225">
        <v>2256111.04</v>
      </c>
      <c r="L9158" s="225"/>
    </row>
    <row r="9159" spans="1:13" ht="11.25" customHeight="1" x14ac:dyDescent="0.2">
      <c r="A9159" s="164">
        <v>2025</v>
      </c>
      <c r="B9159" s="164">
        <v>9</v>
      </c>
      <c r="C9159" s="164">
        <v>10</v>
      </c>
      <c r="D9159" s="164">
        <f t="shared" si="1055"/>
        <v>45910</v>
      </c>
      <c r="E9159" s="235">
        <f t="shared" si="1060"/>
        <v>45910</v>
      </c>
      <c r="F9159" s="480"/>
      <c r="G9159" s="208" t="s">
        <v>1111</v>
      </c>
      <c r="H9159" s="208"/>
      <c r="J9159" s="165" t="s">
        <v>1618</v>
      </c>
      <c r="K9159" s="263"/>
      <c r="L9159" s="205">
        <v>279737.20999999996</v>
      </c>
    </row>
    <row r="9160" spans="1:13" ht="11.25" customHeight="1" x14ac:dyDescent="0.2">
      <c r="A9160" s="226">
        <v>2025</v>
      </c>
      <c r="B9160" s="226">
        <v>9</v>
      </c>
      <c r="C9160" s="226">
        <v>10</v>
      </c>
      <c r="D9160" s="226">
        <f t="shared" si="1055"/>
        <v>45910</v>
      </c>
      <c r="E9160" s="234">
        <f t="shared" si="1060"/>
        <v>45910</v>
      </c>
      <c r="F9160" s="479"/>
      <c r="G9160" s="227" t="s">
        <v>1111</v>
      </c>
      <c r="H9160" s="227"/>
      <c r="I9160" s="228"/>
      <c r="J9160" s="229" t="s">
        <v>1615</v>
      </c>
      <c r="K9160" s="294"/>
      <c r="L9160" s="230">
        <v>1976373.83</v>
      </c>
    </row>
    <row r="9161" spans="1:13" ht="11.25" customHeight="1" x14ac:dyDescent="0.2">
      <c r="A9161" s="221">
        <v>2025</v>
      </c>
      <c r="B9161" s="221">
        <v>9</v>
      </c>
      <c r="C9161" s="221">
        <v>10</v>
      </c>
      <c r="D9161" s="221">
        <f t="shared" ref="D9161:D9224" si="1061">DATE(A9161,B9161,C9161)</f>
        <v>45910</v>
      </c>
      <c r="E9161" s="233">
        <f t="shared" si="1060"/>
        <v>45910</v>
      </c>
      <c r="F9161" s="478" t="s">
        <v>1936</v>
      </c>
      <c r="G9161" s="222" t="s">
        <v>86</v>
      </c>
      <c r="H9161" s="222"/>
      <c r="I9161" s="223"/>
      <c r="J9161" s="224" t="s">
        <v>80</v>
      </c>
      <c r="K9161" s="225">
        <v>1436000</v>
      </c>
      <c r="L9161" s="225"/>
    </row>
    <row r="9162" spans="1:13" ht="11.25" customHeight="1" x14ac:dyDescent="0.2">
      <c r="A9162" s="164">
        <v>2025</v>
      </c>
      <c r="B9162" s="164">
        <v>9</v>
      </c>
      <c r="C9162" s="164">
        <v>10</v>
      </c>
      <c r="D9162" s="164">
        <f t="shared" si="1061"/>
        <v>45910</v>
      </c>
      <c r="E9162" s="235">
        <f t="shared" si="1060"/>
        <v>45910</v>
      </c>
      <c r="F9162" s="480"/>
      <c r="G9162" s="208" t="s">
        <v>86</v>
      </c>
      <c r="H9162" s="208"/>
      <c r="J9162" s="165" t="s">
        <v>960</v>
      </c>
      <c r="K9162" s="205">
        <v>2584.8000000000002</v>
      </c>
      <c r="L9162" s="205"/>
    </row>
    <row r="9163" spans="1:13" ht="11.25" customHeight="1" x14ac:dyDescent="0.2">
      <c r="A9163" s="226">
        <v>2025</v>
      </c>
      <c r="B9163" s="226">
        <v>9</v>
      </c>
      <c r="C9163" s="226">
        <v>10</v>
      </c>
      <c r="D9163" s="226">
        <f t="shared" si="1061"/>
        <v>45910</v>
      </c>
      <c r="E9163" s="234">
        <f t="shared" si="1060"/>
        <v>45910</v>
      </c>
      <c r="F9163" s="479"/>
      <c r="G9163" s="227" t="s">
        <v>86</v>
      </c>
      <c r="H9163" s="227"/>
      <c r="I9163" s="228"/>
      <c r="J9163" s="229" t="s">
        <v>143</v>
      </c>
      <c r="K9163" s="230"/>
      <c r="L9163" s="230">
        <v>1438584.8</v>
      </c>
    </row>
    <row r="9164" spans="1:13" ht="11.25" customHeight="1" x14ac:dyDescent="0.2">
      <c r="A9164" s="221">
        <v>2025</v>
      </c>
      <c r="B9164" s="221">
        <v>9</v>
      </c>
      <c r="C9164" s="221">
        <v>11</v>
      </c>
      <c r="D9164" s="231">
        <f t="shared" si="1061"/>
        <v>45911</v>
      </c>
      <c r="E9164" s="233">
        <f t="shared" ref="E9164:E9173" si="1062">DATE(A9164,B9164,C9164)</f>
        <v>45911</v>
      </c>
      <c r="F9164" s="478" t="s">
        <v>1940</v>
      </c>
      <c r="G9164" s="222" t="s">
        <v>1111</v>
      </c>
      <c r="H9164" s="223"/>
      <c r="I9164" s="223"/>
      <c r="J9164" s="224" t="s">
        <v>961</v>
      </c>
      <c r="K9164" s="225">
        <v>1438584.8</v>
      </c>
      <c r="L9164" s="225"/>
    </row>
    <row r="9165" spans="1:13" ht="11.25" customHeight="1" x14ac:dyDescent="0.2">
      <c r="A9165" s="226">
        <v>2025</v>
      </c>
      <c r="B9165" s="226">
        <v>9</v>
      </c>
      <c r="C9165" s="226">
        <v>11</v>
      </c>
      <c r="D9165" s="232">
        <f t="shared" si="1061"/>
        <v>45911</v>
      </c>
      <c r="E9165" s="234">
        <f t="shared" si="1062"/>
        <v>45911</v>
      </c>
      <c r="F9165" s="479"/>
      <c r="G9165" s="227" t="s">
        <v>1111</v>
      </c>
      <c r="H9165" s="228"/>
      <c r="I9165" s="228"/>
      <c r="J9165" s="229" t="s">
        <v>55</v>
      </c>
      <c r="K9165" s="230"/>
      <c r="L9165" s="230">
        <f>K9164</f>
        <v>1438584.8</v>
      </c>
    </row>
    <row r="9166" spans="1:13" ht="11.25" customHeight="1" x14ac:dyDescent="0.2">
      <c r="A9166" s="221">
        <v>2025</v>
      </c>
      <c r="B9166" s="221">
        <v>9</v>
      </c>
      <c r="C9166" s="221">
        <v>11</v>
      </c>
      <c r="D9166" s="231">
        <f t="shared" si="1061"/>
        <v>45911</v>
      </c>
      <c r="E9166" s="233">
        <f t="shared" si="1062"/>
        <v>45911</v>
      </c>
      <c r="F9166" s="478" t="s">
        <v>1670</v>
      </c>
      <c r="G9166" s="222" t="s">
        <v>1111</v>
      </c>
      <c r="H9166" s="223"/>
      <c r="I9166" s="223"/>
      <c r="J9166" s="224" t="s">
        <v>63</v>
      </c>
      <c r="K9166" s="225">
        <v>100</v>
      </c>
      <c r="L9166" s="225"/>
    </row>
    <row r="9167" spans="1:13" ht="11.25" customHeight="1" x14ac:dyDescent="0.2">
      <c r="A9167" s="226">
        <v>2025</v>
      </c>
      <c r="B9167" s="226">
        <v>9</v>
      </c>
      <c r="C9167" s="226">
        <v>11</v>
      </c>
      <c r="D9167" s="232">
        <f t="shared" si="1061"/>
        <v>45911</v>
      </c>
      <c r="E9167" s="234">
        <f t="shared" si="1062"/>
        <v>45911</v>
      </c>
      <c r="F9167" s="479"/>
      <c r="G9167" s="227" t="s">
        <v>1111</v>
      </c>
      <c r="H9167" s="228"/>
      <c r="I9167" s="228"/>
      <c r="J9167" s="229" t="s">
        <v>55</v>
      </c>
      <c r="K9167" s="230"/>
      <c r="L9167" s="230">
        <f>K9166</f>
        <v>100</v>
      </c>
    </row>
    <row r="9168" spans="1:13" ht="11.25" customHeight="1" x14ac:dyDescent="0.2">
      <c r="A9168" s="280">
        <v>2025</v>
      </c>
      <c r="B9168" s="280">
        <v>9</v>
      </c>
      <c r="C9168" s="280">
        <v>11</v>
      </c>
      <c r="D9168" s="281">
        <f t="shared" si="1061"/>
        <v>45911</v>
      </c>
      <c r="E9168" s="282">
        <f t="shared" si="1062"/>
        <v>45911</v>
      </c>
      <c r="F9168" s="472" t="s">
        <v>1744</v>
      </c>
      <c r="G9168" s="283" t="s">
        <v>86</v>
      </c>
      <c r="H9168" s="284"/>
      <c r="I9168" s="284"/>
      <c r="J9168" s="285" t="s">
        <v>131</v>
      </c>
      <c r="K9168" s="286">
        <v>19358.330000000002</v>
      </c>
      <c r="L9168" s="286"/>
      <c r="M9168" s="401"/>
    </row>
    <row r="9169" spans="1:13" ht="11.25" customHeight="1" x14ac:dyDescent="0.2">
      <c r="A9169" s="287">
        <v>2025</v>
      </c>
      <c r="B9169" s="287">
        <v>9</v>
      </c>
      <c r="C9169" s="287">
        <v>11</v>
      </c>
      <c r="D9169" s="288">
        <f t="shared" si="1061"/>
        <v>45911</v>
      </c>
      <c r="E9169" s="289">
        <f t="shared" si="1062"/>
        <v>45911</v>
      </c>
      <c r="F9169" s="473"/>
      <c r="G9169" s="290" t="s">
        <v>86</v>
      </c>
      <c r="H9169" s="291"/>
      <c r="I9169" s="291"/>
      <c r="J9169" s="292" t="s">
        <v>174</v>
      </c>
      <c r="K9169" s="293"/>
      <c r="L9169" s="293">
        <f>K9168</f>
        <v>19358.330000000002</v>
      </c>
    </row>
    <row r="9170" spans="1:13" ht="11.25" customHeight="1" x14ac:dyDescent="0.2">
      <c r="A9170" s="280">
        <v>2025</v>
      </c>
      <c r="B9170" s="280">
        <v>9</v>
      </c>
      <c r="C9170" s="280">
        <v>11</v>
      </c>
      <c r="D9170" s="281">
        <f t="shared" si="1061"/>
        <v>45911</v>
      </c>
      <c r="E9170" s="282">
        <f t="shared" si="1062"/>
        <v>45911</v>
      </c>
      <c r="F9170" s="472" t="s">
        <v>1584</v>
      </c>
      <c r="G9170" s="283" t="s">
        <v>86</v>
      </c>
      <c r="H9170" s="284"/>
      <c r="I9170" s="284"/>
      <c r="J9170" s="285" t="s">
        <v>131</v>
      </c>
      <c r="K9170" s="286">
        <v>8846.15</v>
      </c>
      <c r="L9170" s="286"/>
      <c r="M9170" s="401"/>
    </row>
    <row r="9171" spans="1:13" ht="11.25" customHeight="1" x14ac:dyDescent="0.2">
      <c r="A9171" s="287">
        <v>2025</v>
      </c>
      <c r="B9171" s="287">
        <v>9</v>
      </c>
      <c r="C9171" s="287">
        <v>11</v>
      </c>
      <c r="D9171" s="288">
        <f t="shared" si="1061"/>
        <v>45911</v>
      </c>
      <c r="E9171" s="289">
        <f t="shared" si="1062"/>
        <v>45911</v>
      </c>
      <c r="F9171" s="473"/>
      <c r="G9171" s="290" t="s">
        <v>86</v>
      </c>
      <c r="H9171" s="291"/>
      <c r="I9171" s="291"/>
      <c r="J9171" s="292" t="s">
        <v>174</v>
      </c>
      <c r="K9171" s="293"/>
      <c r="L9171" s="293">
        <f>K9170</f>
        <v>8846.15</v>
      </c>
    </row>
    <row r="9172" spans="1:13" ht="11.25" customHeight="1" x14ac:dyDescent="0.2">
      <c r="A9172" s="341">
        <v>2025</v>
      </c>
      <c r="B9172" s="341">
        <v>9</v>
      </c>
      <c r="C9172" s="341">
        <v>11</v>
      </c>
      <c r="D9172" s="328">
        <f t="shared" si="1061"/>
        <v>45911</v>
      </c>
      <c r="E9172" s="329">
        <f t="shared" si="1062"/>
        <v>45911</v>
      </c>
      <c r="F9172" s="474" t="s">
        <v>1767</v>
      </c>
      <c r="G9172" s="330" t="s">
        <v>86</v>
      </c>
      <c r="H9172" s="332"/>
      <c r="I9172" s="332"/>
      <c r="J9172" s="342" t="s">
        <v>67</v>
      </c>
      <c r="K9172" s="343">
        <v>6426.23</v>
      </c>
      <c r="L9172" s="343"/>
    </row>
    <row r="9173" spans="1:13" ht="11.25" customHeight="1" x14ac:dyDescent="0.2">
      <c r="A9173" s="344">
        <v>2025</v>
      </c>
      <c r="B9173" s="344">
        <v>9</v>
      </c>
      <c r="C9173" s="344">
        <v>11</v>
      </c>
      <c r="D9173" s="337">
        <f t="shared" si="1061"/>
        <v>45911</v>
      </c>
      <c r="E9173" s="338">
        <f t="shared" si="1062"/>
        <v>45911</v>
      </c>
      <c r="F9173" s="475"/>
      <c r="G9173" s="339" t="s">
        <v>86</v>
      </c>
      <c r="H9173" s="340"/>
      <c r="I9173" s="340"/>
      <c r="J9173" s="345" t="s">
        <v>174</v>
      </c>
      <c r="K9173" s="346"/>
      <c r="L9173" s="346">
        <f>K9172</f>
        <v>6426.23</v>
      </c>
    </row>
    <row r="9174" spans="1:13" ht="11.25" customHeight="1" x14ac:dyDescent="0.2">
      <c r="A9174" s="358">
        <v>2025</v>
      </c>
      <c r="B9174" s="358">
        <v>9</v>
      </c>
      <c r="C9174" s="358">
        <v>11</v>
      </c>
      <c r="D9174" s="312">
        <f t="shared" si="1061"/>
        <v>45911</v>
      </c>
      <c r="E9174" s="313">
        <f>DATE(A9174,B9174,C9174)</f>
        <v>45911</v>
      </c>
      <c r="F9174" s="482" t="s">
        <v>1627</v>
      </c>
      <c r="G9174" s="314" t="s">
        <v>86</v>
      </c>
      <c r="H9174" s="324"/>
      <c r="I9174" s="324"/>
      <c r="J9174" s="364" t="s">
        <v>1613</v>
      </c>
      <c r="K9174" s="365">
        <v>0</v>
      </c>
      <c r="L9174" s="365"/>
      <c r="M9174" s="156">
        <f>BS!$I$12</f>
        <v>0</v>
      </c>
    </row>
    <row r="9175" spans="1:13" ht="11.25" customHeight="1" x14ac:dyDescent="0.2">
      <c r="A9175" s="320">
        <v>2025</v>
      </c>
      <c r="B9175" s="320">
        <v>9</v>
      </c>
      <c r="C9175" s="320">
        <v>11</v>
      </c>
      <c r="D9175" s="323">
        <f t="shared" si="1061"/>
        <v>45911</v>
      </c>
      <c r="E9175" s="321">
        <f t="shared" ref="E9175" si="1063">DATE(A9175,B9175,C9175)</f>
        <v>45911</v>
      </c>
      <c r="F9175" s="483"/>
      <c r="G9175" s="322" t="s">
        <v>86</v>
      </c>
      <c r="H9175" s="325"/>
      <c r="I9175" s="325"/>
      <c r="J9175" s="366" t="s">
        <v>1621</v>
      </c>
      <c r="K9175" s="367"/>
      <c r="L9175" s="367">
        <f>K9174</f>
        <v>0</v>
      </c>
    </row>
    <row r="9176" spans="1:13" ht="11.25" customHeight="1" x14ac:dyDescent="0.2">
      <c r="A9176" s="358">
        <v>2025</v>
      </c>
      <c r="B9176" s="358">
        <v>9</v>
      </c>
      <c r="C9176" s="358">
        <v>11</v>
      </c>
      <c r="D9176" s="312">
        <f t="shared" si="1061"/>
        <v>45911</v>
      </c>
      <c r="E9176" s="313">
        <f>DATE(A9176,B9176,C9176)</f>
        <v>45911</v>
      </c>
      <c r="F9176" s="482" t="s">
        <v>1713</v>
      </c>
      <c r="G9176" s="314" t="s">
        <v>86</v>
      </c>
      <c r="H9176" s="324"/>
      <c r="I9176" s="324"/>
      <c r="J9176" s="364" t="s">
        <v>1614</v>
      </c>
      <c r="K9176" s="365">
        <v>242459.25600000098</v>
      </c>
      <c r="L9176" s="365"/>
      <c r="M9176" s="156">
        <f>BS!$I$15</f>
        <v>0</v>
      </c>
    </row>
    <row r="9177" spans="1:13" ht="11.25" customHeight="1" x14ac:dyDescent="0.2">
      <c r="A9177" s="320">
        <v>2025</v>
      </c>
      <c r="B9177" s="320">
        <v>9</v>
      </c>
      <c r="C9177" s="320">
        <v>11</v>
      </c>
      <c r="D9177" s="323">
        <f t="shared" si="1061"/>
        <v>45911</v>
      </c>
      <c r="E9177" s="321">
        <f t="shared" ref="E9177:E9202" si="1064">DATE(A9177,B9177,C9177)</f>
        <v>45911</v>
      </c>
      <c r="F9177" s="483"/>
      <c r="G9177" s="322" t="s">
        <v>86</v>
      </c>
      <c r="H9177" s="325"/>
      <c r="I9177" s="325"/>
      <c r="J9177" s="366" t="s">
        <v>1622</v>
      </c>
      <c r="K9177" s="367"/>
      <c r="L9177" s="367">
        <f>K9176</f>
        <v>242459.25600000098</v>
      </c>
    </row>
    <row r="9178" spans="1:13" ht="11.25" customHeight="1" x14ac:dyDescent="0.2">
      <c r="A9178" s="236">
        <v>2025</v>
      </c>
      <c r="B9178" s="236">
        <v>9</v>
      </c>
      <c r="C9178" s="236">
        <v>11</v>
      </c>
      <c r="D9178" s="237">
        <f t="shared" si="1061"/>
        <v>45911</v>
      </c>
      <c r="E9178" s="238">
        <f t="shared" si="1064"/>
        <v>45911</v>
      </c>
      <c r="F9178" s="476" t="s">
        <v>1118</v>
      </c>
      <c r="G9178" s="239" t="s">
        <v>86</v>
      </c>
      <c r="H9178" s="239"/>
      <c r="I9178" s="240"/>
      <c r="J9178" s="241" t="s">
        <v>82</v>
      </c>
      <c r="K9178" s="242">
        <v>2733257.6123000085</v>
      </c>
      <c r="L9178" s="242"/>
      <c r="M9178" s="156">
        <f>BS!$I$8</f>
        <v>0</v>
      </c>
    </row>
    <row r="9179" spans="1:13" ht="11.25" customHeight="1" x14ac:dyDescent="0.2">
      <c r="A9179" s="243">
        <v>2025</v>
      </c>
      <c r="B9179" s="243">
        <v>9</v>
      </c>
      <c r="C9179" s="243">
        <v>11</v>
      </c>
      <c r="D9179" s="248">
        <f t="shared" si="1061"/>
        <v>45911</v>
      </c>
      <c r="E9179" s="249">
        <f t="shared" si="1064"/>
        <v>45911</v>
      </c>
      <c r="F9179" s="477"/>
      <c r="G9179" s="244" t="s">
        <v>86</v>
      </c>
      <c r="H9179" s="244"/>
      <c r="I9179" s="245"/>
      <c r="J9179" s="246" t="s">
        <v>98</v>
      </c>
      <c r="K9179" s="247"/>
      <c r="L9179" s="247">
        <f>K9178</f>
        <v>2733257.6123000085</v>
      </c>
    </row>
    <row r="9180" spans="1:13" ht="11.25" customHeight="1" x14ac:dyDescent="0.2">
      <c r="A9180" s="236">
        <v>2025</v>
      </c>
      <c r="B9180" s="236">
        <v>9</v>
      </c>
      <c r="C9180" s="236">
        <v>11</v>
      </c>
      <c r="D9180" s="237">
        <f t="shared" si="1061"/>
        <v>45911</v>
      </c>
      <c r="E9180" s="238">
        <f t="shared" si="1064"/>
        <v>45911</v>
      </c>
      <c r="F9180" s="476" t="s">
        <v>1120</v>
      </c>
      <c r="G9180" s="239" t="s">
        <v>86</v>
      </c>
      <c r="H9180" s="239"/>
      <c r="I9180" s="240"/>
      <c r="J9180" s="241" t="s">
        <v>87</v>
      </c>
      <c r="K9180" s="242">
        <v>2747.2527472527472</v>
      </c>
      <c r="L9180" s="242"/>
      <c r="M9180" s="401"/>
    </row>
    <row r="9181" spans="1:13" ht="11.25" customHeight="1" x14ac:dyDescent="0.2">
      <c r="A9181" s="243">
        <v>2025</v>
      </c>
      <c r="B9181" s="243">
        <v>9</v>
      </c>
      <c r="C9181" s="243">
        <v>11</v>
      </c>
      <c r="D9181" s="248">
        <f t="shared" si="1061"/>
        <v>45911</v>
      </c>
      <c r="E9181" s="249">
        <f t="shared" si="1064"/>
        <v>45911</v>
      </c>
      <c r="F9181" s="477"/>
      <c r="G9181" s="244" t="s">
        <v>86</v>
      </c>
      <c r="H9181" s="244"/>
      <c r="I9181" s="245"/>
      <c r="J9181" s="246" t="s">
        <v>64</v>
      </c>
      <c r="K9181" s="247"/>
      <c r="L9181" s="247">
        <f>K9180</f>
        <v>2747.2527472527472</v>
      </c>
    </row>
    <row r="9182" spans="1:13" ht="11.25" customHeight="1" x14ac:dyDescent="0.2">
      <c r="A9182" s="236">
        <v>2025</v>
      </c>
      <c r="B9182" s="236">
        <v>9</v>
      </c>
      <c r="C9182" s="236">
        <v>11</v>
      </c>
      <c r="D9182" s="237">
        <f t="shared" si="1061"/>
        <v>45911</v>
      </c>
      <c r="E9182" s="238">
        <f t="shared" si="1064"/>
        <v>45911</v>
      </c>
      <c r="F9182" s="476" t="s">
        <v>1121</v>
      </c>
      <c r="G9182" s="239" t="s">
        <v>86</v>
      </c>
      <c r="H9182" s="239"/>
      <c r="I9182" s="240"/>
      <c r="J9182" s="241" t="s">
        <v>89</v>
      </c>
      <c r="K9182" s="242">
        <f>M9182</f>
        <v>89926.394348024493</v>
      </c>
      <c r="L9182" s="242"/>
      <c r="M9182" s="156">
        <v>89926.394348024493</v>
      </c>
    </row>
    <row r="9183" spans="1:13" ht="11.25" customHeight="1" x14ac:dyDescent="0.2">
      <c r="A9183" s="243">
        <v>2025</v>
      </c>
      <c r="B9183" s="243">
        <v>9</v>
      </c>
      <c r="C9183" s="243">
        <v>11</v>
      </c>
      <c r="D9183" s="248">
        <f t="shared" si="1061"/>
        <v>45911</v>
      </c>
      <c r="E9183" s="249">
        <f t="shared" si="1064"/>
        <v>45911</v>
      </c>
      <c r="F9183" s="477"/>
      <c r="G9183" s="244" t="s">
        <v>86</v>
      </c>
      <c r="H9183" s="244"/>
      <c r="I9183" s="245"/>
      <c r="J9183" s="246" t="s">
        <v>50</v>
      </c>
      <c r="K9183" s="247"/>
      <c r="L9183" s="247">
        <f>K9182</f>
        <v>89926.394348024493</v>
      </c>
      <c r="M9183" s="156">
        <v>4255.9351020166087</v>
      </c>
    </row>
    <row r="9184" spans="1:13" ht="11.25" customHeight="1" x14ac:dyDescent="0.2">
      <c r="A9184" s="236">
        <v>2025</v>
      </c>
      <c r="B9184" s="236">
        <v>9</v>
      </c>
      <c r="C9184" s="236">
        <v>11</v>
      </c>
      <c r="D9184" s="237">
        <f t="shared" si="1061"/>
        <v>45911</v>
      </c>
      <c r="E9184" s="238">
        <f t="shared" si="1064"/>
        <v>45911</v>
      </c>
      <c r="F9184" s="476" t="s">
        <v>1122</v>
      </c>
      <c r="G9184" s="239" t="s">
        <v>86</v>
      </c>
      <c r="H9184" s="239"/>
      <c r="I9184" s="240"/>
      <c r="J9184" s="241" t="s">
        <v>91</v>
      </c>
      <c r="K9184" s="242">
        <f>M9183</f>
        <v>4255.9351020166087</v>
      </c>
      <c r="L9184" s="242"/>
    </row>
    <row r="9185" spans="1:14" ht="11.25" customHeight="1" x14ac:dyDescent="0.2">
      <c r="A9185" s="243">
        <v>2025</v>
      </c>
      <c r="B9185" s="243">
        <v>9</v>
      </c>
      <c r="C9185" s="243">
        <v>11</v>
      </c>
      <c r="D9185" s="248">
        <f t="shared" si="1061"/>
        <v>45911</v>
      </c>
      <c r="E9185" s="249">
        <f t="shared" si="1064"/>
        <v>45911</v>
      </c>
      <c r="F9185" s="477"/>
      <c r="G9185" s="244" t="s">
        <v>86</v>
      </c>
      <c r="H9185" s="244"/>
      <c r="I9185" s="245"/>
      <c r="J9185" s="246" t="s">
        <v>51</v>
      </c>
      <c r="K9185" s="247"/>
      <c r="L9185" s="247">
        <f>K9184</f>
        <v>4255.9351020166087</v>
      </c>
    </row>
    <row r="9186" spans="1:14" ht="11.25" customHeight="1" x14ac:dyDescent="0.2">
      <c r="A9186" s="221">
        <v>2025</v>
      </c>
      <c r="B9186" s="221">
        <v>9</v>
      </c>
      <c r="C9186" s="221">
        <v>14</v>
      </c>
      <c r="D9186" s="221">
        <f t="shared" si="1061"/>
        <v>45914</v>
      </c>
      <c r="E9186" s="233">
        <f t="shared" si="1064"/>
        <v>45914</v>
      </c>
      <c r="F9186" s="478" t="s">
        <v>1936</v>
      </c>
      <c r="G9186" s="222" t="s">
        <v>86</v>
      </c>
      <c r="H9186" s="222"/>
      <c r="I9186" s="223"/>
      <c r="J9186" s="224" t="s">
        <v>80</v>
      </c>
      <c r="K9186" s="225">
        <v>801750</v>
      </c>
      <c r="L9186" s="225"/>
    </row>
    <row r="9187" spans="1:14" ht="11.25" customHeight="1" x14ac:dyDescent="0.2">
      <c r="A9187" s="164">
        <v>2025</v>
      </c>
      <c r="B9187" s="164">
        <v>9</v>
      </c>
      <c r="C9187" s="164">
        <v>14</v>
      </c>
      <c r="D9187" s="164">
        <f t="shared" si="1061"/>
        <v>45914</v>
      </c>
      <c r="E9187" s="235">
        <f t="shared" si="1064"/>
        <v>45914</v>
      </c>
      <c r="F9187" s="480"/>
      <c r="G9187" s="208" t="s">
        <v>86</v>
      </c>
      <c r="H9187" s="208"/>
      <c r="J9187" s="165" t="s">
        <v>960</v>
      </c>
      <c r="K9187" s="205">
        <v>1443.15</v>
      </c>
      <c r="L9187" s="205"/>
    </row>
    <row r="9188" spans="1:14" ht="11.25" customHeight="1" x14ac:dyDescent="0.2">
      <c r="A9188" s="226">
        <v>2025</v>
      </c>
      <c r="B9188" s="226">
        <v>9</v>
      </c>
      <c r="C9188" s="226">
        <v>14</v>
      </c>
      <c r="D9188" s="226">
        <f t="shared" si="1061"/>
        <v>45914</v>
      </c>
      <c r="E9188" s="234">
        <f t="shared" si="1064"/>
        <v>45914</v>
      </c>
      <c r="F9188" s="479"/>
      <c r="G9188" s="227" t="s">
        <v>86</v>
      </c>
      <c r="H9188" s="227"/>
      <c r="I9188" s="228"/>
      <c r="J9188" s="229" t="s">
        <v>143</v>
      </c>
      <c r="K9188" s="230"/>
      <c r="L9188" s="230">
        <v>803193.15</v>
      </c>
    </row>
    <row r="9189" spans="1:14" ht="11.25" customHeight="1" x14ac:dyDescent="0.2">
      <c r="A9189" s="221">
        <v>2025</v>
      </c>
      <c r="B9189" s="221">
        <v>9</v>
      </c>
      <c r="C9189" s="221">
        <v>15</v>
      </c>
      <c r="D9189" s="231">
        <f t="shared" si="1061"/>
        <v>45915</v>
      </c>
      <c r="E9189" s="233">
        <f t="shared" si="1064"/>
        <v>45915</v>
      </c>
      <c r="F9189" s="478" t="s">
        <v>1940</v>
      </c>
      <c r="G9189" s="222" t="s">
        <v>1111</v>
      </c>
      <c r="H9189" s="223"/>
      <c r="I9189" s="223"/>
      <c r="J9189" s="224" t="s">
        <v>961</v>
      </c>
      <c r="K9189" s="225">
        <v>803193.15</v>
      </c>
      <c r="L9189" s="225"/>
    </row>
    <row r="9190" spans="1:14" ht="11.25" customHeight="1" x14ac:dyDescent="0.2">
      <c r="A9190" s="226">
        <v>2025</v>
      </c>
      <c r="B9190" s="226">
        <v>9</v>
      </c>
      <c r="C9190" s="226">
        <v>15</v>
      </c>
      <c r="D9190" s="232">
        <f t="shared" si="1061"/>
        <v>45915</v>
      </c>
      <c r="E9190" s="234">
        <f t="shared" si="1064"/>
        <v>45915</v>
      </c>
      <c r="F9190" s="479"/>
      <c r="G9190" s="227" t="s">
        <v>1111</v>
      </c>
      <c r="H9190" s="228"/>
      <c r="I9190" s="228"/>
      <c r="J9190" s="229" t="s">
        <v>55</v>
      </c>
      <c r="K9190" s="230"/>
      <c r="L9190" s="230">
        <f>K9189</f>
        <v>803193.15</v>
      </c>
    </row>
    <row r="9191" spans="1:14" ht="11.25" customHeight="1" x14ac:dyDescent="0.2">
      <c r="A9191" s="221">
        <v>2025</v>
      </c>
      <c r="B9191" s="221">
        <v>9</v>
      </c>
      <c r="C9191" s="221">
        <v>15</v>
      </c>
      <c r="D9191" s="231">
        <f t="shared" si="1061"/>
        <v>45915</v>
      </c>
      <c r="E9191" s="233">
        <f t="shared" si="1064"/>
        <v>45915</v>
      </c>
      <c r="F9191" s="478" t="s">
        <v>1670</v>
      </c>
      <c r="G9191" s="222" t="s">
        <v>1111</v>
      </c>
      <c r="H9191" s="223"/>
      <c r="I9191" s="223"/>
      <c r="J9191" s="224" t="s">
        <v>63</v>
      </c>
      <c r="K9191" s="225">
        <v>100</v>
      </c>
      <c r="L9191" s="225"/>
    </row>
    <row r="9192" spans="1:14" ht="11.25" customHeight="1" x14ac:dyDescent="0.2">
      <c r="A9192" s="226">
        <v>2025</v>
      </c>
      <c r="B9192" s="226">
        <v>9</v>
      </c>
      <c r="C9192" s="226">
        <v>15</v>
      </c>
      <c r="D9192" s="232">
        <f t="shared" si="1061"/>
        <v>45915</v>
      </c>
      <c r="E9192" s="234">
        <f t="shared" si="1064"/>
        <v>45915</v>
      </c>
      <c r="F9192" s="479"/>
      <c r="G9192" s="227" t="s">
        <v>1111</v>
      </c>
      <c r="H9192" s="228"/>
      <c r="I9192" s="228"/>
      <c r="J9192" s="229" t="s">
        <v>55</v>
      </c>
      <c r="K9192" s="230"/>
      <c r="L9192" s="230">
        <f>K9191</f>
        <v>100</v>
      </c>
    </row>
    <row r="9193" spans="1:14" ht="11.25" customHeight="1" x14ac:dyDescent="0.2">
      <c r="A9193" s="221">
        <v>2025</v>
      </c>
      <c r="B9193" s="221">
        <v>9</v>
      </c>
      <c r="C9193" s="221">
        <v>15</v>
      </c>
      <c r="D9193" s="221">
        <f t="shared" si="1061"/>
        <v>45915</v>
      </c>
      <c r="E9193" s="233">
        <f t="shared" si="1064"/>
        <v>45915</v>
      </c>
      <c r="F9193" s="478" t="s">
        <v>1937</v>
      </c>
      <c r="G9193" s="222" t="s">
        <v>86</v>
      </c>
      <c r="H9193" s="222"/>
      <c r="I9193" s="223"/>
      <c r="J9193" s="224" t="s">
        <v>80</v>
      </c>
      <c r="K9193" s="225">
        <v>185000</v>
      </c>
      <c r="L9193" s="225"/>
      <c r="N9193" s="263"/>
    </row>
    <row r="9194" spans="1:14" ht="11.25" customHeight="1" x14ac:dyDescent="0.2">
      <c r="A9194" s="164">
        <v>2025</v>
      </c>
      <c r="B9194" s="164">
        <v>9</v>
      </c>
      <c r="C9194" s="164">
        <v>15</v>
      </c>
      <c r="D9194" s="164">
        <f t="shared" si="1061"/>
        <v>45915</v>
      </c>
      <c r="E9194" s="235">
        <f t="shared" si="1064"/>
        <v>45915</v>
      </c>
      <c r="F9194" s="480"/>
      <c r="G9194" s="208" t="s">
        <v>86</v>
      </c>
      <c r="H9194" s="208"/>
      <c r="J9194" s="165" t="s">
        <v>960</v>
      </c>
      <c r="K9194" s="205">
        <v>7335.6</v>
      </c>
      <c r="L9194" s="205"/>
      <c r="M9194" s="263"/>
      <c r="N9194" s="263"/>
    </row>
    <row r="9195" spans="1:14" ht="11.25" customHeight="1" x14ac:dyDescent="0.2">
      <c r="A9195" s="164">
        <v>2025</v>
      </c>
      <c r="B9195" s="164">
        <v>9</v>
      </c>
      <c r="C9195" s="164">
        <v>15</v>
      </c>
      <c r="D9195" s="164">
        <f t="shared" si="1061"/>
        <v>45915</v>
      </c>
      <c r="E9195" s="235">
        <f t="shared" si="1064"/>
        <v>45915</v>
      </c>
      <c r="F9195" s="480"/>
      <c r="G9195" s="208" t="s">
        <v>86</v>
      </c>
      <c r="H9195" s="208"/>
      <c r="J9195" s="165" t="s">
        <v>199</v>
      </c>
      <c r="K9195" s="263">
        <v>3697997.5</v>
      </c>
      <c r="L9195" s="205"/>
      <c r="M9195" s="263"/>
    </row>
    <row r="9196" spans="1:14" ht="11.25" customHeight="1" x14ac:dyDescent="0.2">
      <c r="A9196" s="164">
        <v>2025</v>
      </c>
      <c r="B9196" s="164">
        <v>9</v>
      </c>
      <c r="C9196" s="164">
        <v>15</v>
      </c>
      <c r="D9196" s="164">
        <f t="shared" si="1061"/>
        <v>45915</v>
      </c>
      <c r="E9196" s="235">
        <f t="shared" si="1064"/>
        <v>45915</v>
      </c>
      <c r="F9196" s="480"/>
      <c r="G9196" s="208" t="s">
        <v>86</v>
      </c>
      <c r="H9196" s="208"/>
      <c r="J9196" s="165" t="s">
        <v>200</v>
      </c>
      <c r="K9196" s="205"/>
      <c r="L9196" s="205">
        <v>150886.51999999999</v>
      </c>
      <c r="M9196" s="263"/>
    </row>
    <row r="9197" spans="1:14" ht="11.25" customHeight="1" x14ac:dyDescent="0.2">
      <c r="A9197" s="226">
        <v>2025</v>
      </c>
      <c r="B9197" s="226">
        <v>9</v>
      </c>
      <c r="C9197" s="226">
        <v>15</v>
      </c>
      <c r="D9197" s="226">
        <f t="shared" si="1061"/>
        <v>45915</v>
      </c>
      <c r="E9197" s="234">
        <f t="shared" si="1064"/>
        <v>45915</v>
      </c>
      <c r="F9197" s="479"/>
      <c r="G9197" s="227" t="s">
        <v>86</v>
      </c>
      <c r="H9197" s="228"/>
      <c r="I9197" s="228"/>
      <c r="J9197" s="229" t="s">
        <v>80</v>
      </c>
      <c r="K9197" s="230"/>
      <c r="L9197" s="230">
        <v>3739446.58</v>
      </c>
      <c r="M9197" s="263"/>
    </row>
    <row r="9198" spans="1:14" ht="11.25" customHeight="1" x14ac:dyDescent="0.2">
      <c r="A9198" s="164">
        <v>2025</v>
      </c>
      <c r="B9198" s="164">
        <v>9</v>
      </c>
      <c r="C9198" s="164">
        <v>16</v>
      </c>
      <c r="D9198" s="156">
        <f t="shared" si="1061"/>
        <v>45916</v>
      </c>
      <c r="E9198" s="235">
        <f t="shared" si="1064"/>
        <v>45916</v>
      </c>
      <c r="F9198" s="480" t="s">
        <v>1808</v>
      </c>
      <c r="G9198" s="208" t="s">
        <v>1111</v>
      </c>
      <c r="J9198" s="165" t="s">
        <v>478</v>
      </c>
      <c r="K9198" s="205">
        <v>569.08000000000004</v>
      </c>
      <c r="L9198" s="205"/>
    </row>
    <row r="9199" spans="1:14" ht="11.25" customHeight="1" x14ac:dyDescent="0.2">
      <c r="A9199" s="226">
        <v>2025</v>
      </c>
      <c r="B9199" s="226">
        <v>9</v>
      </c>
      <c r="C9199" s="226">
        <v>16</v>
      </c>
      <c r="D9199" s="232">
        <f t="shared" si="1061"/>
        <v>45916</v>
      </c>
      <c r="E9199" s="234">
        <f t="shared" si="1064"/>
        <v>45916</v>
      </c>
      <c r="F9199" s="479"/>
      <c r="G9199" s="227" t="s">
        <v>1111</v>
      </c>
      <c r="H9199" s="228"/>
      <c r="I9199" s="228"/>
      <c r="J9199" s="229" t="s">
        <v>55</v>
      </c>
      <c r="K9199" s="230"/>
      <c r="L9199" s="230">
        <f>K9198</f>
        <v>569.08000000000004</v>
      </c>
    </row>
    <row r="9200" spans="1:14" ht="11.25" customHeight="1" x14ac:dyDescent="0.2">
      <c r="A9200" s="221">
        <v>2025</v>
      </c>
      <c r="B9200" s="221">
        <v>9</v>
      </c>
      <c r="C9200" s="221">
        <v>17</v>
      </c>
      <c r="D9200" s="231">
        <f t="shared" si="1061"/>
        <v>45917</v>
      </c>
      <c r="E9200" s="233">
        <f t="shared" si="1064"/>
        <v>45917</v>
      </c>
      <c r="F9200" s="478" t="s">
        <v>1115</v>
      </c>
      <c r="G9200" s="222" t="s">
        <v>1111</v>
      </c>
      <c r="H9200" s="223"/>
      <c r="I9200" s="223"/>
      <c r="J9200" s="224" t="s">
        <v>14</v>
      </c>
      <c r="K9200" s="167">
        <v>12120</v>
      </c>
      <c r="L9200" s="225"/>
    </row>
    <row r="9201" spans="1:14" ht="11.25" customHeight="1" x14ac:dyDescent="0.2">
      <c r="A9201" s="164">
        <v>2025</v>
      </c>
      <c r="B9201" s="164">
        <v>9</v>
      </c>
      <c r="C9201" s="164">
        <v>17</v>
      </c>
      <c r="D9201" s="156">
        <f t="shared" si="1061"/>
        <v>45917</v>
      </c>
      <c r="E9201" s="235">
        <f t="shared" si="1064"/>
        <v>45917</v>
      </c>
      <c r="F9201" s="480"/>
      <c r="G9201" s="208" t="s">
        <v>1111</v>
      </c>
      <c r="J9201" s="165" t="s">
        <v>1112</v>
      </c>
      <c r="K9201" s="167">
        <v>2880</v>
      </c>
      <c r="L9201" s="205"/>
    </row>
    <row r="9202" spans="1:14" ht="11.25" customHeight="1" x14ac:dyDescent="0.2">
      <c r="A9202" s="226">
        <v>2025</v>
      </c>
      <c r="B9202" s="226">
        <v>9</v>
      </c>
      <c r="C9202" s="226">
        <v>17</v>
      </c>
      <c r="D9202" s="232">
        <f t="shared" si="1061"/>
        <v>45917</v>
      </c>
      <c r="E9202" s="234">
        <f t="shared" si="1064"/>
        <v>45917</v>
      </c>
      <c r="F9202" s="479"/>
      <c r="G9202" s="227" t="s">
        <v>1111</v>
      </c>
      <c r="H9202" s="228"/>
      <c r="I9202" s="228"/>
      <c r="J9202" s="229" t="s">
        <v>55</v>
      </c>
      <c r="K9202" s="230"/>
      <c r="L9202" s="230">
        <v>15000</v>
      </c>
    </row>
    <row r="9203" spans="1:14" ht="11.25" customHeight="1" x14ac:dyDescent="0.2">
      <c r="A9203" s="221">
        <v>2025</v>
      </c>
      <c r="B9203" s="221">
        <v>9</v>
      </c>
      <c r="C9203" s="221">
        <v>17</v>
      </c>
      <c r="D9203" s="231">
        <f t="shared" si="1061"/>
        <v>45917</v>
      </c>
      <c r="E9203" s="233">
        <f t="shared" ref="E9203:E9210" si="1065">DATE(A9203,B9203,C9203)</f>
        <v>45917</v>
      </c>
      <c r="F9203" s="478" t="s">
        <v>1115</v>
      </c>
      <c r="G9203" s="222" t="s">
        <v>1111</v>
      </c>
      <c r="H9203" s="223"/>
      <c r="I9203" s="223"/>
      <c r="J9203" s="224" t="s">
        <v>14</v>
      </c>
      <c r="K9203" s="167">
        <v>404140</v>
      </c>
      <c r="L9203" s="225"/>
    </row>
    <row r="9204" spans="1:14" ht="11.25" customHeight="1" x14ac:dyDescent="0.2">
      <c r="A9204" s="164">
        <v>2025</v>
      </c>
      <c r="B9204" s="164">
        <v>9</v>
      </c>
      <c r="C9204" s="164">
        <v>17</v>
      </c>
      <c r="D9204" s="156">
        <f t="shared" si="1061"/>
        <v>45917</v>
      </c>
      <c r="E9204" s="235">
        <f t="shared" si="1065"/>
        <v>45917</v>
      </c>
      <c r="F9204" s="480"/>
      <c r="G9204" s="208" t="s">
        <v>1111</v>
      </c>
      <c r="J9204" s="165" t="s">
        <v>1112</v>
      </c>
      <c r="K9204" s="167">
        <v>95860</v>
      </c>
      <c r="L9204" s="205"/>
    </row>
    <row r="9205" spans="1:14" ht="11.25" customHeight="1" x14ac:dyDescent="0.2">
      <c r="A9205" s="226">
        <v>2025</v>
      </c>
      <c r="B9205" s="226">
        <v>9</v>
      </c>
      <c r="C9205" s="226">
        <v>17</v>
      </c>
      <c r="D9205" s="232">
        <f t="shared" si="1061"/>
        <v>45917</v>
      </c>
      <c r="E9205" s="234">
        <f t="shared" si="1065"/>
        <v>45917</v>
      </c>
      <c r="F9205" s="479"/>
      <c r="G9205" s="227" t="s">
        <v>1111</v>
      </c>
      <c r="H9205" s="228"/>
      <c r="I9205" s="228"/>
      <c r="J9205" s="229" t="s">
        <v>55</v>
      </c>
      <c r="K9205" s="230"/>
      <c r="L9205" s="230">
        <v>500000</v>
      </c>
    </row>
    <row r="9206" spans="1:14" ht="11.25" customHeight="1" x14ac:dyDescent="0.2">
      <c r="A9206" s="221">
        <v>2025</v>
      </c>
      <c r="B9206" s="221">
        <v>9</v>
      </c>
      <c r="C9206" s="221">
        <v>16</v>
      </c>
      <c r="D9206" s="221">
        <f t="shared" si="1061"/>
        <v>45916</v>
      </c>
      <c r="E9206" s="233">
        <f t="shared" si="1065"/>
        <v>45916</v>
      </c>
      <c r="F9206" s="478" t="s">
        <v>1937</v>
      </c>
      <c r="G9206" s="222" t="s">
        <v>86</v>
      </c>
      <c r="H9206" s="222"/>
      <c r="I9206" s="223"/>
      <c r="J9206" s="224" t="s">
        <v>80</v>
      </c>
      <c r="K9206" s="225">
        <v>1602500</v>
      </c>
      <c r="L9206" s="225"/>
      <c r="N9206" s="263"/>
    </row>
    <row r="9207" spans="1:14" ht="11.25" customHeight="1" x14ac:dyDescent="0.2">
      <c r="A9207" s="164">
        <v>2025</v>
      </c>
      <c r="B9207" s="164">
        <v>9</v>
      </c>
      <c r="C9207" s="164">
        <v>16</v>
      </c>
      <c r="D9207" s="164">
        <f t="shared" si="1061"/>
        <v>45916</v>
      </c>
      <c r="E9207" s="235">
        <f t="shared" si="1065"/>
        <v>45916</v>
      </c>
      <c r="F9207" s="480"/>
      <c r="G9207" s="208" t="s">
        <v>86</v>
      </c>
      <c r="H9207" s="208"/>
      <c r="J9207" s="165" t="s">
        <v>960</v>
      </c>
      <c r="K9207" s="205">
        <v>4149.3500000000004</v>
      </c>
      <c r="L9207" s="205"/>
      <c r="M9207" s="263"/>
      <c r="N9207" s="263"/>
    </row>
    <row r="9208" spans="1:14" ht="11.25" customHeight="1" x14ac:dyDescent="0.2">
      <c r="A9208" s="164">
        <v>2025</v>
      </c>
      <c r="B9208" s="164">
        <v>9</v>
      </c>
      <c r="C9208" s="164">
        <v>16</v>
      </c>
      <c r="D9208" s="164">
        <f t="shared" si="1061"/>
        <v>45916</v>
      </c>
      <c r="E9208" s="235">
        <f t="shared" si="1065"/>
        <v>45916</v>
      </c>
      <c r="F9208" s="480"/>
      <c r="G9208" s="208" t="s">
        <v>86</v>
      </c>
      <c r="H9208" s="208"/>
      <c r="J9208" s="165" t="s">
        <v>961</v>
      </c>
      <c r="K9208" s="263"/>
      <c r="L9208" s="205">
        <v>903953.95</v>
      </c>
      <c r="M9208" s="263"/>
    </row>
    <row r="9209" spans="1:14" ht="11.25" customHeight="1" x14ac:dyDescent="0.2">
      <c r="A9209" s="164">
        <v>2025</v>
      </c>
      <c r="B9209" s="164">
        <v>9</v>
      </c>
      <c r="C9209" s="164">
        <v>16</v>
      </c>
      <c r="D9209" s="164">
        <f t="shared" si="1061"/>
        <v>45916</v>
      </c>
      <c r="E9209" s="235">
        <f t="shared" si="1065"/>
        <v>45916</v>
      </c>
      <c r="F9209" s="480"/>
      <c r="G9209" s="208" t="s">
        <v>86</v>
      </c>
      <c r="H9209" s="208"/>
      <c r="J9209" s="165" t="s">
        <v>200</v>
      </c>
      <c r="K9209" s="205"/>
      <c r="L9209" s="205">
        <v>6913.71</v>
      </c>
      <c r="M9209" s="263"/>
    </row>
    <row r="9210" spans="1:14" ht="11.25" customHeight="1" x14ac:dyDescent="0.2">
      <c r="A9210" s="226">
        <v>2025</v>
      </c>
      <c r="B9210" s="226">
        <v>9</v>
      </c>
      <c r="C9210" s="226">
        <v>16</v>
      </c>
      <c r="D9210" s="226">
        <f t="shared" si="1061"/>
        <v>45916</v>
      </c>
      <c r="E9210" s="234">
        <f t="shared" si="1065"/>
        <v>45916</v>
      </c>
      <c r="F9210" s="479"/>
      <c r="G9210" s="227" t="s">
        <v>86</v>
      </c>
      <c r="H9210" s="228"/>
      <c r="I9210" s="228"/>
      <c r="J9210" s="229" t="s">
        <v>80</v>
      </c>
      <c r="K9210" s="230"/>
      <c r="L9210" s="230">
        <v>695781.69</v>
      </c>
      <c r="M9210" s="263"/>
    </row>
    <row r="9211" spans="1:14" ht="11.25" customHeight="1" x14ac:dyDescent="0.2">
      <c r="A9211" s="221">
        <v>2025</v>
      </c>
      <c r="B9211" s="221">
        <v>9</v>
      </c>
      <c r="C9211" s="221">
        <v>17</v>
      </c>
      <c r="D9211" s="221">
        <f t="shared" si="1061"/>
        <v>45917</v>
      </c>
      <c r="E9211" s="233">
        <f t="shared" ref="E9211:E9226" si="1066">DATE(A9211,B9211,C9211)</f>
        <v>45917</v>
      </c>
      <c r="F9211" s="478" t="s">
        <v>1937</v>
      </c>
      <c r="G9211" s="222" t="s">
        <v>86</v>
      </c>
      <c r="H9211" s="222"/>
      <c r="I9211" s="223"/>
      <c r="J9211" s="224" t="s">
        <v>80</v>
      </c>
      <c r="K9211" s="225">
        <v>902550</v>
      </c>
      <c r="L9211" s="225"/>
      <c r="N9211" s="263"/>
    </row>
    <row r="9212" spans="1:14" ht="11.25" customHeight="1" x14ac:dyDescent="0.2">
      <c r="A9212" s="164">
        <v>2025</v>
      </c>
      <c r="B9212" s="164">
        <v>9</v>
      </c>
      <c r="C9212" s="164">
        <v>17</v>
      </c>
      <c r="D9212" s="164">
        <f t="shared" si="1061"/>
        <v>45917</v>
      </c>
      <c r="E9212" s="235">
        <f t="shared" si="1066"/>
        <v>45917</v>
      </c>
      <c r="F9212" s="480"/>
      <c r="G9212" s="208" t="s">
        <v>86</v>
      </c>
      <c r="H9212" s="208"/>
      <c r="J9212" s="165" t="s">
        <v>960</v>
      </c>
      <c r="K9212" s="205">
        <v>2136.15</v>
      </c>
      <c r="L9212" s="205"/>
      <c r="M9212" s="263"/>
      <c r="N9212" s="263"/>
    </row>
    <row r="9213" spans="1:14" ht="11.25" customHeight="1" x14ac:dyDescent="0.2">
      <c r="A9213" s="164">
        <v>2025</v>
      </c>
      <c r="B9213" s="164">
        <v>9</v>
      </c>
      <c r="C9213" s="164">
        <v>17</v>
      </c>
      <c r="D9213" s="164">
        <f t="shared" si="1061"/>
        <v>45917</v>
      </c>
      <c r="E9213" s="235">
        <f t="shared" si="1066"/>
        <v>45917</v>
      </c>
      <c r="F9213" s="480"/>
      <c r="G9213" s="208" t="s">
        <v>86</v>
      </c>
      <c r="H9213" s="208"/>
      <c r="J9213" s="165" t="s">
        <v>961</v>
      </c>
      <c r="K9213" s="263"/>
      <c r="L9213" s="205">
        <v>620486.15</v>
      </c>
      <c r="M9213" s="263"/>
    </row>
    <row r="9214" spans="1:14" ht="11.25" customHeight="1" x14ac:dyDescent="0.2">
      <c r="A9214" s="164">
        <v>2025</v>
      </c>
      <c r="B9214" s="164">
        <v>9</v>
      </c>
      <c r="C9214" s="164">
        <v>17</v>
      </c>
      <c r="D9214" s="164">
        <f t="shared" si="1061"/>
        <v>45917</v>
      </c>
      <c r="E9214" s="235">
        <f t="shared" si="1066"/>
        <v>45917</v>
      </c>
      <c r="F9214" s="480"/>
      <c r="G9214" s="208" t="s">
        <v>86</v>
      </c>
      <c r="H9214" s="208"/>
      <c r="J9214" s="165" t="s">
        <v>200</v>
      </c>
      <c r="K9214" s="205"/>
      <c r="L9214" s="205">
        <v>13488.64</v>
      </c>
      <c r="M9214" s="263"/>
    </row>
    <row r="9215" spans="1:14" ht="11.25" customHeight="1" x14ac:dyDescent="0.2">
      <c r="A9215" s="226">
        <v>2025</v>
      </c>
      <c r="B9215" s="226">
        <v>9</v>
      </c>
      <c r="C9215" s="226">
        <v>17</v>
      </c>
      <c r="D9215" s="226">
        <f t="shared" si="1061"/>
        <v>45917</v>
      </c>
      <c r="E9215" s="234">
        <f t="shared" si="1066"/>
        <v>45917</v>
      </c>
      <c r="F9215" s="479"/>
      <c r="G9215" s="227" t="s">
        <v>86</v>
      </c>
      <c r="H9215" s="228"/>
      <c r="I9215" s="228"/>
      <c r="J9215" s="229" t="s">
        <v>80</v>
      </c>
      <c r="K9215" s="230"/>
      <c r="L9215" s="230">
        <v>270711.36</v>
      </c>
      <c r="M9215" s="263"/>
    </row>
    <row r="9216" spans="1:14" ht="11.25" customHeight="1" x14ac:dyDescent="0.2">
      <c r="A9216" s="221">
        <v>2025</v>
      </c>
      <c r="B9216" s="221">
        <v>9</v>
      </c>
      <c r="C9216" s="221">
        <v>18</v>
      </c>
      <c r="D9216" s="221">
        <f t="shared" si="1061"/>
        <v>45918</v>
      </c>
      <c r="E9216" s="233">
        <f t="shared" si="1066"/>
        <v>45918</v>
      </c>
      <c r="F9216" s="478" t="s">
        <v>1936</v>
      </c>
      <c r="G9216" s="222" t="s">
        <v>86</v>
      </c>
      <c r="H9216" s="222"/>
      <c r="I9216" s="223"/>
      <c r="J9216" s="224" t="s">
        <v>80</v>
      </c>
      <c r="K9216" s="225">
        <v>1358500</v>
      </c>
      <c r="L9216" s="225"/>
    </row>
    <row r="9217" spans="1:13" ht="11.25" customHeight="1" x14ac:dyDescent="0.2">
      <c r="A9217" s="164">
        <v>2025</v>
      </c>
      <c r="B9217" s="164">
        <v>9</v>
      </c>
      <c r="C9217" s="164">
        <v>18</v>
      </c>
      <c r="D9217" s="164">
        <f t="shared" si="1061"/>
        <v>45918</v>
      </c>
      <c r="E9217" s="235">
        <f t="shared" si="1066"/>
        <v>45918</v>
      </c>
      <c r="F9217" s="480"/>
      <c r="G9217" s="208" t="s">
        <v>86</v>
      </c>
      <c r="H9217" s="208"/>
      <c r="J9217" s="165" t="s">
        <v>960</v>
      </c>
      <c r="K9217" s="205">
        <v>2445.3000000000002</v>
      </c>
      <c r="L9217" s="205"/>
    </row>
    <row r="9218" spans="1:13" ht="11.25" customHeight="1" x14ac:dyDescent="0.2">
      <c r="A9218" s="226">
        <v>2025</v>
      </c>
      <c r="B9218" s="226">
        <v>9</v>
      </c>
      <c r="C9218" s="226">
        <v>18</v>
      </c>
      <c r="D9218" s="226">
        <f t="shared" si="1061"/>
        <v>45918</v>
      </c>
      <c r="E9218" s="234">
        <f t="shared" si="1066"/>
        <v>45918</v>
      </c>
      <c r="F9218" s="479"/>
      <c r="G9218" s="227" t="s">
        <v>86</v>
      </c>
      <c r="H9218" s="227"/>
      <c r="I9218" s="228"/>
      <c r="J9218" s="229" t="s">
        <v>143</v>
      </c>
      <c r="K9218" s="230"/>
      <c r="L9218" s="230">
        <v>1360945.3</v>
      </c>
    </row>
    <row r="9219" spans="1:13" ht="11.25" customHeight="1" x14ac:dyDescent="0.2">
      <c r="A9219" s="221">
        <v>2025</v>
      </c>
      <c r="B9219" s="221">
        <v>9</v>
      </c>
      <c r="C9219" s="221">
        <v>18</v>
      </c>
      <c r="D9219" s="231">
        <f t="shared" si="1061"/>
        <v>45918</v>
      </c>
      <c r="E9219" s="233">
        <f t="shared" si="1066"/>
        <v>45918</v>
      </c>
      <c r="F9219" s="478" t="s">
        <v>1946</v>
      </c>
      <c r="G9219" s="222" t="s">
        <v>1111</v>
      </c>
      <c r="H9219" s="223"/>
      <c r="I9219" s="223"/>
      <c r="J9219" s="224" t="s">
        <v>55</v>
      </c>
      <c r="K9219" s="225">
        <v>403980</v>
      </c>
      <c r="L9219" s="225"/>
    </row>
    <row r="9220" spans="1:13" ht="11.25" customHeight="1" x14ac:dyDescent="0.2">
      <c r="A9220" s="226">
        <v>2025</v>
      </c>
      <c r="B9220" s="226">
        <v>9</v>
      </c>
      <c r="C9220" s="226">
        <v>18</v>
      </c>
      <c r="D9220" s="232">
        <f t="shared" si="1061"/>
        <v>45918</v>
      </c>
      <c r="E9220" s="234">
        <f t="shared" si="1066"/>
        <v>45918</v>
      </c>
      <c r="F9220" s="479"/>
      <c r="G9220" s="227" t="s">
        <v>1111</v>
      </c>
      <c r="H9220" s="228"/>
      <c r="I9220" s="228"/>
      <c r="J9220" s="229" t="s">
        <v>192</v>
      </c>
      <c r="K9220" s="230"/>
      <c r="L9220" s="230">
        <v>403980</v>
      </c>
    </row>
    <row r="9221" spans="1:13" ht="11.25" customHeight="1" x14ac:dyDescent="0.2">
      <c r="A9221" s="280">
        <v>2025</v>
      </c>
      <c r="B9221" s="280">
        <v>9</v>
      </c>
      <c r="C9221" s="280">
        <v>18</v>
      </c>
      <c r="D9221" s="281">
        <f t="shared" si="1061"/>
        <v>45918</v>
      </c>
      <c r="E9221" s="282">
        <f t="shared" si="1066"/>
        <v>45918</v>
      </c>
      <c r="F9221" s="472" t="s">
        <v>1744</v>
      </c>
      <c r="G9221" s="283" t="s">
        <v>86</v>
      </c>
      <c r="H9221" s="284"/>
      <c r="I9221" s="284"/>
      <c r="J9221" s="285" t="s">
        <v>131</v>
      </c>
      <c r="K9221" s="286">
        <v>19358.330000000002</v>
      </c>
      <c r="L9221" s="286"/>
      <c r="M9221" s="401"/>
    </row>
    <row r="9222" spans="1:13" ht="11.25" customHeight="1" x14ac:dyDescent="0.2">
      <c r="A9222" s="287">
        <v>2025</v>
      </c>
      <c r="B9222" s="287">
        <v>9</v>
      </c>
      <c r="C9222" s="287">
        <v>18</v>
      </c>
      <c r="D9222" s="288">
        <f t="shared" si="1061"/>
        <v>45918</v>
      </c>
      <c r="E9222" s="289">
        <f t="shared" si="1066"/>
        <v>45918</v>
      </c>
      <c r="F9222" s="473"/>
      <c r="G9222" s="290" t="s">
        <v>86</v>
      </c>
      <c r="H9222" s="291"/>
      <c r="I9222" s="291"/>
      <c r="J9222" s="292" t="s">
        <v>174</v>
      </c>
      <c r="K9222" s="293"/>
      <c r="L9222" s="293">
        <f>K9221</f>
        <v>19358.330000000002</v>
      </c>
    </row>
    <row r="9223" spans="1:13" ht="11.25" customHeight="1" x14ac:dyDescent="0.2">
      <c r="A9223" s="280">
        <v>2025</v>
      </c>
      <c r="B9223" s="280">
        <v>9</v>
      </c>
      <c r="C9223" s="280">
        <v>18</v>
      </c>
      <c r="D9223" s="281">
        <f t="shared" si="1061"/>
        <v>45918</v>
      </c>
      <c r="E9223" s="282">
        <f t="shared" si="1066"/>
        <v>45918</v>
      </c>
      <c r="F9223" s="472" t="s">
        <v>1584</v>
      </c>
      <c r="G9223" s="283" t="s">
        <v>86</v>
      </c>
      <c r="H9223" s="284"/>
      <c r="I9223" s="284"/>
      <c r="J9223" s="285" t="s">
        <v>131</v>
      </c>
      <c r="K9223" s="286">
        <v>8846.15</v>
      </c>
      <c r="L9223" s="286"/>
      <c r="M9223" s="401"/>
    </row>
    <row r="9224" spans="1:13" ht="11.25" customHeight="1" x14ac:dyDescent="0.2">
      <c r="A9224" s="287">
        <v>2025</v>
      </c>
      <c r="B9224" s="287">
        <v>9</v>
      </c>
      <c r="C9224" s="287">
        <v>18</v>
      </c>
      <c r="D9224" s="288">
        <f t="shared" si="1061"/>
        <v>45918</v>
      </c>
      <c r="E9224" s="289">
        <f t="shared" si="1066"/>
        <v>45918</v>
      </c>
      <c r="F9224" s="473"/>
      <c r="G9224" s="290" t="s">
        <v>86</v>
      </c>
      <c r="H9224" s="291"/>
      <c r="I9224" s="291"/>
      <c r="J9224" s="292" t="s">
        <v>174</v>
      </c>
      <c r="K9224" s="293"/>
      <c r="L9224" s="293">
        <f>K9223</f>
        <v>8846.15</v>
      </c>
    </row>
    <row r="9225" spans="1:13" ht="11.25" customHeight="1" x14ac:dyDescent="0.2">
      <c r="A9225" s="341">
        <v>2025</v>
      </c>
      <c r="B9225" s="341">
        <v>9</v>
      </c>
      <c r="C9225" s="341">
        <v>18</v>
      </c>
      <c r="D9225" s="328">
        <f t="shared" ref="D9225:D9288" si="1067">DATE(A9225,B9225,C9225)</f>
        <v>45918</v>
      </c>
      <c r="E9225" s="329">
        <f t="shared" si="1066"/>
        <v>45918</v>
      </c>
      <c r="F9225" s="474" t="s">
        <v>1767</v>
      </c>
      <c r="G9225" s="330" t="s">
        <v>86</v>
      </c>
      <c r="H9225" s="332"/>
      <c r="I9225" s="332"/>
      <c r="J9225" s="342" t="s">
        <v>67</v>
      </c>
      <c r="K9225" s="343">
        <v>986.45</v>
      </c>
      <c r="L9225" s="343"/>
    </row>
    <row r="9226" spans="1:13" ht="11.25" customHeight="1" x14ac:dyDescent="0.2">
      <c r="A9226" s="344">
        <v>2025</v>
      </c>
      <c r="B9226" s="344">
        <v>9</v>
      </c>
      <c r="C9226" s="344">
        <v>18</v>
      </c>
      <c r="D9226" s="337">
        <f t="shared" si="1067"/>
        <v>45918</v>
      </c>
      <c r="E9226" s="338">
        <f t="shared" si="1066"/>
        <v>45918</v>
      </c>
      <c r="F9226" s="475"/>
      <c r="G9226" s="339" t="s">
        <v>86</v>
      </c>
      <c r="H9226" s="340"/>
      <c r="I9226" s="340"/>
      <c r="J9226" s="345" t="s">
        <v>174</v>
      </c>
      <c r="K9226" s="346"/>
      <c r="L9226" s="346">
        <f>K9225</f>
        <v>986.45</v>
      </c>
    </row>
    <row r="9227" spans="1:13" ht="11.25" customHeight="1" x14ac:dyDescent="0.2">
      <c r="A9227" s="358">
        <v>2025</v>
      </c>
      <c r="B9227" s="358">
        <v>9</v>
      </c>
      <c r="C9227" s="358">
        <v>18</v>
      </c>
      <c r="D9227" s="312">
        <f t="shared" si="1067"/>
        <v>45918</v>
      </c>
      <c r="E9227" s="313">
        <f>DATE(A9227,B9227,C9227)</f>
        <v>45918</v>
      </c>
      <c r="F9227" s="482" t="s">
        <v>1627</v>
      </c>
      <c r="G9227" s="314" t="s">
        <v>86</v>
      </c>
      <c r="H9227" s="324"/>
      <c r="I9227" s="324"/>
      <c r="J9227" s="364" t="s">
        <v>1613</v>
      </c>
      <c r="K9227" s="365">
        <v>0</v>
      </c>
      <c r="L9227" s="365"/>
      <c r="M9227" s="156">
        <f>BS!$I$12</f>
        <v>0</v>
      </c>
    </row>
    <row r="9228" spans="1:13" ht="11.25" customHeight="1" x14ac:dyDescent="0.2">
      <c r="A9228" s="320">
        <v>2025</v>
      </c>
      <c r="B9228" s="320">
        <v>9</v>
      </c>
      <c r="C9228" s="320">
        <v>18</v>
      </c>
      <c r="D9228" s="323">
        <f t="shared" si="1067"/>
        <v>45918</v>
      </c>
      <c r="E9228" s="321">
        <f t="shared" ref="E9228" si="1068">DATE(A9228,B9228,C9228)</f>
        <v>45918</v>
      </c>
      <c r="F9228" s="483"/>
      <c r="G9228" s="322" t="s">
        <v>86</v>
      </c>
      <c r="H9228" s="325"/>
      <c r="I9228" s="325"/>
      <c r="J9228" s="366" t="s">
        <v>1621</v>
      </c>
      <c r="K9228" s="367"/>
      <c r="L9228" s="367">
        <f>K9227</f>
        <v>0</v>
      </c>
    </row>
    <row r="9229" spans="1:13" ht="11.25" customHeight="1" x14ac:dyDescent="0.2">
      <c r="A9229" s="358">
        <v>2025</v>
      </c>
      <c r="B9229" s="358">
        <v>9</v>
      </c>
      <c r="C9229" s="358">
        <v>18</v>
      </c>
      <c r="D9229" s="312">
        <f t="shared" si="1067"/>
        <v>45918</v>
      </c>
      <c r="E9229" s="313">
        <f>DATE(A9229,B9229,C9229)</f>
        <v>45918</v>
      </c>
      <c r="F9229" s="482" t="s">
        <v>1713</v>
      </c>
      <c r="G9229" s="314" t="s">
        <v>86</v>
      </c>
      <c r="H9229" s="324"/>
      <c r="I9229" s="324"/>
      <c r="J9229" s="364" t="s">
        <v>1622</v>
      </c>
      <c r="K9229" s="365">
        <v>221931.90899999999</v>
      </c>
      <c r="L9229" s="365"/>
      <c r="M9229" s="156">
        <f>BS!$I$15</f>
        <v>0</v>
      </c>
    </row>
    <row r="9230" spans="1:13" ht="11.25" customHeight="1" x14ac:dyDescent="0.2">
      <c r="A9230" s="320">
        <v>2025</v>
      </c>
      <c r="B9230" s="320">
        <v>9</v>
      </c>
      <c r="C9230" s="320">
        <v>18</v>
      </c>
      <c r="D9230" s="323">
        <f t="shared" si="1067"/>
        <v>45918</v>
      </c>
      <c r="E9230" s="321">
        <f t="shared" ref="E9230:E9256" si="1069">DATE(A9230,B9230,C9230)</f>
        <v>45918</v>
      </c>
      <c r="F9230" s="483"/>
      <c r="G9230" s="322" t="s">
        <v>86</v>
      </c>
      <c r="H9230" s="325"/>
      <c r="I9230" s="325"/>
      <c r="J9230" s="366" t="s">
        <v>1614</v>
      </c>
      <c r="K9230" s="367"/>
      <c r="L9230" s="367">
        <f>K9229</f>
        <v>221931.90899999999</v>
      </c>
    </row>
    <row r="9231" spans="1:13" ht="11.25" customHeight="1" x14ac:dyDescent="0.2">
      <c r="A9231" s="236">
        <v>2025</v>
      </c>
      <c r="B9231" s="236">
        <v>9</v>
      </c>
      <c r="C9231" s="236">
        <v>18</v>
      </c>
      <c r="D9231" s="237">
        <f t="shared" si="1067"/>
        <v>45918</v>
      </c>
      <c r="E9231" s="238">
        <f t="shared" si="1069"/>
        <v>45918</v>
      </c>
      <c r="F9231" s="476" t="s">
        <v>1118</v>
      </c>
      <c r="G9231" s="239" t="s">
        <v>86</v>
      </c>
      <c r="H9231" s="239"/>
      <c r="I9231" s="240"/>
      <c r="J9231" s="241" t="s">
        <v>82</v>
      </c>
      <c r="K9231" s="242">
        <v>4077381.7519999743</v>
      </c>
      <c r="L9231" s="242"/>
      <c r="M9231" s="156">
        <f>BS!$I$8</f>
        <v>0</v>
      </c>
    </row>
    <row r="9232" spans="1:13" ht="11.25" customHeight="1" x14ac:dyDescent="0.2">
      <c r="A9232" s="243">
        <v>2025</v>
      </c>
      <c r="B9232" s="243">
        <v>9</v>
      </c>
      <c r="C9232" s="243">
        <v>18</v>
      </c>
      <c r="D9232" s="248">
        <f t="shared" si="1067"/>
        <v>45918</v>
      </c>
      <c r="E9232" s="249">
        <f t="shared" si="1069"/>
        <v>45918</v>
      </c>
      <c r="F9232" s="477"/>
      <c r="G9232" s="244" t="s">
        <v>86</v>
      </c>
      <c r="H9232" s="244"/>
      <c r="I9232" s="245"/>
      <c r="J9232" s="246" t="s">
        <v>98</v>
      </c>
      <c r="K9232" s="247"/>
      <c r="L9232" s="247">
        <f>K9231</f>
        <v>4077381.7519999743</v>
      </c>
    </row>
    <row r="9233" spans="1:13" ht="11.25" customHeight="1" x14ac:dyDescent="0.2">
      <c r="A9233" s="236">
        <v>2025</v>
      </c>
      <c r="B9233" s="236">
        <v>9</v>
      </c>
      <c r="C9233" s="236">
        <v>18</v>
      </c>
      <c r="D9233" s="237">
        <f t="shared" si="1067"/>
        <v>45918</v>
      </c>
      <c r="E9233" s="238">
        <f t="shared" si="1069"/>
        <v>45918</v>
      </c>
      <c r="F9233" s="476" t="s">
        <v>1120</v>
      </c>
      <c r="G9233" s="239" t="s">
        <v>86</v>
      </c>
      <c r="H9233" s="239"/>
      <c r="I9233" s="240"/>
      <c r="J9233" s="241" t="s">
        <v>87</v>
      </c>
      <c r="K9233" s="242">
        <v>2747.2527472527472</v>
      </c>
      <c r="L9233" s="242"/>
      <c r="M9233" s="401"/>
    </row>
    <row r="9234" spans="1:13" ht="11.25" customHeight="1" x14ac:dyDescent="0.2">
      <c r="A9234" s="243">
        <v>2025</v>
      </c>
      <c r="B9234" s="243">
        <v>9</v>
      </c>
      <c r="C9234" s="243">
        <v>18</v>
      </c>
      <c r="D9234" s="248">
        <f t="shared" si="1067"/>
        <v>45918</v>
      </c>
      <c r="E9234" s="249">
        <f t="shared" si="1069"/>
        <v>45918</v>
      </c>
      <c r="F9234" s="477"/>
      <c r="G9234" s="244" t="s">
        <v>86</v>
      </c>
      <c r="H9234" s="244"/>
      <c r="I9234" s="245"/>
      <c r="J9234" s="246" t="s">
        <v>64</v>
      </c>
      <c r="K9234" s="247"/>
      <c r="L9234" s="247">
        <f>K9233</f>
        <v>2747.2527472527472</v>
      </c>
    </row>
    <row r="9235" spans="1:13" ht="11.25" customHeight="1" x14ac:dyDescent="0.2">
      <c r="A9235" s="236">
        <v>2025</v>
      </c>
      <c r="B9235" s="236">
        <v>9</v>
      </c>
      <c r="C9235" s="236">
        <v>18</v>
      </c>
      <c r="D9235" s="237">
        <f t="shared" si="1067"/>
        <v>45918</v>
      </c>
      <c r="E9235" s="238">
        <f t="shared" si="1069"/>
        <v>45918</v>
      </c>
      <c r="F9235" s="476" t="s">
        <v>1121</v>
      </c>
      <c r="G9235" s="239" t="s">
        <v>86</v>
      </c>
      <c r="H9235" s="239"/>
      <c r="I9235" s="240"/>
      <c r="J9235" s="241" t="s">
        <v>89</v>
      </c>
      <c r="K9235" s="242">
        <f>M9235</f>
        <v>88278.506203717843</v>
      </c>
      <c r="L9235" s="242"/>
      <c r="M9235" s="156">
        <v>88278.506203717843</v>
      </c>
    </row>
    <row r="9236" spans="1:13" ht="11.25" customHeight="1" x14ac:dyDescent="0.2">
      <c r="A9236" s="243">
        <v>2025</v>
      </c>
      <c r="B9236" s="243">
        <v>9</v>
      </c>
      <c r="C9236" s="243">
        <v>18</v>
      </c>
      <c r="D9236" s="248">
        <f t="shared" si="1067"/>
        <v>45918</v>
      </c>
      <c r="E9236" s="249">
        <f t="shared" si="1069"/>
        <v>45918</v>
      </c>
      <c r="F9236" s="477"/>
      <c r="G9236" s="244" t="s">
        <v>86</v>
      </c>
      <c r="H9236" s="244"/>
      <c r="I9236" s="245"/>
      <c r="J9236" s="246" t="s">
        <v>50</v>
      </c>
      <c r="K9236" s="247"/>
      <c r="L9236" s="247">
        <f>K9235</f>
        <v>88278.506203717843</v>
      </c>
      <c r="M9236" s="156">
        <v>4173.5406948012769</v>
      </c>
    </row>
    <row r="9237" spans="1:13" ht="11.25" customHeight="1" x14ac:dyDescent="0.2">
      <c r="A9237" s="236">
        <v>2025</v>
      </c>
      <c r="B9237" s="236">
        <v>9</v>
      </c>
      <c r="C9237" s="236">
        <v>18</v>
      </c>
      <c r="D9237" s="237">
        <f t="shared" si="1067"/>
        <v>45918</v>
      </c>
      <c r="E9237" s="238">
        <f t="shared" si="1069"/>
        <v>45918</v>
      </c>
      <c r="F9237" s="476" t="s">
        <v>1122</v>
      </c>
      <c r="G9237" s="239" t="s">
        <v>86</v>
      </c>
      <c r="H9237" s="239"/>
      <c r="I9237" s="240"/>
      <c r="J9237" s="241" t="s">
        <v>91</v>
      </c>
      <c r="K9237" s="242">
        <f>M9236</f>
        <v>4173.5406948012769</v>
      </c>
      <c r="L9237" s="242"/>
    </row>
    <row r="9238" spans="1:13" ht="11.25" customHeight="1" x14ac:dyDescent="0.2">
      <c r="A9238" s="243">
        <v>2025</v>
      </c>
      <c r="B9238" s="243">
        <v>9</v>
      </c>
      <c r="C9238" s="243">
        <v>18</v>
      </c>
      <c r="D9238" s="248">
        <f t="shared" si="1067"/>
        <v>45918</v>
      </c>
      <c r="E9238" s="249">
        <f t="shared" si="1069"/>
        <v>45918</v>
      </c>
      <c r="F9238" s="477"/>
      <c r="G9238" s="244" t="s">
        <v>86</v>
      </c>
      <c r="H9238" s="244"/>
      <c r="I9238" s="245"/>
      <c r="J9238" s="246" t="s">
        <v>51</v>
      </c>
      <c r="K9238" s="247"/>
      <c r="L9238" s="247">
        <f>K9237</f>
        <v>4173.5406948012769</v>
      </c>
    </row>
    <row r="9239" spans="1:13" ht="11.25" customHeight="1" x14ac:dyDescent="0.2">
      <c r="A9239" s="221">
        <v>2025</v>
      </c>
      <c r="B9239" s="221">
        <v>9</v>
      </c>
      <c r="C9239" s="221">
        <v>21</v>
      </c>
      <c r="D9239" s="231">
        <f t="shared" si="1067"/>
        <v>45921</v>
      </c>
      <c r="E9239" s="233">
        <f t="shared" ref="E9239:E9241" si="1070">DATE(A9239,B9239,C9239)</f>
        <v>45921</v>
      </c>
      <c r="F9239" s="478" t="s">
        <v>1115</v>
      </c>
      <c r="G9239" s="222" t="s">
        <v>1111</v>
      </c>
      <c r="H9239" s="223"/>
      <c r="I9239" s="223"/>
      <c r="J9239" s="224" t="s">
        <v>14</v>
      </c>
      <c r="K9239" s="167">
        <v>24670</v>
      </c>
      <c r="L9239" s="225"/>
    </row>
    <row r="9240" spans="1:13" ht="11.25" customHeight="1" x14ac:dyDescent="0.2">
      <c r="A9240" s="164">
        <v>2025</v>
      </c>
      <c r="B9240" s="164">
        <v>9</v>
      </c>
      <c r="C9240" s="164">
        <v>21</v>
      </c>
      <c r="D9240" s="156">
        <f t="shared" si="1067"/>
        <v>45921</v>
      </c>
      <c r="E9240" s="235">
        <f t="shared" si="1070"/>
        <v>45921</v>
      </c>
      <c r="F9240" s="480"/>
      <c r="G9240" s="208" t="s">
        <v>1111</v>
      </c>
      <c r="J9240" s="165" t="s">
        <v>1112</v>
      </c>
      <c r="K9240" s="167">
        <v>5330</v>
      </c>
      <c r="L9240" s="205"/>
    </row>
    <row r="9241" spans="1:13" ht="11.25" customHeight="1" x14ac:dyDescent="0.2">
      <c r="A9241" s="226">
        <v>2025</v>
      </c>
      <c r="B9241" s="226">
        <v>9</v>
      </c>
      <c r="C9241" s="226">
        <v>21</v>
      </c>
      <c r="D9241" s="232">
        <f t="shared" si="1067"/>
        <v>45921</v>
      </c>
      <c r="E9241" s="234">
        <f t="shared" si="1070"/>
        <v>45921</v>
      </c>
      <c r="F9241" s="479"/>
      <c r="G9241" s="227" t="s">
        <v>1111</v>
      </c>
      <c r="H9241" s="228"/>
      <c r="I9241" s="228"/>
      <c r="J9241" s="229" t="s">
        <v>55</v>
      </c>
      <c r="K9241" s="230"/>
      <c r="L9241" s="230">
        <v>30000</v>
      </c>
    </row>
    <row r="9242" spans="1:13" ht="11.25" customHeight="1" x14ac:dyDescent="0.2">
      <c r="A9242" s="221">
        <v>2025</v>
      </c>
      <c r="B9242" s="221">
        <v>9</v>
      </c>
      <c r="C9242" s="221">
        <v>21</v>
      </c>
      <c r="D9242" s="231">
        <f t="shared" si="1067"/>
        <v>45921</v>
      </c>
      <c r="E9242" s="233">
        <f t="shared" ref="E9242:E9244" si="1071">DATE(A9242,B9242,C9242)</f>
        <v>45921</v>
      </c>
      <c r="F9242" s="478" t="s">
        <v>1115</v>
      </c>
      <c r="G9242" s="222" t="s">
        <v>1111</v>
      </c>
      <c r="H9242" s="223"/>
      <c r="I9242" s="223"/>
      <c r="J9242" s="224" t="s">
        <v>14</v>
      </c>
      <c r="K9242" s="167">
        <v>24670</v>
      </c>
      <c r="L9242" s="225"/>
    </row>
    <row r="9243" spans="1:13" ht="11.25" customHeight="1" x14ac:dyDescent="0.2">
      <c r="A9243" s="164">
        <v>2025</v>
      </c>
      <c r="B9243" s="164">
        <v>9</v>
      </c>
      <c r="C9243" s="164">
        <v>21</v>
      </c>
      <c r="D9243" s="156">
        <f t="shared" si="1067"/>
        <v>45921</v>
      </c>
      <c r="E9243" s="235">
        <f t="shared" si="1071"/>
        <v>45921</v>
      </c>
      <c r="F9243" s="480"/>
      <c r="G9243" s="208" t="s">
        <v>1111</v>
      </c>
      <c r="J9243" s="165" t="s">
        <v>1112</v>
      </c>
      <c r="K9243" s="167">
        <v>5330</v>
      </c>
      <c r="L9243" s="205"/>
    </row>
    <row r="9244" spans="1:13" ht="11.25" customHeight="1" x14ac:dyDescent="0.2">
      <c r="A9244" s="226">
        <v>2025</v>
      </c>
      <c r="B9244" s="226">
        <v>9</v>
      </c>
      <c r="C9244" s="226">
        <v>21</v>
      </c>
      <c r="D9244" s="232">
        <f t="shared" si="1067"/>
        <v>45921</v>
      </c>
      <c r="E9244" s="234">
        <f t="shared" si="1071"/>
        <v>45921</v>
      </c>
      <c r="F9244" s="479"/>
      <c r="G9244" s="227" t="s">
        <v>1111</v>
      </c>
      <c r="H9244" s="228"/>
      <c r="I9244" s="228"/>
      <c r="J9244" s="229" t="s">
        <v>55</v>
      </c>
      <c r="K9244" s="230"/>
      <c r="L9244" s="230">
        <v>30000</v>
      </c>
    </row>
    <row r="9245" spans="1:13" ht="11.25" customHeight="1" x14ac:dyDescent="0.2">
      <c r="A9245" s="221">
        <v>2025</v>
      </c>
      <c r="B9245" s="221">
        <v>9</v>
      </c>
      <c r="C9245" s="221">
        <v>21</v>
      </c>
      <c r="D9245" s="231">
        <f t="shared" si="1067"/>
        <v>45921</v>
      </c>
      <c r="E9245" s="233">
        <f t="shared" si="1069"/>
        <v>45921</v>
      </c>
      <c r="F9245" s="478" t="s">
        <v>1971</v>
      </c>
      <c r="G9245" s="222" t="s">
        <v>1111</v>
      </c>
      <c r="H9245" s="223"/>
      <c r="I9245" s="223"/>
      <c r="J9245" s="224" t="s">
        <v>55</v>
      </c>
      <c r="K9245" s="225">
        <v>66275</v>
      </c>
      <c r="L9245" s="225"/>
    </row>
    <row r="9246" spans="1:13" ht="11.25" customHeight="1" x14ac:dyDescent="0.2">
      <c r="A9246" s="226">
        <v>2025</v>
      </c>
      <c r="B9246" s="226">
        <v>9</v>
      </c>
      <c r="C9246" s="226">
        <v>21</v>
      </c>
      <c r="D9246" s="232">
        <f t="shared" si="1067"/>
        <v>45921</v>
      </c>
      <c r="E9246" s="234">
        <f t="shared" si="1069"/>
        <v>45921</v>
      </c>
      <c r="F9246" s="479"/>
      <c r="G9246" s="227" t="s">
        <v>1111</v>
      </c>
      <c r="H9246" s="228"/>
      <c r="I9246" s="228"/>
      <c r="J9246" s="229" t="s">
        <v>1616</v>
      </c>
      <c r="K9246" s="230"/>
      <c r="L9246" s="230">
        <f>K9245</f>
        <v>66275</v>
      </c>
    </row>
    <row r="9247" spans="1:13" ht="11.25" customHeight="1" x14ac:dyDescent="0.2">
      <c r="A9247" s="221">
        <v>2025</v>
      </c>
      <c r="B9247" s="221">
        <v>9</v>
      </c>
      <c r="C9247" s="221">
        <v>21</v>
      </c>
      <c r="D9247" s="231">
        <f t="shared" si="1067"/>
        <v>45921</v>
      </c>
      <c r="E9247" s="233">
        <f t="shared" si="1069"/>
        <v>45921</v>
      </c>
      <c r="F9247" s="478" t="s">
        <v>1670</v>
      </c>
      <c r="G9247" s="222" t="s">
        <v>1111</v>
      </c>
      <c r="H9247" s="223"/>
      <c r="I9247" s="223"/>
      <c r="J9247" s="224" t="s">
        <v>63</v>
      </c>
      <c r="K9247" s="225">
        <v>57.5</v>
      </c>
      <c r="L9247" s="225"/>
    </row>
    <row r="9248" spans="1:13" ht="11.25" customHeight="1" x14ac:dyDescent="0.2">
      <c r="A9248" s="226">
        <v>2025</v>
      </c>
      <c r="B9248" s="226">
        <v>9</v>
      </c>
      <c r="C9248" s="226">
        <v>21</v>
      </c>
      <c r="D9248" s="232">
        <f t="shared" si="1067"/>
        <v>45921</v>
      </c>
      <c r="E9248" s="234">
        <f t="shared" si="1069"/>
        <v>45921</v>
      </c>
      <c r="F9248" s="479"/>
      <c r="G9248" s="227" t="s">
        <v>1111</v>
      </c>
      <c r="H9248" s="228"/>
      <c r="I9248" s="228"/>
      <c r="J9248" s="229" t="s">
        <v>55</v>
      </c>
      <c r="K9248" s="230"/>
      <c r="L9248" s="230">
        <f>K9247</f>
        <v>57.5</v>
      </c>
    </row>
    <row r="9249" spans="1:14" ht="11.25" customHeight="1" x14ac:dyDescent="0.2">
      <c r="A9249" s="221">
        <v>2025</v>
      </c>
      <c r="B9249" s="221">
        <v>9</v>
      </c>
      <c r="C9249" s="221">
        <v>21</v>
      </c>
      <c r="D9249" s="221">
        <f t="shared" si="1067"/>
        <v>45921</v>
      </c>
      <c r="E9249" s="233">
        <f t="shared" si="1069"/>
        <v>45921</v>
      </c>
      <c r="F9249" s="478" t="s">
        <v>1937</v>
      </c>
      <c r="G9249" s="222" t="s">
        <v>86</v>
      </c>
      <c r="H9249" s="222"/>
      <c r="I9249" s="223"/>
      <c r="J9249" s="224" t="s">
        <v>80</v>
      </c>
      <c r="K9249" s="225">
        <v>696900</v>
      </c>
      <c r="L9249" s="225"/>
      <c r="N9249" s="263"/>
    </row>
    <row r="9250" spans="1:14" ht="11.25" customHeight="1" x14ac:dyDescent="0.2">
      <c r="A9250" s="164">
        <v>2025</v>
      </c>
      <c r="B9250" s="164">
        <v>9</v>
      </c>
      <c r="C9250" s="164">
        <v>21</v>
      </c>
      <c r="D9250" s="164">
        <f t="shared" si="1067"/>
        <v>45921</v>
      </c>
      <c r="E9250" s="235">
        <f t="shared" si="1069"/>
        <v>45921</v>
      </c>
      <c r="F9250" s="480"/>
      <c r="G9250" s="208" t="s">
        <v>86</v>
      </c>
      <c r="H9250" s="208"/>
      <c r="J9250" s="165" t="s">
        <v>960</v>
      </c>
      <c r="K9250" s="205">
        <v>6013.78</v>
      </c>
      <c r="L9250" s="205"/>
      <c r="M9250" s="263"/>
      <c r="N9250" s="263"/>
    </row>
    <row r="9251" spans="1:14" ht="11.25" customHeight="1" x14ac:dyDescent="0.2">
      <c r="A9251" s="164">
        <v>2025</v>
      </c>
      <c r="B9251" s="164">
        <v>9</v>
      </c>
      <c r="C9251" s="164">
        <v>21</v>
      </c>
      <c r="D9251" s="164">
        <f t="shared" si="1067"/>
        <v>45921</v>
      </c>
      <c r="E9251" s="235">
        <f t="shared" si="1069"/>
        <v>45921</v>
      </c>
      <c r="F9251" s="480"/>
      <c r="G9251" s="208" t="s">
        <v>86</v>
      </c>
      <c r="H9251" s="208"/>
      <c r="J9251" s="165" t="s">
        <v>199</v>
      </c>
      <c r="K9251" s="263">
        <v>1941176.92</v>
      </c>
      <c r="L9251" s="205"/>
      <c r="M9251" s="263"/>
    </row>
    <row r="9252" spans="1:14" ht="11.25" customHeight="1" x14ac:dyDescent="0.2">
      <c r="A9252" s="164">
        <v>2025</v>
      </c>
      <c r="B9252" s="164">
        <v>9</v>
      </c>
      <c r="C9252" s="164">
        <v>21</v>
      </c>
      <c r="D9252" s="164">
        <f t="shared" si="1067"/>
        <v>45921</v>
      </c>
      <c r="E9252" s="235">
        <f t="shared" si="1069"/>
        <v>45921</v>
      </c>
      <c r="F9252" s="480"/>
      <c r="G9252" s="208" t="s">
        <v>86</v>
      </c>
      <c r="H9252" s="208"/>
      <c r="J9252" s="165" t="s">
        <v>200</v>
      </c>
      <c r="K9252" s="205">
        <v>6268.28</v>
      </c>
      <c r="L9252" s="205"/>
      <c r="M9252" s="263"/>
    </row>
    <row r="9253" spans="1:14" ht="11.25" customHeight="1" x14ac:dyDescent="0.2">
      <c r="A9253" s="226">
        <v>2025</v>
      </c>
      <c r="B9253" s="226">
        <v>9</v>
      </c>
      <c r="C9253" s="226">
        <v>21</v>
      </c>
      <c r="D9253" s="226">
        <f t="shared" si="1067"/>
        <v>45921</v>
      </c>
      <c r="E9253" s="234">
        <f t="shared" si="1069"/>
        <v>45921</v>
      </c>
      <c r="F9253" s="479"/>
      <c r="G9253" s="227" t="s">
        <v>86</v>
      </c>
      <c r="H9253" s="228"/>
      <c r="I9253" s="228"/>
      <c r="J9253" s="229" t="s">
        <v>80</v>
      </c>
      <c r="K9253" s="230"/>
      <c r="L9253" s="230">
        <v>2650358.98</v>
      </c>
      <c r="M9253" s="263"/>
    </row>
    <row r="9254" spans="1:14" ht="11.25" customHeight="1" x14ac:dyDescent="0.2">
      <c r="A9254" s="221">
        <v>2025</v>
      </c>
      <c r="B9254" s="221">
        <v>9</v>
      </c>
      <c r="C9254" s="221">
        <v>21</v>
      </c>
      <c r="D9254" s="231">
        <f t="shared" si="1067"/>
        <v>45921</v>
      </c>
      <c r="E9254" s="233">
        <f t="shared" si="1069"/>
        <v>45921</v>
      </c>
      <c r="F9254" s="478" t="s">
        <v>1115</v>
      </c>
      <c r="G9254" s="222" t="s">
        <v>1111</v>
      </c>
      <c r="H9254" s="223"/>
      <c r="I9254" s="223"/>
      <c r="J9254" s="224" t="s">
        <v>14</v>
      </c>
      <c r="K9254" s="167">
        <v>82390</v>
      </c>
      <c r="L9254" s="225"/>
    </row>
    <row r="9255" spans="1:14" ht="11.25" customHeight="1" x14ac:dyDescent="0.2">
      <c r="A9255" s="164">
        <v>2025</v>
      </c>
      <c r="B9255" s="164">
        <v>9</v>
      </c>
      <c r="C9255" s="164">
        <v>21</v>
      </c>
      <c r="D9255" s="156">
        <f t="shared" si="1067"/>
        <v>45921</v>
      </c>
      <c r="E9255" s="235">
        <f t="shared" si="1069"/>
        <v>45921</v>
      </c>
      <c r="F9255" s="480"/>
      <c r="G9255" s="208" t="s">
        <v>1111</v>
      </c>
      <c r="J9255" s="165" t="s">
        <v>1112</v>
      </c>
      <c r="K9255" s="167">
        <v>17804.479999999996</v>
      </c>
      <c r="L9255" s="205"/>
    </row>
    <row r="9256" spans="1:14" ht="11.25" customHeight="1" x14ac:dyDescent="0.2">
      <c r="A9256" s="226">
        <v>2025</v>
      </c>
      <c r="B9256" s="226">
        <v>9</v>
      </c>
      <c r="C9256" s="226">
        <v>21</v>
      </c>
      <c r="D9256" s="232">
        <f t="shared" si="1067"/>
        <v>45921</v>
      </c>
      <c r="E9256" s="234">
        <f t="shared" si="1069"/>
        <v>45921</v>
      </c>
      <c r="F9256" s="479"/>
      <c r="G9256" s="227" t="s">
        <v>1111</v>
      </c>
      <c r="H9256" s="228"/>
      <c r="I9256" s="228"/>
      <c r="J9256" s="229" t="s">
        <v>55</v>
      </c>
      <c r="K9256" s="230"/>
      <c r="L9256" s="230">
        <v>100194.48</v>
      </c>
    </row>
    <row r="9257" spans="1:14" ht="11.25" customHeight="1" x14ac:dyDescent="0.2">
      <c r="A9257" s="221">
        <v>2025</v>
      </c>
      <c r="B9257" s="221">
        <v>9</v>
      </c>
      <c r="C9257" s="221">
        <v>21</v>
      </c>
      <c r="D9257" s="231">
        <f t="shared" si="1067"/>
        <v>45921</v>
      </c>
      <c r="E9257" s="233">
        <f t="shared" ref="E9257:E9258" si="1072">DATE(A9257,B9257,C9257)</f>
        <v>45921</v>
      </c>
      <c r="F9257" s="478" t="s">
        <v>1670</v>
      </c>
      <c r="G9257" s="222" t="s">
        <v>1111</v>
      </c>
      <c r="H9257" s="223"/>
      <c r="I9257" s="223"/>
      <c r="J9257" s="224" t="s">
        <v>63</v>
      </c>
      <c r="K9257" s="225">
        <v>58</v>
      </c>
      <c r="L9257" s="225"/>
    </row>
    <row r="9258" spans="1:14" ht="11.25" customHeight="1" x14ac:dyDescent="0.2">
      <c r="A9258" s="226">
        <v>2025</v>
      </c>
      <c r="B9258" s="226">
        <v>9</v>
      </c>
      <c r="C9258" s="226">
        <v>21</v>
      </c>
      <c r="D9258" s="232">
        <f t="shared" si="1067"/>
        <v>45921</v>
      </c>
      <c r="E9258" s="234">
        <f t="shared" si="1072"/>
        <v>45921</v>
      </c>
      <c r="F9258" s="479"/>
      <c r="G9258" s="227" t="s">
        <v>1111</v>
      </c>
      <c r="H9258" s="228"/>
      <c r="I9258" s="228"/>
      <c r="J9258" s="229" t="s">
        <v>55</v>
      </c>
      <c r="K9258" s="230"/>
      <c r="L9258" s="230">
        <f>K9257</f>
        <v>58</v>
      </c>
    </row>
    <row r="9259" spans="1:14" ht="11.25" customHeight="1" x14ac:dyDescent="0.2">
      <c r="A9259" s="221">
        <v>2025</v>
      </c>
      <c r="B9259" s="221">
        <v>9</v>
      </c>
      <c r="C9259" s="221">
        <v>22</v>
      </c>
      <c r="D9259" s="231">
        <f t="shared" si="1067"/>
        <v>45922</v>
      </c>
      <c r="E9259" s="233">
        <f>DATE(A9259,B9259,C9259)</f>
        <v>45922</v>
      </c>
      <c r="F9259" s="478" t="s">
        <v>1142</v>
      </c>
      <c r="G9259" s="222" t="s">
        <v>1111</v>
      </c>
      <c r="H9259" s="223"/>
      <c r="I9259" s="223"/>
      <c r="J9259" s="224" t="s">
        <v>189</v>
      </c>
      <c r="K9259" s="225">
        <v>1575</v>
      </c>
      <c r="L9259" s="225"/>
    </row>
    <row r="9260" spans="1:14" ht="11.25" customHeight="1" x14ac:dyDescent="0.2">
      <c r="A9260" s="164">
        <v>2025</v>
      </c>
      <c r="B9260" s="164">
        <v>9</v>
      </c>
      <c r="C9260" s="164">
        <v>22</v>
      </c>
      <c r="D9260" s="156">
        <f t="shared" si="1067"/>
        <v>45922</v>
      </c>
      <c r="E9260" s="235">
        <f>DATE(A9260,B9260,C9260)</f>
        <v>45922</v>
      </c>
      <c r="F9260" s="480"/>
      <c r="G9260" s="208" t="s">
        <v>1111</v>
      </c>
      <c r="J9260" s="165" t="s">
        <v>1707</v>
      </c>
      <c r="K9260" s="205"/>
      <c r="L9260" s="205">
        <v>75</v>
      </c>
    </row>
    <row r="9261" spans="1:14" ht="11.25" customHeight="1" x14ac:dyDescent="0.2">
      <c r="A9261" s="226">
        <v>2025</v>
      </c>
      <c r="B9261" s="226">
        <v>9</v>
      </c>
      <c r="C9261" s="226">
        <v>22</v>
      </c>
      <c r="D9261" s="232">
        <f t="shared" si="1067"/>
        <v>45922</v>
      </c>
      <c r="E9261" s="234">
        <f>DATE(A9261,B9261,C9261)</f>
        <v>45922</v>
      </c>
      <c r="F9261" s="479"/>
      <c r="G9261" s="227" t="s">
        <v>1111</v>
      </c>
      <c r="H9261" s="228"/>
      <c r="I9261" s="228"/>
      <c r="J9261" s="229" t="s">
        <v>55</v>
      </c>
      <c r="K9261" s="230"/>
      <c r="L9261" s="230">
        <v>1500</v>
      </c>
    </row>
    <row r="9262" spans="1:14" ht="11.25" customHeight="1" x14ac:dyDescent="0.2">
      <c r="A9262" s="221">
        <v>2025</v>
      </c>
      <c r="B9262" s="221">
        <v>9</v>
      </c>
      <c r="C9262" s="221">
        <v>22</v>
      </c>
      <c r="D9262" s="221">
        <f t="shared" si="1067"/>
        <v>45922</v>
      </c>
      <c r="E9262" s="233">
        <f t="shared" ref="E9262:E9266" si="1073">DATE(A9262,B9262,C9262)</f>
        <v>45922</v>
      </c>
      <c r="F9262" s="478" t="s">
        <v>1937</v>
      </c>
      <c r="G9262" s="222" t="s">
        <v>86</v>
      </c>
      <c r="H9262" s="222"/>
      <c r="I9262" s="223"/>
      <c r="J9262" s="224" t="s">
        <v>80</v>
      </c>
      <c r="K9262" s="225">
        <v>1534260</v>
      </c>
      <c r="L9262" s="225"/>
      <c r="N9262" s="263"/>
    </row>
    <row r="9263" spans="1:14" ht="11.25" customHeight="1" x14ac:dyDescent="0.2">
      <c r="A9263" s="164">
        <v>2025</v>
      </c>
      <c r="B9263" s="164">
        <v>9</v>
      </c>
      <c r="C9263" s="164">
        <v>22</v>
      </c>
      <c r="D9263" s="164">
        <f t="shared" si="1067"/>
        <v>45922</v>
      </c>
      <c r="E9263" s="235">
        <f t="shared" si="1073"/>
        <v>45922</v>
      </c>
      <c r="F9263" s="480"/>
      <c r="G9263" s="208" t="s">
        <v>86</v>
      </c>
      <c r="H9263" s="208"/>
      <c r="J9263" s="165" t="s">
        <v>960</v>
      </c>
      <c r="K9263" s="205">
        <v>7698.71</v>
      </c>
      <c r="L9263" s="205"/>
      <c r="M9263" s="263"/>
      <c r="N9263" s="263"/>
    </row>
    <row r="9264" spans="1:14" ht="11.25" customHeight="1" x14ac:dyDescent="0.2">
      <c r="A9264" s="164">
        <v>2025</v>
      </c>
      <c r="B9264" s="164">
        <v>9</v>
      </c>
      <c r="C9264" s="164">
        <v>22</v>
      </c>
      <c r="D9264" s="164">
        <f t="shared" si="1067"/>
        <v>45922</v>
      </c>
      <c r="E9264" s="235">
        <f t="shared" si="1073"/>
        <v>45922</v>
      </c>
      <c r="F9264" s="480"/>
      <c r="G9264" s="208" t="s">
        <v>86</v>
      </c>
      <c r="H9264" s="208"/>
      <c r="J9264" s="165" t="s">
        <v>199</v>
      </c>
      <c r="K9264" s="263">
        <v>1200841.29</v>
      </c>
      <c r="L9264" s="205"/>
      <c r="M9264" s="263"/>
    </row>
    <row r="9265" spans="1:14" ht="11.25" customHeight="1" x14ac:dyDescent="0.2">
      <c r="A9265" s="164">
        <v>2025</v>
      </c>
      <c r="B9265" s="164">
        <v>9</v>
      </c>
      <c r="C9265" s="164">
        <v>22</v>
      </c>
      <c r="D9265" s="164">
        <f t="shared" si="1067"/>
        <v>45922</v>
      </c>
      <c r="E9265" s="235">
        <f t="shared" si="1073"/>
        <v>45922</v>
      </c>
      <c r="F9265" s="480"/>
      <c r="G9265" s="208" t="s">
        <v>86</v>
      </c>
      <c r="H9265" s="208"/>
      <c r="J9265" s="165" t="s">
        <v>200</v>
      </c>
      <c r="K9265" s="205"/>
      <c r="L9265" s="205">
        <v>72714.53</v>
      </c>
      <c r="M9265" s="263"/>
    </row>
    <row r="9266" spans="1:14" ht="11.25" customHeight="1" x14ac:dyDescent="0.2">
      <c r="A9266" s="226">
        <v>2025</v>
      </c>
      <c r="B9266" s="226">
        <v>9</v>
      </c>
      <c r="C9266" s="226">
        <v>22</v>
      </c>
      <c r="D9266" s="226">
        <f t="shared" si="1067"/>
        <v>45922</v>
      </c>
      <c r="E9266" s="234">
        <f t="shared" si="1073"/>
        <v>45922</v>
      </c>
      <c r="F9266" s="479"/>
      <c r="G9266" s="227" t="s">
        <v>86</v>
      </c>
      <c r="H9266" s="228"/>
      <c r="I9266" s="228"/>
      <c r="J9266" s="229" t="s">
        <v>80</v>
      </c>
      <c r="K9266" s="230"/>
      <c r="L9266" s="230">
        <v>2670085.4700000002</v>
      </c>
      <c r="M9266" s="263"/>
    </row>
    <row r="9267" spans="1:14" ht="11.25" customHeight="1" x14ac:dyDescent="0.2">
      <c r="A9267" s="221">
        <v>2025</v>
      </c>
      <c r="B9267" s="221">
        <v>9</v>
      </c>
      <c r="C9267" s="221">
        <v>23</v>
      </c>
      <c r="D9267" s="231">
        <f t="shared" si="1067"/>
        <v>45923</v>
      </c>
      <c r="E9267" s="233">
        <f>DATE(A9267,B9267,C9267)</f>
        <v>45923</v>
      </c>
      <c r="F9267" s="478" t="s">
        <v>1945</v>
      </c>
      <c r="G9267" s="222" t="s">
        <v>1111</v>
      </c>
      <c r="H9267" s="223"/>
      <c r="I9267" s="223"/>
      <c r="J9267" s="224" t="s">
        <v>55</v>
      </c>
      <c r="K9267" s="225">
        <v>2748651.98</v>
      </c>
      <c r="L9267" s="225"/>
    </row>
    <row r="9268" spans="1:14" ht="11.25" customHeight="1" x14ac:dyDescent="0.2">
      <c r="A9268" s="226">
        <v>2025</v>
      </c>
      <c r="B9268" s="226">
        <v>9</v>
      </c>
      <c r="C9268" s="226">
        <v>23</v>
      </c>
      <c r="D9268" s="232">
        <f t="shared" si="1067"/>
        <v>45923</v>
      </c>
      <c r="E9268" s="234">
        <f>DATE(A9268,B9268,C9268)</f>
        <v>45923</v>
      </c>
      <c r="F9268" s="479"/>
      <c r="G9268" s="227" t="s">
        <v>1111</v>
      </c>
      <c r="H9268" s="228"/>
      <c r="I9268" s="228"/>
      <c r="J9268" s="229" t="s">
        <v>199</v>
      </c>
      <c r="K9268" s="230"/>
      <c r="L9268" s="230">
        <f>K9267</f>
        <v>2748651.98</v>
      </c>
    </row>
    <row r="9269" spans="1:14" ht="11.25" customHeight="1" x14ac:dyDescent="0.2">
      <c r="A9269" s="221">
        <v>2025</v>
      </c>
      <c r="B9269" s="221">
        <v>9</v>
      </c>
      <c r="C9269" s="221">
        <v>23</v>
      </c>
      <c r="D9269" s="221">
        <f t="shared" si="1067"/>
        <v>45923</v>
      </c>
      <c r="E9269" s="233">
        <f t="shared" ref="E9269:E9278" si="1074">DATE(A9269,B9269,C9269)</f>
        <v>45923</v>
      </c>
      <c r="F9269" s="478" t="s">
        <v>1937</v>
      </c>
      <c r="G9269" s="222" t="s">
        <v>86</v>
      </c>
      <c r="H9269" s="222"/>
      <c r="I9269" s="223"/>
      <c r="J9269" s="224" t="s">
        <v>80</v>
      </c>
      <c r="K9269" s="225">
        <v>1093137</v>
      </c>
      <c r="L9269" s="225"/>
      <c r="N9269" s="263"/>
    </row>
    <row r="9270" spans="1:14" ht="11.25" customHeight="1" x14ac:dyDescent="0.2">
      <c r="A9270" s="164">
        <v>2025</v>
      </c>
      <c r="B9270" s="164">
        <v>9</v>
      </c>
      <c r="C9270" s="164">
        <v>23</v>
      </c>
      <c r="D9270" s="164">
        <f t="shared" si="1067"/>
        <v>45923</v>
      </c>
      <c r="E9270" s="235">
        <f t="shared" si="1074"/>
        <v>45923</v>
      </c>
      <c r="F9270" s="480"/>
      <c r="G9270" s="208" t="s">
        <v>86</v>
      </c>
      <c r="H9270" s="208"/>
      <c r="J9270" s="165" t="s">
        <v>960</v>
      </c>
      <c r="K9270" s="205">
        <v>3883.87</v>
      </c>
      <c r="L9270" s="205"/>
      <c r="M9270" s="263"/>
      <c r="N9270" s="263"/>
    </row>
    <row r="9271" spans="1:14" ht="11.25" customHeight="1" x14ac:dyDescent="0.2">
      <c r="A9271" s="164">
        <v>2025</v>
      </c>
      <c r="B9271" s="164">
        <v>9</v>
      </c>
      <c r="C9271" s="164">
        <v>23</v>
      </c>
      <c r="D9271" s="164">
        <f t="shared" si="1067"/>
        <v>45923</v>
      </c>
      <c r="E9271" s="235">
        <f t="shared" si="1074"/>
        <v>45923</v>
      </c>
      <c r="F9271" s="480"/>
      <c r="G9271" s="208" t="s">
        <v>86</v>
      </c>
      <c r="H9271" s="208"/>
      <c r="J9271" s="165" t="s">
        <v>961</v>
      </c>
      <c r="K9271" s="263"/>
      <c r="L9271" s="205">
        <v>32454.37</v>
      </c>
      <c r="M9271" s="263"/>
    </row>
    <row r="9272" spans="1:14" ht="11.25" customHeight="1" x14ac:dyDescent="0.2">
      <c r="A9272" s="164">
        <v>2025</v>
      </c>
      <c r="B9272" s="164">
        <v>9</v>
      </c>
      <c r="C9272" s="164">
        <v>23</v>
      </c>
      <c r="D9272" s="164">
        <f t="shared" si="1067"/>
        <v>45923</v>
      </c>
      <c r="E9272" s="235">
        <f t="shared" si="1074"/>
        <v>45923</v>
      </c>
      <c r="F9272" s="480"/>
      <c r="G9272" s="208" t="s">
        <v>86</v>
      </c>
      <c r="H9272" s="208"/>
      <c r="J9272" s="165" t="s">
        <v>200</v>
      </c>
      <c r="K9272" s="205"/>
      <c r="L9272" s="205">
        <v>383.67</v>
      </c>
      <c r="M9272" s="263"/>
    </row>
    <row r="9273" spans="1:14" ht="11.25" customHeight="1" x14ac:dyDescent="0.2">
      <c r="A9273" s="226">
        <v>2025</v>
      </c>
      <c r="B9273" s="226">
        <v>9</v>
      </c>
      <c r="C9273" s="226">
        <v>23</v>
      </c>
      <c r="D9273" s="226">
        <f t="shared" si="1067"/>
        <v>45923</v>
      </c>
      <c r="E9273" s="234">
        <f t="shared" si="1074"/>
        <v>45923</v>
      </c>
      <c r="F9273" s="479"/>
      <c r="G9273" s="227" t="s">
        <v>86</v>
      </c>
      <c r="H9273" s="228"/>
      <c r="I9273" s="228"/>
      <c r="J9273" s="229" t="s">
        <v>80</v>
      </c>
      <c r="K9273" s="230"/>
      <c r="L9273" s="230">
        <v>1064182.83</v>
      </c>
      <c r="M9273" s="263"/>
    </row>
    <row r="9274" spans="1:14" ht="11.25" customHeight="1" x14ac:dyDescent="0.2">
      <c r="A9274" s="221">
        <v>2025</v>
      </c>
      <c r="B9274" s="221">
        <v>9</v>
      </c>
      <c r="C9274" s="221">
        <v>24</v>
      </c>
      <c r="D9274" s="231">
        <f t="shared" si="1067"/>
        <v>45924</v>
      </c>
      <c r="E9274" s="233">
        <f t="shared" si="1074"/>
        <v>45924</v>
      </c>
      <c r="F9274" s="478" t="s">
        <v>1115</v>
      </c>
      <c r="G9274" s="222" t="s">
        <v>1111</v>
      </c>
      <c r="H9274" s="223"/>
      <c r="I9274" s="223"/>
      <c r="J9274" s="224" t="s">
        <v>14</v>
      </c>
      <c r="K9274" s="167">
        <v>110640</v>
      </c>
      <c r="L9274" s="225"/>
    </row>
    <row r="9275" spans="1:14" ht="11.25" customHeight="1" x14ac:dyDescent="0.2">
      <c r="A9275" s="164">
        <v>2025</v>
      </c>
      <c r="B9275" s="164">
        <v>9</v>
      </c>
      <c r="C9275" s="164">
        <v>24</v>
      </c>
      <c r="D9275" s="156">
        <f t="shared" si="1067"/>
        <v>45924</v>
      </c>
      <c r="E9275" s="235">
        <f t="shared" si="1074"/>
        <v>45924</v>
      </c>
      <c r="F9275" s="480"/>
      <c r="G9275" s="208" t="s">
        <v>1111</v>
      </c>
      <c r="J9275" s="165" t="s">
        <v>1112</v>
      </c>
      <c r="K9275" s="167">
        <v>23909.299999999988</v>
      </c>
      <c r="L9275" s="205"/>
    </row>
    <row r="9276" spans="1:14" ht="11.25" customHeight="1" x14ac:dyDescent="0.2">
      <c r="A9276" s="226">
        <v>2025</v>
      </c>
      <c r="B9276" s="226">
        <v>9</v>
      </c>
      <c r="C9276" s="226">
        <v>24</v>
      </c>
      <c r="D9276" s="232">
        <f t="shared" si="1067"/>
        <v>45924</v>
      </c>
      <c r="E9276" s="234">
        <f t="shared" si="1074"/>
        <v>45924</v>
      </c>
      <c r="F9276" s="479"/>
      <c r="G9276" s="227" t="s">
        <v>1111</v>
      </c>
      <c r="H9276" s="228"/>
      <c r="I9276" s="228"/>
      <c r="J9276" s="229" t="s">
        <v>55</v>
      </c>
      <c r="K9276" s="230"/>
      <c r="L9276" s="230">
        <v>134549.29999999999</v>
      </c>
    </row>
    <row r="9277" spans="1:14" ht="11.25" customHeight="1" x14ac:dyDescent="0.2">
      <c r="A9277" s="221">
        <v>2025</v>
      </c>
      <c r="B9277" s="221">
        <v>9</v>
      </c>
      <c r="C9277" s="221">
        <v>24</v>
      </c>
      <c r="D9277" s="231">
        <f t="shared" si="1067"/>
        <v>45924</v>
      </c>
      <c r="E9277" s="233">
        <f t="shared" si="1074"/>
        <v>45924</v>
      </c>
      <c r="F9277" s="478" t="s">
        <v>1670</v>
      </c>
      <c r="G9277" s="222" t="s">
        <v>1111</v>
      </c>
      <c r="H9277" s="223"/>
      <c r="I9277" s="223"/>
      <c r="J9277" s="224" t="s">
        <v>63</v>
      </c>
      <c r="K9277" s="225">
        <v>58</v>
      </c>
      <c r="L9277" s="225"/>
    </row>
    <row r="9278" spans="1:14" ht="11.25" customHeight="1" x14ac:dyDescent="0.2">
      <c r="A9278" s="226">
        <v>2025</v>
      </c>
      <c r="B9278" s="226">
        <v>9</v>
      </c>
      <c r="C9278" s="226">
        <v>24</v>
      </c>
      <c r="D9278" s="232">
        <f t="shared" si="1067"/>
        <v>45924</v>
      </c>
      <c r="E9278" s="234">
        <f t="shared" si="1074"/>
        <v>45924</v>
      </c>
      <c r="F9278" s="479"/>
      <c r="G9278" s="227" t="s">
        <v>1111</v>
      </c>
      <c r="H9278" s="228"/>
      <c r="I9278" s="228"/>
      <c r="J9278" s="229" t="s">
        <v>55</v>
      </c>
      <c r="K9278" s="230"/>
      <c r="L9278" s="230">
        <f>K9277</f>
        <v>58</v>
      </c>
    </row>
    <row r="9279" spans="1:14" ht="11.25" customHeight="1" x14ac:dyDescent="0.2">
      <c r="A9279" s="221">
        <v>2025</v>
      </c>
      <c r="B9279" s="221">
        <v>9</v>
      </c>
      <c r="C9279" s="221">
        <v>24</v>
      </c>
      <c r="D9279" s="231">
        <f t="shared" si="1067"/>
        <v>45924</v>
      </c>
      <c r="E9279" s="233">
        <f>DATE(A9279,B9279,C9279)</f>
        <v>45924</v>
      </c>
      <c r="F9279" s="478" t="s">
        <v>1945</v>
      </c>
      <c r="G9279" s="222" t="s">
        <v>1111</v>
      </c>
      <c r="H9279" s="223"/>
      <c r="I9279" s="223"/>
      <c r="J9279" s="224" t="s">
        <v>55</v>
      </c>
      <c r="K9279" s="225">
        <v>1173323</v>
      </c>
      <c r="L9279" s="225"/>
    </row>
    <row r="9280" spans="1:14" ht="11.25" customHeight="1" x14ac:dyDescent="0.2">
      <c r="A9280" s="226">
        <v>2025</v>
      </c>
      <c r="B9280" s="226">
        <v>9</v>
      </c>
      <c r="C9280" s="226">
        <v>24</v>
      </c>
      <c r="D9280" s="232">
        <f t="shared" si="1067"/>
        <v>45924</v>
      </c>
      <c r="E9280" s="234">
        <f>DATE(A9280,B9280,C9280)</f>
        <v>45924</v>
      </c>
      <c r="F9280" s="479"/>
      <c r="G9280" s="227" t="s">
        <v>1111</v>
      </c>
      <c r="H9280" s="228"/>
      <c r="I9280" s="228"/>
      <c r="J9280" s="229" t="s">
        <v>199</v>
      </c>
      <c r="K9280" s="230"/>
      <c r="L9280" s="230">
        <f>K9279</f>
        <v>1173323</v>
      </c>
    </row>
    <row r="9281" spans="1:14" ht="11.25" customHeight="1" x14ac:dyDescent="0.2">
      <c r="A9281" s="221">
        <v>2025</v>
      </c>
      <c r="B9281" s="221">
        <v>9</v>
      </c>
      <c r="C9281" s="221">
        <v>24</v>
      </c>
      <c r="D9281" s="231">
        <f t="shared" si="1067"/>
        <v>45924</v>
      </c>
      <c r="E9281" s="233">
        <f t="shared" ref="E9281:E9305" si="1075">DATE(A9281,B9281,C9281)</f>
        <v>45924</v>
      </c>
      <c r="F9281" s="478" t="s">
        <v>1940</v>
      </c>
      <c r="G9281" s="222" t="s">
        <v>1111</v>
      </c>
      <c r="H9281" s="223"/>
      <c r="I9281" s="223"/>
      <c r="J9281" s="224" t="s">
        <v>961</v>
      </c>
      <c r="K9281" s="225">
        <v>903953.95</v>
      </c>
      <c r="L9281" s="225"/>
    </row>
    <row r="9282" spans="1:14" ht="11.25" customHeight="1" x14ac:dyDescent="0.2">
      <c r="A9282" s="226">
        <v>2025</v>
      </c>
      <c r="B9282" s="226">
        <v>9</v>
      </c>
      <c r="C9282" s="226">
        <v>24</v>
      </c>
      <c r="D9282" s="232">
        <f t="shared" si="1067"/>
        <v>45924</v>
      </c>
      <c r="E9282" s="234">
        <f t="shared" si="1075"/>
        <v>45924</v>
      </c>
      <c r="F9282" s="479"/>
      <c r="G9282" s="227" t="s">
        <v>1111</v>
      </c>
      <c r="H9282" s="228"/>
      <c r="I9282" s="228"/>
      <c r="J9282" s="229" t="s">
        <v>55</v>
      </c>
      <c r="K9282" s="230"/>
      <c r="L9282" s="230">
        <f>K9281</f>
        <v>903953.95</v>
      </c>
    </row>
    <row r="9283" spans="1:14" ht="11.25" customHeight="1" x14ac:dyDescent="0.2">
      <c r="A9283" s="221">
        <v>2025</v>
      </c>
      <c r="B9283" s="221">
        <v>9</v>
      </c>
      <c r="C9283" s="221">
        <v>24</v>
      </c>
      <c r="D9283" s="221">
        <f t="shared" si="1067"/>
        <v>45924</v>
      </c>
      <c r="E9283" s="233">
        <f t="shared" si="1075"/>
        <v>45924</v>
      </c>
      <c r="F9283" s="478" t="s">
        <v>1937</v>
      </c>
      <c r="G9283" s="222" t="s">
        <v>86</v>
      </c>
      <c r="H9283" s="222"/>
      <c r="I9283" s="223"/>
      <c r="J9283" s="224" t="s">
        <v>80</v>
      </c>
      <c r="K9283" s="225">
        <v>2182617.6</v>
      </c>
      <c r="L9283" s="225"/>
      <c r="N9283" s="263"/>
    </row>
    <row r="9284" spans="1:14" ht="11.25" customHeight="1" x14ac:dyDescent="0.2">
      <c r="A9284" s="164">
        <v>2025</v>
      </c>
      <c r="B9284" s="164">
        <v>9</v>
      </c>
      <c r="C9284" s="164">
        <v>24</v>
      </c>
      <c r="D9284" s="164">
        <f t="shared" si="1067"/>
        <v>45924</v>
      </c>
      <c r="E9284" s="235">
        <f t="shared" si="1075"/>
        <v>45924</v>
      </c>
      <c r="F9284" s="480"/>
      <c r="G9284" s="208" t="s">
        <v>86</v>
      </c>
      <c r="H9284" s="208"/>
      <c r="J9284" s="165" t="s">
        <v>960</v>
      </c>
      <c r="K9284" s="205">
        <v>5246.4</v>
      </c>
      <c r="L9284" s="205"/>
      <c r="M9284" s="263"/>
      <c r="N9284" s="263"/>
    </row>
    <row r="9285" spans="1:14" ht="11.25" customHeight="1" x14ac:dyDescent="0.2">
      <c r="A9285" s="164">
        <v>2025</v>
      </c>
      <c r="B9285" s="164">
        <v>9</v>
      </c>
      <c r="C9285" s="164">
        <v>24</v>
      </c>
      <c r="D9285" s="164">
        <f t="shared" si="1067"/>
        <v>45924</v>
      </c>
      <c r="E9285" s="235">
        <f t="shared" si="1075"/>
        <v>45924</v>
      </c>
      <c r="F9285" s="480"/>
      <c r="G9285" s="208" t="s">
        <v>86</v>
      </c>
      <c r="H9285" s="208"/>
      <c r="J9285" s="165" t="s">
        <v>961</v>
      </c>
      <c r="K9285" s="263"/>
      <c r="L9285" s="205">
        <v>1455814</v>
      </c>
      <c r="M9285" s="263"/>
    </row>
    <row r="9286" spans="1:14" ht="11.25" customHeight="1" x14ac:dyDescent="0.2">
      <c r="A9286" s="164">
        <v>2025</v>
      </c>
      <c r="B9286" s="164">
        <v>9</v>
      </c>
      <c r="C9286" s="164">
        <v>24</v>
      </c>
      <c r="D9286" s="164">
        <f t="shared" si="1067"/>
        <v>45924</v>
      </c>
      <c r="E9286" s="235">
        <f t="shared" si="1075"/>
        <v>45924</v>
      </c>
      <c r="F9286" s="480"/>
      <c r="G9286" s="208" t="s">
        <v>86</v>
      </c>
      <c r="H9286" s="208"/>
      <c r="J9286" s="165" t="s">
        <v>200</v>
      </c>
      <c r="K9286" s="205"/>
      <c r="L9286" s="205">
        <v>8361.86</v>
      </c>
      <c r="M9286" s="263"/>
    </row>
    <row r="9287" spans="1:14" ht="11.25" customHeight="1" x14ac:dyDescent="0.2">
      <c r="A9287" s="226">
        <v>2025</v>
      </c>
      <c r="B9287" s="226">
        <v>9</v>
      </c>
      <c r="C9287" s="226">
        <v>24</v>
      </c>
      <c r="D9287" s="226">
        <f t="shared" si="1067"/>
        <v>45924</v>
      </c>
      <c r="E9287" s="234">
        <f t="shared" si="1075"/>
        <v>45924</v>
      </c>
      <c r="F9287" s="479"/>
      <c r="G9287" s="227" t="s">
        <v>86</v>
      </c>
      <c r="H9287" s="228"/>
      <c r="I9287" s="228"/>
      <c r="J9287" s="229" t="s">
        <v>80</v>
      </c>
      <c r="K9287" s="230"/>
      <c r="L9287" s="230">
        <v>723688.14</v>
      </c>
      <c r="M9287" s="263"/>
    </row>
    <row r="9288" spans="1:14" ht="11.25" customHeight="1" x14ac:dyDescent="0.2">
      <c r="A9288" s="221">
        <v>2025</v>
      </c>
      <c r="B9288" s="221">
        <v>9</v>
      </c>
      <c r="C9288" s="221">
        <v>24</v>
      </c>
      <c r="D9288" s="231">
        <f t="shared" si="1067"/>
        <v>45924</v>
      </c>
      <c r="E9288" s="233">
        <f t="shared" si="1075"/>
        <v>45924</v>
      </c>
      <c r="F9288" s="478" t="s">
        <v>1196</v>
      </c>
      <c r="G9288" s="222" t="s">
        <v>1111</v>
      </c>
      <c r="H9288" s="223"/>
      <c r="I9288" s="223"/>
      <c r="J9288" s="224" t="s">
        <v>95</v>
      </c>
      <c r="K9288" s="225">
        <v>5690.84</v>
      </c>
      <c r="L9288" s="225"/>
      <c r="M9288" s="166"/>
    </row>
    <row r="9289" spans="1:14" ht="11.25" customHeight="1" x14ac:dyDescent="0.2">
      <c r="A9289" s="164">
        <v>2025</v>
      </c>
      <c r="B9289" s="164">
        <v>9</v>
      </c>
      <c r="C9289" s="164">
        <v>24</v>
      </c>
      <c r="D9289" s="156">
        <f t="shared" ref="D9289:D9352" si="1076">DATE(A9289,B9289,C9289)</f>
        <v>45924</v>
      </c>
      <c r="E9289" s="235">
        <f t="shared" si="1075"/>
        <v>45924</v>
      </c>
      <c r="F9289" s="480"/>
      <c r="G9289" s="208" t="s">
        <v>1111</v>
      </c>
      <c r="J9289" s="165" t="s">
        <v>478</v>
      </c>
      <c r="K9289" s="205"/>
      <c r="L9289" s="205">
        <v>569.08000000000004</v>
      </c>
    </row>
    <row r="9290" spans="1:14" ht="11.25" customHeight="1" x14ac:dyDescent="0.2">
      <c r="A9290" s="226">
        <v>2025</v>
      </c>
      <c r="B9290" s="226">
        <v>9</v>
      </c>
      <c r="C9290" s="226">
        <v>24</v>
      </c>
      <c r="D9290" s="232">
        <f t="shared" si="1076"/>
        <v>45924</v>
      </c>
      <c r="E9290" s="234">
        <f t="shared" si="1075"/>
        <v>45924</v>
      </c>
      <c r="F9290" s="479"/>
      <c r="G9290" s="227" t="s">
        <v>1111</v>
      </c>
      <c r="H9290" s="228"/>
      <c r="I9290" s="228"/>
      <c r="J9290" s="229" t="s">
        <v>55</v>
      </c>
      <c r="K9290" s="230"/>
      <c r="L9290" s="230">
        <v>5121.76</v>
      </c>
    </row>
    <row r="9291" spans="1:14" ht="11.25" customHeight="1" x14ac:dyDescent="0.2">
      <c r="A9291" s="221">
        <v>2025</v>
      </c>
      <c r="B9291" s="221">
        <v>9</v>
      </c>
      <c r="C9291" s="221">
        <v>25</v>
      </c>
      <c r="D9291" s="231">
        <f t="shared" si="1076"/>
        <v>45925</v>
      </c>
      <c r="E9291" s="233">
        <f t="shared" ref="E9291:E9299" si="1077">DATE(A9291,B9291,C9291)</f>
        <v>45925</v>
      </c>
      <c r="F9291" s="478" t="s">
        <v>1940</v>
      </c>
      <c r="G9291" s="222" t="s">
        <v>1111</v>
      </c>
      <c r="H9291" s="223"/>
      <c r="I9291" s="223"/>
      <c r="J9291" s="224" t="s">
        <v>961</v>
      </c>
      <c r="K9291" s="225">
        <v>2849213.67</v>
      </c>
      <c r="L9291" s="225"/>
    </row>
    <row r="9292" spans="1:14" ht="11.25" customHeight="1" x14ac:dyDescent="0.2">
      <c r="A9292" s="226">
        <v>2025</v>
      </c>
      <c r="B9292" s="226">
        <v>9</v>
      </c>
      <c r="C9292" s="226">
        <v>25</v>
      </c>
      <c r="D9292" s="232">
        <f t="shared" si="1076"/>
        <v>45925</v>
      </c>
      <c r="E9292" s="234">
        <f t="shared" si="1077"/>
        <v>45925</v>
      </c>
      <c r="F9292" s="479"/>
      <c r="G9292" s="227" t="s">
        <v>1111</v>
      </c>
      <c r="H9292" s="228"/>
      <c r="I9292" s="228"/>
      <c r="J9292" s="229" t="s">
        <v>55</v>
      </c>
      <c r="K9292" s="230"/>
      <c r="L9292" s="230">
        <f>K9291</f>
        <v>2849213.67</v>
      </c>
    </row>
    <row r="9293" spans="1:14" ht="11.25" customHeight="1" x14ac:dyDescent="0.2">
      <c r="A9293" s="221">
        <v>2025</v>
      </c>
      <c r="B9293" s="221">
        <v>9</v>
      </c>
      <c r="C9293" s="221">
        <v>25</v>
      </c>
      <c r="D9293" s="231">
        <f t="shared" si="1076"/>
        <v>45925</v>
      </c>
      <c r="E9293" s="233">
        <f t="shared" si="1077"/>
        <v>45925</v>
      </c>
      <c r="F9293" s="478" t="s">
        <v>1670</v>
      </c>
      <c r="G9293" s="222" t="s">
        <v>1111</v>
      </c>
      <c r="H9293" s="223"/>
      <c r="I9293" s="223"/>
      <c r="J9293" s="224" t="s">
        <v>63</v>
      </c>
      <c r="K9293" s="225">
        <v>100</v>
      </c>
      <c r="L9293" s="225"/>
    </row>
    <row r="9294" spans="1:14" ht="11.25" customHeight="1" x14ac:dyDescent="0.2">
      <c r="A9294" s="226">
        <v>2025</v>
      </c>
      <c r="B9294" s="226">
        <v>9</v>
      </c>
      <c r="C9294" s="226">
        <v>25</v>
      </c>
      <c r="D9294" s="232">
        <f t="shared" si="1076"/>
        <v>45925</v>
      </c>
      <c r="E9294" s="234">
        <f t="shared" si="1077"/>
        <v>45925</v>
      </c>
      <c r="F9294" s="479"/>
      <c r="G9294" s="227" t="s">
        <v>1111</v>
      </c>
      <c r="H9294" s="228"/>
      <c r="I9294" s="228"/>
      <c r="J9294" s="229" t="s">
        <v>55</v>
      </c>
      <c r="K9294" s="230"/>
      <c r="L9294" s="230">
        <f>K9293</f>
        <v>100</v>
      </c>
    </row>
    <row r="9295" spans="1:14" ht="11.25" customHeight="1" x14ac:dyDescent="0.2">
      <c r="A9295" s="221">
        <v>2025</v>
      </c>
      <c r="B9295" s="221">
        <v>9</v>
      </c>
      <c r="C9295" s="221">
        <v>25</v>
      </c>
      <c r="D9295" s="221">
        <f t="shared" si="1076"/>
        <v>45925</v>
      </c>
      <c r="E9295" s="233">
        <f t="shared" si="1077"/>
        <v>45925</v>
      </c>
      <c r="F9295" s="478" t="s">
        <v>1937</v>
      </c>
      <c r="G9295" s="222" t="s">
        <v>86</v>
      </c>
      <c r="H9295" s="222"/>
      <c r="I9295" s="223"/>
      <c r="J9295" s="224" t="s">
        <v>80</v>
      </c>
      <c r="K9295" s="225">
        <v>2016394.6</v>
      </c>
      <c r="L9295" s="225"/>
      <c r="N9295" s="263"/>
    </row>
    <row r="9296" spans="1:14" ht="11.25" customHeight="1" x14ac:dyDescent="0.2">
      <c r="A9296" s="164">
        <v>2025</v>
      </c>
      <c r="B9296" s="164">
        <v>9</v>
      </c>
      <c r="C9296" s="164">
        <v>25</v>
      </c>
      <c r="D9296" s="164">
        <f t="shared" si="1076"/>
        <v>45925</v>
      </c>
      <c r="E9296" s="235">
        <f t="shared" si="1077"/>
        <v>45925</v>
      </c>
      <c r="F9296" s="480"/>
      <c r="G9296" s="208" t="s">
        <v>86</v>
      </c>
      <c r="H9296" s="208"/>
      <c r="J9296" s="165" t="s">
        <v>960</v>
      </c>
      <c r="K9296" s="205">
        <v>4990.1000000000004</v>
      </c>
      <c r="L9296" s="205"/>
      <c r="M9296" s="263"/>
      <c r="N9296" s="263"/>
    </row>
    <row r="9297" spans="1:13" ht="11.25" customHeight="1" x14ac:dyDescent="0.2">
      <c r="A9297" s="164">
        <v>2025</v>
      </c>
      <c r="B9297" s="164">
        <v>9</v>
      </c>
      <c r="C9297" s="164">
        <v>25</v>
      </c>
      <c r="D9297" s="164">
        <f t="shared" si="1076"/>
        <v>45925</v>
      </c>
      <c r="E9297" s="235">
        <f t="shared" si="1077"/>
        <v>45925</v>
      </c>
      <c r="F9297" s="480"/>
      <c r="G9297" s="208" t="s">
        <v>86</v>
      </c>
      <c r="H9297" s="208"/>
      <c r="J9297" s="165" t="s">
        <v>961</v>
      </c>
      <c r="K9297" s="263"/>
      <c r="L9297" s="205">
        <v>1265500.1000000001</v>
      </c>
      <c r="M9297" s="263"/>
    </row>
    <row r="9298" spans="1:13" ht="11.25" customHeight="1" x14ac:dyDescent="0.2">
      <c r="A9298" s="164">
        <v>2025</v>
      </c>
      <c r="B9298" s="164">
        <v>9</v>
      </c>
      <c r="C9298" s="164">
        <v>25</v>
      </c>
      <c r="D9298" s="164">
        <f t="shared" si="1076"/>
        <v>45925</v>
      </c>
      <c r="E9298" s="235">
        <f t="shared" si="1077"/>
        <v>45925</v>
      </c>
      <c r="F9298" s="480"/>
      <c r="G9298" s="208" t="s">
        <v>86</v>
      </c>
      <c r="H9298" s="208"/>
      <c r="J9298" s="165" t="s">
        <v>200</v>
      </c>
      <c r="K9298" s="205"/>
      <c r="L9298" s="205">
        <v>69940.34</v>
      </c>
      <c r="M9298" s="263"/>
    </row>
    <row r="9299" spans="1:13" ht="11.25" customHeight="1" x14ac:dyDescent="0.2">
      <c r="A9299" s="226">
        <v>2025</v>
      </c>
      <c r="B9299" s="226">
        <v>9</v>
      </c>
      <c r="C9299" s="226">
        <v>25</v>
      </c>
      <c r="D9299" s="226">
        <f t="shared" si="1076"/>
        <v>45925</v>
      </c>
      <c r="E9299" s="234">
        <f t="shared" si="1077"/>
        <v>45925</v>
      </c>
      <c r="F9299" s="479"/>
      <c r="G9299" s="227" t="s">
        <v>86</v>
      </c>
      <c r="H9299" s="228"/>
      <c r="I9299" s="228"/>
      <c r="J9299" s="229" t="s">
        <v>80</v>
      </c>
      <c r="K9299" s="230"/>
      <c r="L9299" s="230">
        <v>685944.26</v>
      </c>
      <c r="M9299" s="263"/>
    </row>
    <row r="9300" spans="1:13" ht="11.25" customHeight="1" x14ac:dyDescent="0.2">
      <c r="A9300" s="280">
        <v>2025</v>
      </c>
      <c r="B9300" s="280">
        <v>9</v>
      </c>
      <c r="C9300" s="280">
        <v>25</v>
      </c>
      <c r="D9300" s="281">
        <f t="shared" si="1076"/>
        <v>45925</v>
      </c>
      <c r="E9300" s="282">
        <f t="shared" si="1075"/>
        <v>45925</v>
      </c>
      <c r="F9300" s="472" t="s">
        <v>1744</v>
      </c>
      <c r="G9300" s="283" t="s">
        <v>86</v>
      </c>
      <c r="H9300" s="284"/>
      <c r="I9300" s="284"/>
      <c r="J9300" s="285" t="s">
        <v>131</v>
      </c>
      <c r="K9300" s="286">
        <v>19358.330000000002</v>
      </c>
      <c r="L9300" s="286"/>
      <c r="M9300" s="401"/>
    </row>
    <row r="9301" spans="1:13" ht="11.25" customHeight="1" x14ac:dyDescent="0.2">
      <c r="A9301" s="287">
        <v>2025</v>
      </c>
      <c r="B9301" s="287">
        <v>9</v>
      </c>
      <c r="C9301" s="287">
        <v>25</v>
      </c>
      <c r="D9301" s="288">
        <f t="shared" si="1076"/>
        <v>45925</v>
      </c>
      <c r="E9301" s="289">
        <f t="shared" si="1075"/>
        <v>45925</v>
      </c>
      <c r="F9301" s="473"/>
      <c r="G9301" s="290" t="s">
        <v>86</v>
      </c>
      <c r="H9301" s="291"/>
      <c r="I9301" s="291"/>
      <c r="J9301" s="292" t="s">
        <v>174</v>
      </c>
      <c r="K9301" s="293"/>
      <c r="L9301" s="293">
        <f>K9300</f>
        <v>19358.330000000002</v>
      </c>
    </row>
    <row r="9302" spans="1:13" ht="11.25" customHeight="1" x14ac:dyDescent="0.2">
      <c r="A9302" s="280">
        <v>2025</v>
      </c>
      <c r="B9302" s="280">
        <v>9</v>
      </c>
      <c r="C9302" s="280">
        <v>25</v>
      </c>
      <c r="D9302" s="281">
        <f t="shared" si="1076"/>
        <v>45925</v>
      </c>
      <c r="E9302" s="282">
        <f t="shared" si="1075"/>
        <v>45925</v>
      </c>
      <c r="F9302" s="472" t="s">
        <v>1584</v>
      </c>
      <c r="G9302" s="283" t="s">
        <v>86</v>
      </c>
      <c r="H9302" s="284"/>
      <c r="I9302" s="284"/>
      <c r="J9302" s="285" t="s">
        <v>131</v>
      </c>
      <c r="K9302" s="286">
        <v>8846.15</v>
      </c>
      <c r="L9302" s="286"/>
      <c r="M9302" s="401"/>
    </row>
    <row r="9303" spans="1:13" ht="11.25" customHeight="1" x14ac:dyDescent="0.2">
      <c r="A9303" s="287">
        <v>2025</v>
      </c>
      <c r="B9303" s="287">
        <v>9</v>
      </c>
      <c r="C9303" s="287">
        <v>25</v>
      </c>
      <c r="D9303" s="288">
        <f t="shared" si="1076"/>
        <v>45925</v>
      </c>
      <c r="E9303" s="289">
        <f t="shared" si="1075"/>
        <v>45925</v>
      </c>
      <c r="F9303" s="473"/>
      <c r="G9303" s="290" t="s">
        <v>86</v>
      </c>
      <c r="H9303" s="291"/>
      <c r="I9303" s="291"/>
      <c r="J9303" s="292" t="s">
        <v>174</v>
      </c>
      <c r="K9303" s="293"/>
      <c r="L9303" s="293">
        <f>K9302</f>
        <v>8846.15</v>
      </c>
    </row>
    <row r="9304" spans="1:13" ht="11.25" customHeight="1" x14ac:dyDescent="0.2">
      <c r="A9304" s="341">
        <v>2025</v>
      </c>
      <c r="B9304" s="341">
        <v>9</v>
      </c>
      <c r="C9304" s="341">
        <v>25</v>
      </c>
      <c r="D9304" s="328">
        <f t="shared" si="1076"/>
        <v>45925</v>
      </c>
      <c r="E9304" s="329">
        <f t="shared" si="1075"/>
        <v>45925</v>
      </c>
      <c r="F9304" s="474" t="s">
        <v>1767</v>
      </c>
      <c r="G9304" s="330" t="s">
        <v>86</v>
      </c>
      <c r="H9304" s="332"/>
      <c r="I9304" s="332"/>
      <c r="J9304" s="342" t="s">
        <v>67</v>
      </c>
      <c r="K9304" s="343">
        <v>2591.29</v>
      </c>
      <c r="L9304" s="343"/>
    </row>
    <row r="9305" spans="1:13" ht="11.25" customHeight="1" x14ac:dyDescent="0.2">
      <c r="A9305" s="344">
        <v>2025</v>
      </c>
      <c r="B9305" s="344">
        <v>9</v>
      </c>
      <c r="C9305" s="344">
        <v>25</v>
      </c>
      <c r="D9305" s="337">
        <f t="shared" si="1076"/>
        <v>45925</v>
      </c>
      <c r="E9305" s="338">
        <f t="shared" si="1075"/>
        <v>45925</v>
      </c>
      <c r="F9305" s="475"/>
      <c r="G9305" s="339" t="s">
        <v>86</v>
      </c>
      <c r="H9305" s="340"/>
      <c r="I9305" s="340"/>
      <c r="J9305" s="345" t="s">
        <v>174</v>
      </c>
      <c r="K9305" s="346"/>
      <c r="L9305" s="346">
        <f>K9304</f>
        <v>2591.29</v>
      </c>
    </row>
    <row r="9306" spans="1:13" ht="11.25" customHeight="1" x14ac:dyDescent="0.2">
      <c r="A9306" s="358">
        <v>2025</v>
      </c>
      <c r="B9306" s="358">
        <v>9</v>
      </c>
      <c r="C9306" s="358">
        <v>25</v>
      </c>
      <c r="D9306" s="312">
        <f t="shared" si="1076"/>
        <v>45925</v>
      </c>
      <c r="E9306" s="313">
        <f>DATE(A9306,B9306,C9306)</f>
        <v>45925</v>
      </c>
      <c r="F9306" s="482" t="s">
        <v>1627</v>
      </c>
      <c r="G9306" s="314" t="s">
        <v>86</v>
      </c>
      <c r="H9306" s="324"/>
      <c r="I9306" s="324"/>
      <c r="J9306" s="364" t="s">
        <v>1613</v>
      </c>
      <c r="K9306" s="365">
        <v>0</v>
      </c>
      <c r="L9306" s="365"/>
      <c r="M9306" s="156">
        <f>BS!$I$12</f>
        <v>0</v>
      </c>
    </row>
    <row r="9307" spans="1:13" ht="11.25" customHeight="1" x14ac:dyDescent="0.2">
      <c r="A9307" s="320">
        <v>2025</v>
      </c>
      <c r="B9307" s="320">
        <v>9</v>
      </c>
      <c r="C9307" s="320">
        <v>25</v>
      </c>
      <c r="D9307" s="323">
        <f t="shared" si="1076"/>
        <v>45925</v>
      </c>
      <c r="E9307" s="321">
        <f t="shared" ref="E9307" si="1078">DATE(A9307,B9307,C9307)</f>
        <v>45925</v>
      </c>
      <c r="F9307" s="483"/>
      <c r="G9307" s="322" t="s">
        <v>86</v>
      </c>
      <c r="H9307" s="325"/>
      <c r="I9307" s="325"/>
      <c r="J9307" s="366" t="s">
        <v>1621</v>
      </c>
      <c r="K9307" s="367"/>
      <c r="L9307" s="367">
        <f>K9306</f>
        <v>0</v>
      </c>
    </row>
    <row r="9308" spans="1:13" ht="11.25" customHeight="1" x14ac:dyDescent="0.2">
      <c r="A9308" s="358">
        <v>2025</v>
      </c>
      <c r="B9308" s="358">
        <v>9</v>
      </c>
      <c r="C9308" s="358">
        <v>25</v>
      </c>
      <c r="D9308" s="312">
        <f t="shared" si="1076"/>
        <v>45925</v>
      </c>
      <c r="E9308" s="313">
        <f>DATE(A9308,B9308,C9308)</f>
        <v>45925</v>
      </c>
      <c r="F9308" s="482" t="s">
        <v>1713</v>
      </c>
      <c r="G9308" s="314" t="s">
        <v>86</v>
      </c>
      <c r="H9308" s="324"/>
      <c r="I9308" s="324"/>
      <c r="J9308" s="364" t="s">
        <v>1622</v>
      </c>
      <c r="K9308" s="365">
        <v>139473.01999999955</v>
      </c>
      <c r="L9308" s="365"/>
      <c r="M9308" s="156">
        <f>BS!$I$15</f>
        <v>0</v>
      </c>
    </row>
    <row r="9309" spans="1:13" ht="11.25" customHeight="1" x14ac:dyDescent="0.2">
      <c r="A9309" s="320">
        <v>2025</v>
      </c>
      <c r="B9309" s="320">
        <v>9</v>
      </c>
      <c r="C9309" s="320">
        <v>25</v>
      </c>
      <c r="D9309" s="323">
        <f t="shared" si="1076"/>
        <v>45925</v>
      </c>
      <c r="E9309" s="321">
        <f t="shared" ref="E9309:E9332" si="1079">DATE(A9309,B9309,C9309)</f>
        <v>45925</v>
      </c>
      <c r="F9309" s="483"/>
      <c r="G9309" s="322" t="s">
        <v>86</v>
      </c>
      <c r="H9309" s="325"/>
      <c r="I9309" s="325"/>
      <c r="J9309" s="366" t="s">
        <v>1614</v>
      </c>
      <c r="K9309" s="367"/>
      <c r="L9309" s="367">
        <f>K9308</f>
        <v>139473.01999999955</v>
      </c>
    </row>
    <row r="9310" spans="1:13" ht="11.25" customHeight="1" x14ac:dyDescent="0.2">
      <c r="A9310" s="236">
        <v>2025</v>
      </c>
      <c r="B9310" s="236">
        <v>9</v>
      </c>
      <c r="C9310" s="236">
        <v>25</v>
      </c>
      <c r="D9310" s="237">
        <f t="shared" si="1076"/>
        <v>45925</v>
      </c>
      <c r="E9310" s="238">
        <f t="shared" si="1079"/>
        <v>45925</v>
      </c>
      <c r="F9310" s="476" t="s">
        <v>1118</v>
      </c>
      <c r="G9310" s="239" t="s">
        <v>86</v>
      </c>
      <c r="H9310" s="239"/>
      <c r="I9310" s="240"/>
      <c r="J9310" s="241" t="s">
        <v>82</v>
      </c>
      <c r="K9310" s="242">
        <v>602839.13560000062</v>
      </c>
      <c r="L9310" s="242"/>
      <c r="M9310" s="156">
        <f>BS!$I$8</f>
        <v>0</v>
      </c>
    </row>
    <row r="9311" spans="1:13" ht="11.25" customHeight="1" x14ac:dyDescent="0.2">
      <c r="A9311" s="243">
        <v>2025</v>
      </c>
      <c r="B9311" s="243">
        <v>9</v>
      </c>
      <c r="C9311" s="243">
        <v>25</v>
      </c>
      <c r="D9311" s="248">
        <f t="shared" si="1076"/>
        <v>45925</v>
      </c>
      <c r="E9311" s="249">
        <f t="shared" si="1079"/>
        <v>45925</v>
      </c>
      <c r="F9311" s="477"/>
      <c r="G9311" s="244" t="s">
        <v>86</v>
      </c>
      <c r="H9311" s="244"/>
      <c r="I9311" s="245"/>
      <c r="J9311" s="246" t="s">
        <v>98</v>
      </c>
      <c r="K9311" s="247"/>
      <c r="L9311" s="247">
        <f>K9310</f>
        <v>602839.13560000062</v>
      </c>
    </row>
    <row r="9312" spans="1:13" ht="11.25" customHeight="1" x14ac:dyDescent="0.2">
      <c r="A9312" s="236">
        <v>2025</v>
      </c>
      <c r="B9312" s="236">
        <v>9</v>
      </c>
      <c r="C9312" s="236">
        <v>25</v>
      </c>
      <c r="D9312" s="237">
        <f t="shared" si="1076"/>
        <v>45925</v>
      </c>
      <c r="E9312" s="238">
        <f t="shared" si="1079"/>
        <v>45925</v>
      </c>
      <c r="F9312" s="476" t="s">
        <v>1120</v>
      </c>
      <c r="G9312" s="239" t="s">
        <v>86</v>
      </c>
      <c r="H9312" s="239"/>
      <c r="I9312" s="240"/>
      <c r="J9312" s="241" t="s">
        <v>87</v>
      </c>
      <c r="K9312" s="242">
        <v>2747.2527472527472</v>
      </c>
      <c r="L9312" s="242"/>
      <c r="M9312" s="401"/>
    </row>
    <row r="9313" spans="1:14" ht="11.25" customHeight="1" x14ac:dyDescent="0.2">
      <c r="A9313" s="243">
        <v>2025</v>
      </c>
      <c r="B9313" s="243">
        <v>9</v>
      </c>
      <c r="C9313" s="243">
        <v>25</v>
      </c>
      <c r="D9313" s="248">
        <f t="shared" si="1076"/>
        <v>45925</v>
      </c>
      <c r="E9313" s="249">
        <f t="shared" si="1079"/>
        <v>45925</v>
      </c>
      <c r="F9313" s="477"/>
      <c r="G9313" s="244" t="s">
        <v>86</v>
      </c>
      <c r="H9313" s="244"/>
      <c r="I9313" s="245"/>
      <c r="J9313" s="246" t="s">
        <v>64</v>
      </c>
      <c r="K9313" s="247"/>
      <c r="L9313" s="247">
        <f>K9312</f>
        <v>2747.2527472527472</v>
      </c>
    </row>
    <row r="9314" spans="1:14" ht="11.25" customHeight="1" x14ac:dyDescent="0.2">
      <c r="A9314" s="236">
        <v>2025</v>
      </c>
      <c r="B9314" s="236">
        <v>9</v>
      </c>
      <c r="C9314" s="236">
        <v>25</v>
      </c>
      <c r="D9314" s="237">
        <f t="shared" si="1076"/>
        <v>45925</v>
      </c>
      <c r="E9314" s="238">
        <f t="shared" si="1079"/>
        <v>45925</v>
      </c>
      <c r="F9314" s="476" t="s">
        <v>1121</v>
      </c>
      <c r="G9314" s="239" t="s">
        <v>86</v>
      </c>
      <c r="H9314" s="239"/>
      <c r="I9314" s="240"/>
      <c r="J9314" s="241" t="s">
        <v>89</v>
      </c>
      <c r="K9314" s="242">
        <f>M9314</f>
        <v>88196.70698156931</v>
      </c>
      <c r="L9314" s="242"/>
      <c r="M9314" s="156">
        <v>88196.70698156931</v>
      </c>
    </row>
    <row r="9315" spans="1:14" ht="11.25" customHeight="1" x14ac:dyDescent="0.2">
      <c r="A9315" s="243">
        <v>2025</v>
      </c>
      <c r="B9315" s="243">
        <v>9</v>
      </c>
      <c r="C9315" s="243">
        <v>25</v>
      </c>
      <c r="D9315" s="248">
        <f t="shared" si="1076"/>
        <v>45925</v>
      </c>
      <c r="E9315" s="249">
        <f t="shared" si="1079"/>
        <v>45925</v>
      </c>
      <c r="F9315" s="477"/>
      <c r="G9315" s="244" t="s">
        <v>86</v>
      </c>
      <c r="H9315" s="244"/>
      <c r="I9315" s="245"/>
      <c r="J9315" s="246" t="s">
        <v>50</v>
      </c>
      <c r="K9315" s="247"/>
      <c r="L9315" s="247">
        <f>K9314</f>
        <v>88196.70698156931</v>
      </c>
      <c r="M9315" s="156">
        <v>4169.4507336938495</v>
      </c>
    </row>
    <row r="9316" spans="1:14" ht="11.25" customHeight="1" x14ac:dyDescent="0.2">
      <c r="A9316" s="236">
        <v>2025</v>
      </c>
      <c r="B9316" s="236">
        <v>9</v>
      </c>
      <c r="C9316" s="236">
        <v>25</v>
      </c>
      <c r="D9316" s="237">
        <f t="shared" si="1076"/>
        <v>45925</v>
      </c>
      <c r="E9316" s="238">
        <f t="shared" si="1079"/>
        <v>45925</v>
      </c>
      <c r="F9316" s="476" t="s">
        <v>1122</v>
      </c>
      <c r="G9316" s="239" t="s">
        <v>86</v>
      </c>
      <c r="H9316" s="239"/>
      <c r="I9316" s="240"/>
      <c r="J9316" s="241" t="s">
        <v>91</v>
      </c>
      <c r="K9316" s="242">
        <f>M9315</f>
        <v>4169.4507336938495</v>
      </c>
      <c r="L9316" s="242"/>
    </row>
    <row r="9317" spans="1:14" ht="11.25" customHeight="1" x14ac:dyDescent="0.2">
      <c r="A9317" s="243">
        <v>2025</v>
      </c>
      <c r="B9317" s="243">
        <v>9</v>
      </c>
      <c r="C9317" s="243">
        <v>25</v>
      </c>
      <c r="D9317" s="248">
        <f t="shared" si="1076"/>
        <v>45925</v>
      </c>
      <c r="E9317" s="249">
        <f t="shared" si="1079"/>
        <v>45925</v>
      </c>
      <c r="F9317" s="477"/>
      <c r="G9317" s="244" t="s">
        <v>86</v>
      </c>
      <c r="H9317" s="244"/>
      <c r="I9317" s="245"/>
      <c r="J9317" s="246" t="s">
        <v>51</v>
      </c>
      <c r="K9317" s="247"/>
      <c r="L9317" s="247">
        <f>K9316</f>
        <v>4169.4507336938495</v>
      </c>
    </row>
    <row r="9318" spans="1:14" ht="11.25" customHeight="1" x14ac:dyDescent="0.2">
      <c r="A9318" s="221">
        <v>2025</v>
      </c>
      <c r="B9318" s="221">
        <v>9</v>
      </c>
      <c r="C9318" s="221">
        <v>28</v>
      </c>
      <c r="D9318" s="231">
        <f t="shared" si="1076"/>
        <v>45928</v>
      </c>
      <c r="E9318" s="233">
        <f t="shared" si="1079"/>
        <v>45928</v>
      </c>
      <c r="F9318" s="478" t="s">
        <v>1972</v>
      </c>
      <c r="G9318" s="222" t="s">
        <v>1111</v>
      </c>
      <c r="H9318" s="223"/>
      <c r="I9318" s="223"/>
      <c r="J9318" s="224" t="s">
        <v>55</v>
      </c>
      <c r="K9318" s="225">
        <v>92100</v>
      </c>
      <c r="L9318" s="225"/>
    </row>
    <row r="9319" spans="1:14" ht="11.25" customHeight="1" x14ac:dyDescent="0.2">
      <c r="A9319" s="226">
        <v>2025</v>
      </c>
      <c r="B9319" s="226">
        <v>9</v>
      </c>
      <c r="C9319" s="226">
        <v>28</v>
      </c>
      <c r="D9319" s="232">
        <f t="shared" si="1076"/>
        <v>45928</v>
      </c>
      <c r="E9319" s="234">
        <f t="shared" si="1079"/>
        <v>45928</v>
      </c>
      <c r="F9319" s="479"/>
      <c r="G9319" s="227" t="s">
        <v>1111</v>
      </c>
      <c r="H9319" s="228"/>
      <c r="I9319" s="228"/>
      <c r="J9319" s="229" t="s">
        <v>1616</v>
      </c>
      <c r="K9319" s="230"/>
      <c r="L9319" s="230">
        <f>K9318</f>
        <v>92100</v>
      </c>
    </row>
    <row r="9320" spans="1:14" ht="11.25" customHeight="1" x14ac:dyDescent="0.2">
      <c r="A9320" s="221">
        <v>2025</v>
      </c>
      <c r="B9320" s="221">
        <v>9</v>
      </c>
      <c r="C9320" s="221">
        <v>28</v>
      </c>
      <c r="D9320" s="221">
        <f t="shared" si="1076"/>
        <v>45928</v>
      </c>
      <c r="E9320" s="233">
        <f t="shared" si="1079"/>
        <v>45928</v>
      </c>
      <c r="F9320" s="478" t="s">
        <v>1937</v>
      </c>
      <c r="G9320" s="222" t="s">
        <v>86</v>
      </c>
      <c r="H9320" s="222"/>
      <c r="I9320" s="223"/>
      <c r="J9320" s="224" t="s">
        <v>80</v>
      </c>
      <c r="K9320" s="225">
        <v>1316000</v>
      </c>
      <c r="L9320" s="225"/>
      <c r="N9320" s="263"/>
    </row>
    <row r="9321" spans="1:14" ht="11.25" customHeight="1" x14ac:dyDescent="0.2">
      <c r="A9321" s="164">
        <v>2025</v>
      </c>
      <c r="B9321" s="164">
        <v>9</v>
      </c>
      <c r="C9321" s="164">
        <v>28</v>
      </c>
      <c r="D9321" s="164">
        <f t="shared" si="1076"/>
        <v>45928</v>
      </c>
      <c r="E9321" s="235">
        <f t="shared" si="1079"/>
        <v>45928</v>
      </c>
      <c r="F9321" s="480"/>
      <c r="G9321" s="208" t="s">
        <v>86</v>
      </c>
      <c r="H9321" s="208"/>
      <c r="J9321" s="165" t="s">
        <v>960</v>
      </c>
      <c r="K9321" s="205">
        <v>4994</v>
      </c>
      <c r="L9321" s="205"/>
      <c r="M9321" s="263"/>
      <c r="N9321" s="263"/>
    </row>
    <row r="9322" spans="1:14" ht="11.25" customHeight="1" x14ac:dyDescent="0.2">
      <c r="A9322" s="164">
        <v>2025</v>
      </c>
      <c r="B9322" s="164">
        <v>9</v>
      </c>
      <c r="C9322" s="164">
        <v>28</v>
      </c>
      <c r="D9322" s="164">
        <f t="shared" si="1076"/>
        <v>45928</v>
      </c>
      <c r="E9322" s="235">
        <f t="shared" si="1079"/>
        <v>45928</v>
      </c>
      <c r="F9322" s="480"/>
      <c r="G9322" s="208" t="s">
        <v>86</v>
      </c>
      <c r="H9322" s="208"/>
      <c r="J9322" s="374" t="s">
        <v>199</v>
      </c>
      <c r="K9322" s="445">
        <v>137448.29999999999</v>
      </c>
      <c r="L9322" s="418"/>
      <c r="M9322" s="263"/>
      <c r="N9322" s="263"/>
    </row>
    <row r="9323" spans="1:14" ht="11.25" customHeight="1" x14ac:dyDescent="0.2">
      <c r="A9323" s="164">
        <v>2025</v>
      </c>
      <c r="B9323" s="164">
        <v>9</v>
      </c>
      <c r="C9323" s="164">
        <v>28</v>
      </c>
      <c r="D9323" s="164">
        <f t="shared" si="1076"/>
        <v>45928</v>
      </c>
      <c r="E9323" s="235">
        <f t="shared" si="1079"/>
        <v>45928</v>
      </c>
      <c r="F9323" s="480"/>
      <c r="G9323" s="208" t="s">
        <v>86</v>
      </c>
      <c r="H9323" s="208"/>
      <c r="J9323" s="165" t="s">
        <v>200</v>
      </c>
      <c r="K9323" s="205"/>
      <c r="L9323" s="205">
        <v>300062.28999999998</v>
      </c>
      <c r="M9323" s="263"/>
      <c r="N9323" s="263"/>
    </row>
    <row r="9324" spans="1:14" ht="11.25" customHeight="1" x14ac:dyDescent="0.2">
      <c r="A9324" s="226">
        <v>2025</v>
      </c>
      <c r="B9324" s="226">
        <v>9</v>
      </c>
      <c r="C9324" s="226">
        <v>28</v>
      </c>
      <c r="D9324" s="226">
        <f t="shared" si="1076"/>
        <v>45928</v>
      </c>
      <c r="E9324" s="234">
        <f t="shared" si="1079"/>
        <v>45928</v>
      </c>
      <c r="F9324" s="479"/>
      <c r="G9324" s="227" t="s">
        <v>86</v>
      </c>
      <c r="H9324" s="228"/>
      <c r="I9324" s="228"/>
      <c r="J9324" s="229" t="s">
        <v>80</v>
      </c>
      <c r="K9324" s="230"/>
      <c r="L9324" s="230">
        <v>1158380.01</v>
      </c>
      <c r="M9324" s="263"/>
      <c r="N9324" s="263"/>
    </row>
    <row r="9325" spans="1:14" ht="11.25" customHeight="1" x14ac:dyDescent="0.2">
      <c r="A9325" s="221">
        <v>2025</v>
      </c>
      <c r="B9325" s="221">
        <v>9</v>
      </c>
      <c r="C9325" s="221">
        <v>28</v>
      </c>
      <c r="D9325" s="231">
        <f t="shared" si="1076"/>
        <v>45928</v>
      </c>
      <c r="E9325" s="233">
        <f t="shared" si="1079"/>
        <v>45928</v>
      </c>
      <c r="F9325" s="478" t="s">
        <v>1670</v>
      </c>
      <c r="G9325" s="222" t="s">
        <v>1111</v>
      </c>
      <c r="H9325" s="223"/>
      <c r="I9325" s="223"/>
      <c r="J9325" s="224" t="s">
        <v>63</v>
      </c>
      <c r="K9325" s="225">
        <v>100</v>
      </c>
      <c r="L9325" s="225"/>
    </row>
    <row r="9326" spans="1:14" ht="11.25" customHeight="1" x14ac:dyDescent="0.2">
      <c r="A9326" s="226">
        <v>2025</v>
      </c>
      <c r="B9326" s="226">
        <v>9</v>
      </c>
      <c r="C9326" s="226">
        <v>28</v>
      </c>
      <c r="D9326" s="232">
        <f t="shared" si="1076"/>
        <v>45928</v>
      </c>
      <c r="E9326" s="234">
        <f t="shared" si="1079"/>
        <v>45928</v>
      </c>
      <c r="F9326" s="479"/>
      <c r="G9326" s="227" t="s">
        <v>1111</v>
      </c>
      <c r="H9326" s="228"/>
      <c r="I9326" s="228"/>
      <c r="J9326" s="229" t="s">
        <v>55</v>
      </c>
      <c r="K9326" s="230"/>
      <c r="L9326" s="230">
        <f>K9325</f>
        <v>100</v>
      </c>
    </row>
    <row r="9327" spans="1:14" ht="11.25" customHeight="1" x14ac:dyDescent="0.2">
      <c r="A9327" s="221">
        <v>2025</v>
      </c>
      <c r="B9327" s="221">
        <v>9</v>
      </c>
      <c r="C9327" s="221">
        <v>28</v>
      </c>
      <c r="D9327" s="231">
        <f t="shared" si="1076"/>
        <v>45928</v>
      </c>
      <c r="E9327" s="233">
        <f t="shared" si="1079"/>
        <v>45928</v>
      </c>
      <c r="F9327" s="478" t="s">
        <v>1944</v>
      </c>
      <c r="G9327" s="222" t="s">
        <v>1111</v>
      </c>
      <c r="H9327" s="222"/>
      <c r="I9327" s="223"/>
      <c r="J9327" s="224" t="s">
        <v>55</v>
      </c>
      <c r="K9327" s="225">
        <v>1799440.84</v>
      </c>
      <c r="L9327" s="225"/>
    </row>
    <row r="9328" spans="1:14" ht="11.25" customHeight="1" x14ac:dyDescent="0.2">
      <c r="A9328" s="164">
        <v>2025</v>
      </c>
      <c r="B9328" s="164">
        <v>9</v>
      </c>
      <c r="C9328" s="164">
        <v>28</v>
      </c>
      <c r="D9328" s="164">
        <f t="shared" si="1076"/>
        <v>45928</v>
      </c>
      <c r="E9328" s="235">
        <f t="shared" si="1079"/>
        <v>45928</v>
      </c>
      <c r="F9328" s="480"/>
      <c r="G9328" s="208" t="s">
        <v>1111</v>
      </c>
      <c r="H9328" s="208"/>
      <c r="J9328" s="165" t="s">
        <v>1618</v>
      </c>
      <c r="K9328" s="263"/>
      <c r="L9328" s="205">
        <v>286052.23</v>
      </c>
    </row>
    <row r="9329" spans="1:12" ht="11.25" customHeight="1" x14ac:dyDescent="0.2">
      <c r="A9329" s="226">
        <v>2025</v>
      </c>
      <c r="B9329" s="226">
        <v>9</v>
      </c>
      <c r="C9329" s="226">
        <v>28</v>
      </c>
      <c r="D9329" s="226">
        <f t="shared" si="1076"/>
        <v>45928</v>
      </c>
      <c r="E9329" s="234">
        <f t="shared" si="1079"/>
        <v>45928</v>
      </c>
      <c r="F9329" s="479"/>
      <c r="G9329" s="227" t="s">
        <v>1111</v>
      </c>
      <c r="H9329" s="227"/>
      <c r="I9329" s="228"/>
      <c r="J9329" s="229" t="s">
        <v>1615</v>
      </c>
      <c r="K9329" s="294"/>
      <c r="L9329" s="230">
        <v>1513388.61</v>
      </c>
    </row>
    <row r="9330" spans="1:12" ht="11.25" customHeight="1" x14ac:dyDescent="0.2">
      <c r="A9330" s="221">
        <v>2025</v>
      </c>
      <c r="B9330" s="221">
        <v>9</v>
      </c>
      <c r="C9330" s="221">
        <v>28</v>
      </c>
      <c r="D9330" s="231">
        <f t="shared" si="1076"/>
        <v>45928</v>
      </c>
      <c r="E9330" s="233">
        <f t="shared" si="1079"/>
        <v>45928</v>
      </c>
      <c r="F9330" s="478" t="s">
        <v>1132</v>
      </c>
      <c r="G9330" s="222" t="s">
        <v>1111</v>
      </c>
      <c r="H9330" s="223"/>
      <c r="I9330" s="223"/>
      <c r="J9330" s="224" t="s">
        <v>55</v>
      </c>
      <c r="K9330" s="167">
        <v>12000</v>
      </c>
      <c r="L9330" s="225"/>
    </row>
    <row r="9331" spans="1:12" ht="11.25" customHeight="1" x14ac:dyDescent="0.2">
      <c r="A9331" s="164">
        <v>2025</v>
      </c>
      <c r="B9331" s="164">
        <v>9</v>
      </c>
      <c r="C9331" s="164">
        <v>28</v>
      </c>
      <c r="D9331" s="156">
        <f t="shared" si="1076"/>
        <v>45928</v>
      </c>
      <c r="E9331" s="235">
        <f t="shared" si="1079"/>
        <v>45928</v>
      </c>
      <c r="F9331" s="480"/>
      <c r="G9331" s="208" t="s">
        <v>1111</v>
      </c>
      <c r="J9331" s="165" t="s">
        <v>14</v>
      </c>
      <c r="L9331" s="205">
        <v>9880</v>
      </c>
    </row>
    <row r="9332" spans="1:12" ht="11.25" customHeight="1" x14ac:dyDescent="0.2">
      <c r="A9332" s="226">
        <v>2025</v>
      </c>
      <c r="B9332" s="226">
        <v>9</v>
      </c>
      <c r="C9332" s="226">
        <v>28</v>
      </c>
      <c r="D9332" s="232">
        <f t="shared" si="1076"/>
        <v>45928</v>
      </c>
      <c r="E9332" s="234">
        <f t="shared" si="1079"/>
        <v>45928</v>
      </c>
      <c r="F9332" s="479"/>
      <c r="G9332" s="227" t="s">
        <v>1111</v>
      </c>
      <c r="H9332" s="228"/>
      <c r="I9332" s="228"/>
      <c r="J9332" s="229" t="s">
        <v>1112</v>
      </c>
      <c r="K9332" s="230"/>
      <c r="L9332" s="230">
        <v>2120</v>
      </c>
    </row>
    <row r="9333" spans="1:12" ht="11.25" customHeight="1" x14ac:dyDescent="0.2">
      <c r="A9333" s="221">
        <v>2025</v>
      </c>
      <c r="B9333" s="221">
        <v>9</v>
      </c>
      <c r="C9333" s="221">
        <v>29</v>
      </c>
      <c r="D9333" s="231">
        <f t="shared" si="1076"/>
        <v>45929</v>
      </c>
      <c r="E9333" s="233">
        <f>DATE(A9333,B9333,C9333)</f>
        <v>45929</v>
      </c>
      <c r="F9333" s="478" t="s">
        <v>1945</v>
      </c>
      <c r="G9333" s="222" t="s">
        <v>1111</v>
      </c>
      <c r="H9333" s="223"/>
      <c r="I9333" s="223"/>
      <c r="J9333" s="224" t="s">
        <v>55</v>
      </c>
      <c r="K9333" s="225">
        <v>1029229.29</v>
      </c>
      <c r="L9333" s="225"/>
    </row>
    <row r="9334" spans="1:12" ht="11.25" customHeight="1" x14ac:dyDescent="0.2">
      <c r="A9334" s="226">
        <v>2025</v>
      </c>
      <c r="B9334" s="226">
        <v>9</v>
      </c>
      <c r="C9334" s="226">
        <v>29</v>
      </c>
      <c r="D9334" s="232">
        <f t="shared" si="1076"/>
        <v>45929</v>
      </c>
      <c r="E9334" s="234">
        <f>DATE(A9334,B9334,C9334)</f>
        <v>45929</v>
      </c>
      <c r="F9334" s="479"/>
      <c r="G9334" s="227" t="s">
        <v>1111</v>
      </c>
      <c r="H9334" s="228"/>
      <c r="I9334" s="228"/>
      <c r="J9334" s="229" t="s">
        <v>199</v>
      </c>
      <c r="K9334" s="230"/>
      <c r="L9334" s="230">
        <f>K9333</f>
        <v>1029229.29</v>
      </c>
    </row>
    <row r="9335" spans="1:12" ht="11.25" customHeight="1" x14ac:dyDescent="0.2">
      <c r="A9335" s="221">
        <v>2025</v>
      </c>
      <c r="B9335" s="221">
        <v>9</v>
      </c>
      <c r="C9335" s="221">
        <v>29</v>
      </c>
      <c r="D9335" s="231">
        <f t="shared" si="1076"/>
        <v>45929</v>
      </c>
      <c r="E9335" s="233">
        <f t="shared" ref="E9335:E9338" si="1080">DATE(A9335,B9335,C9335)</f>
        <v>45929</v>
      </c>
      <c r="F9335" s="478" t="s">
        <v>1896</v>
      </c>
      <c r="G9335" s="222" t="s">
        <v>1111</v>
      </c>
      <c r="H9335" s="222"/>
      <c r="I9335" s="223"/>
      <c r="J9335" s="224" t="s">
        <v>80</v>
      </c>
      <c r="K9335" s="225">
        <v>1999880</v>
      </c>
      <c r="L9335" s="225"/>
    </row>
    <row r="9336" spans="1:12" ht="11.25" customHeight="1" x14ac:dyDescent="0.2">
      <c r="A9336" s="226">
        <v>2025</v>
      </c>
      <c r="B9336" s="226">
        <v>9</v>
      </c>
      <c r="C9336" s="226">
        <v>29</v>
      </c>
      <c r="D9336" s="226">
        <f t="shared" si="1076"/>
        <v>45929</v>
      </c>
      <c r="E9336" s="234">
        <f t="shared" si="1080"/>
        <v>45929</v>
      </c>
      <c r="F9336" s="479"/>
      <c r="G9336" s="227" t="s">
        <v>1111</v>
      </c>
      <c r="H9336" s="227"/>
      <c r="I9336" s="228"/>
      <c r="J9336" s="229" t="s">
        <v>55</v>
      </c>
      <c r="K9336" s="294"/>
      <c r="L9336" s="230">
        <f>K9335</f>
        <v>1999880</v>
      </c>
    </row>
    <row r="9337" spans="1:12" ht="11.25" customHeight="1" x14ac:dyDescent="0.2">
      <c r="A9337" s="221">
        <v>2025</v>
      </c>
      <c r="B9337" s="221">
        <v>9</v>
      </c>
      <c r="C9337" s="221">
        <v>29</v>
      </c>
      <c r="D9337" s="231">
        <f t="shared" si="1076"/>
        <v>45929</v>
      </c>
      <c r="E9337" s="233">
        <f t="shared" si="1080"/>
        <v>45929</v>
      </c>
      <c r="F9337" s="478" t="s">
        <v>1670</v>
      </c>
      <c r="G9337" s="222" t="s">
        <v>1111</v>
      </c>
      <c r="H9337" s="223"/>
      <c r="I9337" s="223"/>
      <c r="J9337" s="224" t="s">
        <v>63</v>
      </c>
      <c r="K9337" s="225">
        <v>100</v>
      </c>
      <c r="L9337" s="225"/>
    </row>
    <row r="9338" spans="1:12" ht="11.25" customHeight="1" x14ac:dyDescent="0.2">
      <c r="A9338" s="226">
        <v>2025</v>
      </c>
      <c r="B9338" s="226">
        <v>9</v>
      </c>
      <c r="C9338" s="226">
        <v>29</v>
      </c>
      <c r="D9338" s="232">
        <f t="shared" si="1076"/>
        <v>45929</v>
      </c>
      <c r="E9338" s="234">
        <f t="shared" si="1080"/>
        <v>45929</v>
      </c>
      <c r="F9338" s="479"/>
      <c r="G9338" s="227" t="s">
        <v>1111</v>
      </c>
      <c r="H9338" s="228"/>
      <c r="I9338" s="228"/>
      <c r="J9338" s="229" t="s">
        <v>55</v>
      </c>
      <c r="K9338" s="230"/>
      <c r="L9338" s="230">
        <f>K9337</f>
        <v>100</v>
      </c>
    </row>
    <row r="9339" spans="1:12" ht="11.25" customHeight="1" x14ac:dyDescent="0.2">
      <c r="A9339" s="221">
        <v>2025</v>
      </c>
      <c r="B9339" s="221">
        <v>9</v>
      </c>
      <c r="C9339" s="221">
        <v>29</v>
      </c>
      <c r="D9339" s="231">
        <f t="shared" si="1076"/>
        <v>45929</v>
      </c>
      <c r="E9339" s="233">
        <f t="shared" ref="E9339:E9345" si="1081">DATE(A9339,B9339,C9339)</f>
        <v>45929</v>
      </c>
      <c r="F9339" s="478" t="s">
        <v>1670</v>
      </c>
      <c r="G9339" s="222" t="s">
        <v>1111</v>
      </c>
      <c r="H9339" s="223"/>
      <c r="I9339" s="223"/>
      <c r="J9339" s="224" t="s">
        <v>63</v>
      </c>
      <c r="K9339" s="225">
        <v>57.5</v>
      </c>
      <c r="L9339" s="225"/>
    </row>
    <row r="9340" spans="1:12" ht="11.25" customHeight="1" x14ac:dyDescent="0.2">
      <c r="A9340" s="226">
        <v>2025</v>
      </c>
      <c r="B9340" s="226">
        <v>9</v>
      </c>
      <c r="C9340" s="226">
        <v>29</v>
      </c>
      <c r="D9340" s="232">
        <f t="shared" si="1076"/>
        <v>45929</v>
      </c>
      <c r="E9340" s="234">
        <f t="shared" si="1081"/>
        <v>45929</v>
      </c>
      <c r="F9340" s="479"/>
      <c r="G9340" s="227" t="s">
        <v>1111</v>
      </c>
      <c r="H9340" s="228"/>
      <c r="I9340" s="228"/>
      <c r="J9340" s="229" t="s">
        <v>55</v>
      </c>
      <c r="K9340" s="230"/>
      <c r="L9340" s="230">
        <f>K9339</f>
        <v>57.5</v>
      </c>
    </row>
    <row r="9341" spans="1:12" ht="11.25" customHeight="1" x14ac:dyDescent="0.2">
      <c r="A9341" s="221">
        <v>2025</v>
      </c>
      <c r="B9341" s="221">
        <v>9</v>
      </c>
      <c r="C9341" s="221">
        <v>29</v>
      </c>
      <c r="D9341" s="231">
        <f t="shared" si="1076"/>
        <v>45929</v>
      </c>
      <c r="E9341" s="233">
        <f t="shared" si="1081"/>
        <v>45929</v>
      </c>
      <c r="F9341" s="478" t="s">
        <v>802</v>
      </c>
      <c r="G9341" s="222" t="s">
        <v>1111</v>
      </c>
      <c r="H9341" s="223"/>
      <c r="I9341" s="223"/>
      <c r="J9341" s="224" t="s">
        <v>55</v>
      </c>
      <c r="K9341" s="167">
        <v>310000</v>
      </c>
      <c r="L9341" s="225"/>
    </row>
    <row r="9342" spans="1:12" ht="11.25" customHeight="1" x14ac:dyDescent="0.2">
      <c r="A9342" s="164">
        <v>2025</v>
      </c>
      <c r="B9342" s="164">
        <v>9</v>
      </c>
      <c r="C9342" s="164">
        <v>29</v>
      </c>
      <c r="D9342" s="156">
        <f t="shared" si="1076"/>
        <v>45929</v>
      </c>
      <c r="E9342" s="235">
        <f t="shared" si="1081"/>
        <v>45929</v>
      </c>
      <c r="F9342" s="480"/>
      <c r="G9342" s="208" t="s">
        <v>1111</v>
      </c>
      <c r="J9342" s="165" t="s">
        <v>14</v>
      </c>
      <c r="L9342" s="205">
        <v>255040</v>
      </c>
    </row>
    <row r="9343" spans="1:12" ht="11.25" customHeight="1" x14ac:dyDescent="0.2">
      <c r="A9343" s="226">
        <v>2025</v>
      </c>
      <c r="B9343" s="226">
        <v>9</v>
      </c>
      <c r="C9343" s="226">
        <v>29</v>
      </c>
      <c r="D9343" s="232">
        <f t="shared" si="1076"/>
        <v>45929</v>
      </c>
      <c r="E9343" s="234">
        <f t="shared" si="1081"/>
        <v>45929</v>
      </c>
      <c r="F9343" s="479"/>
      <c r="G9343" s="227" t="s">
        <v>1111</v>
      </c>
      <c r="H9343" s="228"/>
      <c r="I9343" s="228"/>
      <c r="J9343" s="229" t="s">
        <v>1112</v>
      </c>
      <c r="K9343" s="230"/>
      <c r="L9343" s="230">
        <v>54960</v>
      </c>
    </row>
    <row r="9344" spans="1:12" ht="11.25" customHeight="1" x14ac:dyDescent="0.2">
      <c r="A9344" s="221">
        <v>2025</v>
      </c>
      <c r="B9344" s="221">
        <v>9</v>
      </c>
      <c r="C9344" s="221">
        <v>29</v>
      </c>
      <c r="D9344" s="231">
        <f t="shared" si="1076"/>
        <v>45929</v>
      </c>
      <c r="E9344" s="233">
        <f t="shared" si="1081"/>
        <v>45929</v>
      </c>
      <c r="F9344" s="478" t="s">
        <v>1719</v>
      </c>
      <c r="G9344" s="222" t="s">
        <v>1111</v>
      </c>
      <c r="H9344" s="223"/>
      <c r="I9344" s="223"/>
      <c r="J9344" s="224" t="s">
        <v>63</v>
      </c>
      <c r="K9344" s="225">
        <v>10</v>
      </c>
      <c r="L9344" s="225"/>
    </row>
    <row r="9345" spans="1:14" ht="11.25" customHeight="1" x14ac:dyDescent="0.2">
      <c r="A9345" s="226">
        <v>2025</v>
      </c>
      <c r="B9345" s="226">
        <v>9</v>
      </c>
      <c r="C9345" s="226">
        <v>29</v>
      </c>
      <c r="D9345" s="232">
        <f t="shared" si="1076"/>
        <v>45929</v>
      </c>
      <c r="E9345" s="234">
        <f t="shared" si="1081"/>
        <v>45929</v>
      </c>
      <c r="F9345" s="479"/>
      <c r="G9345" s="227" t="s">
        <v>1111</v>
      </c>
      <c r="H9345" s="228"/>
      <c r="I9345" s="228"/>
      <c r="J9345" s="229" t="s">
        <v>55</v>
      </c>
      <c r="K9345" s="230"/>
      <c r="L9345" s="230">
        <f>K9344</f>
        <v>10</v>
      </c>
    </row>
    <row r="9346" spans="1:14" ht="11.25" customHeight="1" x14ac:dyDescent="0.2">
      <c r="A9346" s="221">
        <v>2025</v>
      </c>
      <c r="B9346" s="221">
        <v>9</v>
      </c>
      <c r="C9346" s="221">
        <v>30</v>
      </c>
      <c r="D9346" s="231">
        <f t="shared" si="1076"/>
        <v>45930</v>
      </c>
      <c r="E9346" s="233">
        <f>DATE(A9346,B9346,C9346)</f>
        <v>45930</v>
      </c>
      <c r="F9346" s="478" t="s">
        <v>1945</v>
      </c>
      <c r="G9346" s="222" t="s">
        <v>1111</v>
      </c>
      <c r="H9346" s="223"/>
      <c r="I9346" s="223"/>
      <c r="J9346" s="224" t="s">
        <v>55</v>
      </c>
      <c r="K9346" s="225">
        <v>140073.5</v>
      </c>
      <c r="L9346" s="225"/>
    </row>
    <row r="9347" spans="1:14" ht="11.25" customHeight="1" x14ac:dyDescent="0.2">
      <c r="A9347" s="226">
        <v>2025</v>
      </c>
      <c r="B9347" s="226">
        <v>9</v>
      </c>
      <c r="C9347" s="226">
        <v>30</v>
      </c>
      <c r="D9347" s="232">
        <f t="shared" si="1076"/>
        <v>45930</v>
      </c>
      <c r="E9347" s="234">
        <f>DATE(A9347,B9347,C9347)</f>
        <v>45930</v>
      </c>
      <c r="F9347" s="479"/>
      <c r="G9347" s="227" t="s">
        <v>1111</v>
      </c>
      <c r="H9347" s="228"/>
      <c r="I9347" s="228"/>
      <c r="J9347" s="229" t="s">
        <v>199</v>
      </c>
      <c r="K9347" s="230"/>
      <c r="L9347" s="230">
        <f>K9346</f>
        <v>140073.5</v>
      </c>
    </row>
    <row r="9348" spans="1:14" ht="11.25" customHeight="1" x14ac:dyDescent="0.2">
      <c r="A9348" s="164">
        <v>2025</v>
      </c>
      <c r="B9348" s="164">
        <v>9</v>
      </c>
      <c r="C9348" s="164">
        <v>30</v>
      </c>
      <c r="D9348" s="164">
        <f t="shared" si="1076"/>
        <v>45930</v>
      </c>
      <c r="E9348" s="235">
        <f t="shared" ref="E9348:E9351" si="1082">DATE(A9348,B9348,C9348)</f>
        <v>45930</v>
      </c>
      <c r="F9348" s="480" t="s">
        <v>1947</v>
      </c>
      <c r="G9348" s="208" t="s">
        <v>86</v>
      </c>
      <c r="H9348" s="208"/>
      <c r="J9348" s="165" t="s">
        <v>960</v>
      </c>
      <c r="K9348" s="205">
        <v>2972.36</v>
      </c>
      <c r="L9348" s="205"/>
      <c r="M9348" s="263"/>
      <c r="N9348" s="263"/>
    </row>
    <row r="9349" spans="1:14" ht="11.25" customHeight="1" x14ac:dyDescent="0.2">
      <c r="A9349" s="164">
        <v>2025</v>
      </c>
      <c r="B9349" s="164">
        <v>9</v>
      </c>
      <c r="C9349" s="164">
        <v>30</v>
      </c>
      <c r="D9349" s="164">
        <f t="shared" si="1076"/>
        <v>45930</v>
      </c>
      <c r="E9349" s="235">
        <f t="shared" si="1082"/>
        <v>45930</v>
      </c>
      <c r="F9349" s="480"/>
      <c r="G9349" s="208" t="s">
        <v>86</v>
      </c>
      <c r="H9349" s="208"/>
      <c r="J9349" s="374" t="s">
        <v>199</v>
      </c>
      <c r="K9349" s="445">
        <v>1648338.44</v>
      </c>
      <c r="L9349" s="418"/>
      <c r="M9349" s="263"/>
      <c r="N9349" s="263"/>
    </row>
    <row r="9350" spans="1:14" ht="11.25" customHeight="1" x14ac:dyDescent="0.2">
      <c r="A9350" s="164">
        <v>2025</v>
      </c>
      <c r="B9350" s="164">
        <v>9</v>
      </c>
      <c r="C9350" s="164">
        <v>30</v>
      </c>
      <c r="D9350" s="164">
        <f t="shared" si="1076"/>
        <v>45930</v>
      </c>
      <c r="E9350" s="235">
        <f t="shared" si="1082"/>
        <v>45930</v>
      </c>
      <c r="F9350" s="480"/>
      <c r="G9350" s="208" t="s">
        <v>86</v>
      </c>
      <c r="H9350" s="208"/>
      <c r="J9350" s="165" t="s">
        <v>200</v>
      </c>
      <c r="K9350" s="205"/>
      <c r="L9350" s="205">
        <v>69154.48</v>
      </c>
      <c r="M9350" s="263"/>
      <c r="N9350" s="263"/>
    </row>
    <row r="9351" spans="1:14" ht="11.25" customHeight="1" x14ac:dyDescent="0.2">
      <c r="A9351" s="226">
        <v>2025</v>
      </c>
      <c r="B9351" s="226">
        <v>9</v>
      </c>
      <c r="C9351" s="226">
        <v>30</v>
      </c>
      <c r="D9351" s="226">
        <f t="shared" si="1076"/>
        <v>45930</v>
      </c>
      <c r="E9351" s="234">
        <f t="shared" si="1082"/>
        <v>45930</v>
      </c>
      <c r="F9351" s="479"/>
      <c r="G9351" s="227" t="s">
        <v>86</v>
      </c>
      <c r="H9351" s="228"/>
      <c r="I9351" s="228"/>
      <c r="J9351" s="229" t="s">
        <v>80</v>
      </c>
      <c r="K9351" s="230"/>
      <c r="L9351" s="230">
        <v>1582156.32</v>
      </c>
      <c r="M9351" s="263"/>
      <c r="N9351" s="263"/>
    </row>
    <row r="9352" spans="1:14" ht="11.25" customHeight="1" x14ac:dyDescent="0.2">
      <c r="A9352" s="280">
        <v>2025</v>
      </c>
      <c r="B9352" s="280">
        <v>9</v>
      </c>
      <c r="C9352" s="280">
        <v>30</v>
      </c>
      <c r="D9352" s="281">
        <f t="shared" si="1076"/>
        <v>45930</v>
      </c>
      <c r="E9352" s="282">
        <f t="shared" ref="E9352:E9357" si="1083">DATE(A9352,B9352,C9352)</f>
        <v>45930</v>
      </c>
      <c r="F9352" s="472" t="s">
        <v>1744</v>
      </c>
      <c r="G9352" s="283" t="s">
        <v>86</v>
      </c>
      <c r="H9352" s="284"/>
      <c r="I9352" s="284"/>
      <c r="J9352" s="285" t="s">
        <v>131</v>
      </c>
      <c r="K9352" s="286">
        <v>19358.330000000002</v>
      </c>
      <c r="L9352" s="286"/>
      <c r="M9352" s="401"/>
    </row>
    <row r="9353" spans="1:14" ht="11.25" customHeight="1" x14ac:dyDescent="0.2">
      <c r="A9353" s="287">
        <v>2025</v>
      </c>
      <c r="B9353" s="287">
        <v>9</v>
      </c>
      <c r="C9353" s="287">
        <v>30</v>
      </c>
      <c r="D9353" s="288">
        <f t="shared" ref="D9353:D9416" si="1084">DATE(A9353,B9353,C9353)</f>
        <v>45930</v>
      </c>
      <c r="E9353" s="289">
        <f t="shared" si="1083"/>
        <v>45930</v>
      </c>
      <c r="F9353" s="473"/>
      <c r="G9353" s="290" t="s">
        <v>86</v>
      </c>
      <c r="H9353" s="291"/>
      <c r="I9353" s="291"/>
      <c r="J9353" s="292" t="s">
        <v>174</v>
      </c>
      <c r="K9353" s="293"/>
      <c r="L9353" s="293">
        <f>K9352</f>
        <v>19358.330000000002</v>
      </c>
    </row>
    <row r="9354" spans="1:14" ht="11.25" customHeight="1" x14ac:dyDescent="0.2">
      <c r="A9354" s="280">
        <v>2025</v>
      </c>
      <c r="B9354" s="280">
        <v>9</v>
      </c>
      <c r="C9354" s="280">
        <v>30</v>
      </c>
      <c r="D9354" s="281">
        <f t="shared" si="1084"/>
        <v>45930</v>
      </c>
      <c r="E9354" s="282">
        <f t="shared" si="1083"/>
        <v>45930</v>
      </c>
      <c r="F9354" s="472" t="s">
        <v>1584</v>
      </c>
      <c r="G9354" s="283" t="s">
        <v>86</v>
      </c>
      <c r="H9354" s="284"/>
      <c r="I9354" s="284"/>
      <c r="J9354" s="285" t="s">
        <v>131</v>
      </c>
      <c r="K9354" s="286">
        <v>8846.15</v>
      </c>
      <c r="L9354" s="286"/>
      <c r="M9354" s="401"/>
    </row>
    <row r="9355" spans="1:14" ht="11.25" customHeight="1" x14ac:dyDescent="0.2">
      <c r="A9355" s="287">
        <v>2025</v>
      </c>
      <c r="B9355" s="287">
        <v>9</v>
      </c>
      <c r="C9355" s="287">
        <v>30</v>
      </c>
      <c r="D9355" s="288">
        <f t="shared" si="1084"/>
        <v>45930</v>
      </c>
      <c r="E9355" s="289">
        <f t="shared" si="1083"/>
        <v>45930</v>
      </c>
      <c r="F9355" s="473"/>
      <c r="G9355" s="290" t="s">
        <v>86</v>
      </c>
      <c r="H9355" s="291"/>
      <c r="I9355" s="291"/>
      <c r="J9355" s="292" t="s">
        <v>174</v>
      </c>
      <c r="K9355" s="293"/>
      <c r="L9355" s="293">
        <f>K9354</f>
        <v>8846.15</v>
      </c>
    </row>
    <row r="9356" spans="1:14" ht="11.25" customHeight="1" x14ac:dyDescent="0.2">
      <c r="A9356" s="341">
        <v>2025</v>
      </c>
      <c r="B9356" s="341">
        <v>9</v>
      </c>
      <c r="C9356" s="341">
        <v>30</v>
      </c>
      <c r="D9356" s="328">
        <f t="shared" si="1084"/>
        <v>45930</v>
      </c>
      <c r="E9356" s="329">
        <f t="shared" si="1083"/>
        <v>45930</v>
      </c>
      <c r="F9356" s="474" t="s">
        <v>1767</v>
      </c>
      <c r="G9356" s="330" t="s">
        <v>86</v>
      </c>
      <c r="H9356" s="332"/>
      <c r="I9356" s="332"/>
      <c r="J9356" s="342" t="s">
        <v>67</v>
      </c>
      <c r="K9356" s="343">
        <v>3352.87</v>
      </c>
      <c r="L9356" s="343"/>
    </row>
    <row r="9357" spans="1:14" ht="11.25" customHeight="1" x14ac:dyDescent="0.2">
      <c r="A9357" s="344">
        <v>2025</v>
      </c>
      <c r="B9357" s="344">
        <v>9</v>
      </c>
      <c r="C9357" s="344">
        <v>30</v>
      </c>
      <c r="D9357" s="337">
        <f t="shared" si="1084"/>
        <v>45930</v>
      </c>
      <c r="E9357" s="338">
        <f t="shared" si="1083"/>
        <v>45930</v>
      </c>
      <c r="F9357" s="475"/>
      <c r="G9357" s="339" t="s">
        <v>86</v>
      </c>
      <c r="H9357" s="340"/>
      <c r="I9357" s="340"/>
      <c r="J9357" s="345" t="s">
        <v>174</v>
      </c>
      <c r="K9357" s="346"/>
      <c r="L9357" s="346">
        <f>K9356</f>
        <v>3352.87</v>
      </c>
    </row>
    <row r="9358" spans="1:14" ht="11.25" customHeight="1" x14ac:dyDescent="0.2">
      <c r="A9358" s="358">
        <v>2025</v>
      </c>
      <c r="B9358" s="358">
        <v>9</v>
      </c>
      <c r="C9358" s="358">
        <v>30</v>
      </c>
      <c r="D9358" s="312">
        <f t="shared" si="1084"/>
        <v>45930</v>
      </c>
      <c r="E9358" s="313">
        <f>DATE(A9358,B9358,C9358)</f>
        <v>45930</v>
      </c>
      <c r="F9358" s="482" t="s">
        <v>1627</v>
      </c>
      <c r="G9358" s="314" t="s">
        <v>86</v>
      </c>
      <c r="H9358" s="324"/>
      <c r="I9358" s="324"/>
      <c r="J9358" s="364" t="s">
        <v>1613</v>
      </c>
      <c r="K9358" s="365">
        <v>0</v>
      </c>
      <c r="L9358" s="365"/>
      <c r="M9358" s="156">
        <f>BS!$I$12</f>
        <v>0</v>
      </c>
    </row>
    <row r="9359" spans="1:14" ht="11.25" customHeight="1" x14ac:dyDescent="0.2">
      <c r="A9359" s="320">
        <v>2025</v>
      </c>
      <c r="B9359" s="320">
        <v>9</v>
      </c>
      <c r="C9359" s="320">
        <v>30</v>
      </c>
      <c r="D9359" s="323">
        <f t="shared" si="1084"/>
        <v>45930</v>
      </c>
      <c r="E9359" s="321">
        <f t="shared" ref="E9359" si="1085">DATE(A9359,B9359,C9359)</f>
        <v>45930</v>
      </c>
      <c r="F9359" s="483"/>
      <c r="G9359" s="322" t="s">
        <v>86</v>
      </c>
      <c r="H9359" s="325"/>
      <c r="I9359" s="325"/>
      <c r="J9359" s="366" t="s">
        <v>1621</v>
      </c>
      <c r="K9359" s="367"/>
      <c r="L9359" s="367">
        <f>K9358</f>
        <v>0</v>
      </c>
    </row>
    <row r="9360" spans="1:14" ht="11.25" customHeight="1" x14ac:dyDescent="0.2">
      <c r="A9360" s="358">
        <v>2025</v>
      </c>
      <c r="B9360" s="358">
        <v>9</v>
      </c>
      <c r="C9360" s="358">
        <v>30</v>
      </c>
      <c r="D9360" s="312">
        <f t="shared" si="1084"/>
        <v>45930</v>
      </c>
      <c r="E9360" s="313">
        <f>DATE(A9360,B9360,C9360)</f>
        <v>45930</v>
      </c>
      <c r="F9360" s="482" t="s">
        <v>1713</v>
      </c>
      <c r="G9360" s="314" t="s">
        <v>86</v>
      </c>
      <c r="H9360" s="324"/>
      <c r="I9360" s="324"/>
      <c r="J9360" s="364" t="s">
        <v>1614</v>
      </c>
      <c r="K9360" s="365">
        <v>352425.42300000228</v>
      </c>
      <c r="L9360" s="365"/>
      <c r="M9360" s="156">
        <f>BS!$I$15</f>
        <v>0</v>
      </c>
    </row>
    <row r="9361" spans="1:14" ht="11.25" customHeight="1" x14ac:dyDescent="0.2">
      <c r="A9361" s="320">
        <v>2025</v>
      </c>
      <c r="B9361" s="320">
        <v>9</v>
      </c>
      <c r="C9361" s="320">
        <v>30</v>
      </c>
      <c r="D9361" s="323">
        <f t="shared" si="1084"/>
        <v>45930</v>
      </c>
      <c r="E9361" s="321">
        <f t="shared" ref="E9361:E9369" si="1086">DATE(A9361,B9361,C9361)</f>
        <v>45930</v>
      </c>
      <c r="F9361" s="483"/>
      <c r="G9361" s="322" t="s">
        <v>86</v>
      </c>
      <c r="H9361" s="325"/>
      <c r="I9361" s="325"/>
      <c r="J9361" s="366" t="s">
        <v>1622</v>
      </c>
      <c r="K9361" s="367"/>
      <c r="L9361" s="367">
        <f>K9360</f>
        <v>352425.42300000228</v>
      </c>
    </row>
    <row r="9362" spans="1:14" ht="11.25" customHeight="1" x14ac:dyDescent="0.2">
      <c r="A9362" s="236">
        <v>2025</v>
      </c>
      <c r="B9362" s="236">
        <v>9</v>
      </c>
      <c r="C9362" s="236">
        <v>30</v>
      </c>
      <c r="D9362" s="237">
        <f t="shared" si="1084"/>
        <v>45930</v>
      </c>
      <c r="E9362" s="238">
        <f t="shared" si="1086"/>
        <v>45930</v>
      </c>
      <c r="F9362" s="476" t="s">
        <v>1118</v>
      </c>
      <c r="G9362" s="239" t="s">
        <v>86</v>
      </c>
      <c r="H9362" s="239"/>
      <c r="I9362" s="240"/>
      <c r="J9362" s="241" t="s">
        <v>82</v>
      </c>
      <c r="K9362" s="242">
        <v>596653.83920001984</v>
      </c>
      <c r="L9362" s="242"/>
      <c r="M9362" s="156">
        <f>BS!$I$8</f>
        <v>0</v>
      </c>
    </row>
    <row r="9363" spans="1:14" ht="11.25" customHeight="1" x14ac:dyDescent="0.2">
      <c r="A9363" s="243">
        <v>2025</v>
      </c>
      <c r="B9363" s="243">
        <v>9</v>
      </c>
      <c r="C9363" s="243">
        <v>30</v>
      </c>
      <c r="D9363" s="248">
        <f t="shared" si="1084"/>
        <v>45930</v>
      </c>
      <c r="E9363" s="249">
        <f t="shared" si="1086"/>
        <v>45930</v>
      </c>
      <c r="F9363" s="477"/>
      <c r="G9363" s="244" t="s">
        <v>86</v>
      </c>
      <c r="H9363" s="244"/>
      <c r="I9363" s="245"/>
      <c r="J9363" s="246" t="s">
        <v>98</v>
      </c>
      <c r="K9363" s="247"/>
      <c r="L9363" s="247">
        <f>K9362</f>
        <v>596653.83920001984</v>
      </c>
    </row>
    <row r="9364" spans="1:14" ht="11.25" customHeight="1" x14ac:dyDescent="0.2">
      <c r="A9364" s="236">
        <v>2025</v>
      </c>
      <c r="B9364" s="236">
        <v>9</v>
      </c>
      <c r="C9364" s="236">
        <v>30</v>
      </c>
      <c r="D9364" s="237">
        <f t="shared" si="1084"/>
        <v>45930</v>
      </c>
      <c r="E9364" s="238">
        <f t="shared" si="1086"/>
        <v>45930</v>
      </c>
      <c r="F9364" s="476" t="s">
        <v>1120</v>
      </c>
      <c r="G9364" s="239" t="s">
        <v>86</v>
      </c>
      <c r="H9364" s="239"/>
      <c r="I9364" s="240"/>
      <c r="J9364" s="241" t="s">
        <v>87</v>
      </c>
      <c r="K9364" s="242">
        <v>2747.2527472527472</v>
      </c>
      <c r="L9364" s="242"/>
      <c r="M9364" s="401"/>
    </row>
    <row r="9365" spans="1:14" ht="11.25" customHeight="1" x14ac:dyDescent="0.2">
      <c r="A9365" s="243">
        <v>2025</v>
      </c>
      <c r="B9365" s="243">
        <v>9</v>
      </c>
      <c r="C9365" s="243">
        <v>30</v>
      </c>
      <c r="D9365" s="248">
        <f t="shared" si="1084"/>
        <v>45930</v>
      </c>
      <c r="E9365" s="249">
        <f t="shared" si="1086"/>
        <v>45930</v>
      </c>
      <c r="F9365" s="477"/>
      <c r="G9365" s="244" t="s">
        <v>86</v>
      </c>
      <c r="H9365" s="244"/>
      <c r="I9365" s="245"/>
      <c r="J9365" s="246" t="s">
        <v>64</v>
      </c>
      <c r="K9365" s="247"/>
      <c r="L9365" s="247">
        <f>K9364</f>
        <v>2747.2527472527472</v>
      </c>
    </row>
    <row r="9366" spans="1:14" ht="11.25" customHeight="1" x14ac:dyDescent="0.2">
      <c r="A9366" s="236">
        <v>2025</v>
      </c>
      <c r="B9366" s="236">
        <v>9</v>
      </c>
      <c r="C9366" s="236">
        <v>30</v>
      </c>
      <c r="D9366" s="237">
        <f t="shared" si="1084"/>
        <v>45930</v>
      </c>
      <c r="E9366" s="238">
        <f t="shared" si="1086"/>
        <v>45930</v>
      </c>
      <c r="F9366" s="476" t="s">
        <v>1121</v>
      </c>
      <c r="G9366" s="239" t="s">
        <v>86</v>
      </c>
      <c r="H9366" s="239"/>
      <c r="I9366" s="240"/>
      <c r="J9366" s="241" t="s">
        <v>89</v>
      </c>
      <c r="K9366" s="242">
        <f>M9366</f>
        <v>88047.022072852953</v>
      </c>
      <c r="L9366" s="242"/>
      <c r="M9366" s="156">
        <v>88047.022072852953</v>
      </c>
    </row>
    <row r="9367" spans="1:14" ht="11.25" customHeight="1" x14ac:dyDescent="0.2">
      <c r="A9367" s="243">
        <v>2025</v>
      </c>
      <c r="B9367" s="243">
        <v>9</v>
      </c>
      <c r="C9367" s="243">
        <v>30</v>
      </c>
      <c r="D9367" s="248">
        <f t="shared" si="1084"/>
        <v>45930</v>
      </c>
      <c r="E9367" s="249">
        <f t="shared" si="1086"/>
        <v>45930</v>
      </c>
      <c r="F9367" s="477"/>
      <c r="G9367" s="244" t="s">
        <v>86</v>
      </c>
      <c r="H9367" s="244"/>
      <c r="I9367" s="245"/>
      <c r="J9367" s="246" t="s">
        <v>50</v>
      </c>
      <c r="K9367" s="247"/>
      <c r="L9367" s="247">
        <f>K9366</f>
        <v>88047.022072852953</v>
      </c>
      <c r="M9367" s="156">
        <v>4161.9664882580319</v>
      </c>
    </row>
    <row r="9368" spans="1:14" ht="11.25" customHeight="1" x14ac:dyDescent="0.2">
      <c r="A9368" s="236">
        <v>2025</v>
      </c>
      <c r="B9368" s="236">
        <v>9</v>
      </c>
      <c r="C9368" s="236">
        <v>30</v>
      </c>
      <c r="D9368" s="237">
        <f t="shared" si="1084"/>
        <v>45930</v>
      </c>
      <c r="E9368" s="238">
        <f t="shared" si="1086"/>
        <v>45930</v>
      </c>
      <c r="F9368" s="476" t="s">
        <v>1122</v>
      </c>
      <c r="G9368" s="239" t="s">
        <v>86</v>
      </c>
      <c r="H9368" s="239"/>
      <c r="I9368" s="240"/>
      <c r="J9368" s="241" t="s">
        <v>91</v>
      </c>
      <c r="K9368" s="242">
        <f>M9367</f>
        <v>4161.9664882580319</v>
      </c>
      <c r="L9368" s="242"/>
    </row>
    <row r="9369" spans="1:14" ht="11.25" customHeight="1" x14ac:dyDescent="0.2">
      <c r="A9369" s="243">
        <v>2025</v>
      </c>
      <c r="B9369" s="243">
        <v>9</v>
      </c>
      <c r="C9369" s="243">
        <v>30</v>
      </c>
      <c r="D9369" s="248">
        <f t="shared" si="1084"/>
        <v>45930</v>
      </c>
      <c r="E9369" s="249">
        <f t="shared" si="1086"/>
        <v>45930</v>
      </c>
      <c r="F9369" s="477"/>
      <c r="G9369" s="244" t="s">
        <v>86</v>
      </c>
      <c r="H9369" s="244"/>
      <c r="I9369" s="245"/>
      <c r="J9369" s="246" t="s">
        <v>51</v>
      </c>
      <c r="K9369" s="247"/>
      <c r="L9369" s="247">
        <f>K9368</f>
        <v>4161.9664882580319</v>
      </c>
    </row>
    <row r="9370" spans="1:14" ht="11.25" customHeight="1" x14ac:dyDescent="0.2">
      <c r="A9370" s="221">
        <v>2025</v>
      </c>
      <c r="B9370" s="221">
        <v>10</v>
      </c>
      <c r="C9370" s="221">
        <v>5</v>
      </c>
      <c r="D9370" s="221">
        <f t="shared" si="1084"/>
        <v>45935</v>
      </c>
      <c r="E9370" s="233">
        <f t="shared" ref="E9370:E9379" si="1087">DATE(A9370,B9370,C9370)</f>
        <v>45935</v>
      </c>
      <c r="F9370" s="478" t="s">
        <v>1937</v>
      </c>
      <c r="G9370" s="222" t="s">
        <v>86</v>
      </c>
      <c r="H9370" s="222"/>
      <c r="I9370" s="223"/>
      <c r="J9370" s="224" t="s">
        <v>80</v>
      </c>
      <c r="K9370" s="225">
        <v>401955</v>
      </c>
      <c r="L9370" s="225"/>
      <c r="N9370" s="263"/>
    </row>
    <row r="9371" spans="1:14" ht="11.25" customHeight="1" x14ac:dyDescent="0.2">
      <c r="A9371" s="164">
        <v>2025</v>
      </c>
      <c r="B9371" s="164">
        <v>10</v>
      </c>
      <c r="C9371" s="164">
        <v>5</v>
      </c>
      <c r="D9371" s="164">
        <f t="shared" si="1084"/>
        <v>45935</v>
      </c>
      <c r="E9371" s="235">
        <f t="shared" si="1087"/>
        <v>45935</v>
      </c>
      <c r="F9371" s="480"/>
      <c r="G9371" s="208" t="s">
        <v>86</v>
      </c>
      <c r="H9371" s="208"/>
      <c r="J9371" s="165" t="s">
        <v>960</v>
      </c>
      <c r="K9371" s="205">
        <v>2851.12</v>
      </c>
      <c r="L9371" s="205"/>
      <c r="M9371" s="263"/>
      <c r="N9371" s="263"/>
    </row>
    <row r="9372" spans="1:14" ht="11.25" customHeight="1" x14ac:dyDescent="0.2">
      <c r="A9372" s="164">
        <v>2025</v>
      </c>
      <c r="B9372" s="164">
        <v>10</v>
      </c>
      <c r="C9372" s="164">
        <v>5</v>
      </c>
      <c r="D9372" s="164">
        <f t="shared" si="1084"/>
        <v>45935</v>
      </c>
      <c r="E9372" s="235">
        <f t="shared" si="1087"/>
        <v>45935</v>
      </c>
      <c r="F9372" s="480"/>
      <c r="G9372" s="208" t="s">
        <v>86</v>
      </c>
      <c r="H9372" s="208"/>
      <c r="J9372" s="374" t="s">
        <v>199</v>
      </c>
      <c r="K9372" s="445">
        <v>777193.88</v>
      </c>
      <c r="L9372" s="418"/>
      <c r="M9372" s="263"/>
      <c r="N9372" s="263"/>
    </row>
    <row r="9373" spans="1:14" ht="11.25" customHeight="1" x14ac:dyDescent="0.2">
      <c r="A9373" s="164">
        <v>2025</v>
      </c>
      <c r="B9373" s="164">
        <v>10</v>
      </c>
      <c r="C9373" s="164">
        <v>5</v>
      </c>
      <c r="D9373" s="164">
        <f t="shared" si="1084"/>
        <v>45935</v>
      </c>
      <c r="E9373" s="235">
        <f t="shared" si="1087"/>
        <v>45935</v>
      </c>
      <c r="F9373" s="480"/>
      <c r="G9373" s="208" t="s">
        <v>86</v>
      </c>
      <c r="H9373" s="208"/>
      <c r="J9373" s="165" t="s">
        <v>200</v>
      </c>
      <c r="K9373" s="205"/>
      <c r="L9373" s="205">
        <v>61590.71</v>
      </c>
      <c r="M9373" s="263"/>
      <c r="N9373" s="263"/>
    </row>
    <row r="9374" spans="1:14" ht="11.25" customHeight="1" x14ac:dyDescent="0.2">
      <c r="A9374" s="226">
        <v>2025</v>
      </c>
      <c r="B9374" s="226">
        <v>10</v>
      </c>
      <c r="C9374" s="226">
        <v>5</v>
      </c>
      <c r="D9374" s="226">
        <f t="shared" si="1084"/>
        <v>45935</v>
      </c>
      <c r="E9374" s="234">
        <f t="shared" si="1087"/>
        <v>45935</v>
      </c>
      <c r="F9374" s="479"/>
      <c r="G9374" s="227" t="s">
        <v>86</v>
      </c>
      <c r="H9374" s="228"/>
      <c r="I9374" s="228"/>
      <c r="J9374" s="229" t="s">
        <v>80</v>
      </c>
      <c r="K9374" s="230"/>
      <c r="L9374" s="230">
        <v>1120409.29</v>
      </c>
      <c r="M9374" s="263"/>
      <c r="N9374" s="263"/>
    </row>
    <row r="9375" spans="1:14" ht="11.25" customHeight="1" x14ac:dyDescent="0.2">
      <c r="A9375" s="221">
        <v>2025</v>
      </c>
      <c r="B9375" s="221">
        <v>10</v>
      </c>
      <c r="C9375" s="221">
        <v>5</v>
      </c>
      <c r="D9375" s="231">
        <f t="shared" si="1084"/>
        <v>45935</v>
      </c>
      <c r="E9375" s="233">
        <f t="shared" si="1087"/>
        <v>45935</v>
      </c>
      <c r="F9375" s="478" t="s">
        <v>1132</v>
      </c>
      <c r="G9375" s="222" t="s">
        <v>1111</v>
      </c>
      <c r="H9375" s="223"/>
      <c r="I9375" s="223"/>
      <c r="J9375" s="224" t="s">
        <v>55</v>
      </c>
      <c r="K9375" s="167">
        <v>6000</v>
      </c>
      <c r="L9375" s="225"/>
    </row>
    <row r="9376" spans="1:14" ht="11.25" customHeight="1" x14ac:dyDescent="0.2">
      <c r="A9376" s="164">
        <v>2025</v>
      </c>
      <c r="B9376" s="164">
        <v>10</v>
      </c>
      <c r="C9376" s="164">
        <v>5</v>
      </c>
      <c r="D9376" s="156">
        <f t="shared" si="1084"/>
        <v>45935</v>
      </c>
      <c r="E9376" s="235">
        <f t="shared" si="1087"/>
        <v>45935</v>
      </c>
      <c r="F9376" s="480"/>
      <c r="G9376" s="208" t="s">
        <v>1111</v>
      </c>
      <c r="J9376" s="165" t="s">
        <v>14</v>
      </c>
      <c r="L9376" s="205">
        <v>4940</v>
      </c>
    </row>
    <row r="9377" spans="1:12" ht="11.25" customHeight="1" x14ac:dyDescent="0.2">
      <c r="A9377" s="226">
        <v>2025</v>
      </c>
      <c r="B9377" s="226">
        <v>10</v>
      </c>
      <c r="C9377" s="226">
        <v>5</v>
      </c>
      <c r="D9377" s="232">
        <f t="shared" si="1084"/>
        <v>45935</v>
      </c>
      <c r="E9377" s="234">
        <f t="shared" si="1087"/>
        <v>45935</v>
      </c>
      <c r="F9377" s="479"/>
      <c r="G9377" s="227" t="s">
        <v>1111</v>
      </c>
      <c r="H9377" s="228"/>
      <c r="I9377" s="228"/>
      <c r="J9377" s="229" t="s">
        <v>1112</v>
      </c>
      <c r="K9377" s="230"/>
      <c r="L9377" s="230">
        <v>1060</v>
      </c>
    </row>
    <row r="9378" spans="1:12" ht="11.25" customHeight="1" x14ac:dyDescent="0.2">
      <c r="A9378" s="221">
        <v>2025</v>
      </c>
      <c r="B9378" s="221">
        <v>10</v>
      </c>
      <c r="C9378" s="221">
        <v>6</v>
      </c>
      <c r="D9378" s="231">
        <f t="shared" si="1084"/>
        <v>45936</v>
      </c>
      <c r="E9378" s="233">
        <f t="shared" si="1087"/>
        <v>45936</v>
      </c>
      <c r="F9378" s="478" t="s">
        <v>1945</v>
      </c>
      <c r="G9378" s="222" t="s">
        <v>1111</v>
      </c>
      <c r="H9378" s="223"/>
      <c r="I9378" s="223"/>
      <c r="J9378" s="224" t="s">
        <v>55</v>
      </c>
      <c r="K9378" s="225">
        <v>1646210.84</v>
      </c>
      <c r="L9378" s="225"/>
    </row>
    <row r="9379" spans="1:12" ht="11.25" customHeight="1" x14ac:dyDescent="0.2">
      <c r="A9379" s="226">
        <v>2025</v>
      </c>
      <c r="B9379" s="226">
        <v>10</v>
      </c>
      <c r="C9379" s="226">
        <v>6</v>
      </c>
      <c r="D9379" s="232">
        <f t="shared" si="1084"/>
        <v>45936</v>
      </c>
      <c r="E9379" s="234">
        <f t="shared" si="1087"/>
        <v>45936</v>
      </c>
      <c r="F9379" s="479"/>
      <c r="G9379" s="227" t="s">
        <v>1111</v>
      </c>
      <c r="H9379" s="228"/>
      <c r="I9379" s="228"/>
      <c r="J9379" s="229" t="s">
        <v>199</v>
      </c>
      <c r="K9379" s="230"/>
      <c r="L9379" s="230">
        <f>K9378</f>
        <v>1646210.84</v>
      </c>
    </row>
    <row r="9380" spans="1:12" ht="11.25" customHeight="1" x14ac:dyDescent="0.2">
      <c r="A9380" s="221">
        <v>2025</v>
      </c>
      <c r="B9380" s="221">
        <v>10</v>
      </c>
      <c r="C9380" s="221">
        <v>6</v>
      </c>
      <c r="D9380" s="231">
        <f t="shared" si="1084"/>
        <v>45936</v>
      </c>
      <c r="E9380" s="233">
        <f t="shared" ref="E9380:E9391" si="1088">DATE(A9380,B9380,C9380)</f>
        <v>45936</v>
      </c>
      <c r="F9380" s="478" t="s">
        <v>1916</v>
      </c>
      <c r="G9380" s="222" t="s">
        <v>1111</v>
      </c>
      <c r="H9380" s="222"/>
      <c r="I9380" s="223"/>
      <c r="J9380" s="224" t="s">
        <v>55</v>
      </c>
      <c r="K9380" s="225">
        <v>1042721.41</v>
      </c>
      <c r="L9380" s="225"/>
    </row>
    <row r="9381" spans="1:12" ht="11.25" customHeight="1" x14ac:dyDescent="0.2">
      <c r="A9381" s="164">
        <v>2025</v>
      </c>
      <c r="B9381" s="164">
        <v>10</v>
      </c>
      <c r="C9381" s="164">
        <v>6</v>
      </c>
      <c r="D9381" s="164">
        <f t="shared" si="1084"/>
        <v>45936</v>
      </c>
      <c r="E9381" s="235">
        <f t="shared" si="1088"/>
        <v>45936</v>
      </c>
      <c r="F9381" s="480"/>
      <c r="G9381" s="208" t="s">
        <v>1111</v>
      </c>
      <c r="H9381" s="208"/>
      <c r="J9381" s="165" t="s">
        <v>1618</v>
      </c>
      <c r="K9381" s="263"/>
      <c r="L9381" s="205">
        <v>182280.36699999997</v>
      </c>
    </row>
    <row r="9382" spans="1:12" ht="11.25" customHeight="1" x14ac:dyDescent="0.2">
      <c r="A9382" s="226">
        <v>2025</v>
      </c>
      <c r="B9382" s="226">
        <v>10</v>
      </c>
      <c r="C9382" s="226">
        <v>6</v>
      </c>
      <c r="D9382" s="226">
        <f t="shared" si="1084"/>
        <v>45936</v>
      </c>
      <c r="E9382" s="234">
        <f t="shared" si="1088"/>
        <v>45936</v>
      </c>
      <c r="F9382" s="479"/>
      <c r="G9382" s="227" t="s">
        <v>1111</v>
      </c>
      <c r="H9382" s="227"/>
      <c r="I9382" s="228"/>
      <c r="J9382" s="229" t="s">
        <v>1615</v>
      </c>
      <c r="K9382" s="294"/>
      <c r="L9382" s="230">
        <v>860441.04300000006</v>
      </c>
    </row>
    <row r="9383" spans="1:12" ht="11.25" customHeight="1" x14ac:dyDescent="0.2">
      <c r="A9383" s="221">
        <v>2025</v>
      </c>
      <c r="B9383" s="221">
        <v>10</v>
      </c>
      <c r="C9383" s="221">
        <v>6</v>
      </c>
      <c r="D9383" s="231">
        <f t="shared" si="1084"/>
        <v>45936</v>
      </c>
      <c r="E9383" s="233">
        <f t="shared" si="1088"/>
        <v>45936</v>
      </c>
      <c r="F9383" s="478" t="s">
        <v>1793</v>
      </c>
      <c r="G9383" s="222" t="s">
        <v>1111</v>
      </c>
      <c r="H9383" s="222"/>
      <c r="I9383" s="223"/>
      <c r="J9383" s="224" t="s">
        <v>55</v>
      </c>
      <c r="K9383" s="225">
        <v>3726744.2</v>
      </c>
      <c r="L9383" s="225"/>
    </row>
    <row r="9384" spans="1:12" ht="11.25" customHeight="1" x14ac:dyDescent="0.2">
      <c r="A9384" s="164">
        <v>2025</v>
      </c>
      <c r="B9384" s="164">
        <v>10</v>
      </c>
      <c r="C9384" s="164">
        <v>6</v>
      </c>
      <c r="D9384" s="164">
        <f t="shared" si="1084"/>
        <v>45936</v>
      </c>
      <c r="E9384" s="235">
        <f t="shared" si="1088"/>
        <v>45936</v>
      </c>
      <c r="F9384" s="480"/>
      <c r="G9384" s="208" t="s">
        <v>1111</v>
      </c>
      <c r="H9384" s="208"/>
      <c r="J9384" s="165" t="s">
        <v>1618</v>
      </c>
      <c r="K9384" s="263"/>
      <c r="L9384" s="205">
        <v>555857.83000000007</v>
      </c>
    </row>
    <row r="9385" spans="1:12" ht="11.25" customHeight="1" x14ac:dyDescent="0.2">
      <c r="A9385" s="226">
        <v>2025</v>
      </c>
      <c r="B9385" s="226">
        <v>10</v>
      </c>
      <c r="C9385" s="226">
        <v>6</v>
      </c>
      <c r="D9385" s="226">
        <f t="shared" si="1084"/>
        <v>45936</v>
      </c>
      <c r="E9385" s="234">
        <f t="shared" si="1088"/>
        <v>45936</v>
      </c>
      <c r="F9385" s="479"/>
      <c r="G9385" s="227" t="s">
        <v>1111</v>
      </c>
      <c r="H9385" s="227"/>
      <c r="I9385" s="228"/>
      <c r="J9385" s="229" t="s">
        <v>1615</v>
      </c>
      <c r="K9385" s="294"/>
      <c r="L9385" s="230">
        <v>3170886.37</v>
      </c>
    </row>
    <row r="9386" spans="1:12" ht="11.25" customHeight="1" x14ac:dyDescent="0.2">
      <c r="A9386" s="221">
        <v>2025</v>
      </c>
      <c r="B9386" s="221">
        <v>10</v>
      </c>
      <c r="C9386" s="221">
        <v>6</v>
      </c>
      <c r="D9386" s="231">
        <f t="shared" si="1084"/>
        <v>45936</v>
      </c>
      <c r="E9386" s="233">
        <f t="shared" ref="E9386:E9388" si="1089">DATE(A9386,B9386,C9386)</f>
        <v>45936</v>
      </c>
      <c r="F9386" s="478" t="s">
        <v>1944</v>
      </c>
      <c r="G9386" s="222" t="s">
        <v>1111</v>
      </c>
      <c r="H9386" s="222"/>
      <c r="I9386" s="223"/>
      <c r="J9386" s="224" t="s">
        <v>55</v>
      </c>
      <c r="K9386" s="225">
        <v>5366806.2</v>
      </c>
      <c r="L9386" s="225"/>
    </row>
    <row r="9387" spans="1:12" ht="11.25" customHeight="1" x14ac:dyDescent="0.2">
      <c r="A9387" s="164">
        <v>2025</v>
      </c>
      <c r="B9387" s="164">
        <v>10</v>
      </c>
      <c r="C9387" s="164">
        <v>6</v>
      </c>
      <c r="D9387" s="164">
        <f t="shared" si="1084"/>
        <v>45936</v>
      </c>
      <c r="E9387" s="235">
        <f t="shared" si="1089"/>
        <v>45936</v>
      </c>
      <c r="F9387" s="480"/>
      <c r="G9387" s="208" t="s">
        <v>1111</v>
      </c>
      <c r="H9387" s="208"/>
      <c r="J9387" s="165" t="s">
        <v>1618</v>
      </c>
      <c r="K9387" s="263"/>
      <c r="L9387" s="205">
        <v>821146.40000000037</v>
      </c>
    </row>
    <row r="9388" spans="1:12" ht="11.25" customHeight="1" x14ac:dyDescent="0.2">
      <c r="A9388" s="226">
        <v>2025</v>
      </c>
      <c r="B9388" s="226">
        <v>10</v>
      </c>
      <c r="C9388" s="226">
        <v>6</v>
      </c>
      <c r="D9388" s="226">
        <f t="shared" si="1084"/>
        <v>45936</v>
      </c>
      <c r="E9388" s="234">
        <f t="shared" si="1089"/>
        <v>45936</v>
      </c>
      <c r="F9388" s="479"/>
      <c r="G9388" s="227" t="s">
        <v>1111</v>
      </c>
      <c r="H9388" s="227"/>
      <c r="I9388" s="228"/>
      <c r="J9388" s="229" t="s">
        <v>1615</v>
      </c>
      <c r="K9388" s="294"/>
      <c r="L9388" s="230">
        <v>4545659.8</v>
      </c>
    </row>
    <row r="9389" spans="1:12" ht="11.25" customHeight="1" x14ac:dyDescent="0.2">
      <c r="A9389" s="221">
        <v>2025</v>
      </c>
      <c r="B9389" s="221">
        <v>10</v>
      </c>
      <c r="C9389" s="221">
        <v>6</v>
      </c>
      <c r="D9389" s="231">
        <f t="shared" si="1084"/>
        <v>45936</v>
      </c>
      <c r="E9389" s="233">
        <f t="shared" si="1088"/>
        <v>45936</v>
      </c>
      <c r="F9389" s="478" t="s">
        <v>1948</v>
      </c>
      <c r="G9389" s="222" t="s">
        <v>1111</v>
      </c>
      <c r="H9389" s="222"/>
      <c r="I9389" s="223"/>
      <c r="J9389" s="224" t="s">
        <v>55</v>
      </c>
      <c r="K9389" s="225">
        <v>1250594.22</v>
      </c>
      <c r="L9389" s="225"/>
    </row>
    <row r="9390" spans="1:12" ht="11.25" customHeight="1" x14ac:dyDescent="0.2">
      <c r="A9390" s="164">
        <v>2025</v>
      </c>
      <c r="B9390" s="164">
        <v>10</v>
      </c>
      <c r="C9390" s="164">
        <v>6</v>
      </c>
      <c r="D9390" s="164">
        <f t="shared" si="1084"/>
        <v>45936</v>
      </c>
      <c r="E9390" s="235">
        <f t="shared" si="1088"/>
        <v>45936</v>
      </c>
      <c r="F9390" s="480"/>
      <c r="G9390" s="208" t="s">
        <v>1111</v>
      </c>
      <c r="H9390" s="208"/>
      <c r="J9390" s="165" t="s">
        <v>1618</v>
      </c>
      <c r="K9390" s="263"/>
      <c r="L9390" s="205">
        <v>164769.26</v>
      </c>
    </row>
    <row r="9391" spans="1:12" ht="11.25" customHeight="1" x14ac:dyDescent="0.2">
      <c r="A9391" s="226">
        <v>2025</v>
      </c>
      <c r="B9391" s="226">
        <v>10</v>
      </c>
      <c r="C9391" s="226">
        <v>6</v>
      </c>
      <c r="D9391" s="226">
        <f t="shared" si="1084"/>
        <v>45936</v>
      </c>
      <c r="E9391" s="234">
        <f t="shared" si="1088"/>
        <v>45936</v>
      </c>
      <c r="F9391" s="479"/>
      <c r="G9391" s="227" t="s">
        <v>1111</v>
      </c>
      <c r="H9391" s="227"/>
      <c r="I9391" s="228"/>
      <c r="J9391" s="229" t="s">
        <v>1615</v>
      </c>
      <c r="K9391" s="294"/>
      <c r="L9391" s="230">
        <v>1085824.96</v>
      </c>
    </row>
    <row r="9392" spans="1:12" ht="11.25" customHeight="1" x14ac:dyDescent="0.2">
      <c r="A9392" s="221">
        <v>2025</v>
      </c>
      <c r="B9392" s="221">
        <v>10</v>
      </c>
      <c r="C9392" s="221">
        <v>6</v>
      </c>
      <c r="D9392" s="231">
        <f t="shared" si="1084"/>
        <v>45936</v>
      </c>
      <c r="E9392" s="233">
        <f t="shared" ref="E9392:E9396" si="1090">DATE(A9392,B9392,C9392)</f>
        <v>45936</v>
      </c>
      <c r="F9392" s="478" t="s">
        <v>1932</v>
      </c>
      <c r="G9392" s="222" t="s">
        <v>1111</v>
      </c>
      <c r="H9392" s="222"/>
      <c r="I9392" s="223"/>
      <c r="J9392" s="224" t="s">
        <v>55</v>
      </c>
      <c r="K9392" s="225">
        <v>575130.88</v>
      </c>
      <c r="L9392" s="225"/>
    </row>
    <row r="9393" spans="1:14" ht="11.25" customHeight="1" x14ac:dyDescent="0.2">
      <c r="A9393" s="164">
        <v>2025</v>
      </c>
      <c r="B9393" s="164">
        <v>10</v>
      </c>
      <c r="C9393" s="164">
        <v>6</v>
      </c>
      <c r="D9393" s="164">
        <f t="shared" si="1084"/>
        <v>45936</v>
      </c>
      <c r="E9393" s="235">
        <f t="shared" si="1090"/>
        <v>45936</v>
      </c>
      <c r="F9393" s="480"/>
      <c r="G9393" s="208" t="s">
        <v>1111</v>
      </c>
      <c r="H9393" s="208"/>
      <c r="J9393" s="165" t="s">
        <v>1618</v>
      </c>
      <c r="K9393" s="263"/>
      <c r="L9393" s="205">
        <v>60153.039999999688</v>
      </c>
    </row>
    <row r="9394" spans="1:14" ht="11.25" customHeight="1" x14ac:dyDescent="0.2">
      <c r="A9394" s="226">
        <v>2025</v>
      </c>
      <c r="B9394" s="226">
        <v>10</v>
      </c>
      <c r="C9394" s="226">
        <v>6</v>
      </c>
      <c r="D9394" s="226">
        <f t="shared" si="1084"/>
        <v>45936</v>
      </c>
      <c r="E9394" s="234">
        <f t="shared" si="1090"/>
        <v>45936</v>
      </c>
      <c r="F9394" s="479"/>
      <c r="G9394" s="227" t="s">
        <v>1111</v>
      </c>
      <c r="H9394" s="227"/>
      <c r="I9394" s="228"/>
      <c r="J9394" s="229" t="s">
        <v>1615</v>
      </c>
      <c r="K9394" s="294"/>
      <c r="L9394" s="230">
        <v>514977.84000000032</v>
      </c>
    </row>
    <row r="9395" spans="1:14" ht="11.25" customHeight="1" x14ac:dyDescent="0.2">
      <c r="A9395" s="221">
        <v>2025</v>
      </c>
      <c r="B9395" s="221">
        <v>10</v>
      </c>
      <c r="C9395" s="221">
        <v>6</v>
      </c>
      <c r="D9395" s="231">
        <f t="shared" si="1084"/>
        <v>45936</v>
      </c>
      <c r="E9395" s="233">
        <f t="shared" si="1090"/>
        <v>45936</v>
      </c>
      <c r="F9395" s="478" t="s">
        <v>1670</v>
      </c>
      <c r="G9395" s="222" t="s">
        <v>1111</v>
      </c>
      <c r="H9395" s="223"/>
      <c r="I9395" s="223"/>
      <c r="J9395" s="224" t="s">
        <v>63</v>
      </c>
      <c r="K9395" s="225">
        <v>500</v>
      </c>
      <c r="L9395" s="225"/>
    </row>
    <row r="9396" spans="1:14" ht="11.25" customHeight="1" x14ac:dyDescent="0.2">
      <c r="A9396" s="226">
        <v>2025</v>
      </c>
      <c r="B9396" s="226">
        <v>10</v>
      </c>
      <c r="C9396" s="226">
        <v>6</v>
      </c>
      <c r="D9396" s="232">
        <f t="shared" si="1084"/>
        <v>45936</v>
      </c>
      <c r="E9396" s="234">
        <f t="shared" si="1090"/>
        <v>45936</v>
      </c>
      <c r="F9396" s="479"/>
      <c r="G9396" s="227" t="s">
        <v>1111</v>
      </c>
      <c r="H9396" s="228"/>
      <c r="I9396" s="228"/>
      <c r="J9396" s="229" t="s">
        <v>55</v>
      </c>
      <c r="K9396" s="230"/>
      <c r="L9396" s="230">
        <f>K9395</f>
        <v>500</v>
      </c>
    </row>
    <row r="9397" spans="1:14" ht="11.25" customHeight="1" x14ac:dyDescent="0.2">
      <c r="A9397" s="221">
        <v>2025</v>
      </c>
      <c r="B9397" s="221">
        <v>10</v>
      </c>
      <c r="C9397" s="221">
        <v>6</v>
      </c>
      <c r="D9397" s="221">
        <f t="shared" si="1084"/>
        <v>45936</v>
      </c>
      <c r="E9397" s="233">
        <f t="shared" ref="E9397:E9403" si="1091">DATE(A9397,B9397,C9397)</f>
        <v>45936</v>
      </c>
      <c r="F9397" s="478" t="s">
        <v>1937</v>
      </c>
      <c r="G9397" s="222" t="s">
        <v>86</v>
      </c>
      <c r="H9397" s="222"/>
      <c r="I9397" s="223"/>
      <c r="J9397" s="224" t="s">
        <v>80</v>
      </c>
      <c r="K9397" s="225">
        <v>1081200</v>
      </c>
      <c r="L9397" s="225"/>
      <c r="N9397" s="263"/>
    </row>
    <row r="9398" spans="1:14" ht="11.25" customHeight="1" x14ac:dyDescent="0.2">
      <c r="A9398" s="164">
        <v>2025</v>
      </c>
      <c r="B9398" s="164">
        <v>10</v>
      </c>
      <c r="C9398" s="164">
        <v>6</v>
      </c>
      <c r="D9398" s="164">
        <f t="shared" si="1084"/>
        <v>45936</v>
      </c>
      <c r="E9398" s="235">
        <f t="shared" si="1091"/>
        <v>45936</v>
      </c>
      <c r="F9398" s="480"/>
      <c r="G9398" s="208" t="s">
        <v>86</v>
      </c>
      <c r="H9398" s="208"/>
      <c r="J9398" s="165" t="s">
        <v>960</v>
      </c>
      <c r="K9398" s="205">
        <v>2931.7</v>
      </c>
      <c r="L9398" s="205"/>
      <c r="M9398" s="263"/>
      <c r="N9398" s="263"/>
    </row>
    <row r="9399" spans="1:14" ht="11.25" customHeight="1" x14ac:dyDescent="0.2">
      <c r="A9399" s="164">
        <v>2025</v>
      </c>
      <c r="B9399" s="164">
        <v>10</v>
      </c>
      <c r="C9399" s="164">
        <v>6</v>
      </c>
      <c r="D9399" s="164">
        <f t="shared" si="1084"/>
        <v>45936</v>
      </c>
      <c r="E9399" s="235">
        <f t="shared" si="1091"/>
        <v>45936</v>
      </c>
      <c r="F9399" s="480"/>
      <c r="G9399" s="208" t="s">
        <v>86</v>
      </c>
      <c r="H9399" s="208"/>
      <c r="J9399" s="165" t="s">
        <v>961</v>
      </c>
      <c r="K9399" s="263"/>
      <c r="L9399" s="205">
        <v>536609.4</v>
      </c>
      <c r="M9399" s="263"/>
      <c r="N9399" s="263"/>
    </row>
    <row r="9400" spans="1:14" ht="11.25" customHeight="1" x14ac:dyDescent="0.2">
      <c r="A9400" s="164">
        <v>2025</v>
      </c>
      <c r="B9400" s="164">
        <v>10</v>
      </c>
      <c r="C9400" s="164">
        <v>6</v>
      </c>
      <c r="D9400" s="164">
        <f t="shared" si="1084"/>
        <v>45936</v>
      </c>
      <c r="E9400" s="235">
        <f t="shared" si="1091"/>
        <v>45936</v>
      </c>
      <c r="F9400" s="480"/>
      <c r="G9400" s="208" t="s">
        <v>86</v>
      </c>
      <c r="H9400" s="208"/>
      <c r="J9400" s="165" t="s">
        <v>200</v>
      </c>
      <c r="K9400" s="205"/>
      <c r="L9400" s="205">
        <v>29022.17</v>
      </c>
      <c r="M9400" s="263"/>
      <c r="N9400" s="263"/>
    </row>
    <row r="9401" spans="1:14" ht="11.25" customHeight="1" x14ac:dyDescent="0.2">
      <c r="A9401" s="226">
        <v>2025</v>
      </c>
      <c r="B9401" s="226">
        <v>10</v>
      </c>
      <c r="C9401" s="226">
        <v>6</v>
      </c>
      <c r="D9401" s="226">
        <f t="shared" si="1084"/>
        <v>45936</v>
      </c>
      <c r="E9401" s="234">
        <f t="shared" si="1091"/>
        <v>45936</v>
      </c>
      <c r="F9401" s="479"/>
      <c r="G9401" s="227" t="s">
        <v>86</v>
      </c>
      <c r="H9401" s="228"/>
      <c r="I9401" s="228"/>
      <c r="J9401" s="229" t="s">
        <v>80</v>
      </c>
      <c r="K9401" s="230"/>
      <c r="L9401" s="230">
        <v>518500.13</v>
      </c>
      <c r="M9401" s="263"/>
      <c r="N9401" s="263"/>
    </row>
    <row r="9402" spans="1:14" ht="11.25" customHeight="1" x14ac:dyDescent="0.2">
      <c r="A9402" s="221">
        <v>2025</v>
      </c>
      <c r="B9402" s="221">
        <v>10</v>
      </c>
      <c r="C9402" s="221">
        <v>7</v>
      </c>
      <c r="D9402" s="231">
        <f t="shared" si="1084"/>
        <v>45937</v>
      </c>
      <c r="E9402" s="233">
        <f t="shared" si="1091"/>
        <v>45937</v>
      </c>
      <c r="F9402" s="478" t="s">
        <v>1945</v>
      </c>
      <c r="G9402" s="222" t="s">
        <v>1111</v>
      </c>
      <c r="H9402" s="223"/>
      <c r="I9402" s="223"/>
      <c r="J9402" s="224" t="s">
        <v>55</v>
      </c>
      <c r="K9402" s="225">
        <v>242712.08</v>
      </c>
      <c r="L9402" s="225"/>
    </row>
    <row r="9403" spans="1:14" ht="11.25" customHeight="1" x14ac:dyDescent="0.2">
      <c r="A9403" s="226">
        <v>2025</v>
      </c>
      <c r="B9403" s="226">
        <v>10</v>
      </c>
      <c r="C9403" s="226">
        <v>7</v>
      </c>
      <c r="D9403" s="232">
        <f t="shared" si="1084"/>
        <v>45937</v>
      </c>
      <c r="E9403" s="234">
        <f t="shared" si="1091"/>
        <v>45937</v>
      </c>
      <c r="F9403" s="479"/>
      <c r="G9403" s="227" t="s">
        <v>1111</v>
      </c>
      <c r="H9403" s="228"/>
      <c r="I9403" s="228"/>
      <c r="J9403" s="229" t="s">
        <v>199</v>
      </c>
      <c r="K9403" s="230"/>
      <c r="L9403" s="230">
        <f>K9402</f>
        <v>242712.08</v>
      </c>
    </row>
    <row r="9404" spans="1:14" ht="11.25" customHeight="1" x14ac:dyDescent="0.2">
      <c r="A9404" s="221">
        <v>2025</v>
      </c>
      <c r="B9404" s="221">
        <v>10</v>
      </c>
      <c r="C9404" s="221">
        <v>7</v>
      </c>
      <c r="D9404" s="231">
        <f t="shared" si="1084"/>
        <v>45937</v>
      </c>
      <c r="E9404" s="233">
        <f t="shared" ref="E9404:E9405" si="1092">DATE(A9404,B9404,C9404)</f>
        <v>45937</v>
      </c>
      <c r="F9404" s="478" t="s">
        <v>1670</v>
      </c>
      <c r="G9404" s="222" t="s">
        <v>1111</v>
      </c>
      <c r="H9404" s="223"/>
      <c r="I9404" s="223"/>
      <c r="J9404" s="224" t="s">
        <v>63</v>
      </c>
      <c r="K9404" s="225">
        <v>920</v>
      </c>
      <c r="L9404" s="225"/>
    </row>
    <row r="9405" spans="1:14" ht="11.25" customHeight="1" x14ac:dyDescent="0.2">
      <c r="A9405" s="226">
        <v>2025</v>
      </c>
      <c r="B9405" s="226">
        <v>10</v>
      </c>
      <c r="C9405" s="226">
        <v>7</v>
      </c>
      <c r="D9405" s="232">
        <f t="shared" si="1084"/>
        <v>45937</v>
      </c>
      <c r="E9405" s="234">
        <f t="shared" si="1092"/>
        <v>45937</v>
      </c>
      <c r="F9405" s="479"/>
      <c r="G9405" s="227" t="s">
        <v>1111</v>
      </c>
      <c r="H9405" s="228"/>
      <c r="I9405" s="228"/>
      <c r="J9405" s="229" t="s">
        <v>55</v>
      </c>
      <c r="K9405" s="230"/>
      <c r="L9405" s="230">
        <f>K9404</f>
        <v>920</v>
      </c>
    </row>
    <row r="9406" spans="1:14" ht="11.25" customHeight="1" x14ac:dyDescent="0.2">
      <c r="A9406" s="221">
        <v>2025</v>
      </c>
      <c r="B9406" s="221">
        <v>10</v>
      </c>
      <c r="C9406" s="221">
        <v>7</v>
      </c>
      <c r="D9406" s="221">
        <f t="shared" si="1084"/>
        <v>45937</v>
      </c>
      <c r="E9406" s="233">
        <f>DATE(A9406,B9406,C9406)</f>
        <v>45937</v>
      </c>
      <c r="F9406" s="478" t="s">
        <v>1937</v>
      </c>
      <c r="G9406" s="222" t="s">
        <v>86</v>
      </c>
      <c r="H9406" s="222"/>
      <c r="I9406" s="223"/>
      <c r="J9406" s="224" t="s">
        <v>80</v>
      </c>
      <c r="K9406" s="225">
        <v>319750</v>
      </c>
      <c r="L9406" s="225"/>
      <c r="N9406" s="263"/>
    </row>
    <row r="9407" spans="1:14" ht="11.25" customHeight="1" x14ac:dyDescent="0.2">
      <c r="A9407" s="164">
        <v>2025</v>
      </c>
      <c r="B9407" s="164">
        <v>10</v>
      </c>
      <c r="C9407" s="164">
        <v>7</v>
      </c>
      <c r="D9407" s="164">
        <f t="shared" si="1084"/>
        <v>45937</v>
      </c>
      <c r="E9407" s="235">
        <f>DATE(A9407,B9407,C9407)</f>
        <v>45937</v>
      </c>
      <c r="F9407" s="480"/>
      <c r="G9407" s="208" t="s">
        <v>86</v>
      </c>
      <c r="H9407" s="208"/>
      <c r="J9407" s="165" t="s">
        <v>960</v>
      </c>
      <c r="K9407" s="205">
        <v>1404.63</v>
      </c>
      <c r="L9407" s="205"/>
      <c r="M9407" s="263"/>
      <c r="N9407" s="263"/>
    </row>
    <row r="9408" spans="1:14" ht="11.25" customHeight="1" x14ac:dyDescent="0.2">
      <c r="A9408" s="164">
        <v>2025</v>
      </c>
      <c r="B9408" s="164">
        <v>10</v>
      </c>
      <c r="C9408" s="164">
        <v>7</v>
      </c>
      <c r="D9408" s="164">
        <f t="shared" si="1084"/>
        <v>45937</v>
      </c>
      <c r="E9408" s="235">
        <f>DATE(A9408,B9408,C9408)</f>
        <v>45937</v>
      </c>
      <c r="F9408" s="480"/>
      <c r="G9408" s="208" t="s">
        <v>86</v>
      </c>
      <c r="H9408" s="208"/>
      <c r="J9408" s="374" t="s">
        <v>199</v>
      </c>
      <c r="K9408" s="445">
        <v>139445.37</v>
      </c>
      <c r="L9408" s="418"/>
      <c r="M9408" s="263"/>
      <c r="N9408" s="263"/>
    </row>
    <row r="9409" spans="1:14" ht="11.25" customHeight="1" x14ac:dyDescent="0.2">
      <c r="A9409" s="164">
        <v>2025</v>
      </c>
      <c r="B9409" s="164">
        <v>10</v>
      </c>
      <c r="C9409" s="164">
        <v>7</v>
      </c>
      <c r="D9409" s="164">
        <f t="shared" si="1084"/>
        <v>45937</v>
      </c>
      <c r="E9409" s="235">
        <f>DATE(A9409,B9409,C9409)</f>
        <v>45937</v>
      </c>
      <c r="F9409" s="480"/>
      <c r="G9409" s="208" t="s">
        <v>86</v>
      </c>
      <c r="H9409" s="208"/>
      <c r="J9409" s="165" t="s">
        <v>200</v>
      </c>
      <c r="K9409" s="205">
        <v>20325.099999999999</v>
      </c>
      <c r="L9409" s="205"/>
      <c r="M9409" s="263"/>
      <c r="N9409" s="263"/>
    </row>
    <row r="9410" spans="1:14" ht="11.25" customHeight="1" x14ac:dyDescent="0.2">
      <c r="A9410" s="226">
        <v>2025</v>
      </c>
      <c r="B9410" s="226">
        <v>10</v>
      </c>
      <c r="C9410" s="226">
        <v>7</v>
      </c>
      <c r="D9410" s="226">
        <f t="shared" si="1084"/>
        <v>45937</v>
      </c>
      <c r="E9410" s="234">
        <f>DATE(A9410,B9410,C9410)</f>
        <v>45937</v>
      </c>
      <c r="F9410" s="479"/>
      <c r="G9410" s="227" t="s">
        <v>86</v>
      </c>
      <c r="H9410" s="228"/>
      <c r="I9410" s="228"/>
      <c r="J9410" s="229" t="s">
        <v>80</v>
      </c>
      <c r="K9410" s="230"/>
      <c r="L9410" s="230">
        <v>480925.1</v>
      </c>
      <c r="M9410" s="263"/>
      <c r="N9410" s="263"/>
    </row>
    <row r="9411" spans="1:14" ht="11.25" customHeight="1" x14ac:dyDescent="0.2">
      <c r="A9411" s="221">
        <v>2025</v>
      </c>
      <c r="B9411" s="221">
        <v>10</v>
      </c>
      <c r="C9411" s="221">
        <v>8</v>
      </c>
      <c r="D9411" s="231">
        <f t="shared" si="1084"/>
        <v>45938</v>
      </c>
      <c r="E9411" s="233">
        <f t="shared" ref="E9411:E9425" si="1093">DATE(A9411,B9411,C9411)</f>
        <v>45938</v>
      </c>
      <c r="F9411" s="478" t="s">
        <v>1949</v>
      </c>
      <c r="G9411" s="222" t="s">
        <v>1111</v>
      </c>
      <c r="H9411" s="222"/>
      <c r="I9411" s="223"/>
      <c r="J9411" s="224" t="s">
        <v>196</v>
      </c>
      <c r="K9411" s="225">
        <v>15010000</v>
      </c>
      <c r="L9411" s="225"/>
      <c r="M9411" s="166"/>
    </row>
    <row r="9412" spans="1:14" ht="11.25" customHeight="1" x14ac:dyDescent="0.2">
      <c r="A9412" s="226">
        <v>2025</v>
      </c>
      <c r="B9412" s="226">
        <v>10</v>
      </c>
      <c r="C9412" s="226">
        <v>8</v>
      </c>
      <c r="D9412" s="226">
        <f t="shared" si="1084"/>
        <v>45938</v>
      </c>
      <c r="E9412" s="234">
        <f t="shared" si="1093"/>
        <v>45938</v>
      </c>
      <c r="F9412" s="479"/>
      <c r="G9412" s="227" t="s">
        <v>1111</v>
      </c>
      <c r="H9412" s="228"/>
      <c r="I9412" s="228"/>
      <c r="J9412" s="229" t="s">
        <v>55</v>
      </c>
      <c r="K9412" s="230"/>
      <c r="L9412" s="230">
        <v>15010000</v>
      </c>
    </row>
    <row r="9413" spans="1:14" ht="11.25" customHeight="1" x14ac:dyDescent="0.2">
      <c r="A9413" s="221">
        <v>2025</v>
      </c>
      <c r="B9413" s="221">
        <v>10</v>
      </c>
      <c r="C9413" s="221">
        <v>8</v>
      </c>
      <c r="D9413" s="231">
        <f t="shared" si="1084"/>
        <v>45938</v>
      </c>
      <c r="E9413" s="233">
        <f t="shared" si="1093"/>
        <v>45938</v>
      </c>
      <c r="F9413" s="478" t="s">
        <v>1670</v>
      </c>
      <c r="G9413" s="222" t="s">
        <v>1111</v>
      </c>
      <c r="H9413" s="223"/>
      <c r="I9413" s="223"/>
      <c r="J9413" s="224" t="s">
        <v>63</v>
      </c>
      <c r="K9413" s="225">
        <v>100</v>
      </c>
      <c r="L9413" s="225"/>
    </row>
    <row r="9414" spans="1:14" ht="11.25" customHeight="1" x14ac:dyDescent="0.2">
      <c r="A9414" s="226">
        <v>2025</v>
      </c>
      <c r="B9414" s="226">
        <v>10</v>
      </c>
      <c r="C9414" s="226">
        <v>8</v>
      </c>
      <c r="D9414" s="232">
        <f t="shared" si="1084"/>
        <v>45938</v>
      </c>
      <c r="E9414" s="234">
        <f t="shared" si="1093"/>
        <v>45938</v>
      </c>
      <c r="F9414" s="479"/>
      <c r="G9414" s="227" t="s">
        <v>1111</v>
      </c>
      <c r="H9414" s="228"/>
      <c r="I9414" s="228"/>
      <c r="J9414" s="229" t="s">
        <v>55</v>
      </c>
      <c r="K9414" s="230"/>
      <c r="L9414" s="230">
        <f>K9413</f>
        <v>100</v>
      </c>
    </row>
    <row r="9415" spans="1:14" ht="11.25" customHeight="1" x14ac:dyDescent="0.2">
      <c r="A9415" s="221">
        <v>2025</v>
      </c>
      <c r="B9415" s="221">
        <v>10</v>
      </c>
      <c r="C9415" s="221">
        <v>9</v>
      </c>
      <c r="D9415" s="231">
        <f t="shared" si="1084"/>
        <v>45939</v>
      </c>
      <c r="E9415" s="233">
        <f t="shared" si="1093"/>
        <v>45939</v>
      </c>
      <c r="F9415" s="478" t="s">
        <v>1945</v>
      </c>
      <c r="G9415" s="222" t="s">
        <v>1111</v>
      </c>
      <c r="H9415" s="223"/>
      <c r="I9415" s="223"/>
      <c r="J9415" s="224" t="s">
        <v>55</v>
      </c>
      <c r="K9415" s="225">
        <v>139445.37</v>
      </c>
      <c r="L9415" s="225"/>
    </row>
    <row r="9416" spans="1:14" ht="11.25" customHeight="1" x14ac:dyDescent="0.2">
      <c r="A9416" s="164">
        <v>2025</v>
      </c>
      <c r="B9416" s="164">
        <v>10</v>
      </c>
      <c r="C9416" s="164">
        <v>9</v>
      </c>
      <c r="D9416" s="164">
        <f t="shared" si="1084"/>
        <v>45939</v>
      </c>
      <c r="E9416" s="235">
        <f>DATE(A9416,B9416,C9416)</f>
        <v>45939</v>
      </c>
      <c r="F9416" s="480"/>
      <c r="G9416" s="208" t="s">
        <v>1111</v>
      </c>
      <c r="J9416" s="165" t="s">
        <v>63</v>
      </c>
      <c r="K9416" s="205">
        <v>198.4</v>
      </c>
      <c r="L9416" s="205"/>
    </row>
    <row r="9417" spans="1:14" ht="11.25" customHeight="1" x14ac:dyDescent="0.2">
      <c r="A9417" s="164">
        <v>2025</v>
      </c>
      <c r="B9417" s="164">
        <v>10</v>
      </c>
      <c r="C9417" s="164">
        <v>9</v>
      </c>
      <c r="D9417" s="164">
        <f t="shared" ref="D9417:D9480" si="1094">DATE(A9417,B9417,C9417)</f>
        <v>45939</v>
      </c>
      <c r="E9417" s="235">
        <f>DATE(A9417,B9417,C9417)</f>
        <v>45939</v>
      </c>
      <c r="F9417" s="480"/>
      <c r="G9417" s="208" t="s">
        <v>1111</v>
      </c>
      <c r="J9417" s="165" t="s">
        <v>961</v>
      </c>
      <c r="K9417" s="205">
        <v>2422595.6529000401</v>
      </c>
      <c r="L9417" s="205"/>
    </row>
    <row r="9418" spans="1:14" ht="11.25" customHeight="1" x14ac:dyDescent="0.2">
      <c r="A9418" s="164">
        <v>2025</v>
      </c>
      <c r="B9418" s="164">
        <v>10</v>
      </c>
      <c r="C9418" s="164">
        <v>9</v>
      </c>
      <c r="D9418" s="164">
        <f t="shared" si="1094"/>
        <v>45939</v>
      </c>
      <c r="E9418" s="235">
        <f>DATE(A9418,B9418,C9418)</f>
        <v>45939</v>
      </c>
      <c r="F9418" s="480"/>
      <c r="G9418" s="208" t="s">
        <v>1111</v>
      </c>
      <c r="J9418" s="165" t="s">
        <v>199</v>
      </c>
      <c r="K9418" s="205"/>
      <c r="L9418" s="205">
        <v>2422794.0496000797</v>
      </c>
    </row>
    <row r="9419" spans="1:14" ht="11.25" customHeight="1" x14ac:dyDescent="0.2">
      <c r="A9419" s="226">
        <v>2025</v>
      </c>
      <c r="B9419" s="226">
        <v>10</v>
      </c>
      <c r="C9419" s="226">
        <v>9</v>
      </c>
      <c r="D9419" s="232">
        <f t="shared" si="1094"/>
        <v>45939</v>
      </c>
      <c r="E9419" s="234">
        <f t="shared" si="1093"/>
        <v>45939</v>
      </c>
      <c r="F9419" s="479"/>
      <c r="G9419" s="227" t="s">
        <v>1111</v>
      </c>
      <c r="H9419" s="228"/>
      <c r="I9419" s="228"/>
      <c r="J9419" s="229" t="s">
        <v>199</v>
      </c>
      <c r="K9419" s="230"/>
      <c r="L9419" s="230">
        <f>K9415</f>
        <v>139445.37</v>
      </c>
    </row>
    <row r="9420" spans="1:14" ht="11.25" customHeight="1" x14ac:dyDescent="0.2">
      <c r="A9420" s="280">
        <v>2025</v>
      </c>
      <c r="B9420" s="280">
        <v>10</v>
      </c>
      <c r="C9420" s="280">
        <v>9</v>
      </c>
      <c r="D9420" s="281">
        <f t="shared" si="1094"/>
        <v>45939</v>
      </c>
      <c r="E9420" s="282">
        <f t="shared" si="1093"/>
        <v>45939</v>
      </c>
      <c r="F9420" s="472" t="s">
        <v>1744</v>
      </c>
      <c r="G9420" s="283" t="s">
        <v>86</v>
      </c>
      <c r="H9420" s="284"/>
      <c r="I9420" s="284"/>
      <c r="J9420" s="285" t="s">
        <v>131</v>
      </c>
      <c r="K9420" s="286">
        <v>19358.330000000002</v>
      </c>
      <c r="L9420" s="286"/>
      <c r="M9420" s="401"/>
    </row>
    <row r="9421" spans="1:14" ht="11.25" customHeight="1" x14ac:dyDescent="0.2">
      <c r="A9421" s="287">
        <v>2025</v>
      </c>
      <c r="B9421" s="287">
        <v>10</v>
      </c>
      <c r="C9421" s="287">
        <v>9</v>
      </c>
      <c r="D9421" s="288">
        <f t="shared" si="1094"/>
        <v>45939</v>
      </c>
      <c r="E9421" s="289">
        <f t="shared" si="1093"/>
        <v>45939</v>
      </c>
      <c r="F9421" s="473"/>
      <c r="G9421" s="290" t="s">
        <v>86</v>
      </c>
      <c r="H9421" s="291"/>
      <c r="I9421" s="291"/>
      <c r="J9421" s="292" t="s">
        <v>174</v>
      </c>
      <c r="K9421" s="293"/>
      <c r="L9421" s="293">
        <f>K9420</f>
        <v>19358.330000000002</v>
      </c>
    </row>
    <row r="9422" spans="1:14" ht="11.25" customHeight="1" x14ac:dyDescent="0.2">
      <c r="A9422" s="280">
        <v>2025</v>
      </c>
      <c r="B9422" s="280">
        <v>10</v>
      </c>
      <c r="C9422" s="280">
        <v>9</v>
      </c>
      <c r="D9422" s="281">
        <f t="shared" si="1094"/>
        <v>45939</v>
      </c>
      <c r="E9422" s="282">
        <f t="shared" si="1093"/>
        <v>45939</v>
      </c>
      <c r="F9422" s="472" t="s">
        <v>1584</v>
      </c>
      <c r="G9422" s="283" t="s">
        <v>86</v>
      </c>
      <c r="H9422" s="284"/>
      <c r="I9422" s="284"/>
      <c r="J9422" s="285" t="s">
        <v>131</v>
      </c>
      <c r="K9422" s="286">
        <v>8846.15</v>
      </c>
      <c r="L9422" s="286"/>
      <c r="M9422" s="401"/>
    </row>
    <row r="9423" spans="1:14" ht="11.25" customHeight="1" x14ac:dyDescent="0.2">
      <c r="A9423" s="287">
        <v>2025</v>
      </c>
      <c r="B9423" s="287">
        <v>10</v>
      </c>
      <c r="C9423" s="287">
        <v>9</v>
      </c>
      <c r="D9423" s="288">
        <f t="shared" si="1094"/>
        <v>45939</v>
      </c>
      <c r="E9423" s="289">
        <f t="shared" si="1093"/>
        <v>45939</v>
      </c>
      <c r="F9423" s="473"/>
      <c r="G9423" s="290" t="s">
        <v>86</v>
      </c>
      <c r="H9423" s="291"/>
      <c r="I9423" s="291"/>
      <c r="J9423" s="292" t="s">
        <v>174</v>
      </c>
      <c r="K9423" s="293"/>
      <c r="L9423" s="293">
        <f>K9422</f>
        <v>8846.15</v>
      </c>
    </row>
    <row r="9424" spans="1:14" ht="11.25" customHeight="1" x14ac:dyDescent="0.2">
      <c r="A9424" s="341">
        <v>2025</v>
      </c>
      <c r="B9424" s="341">
        <v>10</v>
      </c>
      <c r="C9424" s="341">
        <v>9</v>
      </c>
      <c r="D9424" s="328">
        <f t="shared" si="1094"/>
        <v>45939</v>
      </c>
      <c r="E9424" s="329">
        <f t="shared" si="1093"/>
        <v>45939</v>
      </c>
      <c r="F9424" s="474" t="s">
        <v>1767</v>
      </c>
      <c r="G9424" s="330" t="s">
        <v>86</v>
      </c>
      <c r="H9424" s="332"/>
      <c r="I9424" s="332"/>
      <c r="J9424" s="342" t="s">
        <v>67</v>
      </c>
      <c r="K9424" s="343">
        <v>8242.59</v>
      </c>
      <c r="L9424" s="343"/>
    </row>
    <row r="9425" spans="1:14" ht="11.25" customHeight="1" x14ac:dyDescent="0.2">
      <c r="A9425" s="344">
        <v>2025</v>
      </c>
      <c r="B9425" s="344">
        <v>10</v>
      </c>
      <c r="C9425" s="344">
        <v>9</v>
      </c>
      <c r="D9425" s="337">
        <f t="shared" si="1094"/>
        <v>45939</v>
      </c>
      <c r="E9425" s="338">
        <f t="shared" si="1093"/>
        <v>45939</v>
      </c>
      <c r="F9425" s="475"/>
      <c r="G9425" s="339" t="s">
        <v>86</v>
      </c>
      <c r="H9425" s="340"/>
      <c r="I9425" s="340"/>
      <c r="J9425" s="345" t="s">
        <v>174</v>
      </c>
      <c r="K9425" s="346"/>
      <c r="L9425" s="346">
        <f>K9424</f>
        <v>8242.59</v>
      </c>
    </row>
    <row r="9426" spans="1:14" ht="11.25" customHeight="1" x14ac:dyDescent="0.2">
      <c r="A9426" s="358">
        <v>2025</v>
      </c>
      <c r="B9426" s="358">
        <v>10</v>
      </c>
      <c r="C9426" s="358">
        <v>9</v>
      </c>
      <c r="D9426" s="312">
        <f t="shared" si="1094"/>
        <v>45939</v>
      </c>
      <c r="E9426" s="313">
        <f>DATE(A9426,B9426,C9426)</f>
        <v>45939</v>
      </c>
      <c r="F9426" s="482" t="s">
        <v>1627</v>
      </c>
      <c r="G9426" s="314" t="s">
        <v>86</v>
      </c>
      <c r="H9426" s="324"/>
      <c r="I9426" s="324"/>
      <c r="J9426" s="364" t="s">
        <v>1613</v>
      </c>
      <c r="K9426" s="365">
        <v>0</v>
      </c>
      <c r="L9426" s="365"/>
      <c r="M9426" s="156">
        <f>BS!$I$12</f>
        <v>0</v>
      </c>
    </row>
    <row r="9427" spans="1:14" ht="11.25" customHeight="1" x14ac:dyDescent="0.2">
      <c r="A9427" s="320">
        <v>2025</v>
      </c>
      <c r="B9427" s="320">
        <v>10</v>
      </c>
      <c r="C9427" s="320">
        <v>9</v>
      </c>
      <c r="D9427" s="323">
        <f t="shared" si="1094"/>
        <v>45939</v>
      </c>
      <c r="E9427" s="321">
        <f t="shared" ref="E9427" si="1095">DATE(A9427,B9427,C9427)</f>
        <v>45939</v>
      </c>
      <c r="F9427" s="483"/>
      <c r="G9427" s="322" t="s">
        <v>86</v>
      </c>
      <c r="H9427" s="325"/>
      <c r="I9427" s="325"/>
      <c r="J9427" s="366" t="s">
        <v>1621</v>
      </c>
      <c r="K9427" s="367"/>
      <c r="L9427" s="367">
        <f>K9426</f>
        <v>0</v>
      </c>
    </row>
    <row r="9428" spans="1:14" ht="11.25" customHeight="1" x14ac:dyDescent="0.2">
      <c r="A9428" s="358">
        <v>2025</v>
      </c>
      <c r="B9428" s="358">
        <v>10</v>
      </c>
      <c r="C9428" s="358">
        <v>9</v>
      </c>
      <c r="D9428" s="312">
        <f t="shared" si="1094"/>
        <v>45939</v>
      </c>
      <c r="E9428" s="313">
        <f>DATE(A9428,B9428,C9428)</f>
        <v>45939</v>
      </c>
      <c r="F9428" s="482" t="s">
        <v>1713</v>
      </c>
      <c r="G9428" s="314" t="s">
        <v>86</v>
      </c>
      <c r="H9428" s="324"/>
      <c r="I9428" s="324"/>
      <c r="J9428" s="364" t="s">
        <v>1614</v>
      </c>
      <c r="K9428" s="365">
        <v>1770481.954000002</v>
      </c>
      <c r="L9428" s="365"/>
      <c r="M9428" s="447">
        <f>BS!$I$15</f>
        <v>0</v>
      </c>
      <c r="N9428" s="166"/>
    </row>
    <row r="9429" spans="1:14" ht="11.25" customHeight="1" x14ac:dyDescent="0.2">
      <c r="A9429" s="320">
        <v>2025</v>
      </c>
      <c r="B9429" s="320">
        <v>10</v>
      </c>
      <c r="C9429" s="320">
        <v>9</v>
      </c>
      <c r="D9429" s="323">
        <f t="shared" si="1094"/>
        <v>45939</v>
      </c>
      <c r="E9429" s="321">
        <f t="shared" ref="E9429:E9441" si="1096">DATE(A9429,B9429,C9429)</f>
        <v>45939</v>
      </c>
      <c r="F9429" s="483"/>
      <c r="G9429" s="322" t="s">
        <v>86</v>
      </c>
      <c r="H9429" s="325"/>
      <c r="I9429" s="325"/>
      <c r="J9429" s="366" t="s">
        <v>1622</v>
      </c>
      <c r="K9429" s="367"/>
      <c r="L9429" s="367">
        <f>K9428</f>
        <v>1770481.954000002</v>
      </c>
    </row>
    <row r="9430" spans="1:14" ht="11.25" customHeight="1" x14ac:dyDescent="0.2">
      <c r="A9430" s="236">
        <v>2025</v>
      </c>
      <c r="B9430" s="236">
        <v>10</v>
      </c>
      <c r="C9430" s="236">
        <v>9</v>
      </c>
      <c r="D9430" s="237">
        <f t="shared" si="1094"/>
        <v>45939</v>
      </c>
      <c r="E9430" s="238">
        <f t="shared" si="1096"/>
        <v>45939</v>
      </c>
      <c r="F9430" s="476" t="s">
        <v>1118</v>
      </c>
      <c r="G9430" s="239" t="s">
        <v>86</v>
      </c>
      <c r="H9430" s="239"/>
      <c r="I9430" s="240"/>
      <c r="J9430" s="241" t="s">
        <v>82</v>
      </c>
      <c r="K9430" s="242">
        <v>1130448.0560000241</v>
      </c>
      <c r="L9430" s="242"/>
      <c r="M9430" s="156">
        <f>BS!$I$8</f>
        <v>0</v>
      </c>
    </row>
    <row r="9431" spans="1:14" ht="11.25" customHeight="1" x14ac:dyDescent="0.2">
      <c r="A9431" s="243">
        <v>2025</v>
      </c>
      <c r="B9431" s="243">
        <v>10</v>
      </c>
      <c r="C9431" s="243">
        <v>9</v>
      </c>
      <c r="D9431" s="248">
        <f t="shared" si="1094"/>
        <v>45939</v>
      </c>
      <c r="E9431" s="249">
        <f t="shared" si="1096"/>
        <v>45939</v>
      </c>
      <c r="F9431" s="477"/>
      <c r="G9431" s="244" t="s">
        <v>86</v>
      </c>
      <c r="H9431" s="244"/>
      <c r="I9431" s="245"/>
      <c r="J9431" s="246" t="s">
        <v>98</v>
      </c>
      <c r="K9431" s="247"/>
      <c r="L9431" s="247">
        <f>K9430</f>
        <v>1130448.0560000241</v>
      </c>
    </row>
    <row r="9432" spans="1:14" ht="11.25" customHeight="1" x14ac:dyDescent="0.2">
      <c r="A9432" s="236">
        <v>2025</v>
      </c>
      <c r="B9432" s="236">
        <v>10</v>
      </c>
      <c r="C9432" s="236">
        <v>9</v>
      </c>
      <c r="D9432" s="237">
        <f t="shared" si="1094"/>
        <v>45939</v>
      </c>
      <c r="E9432" s="238">
        <f t="shared" si="1096"/>
        <v>45939</v>
      </c>
      <c r="F9432" s="476" t="s">
        <v>1120</v>
      </c>
      <c r="G9432" s="239" t="s">
        <v>86</v>
      </c>
      <c r="H9432" s="239"/>
      <c r="I9432" s="240"/>
      <c r="J9432" s="241" t="s">
        <v>87</v>
      </c>
      <c r="K9432" s="242">
        <v>2747.2527472527472</v>
      </c>
      <c r="L9432" s="242"/>
      <c r="M9432" s="401"/>
    </row>
    <row r="9433" spans="1:14" ht="11.25" customHeight="1" x14ac:dyDescent="0.2">
      <c r="A9433" s="243">
        <v>2025</v>
      </c>
      <c r="B9433" s="243">
        <v>10</v>
      </c>
      <c r="C9433" s="243">
        <v>9</v>
      </c>
      <c r="D9433" s="248">
        <f t="shared" si="1094"/>
        <v>45939</v>
      </c>
      <c r="E9433" s="249">
        <f t="shared" si="1096"/>
        <v>45939</v>
      </c>
      <c r="F9433" s="477"/>
      <c r="G9433" s="244" t="s">
        <v>86</v>
      </c>
      <c r="H9433" s="244"/>
      <c r="I9433" s="245"/>
      <c r="J9433" s="246" t="s">
        <v>64</v>
      </c>
      <c r="K9433" s="247"/>
      <c r="L9433" s="247">
        <f>K9432</f>
        <v>2747.2527472527472</v>
      </c>
    </row>
    <row r="9434" spans="1:14" ht="11.25" customHeight="1" x14ac:dyDescent="0.2">
      <c r="A9434" s="236">
        <v>2025</v>
      </c>
      <c r="B9434" s="236">
        <v>10</v>
      </c>
      <c r="C9434" s="236">
        <v>9</v>
      </c>
      <c r="D9434" s="237">
        <f t="shared" si="1094"/>
        <v>45939</v>
      </c>
      <c r="E9434" s="238">
        <f t="shared" si="1096"/>
        <v>45939</v>
      </c>
      <c r="F9434" s="476" t="s">
        <v>1121</v>
      </c>
      <c r="G9434" s="239" t="s">
        <v>86</v>
      </c>
      <c r="H9434" s="239"/>
      <c r="I9434" s="240"/>
      <c r="J9434" s="241" t="s">
        <v>89</v>
      </c>
      <c r="K9434" s="242">
        <f>M9434</f>
        <v>87620.925782734354</v>
      </c>
      <c r="L9434" s="242"/>
      <c r="M9434" s="156">
        <v>87620.925782734354</v>
      </c>
    </row>
    <row r="9435" spans="1:14" ht="11.25" customHeight="1" x14ac:dyDescent="0.2">
      <c r="A9435" s="243">
        <v>2025</v>
      </c>
      <c r="B9435" s="243">
        <v>10</v>
      </c>
      <c r="C9435" s="243">
        <v>9</v>
      </c>
      <c r="D9435" s="248">
        <f t="shared" si="1094"/>
        <v>45939</v>
      </c>
      <c r="E9435" s="249">
        <f t="shared" si="1096"/>
        <v>45939</v>
      </c>
      <c r="F9435" s="477"/>
      <c r="G9435" s="244" t="s">
        <v>86</v>
      </c>
      <c r="H9435" s="244"/>
      <c r="I9435" s="245"/>
      <c r="J9435" s="246" t="s">
        <v>50</v>
      </c>
      <c r="K9435" s="247"/>
      <c r="L9435" s="247">
        <f>K9434</f>
        <v>87620.925782734354</v>
      </c>
      <c r="M9435" s="156">
        <v>4140.6616737521017</v>
      </c>
    </row>
    <row r="9436" spans="1:14" ht="11.25" customHeight="1" x14ac:dyDescent="0.2">
      <c r="A9436" s="236">
        <v>2025</v>
      </c>
      <c r="B9436" s="236">
        <v>10</v>
      </c>
      <c r="C9436" s="236">
        <v>9</v>
      </c>
      <c r="D9436" s="237">
        <f t="shared" si="1094"/>
        <v>45939</v>
      </c>
      <c r="E9436" s="238">
        <f t="shared" si="1096"/>
        <v>45939</v>
      </c>
      <c r="F9436" s="476" t="s">
        <v>1122</v>
      </c>
      <c r="G9436" s="239" t="s">
        <v>86</v>
      </c>
      <c r="H9436" s="239"/>
      <c r="I9436" s="240"/>
      <c r="J9436" s="241" t="s">
        <v>91</v>
      </c>
      <c r="K9436" s="242">
        <f>M9435</f>
        <v>4140.6616737521017</v>
      </c>
      <c r="L9436" s="242"/>
    </row>
    <row r="9437" spans="1:14" ht="11.25" customHeight="1" x14ac:dyDescent="0.2">
      <c r="A9437" s="243">
        <v>2025</v>
      </c>
      <c r="B9437" s="243">
        <v>10</v>
      </c>
      <c r="C9437" s="243">
        <v>9</v>
      </c>
      <c r="D9437" s="248">
        <f t="shared" si="1094"/>
        <v>45939</v>
      </c>
      <c r="E9437" s="249">
        <f t="shared" si="1096"/>
        <v>45939</v>
      </c>
      <c r="F9437" s="477"/>
      <c r="G9437" s="244" t="s">
        <v>86</v>
      </c>
      <c r="H9437" s="244"/>
      <c r="I9437" s="245"/>
      <c r="J9437" s="246" t="s">
        <v>51</v>
      </c>
      <c r="K9437" s="247"/>
      <c r="L9437" s="247">
        <f>K9436</f>
        <v>4140.6616737521017</v>
      </c>
    </row>
    <row r="9438" spans="1:14" ht="11.25" customHeight="1" x14ac:dyDescent="0.2">
      <c r="A9438" s="164">
        <v>2025</v>
      </c>
      <c r="B9438" s="164">
        <v>10</v>
      </c>
      <c r="C9438" s="164">
        <v>12</v>
      </c>
      <c r="D9438" s="156">
        <f t="shared" si="1094"/>
        <v>45942</v>
      </c>
      <c r="E9438" s="235">
        <f t="shared" si="1096"/>
        <v>45942</v>
      </c>
      <c r="F9438" s="480" t="s">
        <v>1808</v>
      </c>
      <c r="G9438" s="208" t="s">
        <v>1111</v>
      </c>
      <c r="J9438" s="165" t="s">
        <v>478</v>
      </c>
      <c r="K9438" s="205">
        <v>136289.91</v>
      </c>
      <c r="L9438" s="205"/>
    </row>
    <row r="9439" spans="1:14" ht="11.25" customHeight="1" x14ac:dyDescent="0.2">
      <c r="A9439" s="164">
        <v>2025</v>
      </c>
      <c r="B9439" s="164">
        <v>10</v>
      </c>
      <c r="C9439" s="164">
        <v>12</v>
      </c>
      <c r="D9439" s="156">
        <f t="shared" si="1094"/>
        <v>45942</v>
      </c>
      <c r="E9439" s="235">
        <f t="shared" ref="E9439:E9440" si="1097">DATE(A9439,B9439,C9439)</f>
        <v>45942</v>
      </c>
      <c r="F9439" s="480"/>
      <c r="G9439" s="208" t="s">
        <v>1111</v>
      </c>
      <c r="J9439" s="165" t="s">
        <v>1708</v>
      </c>
      <c r="K9439" s="205">
        <v>437.5</v>
      </c>
      <c r="L9439" s="205"/>
    </row>
    <row r="9440" spans="1:14" ht="11.25" customHeight="1" x14ac:dyDescent="0.2">
      <c r="A9440" s="164">
        <v>2025</v>
      </c>
      <c r="B9440" s="164">
        <v>10</v>
      </c>
      <c r="C9440" s="164">
        <v>12</v>
      </c>
      <c r="D9440" s="156">
        <f t="shared" si="1094"/>
        <v>45942</v>
      </c>
      <c r="E9440" s="235">
        <f t="shared" si="1097"/>
        <v>45942</v>
      </c>
      <c r="F9440" s="480"/>
      <c r="G9440" s="208" t="s">
        <v>1111</v>
      </c>
      <c r="J9440" s="165" t="s">
        <v>1707</v>
      </c>
      <c r="K9440" s="205">
        <v>225</v>
      </c>
      <c r="L9440" s="205"/>
    </row>
    <row r="9441" spans="1:14" ht="11.25" customHeight="1" x14ac:dyDescent="0.2">
      <c r="A9441" s="226">
        <v>2025</v>
      </c>
      <c r="B9441" s="226">
        <v>10</v>
      </c>
      <c r="C9441" s="226">
        <v>12</v>
      </c>
      <c r="D9441" s="232">
        <f t="shared" si="1094"/>
        <v>45942</v>
      </c>
      <c r="E9441" s="234">
        <f t="shared" si="1096"/>
        <v>45942</v>
      </c>
      <c r="F9441" s="479"/>
      <c r="G9441" s="227" t="s">
        <v>1111</v>
      </c>
      <c r="H9441" s="228"/>
      <c r="I9441" s="228"/>
      <c r="J9441" s="229" t="s">
        <v>55</v>
      </c>
      <c r="K9441" s="230"/>
      <c r="L9441" s="230">
        <v>136952.41</v>
      </c>
    </row>
    <row r="9442" spans="1:14" ht="11.25" customHeight="1" x14ac:dyDescent="0.2">
      <c r="A9442" s="221">
        <v>2025</v>
      </c>
      <c r="B9442" s="221">
        <v>10</v>
      </c>
      <c r="C9442" s="221">
        <v>12</v>
      </c>
      <c r="D9442" s="221">
        <f t="shared" si="1094"/>
        <v>45942</v>
      </c>
      <c r="E9442" s="233">
        <f>DATE(A9442,B9442,C9442)</f>
        <v>45942</v>
      </c>
      <c r="F9442" s="478" t="s">
        <v>1937</v>
      </c>
      <c r="G9442" s="222" t="s">
        <v>86</v>
      </c>
      <c r="H9442" s="222"/>
      <c r="I9442" s="223"/>
      <c r="J9442" s="224" t="s">
        <v>80</v>
      </c>
      <c r="K9442" s="225">
        <v>967800</v>
      </c>
      <c r="L9442" s="225"/>
      <c r="N9442" s="263"/>
    </row>
    <row r="9443" spans="1:14" ht="11.25" customHeight="1" x14ac:dyDescent="0.2">
      <c r="A9443" s="164">
        <v>2025</v>
      </c>
      <c r="B9443" s="164">
        <v>10</v>
      </c>
      <c r="C9443" s="164">
        <v>12</v>
      </c>
      <c r="D9443" s="164">
        <f t="shared" si="1094"/>
        <v>45942</v>
      </c>
      <c r="E9443" s="235">
        <f>DATE(A9443,B9443,C9443)</f>
        <v>45942</v>
      </c>
      <c r="F9443" s="480"/>
      <c r="G9443" s="208" t="s">
        <v>86</v>
      </c>
      <c r="H9443" s="208"/>
      <c r="J9443" s="165" t="s">
        <v>960</v>
      </c>
      <c r="K9443" s="205">
        <v>4662.13</v>
      </c>
      <c r="L9443" s="205"/>
      <c r="M9443" s="263"/>
      <c r="N9443" s="263"/>
    </row>
    <row r="9444" spans="1:14" ht="11.25" customHeight="1" x14ac:dyDescent="0.2">
      <c r="A9444" s="164">
        <v>2025</v>
      </c>
      <c r="B9444" s="164">
        <v>10</v>
      </c>
      <c r="C9444" s="164">
        <v>12</v>
      </c>
      <c r="D9444" s="164">
        <f t="shared" si="1094"/>
        <v>45942</v>
      </c>
      <c r="E9444" s="235">
        <f>DATE(A9444,B9444,C9444)</f>
        <v>45942</v>
      </c>
      <c r="F9444" s="480"/>
      <c r="G9444" s="208" t="s">
        <v>86</v>
      </c>
      <c r="H9444" s="208"/>
      <c r="J9444" s="374" t="s">
        <v>199</v>
      </c>
      <c r="K9444" s="445">
        <v>649811.06999999995</v>
      </c>
      <c r="L9444" s="418"/>
      <c r="M9444" s="263"/>
      <c r="N9444" s="263"/>
    </row>
    <row r="9445" spans="1:14" ht="11.25" customHeight="1" x14ac:dyDescent="0.2">
      <c r="A9445" s="164">
        <v>2025</v>
      </c>
      <c r="B9445" s="164">
        <v>10</v>
      </c>
      <c r="C9445" s="164">
        <v>12</v>
      </c>
      <c r="D9445" s="164">
        <f t="shared" si="1094"/>
        <v>45942</v>
      </c>
      <c r="E9445" s="235">
        <f>DATE(A9445,B9445,C9445)</f>
        <v>45942</v>
      </c>
      <c r="F9445" s="480"/>
      <c r="G9445" s="208" t="s">
        <v>86</v>
      </c>
      <c r="H9445" s="208"/>
      <c r="J9445" s="165" t="s">
        <v>200</v>
      </c>
      <c r="K9445" s="205"/>
      <c r="L9445" s="205">
        <v>32557.19</v>
      </c>
      <c r="M9445" s="263"/>
      <c r="N9445" s="263"/>
    </row>
    <row r="9446" spans="1:14" ht="11.25" customHeight="1" x14ac:dyDescent="0.2">
      <c r="A9446" s="226">
        <v>2025</v>
      </c>
      <c r="B9446" s="226">
        <v>10</v>
      </c>
      <c r="C9446" s="226">
        <v>12</v>
      </c>
      <c r="D9446" s="226">
        <f t="shared" si="1094"/>
        <v>45942</v>
      </c>
      <c r="E9446" s="234">
        <f>DATE(A9446,B9446,C9446)</f>
        <v>45942</v>
      </c>
      <c r="F9446" s="479"/>
      <c r="G9446" s="227" t="s">
        <v>86</v>
      </c>
      <c r="H9446" s="228"/>
      <c r="I9446" s="228"/>
      <c r="J9446" s="229" t="s">
        <v>80</v>
      </c>
      <c r="K9446" s="230"/>
      <c r="L9446" s="230">
        <v>1589716.01</v>
      </c>
      <c r="M9446" s="263"/>
      <c r="N9446" s="263"/>
    </row>
    <row r="9447" spans="1:14" ht="11.25" customHeight="1" x14ac:dyDescent="0.2">
      <c r="A9447" s="221">
        <v>2025</v>
      </c>
      <c r="B9447" s="221">
        <v>10</v>
      </c>
      <c r="C9447" s="221">
        <v>13</v>
      </c>
      <c r="D9447" s="231">
        <f t="shared" si="1094"/>
        <v>45943</v>
      </c>
      <c r="E9447" s="233">
        <f t="shared" ref="E9447:E9452" si="1098">DATE(A9447,B9447,C9447)</f>
        <v>45943</v>
      </c>
      <c r="F9447" s="478" t="s">
        <v>1178</v>
      </c>
      <c r="G9447" s="222" t="s">
        <v>1111</v>
      </c>
      <c r="H9447" s="223"/>
      <c r="I9447" s="223"/>
      <c r="J9447" s="224" t="s">
        <v>189</v>
      </c>
      <c r="K9447" s="225">
        <v>4312.5</v>
      </c>
      <c r="L9447" s="225"/>
    </row>
    <row r="9448" spans="1:14" ht="11.25" customHeight="1" x14ac:dyDescent="0.2">
      <c r="A9448" s="164">
        <v>2025</v>
      </c>
      <c r="B9448" s="164">
        <v>10</v>
      </c>
      <c r="C9448" s="164">
        <v>13</v>
      </c>
      <c r="D9448" s="156">
        <f t="shared" si="1094"/>
        <v>45943</v>
      </c>
      <c r="E9448" s="235">
        <f t="shared" si="1098"/>
        <v>45943</v>
      </c>
      <c r="F9448" s="480"/>
      <c r="G9448" s="208" t="s">
        <v>1111</v>
      </c>
      <c r="J9448" s="165" t="s">
        <v>1708</v>
      </c>
      <c r="K9448" s="205"/>
      <c r="L9448" s="205">
        <f>3750*0.05</f>
        <v>187.5</v>
      </c>
    </row>
    <row r="9449" spans="1:14" ht="11.25" customHeight="1" x14ac:dyDescent="0.2">
      <c r="A9449" s="226">
        <v>2025</v>
      </c>
      <c r="B9449" s="226">
        <v>10</v>
      </c>
      <c r="C9449" s="226">
        <v>13</v>
      </c>
      <c r="D9449" s="232">
        <f t="shared" si="1094"/>
        <v>45943</v>
      </c>
      <c r="E9449" s="234">
        <f t="shared" si="1098"/>
        <v>45943</v>
      </c>
      <c r="F9449" s="479"/>
      <c r="G9449" s="227" t="s">
        <v>1111</v>
      </c>
      <c r="H9449" s="228"/>
      <c r="I9449" s="228"/>
      <c r="J9449" s="229" t="s">
        <v>55</v>
      </c>
      <c r="K9449" s="230"/>
      <c r="L9449" s="230">
        <v>4125</v>
      </c>
    </row>
    <row r="9450" spans="1:14" ht="11.25" customHeight="1" x14ac:dyDescent="0.2">
      <c r="A9450" s="221">
        <v>2025</v>
      </c>
      <c r="B9450" s="221">
        <v>10</v>
      </c>
      <c r="C9450" s="221">
        <v>13</v>
      </c>
      <c r="D9450" s="231">
        <f t="shared" si="1094"/>
        <v>45943</v>
      </c>
      <c r="E9450" s="233">
        <f t="shared" si="1098"/>
        <v>45943</v>
      </c>
      <c r="F9450" s="478" t="s">
        <v>1178</v>
      </c>
      <c r="G9450" s="222" t="s">
        <v>1111</v>
      </c>
      <c r="H9450" s="223"/>
      <c r="I9450" s="223"/>
      <c r="J9450" s="224" t="s">
        <v>189</v>
      </c>
      <c r="K9450" s="225">
        <v>7187.5</v>
      </c>
      <c r="L9450" s="225"/>
    </row>
    <row r="9451" spans="1:14" ht="11.25" customHeight="1" x14ac:dyDescent="0.2">
      <c r="A9451" s="164">
        <v>2025</v>
      </c>
      <c r="B9451" s="164">
        <v>10</v>
      </c>
      <c r="C9451" s="164">
        <v>13</v>
      </c>
      <c r="D9451" s="156">
        <f t="shared" si="1094"/>
        <v>45943</v>
      </c>
      <c r="E9451" s="235">
        <f t="shared" si="1098"/>
        <v>45943</v>
      </c>
      <c r="F9451" s="480"/>
      <c r="G9451" s="208" t="s">
        <v>1111</v>
      </c>
      <c r="J9451" s="165" t="s">
        <v>1708</v>
      </c>
      <c r="K9451" s="205"/>
      <c r="L9451" s="205">
        <f>6250*0.05</f>
        <v>312.5</v>
      </c>
    </row>
    <row r="9452" spans="1:14" ht="11.25" customHeight="1" x14ac:dyDescent="0.2">
      <c r="A9452" s="226">
        <v>2025</v>
      </c>
      <c r="B9452" s="226">
        <v>10</v>
      </c>
      <c r="C9452" s="226">
        <v>13</v>
      </c>
      <c r="D9452" s="232">
        <f t="shared" si="1094"/>
        <v>45943</v>
      </c>
      <c r="E9452" s="234">
        <f t="shared" si="1098"/>
        <v>45943</v>
      </c>
      <c r="F9452" s="479"/>
      <c r="G9452" s="227" t="s">
        <v>1111</v>
      </c>
      <c r="H9452" s="228"/>
      <c r="I9452" s="228"/>
      <c r="J9452" s="229" t="s">
        <v>55</v>
      </c>
      <c r="K9452" s="230"/>
      <c r="L9452" s="230">
        <v>6875</v>
      </c>
    </row>
    <row r="9453" spans="1:14" ht="11.25" customHeight="1" x14ac:dyDescent="0.2">
      <c r="A9453" s="221">
        <v>2025</v>
      </c>
      <c r="B9453" s="221">
        <v>10</v>
      </c>
      <c r="C9453" s="221">
        <v>13</v>
      </c>
      <c r="D9453" s="231">
        <f t="shared" si="1094"/>
        <v>45943</v>
      </c>
      <c r="E9453" s="233">
        <f t="shared" ref="E9453:E9462" si="1099">DATE(A9453,B9453,C9453)</f>
        <v>45943</v>
      </c>
      <c r="F9453" s="478" t="s">
        <v>1115</v>
      </c>
      <c r="G9453" s="222" t="s">
        <v>1111</v>
      </c>
      <c r="H9453" s="223"/>
      <c r="I9453" s="223"/>
      <c r="J9453" s="224" t="s">
        <v>14</v>
      </c>
      <c r="K9453" s="167">
        <v>169900</v>
      </c>
      <c r="L9453" s="225"/>
    </row>
    <row r="9454" spans="1:14" ht="11.25" customHeight="1" x14ac:dyDescent="0.2">
      <c r="A9454" s="164">
        <v>2025</v>
      </c>
      <c r="B9454" s="164">
        <v>10</v>
      </c>
      <c r="C9454" s="164">
        <v>13</v>
      </c>
      <c r="D9454" s="156">
        <f t="shared" si="1094"/>
        <v>45943</v>
      </c>
      <c r="E9454" s="235">
        <f t="shared" si="1099"/>
        <v>45943</v>
      </c>
      <c r="F9454" s="480"/>
      <c r="G9454" s="208" t="s">
        <v>1111</v>
      </c>
      <c r="J9454" s="165" t="s">
        <v>1112</v>
      </c>
      <c r="K9454" s="167">
        <v>36103.75</v>
      </c>
      <c r="L9454" s="205"/>
    </row>
    <row r="9455" spans="1:14" ht="11.25" customHeight="1" x14ac:dyDescent="0.2">
      <c r="A9455" s="226">
        <v>2025</v>
      </c>
      <c r="B9455" s="226">
        <v>10</v>
      </c>
      <c r="C9455" s="226">
        <v>13</v>
      </c>
      <c r="D9455" s="232">
        <f t="shared" si="1094"/>
        <v>45943</v>
      </c>
      <c r="E9455" s="234">
        <f t="shared" si="1099"/>
        <v>45943</v>
      </c>
      <c r="F9455" s="479"/>
      <c r="G9455" s="227" t="s">
        <v>1111</v>
      </c>
      <c r="H9455" s="228"/>
      <c r="I9455" s="228"/>
      <c r="J9455" s="229" t="s">
        <v>55</v>
      </c>
      <c r="K9455" s="230"/>
      <c r="L9455" s="230">
        <v>206003.75</v>
      </c>
    </row>
    <row r="9456" spans="1:14" ht="11.25" customHeight="1" x14ac:dyDescent="0.2">
      <c r="A9456" s="221">
        <v>2025</v>
      </c>
      <c r="B9456" s="221">
        <v>10</v>
      </c>
      <c r="C9456" s="221">
        <v>13</v>
      </c>
      <c r="D9456" s="221">
        <f t="shared" si="1094"/>
        <v>45943</v>
      </c>
      <c r="E9456" s="233">
        <f>DATE(A9456,B9456,C9456)</f>
        <v>45943</v>
      </c>
      <c r="F9456" s="478" t="s">
        <v>1937</v>
      </c>
      <c r="G9456" s="222" t="s">
        <v>86</v>
      </c>
      <c r="H9456" s="222"/>
      <c r="I9456" s="223"/>
      <c r="J9456" s="224" t="s">
        <v>80</v>
      </c>
      <c r="K9456" s="225">
        <v>2380368</v>
      </c>
      <c r="L9456" s="225"/>
      <c r="N9456" s="263"/>
    </row>
    <row r="9457" spans="1:14" ht="11.25" customHeight="1" x14ac:dyDescent="0.2">
      <c r="A9457" s="164">
        <v>2025</v>
      </c>
      <c r="B9457" s="164">
        <v>10</v>
      </c>
      <c r="C9457" s="164">
        <v>13</v>
      </c>
      <c r="D9457" s="164">
        <f t="shared" si="1094"/>
        <v>45943</v>
      </c>
      <c r="E9457" s="235">
        <f>DATE(A9457,B9457,C9457)</f>
        <v>45943</v>
      </c>
      <c r="F9457" s="480"/>
      <c r="G9457" s="208" t="s">
        <v>86</v>
      </c>
      <c r="H9457" s="208"/>
      <c r="J9457" s="165" t="s">
        <v>960</v>
      </c>
      <c r="K9457" s="205">
        <v>10990.86</v>
      </c>
      <c r="L9457" s="205"/>
      <c r="M9457" s="263"/>
      <c r="N9457" s="263"/>
    </row>
    <row r="9458" spans="1:14" ht="11.25" customHeight="1" x14ac:dyDescent="0.2">
      <c r="A9458" s="164">
        <v>2025</v>
      </c>
      <c r="B9458" s="164">
        <v>10</v>
      </c>
      <c r="C9458" s="164">
        <v>13</v>
      </c>
      <c r="D9458" s="164">
        <f t="shared" si="1094"/>
        <v>45943</v>
      </c>
      <c r="E9458" s="235">
        <f>DATE(A9458,B9458,C9458)</f>
        <v>45943</v>
      </c>
      <c r="F9458" s="480"/>
      <c r="G9458" s="208" t="s">
        <v>86</v>
      </c>
      <c r="H9458" s="208"/>
      <c r="J9458" s="374" t="s">
        <v>199</v>
      </c>
      <c r="K9458" s="445">
        <v>1334307.1399999999</v>
      </c>
      <c r="L9458" s="418"/>
      <c r="M9458" s="263"/>
      <c r="N9458" s="263"/>
    </row>
    <row r="9459" spans="1:14" ht="11.25" customHeight="1" x14ac:dyDescent="0.2">
      <c r="A9459" s="164">
        <v>2025</v>
      </c>
      <c r="B9459" s="164">
        <v>10</v>
      </c>
      <c r="C9459" s="164">
        <v>13</v>
      </c>
      <c r="D9459" s="164">
        <f t="shared" si="1094"/>
        <v>45943</v>
      </c>
      <c r="E9459" s="235">
        <f>DATE(A9459,B9459,C9459)</f>
        <v>45943</v>
      </c>
      <c r="F9459" s="480"/>
      <c r="G9459" s="208" t="s">
        <v>86</v>
      </c>
      <c r="H9459" s="208"/>
      <c r="J9459" s="165" t="s">
        <v>200</v>
      </c>
      <c r="K9459" s="205">
        <v>5329.85</v>
      </c>
      <c r="L9459" s="205"/>
      <c r="M9459" s="263"/>
      <c r="N9459" s="263"/>
    </row>
    <row r="9460" spans="1:14" ht="11.25" customHeight="1" x14ac:dyDescent="0.2">
      <c r="A9460" s="226">
        <v>2025</v>
      </c>
      <c r="B9460" s="226">
        <v>10</v>
      </c>
      <c r="C9460" s="226">
        <v>13</v>
      </c>
      <c r="D9460" s="226">
        <f t="shared" si="1094"/>
        <v>45943</v>
      </c>
      <c r="E9460" s="234">
        <f>DATE(A9460,B9460,C9460)</f>
        <v>45943</v>
      </c>
      <c r="F9460" s="479"/>
      <c r="G9460" s="227" t="s">
        <v>86</v>
      </c>
      <c r="H9460" s="228"/>
      <c r="I9460" s="228"/>
      <c r="J9460" s="229" t="s">
        <v>80</v>
      </c>
      <c r="K9460" s="230"/>
      <c r="L9460" s="230">
        <v>3730995.85</v>
      </c>
      <c r="M9460" s="263"/>
      <c r="N9460" s="263"/>
    </row>
    <row r="9461" spans="1:14" ht="11.25" customHeight="1" x14ac:dyDescent="0.2">
      <c r="A9461" s="221">
        <v>2025</v>
      </c>
      <c r="B9461" s="221">
        <v>10</v>
      </c>
      <c r="C9461" s="221">
        <v>14</v>
      </c>
      <c r="D9461" s="231">
        <f t="shared" si="1094"/>
        <v>45944</v>
      </c>
      <c r="E9461" s="233">
        <f t="shared" si="1099"/>
        <v>45944</v>
      </c>
      <c r="F9461" s="478" t="s">
        <v>1945</v>
      </c>
      <c r="G9461" s="222" t="s">
        <v>1111</v>
      </c>
      <c r="H9461" s="223"/>
      <c r="I9461" s="223"/>
      <c r="J9461" s="224" t="s">
        <v>55</v>
      </c>
      <c r="K9461" s="225">
        <v>643104.87</v>
      </c>
      <c r="L9461" s="225"/>
    </row>
    <row r="9462" spans="1:14" ht="11.25" customHeight="1" x14ac:dyDescent="0.2">
      <c r="A9462" s="226">
        <v>2025</v>
      </c>
      <c r="B9462" s="226">
        <v>10</v>
      </c>
      <c r="C9462" s="226">
        <v>14</v>
      </c>
      <c r="D9462" s="232">
        <f t="shared" si="1094"/>
        <v>45944</v>
      </c>
      <c r="E9462" s="234">
        <f t="shared" si="1099"/>
        <v>45944</v>
      </c>
      <c r="F9462" s="479"/>
      <c r="G9462" s="227" t="s">
        <v>1111</v>
      </c>
      <c r="H9462" s="228"/>
      <c r="I9462" s="228"/>
      <c r="J9462" s="229" t="s">
        <v>199</v>
      </c>
      <c r="K9462" s="230"/>
      <c r="L9462" s="230">
        <f>K9461</f>
        <v>643104.87</v>
      </c>
    </row>
    <row r="9463" spans="1:14" ht="11.25" customHeight="1" x14ac:dyDescent="0.2">
      <c r="A9463" s="221">
        <v>2025</v>
      </c>
      <c r="B9463" s="221">
        <v>10</v>
      </c>
      <c r="C9463" s="221">
        <v>14</v>
      </c>
      <c r="D9463" s="221">
        <f t="shared" si="1094"/>
        <v>45944</v>
      </c>
      <c r="E9463" s="233">
        <f>DATE(A9463,B9463,C9463)</f>
        <v>45944</v>
      </c>
      <c r="F9463" s="478" t="s">
        <v>1937</v>
      </c>
      <c r="G9463" s="222" t="s">
        <v>86</v>
      </c>
      <c r="H9463" s="222"/>
      <c r="I9463" s="223"/>
      <c r="J9463" s="224" t="s">
        <v>80</v>
      </c>
      <c r="K9463" s="225">
        <v>1013850</v>
      </c>
      <c r="L9463" s="225"/>
      <c r="N9463" s="263"/>
    </row>
    <row r="9464" spans="1:14" ht="11.25" customHeight="1" x14ac:dyDescent="0.2">
      <c r="A9464" s="164">
        <v>2025</v>
      </c>
      <c r="B9464" s="164">
        <v>10</v>
      </c>
      <c r="C9464" s="164">
        <v>14</v>
      </c>
      <c r="D9464" s="164">
        <f t="shared" si="1094"/>
        <v>45944</v>
      </c>
      <c r="E9464" s="235">
        <f>DATE(A9464,B9464,C9464)</f>
        <v>45944</v>
      </c>
      <c r="F9464" s="480"/>
      <c r="G9464" s="208" t="s">
        <v>86</v>
      </c>
      <c r="H9464" s="208"/>
      <c r="J9464" s="165" t="s">
        <v>960</v>
      </c>
      <c r="K9464" s="205">
        <v>3750.04</v>
      </c>
      <c r="L9464" s="205"/>
      <c r="M9464" s="263"/>
      <c r="N9464" s="263"/>
    </row>
    <row r="9465" spans="1:14" ht="11.25" customHeight="1" x14ac:dyDescent="0.2">
      <c r="A9465" s="164">
        <v>2025</v>
      </c>
      <c r="B9465" s="164">
        <v>10</v>
      </c>
      <c r="C9465" s="164">
        <v>14</v>
      </c>
      <c r="D9465" s="164">
        <f t="shared" si="1094"/>
        <v>45944</v>
      </c>
      <c r="E9465" s="235">
        <f>DATE(A9465,B9465,C9465)</f>
        <v>45944</v>
      </c>
      <c r="F9465" s="480"/>
      <c r="G9465" s="208" t="s">
        <v>86</v>
      </c>
      <c r="H9465" s="208"/>
      <c r="J9465" s="374" t="s">
        <v>199</v>
      </c>
      <c r="K9465" s="445">
        <v>51904.959999999999</v>
      </c>
      <c r="L9465" s="418"/>
      <c r="M9465" s="263"/>
      <c r="N9465" s="263"/>
    </row>
    <row r="9466" spans="1:14" ht="11.25" customHeight="1" x14ac:dyDescent="0.2">
      <c r="A9466" s="164">
        <v>2025</v>
      </c>
      <c r="B9466" s="164">
        <v>10</v>
      </c>
      <c r="C9466" s="164">
        <v>14</v>
      </c>
      <c r="D9466" s="164">
        <f t="shared" si="1094"/>
        <v>45944</v>
      </c>
      <c r="E9466" s="235">
        <f>DATE(A9466,B9466,C9466)</f>
        <v>45944</v>
      </c>
      <c r="F9466" s="480"/>
      <c r="G9466" s="208" t="s">
        <v>86</v>
      </c>
      <c r="H9466" s="208"/>
      <c r="J9466" s="165" t="s">
        <v>200</v>
      </c>
      <c r="K9466" s="205">
        <v>6778.44</v>
      </c>
      <c r="L9466" s="205"/>
      <c r="M9466" s="263"/>
      <c r="N9466" s="263"/>
    </row>
    <row r="9467" spans="1:14" ht="11.25" customHeight="1" x14ac:dyDescent="0.2">
      <c r="A9467" s="226">
        <v>2025</v>
      </c>
      <c r="B9467" s="226">
        <v>10</v>
      </c>
      <c r="C9467" s="226">
        <v>14</v>
      </c>
      <c r="D9467" s="226">
        <f t="shared" si="1094"/>
        <v>45944</v>
      </c>
      <c r="E9467" s="234">
        <f>DATE(A9467,B9467,C9467)</f>
        <v>45944</v>
      </c>
      <c r="F9467" s="479"/>
      <c r="G9467" s="227" t="s">
        <v>86</v>
      </c>
      <c r="H9467" s="228"/>
      <c r="I9467" s="228"/>
      <c r="J9467" s="229" t="s">
        <v>80</v>
      </c>
      <c r="K9467" s="230"/>
      <c r="L9467" s="230">
        <v>1076283.44</v>
      </c>
      <c r="M9467" s="263"/>
      <c r="N9467" s="263"/>
    </row>
    <row r="9468" spans="1:14" ht="11.25" customHeight="1" x14ac:dyDescent="0.2">
      <c r="A9468" s="221">
        <v>2025</v>
      </c>
      <c r="B9468" s="221">
        <v>10</v>
      </c>
      <c r="C9468" s="221">
        <v>15</v>
      </c>
      <c r="D9468" s="231">
        <f t="shared" si="1094"/>
        <v>45945</v>
      </c>
      <c r="E9468" s="233">
        <f t="shared" ref="E9468:E9471" si="1100">DATE(A9468,B9468,C9468)</f>
        <v>45945</v>
      </c>
      <c r="F9468" s="478" t="s">
        <v>1945</v>
      </c>
      <c r="G9468" s="222" t="s">
        <v>1111</v>
      </c>
      <c r="H9468" s="223"/>
      <c r="I9468" s="223"/>
      <c r="J9468" s="224" t="s">
        <v>55</v>
      </c>
      <c r="K9468" s="225">
        <v>1339088.23</v>
      </c>
      <c r="L9468" s="225"/>
    </row>
    <row r="9469" spans="1:14" ht="11.25" customHeight="1" x14ac:dyDescent="0.2">
      <c r="A9469" s="226">
        <v>2025</v>
      </c>
      <c r="B9469" s="226">
        <v>10</v>
      </c>
      <c r="C9469" s="226">
        <v>15</v>
      </c>
      <c r="D9469" s="232">
        <f t="shared" si="1094"/>
        <v>45945</v>
      </c>
      <c r="E9469" s="234">
        <f t="shared" si="1100"/>
        <v>45945</v>
      </c>
      <c r="F9469" s="479"/>
      <c r="G9469" s="227" t="s">
        <v>1111</v>
      </c>
      <c r="H9469" s="228"/>
      <c r="I9469" s="228"/>
      <c r="J9469" s="229" t="s">
        <v>199</v>
      </c>
      <c r="K9469" s="230"/>
      <c r="L9469" s="230">
        <f>K9468</f>
        <v>1339088.23</v>
      </c>
    </row>
    <row r="9470" spans="1:14" ht="11.25" customHeight="1" x14ac:dyDescent="0.2">
      <c r="A9470" s="221">
        <v>2025</v>
      </c>
      <c r="B9470" s="221">
        <v>10</v>
      </c>
      <c r="C9470" s="221">
        <v>15</v>
      </c>
      <c r="D9470" s="231">
        <f t="shared" si="1094"/>
        <v>45945</v>
      </c>
      <c r="E9470" s="233">
        <f t="shared" si="1100"/>
        <v>45945</v>
      </c>
      <c r="F9470" s="478" t="s">
        <v>1803</v>
      </c>
      <c r="G9470" s="222" t="s">
        <v>1111</v>
      </c>
      <c r="H9470" s="223"/>
      <c r="I9470" s="223"/>
      <c r="J9470" s="165" t="s">
        <v>55</v>
      </c>
      <c r="K9470" s="225">
        <v>115000</v>
      </c>
      <c r="L9470" s="225"/>
    </row>
    <row r="9471" spans="1:14" ht="11.25" customHeight="1" x14ac:dyDescent="0.2">
      <c r="A9471" s="226">
        <v>2025</v>
      </c>
      <c r="B9471" s="226">
        <v>10</v>
      </c>
      <c r="C9471" s="226">
        <v>15</v>
      </c>
      <c r="D9471" s="232">
        <f t="shared" si="1094"/>
        <v>45945</v>
      </c>
      <c r="E9471" s="234">
        <f t="shared" si="1100"/>
        <v>45945</v>
      </c>
      <c r="F9471" s="479"/>
      <c r="G9471" s="227" t="s">
        <v>1111</v>
      </c>
      <c r="H9471" s="228"/>
      <c r="I9471" s="228"/>
      <c r="J9471" s="229" t="s">
        <v>131</v>
      </c>
      <c r="K9471" s="230"/>
      <c r="L9471" s="230">
        <v>115000</v>
      </c>
    </row>
    <row r="9472" spans="1:14" ht="11.25" customHeight="1" x14ac:dyDescent="0.2">
      <c r="A9472" s="221">
        <v>2025</v>
      </c>
      <c r="B9472" s="221">
        <v>10</v>
      </c>
      <c r="C9472" s="221">
        <v>15</v>
      </c>
      <c r="D9472" s="221">
        <f t="shared" si="1094"/>
        <v>45945</v>
      </c>
      <c r="E9472" s="233">
        <f>DATE(A9472,B9472,C9472)</f>
        <v>45945</v>
      </c>
      <c r="F9472" s="478" t="s">
        <v>1937</v>
      </c>
      <c r="G9472" s="222" t="s">
        <v>86</v>
      </c>
      <c r="H9472" s="222"/>
      <c r="I9472" s="223"/>
      <c r="J9472" s="224" t="s">
        <v>80</v>
      </c>
      <c r="K9472" s="225">
        <v>762250</v>
      </c>
      <c r="L9472" s="225"/>
      <c r="N9472" s="263"/>
    </row>
    <row r="9473" spans="1:14" ht="11.25" customHeight="1" x14ac:dyDescent="0.2">
      <c r="A9473" s="164">
        <v>2025</v>
      </c>
      <c r="B9473" s="164">
        <v>10</v>
      </c>
      <c r="C9473" s="164">
        <v>15</v>
      </c>
      <c r="D9473" s="164">
        <f t="shared" si="1094"/>
        <v>45945</v>
      </c>
      <c r="E9473" s="235">
        <f>DATE(A9473,B9473,C9473)</f>
        <v>45945</v>
      </c>
      <c r="F9473" s="480"/>
      <c r="G9473" s="208" t="s">
        <v>86</v>
      </c>
      <c r="H9473" s="208"/>
      <c r="J9473" s="165" t="s">
        <v>960</v>
      </c>
      <c r="K9473" s="205">
        <v>2045.25</v>
      </c>
      <c r="L9473" s="205"/>
      <c r="M9473" s="263"/>
      <c r="N9473" s="263"/>
    </row>
    <row r="9474" spans="1:14" ht="11.25" customHeight="1" x14ac:dyDescent="0.2">
      <c r="A9474" s="164">
        <v>2025</v>
      </c>
      <c r="B9474" s="164">
        <v>10</v>
      </c>
      <c r="C9474" s="164">
        <v>15</v>
      </c>
      <c r="D9474" s="164">
        <f t="shared" si="1094"/>
        <v>45945</v>
      </c>
      <c r="E9474" s="235">
        <f>DATE(A9474,B9474,C9474)</f>
        <v>45945</v>
      </c>
      <c r="F9474" s="480"/>
      <c r="G9474" s="208" t="s">
        <v>86</v>
      </c>
      <c r="H9474" s="208"/>
      <c r="J9474" s="165" t="s">
        <v>961</v>
      </c>
      <c r="K9474" s="263"/>
      <c r="L9474" s="205">
        <v>390295.25</v>
      </c>
      <c r="M9474" s="263"/>
      <c r="N9474" s="263"/>
    </row>
    <row r="9475" spans="1:14" ht="11.25" customHeight="1" x14ac:dyDescent="0.2">
      <c r="A9475" s="164">
        <v>2025</v>
      </c>
      <c r="B9475" s="164">
        <v>10</v>
      </c>
      <c r="C9475" s="164">
        <v>15</v>
      </c>
      <c r="D9475" s="164">
        <f t="shared" si="1094"/>
        <v>45945</v>
      </c>
      <c r="E9475" s="235">
        <f>DATE(A9475,B9475,C9475)</f>
        <v>45945</v>
      </c>
      <c r="F9475" s="480"/>
      <c r="G9475" s="208" t="s">
        <v>86</v>
      </c>
      <c r="H9475" s="208"/>
      <c r="J9475" s="165" t="s">
        <v>200</v>
      </c>
      <c r="K9475" s="205">
        <v>26770.92</v>
      </c>
      <c r="L9475" s="205"/>
      <c r="M9475" s="263"/>
      <c r="N9475" s="263"/>
    </row>
    <row r="9476" spans="1:14" ht="11.25" customHeight="1" x14ac:dyDescent="0.2">
      <c r="A9476" s="226">
        <v>2025</v>
      </c>
      <c r="B9476" s="226">
        <v>10</v>
      </c>
      <c r="C9476" s="226">
        <v>15</v>
      </c>
      <c r="D9476" s="226">
        <f t="shared" si="1094"/>
        <v>45945</v>
      </c>
      <c r="E9476" s="234">
        <f>DATE(A9476,B9476,C9476)</f>
        <v>45945</v>
      </c>
      <c r="F9476" s="479"/>
      <c r="G9476" s="227" t="s">
        <v>86</v>
      </c>
      <c r="H9476" s="228"/>
      <c r="I9476" s="228"/>
      <c r="J9476" s="229" t="s">
        <v>80</v>
      </c>
      <c r="K9476" s="230"/>
      <c r="L9476" s="230">
        <v>400770.92</v>
      </c>
      <c r="M9476" s="263"/>
      <c r="N9476" s="263"/>
    </row>
    <row r="9477" spans="1:14" ht="11.25" customHeight="1" x14ac:dyDescent="0.2">
      <c r="A9477" s="221">
        <v>2025</v>
      </c>
      <c r="B9477" s="221">
        <v>10</v>
      </c>
      <c r="C9477" s="221">
        <v>15</v>
      </c>
      <c r="D9477" s="231">
        <f t="shared" si="1094"/>
        <v>45945</v>
      </c>
      <c r="E9477" s="233">
        <f t="shared" ref="E9477:E9478" si="1101">DATE(A9477,B9477,C9477)</f>
        <v>45945</v>
      </c>
      <c r="F9477" s="478" t="s">
        <v>1670</v>
      </c>
      <c r="G9477" s="222" t="s">
        <v>1111</v>
      </c>
      <c r="H9477" s="223"/>
      <c r="I9477" s="223"/>
      <c r="J9477" s="224" t="s">
        <v>63</v>
      </c>
      <c r="K9477" s="225">
        <v>10</v>
      </c>
      <c r="L9477" s="225"/>
    </row>
    <row r="9478" spans="1:14" ht="11.25" customHeight="1" x14ac:dyDescent="0.2">
      <c r="A9478" s="226">
        <v>2025</v>
      </c>
      <c r="B9478" s="226">
        <v>10</v>
      </c>
      <c r="C9478" s="226">
        <v>15</v>
      </c>
      <c r="D9478" s="232">
        <f t="shared" si="1094"/>
        <v>45945</v>
      </c>
      <c r="E9478" s="234">
        <f t="shared" si="1101"/>
        <v>45945</v>
      </c>
      <c r="F9478" s="479"/>
      <c r="G9478" s="227" t="s">
        <v>1111</v>
      </c>
      <c r="H9478" s="228"/>
      <c r="I9478" s="228"/>
      <c r="J9478" s="229" t="s">
        <v>55</v>
      </c>
      <c r="K9478" s="230"/>
      <c r="L9478" s="230">
        <f>K9477</f>
        <v>10</v>
      </c>
    </row>
    <row r="9479" spans="1:14" ht="11.25" customHeight="1" x14ac:dyDescent="0.2">
      <c r="A9479" s="221">
        <v>2025</v>
      </c>
      <c r="B9479" s="221">
        <v>10</v>
      </c>
      <c r="C9479" s="221">
        <v>16</v>
      </c>
      <c r="D9479" s="231">
        <f t="shared" si="1094"/>
        <v>45946</v>
      </c>
      <c r="E9479" s="233">
        <f t="shared" ref="E9479:E9480" si="1102">DATE(A9479,B9479,C9479)</f>
        <v>45946</v>
      </c>
      <c r="F9479" s="478" t="s">
        <v>1940</v>
      </c>
      <c r="G9479" s="222" t="s">
        <v>1111</v>
      </c>
      <c r="H9479" s="223"/>
      <c r="I9479" s="223"/>
      <c r="J9479" s="224" t="s">
        <v>961</v>
      </c>
      <c r="K9479" s="225">
        <v>390295.25</v>
      </c>
      <c r="L9479" s="225"/>
    </row>
    <row r="9480" spans="1:14" ht="11.25" customHeight="1" x14ac:dyDescent="0.2">
      <c r="A9480" s="226">
        <v>2025</v>
      </c>
      <c r="B9480" s="226">
        <v>10</v>
      </c>
      <c r="C9480" s="226">
        <v>16</v>
      </c>
      <c r="D9480" s="232">
        <f t="shared" si="1094"/>
        <v>45946</v>
      </c>
      <c r="E9480" s="234">
        <f t="shared" si="1102"/>
        <v>45946</v>
      </c>
      <c r="F9480" s="479"/>
      <c r="G9480" s="227" t="s">
        <v>1111</v>
      </c>
      <c r="H9480" s="228"/>
      <c r="I9480" s="228"/>
      <c r="J9480" s="229" t="s">
        <v>55</v>
      </c>
      <c r="K9480" s="230"/>
      <c r="L9480" s="230">
        <f>K9479</f>
        <v>390295.25</v>
      </c>
    </row>
    <row r="9481" spans="1:14" ht="11.25" customHeight="1" x14ac:dyDescent="0.2">
      <c r="A9481" s="221">
        <v>2025</v>
      </c>
      <c r="B9481" s="221">
        <v>10</v>
      </c>
      <c r="C9481" s="221">
        <v>16</v>
      </c>
      <c r="D9481" s="221">
        <f t="shared" ref="D9481:D9544" si="1103">DATE(A9481,B9481,C9481)</f>
        <v>45946</v>
      </c>
      <c r="E9481" s="233">
        <f>DATE(A9481,B9481,C9481)</f>
        <v>45946</v>
      </c>
      <c r="F9481" s="478" t="s">
        <v>1937</v>
      </c>
      <c r="G9481" s="222" t="s">
        <v>86</v>
      </c>
      <c r="H9481" s="222"/>
      <c r="I9481" s="223"/>
      <c r="J9481" s="224" t="s">
        <v>80</v>
      </c>
      <c r="K9481" s="225">
        <v>1789138.6</v>
      </c>
      <c r="L9481" s="225"/>
      <c r="N9481" s="263"/>
    </row>
    <row r="9482" spans="1:14" ht="11.25" customHeight="1" x14ac:dyDescent="0.2">
      <c r="A9482" s="164">
        <v>2025</v>
      </c>
      <c r="B9482" s="164">
        <v>10</v>
      </c>
      <c r="C9482" s="164">
        <v>16</v>
      </c>
      <c r="D9482" s="164">
        <f t="shared" si="1103"/>
        <v>45946</v>
      </c>
      <c r="E9482" s="235">
        <f>DATE(A9482,B9482,C9482)</f>
        <v>45946</v>
      </c>
      <c r="F9482" s="480"/>
      <c r="G9482" s="208" t="s">
        <v>86</v>
      </c>
      <c r="H9482" s="208"/>
      <c r="J9482" s="165" t="s">
        <v>960</v>
      </c>
      <c r="K9482" s="205">
        <v>5992.28</v>
      </c>
      <c r="L9482" s="205"/>
      <c r="M9482" s="263"/>
      <c r="N9482" s="263"/>
    </row>
    <row r="9483" spans="1:14" ht="11.25" customHeight="1" x14ac:dyDescent="0.2">
      <c r="A9483" s="164">
        <v>2025</v>
      </c>
      <c r="B9483" s="164">
        <v>10</v>
      </c>
      <c r="C9483" s="164">
        <v>16</v>
      </c>
      <c r="D9483" s="164">
        <f t="shared" si="1103"/>
        <v>45946</v>
      </c>
      <c r="E9483" s="235">
        <f>DATE(A9483,B9483,C9483)</f>
        <v>45946</v>
      </c>
      <c r="F9483" s="480"/>
      <c r="G9483" s="208" t="s">
        <v>86</v>
      </c>
      <c r="H9483" s="208"/>
      <c r="J9483" s="165" t="s">
        <v>961</v>
      </c>
      <c r="K9483" s="263"/>
      <c r="L9483" s="205">
        <v>255225.58</v>
      </c>
      <c r="M9483" s="263"/>
      <c r="N9483" s="263"/>
    </row>
    <row r="9484" spans="1:14" ht="11.25" customHeight="1" x14ac:dyDescent="0.2">
      <c r="A9484" s="164">
        <v>2025</v>
      </c>
      <c r="B9484" s="164">
        <v>10</v>
      </c>
      <c r="C9484" s="164">
        <v>16</v>
      </c>
      <c r="D9484" s="164">
        <f t="shared" si="1103"/>
        <v>45946</v>
      </c>
      <c r="E9484" s="235">
        <f>DATE(A9484,B9484,C9484)</f>
        <v>45946</v>
      </c>
      <c r="F9484" s="480"/>
      <c r="G9484" s="208" t="s">
        <v>86</v>
      </c>
      <c r="H9484" s="208"/>
      <c r="J9484" s="165" t="s">
        <v>200</v>
      </c>
      <c r="K9484" s="205">
        <v>63297.11</v>
      </c>
      <c r="L9484" s="205"/>
      <c r="M9484" s="263"/>
      <c r="N9484" s="263"/>
    </row>
    <row r="9485" spans="1:14" ht="11.25" customHeight="1" x14ac:dyDescent="0.2">
      <c r="A9485" s="226">
        <v>2025</v>
      </c>
      <c r="B9485" s="226">
        <v>10</v>
      </c>
      <c r="C9485" s="226">
        <v>16</v>
      </c>
      <c r="D9485" s="226">
        <f t="shared" si="1103"/>
        <v>45946</v>
      </c>
      <c r="E9485" s="234">
        <f>DATE(A9485,B9485,C9485)</f>
        <v>45946</v>
      </c>
      <c r="F9485" s="479"/>
      <c r="G9485" s="227" t="s">
        <v>86</v>
      </c>
      <c r="H9485" s="228"/>
      <c r="I9485" s="228"/>
      <c r="J9485" s="229" t="s">
        <v>80</v>
      </c>
      <c r="K9485" s="230"/>
      <c r="L9485" s="230">
        <v>1603202.41</v>
      </c>
      <c r="M9485" s="263"/>
      <c r="N9485" s="263"/>
    </row>
    <row r="9486" spans="1:14" ht="11.25" customHeight="1" x14ac:dyDescent="0.2">
      <c r="A9486" s="280">
        <v>2025</v>
      </c>
      <c r="B9486" s="280">
        <v>10</v>
      </c>
      <c r="C9486" s="280">
        <v>16</v>
      </c>
      <c r="D9486" s="281">
        <f t="shared" si="1103"/>
        <v>45946</v>
      </c>
      <c r="E9486" s="282">
        <f t="shared" ref="E9486:E9491" si="1104">DATE(A9486,B9486,C9486)</f>
        <v>45946</v>
      </c>
      <c r="F9486" s="472" t="s">
        <v>1744</v>
      </c>
      <c r="G9486" s="283" t="s">
        <v>86</v>
      </c>
      <c r="H9486" s="284"/>
      <c r="I9486" s="284"/>
      <c r="J9486" s="285" t="s">
        <v>131</v>
      </c>
      <c r="K9486" s="286">
        <v>19358.330000000002</v>
      </c>
      <c r="L9486" s="286"/>
      <c r="M9486" s="401"/>
    </row>
    <row r="9487" spans="1:14" ht="11.25" customHeight="1" x14ac:dyDescent="0.2">
      <c r="A9487" s="287">
        <v>2025</v>
      </c>
      <c r="B9487" s="287">
        <v>10</v>
      </c>
      <c r="C9487" s="287">
        <v>16</v>
      </c>
      <c r="D9487" s="288">
        <f t="shared" si="1103"/>
        <v>45946</v>
      </c>
      <c r="E9487" s="289">
        <f t="shared" si="1104"/>
        <v>45946</v>
      </c>
      <c r="F9487" s="473"/>
      <c r="G9487" s="290" t="s">
        <v>86</v>
      </c>
      <c r="H9487" s="291"/>
      <c r="I9487" s="291"/>
      <c r="J9487" s="292" t="s">
        <v>174</v>
      </c>
      <c r="K9487" s="293"/>
      <c r="L9487" s="293">
        <f>K9486</f>
        <v>19358.330000000002</v>
      </c>
    </row>
    <row r="9488" spans="1:14" ht="11.25" customHeight="1" x14ac:dyDescent="0.2">
      <c r="A9488" s="280">
        <v>2025</v>
      </c>
      <c r="B9488" s="280">
        <v>10</v>
      </c>
      <c r="C9488" s="280">
        <v>16</v>
      </c>
      <c r="D9488" s="281">
        <f t="shared" si="1103"/>
        <v>45946</v>
      </c>
      <c r="E9488" s="282">
        <f t="shared" si="1104"/>
        <v>45946</v>
      </c>
      <c r="F9488" s="472" t="s">
        <v>1584</v>
      </c>
      <c r="G9488" s="283" t="s">
        <v>86</v>
      </c>
      <c r="H9488" s="284"/>
      <c r="I9488" s="284"/>
      <c r="J9488" s="285" t="s">
        <v>131</v>
      </c>
      <c r="K9488" s="286">
        <v>8846.15</v>
      </c>
      <c r="L9488" s="286"/>
      <c r="M9488" s="401"/>
    </row>
    <row r="9489" spans="1:14" ht="11.25" customHeight="1" x14ac:dyDescent="0.2">
      <c r="A9489" s="287">
        <v>2025</v>
      </c>
      <c r="B9489" s="287">
        <v>10</v>
      </c>
      <c r="C9489" s="287">
        <v>16</v>
      </c>
      <c r="D9489" s="288">
        <f t="shared" si="1103"/>
        <v>45946</v>
      </c>
      <c r="E9489" s="289">
        <f t="shared" si="1104"/>
        <v>45946</v>
      </c>
      <c r="F9489" s="473"/>
      <c r="G9489" s="290" t="s">
        <v>86</v>
      </c>
      <c r="H9489" s="291"/>
      <c r="I9489" s="291"/>
      <c r="J9489" s="292" t="s">
        <v>174</v>
      </c>
      <c r="K9489" s="293"/>
      <c r="L9489" s="293">
        <f>K9488</f>
        <v>8846.15</v>
      </c>
    </row>
    <row r="9490" spans="1:14" ht="11.25" customHeight="1" x14ac:dyDescent="0.2">
      <c r="A9490" s="341">
        <v>2025</v>
      </c>
      <c r="B9490" s="341">
        <v>10</v>
      </c>
      <c r="C9490" s="341">
        <v>16</v>
      </c>
      <c r="D9490" s="328">
        <f t="shared" si="1103"/>
        <v>45946</v>
      </c>
      <c r="E9490" s="329">
        <f t="shared" si="1104"/>
        <v>45946</v>
      </c>
      <c r="F9490" s="474" t="s">
        <v>1767</v>
      </c>
      <c r="G9490" s="330" t="s">
        <v>86</v>
      </c>
      <c r="H9490" s="332"/>
      <c r="I9490" s="332"/>
      <c r="J9490" s="342" t="s">
        <v>67</v>
      </c>
      <c r="K9490" s="343">
        <v>3140.52</v>
      </c>
      <c r="L9490" s="343"/>
    </row>
    <row r="9491" spans="1:14" ht="11.25" customHeight="1" x14ac:dyDescent="0.2">
      <c r="A9491" s="344">
        <v>2025</v>
      </c>
      <c r="B9491" s="344">
        <v>10</v>
      </c>
      <c r="C9491" s="344">
        <v>16</v>
      </c>
      <c r="D9491" s="337">
        <f t="shared" si="1103"/>
        <v>45946</v>
      </c>
      <c r="E9491" s="338">
        <f t="shared" si="1104"/>
        <v>45946</v>
      </c>
      <c r="F9491" s="475"/>
      <c r="G9491" s="339" t="s">
        <v>86</v>
      </c>
      <c r="H9491" s="340"/>
      <c r="I9491" s="340"/>
      <c r="J9491" s="345" t="s">
        <v>174</v>
      </c>
      <c r="K9491" s="346"/>
      <c r="L9491" s="346">
        <f>K9490</f>
        <v>3140.52</v>
      </c>
    </row>
    <row r="9492" spans="1:14" ht="11.25" customHeight="1" x14ac:dyDescent="0.2">
      <c r="A9492" s="358">
        <v>2025</v>
      </c>
      <c r="B9492" s="358">
        <v>10</v>
      </c>
      <c r="C9492" s="358">
        <v>16</v>
      </c>
      <c r="D9492" s="312">
        <f t="shared" si="1103"/>
        <v>45946</v>
      </c>
      <c r="E9492" s="313">
        <f>DATE(A9492,B9492,C9492)</f>
        <v>45946</v>
      </c>
      <c r="F9492" s="482" t="s">
        <v>1627</v>
      </c>
      <c r="G9492" s="314" t="s">
        <v>86</v>
      </c>
      <c r="H9492" s="324"/>
      <c r="I9492" s="324"/>
      <c r="J9492" s="364" t="s">
        <v>1613</v>
      </c>
      <c r="K9492" s="365">
        <v>0</v>
      </c>
      <c r="L9492" s="365"/>
      <c r="M9492" s="156">
        <f>BS!$I$12</f>
        <v>0</v>
      </c>
    </row>
    <row r="9493" spans="1:14" ht="11.25" customHeight="1" x14ac:dyDescent="0.2">
      <c r="A9493" s="320">
        <v>2025</v>
      </c>
      <c r="B9493" s="320">
        <v>10</v>
      </c>
      <c r="C9493" s="320">
        <v>16</v>
      </c>
      <c r="D9493" s="323">
        <f t="shared" si="1103"/>
        <v>45946</v>
      </c>
      <c r="E9493" s="321">
        <f t="shared" ref="E9493" si="1105">DATE(A9493,B9493,C9493)</f>
        <v>45946</v>
      </c>
      <c r="F9493" s="483"/>
      <c r="G9493" s="322" t="s">
        <v>86</v>
      </c>
      <c r="H9493" s="325"/>
      <c r="I9493" s="325"/>
      <c r="J9493" s="366" t="s">
        <v>1621</v>
      </c>
      <c r="K9493" s="367"/>
      <c r="L9493" s="367">
        <f>K9492</f>
        <v>0</v>
      </c>
    </row>
    <row r="9494" spans="1:14" ht="11.25" customHeight="1" x14ac:dyDescent="0.2">
      <c r="A9494" s="358">
        <v>2025</v>
      </c>
      <c r="B9494" s="358">
        <v>10</v>
      </c>
      <c r="C9494" s="358">
        <v>16</v>
      </c>
      <c r="D9494" s="312">
        <f t="shared" si="1103"/>
        <v>45946</v>
      </c>
      <c r="E9494" s="313">
        <f>DATE(A9494,B9494,C9494)</f>
        <v>45946</v>
      </c>
      <c r="F9494" s="482" t="s">
        <v>1713</v>
      </c>
      <c r="G9494" s="314" t="s">
        <v>86</v>
      </c>
      <c r="H9494" s="324"/>
      <c r="I9494" s="324"/>
      <c r="J9494" s="364" t="s">
        <v>1622</v>
      </c>
      <c r="K9494" s="365">
        <v>10652.999999999534</v>
      </c>
      <c r="L9494" s="365"/>
      <c r="M9494" s="447">
        <f>BS!$I$15</f>
        <v>0</v>
      </c>
      <c r="N9494" s="166"/>
    </row>
    <row r="9495" spans="1:14" ht="11.25" customHeight="1" x14ac:dyDescent="0.2">
      <c r="A9495" s="320">
        <v>2025</v>
      </c>
      <c r="B9495" s="320">
        <v>10</v>
      </c>
      <c r="C9495" s="320">
        <v>16</v>
      </c>
      <c r="D9495" s="323">
        <f t="shared" si="1103"/>
        <v>45946</v>
      </c>
      <c r="E9495" s="321">
        <f t="shared" ref="E9495:E9518" si="1106">DATE(A9495,B9495,C9495)</f>
        <v>45946</v>
      </c>
      <c r="F9495" s="483"/>
      <c r="G9495" s="322" t="s">
        <v>86</v>
      </c>
      <c r="H9495" s="325"/>
      <c r="I9495" s="325"/>
      <c r="J9495" s="366" t="s">
        <v>1614</v>
      </c>
      <c r="K9495" s="367"/>
      <c r="L9495" s="367">
        <f>K9494</f>
        <v>10652.999999999534</v>
      </c>
    </row>
    <row r="9496" spans="1:14" ht="11.25" customHeight="1" x14ac:dyDescent="0.2">
      <c r="A9496" s="236">
        <v>2025</v>
      </c>
      <c r="B9496" s="236">
        <v>10</v>
      </c>
      <c r="C9496" s="236">
        <v>16</v>
      </c>
      <c r="D9496" s="237">
        <f t="shared" si="1103"/>
        <v>45946</v>
      </c>
      <c r="E9496" s="238">
        <f t="shared" si="1106"/>
        <v>45946</v>
      </c>
      <c r="F9496" s="476" t="s">
        <v>1118</v>
      </c>
      <c r="G9496" s="239" t="s">
        <v>86</v>
      </c>
      <c r="H9496" s="239"/>
      <c r="I9496" s="240"/>
      <c r="J9496" s="241" t="s">
        <v>82</v>
      </c>
      <c r="K9496" s="242">
        <v>1927797.2300000489</v>
      </c>
      <c r="L9496" s="242"/>
      <c r="M9496" s="156">
        <f>BS!$I$8</f>
        <v>0</v>
      </c>
    </row>
    <row r="9497" spans="1:14" ht="11.25" customHeight="1" x14ac:dyDescent="0.2">
      <c r="A9497" s="243">
        <v>2025</v>
      </c>
      <c r="B9497" s="243">
        <v>10</v>
      </c>
      <c r="C9497" s="243">
        <v>16</v>
      </c>
      <c r="D9497" s="248">
        <f t="shared" si="1103"/>
        <v>45946</v>
      </c>
      <c r="E9497" s="249">
        <f t="shared" si="1106"/>
        <v>45946</v>
      </c>
      <c r="F9497" s="477"/>
      <c r="G9497" s="244" t="s">
        <v>86</v>
      </c>
      <c r="H9497" s="244"/>
      <c r="I9497" s="245"/>
      <c r="J9497" s="246" t="s">
        <v>98</v>
      </c>
      <c r="K9497" s="247"/>
      <c r="L9497" s="247">
        <f>K9496</f>
        <v>1927797.2300000489</v>
      </c>
    </row>
    <row r="9498" spans="1:14" ht="11.25" customHeight="1" x14ac:dyDescent="0.2">
      <c r="A9498" s="236">
        <v>2025</v>
      </c>
      <c r="B9498" s="236">
        <v>10</v>
      </c>
      <c r="C9498" s="236">
        <v>16</v>
      </c>
      <c r="D9498" s="237">
        <f t="shared" si="1103"/>
        <v>45946</v>
      </c>
      <c r="E9498" s="238">
        <f t="shared" si="1106"/>
        <v>45946</v>
      </c>
      <c r="F9498" s="476" t="s">
        <v>1120</v>
      </c>
      <c r="G9498" s="239" t="s">
        <v>86</v>
      </c>
      <c r="H9498" s="239"/>
      <c r="I9498" s="240"/>
      <c r="J9498" s="241" t="s">
        <v>87</v>
      </c>
      <c r="K9498" s="242">
        <v>2747.2527472527472</v>
      </c>
      <c r="L9498" s="242"/>
      <c r="M9498" s="401"/>
    </row>
    <row r="9499" spans="1:14" ht="11.25" customHeight="1" x14ac:dyDescent="0.2">
      <c r="A9499" s="243">
        <v>2025</v>
      </c>
      <c r="B9499" s="243">
        <v>10</v>
      </c>
      <c r="C9499" s="243">
        <v>16</v>
      </c>
      <c r="D9499" s="248">
        <f t="shared" si="1103"/>
        <v>45946</v>
      </c>
      <c r="E9499" s="249">
        <f t="shared" si="1106"/>
        <v>45946</v>
      </c>
      <c r="F9499" s="477"/>
      <c r="G9499" s="244" t="s">
        <v>86</v>
      </c>
      <c r="H9499" s="244"/>
      <c r="I9499" s="245"/>
      <c r="J9499" s="246" t="s">
        <v>64</v>
      </c>
      <c r="K9499" s="247"/>
      <c r="L9499" s="247">
        <f>K9498</f>
        <v>2747.2527472527472</v>
      </c>
    </row>
    <row r="9500" spans="1:14" ht="11.25" customHeight="1" x14ac:dyDescent="0.2">
      <c r="A9500" s="236">
        <v>2025</v>
      </c>
      <c r="B9500" s="236">
        <v>10</v>
      </c>
      <c r="C9500" s="236">
        <v>16</v>
      </c>
      <c r="D9500" s="237">
        <f t="shared" si="1103"/>
        <v>45946</v>
      </c>
      <c r="E9500" s="238">
        <f t="shared" si="1106"/>
        <v>45946</v>
      </c>
      <c r="F9500" s="476" t="s">
        <v>1121</v>
      </c>
      <c r="G9500" s="239" t="s">
        <v>86</v>
      </c>
      <c r="H9500" s="239"/>
      <c r="I9500" s="240"/>
      <c r="J9500" s="241" t="s">
        <v>89</v>
      </c>
      <c r="K9500" s="242">
        <f>M9500</f>
        <v>87475.642213425206</v>
      </c>
      <c r="L9500" s="242"/>
      <c r="M9500" s="156">
        <v>87475.642213425206</v>
      </c>
    </row>
    <row r="9501" spans="1:14" ht="11.25" customHeight="1" x14ac:dyDescent="0.2">
      <c r="A9501" s="243">
        <v>2025</v>
      </c>
      <c r="B9501" s="243">
        <v>10</v>
      </c>
      <c r="C9501" s="243">
        <v>16</v>
      </c>
      <c r="D9501" s="248">
        <f t="shared" si="1103"/>
        <v>45946</v>
      </c>
      <c r="E9501" s="249">
        <f t="shared" si="1106"/>
        <v>45946</v>
      </c>
      <c r="F9501" s="477"/>
      <c r="G9501" s="244" t="s">
        <v>86</v>
      </c>
      <c r="H9501" s="244"/>
      <c r="I9501" s="245"/>
      <c r="J9501" s="246" t="s">
        <v>50</v>
      </c>
      <c r="K9501" s="247"/>
      <c r="L9501" s="247">
        <f>K9500</f>
        <v>87475.642213425206</v>
      </c>
      <c r="M9501" s="156">
        <v>4133.3974952866447</v>
      </c>
    </row>
    <row r="9502" spans="1:14" ht="11.25" customHeight="1" x14ac:dyDescent="0.2">
      <c r="A9502" s="236">
        <v>2025</v>
      </c>
      <c r="B9502" s="236">
        <v>10</v>
      </c>
      <c r="C9502" s="236">
        <v>16</v>
      </c>
      <c r="D9502" s="237">
        <f t="shared" si="1103"/>
        <v>45946</v>
      </c>
      <c r="E9502" s="238">
        <f t="shared" si="1106"/>
        <v>45946</v>
      </c>
      <c r="F9502" s="476" t="s">
        <v>1122</v>
      </c>
      <c r="G9502" s="239" t="s">
        <v>86</v>
      </c>
      <c r="H9502" s="239"/>
      <c r="I9502" s="240"/>
      <c r="J9502" s="241" t="s">
        <v>91</v>
      </c>
      <c r="K9502" s="242">
        <f>M9501</f>
        <v>4133.3974952866447</v>
      </c>
      <c r="L9502" s="242"/>
    </row>
    <row r="9503" spans="1:14" ht="11.25" customHeight="1" x14ac:dyDescent="0.2">
      <c r="A9503" s="243">
        <v>2025</v>
      </c>
      <c r="B9503" s="243">
        <v>10</v>
      </c>
      <c r="C9503" s="243">
        <v>16</v>
      </c>
      <c r="D9503" s="248">
        <f t="shared" si="1103"/>
        <v>45946</v>
      </c>
      <c r="E9503" s="249">
        <f t="shared" si="1106"/>
        <v>45946</v>
      </c>
      <c r="F9503" s="477"/>
      <c r="G9503" s="244" t="s">
        <v>86</v>
      </c>
      <c r="H9503" s="244"/>
      <c r="I9503" s="245"/>
      <c r="J9503" s="246" t="s">
        <v>51</v>
      </c>
      <c r="K9503" s="247"/>
      <c r="L9503" s="247">
        <f>K9502</f>
        <v>4133.3974952866447</v>
      </c>
    </row>
    <row r="9504" spans="1:14" ht="11.25" customHeight="1" x14ac:dyDescent="0.2">
      <c r="A9504" s="221">
        <v>2025</v>
      </c>
      <c r="B9504" s="221">
        <v>10</v>
      </c>
      <c r="C9504" s="221">
        <v>19</v>
      </c>
      <c r="D9504" s="221">
        <f t="shared" si="1103"/>
        <v>45949</v>
      </c>
      <c r="E9504" s="233">
        <f>DATE(A9504,B9504,C9504)</f>
        <v>45949</v>
      </c>
      <c r="F9504" s="478" t="s">
        <v>1937</v>
      </c>
      <c r="G9504" s="222" t="s">
        <v>86</v>
      </c>
      <c r="H9504" s="222"/>
      <c r="I9504" s="223"/>
      <c r="J9504" s="224" t="s">
        <v>80</v>
      </c>
      <c r="K9504" s="225">
        <v>3087250</v>
      </c>
      <c r="L9504" s="225"/>
      <c r="N9504" s="263"/>
    </row>
    <row r="9505" spans="1:14" ht="11.25" customHeight="1" x14ac:dyDescent="0.2">
      <c r="A9505" s="164">
        <v>2025</v>
      </c>
      <c r="B9505" s="164">
        <v>10</v>
      </c>
      <c r="C9505" s="164">
        <v>19</v>
      </c>
      <c r="D9505" s="164">
        <f t="shared" si="1103"/>
        <v>45949</v>
      </c>
      <c r="E9505" s="235">
        <f>DATE(A9505,B9505,C9505)</f>
        <v>45949</v>
      </c>
      <c r="F9505" s="480"/>
      <c r="G9505" s="208" t="s">
        <v>86</v>
      </c>
      <c r="H9505" s="208"/>
      <c r="J9505" s="165" t="s">
        <v>960</v>
      </c>
      <c r="K9505" s="205">
        <v>9208.27</v>
      </c>
      <c r="L9505" s="205"/>
      <c r="M9505" s="263"/>
      <c r="N9505" s="263"/>
    </row>
    <row r="9506" spans="1:14" ht="11.25" customHeight="1" x14ac:dyDescent="0.2">
      <c r="A9506" s="164">
        <v>2025</v>
      </c>
      <c r="B9506" s="164">
        <v>10</v>
      </c>
      <c r="C9506" s="164">
        <v>19</v>
      </c>
      <c r="D9506" s="164">
        <f t="shared" si="1103"/>
        <v>45949</v>
      </c>
      <c r="E9506" s="235">
        <f>DATE(A9506,B9506,C9506)</f>
        <v>45949</v>
      </c>
      <c r="F9506" s="480"/>
      <c r="G9506" s="208" t="s">
        <v>86</v>
      </c>
      <c r="H9506" s="208"/>
      <c r="J9506" s="165" t="s">
        <v>961</v>
      </c>
      <c r="K9506" s="263"/>
      <c r="L9506" s="205">
        <v>1068002.8700000001</v>
      </c>
      <c r="M9506" s="263"/>
      <c r="N9506" s="263"/>
    </row>
    <row r="9507" spans="1:14" ht="11.25" customHeight="1" x14ac:dyDescent="0.2">
      <c r="A9507" s="164">
        <v>2025</v>
      </c>
      <c r="B9507" s="164">
        <v>10</v>
      </c>
      <c r="C9507" s="164">
        <v>19</v>
      </c>
      <c r="D9507" s="164">
        <f t="shared" si="1103"/>
        <v>45949</v>
      </c>
      <c r="E9507" s="235">
        <f>DATE(A9507,B9507,C9507)</f>
        <v>45949</v>
      </c>
      <c r="F9507" s="480"/>
      <c r="G9507" s="208" t="s">
        <v>86</v>
      </c>
      <c r="H9507" s="208"/>
      <c r="J9507" s="165" t="s">
        <v>200</v>
      </c>
      <c r="K9507" s="205">
        <v>89371.59</v>
      </c>
      <c r="L9507" s="205"/>
      <c r="M9507" s="263"/>
      <c r="N9507" s="263"/>
    </row>
    <row r="9508" spans="1:14" ht="11.25" customHeight="1" x14ac:dyDescent="0.2">
      <c r="A9508" s="226">
        <v>2025</v>
      </c>
      <c r="B9508" s="226">
        <v>10</v>
      </c>
      <c r="C9508" s="226">
        <v>19</v>
      </c>
      <c r="D9508" s="226">
        <f t="shared" si="1103"/>
        <v>45949</v>
      </c>
      <c r="E9508" s="234">
        <f>DATE(A9508,B9508,C9508)</f>
        <v>45949</v>
      </c>
      <c r="F9508" s="479"/>
      <c r="G9508" s="227" t="s">
        <v>86</v>
      </c>
      <c r="H9508" s="228"/>
      <c r="I9508" s="228"/>
      <c r="J9508" s="229" t="s">
        <v>80</v>
      </c>
      <c r="K9508" s="230"/>
      <c r="L9508" s="230">
        <v>2117826.9900000002</v>
      </c>
      <c r="M9508" s="263"/>
      <c r="N9508" s="263"/>
    </row>
    <row r="9509" spans="1:14" ht="11.25" customHeight="1" x14ac:dyDescent="0.2">
      <c r="A9509" s="164">
        <v>2025</v>
      </c>
      <c r="B9509" s="164">
        <v>10</v>
      </c>
      <c r="C9509" s="164">
        <v>20</v>
      </c>
      <c r="D9509" s="156">
        <f t="shared" si="1103"/>
        <v>45950</v>
      </c>
      <c r="E9509" s="235">
        <f t="shared" si="1106"/>
        <v>45950</v>
      </c>
      <c r="F9509" s="480" t="s">
        <v>1808</v>
      </c>
      <c r="G9509" s="208" t="s">
        <v>1111</v>
      </c>
      <c r="J9509" s="165" t="s">
        <v>478</v>
      </c>
      <c r="K9509" s="205">
        <v>741.01</v>
      </c>
      <c r="L9509" s="205"/>
    </row>
    <row r="9510" spans="1:14" ht="11.25" customHeight="1" x14ac:dyDescent="0.2">
      <c r="A9510" s="226">
        <v>2025</v>
      </c>
      <c r="B9510" s="226">
        <v>10</v>
      </c>
      <c r="C9510" s="226">
        <v>20</v>
      </c>
      <c r="D9510" s="232">
        <f t="shared" si="1103"/>
        <v>45950</v>
      </c>
      <c r="E9510" s="234">
        <f t="shared" si="1106"/>
        <v>45950</v>
      </c>
      <c r="F9510" s="479"/>
      <c r="G9510" s="227" t="s">
        <v>1111</v>
      </c>
      <c r="H9510" s="228"/>
      <c r="I9510" s="228"/>
      <c r="J9510" s="229" t="s">
        <v>55</v>
      </c>
      <c r="K9510" s="230"/>
      <c r="L9510" s="230">
        <v>741.01</v>
      </c>
    </row>
    <row r="9511" spans="1:14" ht="11.25" customHeight="1" x14ac:dyDescent="0.2">
      <c r="A9511" s="221">
        <v>2025</v>
      </c>
      <c r="B9511" s="221">
        <v>10</v>
      </c>
      <c r="C9511" s="221">
        <v>20</v>
      </c>
      <c r="D9511" s="221">
        <f t="shared" si="1103"/>
        <v>45950</v>
      </c>
      <c r="E9511" s="233">
        <f>DATE(A9511,B9511,C9511)</f>
        <v>45950</v>
      </c>
      <c r="F9511" s="478" t="s">
        <v>1937</v>
      </c>
      <c r="G9511" s="222" t="s">
        <v>86</v>
      </c>
      <c r="H9511" s="222"/>
      <c r="I9511" s="223"/>
      <c r="J9511" s="224" t="s">
        <v>80</v>
      </c>
      <c r="K9511" s="225">
        <v>1222342</v>
      </c>
      <c r="L9511" s="225"/>
      <c r="N9511" s="263"/>
    </row>
    <row r="9512" spans="1:14" ht="11.25" customHeight="1" x14ac:dyDescent="0.2">
      <c r="A9512" s="164">
        <v>2025</v>
      </c>
      <c r="B9512" s="164">
        <v>10</v>
      </c>
      <c r="C9512" s="164">
        <v>20</v>
      </c>
      <c r="D9512" s="164">
        <f t="shared" si="1103"/>
        <v>45950</v>
      </c>
      <c r="E9512" s="235">
        <f>DATE(A9512,B9512,C9512)</f>
        <v>45950</v>
      </c>
      <c r="F9512" s="480"/>
      <c r="G9512" s="208" t="s">
        <v>86</v>
      </c>
      <c r="H9512" s="208"/>
      <c r="J9512" s="165" t="s">
        <v>960</v>
      </c>
      <c r="K9512" s="205">
        <v>3791.41</v>
      </c>
      <c r="L9512" s="205"/>
      <c r="M9512" s="263"/>
      <c r="N9512" s="263"/>
    </row>
    <row r="9513" spans="1:14" ht="11.25" customHeight="1" x14ac:dyDescent="0.2">
      <c r="A9513" s="164">
        <v>2025</v>
      </c>
      <c r="B9513" s="164">
        <v>10</v>
      </c>
      <c r="C9513" s="164">
        <v>20</v>
      </c>
      <c r="D9513" s="164">
        <f t="shared" si="1103"/>
        <v>45950</v>
      </c>
      <c r="E9513" s="235">
        <f>DATE(A9513,B9513,C9513)</f>
        <v>45950</v>
      </c>
      <c r="F9513" s="480"/>
      <c r="G9513" s="208" t="s">
        <v>86</v>
      </c>
      <c r="H9513" s="208"/>
      <c r="J9513" s="165" t="s">
        <v>961</v>
      </c>
      <c r="K9513" s="263"/>
      <c r="L9513" s="205">
        <v>342134.91</v>
      </c>
      <c r="M9513" s="263"/>
      <c r="N9513" s="263"/>
    </row>
    <row r="9514" spans="1:14" ht="11.25" customHeight="1" x14ac:dyDescent="0.2">
      <c r="A9514" s="164">
        <v>2025</v>
      </c>
      <c r="B9514" s="164">
        <v>10</v>
      </c>
      <c r="C9514" s="164">
        <v>20</v>
      </c>
      <c r="D9514" s="164">
        <f t="shared" si="1103"/>
        <v>45950</v>
      </c>
      <c r="E9514" s="235">
        <f>DATE(A9514,B9514,C9514)</f>
        <v>45950</v>
      </c>
      <c r="F9514" s="480"/>
      <c r="G9514" s="208" t="s">
        <v>86</v>
      </c>
      <c r="H9514" s="208"/>
      <c r="J9514" s="165" t="s">
        <v>200</v>
      </c>
      <c r="K9514" s="205">
        <v>37779.51</v>
      </c>
      <c r="L9514" s="205"/>
      <c r="M9514" s="263"/>
      <c r="N9514" s="263"/>
    </row>
    <row r="9515" spans="1:14" ht="11.25" customHeight="1" x14ac:dyDescent="0.2">
      <c r="A9515" s="226">
        <v>2025</v>
      </c>
      <c r="B9515" s="226">
        <v>10</v>
      </c>
      <c r="C9515" s="226">
        <v>20</v>
      </c>
      <c r="D9515" s="226">
        <f t="shared" si="1103"/>
        <v>45950</v>
      </c>
      <c r="E9515" s="234">
        <f>DATE(A9515,B9515,C9515)</f>
        <v>45950</v>
      </c>
      <c r="F9515" s="479"/>
      <c r="G9515" s="227" t="s">
        <v>86</v>
      </c>
      <c r="H9515" s="228"/>
      <c r="I9515" s="228"/>
      <c r="J9515" s="229" t="s">
        <v>80</v>
      </c>
      <c r="K9515" s="230"/>
      <c r="L9515" s="230">
        <v>921778.01</v>
      </c>
      <c r="M9515" s="263"/>
      <c r="N9515" s="263"/>
    </row>
    <row r="9516" spans="1:14" ht="11.25" customHeight="1" x14ac:dyDescent="0.2">
      <c r="A9516" s="164">
        <v>2025</v>
      </c>
      <c r="B9516" s="164">
        <v>10</v>
      </c>
      <c r="C9516" s="164">
        <v>21</v>
      </c>
      <c r="D9516" s="164">
        <f t="shared" si="1103"/>
        <v>45951</v>
      </c>
      <c r="E9516" s="235">
        <f t="shared" si="1106"/>
        <v>45951</v>
      </c>
      <c r="F9516" s="480" t="s">
        <v>1950</v>
      </c>
      <c r="G9516" s="208" t="s">
        <v>86</v>
      </c>
      <c r="H9516" s="208"/>
      <c r="J9516" s="165" t="s">
        <v>55</v>
      </c>
      <c r="K9516" s="205">
        <v>1000236.8</v>
      </c>
      <c r="L9516" s="205"/>
      <c r="M9516" s="263"/>
      <c r="N9516" s="263"/>
    </row>
    <row r="9517" spans="1:14" ht="11.25" customHeight="1" x14ac:dyDescent="0.2">
      <c r="A9517" s="164">
        <v>2025</v>
      </c>
      <c r="B9517" s="164">
        <v>10</v>
      </c>
      <c r="C9517" s="164">
        <v>21</v>
      </c>
      <c r="D9517" s="164">
        <f t="shared" si="1103"/>
        <v>45951</v>
      </c>
      <c r="E9517" s="235">
        <f t="shared" si="1106"/>
        <v>45951</v>
      </c>
      <c r="F9517" s="480"/>
      <c r="G9517" s="208" t="s">
        <v>86</v>
      </c>
      <c r="H9517" s="208"/>
      <c r="J9517" s="165" t="s">
        <v>200</v>
      </c>
      <c r="K9517" s="205"/>
      <c r="L9517" s="205">
        <v>194207.89</v>
      </c>
      <c r="M9517" s="263"/>
      <c r="N9517" s="263"/>
    </row>
    <row r="9518" spans="1:14" ht="11.25" customHeight="1" x14ac:dyDescent="0.2">
      <c r="A9518" s="226">
        <v>2025</v>
      </c>
      <c r="B9518" s="226">
        <v>10</v>
      </c>
      <c r="C9518" s="226">
        <v>21</v>
      </c>
      <c r="D9518" s="226">
        <f t="shared" si="1103"/>
        <v>45951</v>
      </c>
      <c r="E9518" s="234">
        <f t="shared" si="1106"/>
        <v>45951</v>
      </c>
      <c r="F9518" s="479"/>
      <c r="G9518" s="227" t="s">
        <v>86</v>
      </c>
      <c r="H9518" s="228"/>
      <c r="I9518" s="228"/>
      <c r="J9518" s="229" t="s">
        <v>80</v>
      </c>
      <c r="K9518" s="230"/>
      <c r="L9518" s="230">
        <v>806028.91</v>
      </c>
      <c r="M9518" s="263"/>
      <c r="N9518" s="263"/>
    </row>
    <row r="9519" spans="1:14" ht="11.25" customHeight="1" x14ac:dyDescent="0.2">
      <c r="A9519" s="221">
        <v>2025</v>
      </c>
      <c r="B9519" s="221">
        <v>10</v>
      </c>
      <c r="C9519" s="221">
        <v>21</v>
      </c>
      <c r="D9519" s="221">
        <f t="shared" si="1103"/>
        <v>45951</v>
      </c>
      <c r="E9519" s="233">
        <f>DATE(A9519,B9519,C9519)</f>
        <v>45951</v>
      </c>
      <c r="F9519" s="478" t="s">
        <v>1937</v>
      </c>
      <c r="G9519" s="222" t="s">
        <v>86</v>
      </c>
      <c r="H9519" s="222"/>
      <c r="I9519" s="223"/>
      <c r="J9519" s="224" t="s">
        <v>80</v>
      </c>
      <c r="K9519" s="225">
        <v>3254592.5</v>
      </c>
      <c r="L9519" s="225"/>
      <c r="N9519" s="263"/>
    </row>
    <row r="9520" spans="1:14" ht="11.25" customHeight="1" x14ac:dyDescent="0.2">
      <c r="A9520" s="164">
        <v>2025</v>
      </c>
      <c r="B9520" s="164">
        <v>10</v>
      </c>
      <c r="C9520" s="164">
        <v>21</v>
      </c>
      <c r="D9520" s="164">
        <f t="shared" si="1103"/>
        <v>45951</v>
      </c>
      <c r="E9520" s="235">
        <f>DATE(A9520,B9520,C9520)</f>
        <v>45951</v>
      </c>
      <c r="F9520" s="480"/>
      <c r="G9520" s="208" t="s">
        <v>86</v>
      </c>
      <c r="H9520" s="208"/>
      <c r="J9520" s="165" t="s">
        <v>960</v>
      </c>
      <c r="K9520" s="205">
        <v>9183.2999999999993</v>
      </c>
      <c r="L9520" s="205"/>
      <c r="M9520" s="263"/>
      <c r="N9520" s="263"/>
    </row>
    <row r="9521" spans="1:14" ht="11.25" customHeight="1" x14ac:dyDescent="0.2">
      <c r="A9521" s="164">
        <v>2025</v>
      </c>
      <c r="B9521" s="164">
        <v>10</v>
      </c>
      <c r="C9521" s="164">
        <v>21</v>
      </c>
      <c r="D9521" s="164">
        <f t="shared" si="1103"/>
        <v>45951</v>
      </c>
      <c r="E9521" s="235">
        <f>DATE(A9521,B9521,C9521)</f>
        <v>45951</v>
      </c>
      <c r="F9521" s="480"/>
      <c r="G9521" s="208" t="s">
        <v>86</v>
      </c>
      <c r="H9521" s="208"/>
      <c r="J9521" s="165" t="s">
        <v>961</v>
      </c>
      <c r="K9521" s="263"/>
      <c r="L9521" s="205">
        <v>1416537.1</v>
      </c>
      <c r="M9521" s="263"/>
      <c r="N9521" s="263"/>
    </row>
    <row r="9522" spans="1:14" ht="11.25" customHeight="1" x14ac:dyDescent="0.2">
      <c r="A9522" s="164">
        <v>2025</v>
      </c>
      <c r="B9522" s="164">
        <v>10</v>
      </c>
      <c r="C9522" s="164">
        <v>21</v>
      </c>
      <c r="D9522" s="164">
        <f t="shared" si="1103"/>
        <v>45951</v>
      </c>
      <c r="E9522" s="235">
        <f>DATE(A9522,B9522,C9522)</f>
        <v>45951</v>
      </c>
      <c r="F9522" s="480"/>
      <c r="G9522" s="208" t="s">
        <v>86</v>
      </c>
      <c r="H9522" s="208"/>
      <c r="J9522" s="165" t="s">
        <v>200</v>
      </c>
      <c r="K9522" s="205"/>
      <c r="L9522" s="205">
        <v>66090.87</v>
      </c>
      <c r="M9522" s="263"/>
      <c r="N9522" s="263"/>
    </row>
    <row r="9523" spans="1:14" ht="11.25" customHeight="1" x14ac:dyDescent="0.2">
      <c r="A9523" s="226">
        <v>2025</v>
      </c>
      <c r="B9523" s="226">
        <v>10</v>
      </c>
      <c r="C9523" s="226">
        <v>21</v>
      </c>
      <c r="D9523" s="226">
        <f t="shared" si="1103"/>
        <v>45951</v>
      </c>
      <c r="E9523" s="234">
        <f>DATE(A9523,B9523,C9523)</f>
        <v>45951</v>
      </c>
      <c r="F9523" s="479"/>
      <c r="G9523" s="227" t="s">
        <v>86</v>
      </c>
      <c r="H9523" s="228"/>
      <c r="I9523" s="228"/>
      <c r="J9523" s="229" t="s">
        <v>80</v>
      </c>
      <c r="K9523" s="230"/>
      <c r="L9523" s="230">
        <v>1781147.83</v>
      </c>
      <c r="M9523" s="263"/>
      <c r="N9523" s="263"/>
    </row>
    <row r="9524" spans="1:14" ht="11.25" customHeight="1" x14ac:dyDescent="0.2">
      <c r="A9524" s="221">
        <v>2025</v>
      </c>
      <c r="B9524" s="221">
        <v>10</v>
      </c>
      <c r="C9524" s="221">
        <v>22</v>
      </c>
      <c r="D9524" s="231">
        <f t="shared" si="1103"/>
        <v>45952</v>
      </c>
      <c r="E9524" s="233">
        <f t="shared" ref="E9524:E9526" si="1107">DATE(A9524,B9524,C9524)</f>
        <v>45952</v>
      </c>
      <c r="F9524" s="478" t="s">
        <v>1115</v>
      </c>
      <c r="G9524" s="222" t="s">
        <v>1111</v>
      </c>
      <c r="H9524" s="223"/>
      <c r="I9524" s="223"/>
      <c r="J9524" s="224" t="s">
        <v>14</v>
      </c>
      <c r="K9524" s="167">
        <v>167420</v>
      </c>
      <c r="L9524" s="225"/>
    </row>
    <row r="9525" spans="1:14" ht="11.25" customHeight="1" x14ac:dyDescent="0.2">
      <c r="A9525" s="164">
        <v>2025</v>
      </c>
      <c r="B9525" s="164">
        <v>10</v>
      </c>
      <c r="C9525" s="164">
        <v>22</v>
      </c>
      <c r="D9525" s="156">
        <f t="shared" si="1103"/>
        <v>45952</v>
      </c>
      <c r="E9525" s="235">
        <f t="shared" si="1107"/>
        <v>45952</v>
      </c>
      <c r="F9525" s="480"/>
      <c r="G9525" s="208" t="s">
        <v>1111</v>
      </c>
      <c r="J9525" s="165" t="s">
        <v>1112</v>
      </c>
      <c r="K9525" s="167">
        <v>32580</v>
      </c>
      <c r="L9525" s="205"/>
    </row>
    <row r="9526" spans="1:14" ht="11.25" customHeight="1" x14ac:dyDescent="0.2">
      <c r="A9526" s="226">
        <v>2025</v>
      </c>
      <c r="B9526" s="226">
        <v>10</v>
      </c>
      <c r="C9526" s="226">
        <v>22</v>
      </c>
      <c r="D9526" s="232">
        <f t="shared" si="1103"/>
        <v>45952</v>
      </c>
      <c r="E9526" s="234">
        <f t="shared" si="1107"/>
        <v>45952</v>
      </c>
      <c r="F9526" s="479"/>
      <c r="G9526" s="227" t="s">
        <v>1111</v>
      </c>
      <c r="H9526" s="228"/>
      <c r="I9526" s="228"/>
      <c r="J9526" s="229" t="s">
        <v>55</v>
      </c>
      <c r="K9526" s="230"/>
      <c r="L9526" s="230">
        <v>200000</v>
      </c>
    </row>
    <row r="9527" spans="1:14" ht="11.25" customHeight="1" x14ac:dyDescent="0.2">
      <c r="A9527" s="221">
        <v>2025</v>
      </c>
      <c r="B9527" s="221">
        <v>10</v>
      </c>
      <c r="C9527" s="221">
        <v>22</v>
      </c>
      <c r="D9527" s="231">
        <f t="shared" si="1103"/>
        <v>45952</v>
      </c>
      <c r="E9527" s="233">
        <f t="shared" ref="E9527:E9532" si="1108">DATE(A9527,B9527,C9527)</f>
        <v>45952</v>
      </c>
      <c r="F9527" s="478" t="s">
        <v>1115</v>
      </c>
      <c r="G9527" s="222" t="s">
        <v>1111</v>
      </c>
      <c r="H9527" s="223"/>
      <c r="I9527" s="223"/>
      <c r="J9527" s="224" t="s">
        <v>14</v>
      </c>
      <c r="K9527" s="167">
        <v>83710</v>
      </c>
      <c r="L9527" s="225"/>
    </row>
    <row r="9528" spans="1:14" ht="11.25" customHeight="1" x14ac:dyDescent="0.2">
      <c r="A9528" s="164">
        <v>2025</v>
      </c>
      <c r="B9528" s="164">
        <v>10</v>
      </c>
      <c r="C9528" s="164">
        <v>22</v>
      </c>
      <c r="D9528" s="156">
        <f t="shared" si="1103"/>
        <v>45952</v>
      </c>
      <c r="E9528" s="235">
        <f t="shared" si="1108"/>
        <v>45952</v>
      </c>
      <c r="F9528" s="480"/>
      <c r="G9528" s="208" t="s">
        <v>1111</v>
      </c>
      <c r="J9528" s="165" t="s">
        <v>1112</v>
      </c>
      <c r="K9528" s="167">
        <v>16290</v>
      </c>
      <c r="L9528" s="205"/>
    </row>
    <row r="9529" spans="1:14" ht="11.25" customHeight="1" x14ac:dyDescent="0.2">
      <c r="A9529" s="226">
        <v>2025</v>
      </c>
      <c r="B9529" s="226">
        <v>10</v>
      </c>
      <c r="C9529" s="226">
        <v>22</v>
      </c>
      <c r="D9529" s="232">
        <f t="shared" si="1103"/>
        <v>45952</v>
      </c>
      <c r="E9529" s="234">
        <f t="shared" si="1108"/>
        <v>45952</v>
      </c>
      <c r="F9529" s="479"/>
      <c r="G9529" s="227" t="s">
        <v>1111</v>
      </c>
      <c r="H9529" s="228"/>
      <c r="I9529" s="228"/>
      <c r="J9529" s="229" t="s">
        <v>55</v>
      </c>
      <c r="K9529" s="230"/>
      <c r="L9529" s="230">
        <v>100000</v>
      </c>
    </row>
    <row r="9530" spans="1:14" ht="11.25" customHeight="1" x14ac:dyDescent="0.2">
      <c r="A9530" s="221">
        <v>2025</v>
      </c>
      <c r="B9530" s="221">
        <v>10</v>
      </c>
      <c r="C9530" s="221">
        <v>22</v>
      </c>
      <c r="D9530" s="221">
        <f t="shared" si="1103"/>
        <v>45952</v>
      </c>
      <c r="E9530" s="233">
        <f t="shared" si="1108"/>
        <v>45952</v>
      </c>
      <c r="F9530" s="478" t="s">
        <v>1936</v>
      </c>
      <c r="G9530" s="222" t="s">
        <v>86</v>
      </c>
      <c r="H9530" s="222"/>
      <c r="I9530" s="223"/>
      <c r="J9530" s="224" t="s">
        <v>80</v>
      </c>
      <c r="K9530" s="225">
        <v>755383.2</v>
      </c>
      <c r="L9530" s="225"/>
    </row>
    <row r="9531" spans="1:14" ht="11.25" customHeight="1" x14ac:dyDescent="0.2">
      <c r="A9531" s="164">
        <v>2025</v>
      </c>
      <c r="B9531" s="164">
        <v>10</v>
      </c>
      <c r="C9531" s="164">
        <v>22</v>
      </c>
      <c r="D9531" s="164">
        <f t="shared" si="1103"/>
        <v>45952</v>
      </c>
      <c r="E9531" s="235">
        <f t="shared" si="1108"/>
        <v>45952</v>
      </c>
      <c r="F9531" s="480"/>
      <c r="G9531" s="208" t="s">
        <v>86</v>
      </c>
      <c r="H9531" s="208"/>
      <c r="J9531" s="165" t="s">
        <v>960</v>
      </c>
      <c r="K9531" s="205">
        <v>1359.69</v>
      </c>
      <c r="L9531" s="205"/>
    </row>
    <row r="9532" spans="1:14" ht="11.25" customHeight="1" x14ac:dyDescent="0.2">
      <c r="A9532" s="226">
        <v>2025</v>
      </c>
      <c r="B9532" s="226">
        <v>10</v>
      </c>
      <c r="C9532" s="226">
        <v>22</v>
      </c>
      <c r="D9532" s="226">
        <f t="shared" si="1103"/>
        <v>45952</v>
      </c>
      <c r="E9532" s="234">
        <f t="shared" si="1108"/>
        <v>45952</v>
      </c>
      <c r="F9532" s="479"/>
      <c r="G9532" s="227" t="s">
        <v>86</v>
      </c>
      <c r="H9532" s="227"/>
      <c r="I9532" s="228"/>
      <c r="J9532" s="229" t="s">
        <v>143</v>
      </c>
      <c r="K9532" s="230"/>
      <c r="L9532" s="230">
        <v>756742.89</v>
      </c>
    </row>
    <row r="9533" spans="1:14" ht="11.25" customHeight="1" x14ac:dyDescent="0.2">
      <c r="A9533" s="221">
        <v>2025</v>
      </c>
      <c r="B9533" s="164">
        <v>10</v>
      </c>
      <c r="C9533" s="221">
        <v>23</v>
      </c>
      <c r="D9533" s="231">
        <f t="shared" si="1103"/>
        <v>45953</v>
      </c>
      <c r="E9533" s="233">
        <f t="shared" ref="E9533:E9537" si="1109">DATE(A9533,B9533,C9533)</f>
        <v>45953</v>
      </c>
      <c r="F9533" s="478" t="s">
        <v>1196</v>
      </c>
      <c r="G9533" s="222" t="s">
        <v>1111</v>
      </c>
      <c r="H9533" s="223"/>
      <c r="I9533" s="223"/>
      <c r="J9533" s="224" t="s">
        <v>95</v>
      </c>
      <c r="K9533" s="225">
        <v>7410.14</v>
      </c>
      <c r="L9533" s="225"/>
      <c r="M9533" s="166"/>
    </row>
    <row r="9534" spans="1:14" ht="11.25" customHeight="1" x14ac:dyDescent="0.2">
      <c r="A9534" s="164">
        <v>2025</v>
      </c>
      <c r="B9534" s="164">
        <v>10</v>
      </c>
      <c r="C9534" s="164">
        <v>23</v>
      </c>
      <c r="D9534" s="156">
        <f t="shared" si="1103"/>
        <v>45953</v>
      </c>
      <c r="E9534" s="235">
        <f t="shared" si="1109"/>
        <v>45953</v>
      </c>
      <c r="F9534" s="480"/>
      <c r="G9534" s="208" t="s">
        <v>1111</v>
      </c>
      <c r="J9534" s="165" t="s">
        <v>478</v>
      </c>
      <c r="K9534" s="205"/>
      <c r="L9534" s="205">
        <v>741.01</v>
      </c>
    </row>
    <row r="9535" spans="1:14" ht="11.25" customHeight="1" x14ac:dyDescent="0.2">
      <c r="A9535" s="226">
        <v>2025</v>
      </c>
      <c r="B9535" s="226">
        <v>10</v>
      </c>
      <c r="C9535" s="226">
        <v>23</v>
      </c>
      <c r="D9535" s="232">
        <f t="shared" si="1103"/>
        <v>45953</v>
      </c>
      <c r="E9535" s="234">
        <f t="shared" si="1109"/>
        <v>45953</v>
      </c>
      <c r="F9535" s="479"/>
      <c r="G9535" s="227" t="s">
        <v>1111</v>
      </c>
      <c r="H9535" s="228"/>
      <c r="I9535" s="228"/>
      <c r="J9535" s="229" t="s">
        <v>55</v>
      </c>
      <c r="K9535" s="230"/>
      <c r="L9535" s="230">
        <v>6669.13</v>
      </c>
    </row>
    <row r="9536" spans="1:14" ht="11.25" customHeight="1" x14ac:dyDescent="0.2">
      <c r="A9536" s="221">
        <v>2025</v>
      </c>
      <c r="B9536" s="221">
        <v>10</v>
      </c>
      <c r="C9536" s="221">
        <v>23</v>
      </c>
      <c r="D9536" s="231">
        <f t="shared" si="1103"/>
        <v>45953</v>
      </c>
      <c r="E9536" s="233">
        <f t="shared" si="1109"/>
        <v>45953</v>
      </c>
      <c r="F9536" s="478" t="s">
        <v>1940</v>
      </c>
      <c r="G9536" s="222" t="s">
        <v>1111</v>
      </c>
      <c r="H9536" s="223"/>
      <c r="I9536" s="223"/>
      <c r="J9536" s="224" t="s">
        <v>961</v>
      </c>
      <c r="K9536" s="225">
        <v>342134.91</v>
      </c>
      <c r="L9536" s="225"/>
    </row>
    <row r="9537" spans="1:14" ht="11.25" customHeight="1" x14ac:dyDescent="0.2">
      <c r="A9537" s="226">
        <v>2025</v>
      </c>
      <c r="B9537" s="226">
        <v>10</v>
      </c>
      <c r="C9537" s="226">
        <v>23</v>
      </c>
      <c r="D9537" s="232">
        <f t="shared" si="1103"/>
        <v>45953</v>
      </c>
      <c r="E9537" s="234">
        <f t="shared" si="1109"/>
        <v>45953</v>
      </c>
      <c r="F9537" s="479"/>
      <c r="G9537" s="227" t="s">
        <v>1111</v>
      </c>
      <c r="H9537" s="228"/>
      <c r="I9537" s="228"/>
      <c r="J9537" s="229" t="s">
        <v>55</v>
      </c>
      <c r="K9537" s="230"/>
      <c r="L9537" s="230">
        <f>K9536</f>
        <v>342134.91</v>
      </c>
    </row>
    <row r="9538" spans="1:14" ht="11.25" customHeight="1" x14ac:dyDescent="0.2">
      <c r="A9538" s="221">
        <v>2025</v>
      </c>
      <c r="B9538" s="221">
        <v>10</v>
      </c>
      <c r="C9538" s="221">
        <v>23</v>
      </c>
      <c r="D9538" s="231">
        <f t="shared" si="1103"/>
        <v>45953</v>
      </c>
      <c r="E9538" s="233">
        <f t="shared" ref="E9538:E9539" si="1110">DATE(A9538,B9538,C9538)</f>
        <v>45953</v>
      </c>
      <c r="F9538" s="478" t="s">
        <v>1940</v>
      </c>
      <c r="G9538" s="222" t="s">
        <v>1111</v>
      </c>
      <c r="H9538" s="223"/>
      <c r="I9538" s="223"/>
      <c r="J9538" s="224" t="s">
        <v>961</v>
      </c>
      <c r="K9538" s="225">
        <v>1068002.8700000001</v>
      </c>
      <c r="L9538" s="225"/>
    </row>
    <row r="9539" spans="1:14" ht="11.25" customHeight="1" x14ac:dyDescent="0.2">
      <c r="A9539" s="226">
        <v>2025</v>
      </c>
      <c r="B9539" s="226">
        <v>10</v>
      </c>
      <c r="C9539" s="226">
        <v>23</v>
      </c>
      <c r="D9539" s="232">
        <f t="shared" si="1103"/>
        <v>45953</v>
      </c>
      <c r="E9539" s="234">
        <f t="shared" si="1110"/>
        <v>45953</v>
      </c>
      <c r="F9539" s="479"/>
      <c r="G9539" s="227" t="s">
        <v>1111</v>
      </c>
      <c r="H9539" s="228"/>
      <c r="I9539" s="228"/>
      <c r="J9539" s="229" t="s">
        <v>55</v>
      </c>
      <c r="K9539" s="230"/>
      <c r="L9539" s="230">
        <f>K9538</f>
        <v>1068002.8700000001</v>
      </c>
    </row>
    <row r="9540" spans="1:14" ht="11.25" customHeight="1" x14ac:dyDescent="0.2">
      <c r="A9540" s="221">
        <v>2025</v>
      </c>
      <c r="B9540" s="221">
        <v>10</v>
      </c>
      <c r="C9540" s="221">
        <v>23</v>
      </c>
      <c r="D9540" s="231">
        <f t="shared" si="1103"/>
        <v>45953</v>
      </c>
      <c r="E9540" s="233">
        <f t="shared" ref="E9540:E9552" si="1111">DATE(A9540,B9540,C9540)</f>
        <v>45953</v>
      </c>
      <c r="F9540" s="478" t="s">
        <v>1940</v>
      </c>
      <c r="G9540" s="222" t="s">
        <v>1111</v>
      </c>
      <c r="H9540" s="223"/>
      <c r="I9540" s="223"/>
      <c r="J9540" s="224" t="s">
        <v>961</v>
      </c>
      <c r="K9540" s="225">
        <v>1416537.1</v>
      </c>
      <c r="L9540" s="225"/>
    </row>
    <row r="9541" spans="1:14" ht="11.25" customHeight="1" x14ac:dyDescent="0.2">
      <c r="A9541" s="226">
        <v>2025</v>
      </c>
      <c r="B9541" s="226">
        <v>10</v>
      </c>
      <c r="C9541" s="226">
        <v>23</v>
      </c>
      <c r="D9541" s="232">
        <f t="shared" si="1103"/>
        <v>45953</v>
      </c>
      <c r="E9541" s="234">
        <f t="shared" si="1111"/>
        <v>45953</v>
      </c>
      <c r="F9541" s="479"/>
      <c r="G9541" s="227" t="s">
        <v>1111</v>
      </c>
      <c r="H9541" s="228"/>
      <c r="I9541" s="228"/>
      <c r="J9541" s="229" t="s">
        <v>55</v>
      </c>
      <c r="K9541" s="230"/>
      <c r="L9541" s="230">
        <f>K9540</f>
        <v>1416537.1</v>
      </c>
    </row>
    <row r="9542" spans="1:14" ht="11.25" customHeight="1" x14ac:dyDescent="0.2">
      <c r="A9542" s="221">
        <v>2025</v>
      </c>
      <c r="B9542" s="221">
        <v>10</v>
      </c>
      <c r="C9542" s="221">
        <v>23</v>
      </c>
      <c r="D9542" s="221">
        <f t="shared" si="1103"/>
        <v>45953</v>
      </c>
      <c r="E9542" s="233">
        <f>DATE(A9542,B9542,C9542)</f>
        <v>45953</v>
      </c>
      <c r="F9542" s="478" t="s">
        <v>1937</v>
      </c>
      <c r="G9542" s="222" t="s">
        <v>86</v>
      </c>
      <c r="H9542" s="222"/>
      <c r="I9542" s="223"/>
      <c r="J9542" s="224" t="s">
        <v>80</v>
      </c>
      <c r="K9542" s="225">
        <v>1963085.9</v>
      </c>
      <c r="L9542" s="225"/>
      <c r="N9542" s="263"/>
    </row>
    <row r="9543" spans="1:14" ht="11.25" customHeight="1" x14ac:dyDescent="0.2">
      <c r="A9543" s="164">
        <v>2025</v>
      </c>
      <c r="B9543" s="164">
        <v>10</v>
      </c>
      <c r="C9543" s="164">
        <v>23</v>
      </c>
      <c r="D9543" s="164">
        <f t="shared" si="1103"/>
        <v>45953</v>
      </c>
      <c r="E9543" s="235">
        <f>DATE(A9543,B9543,C9543)</f>
        <v>45953</v>
      </c>
      <c r="F9543" s="480"/>
      <c r="G9543" s="208" t="s">
        <v>86</v>
      </c>
      <c r="H9543" s="208"/>
      <c r="J9543" s="165" t="s">
        <v>960</v>
      </c>
      <c r="K9543" s="205">
        <v>3936.03</v>
      </c>
      <c r="L9543" s="205"/>
      <c r="M9543" s="263"/>
      <c r="N9543" s="263"/>
    </row>
    <row r="9544" spans="1:14" ht="11.25" customHeight="1" x14ac:dyDescent="0.2">
      <c r="A9544" s="164">
        <v>2025</v>
      </c>
      <c r="B9544" s="164">
        <v>10</v>
      </c>
      <c r="C9544" s="164">
        <v>23</v>
      </c>
      <c r="D9544" s="164">
        <f t="shared" si="1103"/>
        <v>45953</v>
      </c>
      <c r="E9544" s="235">
        <f>DATE(A9544,B9544,C9544)</f>
        <v>45953</v>
      </c>
      <c r="F9544" s="480"/>
      <c r="G9544" s="208" t="s">
        <v>86</v>
      </c>
      <c r="H9544" s="208"/>
      <c r="J9544" s="165" t="s">
        <v>961</v>
      </c>
      <c r="K9544" s="263"/>
      <c r="L9544" s="205">
        <v>1743421.93</v>
      </c>
      <c r="M9544" s="263"/>
      <c r="N9544" s="263"/>
    </row>
    <row r="9545" spans="1:14" ht="11.25" customHeight="1" x14ac:dyDescent="0.2">
      <c r="A9545" s="164">
        <v>2025</v>
      </c>
      <c r="B9545" s="164">
        <v>10</v>
      </c>
      <c r="C9545" s="164">
        <v>23</v>
      </c>
      <c r="D9545" s="164">
        <f t="shared" ref="D9545:D9608" si="1112">DATE(A9545,B9545,C9545)</f>
        <v>45953</v>
      </c>
      <c r="E9545" s="235">
        <f>DATE(A9545,B9545,C9545)</f>
        <v>45953</v>
      </c>
      <c r="F9545" s="480"/>
      <c r="G9545" s="208" t="s">
        <v>86</v>
      </c>
      <c r="H9545" s="208"/>
      <c r="J9545" s="165" t="s">
        <v>200</v>
      </c>
      <c r="K9545" s="205">
        <v>6844.5</v>
      </c>
      <c r="L9545" s="205"/>
      <c r="M9545" s="263"/>
      <c r="N9545" s="263"/>
    </row>
    <row r="9546" spans="1:14" ht="11.25" customHeight="1" x14ac:dyDescent="0.2">
      <c r="A9546" s="226">
        <v>2025</v>
      </c>
      <c r="B9546" s="226">
        <v>10</v>
      </c>
      <c r="C9546" s="226">
        <v>23</v>
      </c>
      <c r="D9546" s="226">
        <f t="shared" si="1112"/>
        <v>45953</v>
      </c>
      <c r="E9546" s="234">
        <f>DATE(A9546,B9546,C9546)</f>
        <v>45953</v>
      </c>
      <c r="F9546" s="479"/>
      <c r="G9546" s="227" t="s">
        <v>86</v>
      </c>
      <c r="H9546" s="228"/>
      <c r="I9546" s="228"/>
      <c r="J9546" s="229" t="s">
        <v>80</v>
      </c>
      <c r="K9546" s="230"/>
      <c r="L9546" s="230">
        <v>230444.5</v>
      </c>
      <c r="M9546" s="263"/>
      <c r="N9546" s="263"/>
    </row>
    <row r="9547" spans="1:14" ht="11.25" customHeight="1" x14ac:dyDescent="0.2">
      <c r="A9547" s="280">
        <v>2025</v>
      </c>
      <c r="B9547" s="280">
        <v>10</v>
      </c>
      <c r="C9547" s="280">
        <v>23</v>
      </c>
      <c r="D9547" s="281">
        <f t="shared" si="1112"/>
        <v>45953</v>
      </c>
      <c r="E9547" s="282">
        <f t="shared" si="1111"/>
        <v>45953</v>
      </c>
      <c r="F9547" s="472" t="s">
        <v>1744</v>
      </c>
      <c r="G9547" s="283" t="s">
        <v>86</v>
      </c>
      <c r="H9547" s="284"/>
      <c r="I9547" s="284"/>
      <c r="J9547" s="285" t="s">
        <v>131</v>
      </c>
      <c r="K9547" s="286">
        <v>19358.330000000002</v>
      </c>
      <c r="L9547" s="286"/>
      <c r="M9547" s="401"/>
    </row>
    <row r="9548" spans="1:14" ht="11.25" customHeight="1" x14ac:dyDescent="0.2">
      <c r="A9548" s="287">
        <v>2025</v>
      </c>
      <c r="B9548" s="287">
        <v>10</v>
      </c>
      <c r="C9548" s="287">
        <v>23</v>
      </c>
      <c r="D9548" s="288">
        <f t="shared" si="1112"/>
        <v>45953</v>
      </c>
      <c r="E9548" s="289">
        <f t="shared" si="1111"/>
        <v>45953</v>
      </c>
      <c r="F9548" s="473"/>
      <c r="G9548" s="290" t="s">
        <v>86</v>
      </c>
      <c r="H9548" s="291"/>
      <c r="I9548" s="291"/>
      <c r="J9548" s="292" t="s">
        <v>174</v>
      </c>
      <c r="K9548" s="293"/>
      <c r="L9548" s="293">
        <f>K9547</f>
        <v>19358.330000000002</v>
      </c>
    </row>
    <row r="9549" spans="1:14" ht="11.25" customHeight="1" x14ac:dyDescent="0.2">
      <c r="A9549" s="280">
        <v>2025</v>
      </c>
      <c r="B9549" s="280">
        <v>10</v>
      </c>
      <c r="C9549" s="280">
        <v>23</v>
      </c>
      <c r="D9549" s="281">
        <f t="shared" si="1112"/>
        <v>45953</v>
      </c>
      <c r="E9549" s="282">
        <f t="shared" si="1111"/>
        <v>45953</v>
      </c>
      <c r="F9549" s="472" t="s">
        <v>1584</v>
      </c>
      <c r="G9549" s="283" t="s">
        <v>86</v>
      </c>
      <c r="H9549" s="284"/>
      <c r="I9549" s="284"/>
      <c r="J9549" s="285" t="s">
        <v>131</v>
      </c>
      <c r="K9549" s="286">
        <v>8846.15</v>
      </c>
      <c r="L9549" s="286"/>
      <c r="M9549" s="401"/>
    </row>
    <row r="9550" spans="1:14" ht="11.25" customHeight="1" x14ac:dyDescent="0.2">
      <c r="A9550" s="287">
        <v>2025</v>
      </c>
      <c r="B9550" s="287">
        <v>10</v>
      </c>
      <c r="C9550" s="287">
        <v>23</v>
      </c>
      <c r="D9550" s="288">
        <f t="shared" si="1112"/>
        <v>45953</v>
      </c>
      <c r="E9550" s="289">
        <f t="shared" si="1111"/>
        <v>45953</v>
      </c>
      <c r="F9550" s="473"/>
      <c r="G9550" s="290" t="s">
        <v>86</v>
      </c>
      <c r="H9550" s="291"/>
      <c r="I9550" s="291"/>
      <c r="J9550" s="292" t="s">
        <v>174</v>
      </c>
      <c r="K9550" s="293"/>
      <c r="L9550" s="293">
        <f>K9549</f>
        <v>8846.15</v>
      </c>
    </row>
    <row r="9551" spans="1:14" ht="11.25" customHeight="1" x14ac:dyDescent="0.2">
      <c r="A9551" s="341">
        <v>2025</v>
      </c>
      <c r="B9551" s="341">
        <v>10</v>
      </c>
      <c r="C9551" s="341">
        <v>23</v>
      </c>
      <c r="D9551" s="328">
        <f t="shared" si="1112"/>
        <v>45953</v>
      </c>
      <c r="E9551" s="329">
        <f t="shared" si="1111"/>
        <v>45953</v>
      </c>
      <c r="F9551" s="474" t="s">
        <v>1767</v>
      </c>
      <c r="G9551" s="330" t="s">
        <v>86</v>
      </c>
      <c r="H9551" s="332"/>
      <c r="I9551" s="332"/>
      <c r="J9551" s="342" t="s">
        <v>67</v>
      </c>
      <c r="K9551" s="343">
        <v>2968.63</v>
      </c>
      <c r="L9551" s="343"/>
    </row>
    <row r="9552" spans="1:14" ht="11.25" customHeight="1" x14ac:dyDescent="0.2">
      <c r="A9552" s="344">
        <v>2025</v>
      </c>
      <c r="B9552" s="344">
        <v>10</v>
      </c>
      <c r="C9552" s="344">
        <v>23</v>
      </c>
      <c r="D9552" s="337">
        <f t="shared" si="1112"/>
        <v>45953</v>
      </c>
      <c r="E9552" s="338">
        <f t="shared" si="1111"/>
        <v>45953</v>
      </c>
      <c r="F9552" s="475"/>
      <c r="G9552" s="339" t="s">
        <v>86</v>
      </c>
      <c r="H9552" s="340"/>
      <c r="I9552" s="340"/>
      <c r="J9552" s="345" t="s">
        <v>174</v>
      </c>
      <c r="K9552" s="346"/>
      <c r="L9552" s="346">
        <f>K9551</f>
        <v>2968.63</v>
      </c>
    </row>
    <row r="9553" spans="1:14" ht="11.25" customHeight="1" x14ac:dyDescent="0.2">
      <c r="A9553" s="358">
        <v>2025</v>
      </c>
      <c r="B9553" s="358">
        <v>10</v>
      </c>
      <c r="C9553" s="358">
        <v>23</v>
      </c>
      <c r="D9553" s="312">
        <f t="shared" si="1112"/>
        <v>45953</v>
      </c>
      <c r="E9553" s="313">
        <f>DATE(A9553,B9553,C9553)</f>
        <v>45953</v>
      </c>
      <c r="F9553" s="482" t="s">
        <v>1627</v>
      </c>
      <c r="G9553" s="314" t="s">
        <v>86</v>
      </c>
      <c r="H9553" s="324"/>
      <c r="I9553" s="324"/>
      <c r="J9553" s="364" t="s">
        <v>1613</v>
      </c>
      <c r="K9553" s="365">
        <v>0</v>
      </c>
      <c r="L9553" s="365"/>
      <c r="M9553" s="156">
        <f>BS!$I$12</f>
        <v>0</v>
      </c>
    </row>
    <row r="9554" spans="1:14" ht="11.25" customHeight="1" x14ac:dyDescent="0.2">
      <c r="A9554" s="320">
        <v>2025</v>
      </c>
      <c r="B9554" s="320">
        <v>10</v>
      </c>
      <c r="C9554" s="320">
        <v>23</v>
      </c>
      <c r="D9554" s="323">
        <f t="shared" si="1112"/>
        <v>45953</v>
      </c>
      <c r="E9554" s="321">
        <f t="shared" ref="E9554" si="1113">DATE(A9554,B9554,C9554)</f>
        <v>45953</v>
      </c>
      <c r="F9554" s="483"/>
      <c r="G9554" s="322" t="s">
        <v>86</v>
      </c>
      <c r="H9554" s="325"/>
      <c r="I9554" s="325"/>
      <c r="J9554" s="366" t="s">
        <v>1621</v>
      </c>
      <c r="K9554" s="367"/>
      <c r="L9554" s="367">
        <f>K9553</f>
        <v>0</v>
      </c>
    </row>
    <row r="9555" spans="1:14" ht="11.25" customHeight="1" x14ac:dyDescent="0.2">
      <c r="A9555" s="358">
        <v>2025</v>
      </c>
      <c r="B9555" s="358">
        <v>10</v>
      </c>
      <c r="C9555" s="358">
        <v>23</v>
      </c>
      <c r="D9555" s="312">
        <f t="shared" si="1112"/>
        <v>45953</v>
      </c>
      <c r="E9555" s="313">
        <f>DATE(A9555,B9555,C9555)</f>
        <v>45953</v>
      </c>
      <c r="F9555" s="482" t="s">
        <v>1713</v>
      </c>
      <c r="G9555" s="314" t="s">
        <v>86</v>
      </c>
      <c r="H9555" s="324"/>
      <c r="I9555" s="324"/>
      <c r="J9555" s="364" t="s">
        <v>1622</v>
      </c>
      <c r="K9555" s="365">
        <v>3542.9999999995343</v>
      </c>
      <c r="L9555" s="365"/>
      <c r="M9555" s="447">
        <f>BS!$I$15</f>
        <v>0</v>
      </c>
      <c r="N9555" s="166"/>
    </row>
    <row r="9556" spans="1:14" ht="11.25" customHeight="1" x14ac:dyDescent="0.2">
      <c r="A9556" s="320">
        <v>2025</v>
      </c>
      <c r="B9556" s="320">
        <v>10</v>
      </c>
      <c r="C9556" s="320">
        <v>23</v>
      </c>
      <c r="D9556" s="323">
        <f t="shared" si="1112"/>
        <v>45953</v>
      </c>
      <c r="E9556" s="321">
        <f t="shared" ref="E9556:E9574" si="1114">DATE(A9556,B9556,C9556)</f>
        <v>45953</v>
      </c>
      <c r="F9556" s="483"/>
      <c r="G9556" s="322" t="s">
        <v>86</v>
      </c>
      <c r="H9556" s="325"/>
      <c r="I9556" s="325"/>
      <c r="J9556" s="366" t="s">
        <v>1614</v>
      </c>
      <c r="K9556" s="367"/>
      <c r="L9556" s="367">
        <f>K9555</f>
        <v>3542.9999999995343</v>
      </c>
    </row>
    <row r="9557" spans="1:14" ht="11.25" customHeight="1" x14ac:dyDescent="0.2">
      <c r="A9557" s="236">
        <v>2025</v>
      </c>
      <c r="B9557" s="236">
        <v>10</v>
      </c>
      <c r="C9557" s="236">
        <v>23</v>
      </c>
      <c r="D9557" s="237">
        <f t="shared" si="1112"/>
        <v>45953</v>
      </c>
      <c r="E9557" s="238">
        <f t="shared" si="1114"/>
        <v>45953</v>
      </c>
      <c r="F9557" s="476" t="s">
        <v>1118</v>
      </c>
      <c r="G9557" s="239" t="s">
        <v>86</v>
      </c>
      <c r="H9557" s="239"/>
      <c r="I9557" s="240"/>
      <c r="J9557" s="241" t="s">
        <v>98</v>
      </c>
      <c r="K9557" s="242">
        <v>1313570.4685000181</v>
      </c>
      <c r="L9557" s="242"/>
      <c r="M9557" s="156">
        <f>BS!$I$8</f>
        <v>0</v>
      </c>
    </row>
    <row r="9558" spans="1:14" ht="11.25" customHeight="1" x14ac:dyDescent="0.2">
      <c r="A9558" s="243">
        <v>2025</v>
      </c>
      <c r="B9558" s="243">
        <v>10</v>
      </c>
      <c r="C9558" s="243">
        <v>23</v>
      </c>
      <c r="D9558" s="248">
        <f t="shared" si="1112"/>
        <v>45953</v>
      </c>
      <c r="E9558" s="249">
        <f t="shared" si="1114"/>
        <v>45953</v>
      </c>
      <c r="F9558" s="477"/>
      <c r="G9558" s="244" t="s">
        <v>86</v>
      </c>
      <c r="H9558" s="244"/>
      <c r="I9558" s="245"/>
      <c r="J9558" s="246" t="s">
        <v>82</v>
      </c>
      <c r="K9558" s="247"/>
      <c r="L9558" s="247">
        <f>K9557</f>
        <v>1313570.4685000181</v>
      </c>
    </row>
    <row r="9559" spans="1:14" ht="11.25" customHeight="1" x14ac:dyDescent="0.2">
      <c r="A9559" s="236">
        <v>2025</v>
      </c>
      <c r="B9559" s="236">
        <v>10</v>
      </c>
      <c r="C9559" s="236">
        <v>23</v>
      </c>
      <c r="D9559" s="237">
        <f t="shared" si="1112"/>
        <v>45953</v>
      </c>
      <c r="E9559" s="238">
        <f t="shared" si="1114"/>
        <v>45953</v>
      </c>
      <c r="F9559" s="476" t="s">
        <v>1120</v>
      </c>
      <c r="G9559" s="239" t="s">
        <v>86</v>
      </c>
      <c r="H9559" s="239"/>
      <c r="I9559" s="240"/>
      <c r="J9559" s="241" t="s">
        <v>87</v>
      </c>
      <c r="K9559" s="242">
        <v>2747.2527472527472</v>
      </c>
      <c r="L9559" s="242"/>
      <c r="M9559" s="401"/>
    </row>
    <row r="9560" spans="1:14" ht="11.25" customHeight="1" x14ac:dyDescent="0.2">
      <c r="A9560" s="243">
        <v>2025</v>
      </c>
      <c r="B9560" s="243">
        <v>10</v>
      </c>
      <c r="C9560" s="243">
        <v>23</v>
      </c>
      <c r="D9560" s="248">
        <f t="shared" si="1112"/>
        <v>45953</v>
      </c>
      <c r="E9560" s="249">
        <f t="shared" si="1114"/>
        <v>45953</v>
      </c>
      <c r="F9560" s="477"/>
      <c r="G9560" s="244" t="s">
        <v>86</v>
      </c>
      <c r="H9560" s="244"/>
      <c r="I9560" s="245"/>
      <c r="J9560" s="246" t="s">
        <v>64</v>
      </c>
      <c r="K9560" s="247"/>
      <c r="L9560" s="247">
        <f>K9559</f>
        <v>2747.2527472527472</v>
      </c>
    </row>
    <row r="9561" spans="1:14" ht="11.25" customHeight="1" x14ac:dyDescent="0.2">
      <c r="A9561" s="236">
        <v>2025</v>
      </c>
      <c r="B9561" s="236">
        <v>10</v>
      </c>
      <c r="C9561" s="236">
        <v>23</v>
      </c>
      <c r="D9561" s="237">
        <f t="shared" si="1112"/>
        <v>45953</v>
      </c>
      <c r="E9561" s="238">
        <f t="shared" si="1114"/>
        <v>45953</v>
      </c>
      <c r="F9561" s="476" t="s">
        <v>1121</v>
      </c>
      <c r="G9561" s="239" t="s">
        <v>86</v>
      </c>
      <c r="H9561" s="239"/>
      <c r="I9561" s="240"/>
      <c r="J9561" s="241" t="s">
        <v>89</v>
      </c>
      <c r="K9561" s="242">
        <f>M9561</f>
        <v>87140.334665749833</v>
      </c>
      <c r="L9561" s="242"/>
      <c r="M9561" s="156">
        <v>87140.334665749833</v>
      </c>
    </row>
    <row r="9562" spans="1:14" ht="11.25" customHeight="1" x14ac:dyDescent="0.2">
      <c r="A9562" s="243">
        <v>2025</v>
      </c>
      <c r="B9562" s="243">
        <v>10</v>
      </c>
      <c r="C9562" s="243">
        <v>23</v>
      </c>
      <c r="D9562" s="248">
        <f t="shared" si="1112"/>
        <v>45953</v>
      </c>
      <c r="E9562" s="249">
        <f t="shared" si="1114"/>
        <v>45953</v>
      </c>
      <c r="F9562" s="477"/>
      <c r="G9562" s="244" t="s">
        <v>86</v>
      </c>
      <c r="H9562" s="244"/>
      <c r="I9562" s="245"/>
      <c r="J9562" s="246" t="s">
        <v>50</v>
      </c>
      <c r="K9562" s="247"/>
      <c r="L9562" s="247">
        <f>K9561</f>
        <v>87140.334665749833</v>
      </c>
      <c r="M9562" s="156">
        <v>4116.6321179028764</v>
      </c>
    </row>
    <row r="9563" spans="1:14" ht="11.25" customHeight="1" x14ac:dyDescent="0.2">
      <c r="A9563" s="236">
        <v>2025</v>
      </c>
      <c r="B9563" s="236">
        <v>10</v>
      </c>
      <c r="C9563" s="236">
        <v>23</v>
      </c>
      <c r="D9563" s="237">
        <f t="shared" si="1112"/>
        <v>45953</v>
      </c>
      <c r="E9563" s="238">
        <f t="shared" si="1114"/>
        <v>45953</v>
      </c>
      <c r="F9563" s="476" t="s">
        <v>1122</v>
      </c>
      <c r="G9563" s="239" t="s">
        <v>86</v>
      </c>
      <c r="H9563" s="239"/>
      <c r="I9563" s="240"/>
      <c r="J9563" s="241" t="s">
        <v>91</v>
      </c>
      <c r="K9563" s="242">
        <f>M9562</f>
        <v>4116.6321179028764</v>
      </c>
      <c r="L9563" s="242"/>
    </row>
    <row r="9564" spans="1:14" ht="11.25" customHeight="1" x14ac:dyDescent="0.2">
      <c r="A9564" s="243">
        <v>2025</v>
      </c>
      <c r="B9564" s="243">
        <v>10</v>
      </c>
      <c r="C9564" s="243">
        <v>23</v>
      </c>
      <c r="D9564" s="248">
        <f t="shared" si="1112"/>
        <v>45953</v>
      </c>
      <c r="E9564" s="249">
        <f t="shared" si="1114"/>
        <v>45953</v>
      </c>
      <c r="F9564" s="477"/>
      <c r="G9564" s="244" t="s">
        <v>86</v>
      </c>
      <c r="H9564" s="244"/>
      <c r="I9564" s="245"/>
      <c r="J9564" s="246" t="s">
        <v>51</v>
      </c>
      <c r="K9564" s="247"/>
      <c r="L9564" s="247">
        <f>K9563</f>
        <v>4116.6321179028764</v>
      </c>
    </row>
    <row r="9565" spans="1:14" ht="11.25" customHeight="1" x14ac:dyDescent="0.2">
      <c r="A9565" s="221">
        <v>2025</v>
      </c>
      <c r="B9565" s="221">
        <v>10</v>
      </c>
      <c r="C9565" s="221">
        <v>26</v>
      </c>
      <c r="D9565" s="231">
        <f t="shared" si="1112"/>
        <v>45956</v>
      </c>
      <c r="E9565" s="233">
        <f t="shared" si="1114"/>
        <v>45956</v>
      </c>
      <c r="F9565" s="478" t="s">
        <v>1132</v>
      </c>
      <c r="G9565" s="222" t="s">
        <v>1111</v>
      </c>
      <c r="H9565" s="223"/>
      <c r="I9565" s="223"/>
      <c r="J9565" s="224" t="s">
        <v>55</v>
      </c>
      <c r="K9565" s="167">
        <v>12000</v>
      </c>
      <c r="L9565" s="225"/>
    </row>
    <row r="9566" spans="1:14" ht="11.25" customHeight="1" x14ac:dyDescent="0.2">
      <c r="A9566" s="164">
        <v>2025</v>
      </c>
      <c r="B9566" s="164">
        <v>10</v>
      </c>
      <c r="C9566" s="164">
        <v>26</v>
      </c>
      <c r="D9566" s="156">
        <f t="shared" si="1112"/>
        <v>45956</v>
      </c>
      <c r="E9566" s="235">
        <f t="shared" si="1114"/>
        <v>45956</v>
      </c>
      <c r="F9566" s="480"/>
      <c r="G9566" s="208" t="s">
        <v>1111</v>
      </c>
      <c r="J9566" s="165" t="s">
        <v>14</v>
      </c>
      <c r="L9566" s="205">
        <v>9980</v>
      </c>
    </row>
    <row r="9567" spans="1:14" ht="11.25" customHeight="1" x14ac:dyDescent="0.2">
      <c r="A9567" s="226">
        <v>2025</v>
      </c>
      <c r="B9567" s="226">
        <v>10</v>
      </c>
      <c r="C9567" s="226">
        <v>26</v>
      </c>
      <c r="D9567" s="232">
        <f t="shared" si="1112"/>
        <v>45956</v>
      </c>
      <c r="E9567" s="234">
        <f t="shared" si="1114"/>
        <v>45956</v>
      </c>
      <c r="F9567" s="479"/>
      <c r="G9567" s="227" t="s">
        <v>1111</v>
      </c>
      <c r="H9567" s="228"/>
      <c r="I9567" s="228"/>
      <c r="J9567" s="229" t="s">
        <v>1112</v>
      </c>
      <c r="K9567" s="230"/>
      <c r="L9567" s="230">
        <v>2020</v>
      </c>
    </row>
    <row r="9568" spans="1:14" ht="11.25" customHeight="1" x14ac:dyDescent="0.2">
      <c r="A9568" s="221">
        <v>2025</v>
      </c>
      <c r="B9568" s="221">
        <v>10</v>
      </c>
      <c r="C9568" s="221">
        <v>26</v>
      </c>
      <c r="D9568" s="231">
        <f t="shared" si="1112"/>
        <v>45956</v>
      </c>
      <c r="E9568" s="233">
        <f t="shared" si="1114"/>
        <v>45956</v>
      </c>
      <c r="F9568" s="478" t="s">
        <v>1951</v>
      </c>
      <c r="G9568" s="222" t="s">
        <v>1111</v>
      </c>
      <c r="H9568" s="222"/>
      <c r="I9568" s="223"/>
      <c r="J9568" s="224" t="s">
        <v>55</v>
      </c>
      <c r="K9568" s="225">
        <v>2018169.04</v>
      </c>
      <c r="L9568" s="225"/>
    </row>
    <row r="9569" spans="1:14" ht="11.25" customHeight="1" x14ac:dyDescent="0.2">
      <c r="A9569" s="164">
        <v>2025</v>
      </c>
      <c r="B9569" s="164">
        <v>10</v>
      </c>
      <c r="C9569" s="164">
        <v>26</v>
      </c>
      <c r="D9569" s="164">
        <f t="shared" si="1112"/>
        <v>45956</v>
      </c>
      <c r="E9569" s="235">
        <f t="shared" si="1114"/>
        <v>45956</v>
      </c>
      <c r="F9569" s="480"/>
      <c r="G9569" s="208" t="s">
        <v>1111</v>
      </c>
      <c r="H9569" s="208"/>
      <c r="J9569" s="165" t="s">
        <v>1618</v>
      </c>
      <c r="K9569" s="263"/>
      <c r="L9569" s="205">
        <v>193891.34000000008</v>
      </c>
    </row>
    <row r="9570" spans="1:14" ht="11.25" customHeight="1" x14ac:dyDescent="0.2">
      <c r="A9570" s="226">
        <v>2025</v>
      </c>
      <c r="B9570" s="226">
        <v>10</v>
      </c>
      <c r="C9570" s="226">
        <v>26</v>
      </c>
      <c r="D9570" s="226">
        <f t="shared" si="1112"/>
        <v>45956</v>
      </c>
      <c r="E9570" s="234">
        <f t="shared" si="1114"/>
        <v>45956</v>
      </c>
      <c r="F9570" s="479"/>
      <c r="G9570" s="227" t="s">
        <v>1111</v>
      </c>
      <c r="H9570" s="227"/>
      <c r="I9570" s="228"/>
      <c r="J9570" s="229" t="s">
        <v>1615</v>
      </c>
      <c r="K9570" s="294"/>
      <c r="L9570" s="230">
        <v>1824277.6979411624</v>
      </c>
    </row>
    <row r="9571" spans="1:14" ht="11.25" customHeight="1" x14ac:dyDescent="0.2">
      <c r="A9571" s="221">
        <v>2025</v>
      </c>
      <c r="B9571" s="221">
        <v>10</v>
      </c>
      <c r="C9571" s="221">
        <v>26</v>
      </c>
      <c r="D9571" s="231">
        <f t="shared" si="1112"/>
        <v>45956</v>
      </c>
      <c r="E9571" s="233">
        <f t="shared" si="1114"/>
        <v>45956</v>
      </c>
      <c r="F9571" s="478" t="s">
        <v>1670</v>
      </c>
      <c r="G9571" s="222" t="s">
        <v>1111</v>
      </c>
      <c r="H9571" s="223"/>
      <c r="I9571" s="223"/>
      <c r="J9571" s="224" t="s">
        <v>63</v>
      </c>
      <c r="K9571" s="225">
        <v>100</v>
      </c>
      <c r="L9571" s="225"/>
    </row>
    <row r="9572" spans="1:14" ht="11.25" customHeight="1" x14ac:dyDescent="0.2">
      <c r="A9572" s="226">
        <v>2025</v>
      </c>
      <c r="B9572" s="226">
        <v>10</v>
      </c>
      <c r="C9572" s="226">
        <v>26</v>
      </c>
      <c r="D9572" s="232">
        <f t="shared" si="1112"/>
        <v>45956</v>
      </c>
      <c r="E9572" s="234">
        <f t="shared" si="1114"/>
        <v>45956</v>
      </c>
      <c r="F9572" s="479"/>
      <c r="G9572" s="227" t="s">
        <v>1111</v>
      </c>
      <c r="H9572" s="228"/>
      <c r="I9572" s="228"/>
      <c r="J9572" s="229" t="s">
        <v>55</v>
      </c>
      <c r="K9572" s="230"/>
      <c r="L9572" s="230">
        <f>K9571</f>
        <v>100</v>
      </c>
    </row>
    <row r="9573" spans="1:14" ht="11.25" customHeight="1" x14ac:dyDescent="0.2">
      <c r="A9573" s="221">
        <v>2025</v>
      </c>
      <c r="B9573" s="221">
        <v>10</v>
      </c>
      <c r="C9573" s="221">
        <v>27</v>
      </c>
      <c r="D9573" s="231">
        <f t="shared" si="1112"/>
        <v>45957</v>
      </c>
      <c r="E9573" s="233">
        <f t="shared" si="1114"/>
        <v>45957</v>
      </c>
      <c r="F9573" s="478" t="s">
        <v>1940</v>
      </c>
      <c r="G9573" s="222" t="s">
        <v>1111</v>
      </c>
      <c r="H9573" s="223"/>
      <c r="I9573" s="223"/>
      <c r="J9573" s="224" t="s">
        <v>961</v>
      </c>
      <c r="K9573" s="225">
        <v>255225.58</v>
      </c>
      <c r="L9573" s="225"/>
    </row>
    <row r="9574" spans="1:14" ht="11.25" customHeight="1" x14ac:dyDescent="0.2">
      <c r="A9574" s="226">
        <v>2025</v>
      </c>
      <c r="B9574" s="226">
        <v>10</v>
      </c>
      <c r="C9574" s="226">
        <v>27</v>
      </c>
      <c r="D9574" s="232">
        <f t="shared" si="1112"/>
        <v>45957</v>
      </c>
      <c r="E9574" s="234">
        <f t="shared" si="1114"/>
        <v>45957</v>
      </c>
      <c r="F9574" s="479"/>
      <c r="G9574" s="227" t="s">
        <v>1111</v>
      </c>
      <c r="H9574" s="228"/>
      <c r="I9574" s="228"/>
      <c r="J9574" s="229" t="s">
        <v>55</v>
      </c>
      <c r="K9574" s="230"/>
      <c r="L9574" s="230">
        <f>K9573</f>
        <v>255225.58</v>
      </c>
    </row>
    <row r="9575" spans="1:14" ht="11.25" customHeight="1" x14ac:dyDescent="0.2">
      <c r="A9575" s="221">
        <v>2025</v>
      </c>
      <c r="B9575" s="221">
        <v>10</v>
      </c>
      <c r="C9575" s="221">
        <v>26</v>
      </c>
      <c r="D9575" s="221">
        <f t="shared" si="1112"/>
        <v>45956</v>
      </c>
      <c r="E9575" s="233">
        <f>DATE(A9575,B9575,C9575)</f>
        <v>45956</v>
      </c>
      <c r="F9575" s="478" t="s">
        <v>1937</v>
      </c>
      <c r="G9575" s="222" t="s">
        <v>86</v>
      </c>
      <c r="H9575" s="222"/>
      <c r="I9575" s="223"/>
      <c r="J9575" s="224" t="s">
        <v>80</v>
      </c>
      <c r="K9575" s="225">
        <v>1520427</v>
      </c>
      <c r="L9575" s="225"/>
      <c r="N9575" s="263"/>
    </row>
    <row r="9576" spans="1:14" ht="11.25" customHeight="1" x14ac:dyDescent="0.2">
      <c r="A9576" s="164">
        <v>2025</v>
      </c>
      <c r="B9576" s="164">
        <v>10</v>
      </c>
      <c r="C9576" s="164">
        <v>26</v>
      </c>
      <c r="D9576" s="164">
        <f t="shared" si="1112"/>
        <v>45956</v>
      </c>
      <c r="E9576" s="235">
        <f>DATE(A9576,B9576,C9576)</f>
        <v>45956</v>
      </c>
      <c r="F9576" s="480"/>
      <c r="G9576" s="208" t="s">
        <v>86</v>
      </c>
      <c r="H9576" s="208"/>
      <c r="J9576" s="165" t="s">
        <v>960</v>
      </c>
      <c r="K9576" s="205">
        <v>3121.28</v>
      </c>
      <c r="L9576" s="205"/>
      <c r="M9576" s="263"/>
      <c r="N9576" s="263"/>
    </row>
    <row r="9577" spans="1:14" ht="11.25" customHeight="1" x14ac:dyDescent="0.2">
      <c r="A9577" s="164">
        <v>2025</v>
      </c>
      <c r="B9577" s="164">
        <v>10</v>
      </c>
      <c r="C9577" s="164">
        <v>26</v>
      </c>
      <c r="D9577" s="164">
        <f t="shared" si="1112"/>
        <v>45956</v>
      </c>
      <c r="E9577" s="235">
        <f>DATE(A9577,B9577,C9577)</f>
        <v>45956</v>
      </c>
      <c r="F9577" s="480"/>
      <c r="G9577" s="208" t="s">
        <v>86</v>
      </c>
      <c r="H9577" s="208"/>
      <c r="J9577" s="165" t="s">
        <v>143</v>
      </c>
      <c r="K9577" s="263"/>
      <c r="L9577" s="205">
        <v>1309928.28</v>
      </c>
      <c r="M9577" s="263"/>
      <c r="N9577" s="263"/>
    </row>
    <row r="9578" spans="1:14" ht="11.25" customHeight="1" x14ac:dyDescent="0.2">
      <c r="A9578" s="164">
        <v>2025</v>
      </c>
      <c r="B9578" s="164">
        <v>10</v>
      </c>
      <c r="C9578" s="164">
        <v>26</v>
      </c>
      <c r="D9578" s="164">
        <f t="shared" si="1112"/>
        <v>45956</v>
      </c>
      <c r="E9578" s="235">
        <f>DATE(A9578,B9578,C9578)</f>
        <v>45956</v>
      </c>
      <c r="F9578" s="480"/>
      <c r="G9578" s="208" t="s">
        <v>86</v>
      </c>
      <c r="H9578" s="208"/>
      <c r="J9578" s="165" t="s">
        <v>200</v>
      </c>
      <c r="K9578" s="205"/>
      <c r="L9578" s="205">
        <v>24896.959999999999</v>
      </c>
      <c r="M9578" s="263"/>
      <c r="N9578" s="263"/>
    </row>
    <row r="9579" spans="1:14" ht="11.25" customHeight="1" x14ac:dyDescent="0.2">
      <c r="A9579" s="226">
        <v>2025</v>
      </c>
      <c r="B9579" s="226">
        <v>10</v>
      </c>
      <c r="C9579" s="226">
        <v>26</v>
      </c>
      <c r="D9579" s="226">
        <f t="shared" si="1112"/>
        <v>45956</v>
      </c>
      <c r="E9579" s="234">
        <f>DATE(A9579,B9579,C9579)</f>
        <v>45956</v>
      </c>
      <c r="F9579" s="479"/>
      <c r="G9579" s="227" t="s">
        <v>86</v>
      </c>
      <c r="H9579" s="228"/>
      <c r="I9579" s="228"/>
      <c r="J9579" s="229" t="s">
        <v>80</v>
      </c>
      <c r="K9579" s="230"/>
      <c r="L9579" s="230">
        <v>188723.04</v>
      </c>
      <c r="M9579" s="263"/>
      <c r="N9579" s="263"/>
    </row>
    <row r="9580" spans="1:14" ht="11.25" customHeight="1" x14ac:dyDescent="0.2">
      <c r="A9580" s="221">
        <v>2025</v>
      </c>
      <c r="B9580" s="221">
        <v>10</v>
      </c>
      <c r="C9580" s="221">
        <v>27</v>
      </c>
      <c r="D9580" s="231">
        <f t="shared" si="1112"/>
        <v>45957</v>
      </c>
      <c r="E9580" s="233">
        <f t="shared" ref="E9580:E9581" si="1115">DATE(A9580,B9580,C9580)</f>
        <v>45957</v>
      </c>
      <c r="F9580" s="478" t="s">
        <v>1954</v>
      </c>
      <c r="G9580" s="222" t="s">
        <v>1111</v>
      </c>
      <c r="H9580" s="222"/>
      <c r="I9580" s="223"/>
      <c r="J9580" s="224" t="s">
        <v>80</v>
      </c>
      <c r="K9580" s="225">
        <v>15010000</v>
      </c>
      <c r="L9580" s="225"/>
      <c r="M9580" s="166"/>
    </row>
    <row r="9581" spans="1:14" ht="11.25" customHeight="1" x14ac:dyDescent="0.2">
      <c r="A9581" s="226">
        <v>2025</v>
      </c>
      <c r="B9581" s="226">
        <v>10</v>
      </c>
      <c r="C9581" s="226">
        <v>27</v>
      </c>
      <c r="D9581" s="226">
        <f t="shared" si="1112"/>
        <v>45957</v>
      </c>
      <c r="E9581" s="234">
        <f t="shared" si="1115"/>
        <v>45957</v>
      </c>
      <c r="F9581" s="479"/>
      <c r="G9581" s="227" t="s">
        <v>1111</v>
      </c>
      <c r="H9581" s="228"/>
      <c r="I9581" s="228"/>
      <c r="J9581" s="229" t="s">
        <v>196</v>
      </c>
      <c r="K9581" s="230"/>
      <c r="L9581" s="230">
        <v>15010000</v>
      </c>
    </row>
    <row r="9582" spans="1:14" ht="11.25" customHeight="1" x14ac:dyDescent="0.2">
      <c r="A9582" s="221">
        <v>2025</v>
      </c>
      <c r="B9582" s="221">
        <v>10</v>
      </c>
      <c r="C9582" s="221">
        <v>27</v>
      </c>
      <c r="D9582" s="221">
        <f t="shared" si="1112"/>
        <v>45957</v>
      </c>
      <c r="E9582" s="233">
        <f t="shared" ref="E9582:E9584" si="1116">DATE(A9582,B9582,C9582)</f>
        <v>45957</v>
      </c>
      <c r="F9582" s="478" t="s">
        <v>1936</v>
      </c>
      <c r="G9582" s="222" t="s">
        <v>86</v>
      </c>
      <c r="H9582" s="222"/>
      <c r="I9582" s="223"/>
      <c r="J9582" s="224" t="s">
        <v>80</v>
      </c>
      <c r="K9582" s="225">
        <v>1277396.1000000001</v>
      </c>
      <c r="L9582" s="225"/>
    </row>
    <row r="9583" spans="1:14" ht="11.25" customHeight="1" x14ac:dyDescent="0.2">
      <c r="A9583" s="164">
        <v>2025</v>
      </c>
      <c r="B9583" s="164">
        <v>10</v>
      </c>
      <c r="C9583" s="164">
        <v>27</v>
      </c>
      <c r="D9583" s="164">
        <f t="shared" si="1112"/>
        <v>45957</v>
      </c>
      <c r="E9583" s="235">
        <f t="shared" si="1116"/>
        <v>45957</v>
      </c>
      <c r="F9583" s="480"/>
      <c r="G9583" s="208" t="s">
        <v>86</v>
      </c>
      <c r="H9583" s="208"/>
      <c r="J9583" s="165" t="s">
        <v>960</v>
      </c>
      <c r="K9583" s="205">
        <v>2299.31</v>
      </c>
      <c r="L9583" s="205"/>
    </row>
    <row r="9584" spans="1:14" ht="11.25" customHeight="1" x14ac:dyDescent="0.2">
      <c r="A9584" s="226">
        <v>2025</v>
      </c>
      <c r="B9584" s="226">
        <v>10</v>
      </c>
      <c r="C9584" s="226">
        <v>27</v>
      </c>
      <c r="D9584" s="226">
        <f t="shared" si="1112"/>
        <v>45957</v>
      </c>
      <c r="E9584" s="234">
        <f t="shared" si="1116"/>
        <v>45957</v>
      </c>
      <c r="F9584" s="479"/>
      <c r="G9584" s="227" t="s">
        <v>86</v>
      </c>
      <c r="H9584" s="227"/>
      <c r="I9584" s="228"/>
      <c r="J9584" s="229" t="s">
        <v>143</v>
      </c>
      <c r="K9584" s="230"/>
      <c r="L9584" s="230">
        <v>1279695.4099999999</v>
      </c>
    </row>
    <row r="9585" spans="1:14" ht="11.25" customHeight="1" x14ac:dyDescent="0.2">
      <c r="A9585" s="221">
        <v>2025</v>
      </c>
      <c r="B9585" s="221">
        <v>10</v>
      </c>
      <c r="C9585" s="221">
        <v>27</v>
      </c>
      <c r="D9585" s="221">
        <f t="shared" si="1112"/>
        <v>45957</v>
      </c>
      <c r="E9585" s="233">
        <f t="shared" ref="E9585:E9607" si="1117">DATE(A9585,B9585,C9585)</f>
        <v>45957</v>
      </c>
      <c r="F9585" s="478" t="s">
        <v>1930</v>
      </c>
      <c r="G9585" s="222" t="s">
        <v>86</v>
      </c>
      <c r="H9585" s="222"/>
      <c r="I9585" s="223"/>
      <c r="J9585" s="224" t="s">
        <v>80</v>
      </c>
      <c r="K9585" s="225">
        <v>796000</v>
      </c>
      <c r="L9585" s="225"/>
    </row>
    <row r="9586" spans="1:14" ht="11.25" customHeight="1" x14ac:dyDescent="0.2">
      <c r="A9586" s="164">
        <v>2025</v>
      </c>
      <c r="B9586" s="164">
        <v>10</v>
      </c>
      <c r="C9586" s="164">
        <v>27</v>
      </c>
      <c r="D9586" s="164">
        <f t="shared" si="1112"/>
        <v>45957</v>
      </c>
      <c r="E9586" s="235">
        <f t="shared" si="1117"/>
        <v>45957</v>
      </c>
      <c r="F9586" s="480"/>
      <c r="G9586" s="208" t="s">
        <v>86</v>
      </c>
      <c r="H9586" s="208"/>
      <c r="J9586" s="165" t="s">
        <v>960</v>
      </c>
      <c r="K9586" s="205">
        <v>1432.8</v>
      </c>
      <c r="L9586" s="205"/>
    </row>
    <row r="9587" spans="1:14" ht="11.25" customHeight="1" x14ac:dyDescent="0.2">
      <c r="A9587" s="226">
        <v>2025</v>
      </c>
      <c r="B9587" s="226">
        <v>10</v>
      </c>
      <c r="C9587" s="226">
        <v>27</v>
      </c>
      <c r="D9587" s="226">
        <f t="shared" si="1112"/>
        <v>45957</v>
      </c>
      <c r="E9587" s="234">
        <f t="shared" si="1117"/>
        <v>45957</v>
      </c>
      <c r="F9587" s="479"/>
      <c r="G9587" s="227" t="s">
        <v>86</v>
      </c>
      <c r="H9587" s="227"/>
      <c r="I9587" s="228"/>
      <c r="J9587" s="229" t="s">
        <v>143</v>
      </c>
      <c r="K9587" s="230"/>
      <c r="L9587" s="230">
        <v>797432.8</v>
      </c>
    </row>
    <row r="9588" spans="1:14" ht="11.25" customHeight="1" x14ac:dyDescent="0.2">
      <c r="A9588" s="221">
        <v>2025</v>
      </c>
      <c r="B9588" s="221">
        <v>10</v>
      </c>
      <c r="C9588" s="221">
        <v>28</v>
      </c>
      <c r="D9588" s="231">
        <f t="shared" si="1112"/>
        <v>45958</v>
      </c>
      <c r="E9588" s="233">
        <f t="shared" si="1117"/>
        <v>45958</v>
      </c>
      <c r="F9588" s="478" t="s">
        <v>1115</v>
      </c>
      <c r="G9588" s="222" t="s">
        <v>1111</v>
      </c>
      <c r="H9588" s="223"/>
      <c r="I9588" s="223"/>
      <c r="J9588" s="224" t="s">
        <v>14</v>
      </c>
      <c r="K9588" s="167">
        <v>16640</v>
      </c>
      <c r="L9588" s="225"/>
    </row>
    <row r="9589" spans="1:14" ht="11.25" customHeight="1" x14ac:dyDescent="0.2">
      <c r="A9589" s="164">
        <v>2025</v>
      </c>
      <c r="B9589" s="164">
        <v>10</v>
      </c>
      <c r="C9589" s="164">
        <v>28</v>
      </c>
      <c r="D9589" s="156">
        <f t="shared" si="1112"/>
        <v>45958</v>
      </c>
      <c r="E9589" s="235">
        <f t="shared" si="1117"/>
        <v>45958</v>
      </c>
      <c r="F9589" s="480"/>
      <c r="G9589" s="208" t="s">
        <v>1111</v>
      </c>
      <c r="J9589" s="165" t="s">
        <v>1112</v>
      </c>
      <c r="K9589" s="167">
        <v>3360</v>
      </c>
      <c r="L9589" s="205"/>
    </row>
    <row r="9590" spans="1:14" ht="11.25" customHeight="1" x14ac:dyDescent="0.2">
      <c r="A9590" s="226">
        <v>2025</v>
      </c>
      <c r="B9590" s="226">
        <v>10</v>
      </c>
      <c r="C9590" s="226">
        <v>28</v>
      </c>
      <c r="D9590" s="232">
        <f t="shared" si="1112"/>
        <v>45958</v>
      </c>
      <c r="E9590" s="234">
        <f t="shared" si="1117"/>
        <v>45958</v>
      </c>
      <c r="F9590" s="479"/>
      <c r="G9590" s="227" t="s">
        <v>1111</v>
      </c>
      <c r="H9590" s="228"/>
      <c r="I9590" s="228"/>
      <c r="J9590" s="229" t="s">
        <v>55</v>
      </c>
      <c r="K9590" s="230"/>
      <c r="L9590" s="230">
        <v>20000</v>
      </c>
    </row>
    <row r="9591" spans="1:14" ht="11.25" customHeight="1" x14ac:dyDescent="0.2">
      <c r="A9591" s="221">
        <v>2025</v>
      </c>
      <c r="B9591" s="221">
        <v>10</v>
      </c>
      <c r="C9591" s="221">
        <v>28</v>
      </c>
      <c r="D9591" s="221">
        <f t="shared" si="1112"/>
        <v>45958</v>
      </c>
      <c r="E9591" s="233">
        <f>DATE(A9591,B9591,C9591)</f>
        <v>45958</v>
      </c>
      <c r="F9591" s="478" t="s">
        <v>1937</v>
      </c>
      <c r="G9591" s="222" t="s">
        <v>86</v>
      </c>
      <c r="H9591" s="222"/>
      <c r="I9591" s="223"/>
      <c r="J9591" s="224" t="s">
        <v>80</v>
      </c>
      <c r="K9591" s="225">
        <v>812330</v>
      </c>
      <c r="L9591" s="225"/>
      <c r="N9591" s="263"/>
    </row>
    <row r="9592" spans="1:14" ht="11.25" customHeight="1" x14ac:dyDescent="0.2">
      <c r="A9592" s="164">
        <v>2025</v>
      </c>
      <c r="B9592" s="164">
        <v>10</v>
      </c>
      <c r="C9592" s="164">
        <v>28</v>
      </c>
      <c r="D9592" s="164">
        <f t="shared" si="1112"/>
        <v>45958</v>
      </c>
      <c r="E9592" s="235">
        <f>DATE(A9592,B9592,C9592)</f>
        <v>45958</v>
      </c>
      <c r="F9592" s="480"/>
      <c r="G9592" s="208" t="s">
        <v>86</v>
      </c>
      <c r="H9592" s="208"/>
      <c r="J9592" s="165" t="s">
        <v>960</v>
      </c>
      <c r="K9592" s="205">
        <v>5785.14</v>
      </c>
      <c r="L9592" s="205"/>
      <c r="M9592" s="263"/>
      <c r="N9592" s="263"/>
    </row>
    <row r="9593" spans="1:14" ht="11.25" customHeight="1" x14ac:dyDescent="0.2">
      <c r="A9593" s="164">
        <v>2025</v>
      </c>
      <c r="B9593" s="164">
        <v>10</v>
      </c>
      <c r="C9593" s="164">
        <v>28</v>
      </c>
      <c r="D9593" s="164">
        <f t="shared" si="1112"/>
        <v>45958</v>
      </c>
      <c r="E9593" s="235">
        <f>DATE(A9593,B9593,C9593)</f>
        <v>45958</v>
      </c>
      <c r="F9593" s="480"/>
      <c r="G9593" s="208" t="s">
        <v>86</v>
      </c>
      <c r="H9593" s="208"/>
      <c r="J9593" s="165" t="s">
        <v>199</v>
      </c>
      <c r="K9593" s="263">
        <v>1583523.96</v>
      </c>
      <c r="L9593" s="205"/>
      <c r="M9593" s="263"/>
      <c r="N9593" s="263"/>
    </row>
    <row r="9594" spans="1:14" ht="11.25" customHeight="1" x14ac:dyDescent="0.2">
      <c r="A9594" s="164">
        <v>2025</v>
      </c>
      <c r="B9594" s="164">
        <v>10</v>
      </c>
      <c r="C9594" s="164">
        <v>28</v>
      </c>
      <c r="D9594" s="164">
        <f t="shared" si="1112"/>
        <v>45958</v>
      </c>
      <c r="E9594" s="235">
        <f>DATE(A9594,B9594,C9594)</f>
        <v>45958</v>
      </c>
      <c r="F9594" s="480"/>
      <c r="G9594" s="208" t="s">
        <v>86</v>
      </c>
      <c r="H9594" s="208"/>
      <c r="J9594" s="165" t="s">
        <v>200</v>
      </c>
      <c r="K9594" s="205">
        <v>55523.12</v>
      </c>
      <c r="L9594" s="205"/>
      <c r="M9594" s="263"/>
      <c r="N9594" s="263"/>
    </row>
    <row r="9595" spans="1:14" ht="11.25" customHeight="1" x14ac:dyDescent="0.2">
      <c r="A9595" s="226">
        <v>2025</v>
      </c>
      <c r="B9595" s="226">
        <v>10</v>
      </c>
      <c r="C9595" s="226">
        <v>28</v>
      </c>
      <c r="D9595" s="226">
        <f t="shared" si="1112"/>
        <v>45958</v>
      </c>
      <c r="E9595" s="234">
        <f>DATE(A9595,B9595,C9595)</f>
        <v>45958</v>
      </c>
      <c r="F9595" s="479"/>
      <c r="G9595" s="227" t="s">
        <v>86</v>
      </c>
      <c r="H9595" s="228"/>
      <c r="I9595" s="228"/>
      <c r="J9595" s="229" t="s">
        <v>80</v>
      </c>
      <c r="K9595" s="230"/>
      <c r="L9595" s="230">
        <v>2457162.2200000002</v>
      </c>
      <c r="M9595" s="263"/>
      <c r="N9595" s="263"/>
    </row>
    <row r="9596" spans="1:14" ht="11.25" customHeight="1" x14ac:dyDescent="0.2">
      <c r="A9596" s="221">
        <v>2025</v>
      </c>
      <c r="B9596" s="221">
        <v>10</v>
      </c>
      <c r="C9596" s="221">
        <v>28</v>
      </c>
      <c r="D9596" s="221">
        <f t="shared" si="1112"/>
        <v>45958</v>
      </c>
      <c r="E9596" s="233">
        <f t="shared" ref="E9596:E9598" si="1118">DATE(A9596,B9596,C9596)</f>
        <v>45958</v>
      </c>
      <c r="F9596" s="478" t="s">
        <v>1930</v>
      </c>
      <c r="G9596" s="222" t="s">
        <v>86</v>
      </c>
      <c r="H9596" s="222"/>
      <c r="I9596" s="223"/>
      <c r="J9596" s="224" t="s">
        <v>80</v>
      </c>
      <c r="K9596" s="225">
        <v>650500</v>
      </c>
      <c r="L9596" s="225"/>
    </row>
    <row r="9597" spans="1:14" ht="11.25" customHeight="1" x14ac:dyDescent="0.2">
      <c r="A9597" s="164">
        <v>2025</v>
      </c>
      <c r="B9597" s="164">
        <v>10</v>
      </c>
      <c r="C9597" s="164">
        <v>28</v>
      </c>
      <c r="D9597" s="164">
        <f t="shared" si="1112"/>
        <v>45958</v>
      </c>
      <c r="E9597" s="235">
        <f t="shared" si="1118"/>
        <v>45958</v>
      </c>
      <c r="F9597" s="480"/>
      <c r="G9597" s="208" t="s">
        <v>86</v>
      </c>
      <c r="H9597" s="208"/>
      <c r="J9597" s="165" t="s">
        <v>960</v>
      </c>
      <c r="K9597" s="205">
        <v>1170.9000000000001</v>
      </c>
      <c r="L9597" s="205"/>
    </row>
    <row r="9598" spans="1:14" ht="11.25" customHeight="1" x14ac:dyDescent="0.2">
      <c r="A9598" s="226">
        <v>2025</v>
      </c>
      <c r="B9598" s="226">
        <v>10</v>
      </c>
      <c r="C9598" s="226">
        <v>28</v>
      </c>
      <c r="D9598" s="226">
        <f t="shared" si="1112"/>
        <v>45958</v>
      </c>
      <c r="E9598" s="234">
        <f t="shared" si="1118"/>
        <v>45958</v>
      </c>
      <c r="F9598" s="479"/>
      <c r="G9598" s="227" t="s">
        <v>86</v>
      </c>
      <c r="H9598" s="227"/>
      <c r="I9598" s="228"/>
      <c r="J9598" s="229" t="s">
        <v>143</v>
      </c>
      <c r="K9598" s="230"/>
      <c r="L9598" s="230">
        <v>651670.9</v>
      </c>
    </row>
    <row r="9599" spans="1:14" ht="11.25" customHeight="1" x14ac:dyDescent="0.2">
      <c r="A9599" s="221">
        <v>2025</v>
      </c>
      <c r="B9599" s="221">
        <v>10</v>
      </c>
      <c r="C9599" s="221">
        <v>29</v>
      </c>
      <c r="D9599" s="231">
        <f t="shared" si="1112"/>
        <v>45959</v>
      </c>
      <c r="E9599" s="233">
        <f t="shared" si="1117"/>
        <v>45959</v>
      </c>
      <c r="F9599" s="478" t="s">
        <v>1605</v>
      </c>
      <c r="G9599" s="222" t="s">
        <v>1111</v>
      </c>
      <c r="H9599" s="223"/>
      <c r="I9599" s="223"/>
      <c r="J9599" s="224" t="s">
        <v>55</v>
      </c>
      <c r="K9599" s="167">
        <v>5000</v>
      </c>
      <c r="L9599" s="225"/>
    </row>
    <row r="9600" spans="1:14" ht="11.25" customHeight="1" x14ac:dyDescent="0.2">
      <c r="A9600" s="164">
        <v>2025</v>
      </c>
      <c r="B9600" s="164">
        <v>10</v>
      </c>
      <c r="C9600" s="164">
        <v>29</v>
      </c>
      <c r="D9600" s="156">
        <f t="shared" si="1112"/>
        <v>45959</v>
      </c>
      <c r="E9600" s="235">
        <f t="shared" si="1117"/>
        <v>45959</v>
      </c>
      <c r="F9600" s="480"/>
      <c r="G9600" s="208" t="s">
        <v>1111</v>
      </c>
      <c r="J9600" s="165" t="s">
        <v>14</v>
      </c>
      <c r="L9600" s="205">
        <v>4160</v>
      </c>
    </row>
    <row r="9601" spans="1:14" ht="11.25" customHeight="1" x14ac:dyDescent="0.2">
      <c r="A9601" s="226">
        <v>2025</v>
      </c>
      <c r="B9601" s="226">
        <v>10</v>
      </c>
      <c r="C9601" s="226">
        <v>29</v>
      </c>
      <c r="D9601" s="232">
        <f t="shared" si="1112"/>
        <v>45959</v>
      </c>
      <c r="E9601" s="234">
        <f t="shared" si="1117"/>
        <v>45959</v>
      </c>
      <c r="F9601" s="479"/>
      <c r="G9601" s="227" t="s">
        <v>1111</v>
      </c>
      <c r="H9601" s="228"/>
      <c r="I9601" s="228"/>
      <c r="J9601" s="229" t="s">
        <v>1112</v>
      </c>
      <c r="K9601" s="230"/>
      <c r="L9601" s="230">
        <v>840</v>
      </c>
    </row>
    <row r="9602" spans="1:14" ht="11.25" customHeight="1" x14ac:dyDescent="0.2">
      <c r="A9602" s="221">
        <v>2025</v>
      </c>
      <c r="B9602" s="221">
        <v>10</v>
      </c>
      <c r="C9602" s="221">
        <v>29</v>
      </c>
      <c r="D9602" s="221">
        <f t="shared" si="1112"/>
        <v>45959</v>
      </c>
      <c r="E9602" s="233">
        <f t="shared" si="1117"/>
        <v>45959</v>
      </c>
      <c r="F9602" s="478" t="s">
        <v>1936</v>
      </c>
      <c r="G9602" s="222" t="s">
        <v>86</v>
      </c>
      <c r="H9602" s="222"/>
      <c r="I9602" s="223"/>
      <c r="J9602" s="224" t="s">
        <v>80</v>
      </c>
      <c r="K9602" s="225">
        <v>1770059.8</v>
      </c>
      <c r="L9602" s="225"/>
    </row>
    <row r="9603" spans="1:14" ht="11.25" customHeight="1" x14ac:dyDescent="0.2">
      <c r="A9603" s="164">
        <v>2025</v>
      </c>
      <c r="B9603" s="164">
        <v>10</v>
      </c>
      <c r="C9603" s="164">
        <v>29</v>
      </c>
      <c r="D9603" s="164">
        <f t="shared" si="1112"/>
        <v>45959</v>
      </c>
      <c r="E9603" s="235">
        <f t="shared" si="1117"/>
        <v>45959</v>
      </c>
      <c r="F9603" s="480"/>
      <c r="G9603" s="208" t="s">
        <v>86</v>
      </c>
      <c r="H9603" s="208"/>
      <c r="J9603" s="165" t="s">
        <v>960</v>
      </c>
      <c r="K9603" s="205">
        <v>3186.11</v>
      </c>
      <c r="L9603" s="205"/>
    </row>
    <row r="9604" spans="1:14" ht="11.25" customHeight="1" x14ac:dyDescent="0.2">
      <c r="A9604" s="226">
        <v>2025</v>
      </c>
      <c r="B9604" s="226">
        <v>10</v>
      </c>
      <c r="C9604" s="226">
        <v>29</v>
      </c>
      <c r="D9604" s="226">
        <f t="shared" si="1112"/>
        <v>45959</v>
      </c>
      <c r="E9604" s="234">
        <f t="shared" si="1117"/>
        <v>45959</v>
      </c>
      <c r="F9604" s="479"/>
      <c r="G9604" s="227" t="s">
        <v>86</v>
      </c>
      <c r="H9604" s="227"/>
      <c r="I9604" s="228"/>
      <c r="J9604" s="229" t="s">
        <v>143</v>
      </c>
      <c r="K9604" s="230"/>
      <c r="L9604" s="230">
        <v>1773245.91</v>
      </c>
    </row>
    <row r="9605" spans="1:14" ht="11.25" customHeight="1" x14ac:dyDescent="0.2">
      <c r="A9605" s="221">
        <v>2025</v>
      </c>
      <c r="B9605" s="221">
        <v>10</v>
      </c>
      <c r="C9605" s="221">
        <v>29</v>
      </c>
      <c r="D9605" s="231">
        <f t="shared" si="1112"/>
        <v>45959</v>
      </c>
      <c r="E9605" s="233">
        <f t="shared" si="1117"/>
        <v>45959</v>
      </c>
      <c r="F9605" s="478" t="s">
        <v>1952</v>
      </c>
      <c r="G9605" s="222" t="s">
        <v>1111</v>
      </c>
      <c r="H9605" s="222"/>
      <c r="I9605" s="223"/>
      <c r="J9605" s="224" t="s">
        <v>55</v>
      </c>
      <c r="K9605" s="225">
        <v>11136252.75</v>
      </c>
      <c r="L9605" s="225"/>
    </row>
    <row r="9606" spans="1:14" ht="11.25" customHeight="1" x14ac:dyDescent="0.2">
      <c r="A9606" s="164">
        <v>2025</v>
      </c>
      <c r="B9606" s="164">
        <v>10</v>
      </c>
      <c r="C9606" s="164">
        <v>29</v>
      </c>
      <c r="D9606" s="164">
        <f t="shared" si="1112"/>
        <v>45959</v>
      </c>
      <c r="E9606" s="235">
        <f>DATE(A9606,B9606,C9606)</f>
        <v>45959</v>
      </c>
      <c r="F9606" s="480"/>
      <c r="G9606" s="208" t="s">
        <v>86</v>
      </c>
      <c r="H9606" s="208"/>
      <c r="J9606" s="165" t="s">
        <v>200</v>
      </c>
      <c r="K9606" s="205"/>
      <c r="L9606" s="205">
        <v>1136252.75</v>
      </c>
      <c r="M9606" s="263"/>
      <c r="N9606" s="263"/>
    </row>
    <row r="9607" spans="1:14" ht="11.25" customHeight="1" x14ac:dyDescent="0.2">
      <c r="A9607" s="226">
        <v>2025</v>
      </c>
      <c r="B9607" s="226">
        <v>10</v>
      </c>
      <c r="C9607" s="226">
        <v>29</v>
      </c>
      <c r="D9607" s="226">
        <f t="shared" si="1112"/>
        <v>45959</v>
      </c>
      <c r="E9607" s="234">
        <f t="shared" si="1117"/>
        <v>45959</v>
      </c>
      <c r="F9607" s="479"/>
      <c r="G9607" s="227" t="s">
        <v>1111</v>
      </c>
      <c r="H9607" s="227"/>
      <c r="I9607" s="228"/>
      <c r="J9607" s="229" t="s">
        <v>80</v>
      </c>
      <c r="K9607" s="294"/>
      <c r="L9607" s="230">
        <v>10000000</v>
      </c>
    </row>
    <row r="9608" spans="1:14" ht="11.25" customHeight="1" x14ac:dyDescent="0.2">
      <c r="A9608" s="221">
        <v>2025</v>
      </c>
      <c r="B9608" s="221">
        <v>10</v>
      </c>
      <c r="C9608" s="221">
        <v>29</v>
      </c>
      <c r="D9608" s="231">
        <f t="shared" si="1112"/>
        <v>45959</v>
      </c>
      <c r="E9608" s="233">
        <f t="shared" ref="E9608:E9609" si="1119">DATE(A9608,B9608,C9608)</f>
        <v>45959</v>
      </c>
      <c r="F9608" s="478" t="s">
        <v>1940</v>
      </c>
      <c r="G9608" s="222" t="s">
        <v>1111</v>
      </c>
      <c r="H9608" s="223"/>
      <c r="I9608" s="223"/>
      <c r="J9608" s="224" t="s">
        <v>961</v>
      </c>
      <c r="K9608" s="225">
        <v>5089788.51</v>
      </c>
      <c r="L9608" s="225"/>
    </row>
    <row r="9609" spans="1:14" ht="11.25" customHeight="1" x14ac:dyDescent="0.2">
      <c r="A9609" s="226">
        <v>2025</v>
      </c>
      <c r="B9609" s="226">
        <v>10</v>
      </c>
      <c r="C9609" s="226">
        <v>29</v>
      </c>
      <c r="D9609" s="232">
        <f t="shared" ref="D9609:D9672" si="1120">DATE(A9609,B9609,C9609)</f>
        <v>45959</v>
      </c>
      <c r="E9609" s="234">
        <f t="shared" si="1119"/>
        <v>45959</v>
      </c>
      <c r="F9609" s="479"/>
      <c r="G9609" s="227" t="s">
        <v>1111</v>
      </c>
      <c r="H9609" s="228"/>
      <c r="I9609" s="228"/>
      <c r="J9609" s="229" t="s">
        <v>55</v>
      </c>
      <c r="K9609" s="230"/>
      <c r="L9609" s="230">
        <f>K9608</f>
        <v>5089788.51</v>
      </c>
    </row>
    <row r="9610" spans="1:14" ht="11.25" customHeight="1" x14ac:dyDescent="0.2">
      <c r="A9610" s="221">
        <v>2025</v>
      </c>
      <c r="B9610" s="221">
        <v>10</v>
      </c>
      <c r="C9610" s="221">
        <v>29</v>
      </c>
      <c r="D9610" s="231">
        <f t="shared" si="1120"/>
        <v>45959</v>
      </c>
      <c r="E9610" s="233">
        <f t="shared" ref="E9610:E9611" si="1121">DATE(A9610,B9610,C9610)</f>
        <v>45959</v>
      </c>
      <c r="F9610" s="478" t="s">
        <v>1889</v>
      </c>
      <c r="G9610" s="222" t="s">
        <v>1111</v>
      </c>
      <c r="H9610" s="223"/>
      <c r="I9610" s="223"/>
      <c r="J9610" s="224" t="s">
        <v>961</v>
      </c>
      <c r="K9610" s="225">
        <v>797432.8</v>
      </c>
      <c r="L9610" s="225"/>
    </row>
    <row r="9611" spans="1:14" ht="11.25" customHeight="1" x14ac:dyDescent="0.2">
      <c r="A9611" s="226">
        <v>2025</v>
      </c>
      <c r="B9611" s="226">
        <v>10</v>
      </c>
      <c r="C9611" s="226">
        <v>29</v>
      </c>
      <c r="D9611" s="232">
        <f t="shared" si="1120"/>
        <v>45959</v>
      </c>
      <c r="E9611" s="234">
        <f t="shared" si="1121"/>
        <v>45959</v>
      </c>
      <c r="F9611" s="479"/>
      <c r="G9611" s="227" t="s">
        <v>1111</v>
      </c>
      <c r="H9611" s="228"/>
      <c r="I9611" s="228"/>
      <c r="J9611" s="229" t="s">
        <v>55</v>
      </c>
      <c r="K9611" s="230"/>
      <c r="L9611" s="230">
        <f>K9610</f>
        <v>797432.8</v>
      </c>
    </row>
    <row r="9612" spans="1:14" ht="11.25" customHeight="1" x14ac:dyDescent="0.2">
      <c r="A9612" s="221">
        <v>2025</v>
      </c>
      <c r="B9612" s="221">
        <v>10</v>
      </c>
      <c r="C9612" s="221">
        <v>29</v>
      </c>
      <c r="D9612" s="231">
        <f t="shared" si="1120"/>
        <v>45959</v>
      </c>
      <c r="E9612" s="233">
        <f>DATE(A9612,B9612,C9612)</f>
        <v>45959</v>
      </c>
      <c r="F9612" s="478" t="s">
        <v>1142</v>
      </c>
      <c r="G9612" s="222" t="s">
        <v>1111</v>
      </c>
      <c r="H9612" s="223"/>
      <c r="I9612" s="223"/>
      <c r="J9612" s="224" t="s">
        <v>189</v>
      </c>
      <c r="K9612" s="225">
        <v>1575</v>
      </c>
      <c r="L9612" s="225"/>
    </row>
    <row r="9613" spans="1:14" ht="11.25" customHeight="1" x14ac:dyDescent="0.2">
      <c r="A9613" s="164">
        <v>2025</v>
      </c>
      <c r="B9613" s="164">
        <v>10</v>
      </c>
      <c r="C9613" s="164">
        <v>29</v>
      </c>
      <c r="D9613" s="156">
        <f t="shared" si="1120"/>
        <v>45959</v>
      </c>
      <c r="E9613" s="235">
        <f>DATE(A9613,B9613,C9613)</f>
        <v>45959</v>
      </c>
      <c r="F9613" s="480"/>
      <c r="G9613" s="208" t="s">
        <v>1111</v>
      </c>
      <c r="J9613" s="165" t="s">
        <v>1707</v>
      </c>
      <c r="K9613" s="205"/>
      <c r="L9613" s="205">
        <v>75</v>
      </c>
    </row>
    <row r="9614" spans="1:14" ht="11.25" customHeight="1" x14ac:dyDescent="0.2">
      <c r="A9614" s="226">
        <v>2025</v>
      </c>
      <c r="B9614" s="226">
        <v>10</v>
      </c>
      <c r="C9614" s="226">
        <v>29</v>
      </c>
      <c r="D9614" s="232">
        <f t="shared" si="1120"/>
        <v>45959</v>
      </c>
      <c r="E9614" s="234">
        <f>DATE(A9614,B9614,C9614)</f>
        <v>45959</v>
      </c>
      <c r="F9614" s="479"/>
      <c r="G9614" s="227" t="s">
        <v>1111</v>
      </c>
      <c r="H9614" s="228"/>
      <c r="I9614" s="228"/>
      <c r="J9614" s="229" t="s">
        <v>55</v>
      </c>
      <c r="K9614" s="230"/>
      <c r="L9614" s="230">
        <v>1500</v>
      </c>
    </row>
    <row r="9615" spans="1:14" ht="11.25" customHeight="1" x14ac:dyDescent="0.2">
      <c r="A9615" s="221">
        <v>2025</v>
      </c>
      <c r="B9615" s="221">
        <v>10</v>
      </c>
      <c r="C9615" s="221">
        <v>29</v>
      </c>
      <c r="D9615" s="231">
        <f t="shared" si="1120"/>
        <v>45959</v>
      </c>
      <c r="E9615" s="233">
        <f t="shared" ref="E9615:E9618" si="1122">DATE(A9615,B9615,C9615)</f>
        <v>45959</v>
      </c>
      <c r="F9615" s="478" t="s">
        <v>1889</v>
      </c>
      <c r="G9615" s="222" t="s">
        <v>1111</v>
      </c>
      <c r="H9615" s="223"/>
      <c r="I9615" s="223"/>
      <c r="J9615" s="224" t="s">
        <v>961</v>
      </c>
      <c r="K9615" s="225">
        <v>651670.9</v>
      </c>
      <c r="L9615" s="225"/>
    </row>
    <row r="9616" spans="1:14" ht="11.25" customHeight="1" x14ac:dyDescent="0.2">
      <c r="A9616" s="226">
        <v>2025</v>
      </c>
      <c r="B9616" s="226">
        <v>10</v>
      </c>
      <c r="C9616" s="226">
        <v>29</v>
      </c>
      <c r="D9616" s="232">
        <f t="shared" si="1120"/>
        <v>45959</v>
      </c>
      <c r="E9616" s="234">
        <f t="shared" si="1122"/>
        <v>45959</v>
      </c>
      <c r="F9616" s="479"/>
      <c r="G9616" s="227" t="s">
        <v>1111</v>
      </c>
      <c r="H9616" s="228"/>
      <c r="I9616" s="228"/>
      <c r="J9616" s="229" t="s">
        <v>55</v>
      </c>
      <c r="K9616" s="230"/>
      <c r="L9616" s="230">
        <f>K9615</f>
        <v>651670.9</v>
      </c>
    </row>
    <row r="9617" spans="1:14" ht="11.25" customHeight="1" x14ac:dyDescent="0.2">
      <c r="A9617" s="221">
        <v>2025</v>
      </c>
      <c r="B9617" s="221">
        <v>10</v>
      </c>
      <c r="C9617" s="221">
        <v>29</v>
      </c>
      <c r="D9617" s="231">
        <f t="shared" si="1120"/>
        <v>45959</v>
      </c>
      <c r="E9617" s="233">
        <f t="shared" si="1122"/>
        <v>45959</v>
      </c>
      <c r="F9617" s="478" t="s">
        <v>1670</v>
      </c>
      <c r="G9617" s="222" t="s">
        <v>1111</v>
      </c>
      <c r="H9617" s="223"/>
      <c r="I9617" s="223"/>
      <c r="J9617" s="224" t="s">
        <v>63</v>
      </c>
      <c r="K9617" s="225">
        <v>100</v>
      </c>
      <c r="L9617" s="225"/>
    </row>
    <row r="9618" spans="1:14" ht="11.25" customHeight="1" x14ac:dyDescent="0.2">
      <c r="A9618" s="226">
        <v>2025</v>
      </c>
      <c r="B9618" s="226">
        <v>10</v>
      </c>
      <c r="C9618" s="226">
        <v>29</v>
      </c>
      <c r="D9618" s="232">
        <f t="shared" si="1120"/>
        <v>45959</v>
      </c>
      <c r="E9618" s="234">
        <f t="shared" si="1122"/>
        <v>45959</v>
      </c>
      <c r="F9618" s="479"/>
      <c r="G9618" s="227" t="s">
        <v>1111</v>
      </c>
      <c r="H9618" s="228"/>
      <c r="I9618" s="228"/>
      <c r="J9618" s="229" t="s">
        <v>55</v>
      </c>
      <c r="K9618" s="230"/>
      <c r="L9618" s="230">
        <f>K9617</f>
        <v>100</v>
      </c>
    </row>
    <row r="9619" spans="1:14" ht="11.25" customHeight="1" x14ac:dyDescent="0.2">
      <c r="A9619" s="221">
        <v>2025</v>
      </c>
      <c r="B9619" s="221">
        <v>10</v>
      </c>
      <c r="C9619" s="221">
        <v>30</v>
      </c>
      <c r="D9619" s="221">
        <f t="shared" si="1120"/>
        <v>45960</v>
      </c>
      <c r="E9619" s="233">
        <f>DATE(A9619,B9619,C9619)</f>
        <v>45960</v>
      </c>
      <c r="F9619" s="478" t="s">
        <v>1937</v>
      </c>
      <c r="G9619" s="222" t="s">
        <v>86</v>
      </c>
      <c r="H9619" s="222"/>
      <c r="I9619" s="223"/>
      <c r="J9619" s="224" t="s">
        <v>80</v>
      </c>
      <c r="K9619" s="225">
        <v>361075</v>
      </c>
      <c r="L9619" s="225"/>
      <c r="N9619" s="263"/>
    </row>
    <row r="9620" spans="1:14" ht="11.25" customHeight="1" x14ac:dyDescent="0.2">
      <c r="A9620" s="164">
        <v>2025</v>
      </c>
      <c r="B9620" s="164">
        <v>10</v>
      </c>
      <c r="C9620" s="164">
        <v>30</v>
      </c>
      <c r="D9620" s="164">
        <f t="shared" si="1120"/>
        <v>45960</v>
      </c>
      <c r="E9620" s="235">
        <f>DATE(A9620,B9620,C9620)</f>
        <v>45960</v>
      </c>
      <c r="F9620" s="480"/>
      <c r="G9620" s="208" t="s">
        <v>86</v>
      </c>
      <c r="H9620" s="208"/>
      <c r="J9620" s="165" t="s">
        <v>960</v>
      </c>
      <c r="K9620" s="205">
        <v>3256.6</v>
      </c>
      <c r="L9620" s="205"/>
      <c r="M9620" s="263"/>
      <c r="N9620" s="263"/>
    </row>
    <row r="9621" spans="1:14" ht="11.25" customHeight="1" x14ac:dyDescent="0.2">
      <c r="A9621" s="164">
        <v>2025</v>
      </c>
      <c r="B9621" s="164">
        <v>10</v>
      </c>
      <c r="C9621" s="164">
        <v>30</v>
      </c>
      <c r="D9621" s="164">
        <f t="shared" si="1120"/>
        <v>45960</v>
      </c>
      <c r="E9621" s="235">
        <f>DATE(A9621,B9621,C9621)</f>
        <v>45960</v>
      </c>
      <c r="F9621" s="480"/>
      <c r="G9621" s="208" t="s">
        <v>86</v>
      </c>
      <c r="H9621" s="208"/>
      <c r="J9621" s="165" t="s">
        <v>199</v>
      </c>
      <c r="K9621" s="263">
        <v>1083818.3999999999</v>
      </c>
      <c r="L9621" s="205"/>
      <c r="M9621" s="263"/>
      <c r="N9621" s="263"/>
    </row>
    <row r="9622" spans="1:14" ht="11.25" customHeight="1" x14ac:dyDescent="0.2">
      <c r="A9622" s="164">
        <v>2025</v>
      </c>
      <c r="B9622" s="164">
        <v>10</v>
      </c>
      <c r="C9622" s="164">
        <v>30</v>
      </c>
      <c r="D9622" s="164">
        <f t="shared" si="1120"/>
        <v>45960</v>
      </c>
      <c r="E9622" s="235">
        <f>DATE(A9622,B9622,C9622)</f>
        <v>45960</v>
      </c>
      <c r="F9622" s="480"/>
      <c r="G9622" s="208" t="s">
        <v>86</v>
      </c>
      <c r="H9622" s="208"/>
      <c r="J9622" s="165" t="s">
        <v>200</v>
      </c>
      <c r="K9622" s="205">
        <v>38785.980000000003</v>
      </c>
      <c r="L9622" s="205"/>
      <c r="M9622" s="263"/>
      <c r="N9622" s="263"/>
    </row>
    <row r="9623" spans="1:14" ht="11.25" customHeight="1" x14ac:dyDescent="0.2">
      <c r="A9623" s="226">
        <v>2025</v>
      </c>
      <c r="B9623" s="226">
        <v>10</v>
      </c>
      <c r="C9623" s="226">
        <v>30</v>
      </c>
      <c r="D9623" s="226">
        <f t="shared" si="1120"/>
        <v>45960</v>
      </c>
      <c r="E9623" s="234">
        <f>DATE(A9623,B9623,C9623)</f>
        <v>45960</v>
      </c>
      <c r="F9623" s="479"/>
      <c r="G9623" s="227" t="s">
        <v>86</v>
      </c>
      <c r="H9623" s="228"/>
      <c r="I9623" s="228"/>
      <c r="J9623" s="229" t="s">
        <v>80</v>
      </c>
      <c r="K9623" s="230"/>
      <c r="L9623" s="230">
        <v>1486935.98</v>
      </c>
      <c r="M9623" s="263"/>
      <c r="N9623" s="263"/>
    </row>
    <row r="9624" spans="1:14" ht="11.25" customHeight="1" x14ac:dyDescent="0.2">
      <c r="A9624" s="221">
        <v>2025</v>
      </c>
      <c r="B9624" s="221">
        <v>10</v>
      </c>
      <c r="C9624" s="221">
        <v>30</v>
      </c>
      <c r="D9624" s="231">
        <f t="shared" si="1120"/>
        <v>45960</v>
      </c>
      <c r="E9624" s="233">
        <f t="shared" ref="E9624:E9637" si="1123">DATE(A9624,B9624,C9624)</f>
        <v>45960</v>
      </c>
      <c r="F9624" s="478" t="s">
        <v>1796</v>
      </c>
      <c r="G9624" s="222" t="s">
        <v>1111</v>
      </c>
      <c r="H9624" s="222"/>
      <c r="I9624" s="223"/>
      <c r="J9624" s="224" t="s">
        <v>1615</v>
      </c>
      <c r="K9624" s="225">
        <v>2203060.31</v>
      </c>
      <c r="L9624" s="225"/>
    </row>
    <row r="9625" spans="1:14" ht="11.25" customHeight="1" x14ac:dyDescent="0.2">
      <c r="A9625" s="226">
        <v>2025</v>
      </c>
      <c r="B9625" s="226">
        <v>10</v>
      </c>
      <c r="C9625" s="226">
        <v>30</v>
      </c>
      <c r="D9625" s="226">
        <f t="shared" si="1120"/>
        <v>45960</v>
      </c>
      <c r="E9625" s="234">
        <f t="shared" si="1123"/>
        <v>45960</v>
      </c>
      <c r="F9625" s="479"/>
      <c r="G9625" s="227" t="s">
        <v>1111</v>
      </c>
      <c r="H9625" s="227"/>
      <c r="I9625" s="228"/>
      <c r="J9625" s="229" t="s">
        <v>55</v>
      </c>
      <c r="K9625" s="294"/>
      <c r="L9625" s="230">
        <f>K9624</f>
        <v>2203060.31</v>
      </c>
    </row>
    <row r="9626" spans="1:14" ht="11.25" customHeight="1" x14ac:dyDescent="0.2">
      <c r="A9626" s="221">
        <v>2025</v>
      </c>
      <c r="B9626" s="221">
        <v>10</v>
      </c>
      <c r="C9626" s="221">
        <v>30</v>
      </c>
      <c r="D9626" s="231">
        <f t="shared" si="1120"/>
        <v>45960</v>
      </c>
      <c r="E9626" s="233">
        <f t="shared" si="1123"/>
        <v>45960</v>
      </c>
      <c r="F9626" s="478" t="s">
        <v>1821</v>
      </c>
      <c r="G9626" s="222" t="s">
        <v>1111</v>
      </c>
      <c r="H9626" s="223"/>
      <c r="I9626" s="223"/>
      <c r="J9626" s="165" t="s">
        <v>55</v>
      </c>
      <c r="K9626" s="225">
        <v>145187.5</v>
      </c>
      <c r="L9626" s="225"/>
    </row>
    <row r="9627" spans="1:14" ht="11.25" customHeight="1" x14ac:dyDescent="0.2">
      <c r="A9627" s="226">
        <v>2025</v>
      </c>
      <c r="B9627" s="226">
        <v>10</v>
      </c>
      <c r="C9627" s="226">
        <v>30</v>
      </c>
      <c r="D9627" s="232">
        <f t="shared" si="1120"/>
        <v>45960</v>
      </c>
      <c r="E9627" s="234">
        <f t="shared" si="1123"/>
        <v>45960</v>
      </c>
      <c r="F9627" s="479"/>
      <c r="G9627" s="227" t="s">
        <v>1111</v>
      </c>
      <c r="H9627" s="228"/>
      <c r="I9627" s="228"/>
      <c r="J9627" s="229" t="s">
        <v>131</v>
      </c>
      <c r="K9627" s="230"/>
      <c r="L9627" s="230">
        <v>145187.5</v>
      </c>
    </row>
    <row r="9628" spans="1:14" ht="11.25" customHeight="1" x14ac:dyDescent="0.2">
      <c r="A9628" s="221">
        <v>2025</v>
      </c>
      <c r="B9628" s="221">
        <v>10</v>
      </c>
      <c r="C9628" s="221">
        <v>30</v>
      </c>
      <c r="D9628" s="231">
        <f t="shared" si="1120"/>
        <v>45960</v>
      </c>
      <c r="E9628" s="233">
        <f t="shared" si="1123"/>
        <v>45960</v>
      </c>
      <c r="F9628" s="478" t="s">
        <v>1821</v>
      </c>
      <c r="G9628" s="222" t="s">
        <v>1111</v>
      </c>
      <c r="H9628" s="223"/>
      <c r="I9628" s="223"/>
      <c r="J9628" s="165" t="s">
        <v>55</v>
      </c>
      <c r="K9628" s="225">
        <v>145187.5</v>
      </c>
      <c r="L9628" s="225"/>
    </row>
    <row r="9629" spans="1:14" ht="11.25" customHeight="1" x14ac:dyDescent="0.2">
      <c r="A9629" s="226">
        <v>2025</v>
      </c>
      <c r="B9629" s="226">
        <v>10</v>
      </c>
      <c r="C9629" s="226">
        <v>30</v>
      </c>
      <c r="D9629" s="232">
        <f t="shared" si="1120"/>
        <v>45960</v>
      </c>
      <c r="E9629" s="234">
        <f t="shared" si="1123"/>
        <v>45960</v>
      </c>
      <c r="F9629" s="479"/>
      <c r="G9629" s="227" t="s">
        <v>1111</v>
      </c>
      <c r="H9629" s="228"/>
      <c r="I9629" s="228"/>
      <c r="J9629" s="229" t="s">
        <v>131</v>
      </c>
      <c r="K9629" s="230"/>
      <c r="L9629" s="230">
        <v>145187.5</v>
      </c>
    </row>
    <row r="9630" spans="1:14" ht="11.25" customHeight="1" x14ac:dyDescent="0.2">
      <c r="A9630" s="280">
        <v>2025</v>
      </c>
      <c r="B9630" s="280">
        <v>10</v>
      </c>
      <c r="C9630" s="280">
        <v>30</v>
      </c>
      <c r="D9630" s="281">
        <f t="shared" si="1120"/>
        <v>45960</v>
      </c>
      <c r="E9630" s="282">
        <f t="shared" si="1123"/>
        <v>45960</v>
      </c>
      <c r="F9630" s="472" t="s">
        <v>1744</v>
      </c>
      <c r="G9630" s="283" t="s">
        <v>86</v>
      </c>
      <c r="H9630" s="284"/>
      <c r="I9630" s="284"/>
      <c r="J9630" s="285" t="s">
        <v>131</v>
      </c>
      <c r="K9630" s="286">
        <v>19358.330000000002</v>
      </c>
      <c r="L9630" s="286"/>
      <c r="M9630" s="401"/>
    </row>
    <row r="9631" spans="1:14" ht="11.25" customHeight="1" x14ac:dyDescent="0.2">
      <c r="A9631" s="287">
        <v>2025</v>
      </c>
      <c r="B9631" s="287">
        <v>10</v>
      </c>
      <c r="C9631" s="287">
        <v>30</v>
      </c>
      <c r="D9631" s="288">
        <f t="shared" si="1120"/>
        <v>45960</v>
      </c>
      <c r="E9631" s="289">
        <f t="shared" si="1123"/>
        <v>45960</v>
      </c>
      <c r="F9631" s="473"/>
      <c r="G9631" s="290" t="s">
        <v>86</v>
      </c>
      <c r="H9631" s="291"/>
      <c r="I9631" s="291"/>
      <c r="J9631" s="292" t="s">
        <v>174</v>
      </c>
      <c r="K9631" s="293"/>
      <c r="L9631" s="293">
        <f>K9630</f>
        <v>19358.330000000002</v>
      </c>
    </row>
    <row r="9632" spans="1:14" ht="11.25" customHeight="1" x14ac:dyDescent="0.2">
      <c r="A9632" s="280">
        <v>2025</v>
      </c>
      <c r="B9632" s="280">
        <v>10</v>
      </c>
      <c r="C9632" s="280">
        <v>30</v>
      </c>
      <c r="D9632" s="281">
        <f t="shared" si="1120"/>
        <v>45960</v>
      </c>
      <c r="E9632" s="282">
        <f t="shared" si="1123"/>
        <v>45960</v>
      </c>
      <c r="F9632" s="472" t="s">
        <v>1584</v>
      </c>
      <c r="G9632" s="283" t="s">
        <v>86</v>
      </c>
      <c r="H9632" s="284"/>
      <c r="I9632" s="284"/>
      <c r="J9632" s="285" t="s">
        <v>131</v>
      </c>
      <c r="K9632" s="286">
        <v>8846.15</v>
      </c>
      <c r="L9632" s="286"/>
      <c r="M9632" s="401"/>
    </row>
    <row r="9633" spans="1:14" ht="11.25" customHeight="1" x14ac:dyDescent="0.2">
      <c r="A9633" s="287">
        <v>2025</v>
      </c>
      <c r="B9633" s="287">
        <v>10</v>
      </c>
      <c r="C9633" s="287">
        <v>30</v>
      </c>
      <c r="D9633" s="288">
        <f t="shared" si="1120"/>
        <v>45960</v>
      </c>
      <c r="E9633" s="289">
        <f t="shared" si="1123"/>
        <v>45960</v>
      </c>
      <c r="F9633" s="473"/>
      <c r="G9633" s="290" t="s">
        <v>86</v>
      </c>
      <c r="H9633" s="291"/>
      <c r="I9633" s="291"/>
      <c r="J9633" s="292" t="s">
        <v>174</v>
      </c>
      <c r="K9633" s="293"/>
      <c r="L9633" s="293">
        <f>K9632</f>
        <v>8846.15</v>
      </c>
    </row>
    <row r="9634" spans="1:14" ht="11.25" customHeight="1" x14ac:dyDescent="0.2">
      <c r="A9634" s="280">
        <v>2025</v>
      </c>
      <c r="B9634" s="280">
        <v>10</v>
      </c>
      <c r="C9634" s="280">
        <v>30</v>
      </c>
      <c r="D9634" s="281">
        <f t="shared" si="1120"/>
        <v>45960</v>
      </c>
      <c r="E9634" s="282">
        <f t="shared" ref="E9634:E9635" si="1124">DATE(A9634,B9634,C9634)</f>
        <v>45960</v>
      </c>
      <c r="F9634" s="472" t="s">
        <v>1955</v>
      </c>
      <c r="G9634" s="283" t="s">
        <v>86</v>
      </c>
      <c r="H9634" s="284"/>
      <c r="I9634" s="284"/>
      <c r="J9634" s="285" t="s">
        <v>1978</v>
      </c>
      <c r="K9634" s="286">
        <v>43298.076923076922</v>
      </c>
      <c r="L9634" s="286"/>
      <c r="M9634" s="401"/>
    </row>
    <row r="9635" spans="1:14" ht="11.25" customHeight="1" x14ac:dyDescent="0.2">
      <c r="A9635" s="287">
        <v>2025</v>
      </c>
      <c r="B9635" s="287">
        <v>10</v>
      </c>
      <c r="C9635" s="287">
        <v>30</v>
      </c>
      <c r="D9635" s="288">
        <f t="shared" si="1120"/>
        <v>45960</v>
      </c>
      <c r="E9635" s="289">
        <f t="shared" si="1124"/>
        <v>45960</v>
      </c>
      <c r="F9635" s="473"/>
      <c r="G9635" s="290" t="s">
        <v>86</v>
      </c>
      <c r="H9635" s="291"/>
      <c r="I9635" s="291"/>
      <c r="J9635" s="292" t="s">
        <v>1955</v>
      </c>
      <c r="K9635" s="293"/>
      <c r="L9635" s="293">
        <f>K9634</f>
        <v>43298.076923076922</v>
      </c>
    </row>
    <row r="9636" spans="1:14" ht="11.25" customHeight="1" x14ac:dyDescent="0.2">
      <c r="A9636" s="341">
        <v>2025</v>
      </c>
      <c r="B9636" s="341">
        <v>10</v>
      </c>
      <c r="C9636" s="341">
        <v>30</v>
      </c>
      <c r="D9636" s="328">
        <f t="shared" si="1120"/>
        <v>45960</v>
      </c>
      <c r="E9636" s="329">
        <f t="shared" si="1123"/>
        <v>45960</v>
      </c>
      <c r="F9636" s="474" t="s">
        <v>1767</v>
      </c>
      <c r="G9636" s="330" t="s">
        <v>86</v>
      </c>
      <c r="H9636" s="332"/>
      <c r="I9636" s="332"/>
      <c r="J9636" s="342" t="s">
        <v>67</v>
      </c>
      <c r="K9636" s="343">
        <v>5907.89</v>
      </c>
      <c r="L9636" s="343"/>
    </row>
    <row r="9637" spans="1:14" ht="11.25" customHeight="1" x14ac:dyDescent="0.2">
      <c r="A9637" s="344">
        <v>2025</v>
      </c>
      <c r="B9637" s="344">
        <v>10</v>
      </c>
      <c r="C9637" s="344">
        <v>30</v>
      </c>
      <c r="D9637" s="337">
        <f t="shared" si="1120"/>
        <v>45960</v>
      </c>
      <c r="E9637" s="338">
        <f t="shared" si="1123"/>
        <v>45960</v>
      </c>
      <c r="F9637" s="475"/>
      <c r="G9637" s="339" t="s">
        <v>86</v>
      </c>
      <c r="H9637" s="340"/>
      <c r="I9637" s="340"/>
      <c r="J9637" s="345" t="s">
        <v>174</v>
      </c>
      <c r="K9637" s="346"/>
      <c r="L9637" s="346">
        <f>K9636</f>
        <v>5907.89</v>
      </c>
    </row>
    <row r="9638" spans="1:14" ht="11.25" customHeight="1" x14ac:dyDescent="0.2">
      <c r="A9638" s="358">
        <v>2025</v>
      </c>
      <c r="B9638" s="358">
        <v>10</v>
      </c>
      <c r="C9638" s="358">
        <v>30</v>
      </c>
      <c r="D9638" s="312">
        <f t="shared" si="1120"/>
        <v>45960</v>
      </c>
      <c r="E9638" s="313">
        <f>DATE(A9638,B9638,C9638)</f>
        <v>45960</v>
      </c>
      <c r="F9638" s="482" t="s">
        <v>1627</v>
      </c>
      <c r="G9638" s="314" t="s">
        <v>86</v>
      </c>
      <c r="H9638" s="324"/>
      <c r="I9638" s="324"/>
      <c r="J9638" s="364" t="s">
        <v>1613</v>
      </c>
      <c r="K9638" s="365">
        <v>0</v>
      </c>
      <c r="L9638" s="365"/>
      <c r="M9638" s="156">
        <f>BS!$I$12</f>
        <v>0</v>
      </c>
    </row>
    <row r="9639" spans="1:14" ht="11.25" customHeight="1" x14ac:dyDescent="0.2">
      <c r="A9639" s="320">
        <v>2025</v>
      </c>
      <c r="B9639" s="320">
        <v>10</v>
      </c>
      <c r="C9639" s="320">
        <v>30</v>
      </c>
      <c r="D9639" s="323">
        <f t="shared" si="1120"/>
        <v>45960</v>
      </c>
      <c r="E9639" s="321">
        <f t="shared" ref="E9639" si="1125">DATE(A9639,B9639,C9639)</f>
        <v>45960</v>
      </c>
      <c r="F9639" s="483"/>
      <c r="G9639" s="322" t="s">
        <v>86</v>
      </c>
      <c r="H9639" s="325"/>
      <c r="I9639" s="325"/>
      <c r="J9639" s="366" t="s">
        <v>1621</v>
      </c>
      <c r="K9639" s="367"/>
      <c r="L9639" s="367">
        <f>K9638</f>
        <v>0</v>
      </c>
    </row>
    <row r="9640" spans="1:14" ht="11.25" customHeight="1" x14ac:dyDescent="0.2">
      <c r="A9640" s="358">
        <v>2025</v>
      </c>
      <c r="B9640" s="358">
        <v>10</v>
      </c>
      <c r="C9640" s="358">
        <v>30</v>
      </c>
      <c r="D9640" s="312">
        <f t="shared" si="1120"/>
        <v>45960</v>
      </c>
      <c r="E9640" s="313">
        <f>DATE(A9640,B9640,C9640)</f>
        <v>45960</v>
      </c>
      <c r="F9640" s="482" t="s">
        <v>1713</v>
      </c>
      <c r="G9640" s="314" t="s">
        <v>86</v>
      </c>
      <c r="H9640" s="324"/>
      <c r="I9640" s="324"/>
      <c r="J9640" s="364" t="s">
        <v>1614</v>
      </c>
      <c r="K9640" s="365">
        <v>207219.55205883738</v>
      </c>
      <c r="L9640" s="365"/>
      <c r="M9640" s="447">
        <f>BS!$I$15</f>
        <v>0</v>
      </c>
      <c r="N9640" s="166"/>
    </row>
    <row r="9641" spans="1:14" ht="11.25" customHeight="1" x14ac:dyDescent="0.2">
      <c r="A9641" s="320">
        <v>2025</v>
      </c>
      <c r="B9641" s="320">
        <v>10</v>
      </c>
      <c r="C9641" s="320">
        <v>30</v>
      </c>
      <c r="D9641" s="323">
        <f t="shared" si="1120"/>
        <v>45960</v>
      </c>
      <c r="E9641" s="321">
        <f t="shared" ref="E9641:E9673" si="1126">DATE(A9641,B9641,C9641)</f>
        <v>45960</v>
      </c>
      <c r="F9641" s="483"/>
      <c r="G9641" s="322" t="s">
        <v>86</v>
      </c>
      <c r="H9641" s="325"/>
      <c r="I9641" s="325"/>
      <c r="J9641" s="366" t="s">
        <v>1622</v>
      </c>
      <c r="K9641" s="367"/>
      <c r="L9641" s="367">
        <f>K9640</f>
        <v>207219.55205883738</v>
      </c>
    </row>
    <row r="9642" spans="1:14" ht="11.25" customHeight="1" x14ac:dyDescent="0.2">
      <c r="A9642" s="236">
        <v>2025</v>
      </c>
      <c r="B9642" s="236">
        <v>10</v>
      </c>
      <c r="C9642" s="236">
        <v>30</v>
      </c>
      <c r="D9642" s="237">
        <f t="shared" si="1120"/>
        <v>45960</v>
      </c>
      <c r="E9642" s="238">
        <f t="shared" si="1126"/>
        <v>45960</v>
      </c>
      <c r="F9642" s="476" t="s">
        <v>1118</v>
      </c>
      <c r="G9642" s="239" t="s">
        <v>86</v>
      </c>
      <c r="H9642" s="239"/>
      <c r="I9642" s="240"/>
      <c r="J9642" s="241" t="s">
        <v>82</v>
      </c>
      <c r="K9642" s="242">
        <v>2720824.4273999929</v>
      </c>
      <c r="L9642" s="242"/>
      <c r="M9642" s="156">
        <f>BS!$I$8</f>
        <v>0</v>
      </c>
    </row>
    <row r="9643" spans="1:14" ht="11.25" customHeight="1" x14ac:dyDescent="0.2">
      <c r="A9643" s="243">
        <v>2025</v>
      </c>
      <c r="B9643" s="243">
        <v>10</v>
      </c>
      <c r="C9643" s="243">
        <v>30</v>
      </c>
      <c r="D9643" s="248">
        <f t="shared" si="1120"/>
        <v>45960</v>
      </c>
      <c r="E9643" s="249">
        <f t="shared" si="1126"/>
        <v>45960</v>
      </c>
      <c r="F9643" s="477"/>
      <c r="G9643" s="244" t="s">
        <v>86</v>
      </c>
      <c r="H9643" s="244"/>
      <c r="I9643" s="245"/>
      <c r="J9643" s="246" t="s">
        <v>98</v>
      </c>
      <c r="K9643" s="247"/>
      <c r="L9643" s="247">
        <f>K9642</f>
        <v>2720824.4273999929</v>
      </c>
    </row>
    <row r="9644" spans="1:14" ht="11.25" customHeight="1" x14ac:dyDescent="0.2">
      <c r="A9644" s="236">
        <v>2025</v>
      </c>
      <c r="B9644" s="236">
        <v>10</v>
      </c>
      <c r="C9644" s="236">
        <v>30</v>
      </c>
      <c r="D9644" s="237">
        <f t="shared" si="1120"/>
        <v>45960</v>
      </c>
      <c r="E9644" s="238">
        <f t="shared" si="1126"/>
        <v>45960</v>
      </c>
      <c r="F9644" s="476" t="s">
        <v>1120</v>
      </c>
      <c r="G9644" s="239" t="s">
        <v>86</v>
      </c>
      <c r="H9644" s="239"/>
      <c r="I9644" s="240"/>
      <c r="J9644" s="241" t="s">
        <v>87</v>
      </c>
      <c r="K9644" s="242">
        <v>2747.2527472527472</v>
      </c>
      <c r="L9644" s="242"/>
      <c r="M9644" s="401"/>
    </row>
    <row r="9645" spans="1:14" ht="11.25" customHeight="1" x14ac:dyDescent="0.2">
      <c r="A9645" s="243">
        <v>2025</v>
      </c>
      <c r="B9645" s="243">
        <v>10</v>
      </c>
      <c r="C9645" s="243">
        <v>30</v>
      </c>
      <c r="D9645" s="248">
        <f t="shared" si="1120"/>
        <v>45960</v>
      </c>
      <c r="E9645" s="249">
        <f t="shared" si="1126"/>
        <v>45960</v>
      </c>
      <c r="F9645" s="477"/>
      <c r="G9645" s="244" t="s">
        <v>86</v>
      </c>
      <c r="H9645" s="244"/>
      <c r="I9645" s="245"/>
      <c r="J9645" s="246" t="s">
        <v>64</v>
      </c>
      <c r="K9645" s="247"/>
      <c r="L9645" s="247">
        <f>K9644</f>
        <v>2747.2527472527472</v>
      </c>
    </row>
    <row r="9646" spans="1:14" ht="11.25" customHeight="1" x14ac:dyDescent="0.2">
      <c r="A9646" s="236">
        <v>2025</v>
      </c>
      <c r="B9646" s="236">
        <v>10</v>
      </c>
      <c r="C9646" s="236">
        <v>30</v>
      </c>
      <c r="D9646" s="237">
        <f t="shared" si="1120"/>
        <v>45960</v>
      </c>
      <c r="E9646" s="238">
        <f t="shared" si="1126"/>
        <v>45960</v>
      </c>
      <c r="F9646" s="476" t="s">
        <v>1121</v>
      </c>
      <c r="G9646" s="239" t="s">
        <v>86</v>
      </c>
      <c r="H9646" s="239"/>
      <c r="I9646" s="240"/>
      <c r="J9646" s="241" t="s">
        <v>89</v>
      </c>
      <c r="K9646" s="242">
        <f>M9646</f>
        <v>86471.861650753766</v>
      </c>
      <c r="L9646" s="242"/>
      <c r="M9646" s="156">
        <v>86471.861650753766</v>
      </c>
    </row>
    <row r="9647" spans="1:14" ht="11.25" customHeight="1" x14ac:dyDescent="0.2">
      <c r="A9647" s="243">
        <v>2025</v>
      </c>
      <c r="B9647" s="243">
        <v>10</v>
      </c>
      <c r="C9647" s="243">
        <v>30</v>
      </c>
      <c r="D9647" s="248">
        <f t="shared" si="1120"/>
        <v>45960</v>
      </c>
      <c r="E9647" s="249">
        <f t="shared" si="1126"/>
        <v>45960</v>
      </c>
      <c r="F9647" s="477"/>
      <c r="G9647" s="244" t="s">
        <v>86</v>
      </c>
      <c r="H9647" s="244"/>
      <c r="I9647" s="245"/>
      <c r="J9647" s="246" t="s">
        <v>50</v>
      </c>
      <c r="K9647" s="247"/>
      <c r="L9647" s="247">
        <f>K9646</f>
        <v>86471.861650753766</v>
      </c>
      <c r="M9647" s="156">
        <v>4083.2084671530733</v>
      </c>
    </row>
    <row r="9648" spans="1:14" ht="11.25" customHeight="1" x14ac:dyDescent="0.2">
      <c r="A9648" s="236">
        <v>2025</v>
      </c>
      <c r="B9648" s="236">
        <v>10</v>
      </c>
      <c r="C9648" s="236">
        <v>30</v>
      </c>
      <c r="D9648" s="237">
        <f t="shared" si="1120"/>
        <v>45960</v>
      </c>
      <c r="E9648" s="238">
        <f t="shared" si="1126"/>
        <v>45960</v>
      </c>
      <c r="F9648" s="476" t="s">
        <v>1122</v>
      </c>
      <c r="G9648" s="239" t="s">
        <v>86</v>
      </c>
      <c r="H9648" s="239"/>
      <c r="I9648" s="240"/>
      <c r="J9648" s="241" t="s">
        <v>91</v>
      </c>
      <c r="K9648" s="242">
        <f>M9647</f>
        <v>4083.2084671530733</v>
      </c>
      <c r="L9648" s="242"/>
    </row>
    <row r="9649" spans="1:14" ht="11.25" customHeight="1" x14ac:dyDescent="0.2">
      <c r="A9649" s="243">
        <v>2025</v>
      </c>
      <c r="B9649" s="243">
        <v>10</v>
      </c>
      <c r="C9649" s="243">
        <v>30</v>
      </c>
      <c r="D9649" s="248">
        <f t="shared" si="1120"/>
        <v>45960</v>
      </c>
      <c r="E9649" s="249">
        <f t="shared" si="1126"/>
        <v>45960</v>
      </c>
      <c r="F9649" s="477"/>
      <c r="G9649" s="244" t="s">
        <v>86</v>
      </c>
      <c r="H9649" s="244"/>
      <c r="I9649" s="245"/>
      <c r="J9649" s="246" t="s">
        <v>51</v>
      </c>
      <c r="K9649" s="247"/>
      <c r="L9649" s="247">
        <f>K9648</f>
        <v>4083.2084671530733</v>
      </c>
    </row>
    <row r="9650" spans="1:14" ht="11.25" customHeight="1" x14ac:dyDescent="0.2">
      <c r="A9650" s="221">
        <v>2025</v>
      </c>
      <c r="B9650" s="221">
        <v>11</v>
      </c>
      <c r="C9650" s="221">
        <v>2</v>
      </c>
      <c r="D9650" s="221">
        <f t="shared" si="1120"/>
        <v>45963</v>
      </c>
      <c r="E9650" s="233">
        <f>DATE(A9650,B9650,C9650)</f>
        <v>45963</v>
      </c>
      <c r="F9650" s="478" t="s">
        <v>1937</v>
      </c>
      <c r="G9650" s="222" t="s">
        <v>86</v>
      </c>
      <c r="H9650" s="222"/>
      <c r="I9650" s="223"/>
      <c r="J9650" s="224" t="s">
        <v>80</v>
      </c>
      <c r="K9650" s="225">
        <v>725800</v>
      </c>
      <c r="L9650" s="225"/>
      <c r="N9650" s="263"/>
    </row>
    <row r="9651" spans="1:14" ht="11.25" customHeight="1" x14ac:dyDescent="0.2">
      <c r="A9651" s="164">
        <v>2025</v>
      </c>
      <c r="B9651" s="164">
        <v>11</v>
      </c>
      <c r="C9651" s="164">
        <v>2</v>
      </c>
      <c r="D9651" s="164">
        <f t="shared" si="1120"/>
        <v>45963</v>
      </c>
      <c r="E9651" s="235">
        <f>DATE(A9651,B9651,C9651)</f>
        <v>45963</v>
      </c>
      <c r="F9651" s="480"/>
      <c r="G9651" s="208" t="s">
        <v>86</v>
      </c>
      <c r="H9651" s="208"/>
      <c r="J9651" s="165" t="s">
        <v>960</v>
      </c>
      <c r="K9651" s="205">
        <v>1791.54</v>
      </c>
      <c r="L9651" s="205"/>
      <c r="M9651" s="263"/>
      <c r="N9651" s="263"/>
    </row>
    <row r="9652" spans="1:14" ht="11.25" customHeight="1" x14ac:dyDescent="0.2">
      <c r="A9652" s="164">
        <v>2025</v>
      </c>
      <c r="B9652" s="164">
        <v>11</v>
      </c>
      <c r="C9652" s="164">
        <v>2</v>
      </c>
      <c r="D9652" s="164">
        <f t="shared" si="1120"/>
        <v>45963</v>
      </c>
      <c r="E9652" s="235">
        <f>DATE(A9652,B9652,C9652)</f>
        <v>45963</v>
      </c>
      <c r="F9652" s="480"/>
      <c r="G9652" s="208" t="s">
        <v>86</v>
      </c>
      <c r="H9652" s="208"/>
      <c r="J9652" s="165" t="s">
        <v>961</v>
      </c>
      <c r="K9652" s="263"/>
      <c r="L9652" s="205">
        <v>458091.54</v>
      </c>
      <c r="M9652" s="263"/>
      <c r="N9652" s="263"/>
    </row>
    <row r="9653" spans="1:14" ht="11.25" customHeight="1" x14ac:dyDescent="0.2">
      <c r="A9653" s="164">
        <v>2025</v>
      </c>
      <c r="B9653" s="164">
        <v>11</v>
      </c>
      <c r="C9653" s="164">
        <v>2</v>
      </c>
      <c r="D9653" s="164">
        <f t="shared" si="1120"/>
        <v>45963</v>
      </c>
      <c r="E9653" s="235">
        <f>DATE(A9653,B9653,C9653)</f>
        <v>45963</v>
      </c>
      <c r="F9653" s="480"/>
      <c r="G9653" s="208" t="s">
        <v>86</v>
      </c>
      <c r="H9653" s="208"/>
      <c r="J9653" s="165" t="s">
        <v>200</v>
      </c>
      <c r="K9653" s="205"/>
      <c r="L9653" s="205">
        <v>369.43</v>
      </c>
      <c r="M9653" s="263"/>
      <c r="N9653" s="263"/>
    </row>
    <row r="9654" spans="1:14" ht="11.25" customHeight="1" x14ac:dyDescent="0.2">
      <c r="A9654" s="226">
        <v>2025</v>
      </c>
      <c r="B9654" s="226">
        <v>11</v>
      </c>
      <c r="C9654" s="226">
        <v>2</v>
      </c>
      <c r="D9654" s="226">
        <f t="shared" si="1120"/>
        <v>45963</v>
      </c>
      <c r="E9654" s="234">
        <f>DATE(A9654,B9654,C9654)</f>
        <v>45963</v>
      </c>
      <c r="F9654" s="479"/>
      <c r="G9654" s="227" t="s">
        <v>86</v>
      </c>
      <c r="H9654" s="228"/>
      <c r="I9654" s="228"/>
      <c r="J9654" s="229" t="s">
        <v>80</v>
      </c>
      <c r="K9654" s="230"/>
      <c r="L9654" s="230">
        <v>269130.57</v>
      </c>
      <c r="M9654" s="263"/>
      <c r="N9654" s="263"/>
    </row>
    <row r="9655" spans="1:14" ht="11.25" customHeight="1" x14ac:dyDescent="0.2">
      <c r="A9655" s="221">
        <v>2025</v>
      </c>
      <c r="B9655" s="221">
        <v>11</v>
      </c>
      <c r="C9655" s="221">
        <v>3</v>
      </c>
      <c r="D9655" s="221">
        <f t="shared" si="1120"/>
        <v>45964</v>
      </c>
      <c r="E9655" s="233">
        <f t="shared" ref="E9655:E9657" si="1127">DATE(A9655,B9655,C9655)</f>
        <v>45964</v>
      </c>
      <c r="F9655" s="478" t="s">
        <v>1936</v>
      </c>
      <c r="G9655" s="222" t="s">
        <v>86</v>
      </c>
      <c r="H9655" s="222"/>
      <c r="I9655" s="223"/>
      <c r="J9655" s="224" t="s">
        <v>80</v>
      </c>
      <c r="K9655" s="225">
        <v>1429775</v>
      </c>
      <c r="L9655" s="225"/>
    </row>
    <row r="9656" spans="1:14" ht="11.25" customHeight="1" x14ac:dyDescent="0.2">
      <c r="A9656" s="164">
        <v>2025</v>
      </c>
      <c r="B9656" s="164">
        <v>11</v>
      </c>
      <c r="C9656" s="164">
        <v>3</v>
      </c>
      <c r="D9656" s="164">
        <f t="shared" si="1120"/>
        <v>45964</v>
      </c>
      <c r="E9656" s="235">
        <f t="shared" si="1127"/>
        <v>45964</v>
      </c>
      <c r="F9656" s="480"/>
      <c r="G9656" s="208" t="s">
        <v>86</v>
      </c>
      <c r="H9656" s="208"/>
      <c r="J9656" s="165" t="s">
        <v>960</v>
      </c>
      <c r="K9656" s="205">
        <v>2573.6</v>
      </c>
      <c r="L9656" s="205"/>
    </row>
    <row r="9657" spans="1:14" ht="11.25" customHeight="1" x14ac:dyDescent="0.2">
      <c r="A9657" s="226">
        <v>2025</v>
      </c>
      <c r="B9657" s="226">
        <v>11</v>
      </c>
      <c r="C9657" s="226">
        <v>3</v>
      </c>
      <c r="D9657" s="226">
        <f t="shared" si="1120"/>
        <v>45964</v>
      </c>
      <c r="E9657" s="234">
        <f t="shared" si="1127"/>
        <v>45964</v>
      </c>
      <c r="F9657" s="479"/>
      <c r="G9657" s="227" t="s">
        <v>86</v>
      </c>
      <c r="H9657" s="227"/>
      <c r="I9657" s="228"/>
      <c r="J9657" s="229" t="s">
        <v>143</v>
      </c>
      <c r="K9657" s="230"/>
      <c r="L9657" s="230">
        <v>1432348.6</v>
      </c>
    </row>
    <row r="9658" spans="1:14" ht="11.25" customHeight="1" x14ac:dyDescent="0.2">
      <c r="A9658" s="221">
        <v>2025</v>
      </c>
      <c r="B9658" s="221">
        <v>11</v>
      </c>
      <c r="C9658" s="221">
        <v>3</v>
      </c>
      <c r="D9658" s="231">
        <f t="shared" si="1120"/>
        <v>45964</v>
      </c>
      <c r="E9658" s="233">
        <f t="shared" si="1126"/>
        <v>45964</v>
      </c>
      <c r="F9658" s="478" t="s">
        <v>1945</v>
      </c>
      <c r="G9658" s="222" t="s">
        <v>1111</v>
      </c>
      <c r="H9658" s="223"/>
      <c r="I9658" s="223"/>
      <c r="J9658" s="224" t="s">
        <v>55</v>
      </c>
      <c r="K9658" s="225">
        <v>489834.96</v>
      </c>
      <c r="L9658" s="225"/>
    </row>
    <row r="9659" spans="1:14" ht="11.25" customHeight="1" x14ac:dyDescent="0.2">
      <c r="A9659" s="226">
        <v>2025</v>
      </c>
      <c r="B9659" s="226">
        <v>11</v>
      </c>
      <c r="C9659" s="226">
        <v>3</v>
      </c>
      <c r="D9659" s="232">
        <f t="shared" si="1120"/>
        <v>45964</v>
      </c>
      <c r="E9659" s="234">
        <f t="shared" si="1126"/>
        <v>45964</v>
      </c>
      <c r="F9659" s="479"/>
      <c r="G9659" s="227" t="s">
        <v>1111</v>
      </c>
      <c r="H9659" s="228"/>
      <c r="I9659" s="228"/>
      <c r="J9659" s="229" t="s">
        <v>199</v>
      </c>
      <c r="K9659" s="230"/>
      <c r="L9659" s="230">
        <f>K9658</f>
        <v>489834.96</v>
      </c>
    </row>
    <row r="9660" spans="1:14" ht="11.25" customHeight="1" x14ac:dyDescent="0.2">
      <c r="A9660" s="221">
        <v>2025</v>
      </c>
      <c r="B9660" s="221">
        <v>11</v>
      </c>
      <c r="C9660" s="221">
        <v>3</v>
      </c>
      <c r="D9660" s="231">
        <f t="shared" si="1120"/>
        <v>45964</v>
      </c>
      <c r="E9660" s="233">
        <f t="shared" si="1126"/>
        <v>45964</v>
      </c>
      <c r="F9660" s="478" t="s">
        <v>1670</v>
      </c>
      <c r="G9660" s="222" t="s">
        <v>1111</v>
      </c>
      <c r="H9660" s="223"/>
      <c r="I9660" s="223"/>
      <c r="J9660" s="224" t="s">
        <v>63</v>
      </c>
      <c r="K9660" s="225">
        <v>1000</v>
      </c>
      <c r="L9660" s="225"/>
    </row>
    <row r="9661" spans="1:14" ht="11.25" customHeight="1" x14ac:dyDescent="0.2">
      <c r="A9661" s="226">
        <v>2025</v>
      </c>
      <c r="B9661" s="226">
        <v>11</v>
      </c>
      <c r="C9661" s="226">
        <v>3</v>
      </c>
      <c r="D9661" s="232">
        <f t="shared" si="1120"/>
        <v>45964</v>
      </c>
      <c r="E9661" s="234">
        <f t="shared" si="1126"/>
        <v>45964</v>
      </c>
      <c r="F9661" s="479"/>
      <c r="G9661" s="227" t="s">
        <v>1111</v>
      </c>
      <c r="H9661" s="228"/>
      <c r="I9661" s="228"/>
      <c r="J9661" s="229" t="s">
        <v>55</v>
      </c>
      <c r="K9661" s="230"/>
      <c r="L9661" s="230">
        <f>K9660</f>
        <v>1000</v>
      </c>
    </row>
    <row r="9662" spans="1:14" ht="11.25" customHeight="1" x14ac:dyDescent="0.2">
      <c r="A9662" s="221">
        <v>2025</v>
      </c>
      <c r="B9662" s="221">
        <v>11</v>
      </c>
      <c r="C9662" s="221">
        <v>4</v>
      </c>
      <c r="D9662" s="231">
        <f t="shared" si="1120"/>
        <v>45965</v>
      </c>
      <c r="E9662" s="233">
        <f t="shared" si="1126"/>
        <v>45965</v>
      </c>
      <c r="F9662" s="478" t="s">
        <v>1940</v>
      </c>
      <c r="G9662" s="222" t="s">
        <v>1111</v>
      </c>
      <c r="H9662" s="223"/>
      <c r="I9662" s="223"/>
      <c r="J9662" s="224" t="s">
        <v>961</v>
      </c>
      <c r="K9662" s="225">
        <v>1773245.91</v>
      </c>
      <c r="L9662" s="225"/>
    </row>
    <row r="9663" spans="1:14" ht="11.25" customHeight="1" x14ac:dyDescent="0.2">
      <c r="A9663" s="226">
        <v>2025</v>
      </c>
      <c r="B9663" s="226">
        <v>11</v>
      </c>
      <c r="C9663" s="226">
        <v>4</v>
      </c>
      <c r="D9663" s="232">
        <f t="shared" si="1120"/>
        <v>45965</v>
      </c>
      <c r="E9663" s="234">
        <f t="shared" si="1126"/>
        <v>45965</v>
      </c>
      <c r="F9663" s="479"/>
      <c r="G9663" s="227" t="s">
        <v>1111</v>
      </c>
      <c r="H9663" s="228"/>
      <c r="I9663" s="228"/>
      <c r="J9663" s="229" t="s">
        <v>55</v>
      </c>
      <c r="K9663" s="230"/>
      <c r="L9663" s="230">
        <f>K9662</f>
        <v>1773245.91</v>
      </c>
    </row>
    <row r="9664" spans="1:14" ht="11.25" customHeight="1" x14ac:dyDescent="0.2">
      <c r="A9664" s="221">
        <v>2025</v>
      </c>
      <c r="B9664" s="221">
        <v>11</v>
      </c>
      <c r="C9664" s="221">
        <v>4</v>
      </c>
      <c r="D9664" s="231">
        <f t="shared" si="1120"/>
        <v>45965</v>
      </c>
      <c r="E9664" s="233">
        <f t="shared" ref="E9664:E9665" si="1128">DATE(A9664,B9664,C9664)</f>
        <v>45965</v>
      </c>
      <c r="F9664" s="478" t="s">
        <v>1670</v>
      </c>
      <c r="G9664" s="222" t="s">
        <v>1111</v>
      </c>
      <c r="H9664" s="223"/>
      <c r="I9664" s="223"/>
      <c r="J9664" s="224" t="s">
        <v>63</v>
      </c>
      <c r="K9664" s="225">
        <v>200</v>
      </c>
      <c r="L9664" s="225"/>
    </row>
    <row r="9665" spans="1:14" ht="11.25" customHeight="1" x14ac:dyDescent="0.2">
      <c r="A9665" s="226">
        <v>2025</v>
      </c>
      <c r="B9665" s="226">
        <v>11</v>
      </c>
      <c r="C9665" s="226">
        <v>4</v>
      </c>
      <c r="D9665" s="232">
        <f t="shared" si="1120"/>
        <v>45965</v>
      </c>
      <c r="E9665" s="234">
        <f t="shared" si="1128"/>
        <v>45965</v>
      </c>
      <c r="F9665" s="479"/>
      <c r="G9665" s="227" t="s">
        <v>1111</v>
      </c>
      <c r="H9665" s="228"/>
      <c r="I9665" s="228"/>
      <c r="J9665" s="229" t="s">
        <v>55</v>
      </c>
      <c r="K9665" s="230"/>
      <c r="L9665" s="230">
        <f>K9664</f>
        <v>200</v>
      </c>
    </row>
    <row r="9666" spans="1:14" ht="11.25" customHeight="1" x14ac:dyDescent="0.2">
      <c r="A9666" s="221">
        <v>2025</v>
      </c>
      <c r="B9666" s="221">
        <v>11</v>
      </c>
      <c r="C9666" s="221">
        <v>4</v>
      </c>
      <c r="D9666" s="221">
        <f t="shared" si="1120"/>
        <v>45965</v>
      </c>
      <c r="E9666" s="233">
        <f>DATE(A9666,B9666,C9666)</f>
        <v>45965</v>
      </c>
      <c r="F9666" s="478" t="s">
        <v>1937</v>
      </c>
      <c r="G9666" s="222" t="s">
        <v>86</v>
      </c>
      <c r="H9666" s="222"/>
      <c r="I9666" s="223"/>
      <c r="J9666" s="224" t="s">
        <v>80</v>
      </c>
      <c r="K9666" s="225">
        <v>410750</v>
      </c>
      <c r="L9666" s="225"/>
      <c r="N9666" s="263"/>
    </row>
    <row r="9667" spans="1:14" ht="11.25" customHeight="1" x14ac:dyDescent="0.2">
      <c r="A9667" s="164">
        <v>2025</v>
      </c>
      <c r="B9667" s="164">
        <v>11</v>
      </c>
      <c r="C9667" s="164">
        <v>4</v>
      </c>
      <c r="D9667" s="164">
        <f t="shared" si="1120"/>
        <v>45965</v>
      </c>
      <c r="E9667" s="235">
        <f>DATE(A9667,B9667,C9667)</f>
        <v>45965</v>
      </c>
      <c r="F9667" s="480"/>
      <c r="G9667" s="208" t="s">
        <v>86</v>
      </c>
      <c r="H9667" s="208"/>
      <c r="J9667" s="165" t="s">
        <v>960</v>
      </c>
      <c r="K9667" s="205">
        <v>2009.51</v>
      </c>
      <c r="L9667" s="205"/>
      <c r="M9667" s="263"/>
      <c r="N9667" s="263"/>
    </row>
    <row r="9668" spans="1:14" ht="11.25" customHeight="1" x14ac:dyDescent="0.2">
      <c r="A9668" s="164">
        <v>2025</v>
      </c>
      <c r="B9668" s="164">
        <v>11</v>
      </c>
      <c r="C9668" s="164">
        <v>4</v>
      </c>
      <c r="D9668" s="164">
        <f t="shared" si="1120"/>
        <v>45965</v>
      </c>
      <c r="E9668" s="235">
        <f>DATE(A9668,B9668,C9668)</f>
        <v>45965</v>
      </c>
      <c r="F9668" s="480"/>
      <c r="G9668" s="208" t="s">
        <v>86</v>
      </c>
      <c r="H9668" s="208"/>
      <c r="J9668" s="165" t="s">
        <v>199</v>
      </c>
      <c r="K9668" s="263">
        <v>292882.49</v>
      </c>
      <c r="L9668" s="205"/>
      <c r="M9668" s="263"/>
      <c r="N9668" s="263"/>
    </row>
    <row r="9669" spans="1:14" ht="11.25" customHeight="1" x14ac:dyDescent="0.2">
      <c r="A9669" s="164">
        <v>2025</v>
      </c>
      <c r="B9669" s="164">
        <v>11</v>
      </c>
      <c r="C9669" s="164">
        <v>4</v>
      </c>
      <c r="D9669" s="164">
        <f t="shared" si="1120"/>
        <v>45965</v>
      </c>
      <c r="E9669" s="235">
        <f>DATE(A9669,B9669,C9669)</f>
        <v>45965</v>
      </c>
      <c r="F9669" s="480"/>
      <c r="G9669" s="208" t="s">
        <v>86</v>
      </c>
      <c r="H9669" s="208"/>
      <c r="J9669" s="165" t="s">
        <v>200</v>
      </c>
      <c r="K9669" s="205">
        <v>10245.32</v>
      </c>
      <c r="L9669" s="205"/>
      <c r="M9669" s="263"/>
      <c r="N9669" s="263"/>
    </row>
    <row r="9670" spans="1:14" ht="11.25" customHeight="1" x14ac:dyDescent="0.2">
      <c r="A9670" s="226">
        <v>2025</v>
      </c>
      <c r="B9670" s="226">
        <v>11</v>
      </c>
      <c r="C9670" s="226">
        <v>4</v>
      </c>
      <c r="D9670" s="226">
        <f t="shared" si="1120"/>
        <v>45965</v>
      </c>
      <c r="E9670" s="234">
        <f>DATE(A9670,B9670,C9670)</f>
        <v>45965</v>
      </c>
      <c r="F9670" s="479"/>
      <c r="G9670" s="227" t="s">
        <v>86</v>
      </c>
      <c r="H9670" s="228"/>
      <c r="I9670" s="228"/>
      <c r="J9670" s="229" t="s">
        <v>80</v>
      </c>
      <c r="K9670" s="230"/>
      <c r="L9670" s="230">
        <v>715887.32</v>
      </c>
      <c r="M9670" s="263"/>
      <c r="N9670" s="263"/>
    </row>
    <row r="9671" spans="1:14" ht="11.25" customHeight="1" x14ac:dyDescent="0.2">
      <c r="A9671" s="221">
        <v>2025</v>
      </c>
      <c r="B9671" s="221">
        <v>11</v>
      </c>
      <c r="C9671" s="221">
        <v>5</v>
      </c>
      <c r="D9671" s="231">
        <f t="shared" si="1120"/>
        <v>45966</v>
      </c>
      <c r="E9671" s="233">
        <f t="shared" si="1126"/>
        <v>45966</v>
      </c>
      <c r="F9671" s="478" t="s">
        <v>1115</v>
      </c>
      <c r="G9671" s="222" t="s">
        <v>1111</v>
      </c>
      <c r="H9671" s="223"/>
      <c r="I9671" s="223"/>
      <c r="J9671" s="224" t="s">
        <v>14</v>
      </c>
      <c r="K9671" s="167">
        <v>8390</v>
      </c>
      <c r="L9671" s="225"/>
    </row>
    <row r="9672" spans="1:14" ht="11.25" customHeight="1" x14ac:dyDescent="0.2">
      <c r="A9672" s="164">
        <v>2025</v>
      </c>
      <c r="B9672" s="164">
        <v>11</v>
      </c>
      <c r="C9672" s="164">
        <v>5</v>
      </c>
      <c r="D9672" s="156">
        <f t="shared" si="1120"/>
        <v>45966</v>
      </c>
      <c r="E9672" s="235">
        <f t="shared" si="1126"/>
        <v>45966</v>
      </c>
      <c r="F9672" s="480"/>
      <c r="G9672" s="208" t="s">
        <v>1111</v>
      </c>
      <c r="J9672" s="165" t="s">
        <v>1112</v>
      </c>
      <c r="K9672" s="167">
        <v>1610</v>
      </c>
      <c r="L9672" s="205"/>
    </row>
    <row r="9673" spans="1:14" ht="11.25" customHeight="1" x14ac:dyDescent="0.2">
      <c r="A9673" s="226">
        <v>2025</v>
      </c>
      <c r="B9673" s="226">
        <v>11</v>
      </c>
      <c r="C9673" s="226">
        <v>5</v>
      </c>
      <c r="D9673" s="232">
        <f t="shared" ref="D9673:D9736" si="1129">DATE(A9673,B9673,C9673)</f>
        <v>45966</v>
      </c>
      <c r="E9673" s="234">
        <f t="shared" si="1126"/>
        <v>45966</v>
      </c>
      <c r="F9673" s="479"/>
      <c r="G9673" s="227" t="s">
        <v>1111</v>
      </c>
      <c r="H9673" s="228"/>
      <c r="I9673" s="228"/>
      <c r="J9673" s="229" t="s">
        <v>55</v>
      </c>
      <c r="K9673" s="230"/>
      <c r="L9673" s="230">
        <v>10000</v>
      </c>
    </row>
    <row r="9674" spans="1:14" ht="11.25" customHeight="1" x14ac:dyDescent="0.2">
      <c r="A9674" s="221">
        <v>2025</v>
      </c>
      <c r="B9674" s="221">
        <v>11</v>
      </c>
      <c r="C9674" s="221">
        <v>5</v>
      </c>
      <c r="D9674" s="231">
        <f t="shared" si="1129"/>
        <v>45966</v>
      </c>
      <c r="E9674" s="233">
        <f t="shared" ref="E9674:E9675" si="1130">DATE(A9674,B9674,C9674)</f>
        <v>45966</v>
      </c>
      <c r="F9674" s="478" t="s">
        <v>1945</v>
      </c>
      <c r="G9674" s="222" t="s">
        <v>1111</v>
      </c>
      <c r="H9674" s="223"/>
      <c r="I9674" s="223"/>
      <c r="J9674" s="224" t="s">
        <v>55</v>
      </c>
      <c r="K9674" s="225">
        <v>339627.16</v>
      </c>
      <c r="L9674" s="225"/>
    </row>
    <row r="9675" spans="1:14" ht="11.25" customHeight="1" x14ac:dyDescent="0.2">
      <c r="A9675" s="226">
        <v>2025</v>
      </c>
      <c r="B9675" s="226">
        <v>11</v>
      </c>
      <c r="C9675" s="226">
        <v>5</v>
      </c>
      <c r="D9675" s="232">
        <f t="shared" si="1129"/>
        <v>45966</v>
      </c>
      <c r="E9675" s="234">
        <f t="shared" si="1130"/>
        <v>45966</v>
      </c>
      <c r="F9675" s="479"/>
      <c r="G9675" s="227" t="s">
        <v>1111</v>
      </c>
      <c r="H9675" s="228"/>
      <c r="I9675" s="228"/>
      <c r="J9675" s="229" t="s">
        <v>199</v>
      </c>
      <c r="K9675" s="230"/>
      <c r="L9675" s="230">
        <f>K9674</f>
        <v>339627.16</v>
      </c>
    </row>
    <row r="9676" spans="1:14" ht="11.25" customHeight="1" x14ac:dyDescent="0.2">
      <c r="A9676" s="221">
        <v>2025</v>
      </c>
      <c r="B9676" s="221">
        <v>11</v>
      </c>
      <c r="C9676" s="221">
        <v>5</v>
      </c>
      <c r="D9676" s="221">
        <f t="shared" si="1129"/>
        <v>45966</v>
      </c>
      <c r="E9676" s="233">
        <f>DATE(A9676,B9676,C9676)</f>
        <v>45966</v>
      </c>
      <c r="F9676" s="478" t="s">
        <v>1937</v>
      </c>
      <c r="G9676" s="222" t="s">
        <v>86</v>
      </c>
      <c r="H9676" s="222"/>
      <c r="I9676" s="223"/>
      <c r="J9676" s="224" t="s">
        <v>80</v>
      </c>
      <c r="K9676" s="225">
        <v>533375</v>
      </c>
      <c r="L9676" s="225"/>
      <c r="N9676" s="263"/>
    </row>
    <row r="9677" spans="1:14" ht="11.25" customHeight="1" x14ac:dyDescent="0.2">
      <c r="A9677" s="164">
        <v>2025</v>
      </c>
      <c r="B9677" s="164">
        <v>11</v>
      </c>
      <c r="C9677" s="164">
        <v>5</v>
      </c>
      <c r="D9677" s="164">
        <f t="shared" si="1129"/>
        <v>45966</v>
      </c>
      <c r="E9677" s="235">
        <f>DATE(A9677,B9677,C9677)</f>
        <v>45966</v>
      </c>
      <c r="F9677" s="480"/>
      <c r="G9677" s="208" t="s">
        <v>86</v>
      </c>
      <c r="H9677" s="208"/>
      <c r="J9677" s="165" t="s">
        <v>960</v>
      </c>
      <c r="K9677" s="205">
        <v>1232.96</v>
      </c>
      <c r="L9677" s="205"/>
      <c r="M9677" s="263"/>
      <c r="N9677" s="263"/>
    </row>
    <row r="9678" spans="1:14" ht="11.25" customHeight="1" x14ac:dyDescent="0.2">
      <c r="A9678" s="164">
        <v>2025</v>
      </c>
      <c r="B9678" s="164">
        <v>11</v>
      </c>
      <c r="C9678" s="164">
        <v>5</v>
      </c>
      <c r="D9678" s="164">
        <f t="shared" si="1129"/>
        <v>45966</v>
      </c>
      <c r="E9678" s="235">
        <f>DATE(A9678,B9678,C9678)</f>
        <v>45966</v>
      </c>
      <c r="F9678" s="480"/>
      <c r="G9678" s="208" t="s">
        <v>86</v>
      </c>
      <c r="H9678" s="208"/>
      <c r="J9678" s="165" t="s">
        <v>961</v>
      </c>
      <c r="K9678" s="263"/>
      <c r="L9678" s="205">
        <v>383007.96</v>
      </c>
      <c r="M9678" s="263"/>
      <c r="N9678" s="263"/>
    </row>
    <row r="9679" spans="1:14" ht="11.25" customHeight="1" x14ac:dyDescent="0.2">
      <c r="A9679" s="164">
        <v>2025</v>
      </c>
      <c r="B9679" s="164">
        <v>11</v>
      </c>
      <c r="C9679" s="164">
        <v>5</v>
      </c>
      <c r="D9679" s="164">
        <f t="shared" si="1129"/>
        <v>45966</v>
      </c>
      <c r="E9679" s="235">
        <f>DATE(A9679,B9679,C9679)</f>
        <v>45966</v>
      </c>
      <c r="F9679" s="480"/>
      <c r="G9679" s="208" t="s">
        <v>86</v>
      </c>
      <c r="H9679" s="208"/>
      <c r="J9679" s="165" t="s">
        <v>200</v>
      </c>
      <c r="K9679" s="205">
        <v>2188.9</v>
      </c>
      <c r="L9679" s="205"/>
      <c r="M9679" s="263"/>
      <c r="N9679" s="263"/>
    </row>
    <row r="9680" spans="1:14" ht="11.25" customHeight="1" x14ac:dyDescent="0.2">
      <c r="A9680" s="226">
        <v>2025</v>
      </c>
      <c r="B9680" s="226">
        <v>11</v>
      </c>
      <c r="C9680" s="226">
        <v>5</v>
      </c>
      <c r="D9680" s="226">
        <f t="shared" si="1129"/>
        <v>45966</v>
      </c>
      <c r="E9680" s="234">
        <f>DATE(A9680,B9680,C9680)</f>
        <v>45966</v>
      </c>
      <c r="F9680" s="479"/>
      <c r="G9680" s="227" t="s">
        <v>86</v>
      </c>
      <c r="H9680" s="228"/>
      <c r="I9680" s="228"/>
      <c r="J9680" s="229" t="s">
        <v>80</v>
      </c>
      <c r="K9680" s="230"/>
      <c r="L9680" s="230">
        <v>153788.9</v>
      </c>
      <c r="M9680" s="263"/>
      <c r="N9680" s="263"/>
    </row>
    <row r="9681" spans="1:13" ht="11.25" customHeight="1" x14ac:dyDescent="0.2">
      <c r="A9681" s="221">
        <v>2025</v>
      </c>
      <c r="B9681" s="221">
        <v>11</v>
      </c>
      <c r="C9681" s="221">
        <v>5</v>
      </c>
      <c r="D9681" s="231">
        <f t="shared" si="1129"/>
        <v>45966</v>
      </c>
      <c r="E9681" s="233">
        <f t="shared" ref="E9681:E9686" si="1131">DATE(A9681,B9681,C9681)</f>
        <v>45966</v>
      </c>
      <c r="F9681" s="478" t="s">
        <v>1309</v>
      </c>
      <c r="G9681" s="222" t="s">
        <v>1111</v>
      </c>
      <c r="H9681" s="223"/>
      <c r="I9681" s="223"/>
      <c r="J9681" s="224" t="s">
        <v>14</v>
      </c>
      <c r="K9681" s="167">
        <v>11110</v>
      </c>
      <c r="L9681" s="225"/>
    </row>
    <row r="9682" spans="1:13" ht="11.25" customHeight="1" x14ac:dyDescent="0.2">
      <c r="A9682" s="164">
        <v>2025</v>
      </c>
      <c r="B9682" s="164">
        <v>11</v>
      </c>
      <c r="C9682" s="164">
        <v>5</v>
      </c>
      <c r="D9682" s="156">
        <f t="shared" si="1129"/>
        <v>45966</v>
      </c>
      <c r="E9682" s="235">
        <f t="shared" si="1131"/>
        <v>45966</v>
      </c>
      <c r="F9682" s="480"/>
      <c r="G9682" s="208" t="s">
        <v>1111</v>
      </c>
      <c r="J9682" s="165" t="s">
        <v>1112</v>
      </c>
      <c r="K9682" s="167">
        <v>2137.5599999999995</v>
      </c>
      <c r="L9682" s="205"/>
    </row>
    <row r="9683" spans="1:13" ht="11.25" customHeight="1" x14ac:dyDescent="0.2">
      <c r="A9683" s="226">
        <v>2025</v>
      </c>
      <c r="B9683" s="226">
        <v>11</v>
      </c>
      <c r="C9683" s="226">
        <v>5</v>
      </c>
      <c r="D9683" s="232">
        <f t="shared" si="1129"/>
        <v>45966</v>
      </c>
      <c r="E9683" s="234">
        <f t="shared" si="1131"/>
        <v>45966</v>
      </c>
      <c r="F9683" s="479"/>
      <c r="G9683" s="227" t="s">
        <v>1111</v>
      </c>
      <c r="H9683" s="228"/>
      <c r="I9683" s="228"/>
      <c r="J9683" s="229" t="s">
        <v>55</v>
      </c>
      <c r="K9683" s="230"/>
      <c r="L9683" s="230">
        <v>13247.56</v>
      </c>
    </row>
    <row r="9684" spans="1:13" ht="11.25" customHeight="1" x14ac:dyDescent="0.2">
      <c r="A9684" s="221">
        <v>2025</v>
      </c>
      <c r="B9684" s="221">
        <v>11</v>
      </c>
      <c r="C9684" s="221">
        <v>5</v>
      </c>
      <c r="D9684" s="231">
        <f t="shared" si="1129"/>
        <v>45966</v>
      </c>
      <c r="E9684" s="233">
        <f t="shared" si="1131"/>
        <v>45966</v>
      </c>
      <c r="F9684" s="478" t="s">
        <v>1132</v>
      </c>
      <c r="G9684" s="222" t="s">
        <v>1111</v>
      </c>
      <c r="H9684" s="223"/>
      <c r="I9684" s="223"/>
      <c r="J9684" s="224" t="s">
        <v>55</v>
      </c>
      <c r="K9684" s="167">
        <v>38000</v>
      </c>
      <c r="L9684" s="225"/>
    </row>
    <row r="9685" spans="1:13" ht="11.25" customHeight="1" x14ac:dyDescent="0.2">
      <c r="A9685" s="164">
        <v>2025</v>
      </c>
      <c r="B9685" s="164">
        <v>11</v>
      </c>
      <c r="C9685" s="164">
        <v>5</v>
      </c>
      <c r="D9685" s="156">
        <f t="shared" si="1129"/>
        <v>45966</v>
      </c>
      <c r="E9685" s="235">
        <f t="shared" si="1131"/>
        <v>45966</v>
      </c>
      <c r="F9685" s="480"/>
      <c r="G9685" s="208" t="s">
        <v>1111</v>
      </c>
      <c r="J9685" s="165" t="s">
        <v>14</v>
      </c>
      <c r="L9685" s="205">
        <v>31870</v>
      </c>
    </row>
    <row r="9686" spans="1:13" ht="11.25" customHeight="1" x14ac:dyDescent="0.2">
      <c r="A9686" s="226">
        <v>2025</v>
      </c>
      <c r="B9686" s="226">
        <v>11</v>
      </c>
      <c r="C9686" s="226">
        <v>5</v>
      </c>
      <c r="D9686" s="232">
        <f t="shared" si="1129"/>
        <v>45966</v>
      </c>
      <c r="E9686" s="234">
        <f t="shared" si="1131"/>
        <v>45966</v>
      </c>
      <c r="F9686" s="479"/>
      <c r="G9686" s="227" t="s">
        <v>1111</v>
      </c>
      <c r="H9686" s="228"/>
      <c r="I9686" s="228"/>
      <c r="J9686" s="229" t="s">
        <v>1112</v>
      </c>
      <c r="K9686" s="230"/>
      <c r="L9686" s="230">
        <v>6130</v>
      </c>
    </row>
    <row r="9687" spans="1:13" ht="11.25" customHeight="1" x14ac:dyDescent="0.2">
      <c r="A9687" s="221">
        <v>2025</v>
      </c>
      <c r="B9687" s="221">
        <v>11</v>
      </c>
      <c r="C9687" s="221">
        <v>5</v>
      </c>
      <c r="D9687" s="231">
        <f t="shared" si="1129"/>
        <v>45966</v>
      </c>
      <c r="E9687" s="233">
        <f t="shared" ref="E9687:E9700" si="1132">DATE(A9687,B9687,C9687)</f>
        <v>45966</v>
      </c>
      <c r="F9687" s="478" t="s">
        <v>1605</v>
      </c>
      <c r="G9687" s="222" t="s">
        <v>1111</v>
      </c>
      <c r="H9687" s="223"/>
      <c r="I9687" s="223"/>
      <c r="J9687" s="224" t="s">
        <v>55</v>
      </c>
      <c r="K9687" s="167">
        <v>50000</v>
      </c>
      <c r="L9687" s="225"/>
    </row>
    <row r="9688" spans="1:13" ht="11.25" customHeight="1" x14ac:dyDescent="0.2">
      <c r="A9688" s="164">
        <v>2025</v>
      </c>
      <c r="B9688" s="164">
        <v>11</v>
      </c>
      <c r="C9688" s="164">
        <v>5</v>
      </c>
      <c r="D9688" s="156">
        <f t="shared" si="1129"/>
        <v>45966</v>
      </c>
      <c r="E9688" s="235">
        <f t="shared" si="1132"/>
        <v>45966</v>
      </c>
      <c r="F9688" s="480"/>
      <c r="G9688" s="208" t="s">
        <v>1111</v>
      </c>
      <c r="J9688" s="165" t="s">
        <v>14</v>
      </c>
      <c r="L9688" s="205">
        <v>41940</v>
      </c>
    </row>
    <row r="9689" spans="1:13" ht="11.25" customHeight="1" x14ac:dyDescent="0.2">
      <c r="A9689" s="226">
        <v>2025</v>
      </c>
      <c r="B9689" s="226">
        <v>11</v>
      </c>
      <c r="C9689" s="226">
        <v>5</v>
      </c>
      <c r="D9689" s="232">
        <f t="shared" si="1129"/>
        <v>45966</v>
      </c>
      <c r="E9689" s="234">
        <f t="shared" si="1132"/>
        <v>45966</v>
      </c>
      <c r="F9689" s="479"/>
      <c r="G9689" s="227" t="s">
        <v>1111</v>
      </c>
      <c r="H9689" s="228"/>
      <c r="I9689" s="228"/>
      <c r="J9689" s="229" t="s">
        <v>1112</v>
      </c>
      <c r="K9689" s="230"/>
      <c r="L9689" s="230">
        <v>8060</v>
      </c>
    </row>
    <row r="9690" spans="1:13" ht="11.25" customHeight="1" x14ac:dyDescent="0.2">
      <c r="A9690" s="221">
        <v>2025</v>
      </c>
      <c r="B9690" s="221">
        <v>11</v>
      </c>
      <c r="C9690" s="221">
        <v>6</v>
      </c>
      <c r="D9690" s="221">
        <f t="shared" si="1129"/>
        <v>45967</v>
      </c>
      <c r="E9690" s="233">
        <f t="shared" si="1132"/>
        <v>45967</v>
      </c>
      <c r="F9690" s="478" t="s">
        <v>1936</v>
      </c>
      <c r="G9690" s="222" t="s">
        <v>86</v>
      </c>
      <c r="H9690" s="222"/>
      <c r="I9690" s="223"/>
      <c r="J9690" s="224" t="s">
        <v>80</v>
      </c>
      <c r="K9690" s="225">
        <v>877012.5</v>
      </c>
      <c r="L9690" s="225"/>
    </row>
    <row r="9691" spans="1:13" ht="11.25" customHeight="1" x14ac:dyDescent="0.2">
      <c r="A9691" s="164">
        <v>2025</v>
      </c>
      <c r="B9691" s="164">
        <v>11</v>
      </c>
      <c r="C9691" s="164">
        <v>6</v>
      </c>
      <c r="D9691" s="164">
        <f t="shared" si="1129"/>
        <v>45967</v>
      </c>
      <c r="E9691" s="235">
        <f t="shared" si="1132"/>
        <v>45967</v>
      </c>
      <c r="F9691" s="480"/>
      <c r="G9691" s="208" t="s">
        <v>86</v>
      </c>
      <c r="H9691" s="208"/>
      <c r="J9691" s="165" t="s">
        <v>960</v>
      </c>
      <c r="K9691" s="205">
        <v>1578.62</v>
      </c>
      <c r="L9691" s="205"/>
    </row>
    <row r="9692" spans="1:13" ht="11.25" customHeight="1" x14ac:dyDescent="0.2">
      <c r="A9692" s="226">
        <v>2025</v>
      </c>
      <c r="B9692" s="226">
        <v>11</v>
      </c>
      <c r="C9692" s="226">
        <v>6</v>
      </c>
      <c r="D9692" s="226">
        <f t="shared" si="1129"/>
        <v>45967</v>
      </c>
      <c r="E9692" s="234">
        <f t="shared" si="1132"/>
        <v>45967</v>
      </c>
      <c r="F9692" s="479"/>
      <c r="G9692" s="227" t="s">
        <v>86</v>
      </c>
      <c r="H9692" s="227"/>
      <c r="I9692" s="228"/>
      <c r="J9692" s="229" t="s">
        <v>143</v>
      </c>
      <c r="K9692" s="230"/>
      <c r="L9692" s="230">
        <v>878591.12</v>
      </c>
    </row>
    <row r="9693" spans="1:13" ht="11.25" customHeight="1" x14ac:dyDescent="0.2">
      <c r="A9693" s="280">
        <v>2025</v>
      </c>
      <c r="B9693" s="280">
        <v>11</v>
      </c>
      <c r="C9693" s="280">
        <v>6</v>
      </c>
      <c r="D9693" s="281">
        <f t="shared" si="1129"/>
        <v>45967</v>
      </c>
      <c r="E9693" s="282">
        <f t="shared" si="1132"/>
        <v>45967</v>
      </c>
      <c r="F9693" s="472" t="s">
        <v>1744</v>
      </c>
      <c r="G9693" s="283" t="s">
        <v>86</v>
      </c>
      <c r="H9693" s="284"/>
      <c r="I9693" s="284"/>
      <c r="J9693" s="285" t="s">
        <v>131</v>
      </c>
      <c r="K9693" s="286">
        <v>19358.330000000002</v>
      </c>
      <c r="L9693" s="286"/>
      <c r="M9693" s="401"/>
    </row>
    <row r="9694" spans="1:13" ht="11.25" customHeight="1" x14ac:dyDescent="0.2">
      <c r="A9694" s="287">
        <v>2025</v>
      </c>
      <c r="B9694" s="287">
        <v>11</v>
      </c>
      <c r="C9694" s="287">
        <v>6</v>
      </c>
      <c r="D9694" s="288">
        <f t="shared" si="1129"/>
        <v>45967</v>
      </c>
      <c r="E9694" s="289">
        <f t="shared" si="1132"/>
        <v>45967</v>
      </c>
      <c r="F9694" s="473"/>
      <c r="G9694" s="290" t="s">
        <v>86</v>
      </c>
      <c r="H9694" s="291"/>
      <c r="I9694" s="291"/>
      <c r="J9694" s="292" t="s">
        <v>174</v>
      </c>
      <c r="K9694" s="293"/>
      <c r="L9694" s="293">
        <f>K9693</f>
        <v>19358.330000000002</v>
      </c>
    </row>
    <row r="9695" spans="1:13" ht="11.25" customHeight="1" x14ac:dyDescent="0.2">
      <c r="A9695" s="280">
        <v>2025</v>
      </c>
      <c r="B9695" s="280">
        <v>11</v>
      </c>
      <c r="C9695" s="280">
        <v>6</v>
      </c>
      <c r="D9695" s="281">
        <f t="shared" si="1129"/>
        <v>45967</v>
      </c>
      <c r="E9695" s="282">
        <f t="shared" si="1132"/>
        <v>45967</v>
      </c>
      <c r="F9695" s="472" t="s">
        <v>1584</v>
      </c>
      <c r="G9695" s="283" t="s">
        <v>86</v>
      </c>
      <c r="H9695" s="284"/>
      <c r="I9695" s="284"/>
      <c r="J9695" s="285" t="s">
        <v>131</v>
      </c>
      <c r="K9695" s="286">
        <v>8846.15</v>
      </c>
      <c r="L9695" s="286"/>
      <c r="M9695" s="401"/>
    </row>
    <row r="9696" spans="1:13" ht="11.25" customHeight="1" x14ac:dyDescent="0.2">
      <c r="A9696" s="287">
        <v>2025</v>
      </c>
      <c r="B9696" s="287">
        <v>11</v>
      </c>
      <c r="C9696" s="287">
        <v>6</v>
      </c>
      <c r="D9696" s="288">
        <f t="shared" si="1129"/>
        <v>45967</v>
      </c>
      <c r="E9696" s="289">
        <f t="shared" si="1132"/>
        <v>45967</v>
      </c>
      <c r="F9696" s="473"/>
      <c r="G9696" s="290" t="s">
        <v>86</v>
      </c>
      <c r="H9696" s="291"/>
      <c r="I9696" s="291"/>
      <c r="J9696" s="292" t="s">
        <v>174</v>
      </c>
      <c r="K9696" s="293"/>
      <c r="L9696" s="293">
        <f>K9695</f>
        <v>8846.15</v>
      </c>
    </row>
    <row r="9697" spans="1:14" ht="11.25" customHeight="1" x14ac:dyDescent="0.2">
      <c r="A9697" s="280">
        <v>2025</v>
      </c>
      <c r="B9697" s="280">
        <v>11</v>
      </c>
      <c r="C9697" s="280">
        <v>6</v>
      </c>
      <c r="D9697" s="281">
        <f t="shared" si="1129"/>
        <v>45967</v>
      </c>
      <c r="E9697" s="282">
        <f t="shared" si="1132"/>
        <v>45967</v>
      </c>
      <c r="F9697" s="472" t="s">
        <v>1955</v>
      </c>
      <c r="G9697" s="283" t="s">
        <v>86</v>
      </c>
      <c r="H9697" s="284"/>
      <c r="I9697" s="284"/>
      <c r="J9697" s="285" t="s">
        <v>1978</v>
      </c>
      <c r="K9697" s="286">
        <v>43298.076923076922</v>
      </c>
      <c r="L9697" s="286"/>
      <c r="M9697" s="401"/>
    </row>
    <row r="9698" spans="1:14" ht="11.25" customHeight="1" x14ac:dyDescent="0.2">
      <c r="A9698" s="287">
        <v>2025</v>
      </c>
      <c r="B9698" s="287">
        <v>11</v>
      </c>
      <c r="C9698" s="287">
        <v>6</v>
      </c>
      <c r="D9698" s="288">
        <f t="shared" si="1129"/>
        <v>45967</v>
      </c>
      <c r="E9698" s="289">
        <f t="shared" si="1132"/>
        <v>45967</v>
      </c>
      <c r="F9698" s="473"/>
      <c r="G9698" s="290" t="s">
        <v>86</v>
      </c>
      <c r="H9698" s="291"/>
      <c r="I9698" s="291"/>
      <c r="J9698" s="292" t="s">
        <v>1955</v>
      </c>
      <c r="K9698" s="293"/>
      <c r="L9698" s="293">
        <f>K9697</f>
        <v>43298.076923076922</v>
      </c>
    </row>
    <row r="9699" spans="1:14" ht="11.25" customHeight="1" x14ac:dyDescent="0.2">
      <c r="A9699" s="341">
        <v>2025</v>
      </c>
      <c r="B9699" s="341">
        <v>11</v>
      </c>
      <c r="C9699" s="341">
        <v>6</v>
      </c>
      <c r="D9699" s="328">
        <f t="shared" si="1129"/>
        <v>45967</v>
      </c>
      <c r="E9699" s="329">
        <f t="shared" si="1132"/>
        <v>45967</v>
      </c>
      <c r="F9699" s="474" t="s">
        <v>1767</v>
      </c>
      <c r="G9699" s="330" t="s">
        <v>86</v>
      </c>
      <c r="H9699" s="332"/>
      <c r="I9699" s="332"/>
      <c r="J9699" s="342" t="s">
        <v>67</v>
      </c>
      <c r="K9699" s="343">
        <v>5956.08</v>
      </c>
      <c r="L9699" s="343"/>
    </row>
    <row r="9700" spans="1:14" ht="11.25" customHeight="1" x14ac:dyDescent="0.2">
      <c r="A9700" s="344">
        <v>2025</v>
      </c>
      <c r="B9700" s="344">
        <v>11</v>
      </c>
      <c r="C9700" s="344">
        <v>6</v>
      </c>
      <c r="D9700" s="337">
        <f t="shared" si="1129"/>
        <v>45967</v>
      </c>
      <c r="E9700" s="338">
        <f t="shared" si="1132"/>
        <v>45967</v>
      </c>
      <c r="F9700" s="475"/>
      <c r="G9700" s="339" t="s">
        <v>86</v>
      </c>
      <c r="H9700" s="340"/>
      <c r="I9700" s="340"/>
      <c r="J9700" s="345" t="s">
        <v>174</v>
      </c>
      <c r="K9700" s="346"/>
      <c r="L9700" s="346">
        <f>K9699</f>
        <v>5956.08</v>
      </c>
    </row>
    <row r="9701" spans="1:14" ht="11.25" customHeight="1" x14ac:dyDescent="0.2">
      <c r="A9701" s="358">
        <v>2025</v>
      </c>
      <c r="B9701" s="358">
        <v>11</v>
      </c>
      <c r="C9701" s="358">
        <v>6</v>
      </c>
      <c r="D9701" s="312">
        <f t="shared" si="1129"/>
        <v>45967</v>
      </c>
      <c r="E9701" s="313">
        <f>DATE(A9701,B9701,C9701)</f>
        <v>45967</v>
      </c>
      <c r="F9701" s="482" t="s">
        <v>1627</v>
      </c>
      <c r="G9701" s="314" t="s">
        <v>86</v>
      </c>
      <c r="H9701" s="324"/>
      <c r="I9701" s="324"/>
      <c r="J9701" s="364" t="s">
        <v>1613</v>
      </c>
      <c r="K9701" s="365">
        <v>0</v>
      </c>
      <c r="L9701" s="365"/>
      <c r="M9701" s="156">
        <f>BS!$I$12</f>
        <v>0</v>
      </c>
    </row>
    <row r="9702" spans="1:14" ht="11.25" customHeight="1" x14ac:dyDescent="0.2">
      <c r="A9702" s="320">
        <v>2025</v>
      </c>
      <c r="B9702" s="320">
        <v>11</v>
      </c>
      <c r="C9702" s="320">
        <v>6</v>
      </c>
      <c r="D9702" s="323">
        <f t="shared" si="1129"/>
        <v>45967</v>
      </c>
      <c r="E9702" s="321">
        <f t="shared" ref="E9702" si="1133">DATE(A9702,B9702,C9702)</f>
        <v>45967</v>
      </c>
      <c r="F9702" s="483"/>
      <c r="G9702" s="322" t="s">
        <v>86</v>
      </c>
      <c r="H9702" s="325"/>
      <c r="I9702" s="325"/>
      <c r="J9702" s="366" t="s">
        <v>1621</v>
      </c>
      <c r="K9702" s="367"/>
      <c r="L9702" s="367">
        <f>K9701</f>
        <v>0</v>
      </c>
    </row>
    <row r="9703" spans="1:14" ht="11.25" customHeight="1" x14ac:dyDescent="0.2">
      <c r="A9703" s="358">
        <v>2025</v>
      </c>
      <c r="B9703" s="358">
        <v>11</v>
      </c>
      <c r="C9703" s="358">
        <v>6</v>
      </c>
      <c r="D9703" s="312">
        <f t="shared" si="1129"/>
        <v>45967</v>
      </c>
      <c r="E9703" s="313">
        <f>DATE(A9703,B9703,C9703)</f>
        <v>45967</v>
      </c>
      <c r="F9703" s="482" t="s">
        <v>1713</v>
      </c>
      <c r="G9703" s="314" t="s">
        <v>86</v>
      </c>
      <c r="H9703" s="324"/>
      <c r="I9703" s="324"/>
      <c r="J9703" s="364" t="s">
        <v>1622</v>
      </c>
      <c r="K9703" s="365">
        <v>3886.7600000002421</v>
      </c>
      <c r="L9703" s="365"/>
      <c r="M9703" s="447">
        <f>BS!$I$15</f>
        <v>0</v>
      </c>
      <c r="N9703" s="166"/>
    </row>
    <row r="9704" spans="1:14" ht="11.25" customHeight="1" x14ac:dyDescent="0.2">
      <c r="A9704" s="320">
        <v>2025</v>
      </c>
      <c r="B9704" s="320">
        <v>11</v>
      </c>
      <c r="C9704" s="320">
        <v>6</v>
      </c>
      <c r="D9704" s="323">
        <f t="shared" si="1129"/>
        <v>45967</v>
      </c>
      <c r="E9704" s="321">
        <f t="shared" ref="E9704:E9718" si="1134">DATE(A9704,B9704,C9704)</f>
        <v>45967</v>
      </c>
      <c r="F9704" s="483"/>
      <c r="G9704" s="322" t="s">
        <v>86</v>
      </c>
      <c r="H9704" s="325"/>
      <c r="I9704" s="325"/>
      <c r="J9704" s="366" t="s">
        <v>1614</v>
      </c>
      <c r="K9704" s="367"/>
      <c r="L9704" s="367">
        <f>K9703</f>
        <v>3886.7600000002421</v>
      </c>
    </row>
    <row r="9705" spans="1:14" ht="11.25" customHeight="1" x14ac:dyDescent="0.2">
      <c r="A9705" s="236">
        <v>2025</v>
      </c>
      <c r="B9705" s="236">
        <v>11</v>
      </c>
      <c r="C9705" s="236">
        <v>6</v>
      </c>
      <c r="D9705" s="237">
        <f t="shared" si="1129"/>
        <v>45967</v>
      </c>
      <c r="E9705" s="238">
        <f t="shared" si="1134"/>
        <v>45967</v>
      </c>
      <c r="F9705" s="476" t="s">
        <v>1118</v>
      </c>
      <c r="G9705" s="239" t="s">
        <v>86</v>
      </c>
      <c r="H9705" s="239"/>
      <c r="I9705" s="240"/>
      <c r="J9705" s="241" t="s">
        <v>82</v>
      </c>
      <c r="K9705" s="242">
        <v>757732.49000006914</v>
      </c>
      <c r="L9705" s="242"/>
      <c r="M9705" s="156">
        <f>BS!$I$8</f>
        <v>0</v>
      </c>
    </row>
    <row r="9706" spans="1:14" ht="11.25" customHeight="1" x14ac:dyDescent="0.2">
      <c r="A9706" s="243">
        <v>2025</v>
      </c>
      <c r="B9706" s="243">
        <v>11</v>
      </c>
      <c r="C9706" s="243">
        <v>6</v>
      </c>
      <c r="D9706" s="248">
        <f t="shared" si="1129"/>
        <v>45967</v>
      </c>
      <c r="E9706" s="249">
        <f t="shared" si="1134"/>
        <v>45967</v>
      </c>
      <c r="F9706" s="477"/>
      <c r="G9706" s="244" t="s">
        <v>86</v>
      </c>
      <c r="H9706" s="244"/>
      <c r="I9706" s="245"/>
      <c r="J9706" s="246" t="s">
        <v>98</v>
      </c>
      <c r="K9706" s="247"/>
      <c r="L9706" s="247">
        <f>K9705</f>
        <v>757732.49000006914</v>
      </c>
    </row>
    <row r="9707" spans="1:14" ht="11.25" customHeight="1" x14ac:dyDescent="0.2">
      <c r="A9707" s="236">
        <v>2025</v>
      </c>
      <c r="B9707" s="236">
        <v>11</v>
      </c>
      <c r="C9707" s="236">
        <v>6</v>
      </c>
      <c r="D9707" s="237">
        <f t="shared" si="1129"/>
        <v>45967</v>
      </c>
      <c r="E9707" s="238">
        <f t="shared" si="1134"/>
        <v>45967</v>
      </c>
      <c r="F9707" s="476" t="s">
        <v>1120</v>
      </c>
      <c r="G9707" s="239" t="s">
        <v>86</v>
      </c>
      <c r="H9707" s="239"/>
      <c r="I9707" s="240"/>
      <c r="J9707" s="241" t="s">
        <v>87</v>
      </c>
      <c r="K9707" s="242">
        <v>2747.2527472527472</v>
      </c>
      <c r="L9707" s="242"/>
      <c r="M9707" s="401"/>
    </row>
    <row r="9708" spans="1:14" ht="11.25" customHeight="1" x14ac:dyDescent="0.2">
      <c r="A9708" s="243">
        <v>2025</v>
      </c>
      <c r="B9708" s="243">
        <v>11</v>
      </c>
      <c r="C9708" s="243">
        <v>6</v>
      </c>
      <c r="D9708" s="248">
        <f t="shared" si="1129"/>
        <v>45967</v>
      </c>
      <c r="E9708" s="249">
        <f t="shared" si="1134"/>
        <v>45967</v>
      </c>
      <c r="F9708" s="477"/>
      <c r="G9708" s="244" t="s">
        <v>86</v>
      </c>
      <c r="H9708" s="244"/>
      <c r="I9708" s="245"/>
      <c r="J9708" s="246" t="s">
        <v>64</v>
      </c>
      <c r="K9708" s="247"/>
      <c r="L9708" s="247">
        <f>K9707</f>
        <v>2747.2527472527472</v>
      </c>
    </row>
    <row r="9709" spans="1:14" ht="11.25" customHeight="1" x14ac:dyDescent="0.2">
      <c r="A9709" s="236">
        <v>2025</v>
      </c>
      <c r="B9709" s="236">
        <v>11</v>
      </c>
      <c r="C9709" s="236">
        <v>6</v>
      </c>
      <c r="D9709" s="237">
        <f t="shared" si="1129"/>
        <v>45967</v>
      </c>
      <c r="E9709" s="238">
        <f t="shared" si="1134"/>
        <v>45967</v>
      </c>
      <c r="F9709" s="476" t="s">
        <v>1121</v>
      </c>
      <c r="G9709" s="239" t="s">
        <v>86</v>
      </c>
      <c r="H9709" s="239"/>
      <c r="I9709" s="240"/>
      <c r="J9709" s="241" t="s">
        <v>89</v>
      </c>
      <c r="K9709" s="242">
        <f>M9709</f>
        <v>86169.348561190229</v>
      </c>
      <c r="L9709" s="242"/>
      <c r="M9709" s="156">
        <v>86169.348561190229</v>
      </c>
    </row>
    <row r="9710" spans="1:14" ht="11.25" customHeight="1" x14ac:dyDescent="0.2">
      <c r="A9710" s="243">
        <v>2025</v>
      </c>
      <c r="B9710" s="243">
        <v>11</v>
      </c>
      <c r="C9710" s="243">
        <v>6</v>
      </c>
      <c r="D9710" s="248">
        <f t="shared" si="1129"/>
        <v>45967</v>
      </c>
      <c r="E9710" s="249">
        <f t="shared" si="1134"/>
        <v>45967</v>
      </c>
      <c r="F9710" s="477"/>
      <c r="G9710" s="244" t="s">
        <v>86</v>
      </c>
      <c r="H9710" s="244"/>
      <c r="I9710" s="245"/>
      <c r="J9710" s="246" t="s">
        <v>50</v>
      </c>
      <c r="K9710" s="247"/>
      <c r="L9710" s="247">
        <f>K9709</f>
        <v>86169.348561190229</v>
      </c>
      <c r="M9710" s="156">
        <v>4068.0828126748961</v>
      </c>
    </row>
    <row r="9711" spans="1:14" ht="11.25" customHeight="1" x14ac:dyDescent="0.2">
      <c r="A9711" s="236">
        <v>2025</v>
      </c>
      <c r="B9711" s="236">
        <v>11</v>
      </c>
      <c r="C9711" s="236">
        <v>6</v>
      </c>
      <c r="D9711" s="237">
        <f t="shared" si="1129"/>
        <v>45967</v>
      </c>
      <c r="E9711" s="238">
        <f t="shared" si="1134"/>
        <v>45967</v>
      </c>
      <c r="F9711" s="476" t="s">
        <v>1122</v>
      </c>
      <c r="G9711" s="239" t="s">
        <v>86</v>
      </c>
      <c r="H9711" s="239"/>
      <c r="I9711" s="240"/>
      <c r="J9711" s="241" t="s">
        <v>91</v>
      </c>
      <c r="K9711" s="242">
        <f>M9710</f>
        <v>4068.0828126748961</v>
      </c>
      <c r="L9711" s="242"/>
    </row>
    <row r="9712" spans="1:14" ht="11.25" customHeight="1" x14ac:dyDescent="0.2">
      <c r="A9712" s="243">
        <v>2025</v>
      </c>
      <c r="B9712" s="243">
        <v>11</v>
      </c>
      <c r="C9712" s="243">
        <v>6</v>
      </c>
      <c r="D9712" s="248">
        <f t="shared" si="1129"/>
        <v>45967</v>
      </c>
      <c r="E9712" s="249">
        <f t="shared" si="1134"/>
        <v>45967</v>
      </c>
      <c r="F9712" s="477"/>
      <c r="G9712" s="244" t="s">
        <v>86</v>
      </c>
      <c r="H9712" s="244"/>
      <c r="I9712" s="245"/>
      <c r="J9712" s="246" t="s">
        <v>51</v>
      </c>
      <c r="K9712" s="247"/>
      <c r="L9712" s="247">
        <f>K9711</f>
        <v>4068.0828126748961</v>
      </c>
    </row>
    <row r="9713" spans="1:15" ht="11.25" customHeight="1" x14ac:dyDescent="0.2">
      <c r="A9713" s="221">
        <v>2025</v>
      </c>
      <c r="B9713" s="221">
        <v>11</v>
      </c>
      <c r="C9713" s="221">
        <v>9</v>
      </c>
      <c r="D9713" s="221">
        <f t="shared" si="1129"/>
        <v>45970</v>
      </c>
      <c r="E9713" s="233">
        <f t="shared" si="1134"/>
        <v>45970</v>
      </c>
      <c r="F9713" s="478" t="s">
        <v>1953</v>
      </c>
      <c r="G9713" s="222" t="s">
        <v>1111</v>
      </c>
      <c r="H9713" s="222"/>
      <c r="I9713" s="223"/>
      <c r="J9713" s="224" t="s">
        <v>50</v>
      </c>
      <c r="K9713" s="225">
        <v>176175.45</v>
      </c>
      <c r="L9713" s="225"/>
      <c r="M9713" s="423"/>
      <c r="N9713" s="423"/>
      <c r="O9713" s="166"/>
    </row>
    <row r="9714" spans="1:15" ht="11.25" customHeight="1" x14ac:dyDescent="0.2">
      <c r="A9714" s="164">
        <v>2025</v>
      </c>
      <c r="B9714" s="164">
        <v>11</v>
      </c>
      <c r="C9714" s="164">
        <v>9</v>
      </c>
      <c r="D9714" s="156">
        <f t="shared" si="1129"/>
        <v>45970</v>
      </c>
      <c r="E9714" s="235">
        <f t="shared" si="1134"/>
        <v>45970</v>
      </c>
      <c r="F9714" s="480"/>
      <c r="G9714" s="208" t="s">
        <v>1111</v>
      </c>
      <c r="J9714" s="165" t="s">
        <v>478</v>
      </c>
      <c r="K9714" s="205"/>
      <c r="L9714" s="205">
        <v>26426.32</v>
      </c>
      <c r="N9714" s="423"/>
    </row>
    <row r="9715" spans="1:15" ht="11.25" customHeight="1" x14ac:dyDescent="0.2">
      <c r="A9715" s="226">
        <v>2025</v>
      </c>
      <c r="B9715" s="226">
        <v>11</v>
      </c>
      <c r="C9715" s="226">
        <v>9</v>
      </c>
      <c r="D9715" s="226">
        <f t="shared" si="1129"/>
        <v>45970</v>
      </c>
      <c r="E9715" s="234">
        <f t="shared" si="1134"/>
        <v>45970</v>
      </c>
      <c r="F9715" s="479"/>
      <c r="G9715" s="227" t="s">
        <v>1111</v>
      </c>
      <c r="H9715" s="227"/>
      <c r="I9715" s="228"/>
      <c r="J9715" s="229" t="s">
        <v>55</v>
      </c>
      <c r="K9715" s="230"/>
      <c r="L9715" s="230">
        <v>149749.13</v>
      </c>
    </row>
    <row r="9716" spans="1:15" ht="11.25" customHeight="1" x14ac:dyDescent="0.2">
      <c r="A9716" s="221">
        <v>2025</v>
      </c>
      <c r="B9716" s="221">
        <v>11</v>
      </c>
      <c r="C9716" s="221">
        <v>9</v>
      </c>
      <c r="D9716" s="221">
        <f t="shared" si="1129"/>
        <v>45970</v>
      </c>
      <c r="E9716" s="233">
        <f t="shared" si="1134"/>
        <v>45970</v>
      </c>
      <c r="F9716" s="478" t="s">
        <v>1930</v>
      </c>
      <c r="G9716" s="222" t="s">
        <v>86</v>
      </c>
      <c r="H9716" s="222"/>
      <c r="I9716" s="223"/>
      <c r="J9716" s="224" t="s">
        <v>80</v>
      </c>
      <c r="K9716" s="225">
        <v>663000</v>
      </c>
      <c r="L9716" s="225"/>
    </row>
    <row r="9717" spans="1:15" ht="11.25" customHeight="1" x14ac:dyDescent="0.2">
      <c r="A9717" s="164">
        <v>2025</v>
      </c>
      <c r="B9717" s="164">
        <v>11</v>
      </c>
      <c r="C9717" s="164">
        <v>9</v>
      </c>
      <c r="D9717" s="164">
        <f t="shared" si="1129"/>
        <v>45970</v>
      </c>
      <c r="E9717" s="235">
        <f t="shared" si="1134"/>
        <v>45970</v>
      </c>
      <c r="F9717" s="480"/>
      <c r="G9717" s="208" t="s">
        <v>86</v>
      </c>
      <c r="H9717" s="208"/>
      <c r="J9717" s="165" t="s">
        <v>960</v>
      </c>
      <c r="K9717" s="205">
        <v>1193.4000000000001</v>
      </c>
      <c r="L9717" s="205"/>
    </row>
    <row r="9718" spans="1:15" ht="11.25" customHeight="1" x14ac:dyDescent="0.2">
      <c r="A9718" s="226">
        <v>2025</v>
      </c>
      <c r="B9718" s="226">
        <v>11</v>
      </c>
      <c r="C9718" s="226">
        <v>9</v>
      </c>
      <c r="D9718" s="226">
        <f t="shared" si="1129"/>
        <v>45970</v>
      </c>
      <c r="E9718" s="234">
        <f t="shared" si="1134"/>
        <v>45970</v>
      </c>
      <c r="F9718" s="479"/>
      <c r="G9718" s="227" t="s">
        <v>86</v>
      </c>
      <c r="H9718" s="227"/>
      <c r="I9718" s="228"/>
      <c r="J9718" s="229" t="s">
        <v>143</v>
      </c>
      <c r="K9718" s="230"/>
      <c r="L9718" s="230">
        <v>664193.4</v>
      </c>
    </row>
    <row r="9719" spans="1:15" ht="11.25" customHeight="1" x14ac:dyDescent="0.2">
      <c r="A9719" s="221">
        <v>2025</v>
      </c>
      <c r="B9719" s="221">
        <v>11</v>
      </c>
      <c r="C9719" s="221">
        <v>9</v>
      </c>
      <c r="D9719" s="221">
        <f t="shared" si="1129"/>
        <v>45970</v>
      </c>
      <c r="E9719" s="233">
        <f>DATE(A9719,B9719,C9719)</f>
        <v>45970</v>
      </c>
      <c r="F9719" s="478" t="s">
        <v>1937</v>
      </c>
      <c r="G9719" s="222" t="s">
        <v>86</v>
      </c>
      <c r="H9719" s="222"/>
      <c r="I9719" s="223"/>
      <c r="J9719" s="224" t="s">
        <v>80</v>
      </c>
      <c r="K9719" s="225">
        <v>2650486.2999999998</v>
      </c>
      <c r="L9719" s="225"/>
      <c r="N9719" s="263"/>
    </row>
    <row r="9720" spans="1:15" ht="11.25" customHeight="1" x14ac:dyDescent="0.2">
      <c r="A9720" s="164">
        <v>2025</v>
      </c>
      <c r="B9720" s="164">
        <v>11</v>
      </c>
      <c r="C9720" s="164">
        <v>9</v>
      </c>
      <c r="D9720" s="164">
        <f t="shared" si="1129"/>
        <v>45970</v>
      </c>
      <c r="E9720" s="235">
        <f>DATE(A9720,B9720,C9720)</f>
        <v>45970</v>
      </c>
      <c r="F9720" s="480"/>
      <c r="G9720" s="208" t="s">
        <v>86</v>
      </c>
      <c r="H9720" s="208"/>
      <c r="J9720" s="165" t="s">
        <v>960</v>
      </c>
      <c r="K9720" s="205">
        <v>5816.33</v>
      </c>
      <c r="L9720" s="205"/>
      <c r="M9720" s="263"/>
      <c r="N9720" s="263"/>
    </row>
    <row r="9721" spans="1:15" ht="11.25" customHeight="1" x14ac:dyDescent="0.2">
      <c r="A9721" s="164">
        <v>2025</v>
      </c>
      <c r="B9721" s="164">
        <v>11</v>
      </c>
      <c r="C9721" s="164">
        <v>9</v>
      </c>
      <c r="D9721" s="164">
        <f t="shared" si="1129"/>
        <v>45970</v>
      </c>
      <c r="E9721" s="235">
        <f>DATE(A9721,B9721,C9721)</f>
        <v>45970</v>
      </c>
      <c r="F9721" s="480"/>
      <c r="G9721" s="208" t="s">
        <v>86</v>
      </c>
      <c r="H9721" s="208"/>
      <c r="J9721" s="165" t="s">
        <v>961</v>
      </c>
      <c r="K9721" s="263"/>
      <c r="L9721" s="205">
        <v>2075492.13</v>
      </c>
      <c r="M9721" s="263"/>
      <c r="N9721" s="263"/>
    </row>
    <row r="9722" spans="1:15" ht="11.25" customHeight="1" x14ac:dyDescent="0.2">
      <c r="A9722" s="164">
        <v>2025</v>
      </c>
      <c r="B9722" s="164">
        <v>11</v>
      </c>
      <c r="C9722" s="164">
        <v>9</v>
      </c>
      <c r="D9722" s="164">
        <f t="shared" si="1129"/>
        <v>45970</v>
      </c>
      <c r="E9722" s="235">
        <f>DATE(A9722,B9722,C9722)</f>
        <v>45970</v>
      </c>
      <c r="F9722" s="480"/>
      <c r="G9722" s="208" t="s">
        <v>86</v>
      </c>
      <c r="H9722" s="208"/>
      <c r="J9722" s="165" t="s">
        <v>200</v>
      </c>
      <c r="K9722" s="205">
        <v>50643.77</v>
      </c>
      <c r="L9722" s="205"/>
      <c r="M9722" s="263"/>
      <c r="N9722" s="263"/>
    </row>
    <row r="9723" spans="1:15" ht="11.25" customHeight="1" x14ac:dyDescent="0.2">
      <c r="A9723" s="226">
        <v>2025</v>
      </c>
      <c r="B9723" s="226">
        <v>11</v>
      </c>
      <c r="C9723" s="226">
        <v>9</v>
      </c>
      <c r="D9723" s="226">
        <f t="shared" si="1129"/>
        <v>45970</v>
      </c>
      <c r="E9723" s="234">
        <f>DATE(A9723,B9723,C9723)</f>
        <v>45970</v>
      </c>
      <c r="F9723" s="479"/>
      <c r="G9723" s="227" t="s">
        <v>86</v>
      </c>
      <c r="H9723" s="228"/>
      <c r="I9723" s="228"/>
      <c r="J9723" s="229" t="s">
        <v>80</v>
      </c>
      <c r="K9723" s="230"/>
      <c r="L9723" s="230">
        <v>631454.27</v>
      </c>
      <c r="M9723" s="263"/>
      <c r="N9723" s="263"/>
    </row>
    <row r="9724" spans="1:15" ht="11.25" customHeight="1" x14ac:dyDescent="0.2">
      <c r="A9724" s="221">
        <v>2025</v>
      </c>
      <c r="B9724" s="221">
        <v>11</v>
      </c>
      <c r="C9724" s="221">
        <v>9</v>
      </c>
      <c r="D9724" s="231">
        <f t="shared" si="1129"/>
        <v>45970</v>
      </c>
      <c r="E9724" s="233">
        <f t="shared" ref="E9724:E9730" si="1135">DATE(A9724,B9724,C9724)</f>
        <v>45970</v>
      </c>
      <c r="F9724" s="478" t="s">
        <v>1813</v>
      </c>
      <c r="G9724" s="222" t="s">
        <v>1111</v>
      </c>
      <c r="H9724" s="222"/>
      <c r="I9724" s="223"/>
      <c r="J9724" s="224" t="s">
        <v>55</v>
      </c>
      <c r="K9724" s="225">
        <v>1435589.06</v>
      </c>
      <c r="L9724" s="225"/>
    </row>
    <row r="9725" spans="1:15" ht="11.25" customHeight="1" x14ac:dyDescent="0.2">
      <c r="A9725" s="164">
        <v>2025</v>
      </c>
      <c r="B9725" s="164">
        <v>11</v>
      </c>
      <c r="C9725" s="164">
        <v>9</v>
      </c>
      <c r="D9725" s="164">
        <f t="shared" si="1129"/>
        <v>45970</v>
      </c>
      <c r="E9725" s="235">
        <f t="shared" si="1135"/>
        <v>45970</v>
      </c>
      <c r="F9725" s="480"/>
      <c r="G9725" s="208" t="s">
        <v>1111</v>
      </c>
      <c r="H9725" s="208"/>
      <c r="J9725" s="165" t="s">
        <v>1618</v>
      </c>
      <c r="K9725" s="263"/>
      <c r="L9725" s="205">
        <v>3599.8600000001024</v>
      </c>
    </row>
    <row r="9726" spans="1:15" ht="11.25" customHeight="1" x14ac:dyDescent="0.2">
      <c r="A9726" s="226">
        <v>2025</v>
      </c>
      <c r="B9726" s="226">
        <v>11</v>
      </c>
      <c r="C9726" s="226">
        <v>9</v>
      </c>
      <c r="D9726" s="226">
        <f t="shared" si="1129"/>
        <v>45970</v>
      </c>
      <c r="E9726" s="234">
        <f t="shared" si="1135"/>
        <v>45970</v>
      </c>
      <c r="F9726" s="479"/>
      <c r="G9726" s="227" t="s">
        <v>1111</v>
      </c>
      <c r="H9726" s="227"/>
      <c r="I9726" s="228"/>
      <c r="J9726" s="229" t="s">
        <v>1615</v>
      </c>
      <c r="K9726" s="294"/>
      <c r="L9726" s="230">
        <v>1431989.2</v>
      </c>
    </row>
    <row r="9727" spans="1:15" ht="11.25" customHeight="1" x14ac:dyDescent="0.2">
      <c r="A9727" s="221">
        <v>2025</v>
      </c>
      <c r="B9727" s="221">
        <v>11</v>
      </c>
      <c r="C9727" s="221">
        <v>9</v>
      </c>
      <c r="D9727" s="231">
        <f t="shared" si="1129"/>
        <v>45970</v>
      </c>
      <c r="E9727" s="233">
        <f t="shared" si="1135"/>
        <v>45970</v>
      </c>
      <c r="F9727" s="478" t="s">
        <v>1889</v>
      </c>
      <c r="G9727" s="222" t="s">
        <v>1111</v>
      </c>
      <c r="H9727" s="223"/>
      <c r="I9727" s="223"/>
      <c r="J9727" s="224" t="s">
        <v>961</v>
      </c>
      <c r="K9727" s="225">
        <v>664193.4</v>
      </c>
      <c r="L9727" s="225"/>
    </row>
    <row r="9728" spans="1:15" ht="11.25" customHeight="1" x14ac:dyDescent="0.2">
      <c r="A9728" s="226">
        <v>2025</v>
      </c>
      <c r="B9728" s="226">
        <v>11</v>
      </c>
      <c r="C9728" s="226">
        <v>9</v>
      </c>
      <c r="D9728" s="232">
        <f t="shared" si="1129"/>
        <v>45970</v>
      </c>
      <c r="E9728" s="234">
        <f t="shared" si="1135"/>
        <v>45970</v>
      </c>
      <c r="F9728" s="479"/>
      <c r="G9728" s="227" t="s">
        <v>1111</v>
      </c>
      <c r="H9728" s="228"/>
      <c r="I9728" s="228"/>
      <c r="J9728" s="229" t="s">
        <v>55</v>
      </c>
      <c r="K9728" s="230"/>
      <c r="L9728" s="230">
        <f>K9727</f>
        <v>664193.4</v>
      </c>
    </row>
    <row r="9729" spans="1:14" ht="11.25" customHeight="1" x14ac:dyDescent="0.2">
      <c r="A9729" s="221">
        <v>2025</v>
      </c>
      <c r="B9729" s="221">
        <v>11</v>
      </c>
      <c r="C9729" s="221">
        <v>9</v>
      </c>
      <c r="D9729" s="231">
        <f t="shared" si="1129"/>
        <v>45970</v>
      </c>
      <c r="E9729" s="233">
        <f t="shared" si="1135"/>
        <v>45970</v>
      </c>
      <c r="F9729" s="478" t="s">
        <v>1670</v>
      </c>
      <c r="G9729" s="222" t="s">
        <v>1111</v>
      </c>
      <c r="H9729" s="223"/>
      <c r="I9729" s="223"/>
      <c r="J9729" s="224" t="s">
        <v>63</v>
      </c>
      <c r="K9729" s="225">
        <v>300</v>
      </c>
      <c r="L9729" s="225"/>
    </row>
    <row r="9730" spans="1:14" ht="11.25" customHeight="1" x14ac:dyDescent="0.2">
      <c r="A9730" s="226">
        <v>2025</v>
      </c>
      <c r="B9730" s="226">
        <v>11</v>
      </c>
      <c r="C9730" s="226">
        <v>9</v>
      </c>
      <c r="D9730" s="232">
        <f t="shared" si="1129"/>
        <v>45970</v>
      </c>
      <c r="E9730" s="234">
        <f t="shared" si="1135"/>
        <v>45970</v>
      </c>
      <c r="F9730" s="479"/>
      <c r="G9730" s="227" t="s">
        <v>1111</v>
      </c>
      <c r="H9730" s="228"/>
      <c r="I9730" s="228"/>
      <c r="J9730" s="229" t="s">
        <v>55</v>
      </c>
      <c r="K9730" s="230"/>
      <c r="L9730" s="230">
        <f>K9729</f>
        <v>300</v>
      </c>
    </row>
    <row r="9731" spans="1:14" ht="11.25" customHeight="1" x14ac:dyDescent="0.2">
      <c r="A9731" s="221">
        <v>2025</v>
      </c>
      <c r="B9731" s="221">
        <v>11</v>
      </c>
      <c r="C9731" s="221">
        <v>10</v>
      </c>
      <c r="D9731" s="231">
        <f t="shared" si="1129"/>
        <v>45971</v>
      </c>
      <c r="E9731" s="233">
        <f t="shared" ref="E9731:E9733" si="1136">DATE(A9731,B9731,C9731)</f>
        <v>45971</v>
      </c>
      <c r="F9731" s="478" t="s">
        <v>1940</v>
      </c>
      <c r="G9731" s="222" t="s">
        <v>1111</v>
      </c>
      <c r="H9731" s="223"/>
      <c r="I9731" s="223"/>
      <c r="J9731" s="224" t="s">
        <v>961</v>
      </c>
      <c r="K9731" s="225">
        <v>5227531.3499999996</v>
      </c>
      <c r="L9731" s="225"/>
    </row>
    <row r="9732" spans="1:14" ht="11.25" customHeight="1" x14ac:dyDescent="0.2">
      <c r="A9732" s="164">
        <v>2025</v>
      </c>
      <c r="B9732" s="164">
        <v>11</v>
      </c>
      <c r="C9732" s="164">
        <v>10</v>
      </c>
      <c r="D9732" s="164">
        <f t="shared" si="1129"/>
        <v>45971</v>
      </c>
      <c r="E9732" s="235">
        <f t="shared" si="1136"/>
        <v>45971</v>
      </c>
      <c r="F9732" s="480"/>
      <c r="G9732" s="208" t="s">
        <v>1111</v>
      </c>
      <c r="H9732" s="208"/>
      <c r="J9732" s="165" t="s">
        <v>199</v>
      </c>
      <c r="K9732" s="263"/>
      <c r="L9732" s="205">
        <v>2184592.7999999998</v>
      </c>
    </row>
    <row r="9733" spans="1:14" ht="11.25" customHeight="1" x14ac:dyDescent="0.2">
      <c r="A9733" s="226">
        <v>2025</v>
      </c>
      <c r="B9733" s="226">
        <v>11</v>
      </c>
      <c r="C9733" s="226">
        <v>10</v>
      </c>
      <c r="D9733" s="232">
        <f t="shared" si="1129"/>
        <v>45971</v>
      </c>
      <c r="E9733" s="234">
        <f t="shared" si="1136"/>
        <v>45971</v>
      </c>
      <c r="F9733" s="479"/>
      <c r="G9733" s="227" t="s">
        <v>1111</v>
      </c>
      <c r="H9733" s="228"/>
      <c r="I9733" s="228"/>
      <c r="J9733" s="229" t="s">
        <v>55</v>
      </c>
      <c r="K9733" s="230"/>
      <c r="L9733" s="230">
        <v>3042938.55</v>
      </c>
    </row>
    <row r="9734" spans="1:14" ht="11.25" customHeight="1" x14ac:dyDescent="0.2">
      <c r="A9734" s="221">
        <v>2025</v>
      </c>
      <c r="B9734" s="221">
        <v>11</v>
      </c>
      <c r="C9734" s="221">
        <v>10</v>
      </c>
      <c r="D9734" s="221">
        <f t="shared" si="1129"/>
        <v>45971</v>
      </c>
      <c r="E9734" s="233">
        <f t="shared" ref="E9734:E9774" si="1137">DATE(A9734,B9734,C9734)</f>
        <v>45971</v>
      </c>
      <c r="F9734" s="478" t="s">
        <v>1937</v>
      </c>
      <c r="G9734" s="222" t="s">
        <v>86</v>
      </c>
      <c r="H9734" s="222"/>
      <c r="I9734" s="223"/>
      <c r="J9734" s="224" t="s">
        <v>80</v>
      </c>
      <c r="K9734" s="225">
        <v>752425</v>
      </c>
      <c r="L9734" s="225"/>
      <c r="N9734" s="263"/>
    </row>
    <row r="9735" spans="1:14" ht="11.25" customHeight="1" x14ac:dyDescent="0.2">
      <c r="A9735" s="164">
        <v>2025</v>
      </c>
      <c r="B9735" s="164">
        <v>11</v>
      </c>
      <c r="C9735" s="164">
        <v>10</v>
      </c>
      <c r="D9735" s="164">
        <f t="shared" si="1129"/>
        <v>45971</v>
      </c>
      <c r="E9735" s="235">
        <f t="shared" si="1137"/>
        <v>45971</v>
      </c>
      <c r="F9735" s="480"/>
      <c r="G9735" s="208" t="s">
        <v>86</v>
      </c>
      <c r="H9735" s="208"/>
      <c r="J9735" s="165" t="s">
        <v>960</v>
      </c>
      <c r="K9735" s="205">
        <v>3260.75</v>
      </c>
      <c r="L9735" s="205"/>
      <c r="M9735" s="263"/>
      <c r="N9735" s="263"/>
    </row>
    <row r="9736" spans="1:14" ht="11.25" customHeight="1" x14ac:dyDescent="0.2">
      <c r="A9736" s="164">
        <v>2025</v>
      </c>
      <c r="B9736" s="164">
        <v>11</v>
      </c>
      <c r="C9736" s="164">
        <v>10</v>
      </c>
      <c r="D9736" s="164">
        <f t="shared" si="1129"/>
        <v>45971</v>
      </c>
      <c r="E9736" s="235">
        <f t="shared" si="1137"/>
        <v>45971</v>
      </c>
      <c r="F9736" s="480"/>
      <c r="G9736" s="208" t="s">
        <v>86</v>
      </c>
      <c r="H9736" s="208"/>
      <c r="J9736" s="165" t="s">
        <v>199</v>
      </c>
      <c r="K9736" s="263">
        <v>303416.95</v>
      </c>
      <c r="L9736" s="205"/>
      <c r="M9736" s="263"/>
      <c r="N9736" s="263"/>
    </row>
    <row r="9737" spans="1:14" ht="11.25" customHeight="1" x14ac:dyDescent="0.2">
      <c r="A9737" s="164">
        <v>2025</v>
      </c>
      <c r="B9737" s="164">
        <v>11</v>
      </c>
      <c r="C9737" s="164">
        <v>10</v>
      </c>
      <c r="D9737" s="164">
        <f t="shared" ref="D9737:D9800" si="1138">DATE(A9737,B9737,C9737)</f>
        <v>45971</v>
      </c>
      <c r="E9737" s="235">
        <f t="shared" si="1137"/>
        <v>45971</v>
      </c>
      <c r="F9737" s="480"/>
      <c r="G9737" s="208" t="s">
        <v>86</v>
      </c>
      <c r="H9737" s="208"/>
      <c r="J9737" s="165" t="s">
        <v>200</v>
      </c>
      <c r="K9737" s="205">
        <v>6908.67</v>
      </c>
      <c r="L9737" s="205"/>
      <c r="M9737" s="263"/>
      <c r="N9737" s="263"/>
    </row>
    <row r="9738" spans="1:14" ht="11.25" customHeight="1" x14ac:dyDescent="0.2">
      <c r="A9738" s="226">
        <v>2025</v>
      </c>
      <c r="B9738" s="226">
        <v>11</v>
      </c>
      <c r="C9738" s="226">
        <v>10</v>
      </c>
      <c r="D9738" s="226">
        <f t="shared" si="1138"/>
        <v>45971</v>
      </c>
      <c r="E9738" s="234">
        <f t="shared" si="1137"/>
        <v>45971</v>
      </c>
      <c r="F9738" s="479"/>
      <c r="G9738" s="227" t="s">
        <v>86</v>
      </c>
      <c r="H9738" s="228"/>
      <c r="I9738" s="228"/>
      <c r="J9738" s="229" t="s">
        <v>80</v>
      </c>
      <c r="K9738" s="230"/>
      <c r="L9738" s="230">
        <v>1066011.3700000001</v>
      </c>
      <c r="M9738" s="263"/>
      <c r="N9738" s="263"/>
    </row>
    <row r="9739" spans="1:14" ht="11.25" customHeight="1" x14ac:dyDescent="0.2">
      <c r="A9739" s="221">
        <v>2025</v>
      </c>
      <c r="B9739" s="221">
        <v>11</v>
      </c>
      <c r="C9739" s="221">
        <v>10</v>
      </c>
      <c r="D9739" s="231">
        <f t="shared" si="1138"/>
        <v>45971</v>
      </c>
      <c r="E9739" s="233">
        <f t="shared" si="1137"/>
        <v>45971</v>
      </c>
      <c r="F9739" s="478" t="s">
        <v>1132</v>
      </c>
      <c r="G9739" s="222" t="s">
        <v>1111</v>
      </c>
      <c r="H9739" s="223"/>
      <c r="I9739" s="223"/>
      <c r="J9739" s="224" t="s">
        <v>55</v>
      </c>
      <c r="K9739" s="167">
        <v>5000</v>
      </c>
      <c r="L9739" s="225"/>
    </row>
    <row r="9740" spans="1:14" ht="11.25" customHeight="1" x14ac:dyDescent="0.2">
      <c r="A9740" s="164">
        <v>2025</v>
      </c>
      <c r="B9740" s="164">
        <v>11</v>
      </c>
      <c r="C9740" s="164">
        <v>10</v>
      </c>
      <c r="D9740" s="156">
        <f t="shared" si="1138"/>
        <v>45971</v>
      </c>
      <c r="E9740" s="235">
        <f t="shared" si="1137"/>
        <v>45971</v>
      </c>
      <c r="F9740" s="480"/>
      <c r="G9740" s="208" t="s">
        <v>1111</v>
      </c>
      <c r="J9740" s="165" t="s">
        <v>14</v>
      </c>
      <c r="L9740" s="205">
        <v>4190</v>
      </c>
    </row>
    <row r="9741" spans="1:14" ht="11.25" customHeight="1" x14ac:dyDescent="0.2">
      <c r="A9741" s="226">
        <v>2025</v>
      </c>
      <c r="B9741" s="226">
        <v>11</v>
      </c>
      <c r="C9741" s="226">
        <v>10</v>
      </c>
      <c r="D9741" s="232">
        <f t="shared" si="1138"/>
        <v>45971</v>
      </c>
      <c r="E9741" s="234">
        <f t="shared" si="1137"/>
        <v>45971</v>
      </c>
      <c r="F9741" s="479"/>
      <c r="G9741" s="227" t="s">
        <v>1111</v>
      </c>
      <c r="H9741" s="228"/>
      <c r="I9741" s="228"/>
      <c r="J9741" s="229" t="s">
        <v>1112</v>
      </c>
      <c r="K9741" s="230"/>
      <c r="L9741" s="230">
        <v>810</v>
      </c>
    </row>
    <row r="9742" spans="1:14" ht="11.25" customHeight="1" x14ac:dyDescent="0.2">
      <c r="A9742" s="221">
        <v>2025</v>
      </c>
      <c r="B9742" s="221">
        <v>11</v>
      </c>
      <c r="C9742" s="221">
        <v>10</v>
      </c>
      <c r="D9742" s="231">
        <f t="shared" si="1138"/>
        <v>45971</v>
      </c>
      <c r="E9742" s="233">
        <f t="shared" si="1137"/>
        <v>45971</v>
      </c>
      <c r="F9742" s="478" t="s">
        <v>1961</v>
      </c>
      <c r="G9742" s="222" t="s">
        <v>1111</v>
      </c>
      <c r="H9742" s="223"/>
      <c r="I9742" s="223"/>
      <c r="J9742" s="224" t="s">
        <v>192</v>
      </c>
      <c r="K9742" s="225">
        <v>200000</v>
      </c>
      <c r="L9742" s="225"/>
    </row>
    <row r="9743" spans="1:14" ht="11.25" customHeight="1" x14ac:dyDescent="0.2">
      <c r="A9743" s="226">
        <v>2025</v>
      </c>
      <c r="B9743" s="226">
        <v>11</v>
      </c>
      <c r="C9743" s="226">
        <v>10</v>
      </c>
      <c r="D9743" s="232">
        <f t="shared" si="1138"/>
        <v>45971</v>
      </c>
      <c r="E9743" s="234">
        <f t="shared" si="1137"/>
        <v>45971</v>
      </c>
      <c r="F9743" s="479"/>
      <c r="G9743" s="227" t="s">
        <v>1111</v>
      </c>
      <c r="H9743" s="228"/>
      <c r="I9743" s="228"/>
      <c r="J9743" s="229" t="s">
        <v>191</v>
      </c>
      <c r="K9743" s="230"/>
      <c r="L9743" s="230">
        <f>K9742</f>
        <v>200000</v>
      </c>
    </row>
    <row r="9744" spans="1:14" ht="11.25" customHeight="1" x14ac:dyDescent="0.2">
      <c r="A9744" s="221">
        <v>2025</v>
      </c>
      <c r="B9744" s="221">
        <v>11</v>
      </c>
      <c r="C9744" s="221">
        <v>11</v>
      </c>
      <c r="D9744" s="221">
        <f t="shared" si="1138"/>
        <v>45972</v>
      </c>
      <c r="E9744" s="233">
        <f t="shared" si="1137"/>
        <v>45972</v>
      </c>
      <c r="F9744" s="478" t="s">
        <v>1937</v>
      </c>
      <c r="G9744" s="222" t="s">
        <v>86</v>
      </c>
      <c r="H9744" s="222"/>
      <c r="I9744" s="223"/>
      <c r="J9744" s="224" t="s">
        <v>80</v>
      </c>
      <c r="K9744" s="225">
        <v>632425</v>
      </c>
      <c r="L9744" s="225"/>
      <c r="N9744" s="263"/>
    </row>
    <row r="9745" spans="1:14" ht="11.25" customHeight="1" x14ac:dyDescent="0.2">
      <c r="A9745" s="164">
        <v>2025</v>
      </c>
      <c r="B9745" s="164">
        <v>11</v>
      </c>
      <c r="C9745" s="164">
        <v>11</v>
      </c>
      <c r="D9745" s="164">
        <f t="shared" si="1138"/>
        <v>45972</v>
      </c>
      <c r="E9745" s="235">
        <f t="shared" si="1137"/>
        <v>45972</v>
      </c>
      <c r="F9745" s="480"/>
      <c r="G9745" s="208" t="s">
        <v>86</v>
      </c>
      <c r="H9745" s="208"/>
      <c r="J9745" s="165" t="s">
        <v>960</v>
      </c>
      <c r="K9745" s="205">
        <v>3045.23</v>
      </c>
      <c r="L9745" s="205"/>
      <c r="M9745" s="263"/>
      <c r="N9745" s="263"/>
    </row>
    <row r="9746" spans="1:14" ht="11.25" customHeight="1" x14ac:dyDescent="0.2">
      <c r="A9746" s="164">
        <v>2025</v>
      </c>
      <c r="B9746" s="164">
        <v>11</v>
      </c>
      <c r="C9746" s="164">
        <v>11</v>
      </c>
      <c r="D9746" s="164">
        <f t="shared" si="1138"/>
        <v>45972</v>
      </c>
      <c r="E9746" s="235">
        <f t="shared" si="1137"/>
        <v>45972</v>
      </c>
      <c r="F9746" s="480"/>
      <c r="G9746" s="208" t="s">
        <v>86</v>
      </c>
      <c r="H9746" s="208"/>
      <c r="J9746" s="165" t="s">
        <v>199</v>
      </c>
      <c r="K9746" s="263">
        <v>423894.28</v>
      </c>
      <c r="L9746" s="205"/>
      <c r="M9746" s="263"/>
      <c r="N9746" s="263"/>
    </row>
    <row r="9747" spans="1:14" ht="11.25" customHeight="1" x14ac:dyDescent="0.2">
      <c r="A9747" s="164">
        <v>2025</v>
      </c>
      <c r="B9747" s="164">
        <v>11</v>
      </c>
      <c r="C9747" s="164">
        <v>11</v>
      </c>
      <c r="D9747" s="164">
        <f t="shared" si="1138"/>
        <v>45972</v>
      </c>
      <c r="E9747" s="235">
        <f t="shared" si="1137"/>
        <v>45972</v>
      </c>
      <c r="F9747" s="480"/>
      <c r="G9747" s="208" t="s">
        <v>86</v>
      </c>
      <c r="H9747" s="208"/>
      <c r="J9747" s="165" t="s">
        <v>200</v>
      </c>
      <c r="K9747" s="205">
        <v>6646.87</v>
      </c>
      <c r="L9747" s="205"/>
      <c r="M9747" s="263"/>
      <c r="N9747" s="263"/>
    </row>
    <row r="9748" spans="1:14" ht="11.25" customHeight="1" x14ac:dyDescent="0.2">
      <c r="A9748" s="226">
        <v>2025</v>
      </c>
      <c r="B9748" s="226">
        <v>11</v>
      </c>
      <c r="C9748" s="226">
        <v>11</v>
      </c>
      <c r="D9748" s="226">
        <f t="shared" si="1138"/>
        <v>45972</v>
      </c>
      <c r="E9748" s="234">
        <f t="shared" si="1137"/>
        <v>45972</v>
      </c>
      <c r="F9748" s="479"/>
      <c r="G9748" s="227" t="s">
        <v>86</v>
      </c>
      <c r="H9748" s="228"/>
      <c r="I9748" s="228"/>
      <c r="J9748" s="229" t="s">
        <v>80</v>
      </c>
      <c r="K9748" s="230"/>
      <c r="L9748" s="230">
        <v>1066011.3700000001</v>
      </c>
      <c r="M9748" s="263"/>
      <c r="N9748" s="263"/>
    </row>
    <row r="9749" spans="1:14" ht="11.25" customHeight="1" x14ac:dyDescent="0.2">
      <c r="A9749" s="221">
        <v>2025</v>
      </c>
      <c r="B9749" s="221">
        <v>11</v>
      </c>
      <c r="C9749" s="221">
        <v>12</v>
      </c>
      <c r="D9749" s="231">
        <f t="shared" si="1138"/>
        <v>45973</v>
      </c>
      <c r="E9749" s="233">
        <f t="shared" si="1137"/>
        <v>45973</v>
      </c>
      <c r="F9749" s="478" t="s">
        <v>1945</v>
      </c>
      <c r="G9749" s="222" t="s">
        <v>1111</v>
      </c>
      <c r="H9749" s="223"/>
      <c r="I9749" s="223"/>
      <c r="J9749" s="224" t="s">
        <v>55</v>
      </c>
      <c r="K9749" s="225">
        <v>301510.09000000003</v>
      </c>
      <c r="L9749" s="225"/>
    </row>
    <row r="9750" spans="1:14" ht="11.25" customHeight="1" x14ac:dyDescent="0.2">
      <c r="A9750" s="226">
        <v>2025</v>
      </c>
      <c r="B9750" s="226">
        <v>11</v>
      </c>
      <c r="C9750" s="226">
        <v>12</v>
      </c>
      <c r="D9750" s="232">
        <f t="shared" si="1138"/>
        <v>45973</v>
      </c>
      <c r="E9750" s="234">
        <f t="shared" si="1137"/>
        <v>45973</v>
      </c>
      <c r="F9750" s="479"/>
      <c r="G9750" s="227" t="s">
        <v>1111</v>
      </c>
      <c r="H9750" s="228"/>
      <c r="I9750" s="228"/>
      <c r="J9750" s="229" t="s">
        <v>199</v>
      </c>
      <c r="K9750" s="230"/>
      <c r="L9750" s="230">
        <f>K9749</f>
        <v>301510.09000000003</v>
      </c>
    </row>
    <row r="9751" spans="1:14" ht="11.25" customHeight="1" x14ac:dyDescent="0.2">
      <c r="A9751" s="164">
        <v>2025</v>
      </c>
      <c r="B9751" s="164">
        <v>11</v>
      </c>
      <c r="C9751" s="164">
        <v>12</v>
      </c>
      <c r="D9751" s="156">
        <f t="shared" si="1138"/>
        <v>45973</v>
      </c>
      <c r="E9751" s="235">
        <f t="shared" si="1137"/>
        <v>45973</v>
      </c>
      <c r="F9751" s="480" t="s">
        <v>1808</v>
      </c>
      <c r="G9751" s="208" t="s">
        <v>1111</v>
      </c>
      <c r="J9751" s="165" t="s">
        <v>1708</v>
      </c>
      <c r="K9751" s="205">
        <v>187.5</v>
      </c>
      <c r="L9751" s="205"/>
    </row>
    <row r="9752" spans="1:14" ht="11.25" customHeight="1" x14ac:dyDescent="0.2">
      <c r="A9752" s="164">
        <v>2025</v>
      </c>
      <c r="B9752" s="164">
        <v>11</v>
      </c>
      <c r="C9752" s="164">
        <v>12</v>
      </c>
      <c r="D9752" s="156">
        <f t="shared" si="1138"/>
        <v>45973</v>
      </c>
      <c r="E9752" s="235">
        <f t="shared" si="1137"/>
        <v>45973</v>
      </c>
      <c r="F9752" s="480"/>
      <c r="G9752" s="208" t="s">
        <v>1111</v>
      </c>
      <c r="J9752" s="165" t="s">
        <v>1708</v>
      </c>
      <c r="K9752" s="205">
        <v>312.5</v>
      </c>
      <c r="L9752" s="205"/>
    </row>
    <row r="9753" spans="1:14" ht="11.25" customHeight="1" x14ac:dyDescent="0.2">
      <c r="A9753" s="164">
        <v>2025</v>
      </c>
      <c r="B9753" s="164">
        <v>11</v>
      </c>
      <c r="C9753" s="164">
        <v>12</v>
      </c>
      <c r="D9753" s="156">
        <f t="shared" si="1138"/>
        <v>45973</v>
      </c>
      <c r="E9753" s="235">
        <f t="shared" si="1137"/>
        <v>45973</v>
      </c>
      <c r="F9753" s="480"/>
      <c r="G9753" s="208" t="s">
        <v>1111</v>
      </c>
      <c r="J9753" s="165" t="s">
        <v>1707</v>
      </c>
      <c r="K9753" s="205">
        <v>75</v>
      </c>
      <c r="L9753" s="205"/>
    </row>
    <row r="9754" spans="1:14" ht="11.25" customHeight="1" x14ac:dyDescent="0.2">
      <c r="A9754" s="164">
        <v>2025</v>
      </c>
      <c r="B9754" s="164">
        <v>11</v>
      </c>
      <c r="C9754" s="164">
        <v>12</v>
      </c>
      <c r="D9754" s="156">
        <f t="shared" si="1138"/>
        <v>45973</v>
      </c>
      <c r="E9754" s="235">
        <f t="shared" ref="E9754" si="1139">DATE(A9754,B9754,C9754)</f>
        <v>45973</v>
      </c>
      <c r="F9754" s="480"/>
      <c r="G9754" s="208" t="s">
        <v>1111</v>
      </c>
      <c r="J9754" s="165" t="s">
        <v>478</v>
      </c>
      <c r="K9754" s="205">
        <v>566.11</v>
      </c>
      <c r="L9754" s="205"/>
    </row>
    <row r="9755" spans="1:14" ht="11.25" customHeight="1" x14ac:dyDescent="0.2">
      <c r="A9755" s="164">
        <v>2025</v>
      </c>
      <c r="B9755" s="164">
        <v>11</v>
      </c>
      <c r="C9755" s="164">
        <v>12</v>
      </c>
      <c r="D9755" s="156">
        <f t="shared" si="1138"/>
        <v>45973</v>
      </c>
      <c r="E9755" s="235">
        <f t="shared" si="1137"/>
        <v>45973</v>
      </c>
      <c r="F9755" s="480"/>
      <c r="G9755" s="208" t="s">
        <v>1111</v>
      </c>
      <c r="J9755" s="165" t="s">
        <v>478</v>
      </c>
      <c r="K9755" s="205">
        <v>26426.32</v>
      </c>
      <c r="L9755" s="205"/>
    </row>
    <row r="9756" spans="1:14" ht="11.25" customHeight="1" x14ac:dyDescent="0.2">
      <c r="A9756" s="226">
        <v>2025</v>
      </c>
      <c r="B9756" s="226">
        <v>11</v>
      </c>
      <c r="C9756" s="226">
        <v>12</v>
      </c>
      <c r="D9756" s="232">
        <f t="shared" si="1138"/>
        <v>45973</v>
      </c>
      <c r="E9756" s="234">
        <f t="shared" si="1137"/>
        <v>45973</v>
      </c>
      <c r="F9756" s="479"/>
      <c r="G9756" s="227" t="s">
        <v>1111</v>
      </c>
      <c r="H9756" s="228"/>
      <c r="I9756" s="228"/>
      <c r="J9756" s="229" t="s">
        <v>55</v>
      </c>
      <c r="K9756" s="230"/>
      <c r="L9756" s="230">
        <v>27567.43</v>
      </c>
    </row>
    <row r="9757" spans="1:14" ht="11.25" customHeight="1" x14ac:dyDescent="0.2">
      <c r="A9757" s="221">
        <v>2025</v>
      </c>
      <c r="B9757" s="221">
        <v>11</v>
      </c>
      <c r="C9757" s="221">
        <v>12</v>
      </c>
      <c r="D9757" s="221">
        <f t="shared" si="1138"/>
        <v>45973</v>
      </c>
      <c r="E9757" s="233">
        <f t="shared" ref="E9757:E9761" si="1140">DATE(A9757,B9757,C9757)</f>
        <v>45973</v>
      </c>
      <c r="F9757" s="478" t="s">
        <v>1937</v>
      </c>
      <c r="G9757" s="222" t="s">
        <v>86</v>
      </c>
      <c r="H9757" s="222"/>
      <c r="I9757" s="223"/>
      <c r="J9757" s="224" t="s">
        <v>80</v>
      </c>
      <c r="K9757" s="225">
        <v>1046629.2</v>
      </c>
      <c r="L9757" s="225"/>
      <c r="N9757" s="263"/>
    </row>
    <row r="9758" spans="1:14" ht="11.25" customHeight="1" x14ac:dyDescent="0.2">
      <c r="A9758" s="164">
        <v>2025</v>
      </c>
      <c r="B9758" s="164">
        <v>11</v>
      </c>
      <c r="C9758" s="164">
        <v>12</v>
      </c>
      <c r="D9758" s="164">
        <f t="shared" si="1138"/>
        <v>45973</v>
      </c>
      <c r="E9758" s="235">
        <f t="shared" si="1140"/>
        <v>45973</v>
      </c>
      <c r="F9758" s="480"/>
      <c r="G9758" s="208" t="s">
        <v>86</v>
      </c>
      <c r="H9758" s="208"/>
      <c r="J9758" s="165" t="s">
        <v>960</v>
      </c>
      <c r="K9758" s="205">
        <v>2136.83</v>
      </c>
      <c r="L9758" s="205"/>
      <c r="M9758" s="263"/>
      <c r="N9758" s="263"/>
    </row>
    <row r="9759" spans="1:14" ht="11.25" customHeight="1" x14ac:dyDescent="0.2">
      <c r="A9759" s="164">
        <v>2025</v>
      </c>
      <c r="B9759" s="164">
        <v>11</v>
      </c>
      <c r="C9759" s="164">
        <v>12</v>
      </c>
      <c r="D9759" s="164">
        <f t="shared" si="1138"/>
        <v>45973</v>
      </c>
      <c r="E9759" s="235">
        <f t="shared" si="1140"/>
        <v>45973</v>
      </c>
      <c r="F9759" s="480"/>
      <c r="G9759" s="208" t="s">
        <v>86</v>
      </c>
      <c r="H9759" s="208"/>
      <c r="J9759" s="165" t="s">
        <v>961</v>
      </c>
      <c r="K9759" s="263"/>
      <c r="L9759" s="205">
        <v>908266.03</v>
      </c>
      <c r="M9759" s="263"/>
      <c r="N9759" s="263"/>
    </row>
    <row r="9760" spans="1:14" ht="11.25" customHeight="1" x14ac:dyDescent="0.2">
      <c r="A9760" s="164">
        <v>2025</v>
      </c>
      <c r="B9760" s="164">
        <v>11</v>
      </c>
      <c r="C9760" s="164">
        <v>12</v>
      </c>
      <c r="D9760" s="164">
        <f t="shared" si="1138"/>
        <v>45973</v>
      </c>
      <c r="E9760" s="235">
        <f t="shared" si="1140"/>
        <v>45973</v>
      </c>
      <c r="F9760" s="480"/>
      <c r="G9760" s="208" t="s">
        <v>86</v>
      </c>
      <c r="H9760" s="208"/>
      <c r="J9760" s="165" t="s">
        <v>200</v>
      </c>
      <c r="K9760" s="205">
        <v>19808.37</v>
      </c>
      <c r="L9760" s="205"/>
      <c r="M9760" s="263"/>
      <c r="N9760" s="263"/>
    </row>
    <row r="9761" spans="1:14" ht="11.25" customHeight="1" x14ac:dyDescent="0.2">
      <c r="A9761" s="226">
        <v>2025</v>
      </c>
      <c r="B9761" s="226">
        <v>11</v>
      </c>
      <c r="C9761" s="226">
        <v>12</v>
      </c>
      <c r="D9761" s="226">
        <f t="shared" si="1138"/>
        <v>45973</v>
      </c>
      <c r="E9761" s="234">
        <f t="shared" si="1140"/>
        <v>45973</v>
      </c>
      <c r="F9761" s="479"/>
      <c r="G9761" s="227" t="s">
        <v>86</v>
      </c>
      <c r="H9761" s="228"/>
      <c r="I9761" s="228"/>
      <c r="J9761" s="229" t="s">
        <v>80</v>
      </c>
      <c r="K9761" s="230"/>
      <c r="L9761" s="230">
        <v>160308.37</v>
      </c>
      <c r="M9761" s="263"/>
      <c r="N9761" s="263"/>
    </row>
    <row r="9762" spans="1:14" ht="11.25" customHeight="1" x14ac:dyDescent="0.2">
      <c r="A9762" s="221">
        <v>2025</v>
      </c>
      <c r="B9762" s="221">
        <v>11</v>
      </c>
      <c r="C9762" s="221">
        <v>13</v>
      </c>
      <c r="D9762" s="221">
        <f t="shared" si="1138"/>
        <v>45974</v>
      </c>
      <c r="E9762" s="233">
        <f t="shared" ref="E9762:E9766" si="1141">DATE(A9762,B9762,C9762)</f>
        <v>45974</v>
      </c>
      <c r="F9762" s="478" t="s">
        <v>1937</v>
      </c>
      <c r="G9762" s="222" t="s">
        <v>86</v>
      </c>
      <c r="H9762" s="222"/>
      <c r="I9762" s="223"/>
      <c r="J9762" s="224" t="s">
        <v>80</v>
      </c>
      <c r="K9762" s="225">
        <v>4389104.9000000004</v>
      </c>
      <c r="L9762" s="225"/>
      <c r="N9762" s="263"/>
    </row>
    <row r="9763" spans="1:14" ht="11.25" customHeight="1" x14ac:dyDescent="0.2">
      <c r="A9763" s="164">
        <v>2025</v>
      </c>
      <c r="B9763" s="164">
        <v>11</v>
      </c>
      <c r="C9763" s="164">
        <v>13</v>
      </c>
      <c r="D9763" s="164">
        <f t="shared" si="1138"/>
        <v>45974</v>
      </c>
      <c r="E9763" s="235">
        <f t="shared" si="1141"/>
        <v>45974</v>
      </c>
      <c r="F9763" s="480"/>
      <c r="G9763" s="208" t="s">
        <v>86</v>
      </c>
      <c r="H9763" s="208"/>
      <c r="J9763" s="165" t="s">
        <v>960</v>
      </c>
      <c r="K9763" s="205">
        <v>15726.14</v>
      </c>
      <c r="L9763" s="205"/>
      <c r="M9763" s="263"/>
      <c r="N9763" s="263"/>
    </row>
    <row r="9764" spans="1:14" ht="11.25" customHeight="1" x14ac:dyDescent="0.2">
      <c r="A9764" s="164">
        <v>2025</v>
      </c>
      <c r="B9764" s="164">
        <v>11</v>
      </c>
      <c r="C9764" s="164">
        <v>13</v>
      </c>
      <c r="D9764" s="164">
        <f t="shared" si="1138"/>
        <v>45974</v>
      </c>
      <c r="E9764" s="235">
        <f t="shared" si="1141"/>
        <v>45974</v>
      </c>
      <c r="F9764" s="480"/>
      <c r="G9764" s="208" t="s">
        <v>86</v>
      </c>
      <c r="H9764" s="208"/>
      <c r="J9764" s="165" t="s">
        <v>961</v>
      </c>
      <c r="K9764" s="263"/>
      <c r="L9764" s="205">
        <v>57194.239999999998</v>
      </c>
      <c r="M9764" s="263"/>
      <c r="N9764" s="263"/>
    </row>
    <row r="9765" spans="1:14" ht="11.25" customHeight="1" x14ac:dyDescent="0.2">
      <c r="A9765" s="164">
        <v>2025</v>
      </c>
      <c r="B9765" s="164">
        <v>11</v>
      </c>
      <c r="C9765" s="164">
        <v>13</v>
      </c>
      <c r="D9765" s="164">
        <f t="shared" si="1138"/>
        <v>45974</v>
      </c>
      <c r="E9765" s="235">
        <f t="shared" si="1141"/>
        <v>45974</v>
      </c>
      <c r="F9765" s="480"/>
      <c r="G9765" s="208" t="s">
        <v>86</v>
      </c>
      <c r="H9765" s="208"/>
      <c r="J9765" s="165" t="s">
        <v>200</v>
      </c>
      <c r="K9765" s="205"/>
      <c r="L9765" s="205">
        <v>61744.03</v>
      </c>
      <c r="M9765" s="263"/>
      <c r="N9765" s="263"/>
    </row>
    <row r="9766" spans="1:14" ht="11.25" customHeight="1" x14ac:dyDescent="0.2">
      <c r="A9766" s="226">
        <v>2025</v>
      </c>
      <c r="B9766" s="226">
        <v>11</v>
      </c>
      <c r="C9766" s="226">
        <v>13</v>
      </c>
      <c r="D9766" s="226">
        <f t="shared" si="1138"/>
        <v>45974</v>
      </c>
      <c r="E9766" s="234">
        <f t="shared" si="1141"/>
        <v>45974</v>
      </c>
      <c r="F9766" s="479"/>
      <c r="G9766" s="227" t="s">
        <v>86</v>
      </c>
      <c r="H9766" s="228"/>
      <c r="I9766" s="228"/>
      <c r="J9766" s="229" t="s">
        <v>80</v>
      </c>
      <c r="K9766" s="230"/>
      <c r="L9766" s="230">
        <v>4285892.7699999996</v>
      </c>
      <c r="M9766" s="263"/>
      <c r="N9766" s="263"/>
    </row>
    <row r="9767" spans="1:14" ht="11.25" customHeight="1" x14ac:dyDescent="0.2">
      <c r="A9767" s="280">
        <v>2025</v>
      </c>
      <c r="B9767" s="280">
        <v>11</v>
      </c>
      <c r="C9767" s="280">
        <v>13</v>
      </c>
      <c r="D9767" s="281">
        <f t="shared" si="1138"/>
        <v>45974</v>
      </c>
      <c r="E9767" s="282">
        <f t="shared" si="1137"/>
        <v>45974</v>
      </c>
      <c r="F9767" s="472" t="s">
        <v>1744</v>
      </c>
      <c r="G9767" s="283" t="s">
        <v>86</v>
      </c>
      <c r="H9767" s="284"/>
      <c r="I9767" s="284"/>
      <c r="J9767" s="285" t="s">
        <v>131</v>
      </c>
      <c r="K9767" s="286">
        <v>19358.330000000002</v>
      </c>
      <c r="L9767" s="286"/>
      <c r="M9767" s="401"/>
    </row>
    <row r="9768" spans="1:14" ht="11.25" customHeight="1" x14ac:dyDescent="0.2">
      <c r="A9768" s="287">
        <v>2025</v>
      </c>
      <c r="B9768" s="287">
        <v>11</v>
      </c>
      <c r="C9768" s="287">
        <v>13</v>
      </c>
      <c r="D9768" s="288">
        <f t="shared" si="1138"/>
        <v>45974</v>
      </c>
      <c r="E9768" s="289">
        <f t="shared" si="1137"/>
        <v>45974</v>
      </c>
      <c r="F9768" s="473"/>
      <c r="G9768" s="290" t="s">
        <v>86</v>
      </c>
      <c r="H9768" s="291"/>
      <c r="I9768" s="291"/>
      <c r="J9768" s="292" t="s">
        <v>174</v>
      </c>
      <c r="K9768" s="293"/>
      <c r="L9768" s="293">
        <f>K9767</f>
        <v>19358.330000000002</v>
      </c>
    </row>
    <row r="9769" spans="1:14" ht="11.25" customHeight="1" x14ac:dyDescent="0.2">
      <c r="A9769" s="280">
        <v>2025</v>
      </c>
      <c r="B9769" s="280">
        <v>11</v>
      </c>
      <c r="C9769" s="280">
        <v>13</v>
      </c>
      <c r="D9769" s="281">
        <f t="shared" si="1138"/>
        <v>45974</v>
      </c>
      <c r="E9769" s="282">
        <f t="shared" si="1137"/>
        <v>45974</v>
      </c>
      <c r="F9769" s="472" t="s">
        <v>1584</v>
      </c>
      <c r="G9769" s="283" t="s">
        <v>86</v>
      </c>
      <c r="H9769" s="284"/>
      <c r="I9769" s="284"/>
      <c r="J9769" s="285" t="s">
        <v>131</v>
      </c>
      <c r="K9769" s="286">
        <v>8846.15</v>
      </c>
      <c r="L9769" s="286"/>
      <c r="M9769" s="401"/>
    </row>
    <row r="9770" spans="1:14" ht="11.25" customHeight="1" x14ac:dyDescent="0.2">
      <c r="A9770" s="287">
        <v>2025</v>
      </c>
      <c r="B9770" s="287">
        <v>11</v>
      </c>
      <c r="C9770" s="287">
        <v>13</v>
      </c>
      <c r="D9770" s="288">
        <f t="shared" si="1138"/>
        <v>45974</v>
      </c>
      <c r="E9770" s="289">
        <f t="shared" si="1137"/>
        <v>45974</v>
      </c>
      <c r="F9770" s="473"/>
      <c r="G9770" s="290" t="s">
        <v>86</v>
      </c>
      <c r="H9770" s="291"/>
      <c r="I9770" s="291"/>
      <c r="J9770" s="292" t="s">
        <v>174</v>
      </c>
      <c r="K9770" s="293"/>
      <c r="L9770" s="293">
        <f>K9769</f>
        <v>8846.15</v>
      </c>
    </row>
    <row r="9771" spans="1:14" ht="11.25" customHeight="1" x14ac:dyDescent="0.2">
      <c r="A9771" s="280">
        <v>2025</v>
      </c>
      <c r="B9771" s="280">
        <v>11</v>
      </c>
      <c r="C9771" s="280">
        <v>13</v>
      </c>
      <c r="D9771" s="281">
        <f t="shared" si="1138"/>
        <v>45974</v>
      </c>
      <c r="E9771" s="282">
        <f t="shared" si="1137"/>
        <v>45974</v>
      </c>
      <c r="F9771" s="472" t="s">
        <v>1955</v>
      </c>
      <c r="G9771" s="283" t="s">
        <v>86</v>
      </c>
      <c r="H9771" s="284"/>
      <c r="I9771" s="284"/>
      <c r="J9771" s="285" t="s">
        <v>1978</v>
      </c>
      <c r="K9771" s="286">
        <v>43298.076923076922</v>
      </c>
      <c r="L9771" s="286"/>
      <c r="M9771" s="401"/>
    </row>
    <row r="9772" spans="1:14" ht="11.25" customHeight="1" x14ac:dyDescent="0.2">
      <c r="A9772" s="287">
        <v>2025</v>
      </c>
      <c r="B9772" s="287">
        <v>11</v>
      </c>
      <c r="C9772" s="287">
        <v>13</v>
      </c>
      <c r="D9772" s="288">
        <f t="shared" si="1138"/>
        <v>45974</v>
      </c>
      <c r="E9772" s="289">
        <f t="shared" si="1137"/>
        <v>45974</v>
      </c>
      <c r="F9772" s="473"/>
      <c r="G9772" s="290" t="s">
        <v>86</v>
      </c>
      <c r="H9772" s="291"/>
      <c r="I9772" s="291"/>
      <c r="J9772" s="292" t="s">
        <v>1955</v>
      </c>
      <c r="K9772" s="293"/>
      <c r="L9772" s="293">
        <f>K9771</f>
        <v>43298.076923076922</v>
      </c>
    </row>
    <row r="9773" spans="1:14" ht="11.25" customHeight="1" x14ac:dyDescent="0.2">
      <c r="A9773" s="341">
        <v>2025</v>
      </c>
      <c r="B9773" s="341">
        <v>11</v>
      </c>
      <c r="C9773" s="341">
        <v>13</v>
      </c>
      <c r="D9773" s="328">
        <f t="shared" si="1138"/>
        <v>45974</v>
      </c>
      <c r="E9773" s="329">
        <f t="shared" si="1137"/>
        <v>45974</v>
      </c>
      <c r="F9773" s="474" t="s">
        <v>1767</v>
      </c>
      <c r="G9773" s="330" t="s">
        <v>86</v>
      </c>
      <c r="H9773" s="332"/>
      <c r="I9773" s="332"/>
      <c r="J9773" s="342" t="s">
        <v>67</v>
      </c>
      <c r="K9773" s="343">
        <v>3023.27</v>
      </c>
      <c r="L9773" s="343"/>
    </row>
    <row r="9774" spans="1:14" ht="11.25" customHeight="1" x14ac:dyDescent="0.2">
      <c r="A9774" s="344">
        <v>2025</v>
      </c>
      <c r="B9774" s="344">
        <v>11</v>
      </c>
      <c r="C9774" s="344">
        <v>13</v>
      </c>
      <c r="D9774" s="337">
        <f t="shared" si="1138"/>
        <v>45974</v>
      </c>
      <c r="E9774" s="338">
        <f t="shared" si="1137"/>
        <v>45974</v>
      </c>
      <c r="F9774" s="475"/>
      <c r="G9774" s="339" t="s">
        <v>86</v>
      </c>
      <c r="H9774" s="340"/>
      <c r="I9774" s="340"/>
      <c r="J9774" s="345" t="s">
        <v>174</v>
      </c>
      <c r="K9774" s="346"/>
      <c r="L9774" s="346">
        <f>K9773</f>
        <v>3023.27</v>
      </c>
    </row>
    <row r="9775" spans="1:14" ht="11.25" customHeight="1" x14ac:dyDescent="0.2">
      <c r="A9775" s="358">
        <v>2025</v>
      </c>
      <c r="B9775" s="358">
        <v>11</v>
      </c>
      <c r="C9775" s="358">
        <v>13</v>
      </c>
      <c r="D9775" s="312">
        <f t="shared" si="1138"/>
        <v>45974</v>
      </c>
      <c r="E9775" s="313">
        <f>DATE(A9775,B9775,C9775)</f>
        <v>45974</v>
      </c>
      <c r="F9775" s="482" t="s">
        <v>1627</v>
      </c>
      <c r="G9775" s="314" t="s">
        <v>86</v>
      </c>
      <c r="H9775" s="324"/>
      <c r="I9775" s="324"/>
      <c r="J9775" s="364" t="s">
        <v>1613</v>
      </c>
      <c r="K9775" s="365">
        <v>0</v>
      </c>
      <c r="L9775" s="365"/>
      <c r="M9775" s="156">
        <f>BS!$I$12</f>
        <v>0</v>
      </c>
    </row>
    <row r="9776" spans="1:14" ht="11.25" customHeight="1" x14ac:dyDescent="0.2">
      <c r="A9776" s="320">
        <v>2025</v>
      </c>
      <c r="B9776" s="320">
        <v>11</v>
      </c>
      <c r="C9776" s="320">
        <v>13</v>
      </c>
      <c r="D9776" s="323">
        <f t="shared" si="1138"/>
        <v>45974</v>
      </c>
      <c r="E9776" s="321">
        <f t="shared" ref="E9776" si="1142">DATE(A9776,B9776,C9776)</f>
        <v>45974</v>
      </c>
      <c r="F9776" s="483"/>
      <c r="G9776" s="322" t="s">
        <v>86</v>
      </c>
      <c r="H9776" s="325"/>
      <c r="I9776" s="325"/>
      <c r="J9776" s="366" t="s">
        <v>1621</v>
      </c>
      <c r="K9776" s="367"/>
      <c r="L9776" s="367">
        <f>K9775</f>
        <v>0</v>
      </c>
    </row>
    <row r="9777" spans="1:14" ht="11.25" customHeight="1" x14ac:dyDescent="0.2">
      <c r="A9777" s="358">
        <v>2025</v>
      </c>
      <c r="B9777" s="358">
        <v>11</v>
      </c>
      <c r="C9777" s="358">
        <v>13</v>
      </c>
      <c r="D9777" s="312">
        <f t="shared" si="1138"/>
        <v>45974</v>
      </c>
      <c r="E9777" s="313">
        <f>DATE(A9777,B9777,C9777)</f>
        <v>45974</v>
      </c>
      <c r="F9777" s="482" t="s">
        <v>1713</v>
      </c>
      <c r="G9777" s="314" t="s">
        <v>86</v>
      </c>
      <c r="H9777" s="324"/>
      <c r="I9777" s="324"/>
      <c r="J9777" s="364" t="s">
        <v>1614</v>
      </c>
      <c r="K9777" s="365">
        <v>1875.394999996759</v>
      </c>
      <c r="L9777" s="365"/>
      <c r="M9777" s="447">
        <f>BS!$I$15</f>
        <v>0</v>
      </c>
      <c r="N9777" s="166"/>
    </row>
    <row r="9778" spans="1:14" ht="11.25" customHeight="1" x14ac:dyDescent="0.2">
      <c r="A9778" s="320">
        <v>2025</v>
      </c>
      <c r="B9778" s="320">
        <v>11</v>
      </c>
      <c r="C9778" s="320">
        <v>13</v>
      </c>
      <c r="D9778" s="323">
        <f t="shared" si="1138"/>
        <v>45974</v>
      </c>
      <c r="E9778" s="321">
        <f t="shared" ref="E9778:E9798" si="1143">DATE(A9778,B9778,C9778)</f>
        <v>45974</v>
      </c>
      <c r="F9778" s="483"/>
      <c r="G9778" s="322" t="s">
        <v>86</v>
      </c>
      <c r="H9778" s="325"/>
      <c r="I9778" s="325"/>
      <c r="J9778" s="366" t="s">
        <v>1622</v>
      </c>
      <c r="K9778" s="367"/>
      <c r="L9778" s="367">
        <f>K9777</f>
        <v>1875.394999996759</v>
      </c>
    </row>
    <row r="9779" spans="1:14" ht="11.25" customHeight="1" x14ac:dyDescent="0.2">
      <c r="A9779" s="236">
        <v>2025</v>
      </c>
      <c r="B9779" s="236">
        <v>11</v>
      </c>
      <c r="C9779" s="236">
        <v>13</v>
      </c>
      <c r="D9779" s="237">
        <f t="shared" si="1138"/>
        <v>45974</v>
      </c>
      <c r="E9779" s="238">
        <f t="shared" si="1143"/>
        <v>45974</v>
      </c>
      <c r="F9779" s="476" t="s">
        <v>1118</v>
      </c>
      <c r="G9779" s="239" t="s">
        <v>86</v>
      </c>
      <c r="H9779" s="239"/>
      <c r="I9779" s="240"/>
      <c r="J9779" s="241" t="s">
        <v>82</v>
      </c>
      <c r="K9779" s="242">
        <v>3824668.6499999166</v>
      </c>
      <c r="L9779" s="242"/>
      <c r="M9779" s="156">
        <f>BS!$I$8</f>
        <v>0</v>
      </c>
    </row>
    <row r="9780" spans="1:14" ht="11.25" customHeight="1" x14ac:dyDescent="0.2">
      <c r="A9780" s="243">
        <v>2025</v>
      </c>
      <c r="B9780" s="243">
        <v>11</v>
      </c>
      <c r="C9780" s="243">
        <v>13</v>
      </c>
      <c r="D9780" s="248">
        <f t="shared" si="1138"/>
        <v>45974</v>
      </c>
      <c r="E9780" s="249">
        <f t="shared" si="1143"/>
        <v>45974</v>
      </c>
      <c r="F9780" s="477"/>
      <c r="G9780" s="244" t="s">
        <v>86</v>
      </c>
      <c r="H9780" s="244"/>
      <c r="I9780" s="245"/>
      <c r="J9780" s="246" t="s">
        <v>98</v>
      </c>
      <c r="K9780" s="247"/>
      <c r="L9780" s="247">
        <f>K9779</f>
        <v>3824668.6499999166</v>
      </c>
    </row>
    <row r="9781" spans="1:14" ht="11.25" customHeight="1" x14ac:dyDescent="0.2">
      <c r="A9781" s="236">
        <v>2025</v>
      </c>
      <c r="B9781" s="236">
        <v>11</v>
      </c>
      <c r="C9781" s="236">
        <v>13</v>
      </c>
      <c r="D9781" s="237">
        <f t="shared" si="1138"/>
        <v>45974</v>
      </c>
      <c r="E9781" s="238">
        <f t="shared" si="1143"/>
        <v>45974</v>
      </c>
      <c r="F9781" s="476" t="s">
        <v>1120</v>
      </c>
      <c r="G9781" s="239" t="s">
        <v>86</v>
      </c>
      <c r="H9781" s="239"/>
      <c r="I9781" s="240"/>
      <c r="J9781" s="241" t="s">
        <v>87</v>
      </c>
      <c r="K9781" s="242">
        <v>2747.2527472527472</v>
      </c>
      <c r="L9781" s="242"/>
      <c r="M9781" s="401"/>
    </row>
    <row r="9782" spans="1:14" ht="11.25" customHeight="1" x14ac:dyDescent="0.2">
      <c r="A9782" s="243">
        <v>2025</v>
      </c>
      <c r="B9782" s="243">
        <v>11</v>
      </c>
      <c r="C9782" s="243">
        <v>13</v>
      </c>
      <c r="D9782" s="248">
        <f t="shared" si="1138"/>
        <v>45974</v>
      </c>
      <c r="E9782" s="249">
        <f t="shared" si="1143"/>
        <v>45974</v>
      </c>
      <c r="F9782" s="477"/>
      <c r="G9782" s="244" t="s">
        <v>86</v>
      </c>
      <c r="H9782" s="244"/>
      <c r="I9782" s="245"/>
      <c r="J9782" s="246" t="s">
        <v>64</v>
      </c>
      <c r="K9782" s="247"/>
      <c r="L9782" s="247">
        <f>K9781</f>
        <v>2747.2527472527472</v>
      </c>
    </row>
    <row r="9783" spans="1:14" ht="11.25" customHeight="1" x14ac:dyDescent="0.2">
      <c r="A9783" s="236">
        <v>2025</v>
      </c>
      <c r="B9783" s="236">
        <v>11</v>
      </c>
      <c r="C9783" s="236">
        <v>13</v>
      </c>
      <c r="D9783" s="237">
        <f t="shared" si="1138"/>
        <v>45974</v>
      </c>
      <c r="E9783" s="238">
        <f t="shared" si="1143"/>
        <v>45974</v>
      </c>
      <c r="F9783" s="476" t="s">
        <v>1121</v>
      </c>
      <c r="G9783" s="239" t="s">
        <v>86</v>
      </c>
      <c r="H9783" s="239"/>
      <c r="I9783" s="240"/>
      <c r="J9783" s="241" t="s">
        <v>89</v>
      </c>
      <c r="K9783" s="242">
        <f>M9783</f>
        <v>84657.119076912903</v>
      </c>
      <c r="L9783" s="242"/>
      <c r="M9783" s="156">
        <v>84657.119076912903</v>
      </c>
    </row>
    <row r="9784" spans="1:14" ht="11.25" customHeight="1" x14ac:dyDescent="0.2">
      <c r="A9784" s="243">
        <v>2025</v>
      </c>
      <c r="B9784" s="243">
        <v>11</v>
      </c>
      <c r="C9784" s="243">
        <v>13</v>
      </c>
      <c r="D9784" s="248">
        <f t="shared" si="1138"/>
        <v>45974</v>
      </c>
      <c r="E9784" s="249">
        <f t="shared" si="1143"/>
        <v>45974</v>
      </c>
      <c r="F9784" s="477"/>
      <c r="G9784" s="244" t="s">
        <v>86</v>
      </c>
      <c r="H9784" s="244"/>
      <c r="I9784" s="245"/>
      <c r="J9784" s="246" t="s">
        <v>50</v>
      </c>
      <c r="K9784" s="247"/>
      <c r="L9784" s="247">
        <f>K9783</f>
        <v>84657.119076912903</v>
      </c>
      <c r="M9784" s="156">
        <v>3992.47133846103</v>
      </c>
    </row>
    <row r="9785" spans="1:14" ht="11.25" customHeight="1" x14ac:dyDescent="0.2">
      <c r="A9785" s="236">
        <v>2025</v>
      </c>
      <c r="B9785" s="236">
        <v>11</v>
      </c>
      <c r="C9785" s="236">
        <v>13</v>
      </c>
      <c r="D9785" s="237">
        <f t="shared" si="1138"/>
        <v>45974</v>
      </c>
      <c r="E9785" s="238">
        <f t="shared" si="1143"/>
        <v>45974</v>
      </c>
      <c r="F9785" s="476" t="s">
        <v>1122</v>
      </c>
      <c r="G9785" s="239" t="s">
        <v>86</v>
      </c>
      <c r="H9785" s="239"/>
      <c r="I9785" s="240"/>
      <c r="J9785" s="241" t="s">
        <v>91</v>
      </c>
      <c r="K9785" s="242">
        <f>M9784</f>
        <v>3992.47133846103</v>
      </c>
      <c r="L9785" s="242"/>
    </row>
    <row r="9786" spans="1:14" ht="11.25" customHeight="1" x14ac:dyDescent="0.2">
      <c r="A9786" s="243">
        <v>2025</v>
      </c>
      <c r="B9786" s="243">
        <v>11</v>
      </c>
      <c r="C9786" s="243">
        <v>13</v>
      </c>
      <c r="D9786" s="248">
        <f t="shared" si="1138"/>
        <v>45974</v>
      </c>
      <c r="E9786" s="249">
        <f t="shared" si="1143"/>
        <v>45974</v>
      </c>
      <c r="F9786" s="477"/>
      <c r="G9786" s="244" t="s">
        <v>86</v>
      </c>
      <c r="H9786" s="244"/>
      <c r="I9786" s="245"/>
      <c r="J9786" s="246" t="s">
        <v>51</v>
      </c>
      <c r="K9786" s="247"/>
      <c r="L9786" s="247">
        <f>K9785</f>
        <v>3992.47133846103</v>
      </c>
    </row>
    <row r="9787" spans="1:14" ht="11.25" customHeight="1" x14ac:dyDescent="0.2">
      <c r="A9787" s="221">
        <v>2025</v>
      </c>
      <c r="B9787" s="221">
        <v>11</v>
      </c>
      <c r="C9787" s="221">
        <v>16</v>
      </c>
      <c r="D9787" s="221">
        <f t="shared" si="1138"/>
        <v>45977</v>
      </c>
      <c r="E9787" s="233">
        <f t="shared" si="1143"/>
        <v>45977</v>
      </c>
      <c r="F9787" s="478" t="s">
        <v>1886</v>
      </c>
      <c r="G9787" s="222" t="s">
        <v>86</v>
      </c>
      <c r="H9787" s="222"/>
      <c r="I9787" s="223"/>
      <c r="J9787" s="224" t="s">
        <v>80</v>
      </c>
      <c r="K9787" s="225">
        <v>974028.1</v>
      </c>
      <c r="L9787" s="225"/>
      <c r="N9787" s="263"/>
    </row>
    <row r="9788" spans="1:14" ht="11.25" customHeight="1" x14ac:dyDescent="0.2">
      <c r="A9788" s="164">
        <v>2025</v>
      </c>
      <c r="B9788" s="164">
        <v>11</v>
      </c>
      <c r="C9788" s="164">
        <v>16</v>
      </c>
      <c r="D9788" s="164">
        <f t="shared" si="1138"/>
        <v>45977</v>
      </c>
      <c r="E9788" s="235">
        <f t="shared" si="1143"/>
        <v>45977</v>
      </c>
      <c r="F9788" s="480"/>
      <c r="G9788" s="208" t="s">
        <v>86</v>
      </c>
      <c r="H9788" s="208"/>
      <c r="J9788" s="165" t="s">
        <v>960</v>
      </c>
      <c r="K9788" s="205">
        <v>2374</v>
      </c>
      <c r="L9788" s="205"/>
      <c r="M9788" s="263"/>
      <c r="N9788" s="263"/>
    </row>
    <row r="9789" spans="1:14" ht="11.25" customHeight="1" x14ac:dyDescent="0.2">
      <c r="A9789" s="164">
        <v>2025</v>
      </c>
      <c r="B9789" s="164">
        <v>11</v>
      </c>
      <c r="C9789" s="164">
        <v>16</v>
      </c>
      <c r="D9789" s="164">
        <f t="shared" si="1138"/>
        <v>45977</v>
      </c>
      <c r="E9789" s="235">
        <f t="shared" si="1143"/>
        <v>45977</v>
      </c>
      <c r="F9789" s="480"/>
      <c r="G9789" s="208" t="s">
        <v>86</v>
      </c>
      <c r="H9789" s="208"/>
      <c r="J9789" s="165" t="s">
        <v>961</v>
      </c>
      <c r="K9789" s="263"/>
      <c r="L9789" s="205">
        <v>631538.31000000006</v>
      </c>
      <c r="M9789" s="263"/>
      <c r="N9789" s="263"/>
    </row>
    <row r="9790" spans="1:14" ht="11.25" customHeight="1" x14ac:dyDescent="0.2">
      <c r="A9790" s="164">
        <v>2025</v>
      </c>
      <c r="B9790" s="164">
        <v>11</v>
      </c>
      <c r="C9790" s="164">
        <v>16</v>
      </c>
      <c r="D9790" s="164">
        <f t="shared" si="1138"/>
        <v>45977</v>
      </c>
      <c r="E9790" s="235">
        <f t="shared" si="1143"/>
        <v>45977</v>
      </c>
      <c r="F9790" s="480"/>
      <c r="G9790" s="208" t="s">
        <v>86</v>
      </c>
      <c r="H9790" s="208"/>
      <c r="J9790" s="165" t="s">
        <v>200</v>
      </c>
      <c r="K9790" s="205"/>
      <c r="L9790" s="205">
        <v>28458.31</v>
      </c>
      <c r="M9790" s="263"/>
      <c r="N9790" s="263"/>
    </row>
    <row r="9791" spans="1:14" ht="11.25" customHeight="1" x14ac:dyDescent="0.2">
      <c r="A9791" s="226">
        <v>2025</v>
      </c>
      <c r="B9791" s="226">
        <v>11</v>
      </c>
      <c r="C9791" s="226">
        <v>16</v>
      </c>
      <c r="D9791" s="226">
        <f t="shared" si="1138"/>
        <v>45977</v>
      </c>
      <c r="E9791" s="234">
        <f t="shared" si="1143"/>
        <v>45977</v>
      </c>
      <c r="F9791" s="479"/>
      <c r="G9791" s="227" t="s">
        <v>86</v>
      </c>
      <c r="H9791" s="228"/>
      <c r="I9791" s="228"/>
      <c r="J9791" s="229" t="s">
        <v>80</v>
      </c>
      <c r="K9791" s="230"/>
      <c r="L9791" s="230">
        <v>316405.49</v>
      </c>
      <c r="M9791" s="263"/>
      <c r="N9791" s="263"/>
    </row>
    <row r="9792" spans="1:14" ht="11.25" customHeight="1" x14ac:dyDescent="0.2">
      <c r="A9792" s="221">
        <v>2025</v>
      </c>
      <c r="B9792" s="221">
        <v>11</v>
      </c>
      <c r="C9792" s="221">
        <v>16</v>
      </c>
      <c r="D9792" s="231">
        <f t="shared" si="1138"/>
        <v>45977</v>
      </c>
      <c r="E9792" s="233">
        <f t="shared" si="1143"/>
        <v>45977</v>
      </c>
      <c r="F9792" s="478" t="s">
        <v>1605</v>
      </c>
      <c r="G9792" s="222" t="s">
        <v>1111</v>
      </c>
      <c r="H9792" s="223"/>
      <c r="I9792" s="223"/>
      <c r="J9792" s="224" t="s">
        <v>55</v>
      </c>
      <c r="K9792" s="167">
        <v>25000</v>
      </c>
      <c r="L9792" s="225"/>
    </row>
    <row r="9793" spans="1:14" ht="11.25" customHeight="1" x14ac:dyDescent="0.2">
      <c r="A9793" s="164">
        <v>2025</v>
      </c>
      <c r="B9793" s="164">
        <v>11</v>
      </c>
      <c r="C9793" s="164">
        <v>16</v>
      </c>
      <c r="D9793" s="156">
        <f t="shared" si="1138"/>
        <v>45977</v>
      </c>
      <c r="E9793" s="235">
        <f t="shared" si="1143"/>
        <v>45977</v>
      </c>
      <c r="F9793" s="480"/>
      <c r="G9793" s="208" t="s">
        <v>1111</v>
      </c>
      <c r="J9793" s="165" t="s">
        <v>14</v>
      </c>
      <c r="L9793" s="205">
        <v>21440</v>
      </c>
    </row>
    <row r="9794" spans="1:14" ht="11.25" customHeight="1" x14ac:dyDescent="0.2">
      <c r="A9794" s="226">
        <v>2025</v>
      </c>
      <c r="B9794" s="226">
        <v>11</v>
      </c>
      <c r="C9794" s="226">
        <v>16</v>
      </c>
      <c r="D9794" s="232">
        <f t="shared" si="1138"/>
        <v>45977</v>
      </c>
      <c r="E9794" s="234">
        <f t="shared" si="1143"/>
        <v>45977</v>
      </c>
      <c r="F9794" s="479"/>
      <c r="G9794" s="227" t="s">
        <v>1111</v>
      </c>
      <c r="H9794" s="228"/>
      <c r="I9794" s="228"/>
      <c r="J9794" s="229" t="s">
        <v>1112</v>
      </c>
      <c r="K9794" s="230"/>
      <c r="L9794" s="230">
        <v>3560</v>
      </c>
    </row>
    <row r="9795" spans="1:14" ht="11.25" customHeight="1" x14ac:dyDescent="0.2">
      <c r="A9795" s="221">
        <v>2025</v>
      </c>
      <c r="B9795" s="221">
        <v>11</v>
      </c>
      <c r="C9795" s="221">
        <v>16</v>
      </c>
      <c r="D9795" s="231">
        <f t="shared" si="1138"/>
        <v>45977</v>
      </c>
      <c r="E9795" s="233">
        <f t="shared" si="1143"/>
        <v>45977</v>
      </c>
      <c r="F9795" s="478" t="s">
        <v>1940</v>
      </c>
      <c r="G9795" s="222" t="s">
        <v>1111</v>
      </c>
      <c r="H9795" s="223"/>
      <c r="I9795" s="223"/>
      <c r="J9795" s="224" t="s">
        <v>961</v>
      </c>
      <c r="K9795" s="225">
        <v>965460.27</v>
      </c>
      <c r="L9795" s="225"/>
    </row>
    <row r="9796" spans="1:14" ht="11.25" customHeight="1" x14ac:dyDescent="0.2">
      <c r="A9796" s="226">
        <v>2025</v>
      </c>
      <c r="B9796" s="226">
        <v>11</v>
      </c>
      <c r="C9796" s="226">
        <v>16</v>
      </c>
      <c r="D9796" s="232">
        <f t="shared" si="1138"/>
        <v>45977</v>
      </c>
      <c r="E9796" s="234">
        <f t="shared" si="1143"/>
        <v>45977</v>
      </c>
      <c r="F9796" s="479"/>
      <c r="G9796" s="227" t="s">
        <v>1111</v>
      </c>
      <c r="H9796" s="228"/>
      <c r="I9796" s="228"/>
      <c r="J9796" s="229" t="s">
        <v>55</v>
      </c>
      <c r="K9796" s="230"/>
      <c r="L9796" s="230">
        <f>K9795</f>
        <v>965460.27</v>
      </c>
    </row>
    <row r="9797" spans="1:14" ht="11.25" customHeight="1" x14ac:dyDescent="0.2">
      <c r="A9797" s="221">
        <v>2025</v>
      </c>
      <c r="B9797" s="221">
        <v>11</v>
      </c>
      <c r="C9797" s="221">
        <v>16</v>
      </c>
      <c r="D9797" s="231">
        <f t="shared" si="1138"/>
        <v>45977</v>
      </c>
      <c r="E9797" s="233">
        <f t="shared" si="1143"/>
        <v>45977</v>
      </c>
      <c r="F9797" s="478" t="s">
        <v>1956</v>
      </c>
      <c r="G9797" s="222" t="s">
        <v>1111</v>
      </c>
      <c r="H9797" s="223"/>
      <c r="I9797" s="223"/>
      <c r="J9797" s="224" t="s">
        <v>192</v>
      </c>
      <c r="K9797" s="225">
        <v>871260</v>
      </c>
      <c r="L9797" s="225"/>
    </row>
    <row r="9798" spans="1:14" ht="11.25" customHeight="1" x14ac:dyDescent="0.2">
      <c r="A9798" s="226">
        <v>2025</v>
      </c>
      <c r="B9798" s="226">
        <v>11</v>
      </c>
      <c r="C9798" s="226">
        <v>16</v>
      </c>
      <c r="D9798" s="232">
        <f t="shared" si="1138"/>
        <v>45977</v>
      </c>
      <c r="E9798" s="234">
        <f t="shared" si="1143"/>
        <v>45977</v>
      </c>
      <c r="F9798" s="479"/>
      <c r="G9798" s="227" t="s">
        <v>1111</v>
      </c>
      <c r="H9798" s="228"/>
      <c r="I9798" s="228"/>
      <c r="J9798" s="229" t="s">
        <v>191</v>
      </c>
      <c r="K9798" s="230"/>
      <c r="L9798" s="230">
        <f>K9797</f>
        <v>871260</v>
      </c>
    </row>
    <row r="9799" spans="1:14" ht="11.25" customHeight="1" x14ac:dyDescent="0.2">
      <c r="A9799" s="221">
        <v>2025</v>
      </c>
      <c r="B9799" s="221">
        <v>11</v>
      </c>
      <c r="C9799" s="221">
        <v>17</v>
      </c>
      <c r="D9799" s="221">
        <f t="shared" si="1138"/>
        <v>45978</v>
      </c>
      <c r="E9799" s="233">
        <f t="shared" ref="E9799:E9817" si="1144">DATE(A9799,B9799,C9799)</f>
        <v>45978</v>
      </c>
      <c r="F9799" s="478" t="s">
        <v>1930</v>
      </c>
      <c r="G9799" s="222" t="s">
        <v>86</v>
      </c>
      <c r="H9799" s="222"/>
      <c r="I9799" s="223"/>
      <c r="J9799" s="224" t="s">
        <v>80</v>
      </c>
      <c r="K9799" s="225">
        <v>2187403.5</v>
      </c>
      <c r="L9799" s="225"/>
      <c r="N9799" s="263"/>
    </row>
    <row r="9800" spans="1:14" ht="11.25" customHeight="1" x14ac:dyDescent="0.2">
      <c r="A9800" s="164">
        <v>2025</v>
      </c>
      <c r="B9800" s="164">
        <v>11</v>
      </c>
      <c r="C9800" s="164">
        <v>17</v>
      </c>
      <c r="D9800" s="164">
        <f t="shared" si="1138"/>
        <v>45978</v>
      </c>
      <c r="E9800" s="235">
        <f t="shared" si="1144"/>
        <v>45978</v>
      </c>
      <c r="F9800" s="480"/>
      <c r="G9800" s="208" t="s">
        <v>86</v>
      </c>
      <c r="H9800" s="208"/>
      <c r="J9800" s="165" t="s">
        <v>960</v>
      </c>
      <c r="K9800" s="205">
        <v>3937.33</v>
      </c>
      <c r="L9800" s="205"/>
      <c r="M9800" s="263"/>
      <c r="N9800" s="263"/>
    </row>
    <row r="9801" spans="1:14" ht="11.25" customHeight="1" x14ac:dyDescent="0.2">
      <c r="A9801" s="226">
        <v>2025</v>
      </c>
      <c r="B9801" s="226">
        <v>11</v>
      </c>
      <c r="C9801" s="226">
        <v>17</v>
      </c>
      <c r="D9801" s="226">
        <f t="shared" ref="D9801:D9864" si="1145">DATE(A9801,B9801,C9801)</f>
        <v>45978</v>
      </c>
      <c r="E9801" s="234">
        <f t="shared" si="1144"/>
        <v>45978</v>
      </c>
      <c r="F9801" s="479"/>
      <c r="G9801" s="227" t="s">
        <v>86</v>
      </c>
      <c r="H9801" s="227"/>
      <c r="I9801" s="228"/>
      <c r="J9801" s="229" t="s">
        <v>961</v>
      </c>
      <c r="K9801" s="294"/>
      <c r="L9801" s="230">
        <v>2191340.83</v>
      </c>
      <c r="M9801" s="263"/>
      <c r="N9801" s="263"/>
    </row>
    <row r="9802" spans="1:14" ht="11.25" customHeight="1" x14ac:dyDescent="0.2">
      <c r="A9802" s="221">
        <v>2025</v>
      </c>
      <c r="B9802" s="221">
        <v>11</v>
      </c>
      <c r="C9802" s="221">
        <v>17</v>
      </c>
      <c r="D9802" s="231">
        <f t="shared" si="1145"/>
        <v>45978</v>
      </c>
      <c r="E9802" s="233">
        <f t="shared" si="1144"/>
        <v>45978</v>
      </c>
      <c r="F9802" s="478" t="s">
        <v>1945</v>
      </c>
      <c r="G9802" s="222" t="s">
        <v>1111</v>
      </c>
      <c r="H9802" s="223"/>
      <c r="I9802" s="223"/>
      <c r="J9802" s="224" t="s">
        <v>55</v>
      </c>
      <c r="K9802" s="225">
        <v>425801.13</v>
      </c>
      <c r="L9802" s="225"/>
    </row>
    <row r="9803" spans="1:14" ht="11.25" customHeight="1" x14ac:dyDescent="0.2">
      <c r="A9803" s="226">
        <v>2025</v>
      </c>
      <c r="B9803" s="226">
        <v>11</v>
      </c>
      <c r="C9803" s="226">
        <v>17</v>
      </c>
      <c r="D9803" s="232">
        <f t="shared" si="1145"/>
        <v>45978</v>
      </c>
      <c r="E9803" s="234">
        <f t="shared" si="1144"/>
        <v>45978</v>
      </c>
      <c r="F9803" s="479"/>
      <c r="G9803" s="227" t="s">
        <v>1111</v>
      </c>
      <c r="H9803" s="228"/>
      <c r="I9803" s="228"/>
      <c r="J9803" s="229" t="s">
        <v>199</v>
      </c>
      <c r="K9803" s="230"/>
      <c r="L9803" s="230">
        <f>K9802</f>
        <v>425801.13</v>
      </c>
    </row>
    <row r="9804" spans="1:14" ht="11.25" customHeight="1" x14ac:dyDescent="0.2">
      <c r="A9804" s="221">
        <v>2025</v>
      </c>
      <c r="B9804" s="221">
        <v>11</v>
      </c>
      <c r="C9804" s="221">
        <v>17</v>
      </c>
      <c r="D9804" s="231">
        <f t="shared" si="1145"/>
        <v>45978</v>
      </c>
      <c r="E9804" s="233">
        <f t="shared" si="1144"/>
        <v>45978</v>
      </c>
      <c r="F9804" s="478" t="s">
        <v>1957</v>
      </c>
      <c r="G9804" s="222" t="s">
        <v>1111</v>
      </c>
      <c r="H9804" s="223"/>
      <c r="I9804" s="223"/>
      <c r="J9804" s="224" t="s">
        <v>192</v>
      </c>
      <c r="K9804" s="225">
        <v>51</v>
      </c>
      <c r="L9804" s="225"/>
    </row>
    <row r="9805" spans="1:14" ht="11.25" customHeight="1" x14ac:dyDescent="0.2">
      <c r="A9805" s="226">
        <v>2025</v>
      </c>
      <c r="B9805" s="226">
        <v>11</v>
      </c>
      <c r="C9805" s="226">
        <v>17</v>
      </c>
      <c r="D9805" s="232">
        <f t="shared" si="1145"/>
        <v>45978</v>
      </c>
      <c r="E9805" s="234">
        <f t="shared" si="1144"/>
        <v>45978</v>
      </c>
      <c r="F9805" s="479"/>
      <c r="G9805" s="227" t="s">
        <v>1111</v>
      </c>
      <c r="H9805" s="228"/>
      <c r="I9805" s="228"/>
      <c r="J9805" s="229" t="s">
        <v>191</v>
      </c>
      <c r="K9805" s="230"/>
      <c r="L9805" s="230">
        <f>K9804</f>
        <v>51</v>
      </c>
    </row>
    <row r="9806" spans="1:14" ht="11.25" customHeight="1" x14ac:dyDescent="0.2">
      <c r="A9806" s="221">
        <v>2025</v>
      </c>
      <c r="B9806" s="221">
        <v>11</v>
      </c>
      <c r="C9806" s="221">
        <v>17</v>
      </c>
      <c r="D9806" s="231">
        <f t="shared" si="1145"/>
        <v>45978</v>
      </c>
      <c r="E9806" s="233">
        <f t="shared" ref="E9806:E9807" si="1146">DATE(A9806,B9806,C9806)</f>
        <v>45978</v>
      </c>
      <c r="F9806" s="478" t="s">
        <v>1958</v>
      </c>
      <c r="G9806" s="222" t="s">
        <v>1111</v>
      </c>
      <c r="H9806" s="223"/>
      <c r="I9806" s="223"/>
      <c r="J9806" s="224" t="s">
        <v>192</v>
      </c>
      <c r="K9806" s="225">
        <v>27.5</v>
      </c>
      <c r="L9806" s="225"/>
    </row>
    <row r="9807" spans="1:14" ht="11.25" customHeight="1" x14ac:dyDescent="0.2">
      <c r="A9807" s="226">
        <v>2025</v>
      </c>
      <c r="B9807" s="226">
        <v>11</v>
      </c>
      <c r="C9807" s="226">
        <v>17</v>
      </c>
      <c r="D9807" s="232">
        <f t="shared" si="1145"/>
        <v>45978</v>
      </c>
      <c r="E9807" s="234">
        <f t="shared" si="1146"/>
        <v>45978</v>
      </c>
      <c r="F9807" s="479"/>
      <c r="G9807" s="227" t="s">
        <v>1111</v>
      </c>
      <c r="H9807" s="228"/>
      <c r="I9807" s="228"/>
      <c r="J9807" s="229" t="s">
        <v>191</v>
      </c>
      <c r="K9807" s="230"/>
      <c r="L9807" s="230">
        <f>K9806</f>
        <v>27.5</v>
      </c>
    </row>
    <row r="9808" spans="1:14" ht="11.25" customHeight="1" x14ac:dyDescent="0.2">
      <c r="A9808" s="221">
        <v>2025</v>
      </c>
      <c r="B9808" s="221">
        <v>11</v>
      </c>
      <c r="C9808" s="221">
        <v>18</v>
      </c>
      <c r="D9808" s="231">
        <f t="shared" si="1145"/>
        <v>45979</v>
      </c>
      <c r="E9808" s="233">
        <f t="shared" ref="E9808:E9809" si="1147">DATE(A9808,B9808,C9808)</f>
        <v>45979</v>
      </c>
      <c r="F9808" s="478" t="s">
        <v>1959</v>
      </c>
      <c r="G9808" s="222" t="s">
        <v>1111</v>
      </c>
      <c r="H9808" s="223"/>
      <c r="I9808" s="223"/>
      <c r="J9808" s="224" t="s">
        <v>192</v>
      </c>
      <c r="K9808" s="225">
        <v>857.5</v>
      </c>
      <c r="L9808" s="225"/>
    </row>
    <row r="9809" spans="1:14" ht="11.25" customHeight="1" x14ac:dyDescent="0.2">
      <c r="A9809" s="226">
        <v>2025</v>
      </c>
      <c r="B9809" s="226">
        <v>11</v>
      </c>
      <c r="C9809" s="226">
        <v>18</v>
      </c>
      <c r="D9809" s="232">
        <f t="shared" si="1145"/>
        <v>45979</v>
      </c>
      <c r="E9809" s="234">
        <f t="shared" si="1147"/>
        <v>45979</v>
      </c>
      <c r="F9809" s="479"/>
      <c r="G9809" s="227" t="s">
        <v>1111</v>
      </c>
      <c r="H9809" s="228"/>
      <c r="I9809" s="228"/>
      <c r="J9809" s="229" t="s">
        <v>191</v>
      </c>
      <c r="K9809" s="230"/>
      <c r="L9809" s="230">
        <f>K9808</f>
        <v>857.5</v>
      </c>
    </row>
    <row r="9810" spans="1:14" ht="11.25" customHeight="1" x14ac:dyDescent="0.2">
      <c r="A9810" s="221">
        <v>2025</v>
      </c>
      <c r="B9810" s="221">
        <v>11</v>
      </c>
      <c r="C9810" s="221">
        <v>18</v>
      </c>
      <c r="D9810" s="231">
        <f t="shared" si="1145"/>
        <v>45979</v>
      </c>
      <c r="E9810" s="233">
        <f t="shared" si="1144"/>
        <v>45979</v>
      </c>
      <c r="F9810" s="478" t="s">
        <v>1196</v>
      </c>
      <c r="G9810" s="222" t="s">
        <v>1111</v>
      </c>
      <c r="H9810" s="223"/>
      <c r="I9810" s="223"/>
      <c r="J9810" s="224" t="s">
        <v>95</v>
      </c>
      <c r="K9810" s="225">
        <v>5661.14</v>
      </c>
      <c r="L9810" s="225"/>
      <c r="M9810" s="166"/>
    </row>
    <row r="9811" spans="1:14" ht="11.25" customHeight="1" x14ac:dyDescent="0.2">
      <c r="A9811" s="164">
        <v>2025</v>
      </c>
      <c r="B9811" s="164">
        <v>11</v>
      </c>
      <c r="C9811" s="164">
        <v>18</v>
      </c>
      <c r="D9811" s="156">
        <f t="shared" si="1145"/>
        <v>45979</v>
      </c>
      <c r="E9811" s="235">
        <f t="shared" si="1144"/>
        <v>45979</v>
      </c>
      <c r="F9811" s="480"/>
      <c r="G9811" s="208" t="s">
        <v>1111</v>
      </c>
      <c r="J9811" s="165" t="s">
        <v>478</v>
      </c>
      <c r="K9811" s="205"/>
      <c r="L9811" s="205">
        <v>566.11</v>
      </c>
    </row>
    <row r="9812" spans="1:14" ht="11.25" customHeight="1" x14ac:dyDescent="0.2">
      <c r="A9812" s="226">
        <v>2025</v>
      </c>
      <c r="B9812" s="226">
        <v>11</v>
      </c>
      <c r="C9812" s="226">
        <v>18</v>
      </c>
      <c r="D9812" s="232">
        <f t="shared" si="1145"/>
        <v>45979</v>
      </c>
      <c r="E9812" s="234">
        <f t="shared" si="1144"/>
        <v>45979</v>
      </c>
      <c r="F9812" s="479"/>
      <c r="G9812" s="227" t="s">
        <v>1111</v>
      </c>
      <c r="H9812" s="228"/>
      <c r="I9812" s="228"/>
      <c r="J9812" s="229" t="s">
        <v>55</v>
      </c>
      <c r="K9812" s="230"/>
      <c r="L9812" s="230">
        <v>5095.03</v>
      </c>
    </row>
    <row r="9813" spans="1:14" ht="11.25" customHeight="1" x14ac:dyDescent="0.2">
      <c r="A9813" s="221">
        <v>2025</v>
      </c>
      <c r="B9813" s="221">
        <v>11</v>
      </c>
      <c r="C9813" s="221">
        <v>18</v>
      </c>
      <c r="D9813" s="231">
        <f t="shared" si="1145"/>
        <v>45979</v>
      </c>
      <c r="E9813" s="233">
        <f t="shared" si="1144"/>
        <v>45979</v>
      </c>
      <c r="F9813" s="478" t="s">
        <v>1588</v>
      </c>
      <c r="G9813" s="222" t="s">
        <v>1111</v>
      </c>
      <c r="H9813" s="223"/>
      <c r="I9813" s="223"/>
      <c r="J9813" s="224" t="s">
        <v>189</v>
      </c>
      <c r="K9813" s="225">
        <v>600</v>
      </c>
      <c r="L9813" s="225"/>
    </row>
    <row r="9814" spans="1:14" ht="11.25" customHeight="1" x14ac:dyDescent="0.2">
      <c r="A9814" s="226">
        <v>2025</v>
      </c>
      <c r="B9814" s="226">
        <v>11</v>
      </c>
      <c r="C9814" s="226">
        <v>18</v>
      </c>
      <c r="D9814" s="232">
        <f t="shared" si="1145"/>
        <v>45979</v>
      </c>
      <c r="E9814" s="234">
        <f t="shared" si="1144"/>
        <v>45979</v>
      </c>
      <c r="F9814" s="479"/>
      <c r="G9814" s="227" t="s">
        <v>1111</v>
      </c>
      <c r="H9814" s="228"/>
      <c r="I9814" s="228"/>
      <c r="J9814" s="229" t="s">
        <v>55</v>
      </c>
      <c r="K9814" s="230"/>
      <c r="L9814" s="230">
        <v>600</v>
      </c>
    </row>
    <row r="9815" spans="1:14" ht="11.25" customHeight="1" x14ac:dyDescent="0.2">
      <c r="A9815" s="221">
        <v>2025</v>
      </c>
      <c r="B9815" s="221">
        <v>11</v>
      </c>
      <c r="C9815" s="221">
        <v>18</v>
      </c>
      <c r="D9815" s="231">
        <f t="shared" si="1145"/>
        <v>45979</v>
      </c>
      <c r="E9815" s="233">
        <f t="shared" si="1144"/>
        <v>45979</v>
      </c>
      <c r="F9815" s="478" t="s">
        <v>1605</v>
      </c>
      <c r="G9815" s="222" t="s">
        <v>1111</v>
      </c>
      <c r="H9815" s="223"/>
      <c r="I9815" s="223"/>
      <c r="J9815" s="224" t="s">
        <v>55</v>
      </c>
      <c r="K9815" s="167">
        <v>2500000</v>
      </c>
      <c r="L9815" s="225"/>
    </row>
    <row r="9816" spans="1:14" ht="11.25" customHeight="1" x14ac:dyDescent="0.2">
      <c r="A9816" s="164">
        <v>2025</v>
      </c>
      <c r="B9816" s="164">
        <v>11</v>
      </c>
      <c r="C9816" s="164">
        <v>18</v>
      </c>
      <c r="D9816" s="156">
        <f t="shared" si="1145"/>
        <v>45979</v>
      </c>
      <c r="E9816" s="235">
        <f t="shared" si="1144"/>
        <v>45979</v>
      </c>
      <c r="F9816" s="480"/>
      <c r="G9816" s="208" t="s">
        <v>1111</v>
      </c>
      <c r="J9816" s="165" t="s">
        <v>14</v>
      </c>
      <c r="L9816" s="205">
        <v>2143710</v>
      </c>
    </row>
    <row r="9817" spans="1:14" ht="11.25" customHeight="1" x14ac:dyDescent="0.2">
      <c r="A9817" s="226">
        <v>2025</v>
      </c>
      <c r="B9817" s="226">
        <v>11</v>
      </c>
      <c r="C9817" s="226">
        <v>18</v>
      </c>
      <c r="D9817" s="232">
        <f t="shared" si="1145"/>
        <v>45979</v>
      </c>
      <c r="E9817" s="234">
        <f t="shared" si="1144"/>
        <v>45979</v>
      </c>
      <c r="F9817" s="479"/>
      <c r="G9817" s="227" t="s">
        <v>1111</v>
      </c>
      <c r="H9817" s="228"/>
      <c r="I9817" s="228"/>
      <c r="J9817" s="229" t="s">
        <v>1112</v>
      </c>
      <c r="K9817" s="230"/>
      <c r="L9817" s="230">
        <v>356290</v>
      </c>
    </row>
    <row r="9818" spans="1:14" ht="11.25" customHeight="1" x14ac:dyDescent="0.2">
      <c r="A9818" s="221">
        <v>2025</v>
      </c>
      <c r="B9818" s="221">
        <v>11</v>
      </c>
      <c r="C9818" s="221">
        <v>18</v>
      </c>
      <c r="D9818" s="231">
        <f t="shared" si="1145"/>
        <v>45979</v>
      </c>
      <c r="E9818" s="233">
        <f t="shared" ref="E9818:E9829" si="1148">DATE(A9818,B9818,C9818)</f>
        <v>45979</v>
      </c>
      <c r="F9818" s="478" t="s">
        <v>1605</v>
      </c>
      <c r="G9818" s="222" t="s">
        <v>1111</v>
      </c>
      <c r="H9818" s="223"/>
      <c r="I9818" s="223"/>
      <c r="J9818" s="224" t="s">
        <v>55</v>
      </c>
      <c r="K9818" s="167">
        <v>2000000</v>
      </c>
      <c r="L9818" s="225"/>
    </row>
    <row r="9819" spans="1:14" ht="11.25" customHeight="1" x14ac:dyDescent="0.2">
      <c r="A9819" s="164">
        <v>2025</v>
      </c>
      <c r="B9819" s="164">
        <v>11</v>
      </c>
      <c r="C9819" s="164">
        <v>18</v>
      </c>
      <c r="D9819" s="156">
        <f t="shared" si="1145"/>
        <v>45979</v>
      </c>
      <c r="E9819" s="235">
        <f t="shared" si="1148"/>
        <v>45979</v>
      </c>
      <c r="F9819" s="480"/>
      <c r="G9819" s="208" t="s">
        <v>1111</v>
      </c>
      <c r="J9819" s="165" t="s">
        <v>14</v>
      </c>
      <c r="L9819" s="205">
        <v>1714970</v>
      </c>
    </row>
    <row r="9820" spans="1:14" ht="11.25" customHeight="1" x14ac:dyDescent="0.2">
      <c r="A9820" s="226">
        <v>2025</v>
      </c>
      <c r="B9820" s="226">
        <v>11</v>
      </c>
      <c r="C9820" s="226">
        <v>18</v>
      </c>
      <c r="D9820" s="232">
        <f t="shared" si="1145"/>
        <v>45979</v>
      </c>
      <c r="E9820" s="234">
        <f t="shared" si="1148"/>
        <v>45979</v>
      </c>
      <c r="F9820" s="479"/>
      <c r="G9820" s="227" t="s">
        <v>1111</v>
      </c>
      <c r="H9820" s="228"/>
      <c r="I9820" s="228"/>
      <c r="J9820" s="229" t="s">
        <v>1112</v>
      </c>
      <c r="K9820" s="230"/>
      <c r="L9820" s="230">
        <v>285030</v>
      </c>
    </row>
    <row r="9821" spans="1:14" ht="11.25" customHeight="1" x14ac:dyDescent="0.2">
      <c r="A9821" s="221">
        <v>2025</v>
      </c>
      <c r="B9821" s="221">
        <v>11</v>
      </c>
      <c r="C9821" s="221">
        <v>18</v>
      </c>
      <c r="D9821" s="221">
        <f t="shared" si="1145"/>
        <v>45979</v>
      </c>
      <c r="E9821" s="233">
        <f t="shared" si="1148"/>
        <v>45979</v>
      </c>
      <c r="F9821" s="478" t="s">
        <v>1886</v>
      </c>
      <c r="G9821" s="222" t="s">
        <v>86</v>
      </c>
      <c r="H9821" s="222"/>
      <c r="I9821" s="223"/>
      <c r="J9821" s="224" t="s">
        <v>80</v>
      </c>
      <c r="K9821" s="225">
        <v>1383389</v>
      </c>
      <c r="L9821" s="225"/>
      <c r="N9821" s="263"/>
    </row>
    <row r="9822" spans="1:14" ht="11.25" customHeight="1" x14ac:dyDescent="0.2">
      <c r="A9822" s="164">
        <v>2025</v>
      </c>
      <c r="B9822" s="164">
        <v>11</v>
      </c>
      <c r="C9822" s="164">
        <v>18</v>
      </c>
      <c r="D9822" s="164">
        <f t="shared" si="1145"/>
        <v>45979</v>
      </c>
      <c r="E9822" s="235">
        <f t="shared" si="1148"/>
        <v>45979</v>
      </c>
      <c r="F9822" s="480"/>
      <c r="G9822" s="208" t="s">
        <v>86</v>
      </c>
      <c r="H9822" s="208"/>
      <c r="J9822" s="165" t="s">
        <v>960</v>
      </c>
      <c r="K9822" s="205">
        <v>2971.12</v>
      </c>
      <c r="L9822" s="205"/>
      <c r="M9822" s="263"/>
      <c r="N9822" s="263"/>
    </row>
    <row r="9823" spans="1:14" ht="11.25" customHeight="1" x14ac:dyDescent="0.2">
      <c r="A9823" s="164">
        <v>2025</v>
      </c>
      <c r="B9823" s="164">
        <v>11</v>
      </c>
      <c r="C9823" s="164">
        <v>18</v>
      </c>
      <c r="D9823" s="164">
        <f t="shared" si="1145"/>
        <v>45979</v>
      </c>
      <c r="E9823" s="235">
        <f t="shared" si="1148"/>
        <v>45979</v>
      </c>
      <c r="F9823" s="480"/>
      <c r="G9823" s="208" t="s">
        <v>86</v>
      </c>
      <c r="H9823" s="208"/>
      <c r="J9823" s="165" t="s">
        <v>961</v>
      </c>
      <c r="K9823" s="263"/>
      <c r="L9823" s="205">
        <v>1119125.1200000001</v>
      </c>
      <c r="M9823" s="263"/>
      <c r="N9823" s="263"/>
    </row>
    <row r="9824" spans="1:14" ht="11.25" customHeight="1" x14ac:dyDescent="0.2">
      <c r="A9824" s="164">
        <v>2025</v>
      </c>
      <c r="B9824" s="164">
        <v>11</v>
      </c>
      <c r="C9824" s="164">
        <v>18</v>
      </c>
      <c r="D9824" s="164">
        <f t="shared" si="1145"/>
        <v>45979</v>
      </c>
      <c r="E9824" s="235">
        <f t="shared" si="1148"/>
        <v>45979</v>
      </c>
      <c r="F9824" s="480"/>
      <c r="G9824" s="208" t="s">
        <v>86</v>
      </c>
      <c r="H9824" s="208"/>
      <c r="J9824" s="165" t="s">
        <v>200</v>
      </c>
      <c r="K9824" s="205"/>
      <c r="L9824" s="205">
        <v>25570.97</v>
      </c>
      <c r="M9824" s="263"/>
      <c r="N9824" s="263"/>
    </row>
    <row r="9825" spans="1:14" ht="11.25" customHeight="1" x14ac:dyDescent="0.2">
      <c r="A9825" s="226">
        <v>2025</v>
      </c>
      <c r="B9825" s="226">
        <v>11</v>
      </c>
      <c r="C9825" s="226">
        <v>18</v>
      </c>
      <c r="D9825" s="226">
        <f t="shared" si="1145"/>
        <v>45979</v>
      </c>
      <c r="E9825" s="234">
        <f t="shared" si="1148"/>
        <v>45979</v>
      </c>
      <c r="F9825" s="479"/>
      <c r="G9825" s="227" t="s">
        <v>86</v>
      </c>
      <c r="H9825" s="228"/>
      <c r="I9825" s="228"/>
      <c r="J9825" s="229" t="s">
        <v>80</v>
      </c>
      <c r="K9825" s="230"/>
      <c r="L9825" s="230">
        <v>241664.03</v>
      </c>
      <c r="M9825" s="263"/>
      <c r="N9825" s="263"/>
    </row>
    <row r="9826" spans="1:14" ht="11.25" customHeight="1" x14ac:dyDescent="0.2">
      <c r="A9826" s="221">
        <v>2025</v>
      </c>
      <c r="B9826" s="221">
        <v>11</v>
      </c>
      <c r="C9826" s="221">
        <v>18</v>
      </c>
      <c r="D9826" s="231">
        <f t="shared" si="1145"/>
        <v>45979</v>
      </c>
      <c r="E9826" s="233">
        <f t="shared" si="1148"/>
        <v>45979</v>
      </c>
      <c r="F9826" s="478" t="s">
        <v>1670</v>
      </c>
      <c r="G9826" s="222" t="s">
        <v>1111</v>
      </c>
      <c r="H9826" s="223"/>
      <c r="I9826" s="223"/>
      <c r="J9826" s="224" t="s">
        <v>63</v>
      </c>
      <c r="K9826" s="225">
        <v>60</v>
      </c>
      <c r="L9826" s="225"/>
    </row>
    <row r="9827" spans="1:14" ht="11.25" customHeight="1" x14ac:dyDescent="0.2">
      <c r="A9827" s="226">
        <v>2025</v>
      </c>
      <c r="B9827" s="226">
        <v>11</v>
      </c>
      <c r="C9827" s="226">
        <v>18</v>
      </c>
      <c r="D9827" s="232">
        <f t="shared" si="1145"/>
        <v>45979</v>
      </c>
      <c r="E9827" s="234">
        <f t="shared" si="1148"/>
        <v>45979</v>
      </c>
      <c r="F9827" s="479"/>
      <c r="G9827" s="227" t="s">
        <v>1111</v>
      </c>
      <c r="H9827" s="228"/>
      <c r="I9827" s="228"/>
      <c r="J9827" s="229" t="s">
        <v>55</v>
      </c>
      <c r="K9827" s="230"/>
      <c r="L9827" s="230">
        <f>K9826</f>
        <v>60</v>
      </c>
    </row>
    <row r="9828" spans="1:14" ht="11.25" customHeight="1" x14ac:dyDescent="0.2">
      <c r="A9828" s="221">
        <v>2025</v>
      </c>
      <c r="B9828" s="221">
        <v>11</v>
      </c>
      <c r="C9828" s="221">
        <v>19</v>
      </c>
      <c r="D9828" s="231">
        <f t="shared" si="1145"/>
        <v>45980</v>
      </c>
      <c r="E9828" s="233">
        <f t="shared" si="1148"/>
        <v>45980</v>
      </c>
      <c r="F9828" s="478" t="s">
        <v>1889</v>
      </c>
      <c r="G9828" s="222" t="s">
        <v>1111</v>
      </c>
      <c r="H9828" s="223"/>
      <c r="I9828" s="223"/>
      <c r="J9828" s="224" t="s">
        <v>961</v>
      </c>
      <c r="K9828" s="225">
        <v>2191340.83</v>
      </c>
      <c r="L9828" s="225"/>
    </row>
    <row r="9829" spans="1:14" ht="11.25" customHeight="1" x14ac:dyDescent="0.2">
      <c r="A9829" s="226">
        <v>2025</v>
      </c>
      <c r="B9829" s="226">
        <v>11</v>
      </c>
      <c r="C9829" s="226">
        <v>19</v>
      </c>
      <c r="D9829" s="232">
        <f t="shared" si="1145"/>
        <v>45980</v>
      </c>
      <c r="E9829" s="234">
        <f t="shared" si="1148"/>
        <v>45980</v>
      </c>
      <c r="F9829" s="479"/>
      <c r="G9829" s="227" t="s">
        <v>1111</v>
      </c>
      <c r="H9829" s="228"/>
      <c r="I9829" s="228"/>
      <c r="J9829" s="229" t="s">
        <v>55</v>
      </c>
      <c r="K9829" s="230"/>
      <c r="L9829" s="230">
        <f>K9828</f>
        <v>2191340.83</v>
      </c>
    </row>
    <row r="9830" spans="1:14" ht="11.25" customHeight="1" x14ac:dyDescent="0.2">
      <c r="A9830" s="221">
        <v>2025</v>
      </c>
      <c r="B9830" s="221">
        <v>11</v>
      </c>
      <c r="C9830" s="221">
        <v>19</v>
      </c>
      <c r="D9830" s="231">
        <f t="shared" si="1145"/>
        <v>45980</v>
      </c>
      <c r="E9830" s="233">
        <f t="shared" ref="E9830:E9838" si="1149">DATE(A9830,B9830,C9830)</f>
        <v>45980</v>
      </c>
      <c r="F9830" s="478" t="s">
        <v>1889</v>
      </c>
      <c r="G9830" s="222" t="s">
        <v>1111</v>
      </c>
      <c r="H9830" s="223"/>
      <c r="I9830" s="223"/>
      <c r="J9830" s="224" t="s">
        <v>961</v>
      </c>
      <c r="K9830" s="225">
        <v>631538.31000000006</v>
      </c>
      <c r="L9830" s="225"/>
    </row>
    <row r="9831" spans="1:14" ht="11.25" customHeight="1" x14ac:dyDescent="0.2">
      <c r="A9831" s="226">
        <v>2025</v>
      </c>
      <c r="B9831" s="226">
        <v>11</v>
      </c>
      <c r="C9831" s="226">
        <v>19</v>
      </c>
      <c r="D9831" s="232">
        <f t="shared" si="1145"/>
        <v>45980</v>
      </c>
      <c r="E9831" s="234">
        <f t="shared" si="1149"/>
        <v>45980</v>
      </c>
      <c r="F9831" s="479"/>
      <c r="G9831" s="227" t="s">
        <v>1111</v>
      </c>
      <c r="H9831" s="228"/>
      <c r="I9831" s="228"/>
      <c r="J9831" s="229" t="s">
        <v>55</v>
      </c>
      <c r="K9831" s="230"/>
      <c r="L9831" s="230">
        <f>K9830</f>
        <v>631538.31000000006</v>
      </c>
    </row>
    <row r="9832" spans="1:14" ht="11.25" customHeight="1" x14ac:dyDescent="0.2">
      <c r="A9832" s="221">
        <v>2025</v>
      </c>
      <c r="B9832" s="221">
        <v>11</v>
      </c>
      <c r="C9832" s="221">
        <v>19</v>
      </c>
      <c r="D9832" s="231">
        <f t="shared" si="1145"/>
        <v>45980</v>
      </c>
      <c r="E9832" s="233">
        <f t="shared" si="1149"/>
        <v>45980</v>
      </c>
      <c r="F9832" s="478" t="s">
        <v>1940</v>
      </c>
      <c r="G9832" s="222" t="s">
        <v>1111</v>
      </c>
      <c r="H9832" s="223"/>
      <c r="I9832" s="223"/>
      <c r="J9832" s="224" t="s">
        <v>961</v>
      </c>
      <c r="K9832" s="225">
        <v>1119125.1200000001</v>
      </c>
      <c r="L9832" s="225"/>
    </row>
    <row r="9833" spans="1:14" ht="11.25" customHeight="1" x14ac:dyDescent="0.2">
      <c r="A9833" s="226">
        <v>2025</v>
      </c>
      <c r="B9833" s="226">
        <v>11</v>
      </c>
      <c r="C9833" s="226">
        <v>19</v>
      </c>
      <c r="D9833" s="232">
        <f t="shared" si="1145"/>
        <v>45980</v>
      </c>
      <c r="E9833" s="234">
        <f t="shared" si="1149"/>
        <v>45980</v>
      </c>
      <c r="F9833" s="479"/>
      <c r="G9833" s="227" t="s">
        <v>1111</v>
      </c>
      <c r="H9833" s="228"/>
      <c r="I9833" s="228"/>
      <c r="J9833" s="229" t="s">
        <v>55</v>
      </c>
      <c r="K9833" s="230"/>
      <c r="L9833" s="230">
        <f>K9832</f>
        <v>1119125.1200000001</v>
      </c>
    </row>
    <row r="9834" spans="1:14" ht="11.25" customHeight="1" x14ac:dyDescent="0.2">
      <c r="A9834" s="221">
        <v>2025</v>
      </c>
      <c r="B9834" s="221">
        <v>11</v>
      </c>
      <c r="C9834" s="221">
        <v>19</v>
      </c>
      <c r="D9834" s="231">
        <f t="shared" si="1145"/>
        <v>45980</v>
      </c>
      <c r="E9834" s="233">
        <f t="shared" si="1149"/>
        <v>45980</v>
      </c>
      <c r="F9834" s="478" t="s">
        <v>1670</v>
      </c>
      <c r="G9834" s="222" t="s">
        <v>1111</v>
      </c>
      <c r="H9834" s="223"/>
      <c r="I9834" s="223"/>
      <c r="J9834" s="224" t="s">
        <v>63</v>
      </c>
      <c r="K9834" s="225">
        <v>200</v>
      </c>
      <c r="L9834" s="225"/>
    </row>
    <row r="9835" spans="1:14" ht="11.25" customHeight="1" x14ac:dyDescent="0.2">
      <c r="A9835" s="226">
        <v>2025</v>
      </c>
      <c r="B9835" s="226">
        <v>11</v>
      </c>
      <c r="C9835" s="226">
        <v>19</v>
      </c>
      <c r="D9835" s="232">
        <f t="shared" si="1145"/>
        <v>45980</v>
      </c>
      <c r="E9835" s="234">
        <f t="shared" si="1149"/>
        <v>45980</v>
      </c>
      <c r="F9835" s="479"/>
      <c r="G9835" s="227" t="s">
        <v>1111</v>
      </c>
      <c r="H9835" s="228"/>
      <c r="I9835" s="228"/>
      <c r="J9835" s="229" t="s">
        <v>55</v>
      </c>
      <c r="K9835" s="230"/>
      <c r="L9835" s="230">
        <f>K9834</f>
        <v>200</v>
      </c>
    </row>
    <row r="9836" spans="1:14" ht="11.25" customHeight="1" x14ac:dyDescent="0.2">
      <c r="A9836" s="221">
        <v>2025</v>
      </c>
      <c r="B9836" s="221">
        <v>11</v>
      </c>
      <c r="C9836" s="221">
        <v>19</v>
      </c>
      <c r="D9836" s="231">
        <f t="shared" si="1145"/>
        <v>45980</v>
      </c>
      <c r="E9836" s="233">
        <f t="shared" si="1149"/>
        <v>45980</v>
      </c>
      <c r="F9836" s="478" t="s">
        <v>1605</v>
      </c>
      <c r="G9836" s="222" t="s">
        <v>1111</v>
      </c>
      <c r="H9836" s="223"/>
      <c r="I9836" s="223"/>
      <c r="J9836" s="224" t="s">
        <v>55</v>
      </c>
      <c r="K9836" s="167">
        <v>3498600</v>
      </c>
      <c r="L9836" s="225"/>
    </row>
    <row r="9837" spans="1:14" ht="11.25" customHeight="1" x14ac:dyDescent="0.2">
      <c r="A9837" s="164">
        <v>2025</v>
      </c>
      <c r="B9837" s="164">
        <v>11</v>
      </c>
      <c r="C9837" s="164">
        <v>19</v>
      </c>
      <c r="D9837" s="156">
        <f t="shared" si="1145"/>
        <v>45980</v>
      </c>
      <c r="E9837" s="235">
        <f t="shared" si="1149"/>
        <v>45980</v>
      </c>
      <c r="F9837" s="480"/>
      <c r="G9837" s="208" t="s">
        <v>1111</v>
      </c>
      <c r="J9837" s="165" t="s">
        <v>14</v>
      </c>
      <c r="L9837" s="205">
        <v>3000000</v>
      </c>
    </row>
    <row r="9838" spans="1:14" ht="11.25" customHeight="1" x14ac:dyDescent="0.2">
      <c r="A9838" s="226">
        <v>2025</v>
      </c>
      <c r="B9838" s="226">
        <v>11</v>
      </c>
      <c r="C9838" s="226">
        <v>19</v>
      </c>
      <c r="D9838" s="232">
        <f t="shared" si="1145"/>
        <v>45980</v>
      </c>
      <c r="E9838" s="234">
        <f t="shared" si="1149"/>
        <v>45980</v>
      </c>
      <c r="F9838" s="479"/>
      <c r="G9838" s="227" t="s">
        <v>1111</v>
      </c>
      <c r="H9838" s="228"/>
      <c r="I9838" s="228"/>
      <c r="J9838" s="229" t="s">
        <v>1112</v>
      </c>
      <c r="K9838" s="230"/>
      <c r="L9838" s="230">
        <v>498600</v>
      </c>
    </row>
    <row r="9839" spans="1:14" ht="11.25" customHeight="1" x14ac:dyDescent="0.2">
      <c r="A9839" s="221">
        <v>2025</v>
      </c>
      <c r="B9839" s="221">
        <v>11</v>
      </c>
      <c r="C9839" s="221">
        <v>19</v>
      </c>
      <c r="D9839" s="231">
        <f t="shared" si="1145"/>
        <v>45980</v>
      </c>
      <c r="E9839" s="233">
        <f t="shared" ref="E9839:E9870" si="1150">DATE(A9839,B9839,C9839)</f>
        <v>45980</v>
      </c>
      <c r="F9839" s="478" t="s">
        <v>1605</v>
      </c>
      <c r="G9839" s="222" t="s">
        <v>1111</v>
      </c>
      <c r="H9839" s="223"/>
      <c r="I9839" s="223"/>
      <c r="J9839" s="224" t="s">
        <v>55</v>
      </c>
      <c r="K9839" s="167">
        <v>5000000</v>
      </c>
      <c r="L9839" s="225"/>
    </row>
    <row r="9840" spans="1:14" ht="11.25" customHeight="1" x14ac:dyDescent="0.2">
      <c r="A9840" s="164">
        <v>2025</v>
      </c>
      <c r="B9840" s="164">
        <v>11</v>
      </c>
      <c r="C9840" s="164">
        <v>19</v>
      </c>
      <c r="D9840" s="156">
        <f t="shared" si="1145"/>
        <v>45980</v>
      </c>
      <c r="E9840" s="235">
        <f t="shared" si="1150"/>
        <v>45980</v>
      </c>
      <c r="F9840" s="480"/>
      <c r="G9840" s="208" t="s">
        <v>1111</v>
      </c>
      <c r="J9840" s="165" t="s">
        <v>14</v>
      </c>
      <c r="L9840" s="205">
        <v>4287430</v>
      </c>
    </row>
    <row r="9841" spans="1:14" ht="11.25" customHeight="1" x14ac:dyDescent="0.2">
      <c r="A9841" s="226">
        <v>2025</v>
      </c>
      <c r="B9841" s="226">
        <v>11</v>
      </c>
      <c r="C9841" s="226">
        <v>19</v>
      </c>
      <c r="D9841" s="232">
        <f t="shared" si="1145"/>
        <v>45980</v>
      </c>
      <c r="E9841" s="234">
        <f t="shared" si="1150"/>
        <v>45980</v>
      </c>
      <c r="F9841" s="479"/>
      <c r="G9841" s="227" t="s">
        <v>1111</v>
      </c>
      <c r="H9841" s="228"/>
      <c r="I9841" s="228"/>
      <c r="J9841" s="229" t="s">
        <v>1112</v>
      </c>
      <c r="K9841" s="230"/>
      <c r="L9841" s="230">
        <v>712570</v>
      </c>
    </row>
    <row r="9842" spans="1:14" ht="11.25" customHeight="1" x14ac:dyDescent="0.2">
      <c r="A9842" s="221">
        <v>2025</v>
      </c>
      <c r="B9842" s="221">
        <v>11</v>
      </c>
      <c r="C9842" s="221">
        <v>19</v>
      </c>
      <c r="D9842" s="221">
        <f t="shared" si="1145"/>
        <v>45980</v>
      </c>
      <c r="E9842" s="233">
        <f t="shared" si="1150"/>
        <v>45980</v>
      </c>
      <c r="F9842" s="478" t="s">
        <v>1960</v>
      </c>
      <c r="G9842" s="222" t="s">
        <v>86</v>
      </c>
      <c r="H9842" s="222"/>
      <c r="I9842" s="223"/>
      <c r="J9842" s="224" t="s">
        <v>80</v>
      </c>
      <c r="K9842" s="225">
        <v>3402380</v>
      </c>
      <c r="L9842" s="225"/>
      <c r="N9842" s="263"/>
    </row>
    <row r="9843" spans="1:14" ht="11.25" customHeight="1" x14ac:dyDescent="0.2">
      <c r="A9843" s="164">
        <v>2025</v>
      </c>
      <c r="B9843" s="164">
        <v>11</v>
      </c>
      <c r="C9843" s="164">
        <v>19</v>
      </c>
      <c r="D9843" s="164">
        <f t="shared" si="1145"/>
        <v>45980</v>
      </c>
      <c r="E9843" s="235">
        <f t="shared" si="1150"/>
        <v>45980</v>
      </c>
      <c r="F9843" s="480"/>
      <c r="G9843" s="208" t="s">
        <v>86</v>
      </c>
      <c r="H9843" s="208"/>
      <c r="J9843" s="165" t="s">
        <v>960</v>
      </c>
      <c r="K9843" s="205">
        <v>6124.28</v>
      </c>
      <c r="L9843" s="205"/>
      <c r="M9843" s="263"/>
      <c r="N9843" s="263"/>
    </row>
    <row r="9844" spans="1:14" ht="11.25" customHeight="1" x14ac:dyDescent="0.2">
      <c r="A9844" s="226">
        <v>2025</v>
      </c>
      <c r="B9844" s="226">
        <v>11</v>
      </c>
      <c r="C9844" s="226">
        <v>19</v>
      </c>
      <c r="D9844" s="226">
        <f t="shared" si="1145"/>
        <v>45980</v>
      </c>
      <c r="E9844" s="234">
        <f t="shared" si="1150"/>
        <v>45980</v>
      </c>
      <c r="F9844" s="479"/>
      <c r="G9844" s="227" t="s">
        <v>86</v>
      </c>
      <c r="H9844" s="227"/>
      <c r="I9844" s="228"/>
      <c r="J9844" s="229" t="s">
        <v>961</v>
      </c>
      <c r="K9844" s="294"/>
      <c r="L9844" s="230">
        <v>3408504.28</v>
      </c>
      <c r="M9844" s="263"/>
      <c r="N9844" s="263"/>
    </row>
    <row r="9845" spans="1:14" ht="11.25" customHeight="1" x14ac:dyDescent="0.2">
      <c r="A9845" s="221">
        <v>2025</v>
      </c>
      <c r="B9845" s="221">
        <v>11</v>
      </c>
      <c r="C9845" s="221">
        <v>19</v>
      </c>
      <c r="D9845" s="221">
        <f t="shared" si="1145"/>
        <v>45980</v>
      </c>
      <c r="E9845" s="233">
        <f t="shared" ref="E9845:E9862" si="1151">DATE(A9845,B9845,C9845)</f>
        <v>45980</v>
      </c>
      <c r="F9845" s="478" t="s">
        <v>1936</v>
      </c>
      <c r="G9845" s="222" t="s">
        <v>86</v>
      </c>
      <c r="H9845" s="222"/>
      <c r="I9845" s="223"/>
      <c r="J9845" s="224" t="s">
        <v>80</v>
      </c>
      <c r="K9845" s="225">
        <v>165250</v>
      </c>
      <c r="L9845" s="225"/>
      <c r="N9845" s="263"/>
    </row>
    <row r="9846" spans="1:14" ht="11.25" customHeight="1" x14ac:dyDescent="0.2">
      <c r="A9846" s="164">
        <v>2025</v>
      </c>
      <c r="B9846" s="164">
        <v>11</v>
      </c>
      <c r="C9846" s="164">
        <v>19</v>
      </c>
      <c r="D9846" s="164">
        <f t="shared" si="1145"/>
        <v>45980</v>
      </c>
      <c r="E9846" s="235">
        <f t="shared" si="1151"/>
        <v>45980</v>
      </c>
      <c r="F9846" s="480"/>
      <c r="G9846" s="208" t="s">
        <v>86</v>
      </c>
      <c r="H9846" s="208"/>
      <c r="J9846" s="165" t="s">
        <v>960</v>
      </c>
      <c r="K9846" s="205">
        <v>297.45</v>
      </c>
      <c r="L9846" s="205"/>
      <c r="M9846" s="263"/>
      <c r="N9846" s="263"/>
    </row>
    <row r="9847" spans="1:14" ht="11.25" customHeight="1" x14ac:dyDescent="0.2">
      <c r="A9847" s="226">
        <v>2025</v>
      </c>
      <c r="B9847" s="226">
        <v>11</v>
      </c>
      <c r="C9847" s="226">
        <v>19</v>
      </c>
      <c r="D9847" s="226">
        <f t="shared" si="1145"/>
        <v>45980</v>
      </c>
      <c r="E9847" s="234">
        <f t="shared" si="1151"/>
        <v>45980</v>
      </c>
      <c r="F9847" s="479"/>
      <c r="G9847" s="227" t="s">
        <v>86</v>
      </c>
      <c r="H9847" s="227"/>
      <c r="I9847" s="228"/>
      <c r="J9847" s="229" t="s">
        <v>961</v>
      </c>
      <c r="K9847" s="294"/>
      <c r="L9847" s="230">
        <v>165547.45000000001</v>
      </c>
      <c r="M9847" s="263"/>
      <c r="N9847" s="263"/>
    </row>
    <row r="9848" spans="1:14" ht="11.25" customHeight="1" x14ac:dyDescent="0.2">
      <c r="A9848" s="221">
        <v>2025</v>
      </c>
      <c r="B9848" s="221">
        <v>11</v>
      </c>
      <c r="C9848" s="221">
        <v>20</v>
      </c>
      <c r="D9848" s="231">
        <f t="shared" si="1145"/>
        <v>45981</v>
      </c>
      <c r="E9848" s="233">
        <f t="shared" si="1151"/>
        <v>45981</v>
      </c>
      <c r="F9848" s="478" t="s">
        <v>1940</v>
      </c>
      <c r="G9848" s="222" t="s">
        <v>1111</v>
      </c>
      <c r="H9848" s="223"/>
      <c r="I9848" s="223"/>
      <c r="J9848" s="224" t="s">
        <v>961</v>
      </c>
      <c r="K9848" s="225">
        <v>165547.45000000001</v>
      </c>
      <c r="L9848" s="225"/>
    </row>
    <row r="9849" spans="1:14" ht="11.25" customHeight="1" x14ac:dyDescent="0.2">
      <c r="A9849" s="226">
        <v>2025</v>
      </c>
      <c r="B9849" s="226">
        <v>11</v>
      </c>
      <c r="C9849" s="226">
        <v>20</v>
      </c>
      <c r="D9849" s="232">
        <f t="shared" si="1145"/>
        <v>45981</v>
      </c>
      <c r="E9849" s="234">
        <f t="shared" si="1151"/>
        <v>45981</v>
      </c>
      <c r="F9849" s="479"/>
      <c r="G9849" s="227" t="s">
        <v>1111</v>
      </c>
      <c r="H9849" s="228"/>
      <c r="I9849" s="228"/>
      <c r="J9849" s="229" t="s">
        <v>55</v>
      </c>
      <c r="K9849" s="230"/>
      <c r="L9849" s="230">
        <f>K9848</f>
        <v>165547.45000000001</v>
      </c>
    </row>
    <row r="9850" spans="1:14" ht="11.25" customHeight="1" x14ac:dyDescent="0.2">
      <c r="A9850" s="221">
        <v>2025</v>
      </c>
      <c r="B9850" s="221">
        <v>11</v>
      </c>
      <c r="C9850" s="221">
        <v>20</v>
      </c>
      <c r="D9850" s="231">
        <f t="shared" si="1145"/>
        <v>45981</v>
      </c>
      <c r="E9850" s="233">
        <f t="shared" si="1151"/>
        <v>45981</v>
      </c>
      <c r="F9850" s="478" t="s">
        <v>1670</v>
      </c>
      <c r="G9850" s="222" t="s">
        <v>1111</v>
      </c>
      <c r="H9850" s="223"/>
      <c r="I9850" s="223"/>
      <c r="J9850" s="224" t="s">
        <v>63</v>
      </c>
      <c r="K9850" s="225">
        <v>178</v>
      </c>
      <c r="L9850" s="225"/>
    </row>
    <row r="9851" spans="1:14" ht="11.25" customHeight="1" x14ac:dyDescent="0.2">
      <c r="A9851" s="226">
        <v>2025</v>
      </c>
      <c r="B9851" s="226">
        <v>11</v>
      </c>
      <c r="C9851" s="226">
        <v>20</v>
      </c>
      <c r="D9851" s="232">
        <f t="shared" si="1145"/>
        <v>45981</v>
      </c>
      <c r="E9851" s="234">
        <f t="shared" si="1151"/>
        <v>45981</v>
      </c>
      <c r="F9851" s="479"/>
      <c r="G9851" s="227" t="s">
        <v>1111</v>
      </c>
      <c r="H9851" s="228"/>
      <c r="I9851" s="228"/>
      <c r="J9851" s="229" t="s">
        <v>55</v>
      </c>
      <c r="K9851" s="230"/>
      <c r="L9851" s="230">
        <f>K9850</f>
        <v>178</v>
      </c>
    </row>
    <row r="9852" spans="1:14" ht="11.25" customHeight="1" x14ac:dyDescent="0.2">
      <c r="A9852" s="221">
        <v>2025</v>
      </c>
      <c r="B9852" s="221">
        <v>11</v>
      </c>
      <c r="C9852" s="221">
        <v>20</v>
      </c>
      <c r="D9852" s="221">
        <f t="shared" si="1145"/>
        <v>45981</v>
      </c>
      <c r="E9852" s="233">
        <f t="shared" si="1151"/>
        <v>45981</v>
      </c>
      <c r="F9852" s="478" t="s">
        <v>1930</v>
      </c>
      <c r="G9852" s="222" t="s">
        <v>86</v>
      </c>
      <c r="H9852" s="222"/>
      <c r="I9852" s="223"/>
      <c r="J9852" s="224" t="s">
        <v>80</v>
      </c>
      <c r="K9852" s="225">
        <v>809400</v>
      </c>
      <c r="L9852" s="225"/>
      <c r="N9852" s="263"/>
    </row>
    <row r="9853" spans="1:14" ht="11.25" customHeight="1" x14ac:dyDescent="0.2">
      <c r="A9853" s="164">
        <v>2025</v>
      </c>
      <c r="B9853" s="164">
        <v>11</v>
      </c>
      <c r="C9853" s="164">
        <v>20</v>
      </c>
      <c r="D9853" s="164">
        <f t="shared" si="1145"/>
        <v>45981</v>
      </c>
      <c r="E9853" s="235">
        <f t="shared" si="1151"/>
        <v>45981</v>
      </c>
      <c r="F9853" s="480"/>
      <c r="G9853" s="208" t="s">
        <v>86</v>
      </c>
      <c r="H9853" s="208"/>
      <c r="J9853" s="165" t="s">
        <v>960</v>
      </c>
      <c r="K9853" s="205">
        <v>1456.92</v>
      </c>
      <c r="L9853" s="205"/>
      <c r="M9853" s="263"/>
      <c r="N9853" s="263"/>
    </row>
    <row r="9854" spans="1:14" ht="11.25" customHeight="1" x14ac:dyDescent="0.2">
      <c r="A9854" s="226">
        <v>2025</v>
      </c>
      <c r="B9854" s="226">
        <v>11</v>
      </c>
      <c r="C9854" s="226">
        <v>20</v>
      </c>
      <c r="D9854" s="226">
        <f t="shared" si="1145"/>
        <v>45981</v>
      </c>
      <c r="E9854" s="234">
        <f t="shared" si="1151"/>
        <v>45981</v>
      </c>
      <c r="F9854" s="479"/>
      <c r="G9854" s="227" t="s">
        <v>86</v>
      </c>
      <c r="H9854" s="227"/>
      <c r="I9854" s="228"/>
      <c r="J9854" s="229" t="s">
        <v>961</v>
      </c>
      <c r="K9854" s="294"/>
      <c r="L9854" s="230">
        <v>810856.92</v>
      </c>
      <c r="M9854" s="263"/>
      <c r="N9854" s="263"/>
    </row>
    <row r="9855" spans="1:14" ht="11.25" customHeight="1" x14ac:dyDescent="0.2">
      <c r="A9855" s="221">
        <v>2025</v>
      </c>
      <c r="B9855" s="221">
        <v>11</v>
      </c>
      <c r="C9855" s="221">
        <v>20</v>
      </c>
      <c r="D9855" s="221">
        <f t="shared" si="1145"/>
        <v>45981</v>
      </c>
      <c r="E9855" s="233">
        <f t="shared" si="1151"/>
        <v>45981</v>
      </c>
      <c r="F9855" s="478" t="s">
        <v>1937</v>
      </c>
      <c r="G9855" s="222" t="s">
        <v>86</v>
      </c>
      <c r="H9855" s="222"/>
      <c r="I9855" s="223"/>
      <c r="J9855" s="224" t="s">
        <v>80</v>
      </c>
      <c r="K9855" s="225">
        <v>1407194.3</v>
      </c>
      <c r="L9855" s="225"/>
      <c r="N9855" s="263"/>
    </row>
    <row r="9856" spans="1:14" ht="11.25" customHeight="1" x14ac:dyDescent="0.2">
      <c r="A9856" s="164">
        <v>2025</v>
      </c>
      <c r="B9856" s="164">
        <v>11</v>
      </c>
      <c r="C9856" s="164">
        <v>20</v>
      </c>
      <c r="D9856" s="164">
        <f t="shared" si="1145"/>
        <v>45981</v>
      </c>
      <c r="E9856" s="235">
        <f t="shared" si="1151"/>
        <v>45981</v>
      </c>
      <c r="F9856" s="480"/>
      <c r="G9856" s="208" t="s">
        <v>86</v>
      </c>
      <c r="H9856" s="208"/>
      <c r="J9856" s="165" t="s">
        <v>960</v>
      </c>
      <c r="K9856" s="205">
        <v>4390.03</v>
      </c>
      <c r="L9856" s="205"/>
      <c r="M9856" s="263"/>
      <c r="N9856" s="263"/>
    </row>
    <row r="9857" spans="1:14" ht="11.25" customHeight="1" x14ac:dyDescent="0.2">
      <c r="A9857" s="164">
        <v>2025</v>
      </c>
      <c r="B9857" s="164">
        <v>11</v>
      </c>
      <c r="C9857" s="164">
        <v>20</v>
      </c>
      <c r="D9857" s="164">
        <f t="shared" si="1145"/>
        <v>45981</v>
      </c>
      <c r="E9857" s="235">
        <f t="shared" si="1151"/>
        <v>45981</v>
      </c>
      <c r="F9857" s="480"/>
      <c r="G9857" s="208" t="s">
        <v>86</v>
      </c>
      <c r="H9857" s="208"/>
      <c r="J9857" s="165" t="s">
        <v>961</v>
      </c>
      <c r="K9857" s="263"/>
      <c r="L9857" s="205">
        <v>379871.83</v>
      </c>
      <c r="M9857" s="263"/>
      <c r="N9857" s="263"/>
    </row>
    <row r="9858" spans="1:14" ht="11.25" customHeight="1" x14ac:dyDescent="0.2">
      <c r="A9858" s="164">
        <v>2025</v>
      </c>
      <c r="B9858" s="164">
        <v>11</v>
      </c>
      <c r="C9858" s="164">
        <v>20</v>
      </c>
      <c r="D9858" s="164">
        <f t="shared" si="1145"/>
        <v>45981</v>
      </c>
      <c r="E9858" s="235">
        <f t="shared" si="1151"/>
        <v>45981</v>
      </c>
      <c r="F9858" s="480"/>
      <c r="G9858" s="208" t="s">
        <v>86</v>
      </c>
      <c r="H9858" s="208"/>
      <c r="J9858" s="165" t="s">
        <v>200</v>
      </c>
      <c r="K9858" s="205"/>
      <c r="L9858" s="205">
        <v>99935.71</v>
      </c>
      <c r="M9858" s="263"/>
      <c r="N9858" s="263"/>
    </row>
    <row r="9859" spans="1:14" ht="11.25" customHeight="1" x14ac:dyDescent="0.2">
      <c r="A9859" s="226">
        <v>2025</v>
      </c>
      <c r="B9859" s="226">
        <v>11</v>
      </c>
      <c r="C9859" s="226">
        <v>20</v>
      </c>
      <c r="D9859" s="226">
        <f t="shared" si="1145"/>
        <v>45981</v>
      </c>
      <c r="E9859" s="234">
        <f t="shared" si="1151"/>
        <v>45981</v>
      </c>
      <c r="F9859" s="479"/>
      <c r="G9859" s="227" t="s">
        <v>86</v>
      </c>
      <c r="H9859" s="228"/>
      <c r="I9859" s="228"/>
      <c r="J9859" s="229" t="s">
        <v>80</v>
      </c>
      <c r="K9859" s="230"/>
      <c r="L9859" s="230">
        <v>931776.79</v>
      </c>
      <c r="M9859" s="263"/>
      <c r="N9859" s="263"/>
    </row>
    <row r="9860" spans="1:14" ht="11.25" customHeight="1" x14ac:dyDescent="0.2">
      <c r="A9860" s="221">
        <v>2025</v>
      </c>
      <c r="B9860" s="221">
        <v>11</v>
      </c>
      <c r="C9860" s="221">
        <v>20</v>
      </c>
      <c r="D9860" s="231">
        <f t="shared" si="1145"/>
        <v>45981</v>
      </c>
      <c r="E9860" s="233">
        <f t="shared" si="1151"/>
        <v>45981</v>
      </c>
      <c r="F9860" s="478" t="s">
        <v>1605</v>
      </c>
      <c r="G9860" s="222" t="s">
        <v>1111</v>
      </c>
      <c r="H9860" s="223"/>
      <c r="I9860" s="223"/>
      <c r="J9860" s="224" t="s">
        <v>55</v>
      </c>
      <c r="K9860" s="167">
        <v>284000</v>
      </c>
      <c r="L9860" s="225"/>
    </row>
    <row r="9861" spans="1:14" ht="11.25" customHeight="1" x14ac:dyDescent="0.2">
      <c r="A9861" s="164">
        <v>2025</v>
      </c>
      <c r="B9861" s="164">
        <v>11</v>
      </c>
      <c r="C9861" s="164">
        <v>20</v>
      </c>
      <c r="D9861" s="156">
        <f t="shared" si="1145"/>
        <v>45981</v>
      </c>
      <c r="E9861" s="235">
        <f t="shared" si="1151"/>
        <v>45981</v>
      </c>
      <c r="F9861" s="480"/>
      <c r="G9861" s="208" t="s">
        <v>1111</v>
      </c>
      <c r="J9861" s="165" t="s">
        <v>14</v>
      </c>
      <c r="L9861" s="205">
        <v>243530</v>
      </c>
    </row>
    <row r="9862" spans="1:14" ht="11.25" customHeight="1" x14ac:dyDescent="0.2">
      <c r="A9862" s="226">
        <v>2025</v>
      </c>
      <c r="B9862" s="226">
        <v>11</v>
      </c>
      <c r="C9862" s="226">
        <v>20</v>
      </c>
      <c r="D9862" s="232">
        <f t="shared" si="1145"/>
        <v>45981</v>
      </c>
      <c r="E9862" s="234">
        <f t="shared" si="1151"/>
        <v>45981</v>
      </c>
      <c r="F9862" s="479"/>
      <c r="G9862" s="227" t="s">
        <v>1111</v>
      </c>
      <c r="H9862" s="228"/>
      <c r="I9862" s="228"/>
      <c r="J9862" s="229" t="s">
        <v>1112</v>
      </c>
      <c r="K9862" s="230"/>
      <c r="L9862" s="230">
        <v>40470</v>
      </c>
    </row>
    <row r="9863" spans="1:14" ht="11.25" customHeight="1" x14ac:dyDescent="0.2">
      <c r="A9863" s="280">
        <v>2025</v>
      </c>
      <c r="B9863" s="280">
        <v>11</v>
      </c>
      <c r="C9863" s="280">
        <v>20</v>
      </c>
      <c r="D9863" s="281">
        <f t="shared" si="1145"/>
        <v>45981</v>
      </c>
      <c r="E9863" s="282">
        <f t="shared" si="1150"/>
        <v>45981</v>
      </c>
      <c r="F9863" s="472" t="s">
        <v>1744</v>
      </c>
      <c r="G9863" s="283" t="s">
        <v>86</v>
      </c>
      <c r="H9863" s="284"/>
      <c r="I9863" s="284"/>
      <c r="J9863" s="285" t="s">
        <v>131</v>
      </c>
      <c r="K9863" s="286">
        <v>19358.330000000002</v>
      </c>
      <c r="L9863" s="286"/>
      <c r="M9863" s="401"/>
    </row>
    <row r="9864" spans="1:14" ht="11.25" customHeight="1" x14ac:dyDescent="0.2">
      <c r="A9864" s="287">
        <v>2025</v>
      </c>
      <c r="B9864" s="287">
        <v>11</v>
      </c>
      <c r="C9864" s="287">
        <v>20</v>
      </c>
      <c r="D9864" s="288">
        <f t="shared" si="1145"/>
        <v>45981</v>
      </c>
      <c r="E9864" s="289">
        <f t="shared" si="1150"/>
        <v>45981</v>
      </c>
      <c r="F9864" s="473"/>
      <c r="G9864" s="290" t="s">
        <v>86</v>
      </c>
      <c r="H9864" s="291"/>
      <c r="I9864" s="291"/>
      <c r="J9864" s="292" t="s">
        <v>174</v>
      </c>
      <c r="K9864" s="293"/>
      <c r="L9864" s="293">
        <f>K9863</f>
        <v>19358.330000000002</v>
      </c>
    </row>
    <row r="9865" spans="1:14" ht="11.25" customHeight="1" x14ac:dyDescent="0.2">
      <c r="A9865" s="280">
        <v>2025</v>
      </c>
      <c r="B9865" s="280">
        <v>11</v>
      </c>
      <c r="C9865" s="280">
        <v>20</v>
      </c>
      <c r="D9865" s="281">
        <f t="shared" ref="D9865:D9928" si="1152">DATE(A9865,B9865,C9865)</f>
        <v>45981</v>
      </c>
      <c r="E9865" s="282">
        <f t="shared" si="1150"/>
        <v>45981</v>
      </c>
      <c r="F9865" s="472" t="s">
        <v>1584</v>
      </c>
      <c r="G9865" s="283" t="s">
        <v>86</v>
      </c>
      <c r="H9865" s="284"/>
      <c r="I9865" s="284"/>
      <c r="J9865" s="285" t="s">
        <v>131</v>
      </c>
      <c r="K9865" s="286">
        <v>8846.15</v>
      </c>
      <c r="L9865" s="286"/>
      <c r="M9865" s="401"/>
    </row>
    <row r="9866" spans="1:14" ht="11.25" customHeight="1" x14ac:dyDescent="0.2">
      <c r="A9866" s="287">
        <v>2025</v>
      </c>
      <c r="B9866" s="287">
        <v>11</v>
      </c>
      <c r="C9866" s="287">
        <v>20</v>
      </c>
      <c r="D9866" s="288">
        <f t="shared" si="1152"/>
        <v>45981</v>
      </c>
      <c r="E9866" s="289">
        <f t="shared" si="1150"/>
        <v>45981</v>
      </c>
      <c r="F9866" s="473"/>
      <c r="G9866" s="290" t="s">
        <v>86</v>
      </c>
      <c r="H9866" s="291"/>
      <c r="I9866" s="291"/>
      <c r="J9866" s="292" t="s">
        <v>174</v>
      </c>
      <c r="K9866" s="293"/>
      <c r="L9866" s="293">
        <f>K9865</f>
        <v>8846.15</v>
      </c>
    </row>
    <row r="9867" spans="1:14" ht="11.25" customHeight="1" x14ac:dyDescent="0.2">
      <c r="A9867" s="280">
        <v>2025</v>
      </c>
      <c r="B9867" s="280">
        <v>11</v>
      </c>
      <c r="C9867" s="280">
        <v>20</v>
      </c>
      <c r="D9867" s="281">
        <f t="shared" si="1152"/>
        <v>45981</v>
      </c>
      <c r="E9867" s="282">
        <f t="shared" si="1150"/>
        <v>45981</v>
      </c>
      <c r="F9867" s="472" t="s">
        <v>1955</v>
      </c>
      <c r="G9867" s="283" t="s">
        <v>86</v>
      </c>
      <c r="H9867" s="284"/>
      <c r="I9867" s="284"/>
      <c r="J9867" s="285" t="s">
        <v>1978</v>
      </c>
      <c r="K9867" s="286">
        <v>43298.076923076922</v>
      </c>
      <c r="L9867" s="286"/>
      <c r="M9867" s="401"/>
    </row>
    <row r="9868" spans="1:14" ht="11.25" customHeight="1" x14ac:dyDescent="0.2">
      <c r="A9868" s="287">
        <v>2025</v>
      </c>
      <c r="B9868" s="287">
        <v>11</v>
      </c>
      <c r="C9868" s="287">
        <v>20</v>
      </c>
      <c r="D9868" s="288">
        <f t="shared" si="1152"/>
        <v>45981</v>
      </c>
      <c r="E9868" s="289">
        <f t="shared" si="1150"/>
        <v>45981</v>
      </c>
      <c r="F9868" s="473"/>
      <c r="G9868" s="290" t="s">
        <v>86</v>
      </c>
      <c r="H9868" s="291"/>
      <c r="I9868" s="291"/>
      <c r="J9868" s="292" t="s">
        <v>1955</v>
      </c>
      <c r="K9868" s="293"/>
      <c r="L9868" s="293">
        <f>K9867</f>
        <v>43298.076923076922</v>
      </c>
    </row>
    <row r="9869" spans="1:14" ht="11.25" customHeight="1" x14ac:dyDescent="0.2">
      <c r="A9869" s="341">
        <v>2025</v>
      </c>
      <c r="B9869" s="341">
        <v>11</v>
      </c>
      <c r="C9869" s="341">
        <v>20</v>
      </c>
      <c r="D9869" s="328">
        <f t="shared" si="1152"/>
        <v>45981</v>
      </c>
      <c r="E9869" s="329">
        <f t="shared" si="1150"/>
        <v>45981</v>
      </c>
      <c r="F9869" s="474" t="s">
        <v>1767</v>
      </c>
      <c r="G9869" s="330" t="s">
        <v>86</v>
      </c>
      <c r="H9869" s="332"/>
      <c r="I9869" s="332"/>
      <c r="J9869" s="342" t="s">
        <v>67</v>
      </c>
      <c r="K9869" s="343">
        <v>8175.1</v>
      </c>
      <c r="L9869" s="343"/>
    </row>
    <row r="9870" spans="1:14" ht="11.25" customHeight="1" x14ac:dyDescent="0.2">
      <c r="A9870" s="344">
        <v>2025</v>
      </c>
      <c r="B9870" s="344">
        <v>11</v>
      </c>
      <c r="C9870" s="344">
        <v>20</v>
      </c>
      <c r="D9870" s="337">
        <f t="shared" si="1152"/>
        <v>45981</v>
      </c>
      <c r="E9870" s="338">
        <f t="shared" si="1150"/>
        <v>45981</v>
      </c>
      <c r="F9870" s="475"/>
      <c r="G9870" s="339" t="s">
        <v>86</v>
      </c>
      <c r="H9870" s="340"/>
      <c r="I9870" s="340"/>
      <c r="J9870" s="345" t="s">
        <v>174</v>
      </c>
      <c r="K9870" s="346"/>
      <c r="L9870" s="346">
        <f>K9869</f>
        <v>8175.1</v>
      </c>
    </row>
    <row r="9871" spans="1:14" ht="11.25" customHeight="1" x14ac:dyDescent="0.2">
      <c r="A9871" s="358">
        <v>2025</v>
      </c>
      <c r="B9871" s="358">
        <v>11</v>
      </c>
      <c r="C9871" s="358">
        <v>20</v>
      </c>
      <c r="D9871" s="312">
        <f t="shared" si="1152"/>
        <v>45981</v>
      </c>
      <c r="E9871" s="313">
        <f>DATE(A9871,B9871,C9871)</f>
        <v>45981</v>
      </c>
      <c r="F9871" s="482" t="s">
        <v>1627</v>
      </c>
      <c r="G9871" s="314" t="s">
        <v>86</v>
      </c>
      <c r="H9871" s="324"/>
      <c r="I9871" s="324"/>
      <c r="J9871" s="364" t="s">
        <v>1613</v>
      </c>
      <c r="K9871" s="365">
        <v>0</v>
      </c>
      <c r="L9871" s="365"/>
      <c r="M9871" s="156">
        <f>BS!$I$12</f>
        <v>0</v>
      </c>
    </row>
    <row r="9872" spans="1:14" ht="11.25" customHeight="1" x14ac:dyDescent="0.2">
      <c r="A9872" s="320">
        <v>2025</v>
      </c>
      <c r="B9872" s="320">
        <v>11</v>
      </c>
      <c r="C9872" s="320">
        <v>20</v>
      </c>
      <c r="D9872" s="323">
        <f t="shared" si="1152"/>
        <v>45981</v>
      </c>
      <c r="E9872" s="321">
        <f t="shared" ref="E9872" si="1153">DATE(A9872,B9872,C9872)</f>
        <v>45981</v>
      </c>
      <c r="F9872" s="483"/>
      <c r="G9872" s="322" t="s">
        <v>86</v>
      </c>
      <c r="H9872" s="325"/>
      <c r="I9872" s="325"/>
      <c r="J9872" s="366" t="s">
        <v>1621</v>
      </c>
      <c r="K9872" s="367"/>
      <c r="L9872" s="367">
        <f>K9871</f>
        <v>0</v>
      </c>
    </row>
    <row r="9873" spans="1:14" ht="11.25" customHeight="1" x14ac:dyDescent="0.2">
      <c r="A9873" s="358">
        <v>2025</v>
      </c>
      <c r="B9873" s="358">
        <v>11</v>
      </c>
      <c r="C9873" s="358">
        <v>20</v>
      </c>
      <c r="D9873" s="312">
        <f t="shared" si="1152"/>
        <v>45981</v>
      </c>
      <c r="E9873" s="313">
        <f>DATE(A9873,B9873,C9873)</f>
        <v>45981</v>
      </c>
      <c r="F9873" s="482" t="s">
        <v>1713</v>
      </c>
      <c r="G9873" s="314" t="s">
        <v>86</v>
      </c>
      <c r="H9873" s="324"/>
      <c r="I9873" s="324"/>
      <c r="J9873" s="364" t="s">
        <v>1622</v>
      </c>
      <c r="K9873" s="365">
        <v>1365.2659999999451</v>
      </c>
      <c r="L9873" s="365"/>
      <c r="M9873" s="447">
        <f>BS!$I$15</f>
        <v>0</v>
      </c>
      <c r="N9873" s="166"/>
    </row>
    <row r="9874" spans="1:14" ht="11.25" customHeight="1" x14ac:dyDescent="0.2">
      <c r="A9874" s="320">
        <v>2025</v>
      </c>
      <c r="B9874" s="320">
        <v>11</v>
      </c>
      <c r="C9874" s="320">
        <v>20</v>
      </c>
      <c r="D9874" s="323">
        <f t="shared" si="1152"/>
        <v>45981</v>
      </c>
      <c r="E9874" s="321">
        <f t="shared" ref="E9874:E9896" si="1154">DATE(A9874,B9874,C9874)</f>
        <v>45981</v>
      </c>
      <c r="F9874" s="483"/>
      <c r="G9874" s="322" t="s">
        <v>86</v>
      </c>
      <c r="H9874" s="325"/>
      <c r="I9874" s="325"/>
      <c r="J9874" s="366" t="s">
        <v>1614</v>
      </c>
      <c r="K9874" s="367"/>
      <c r="L9874" s="367">
        <f>K9873</f>
        <v>1365.2659999999451</v>
      </c>
    </row>
    <row r="9875" spans="1:14" ht="11.25" customHeight="1" x14ac:dyDescent="0.2">
      <c r="A9875" s="236">
        <v>2025</v>
      </c>
      <c r="B9875" s="236">
        <v>11</v>
      </c>
      <c r="C9875" s="236">
        <v>20</v>
      </c>
      <c r="D9875" s="237">
        <f t="shared" si="1152"/>
        <v>45981</v>
      </c>
      <c r="E9875" s="238">
        <f t="shared" si="1154"/>
        <v>45981</v>
      </c>
      <c r="F9875" s="476" t="s">
        <v>1118</v>
      </c>
      <c r="G9875" s="239" t="s">
        <v>86</v>
      </c>
      <c r="H9875" s="239"/>
      <c r="I9875" s="240"/>
      <c r="J9875" s="241" t="s">
        <v>98</v>
      </c>
      <c r="K9875" s="242">
        <v>1074948.069999963</v>
      </c>
      <c r="L9875" s="242"/>
      <c r="M9875" s="156">
        <f>BS!$I$8</f>
        <v>0</v>
      </c>
    </row>
    <row r="9876" spans="1:14" ht="11.25" customHeight="1" x14ac:dyDescent="0.2">
      <c r="A9876" s="243">
        <v>2025</v>
      </c>
      <c r="B9876" s="243">
        <v>11</v>
      </c>
      <c r="C9876" s="243">
        <v>20</v>
      </c>
      <c r="D9876" s="248">
        <f t="shared" si="1152"/>
        <v>45981</v>
      </c>
      <c r="E9876" s="249">
        <f t="shared" si="1154"/>
        <v>45981</v>
      </c>
      <c r="F9876" s="477"/>
      <c r="G9876" s="244" t="s">
        <v>86</v>
      </c>
      <c r="H9876" s="244"/>
      <c r="I9876" s="245"/>
      <c r="J9876" s="246" t="s">
        <v>82</v>
      </c>
      <c r="K9876" s="247"/>
      <c r="L9876" s="247">
        <f>K9875</f>
        <v>1074948.069999963</v>
      </c>
    </row>
    <row r="9877" spans="1:14" ht="11.25" customHeight="1" x14ac:dyDescent="0.2">
      <c r="A9877" s="236">
        <v>2025</v>
      </c>
      <c r="B9877" s="236">
        <v>11</v>
      </c>
      <c r="C9877" s="236">
        <v>20</v>
      </c>
      <c r="D9877" s="237">
        <f t="shared" si="1152"/>
        <v>45981</v>
      </c>
      <c r="E9877" s="238">
        <f t="shared" si="1154"/>
        <v>45981</v>
      </c>
      <c r="F9877" s="476" t="s">
        <v>1120</v>
      </c>
      <c r="G9877" s="239" t="s">
        <v>86</v>
      </c>
      <c r="H9877" s="239"/>
      <c r="I9877" s="240"/>
      <c r="J9877" s="241" t="s">
        <v>87</v>
      </c>
      <c r="K9877" s="242">
        <v>2747.2527472527472</v>
      </c>
      <c r="L9877" s="242"/>
      <c r="M9877" s="401"/>
    </row>
    <row r="9878" spans="1:14" ht="11.25" customHeight="1" x14ac:dyDescent="0.2">
      <c r="A9878" s="243">
        <v>2025</v>
      </c>
      <c r="B9878" s="243">
        <v>11</v>
      </c>
      <c r="C9878" s="243">
        <v>20</v>
      </c>
      <c r="D9878" s="248">
        <f t="shared" si="1152"/>
        <v>45981</v>
      </c>
      <c r="E9878" s="249">
        <f t="shared" si="1154"/>
        <v>45981</v>
      </c>
      <c r="F9878" s="477"/>
      <c r="G9878" s="244" t="s">
        <v>86</v>
      </c>
      <c r="H9878" s="244"/>
      <c r="I9878" s="245"/>
      <c r="J9878" s="246" t="s">
        <v>64</v>
      </c>
      <c r="K9878" s="247"/>
      <c r="L9878" s="247">
        <f>K9877</f>
        <v>2747.2527472527472</v>
      </c>
    </row>
    <row r="9879" spans="1:14" ht="11.25" customHeight="1" x14ac:dyDescent="0.2">
      <c r="A9879" s="236">
        <v>2025</v>
      </c>
      <c r="B9879" s="236">
        <v>11</v>
      </c>
      <c r="C9879" s="236">
        <v>20</v>
      </c>
      <c r="D9879" s="237">
        <f t="shared" si="1152"/>
        <v>45981</v>
      </c>
      <c r="E9879" s="238">
        <f t="shared" si="1154"/>
        <v>45981</v>
      </c>
      <c r="F9879" s="476" t="s">
        <v>1121</v>
      </c>
      <c r="G9879" s="239" t="s">
        <v>86</v>
      </c>
      <c r="H9879" s="239"/>
      <c r="I9879" s="240"/>
      <c r="J9879" s="241" t="s">
        <v>89</v>
      </c>
      <c r="K9879" s="242">
        <f>M9879</f>
        <v>91857.443450193547</v>
      </c>
      <c r="L9879" s="242"/>
      <c r="M9879" s="156">
        <v>91857.443450193547</v>
      </c>
    </row>
    <row r="9880" spans="1:14" ht="11.25" customHeight="1" x14ac:dyDescent="0.2">
      <c r="A9880" s="243">
        <v>2025</v>
      </c>
      <c r="B9880" s="243">
        <v>11</v>
      </c>
      <c r="C9880" s="243">
        <v>20</v>
      </c>
      <c r="D9880" s="248">
        <f t="shared" si="1152"/>
        <v>45981</v>
      </c>
      <c r="E9880" s="249">
        <f t="shared" si="1154"/>
        <v>45981</v>
      </c>
      <c r="F9880" s="477"/>
      <c r="G9880" s="244" t="s">
        <v>86</v>
      </c>
      <c r="H9880" s="244"/>
      <c r="I9880" s="245"/>
      <c r="J9880" s="246" t="s">
        <v>50</v>
      </c>
      <c r="K9880" s="247"/>
      <c r="L9880" s="247">
        <f>K9879</f>
        <v>91857.443450193547</v>
      </c>
      <c r="M9880" s="156">
        <v>4352.4875571250614</v>
      </c>
    </row>
    <row r="9881" spans="1:14" ht="11.25" customHeight="1" x14ac:dyDescent="0.2">
      <c r="A9881" s="236">
        <v>2025</v>
      </c>
      <c r="B9881" s="236">
        <v>11</v>
      </c>
      <c r="C9881" s="236">
        <v>20</v>
      </c>
      <c r="D9881" s="237">
        <f t="shared" si="1152"/>
        <v>45981</v>
      </c>
      <c r="E9881" s="238">
        <f t="shared" si="1154"/>
        <v>45981</v>
      </c>
      <c r="F9881" s="476" t="s">
        <v>1122</v>
      </c>
      <c r="G9881" s="239" t="s">
        <v>86</v>
      </c>
      <c r="H9881" s="239"/>
      <c r="I9881" s="240"/>
      <c r="J9881" s="241" t="s">
        <v>91</v>
      </c>
      <c r="K9881" s="242">
        <f>M9880</f>
        <v>4352.4875571250614</v>
      </c>
      <c r="L9881" s="242"/>
    </row>
    <row r="9882" spans="1:14" ht="11.25" customHeight="1" x14ac:dyDescent="0.2">
      <c r="A9882" s="243">
        <v>2025</v>
      </c>
      <c r="B9882" s="243">
        <v>11</v>
      </c>
      <c r="C9882" s="243">
        <v>20</v>
      </c>
      <c r="D9882" s="248">
        <f t="shared" si="1152"/>
        <v>45981</v>
      </c>
      <c r="E9882" s="249">
        <f t="shared" si="1154"/>
        <v>45981</v>
      </c>
      <c r="F9882" s="477"/>
      <c r="G9882" s="244" t="s">
        <v>86</v>
      </c>
      <c r="H9882" s="244"/>
      <c r="I9882" s="245"/>
      <c r="J9882" s="246" t="s">
        <v>51</v>
      </c>
      <c r="K9882" s="247"/>
      <c r="L9882" s="247">
        <f>K9881</f>
        <v>4352.4875571250614</v>
      </c>
    </row>
    <row r="9883" spans="1:14" ht="11.25" customHeight="1" x14ac:dyDescent="0.2">
      <c r="A9883" s="221">
        <v>2025</v>
      </c>
      <c r="B9883" s="221">
        <v>11</v>
      </c>
      <c r="C9883" s="221">
        <v>23</v>
      </c>
      <c r="D9883" s="231">
        <f t="shared" si="1152"/>
        <v>45984</v>
      </c>
      <c r="E9883" s="233">
        <f t="shared" si="1154"/>
        <v>45984</v>
      </c>
      <c r="F9883" s="478" t="s">
        <v>1940</v>
      </c>
      <c r="G9883" s="222" t="s">
        <v>1111</v>
      </c>
      <c r="H9883" s="223"/>
      <c r="I9883" s="223"/>
      <c r="J9883" s="224" t="s">
        <v>961</v>
      </c>
      <c r="K9883" s="225">
        <v>379871.83</v>
      </c>
      <c r="L9883" s="225"/>
    </row>
    <row r="9884" spans="1:14" ht="11.25" customHeight="1" x14ac:dyDescent="0.2">
      <c r="A9884" s="226">
        <v>2025</v>
      </c>
      <c r="B9884" s="226">
        <v>11</v>
      </c>
      <c r="C9884" s="226">
        <v>23</v>
      </c>
      <c r="D9884" s="232">
        <f t="shared" si="1152"/>
        <v>45984</v>
      </c>
      <c r="E9884" s="234">
        <f t="shared" si="1154"/>
        <v>45984</v>
      </c>
      <c r="F9884" s="479"/>
      <c r="G9884" s="227" t="s">
        <v>1111</v>
      </c>
      <c r="H9884" s="228"/>
      <c r="I9884" s="228"/>
      <c r="J9884" s="229" t="s">
        <v>55</v>
      </c>
      <c r="K9884" s="230"/>
      <c r="L9884" s="230">
        <f>K9883</f>
        <v>379871.83</v>
      </c>
    </row>
    <row r="9885" spans="1:14" ht="11.25" customHeight="1" x14ac:dyDescent="0.2">
      <c r="A9885" s="221">
        <v>2025</v>
      </c>
      <c r="B9885" s="221">
        <v>11</v>
      </c>
      <c r="C9885" s="221">
        <v>23</v>
      </c>
      <c r="D9885" s="231">
        <f t="shared" si="1152"/>
        <v>45984</v>
      </c>
      <c r="E9885" s="233">
        <f t="shared" ref="E9885:E9886" si="1155">DATE(A9885,B9885,C9885)</f>
        <v>45984</v>
      </c>
      <c r="F9885" s="478" t="s">
        <v>1889</v>
      </c>
      <c r="G9885" s="222" t="s">
        <v>1111</v>
      </c>
      <c r="H9885" s="223"/>
      <c r="I9885" s="223"/>
      <c r="J9885" s="224" t="s">
        <v>961</v>
      </c>
      <c r="K9885" s="225">
        <v>810856.92</v>
      </c>
      <c r="L9885" s="225"/>
    </row>
    <row r="9886" spans="1:14" ht="11.25" customHeight="1" x14ac:dyDescent="0.2">
      <c r="A9886" s="226">
        <v>2025</v>
      </c>
      <c r="B9886" s="226">
        <v>11</v>
      </c>
      <c r="C9886" s="226">
        <v>23</v>
      </c>
      <c r="D9886" s="232">
        <f t="shared" si="1152"/>
        <v>45984</v>
      </c>
      <c r="E9886" s="234">
        <f t="shared" si="1155"/>
        <v>45984</v>
      </c>
      <c r="F9886" s="479"/>
      <c r="G9886" s="227" t="s">
        <v>1111</v>
      </c>
      <c r="H9886" s="228"/>
      <c r="I9886" s="228"/>
      <c r="J9886" s="229" t="s">
        <v>55</v>
      </c>
      <c r="K9886" s="230"/>
      <c r="L9886" s="230">
        <f>K9885</f>
        <v>810856.92</v>
      </c>
    </row>
    <row r="9887" spans="1:14" ht="11.25" customHeight="1" x14ac:dyDescent="0.2">
      <c r="A9887" s="221">
        <v>2025</v>
      </c>
      <c r="B9887" s="221">
        <v>11</v>
      </c>
      <c r="C9887" s="221">
        <v>23</v>
      </c>
      <c r="D9887" s="231">
        <f t="shared" si="1152"/>
        <v>45984</v>
      </c>
      <c r="E9887" s="233">
        <f>DATE(A9887,B9887,C9887)</f>
        <v>45984</v>
      </c>
      <c r="F9887" s="478" t="s">
        <v>1142</v>
      </c>
      <c r="G9887" s="222" t="s">
        <v>1111</v>
      </c>
      <c r="H9887" s="223"/>
      <c r="I9887" s="223"/>
      <c r="J9887" s="224" t="s">
        <v>189</v>
      </c>
      <c r="K9887" s="225">
        <v>1575</v>
      </c>
      <c r="L9887" s="225"/>
    </row>
    <row r="9888" spans="1:14" ht="11.25" customHeight="1" x14ac:dyDescent="0.2">
      <c r="A9888" s="164">
        <v>2025</v>
      </c>
      <c r="B9888" s="164">
        <v>11</v>
      </c>
      <c r="C9888" s="164">
        <v>23</v>
      </c>
      <c r="D9888" s="156">
        <f t="shared" si="1152"/>
        <v>45984</v>
      </c>
      <c r="E9888" s="235">
        <f>DATE(A9888,B9888,C9888)</f>
        <v>45984</v>
      </c>
      <c r="F9888" s="480"/>
      <c r="G9888" s="208" t="s">
        <v>1111</v>
      </c>
      <c r="J9888" s="165" t="s">
        <v>1707</v>
      </c>
      <c r="K9888" s="205"/>
      <c r="L9888" s="205">
        <v>75</v>
      </c>
    </row>
    <row r="9889" spans="1:14" ht="11.25" customHeight="1" x14ac:dyDescent="0.2">
      <c r="A9889" s="226">
        <v>2025</v>
      </c>
      <c r="B9889" s="226">
        <v>11</v>
      </c>
      <c r="C9889" s="226">
        <v>23</v>
      </c>
      <c r="D9889" s="232">
        <f t="shared" si="1152"/>
        <v>45984</v>
      </c>
      <c r="E9889" s="234">
        <f>DATE(A9889,B9889,C9889)</f>
        <v>45984</v>
      </c>
      <c r="F9889" s="479"/>
      <c r="G9889" s="227" t="s">
        <v>1111</v>
      </c>
      <c r="H9889" s="228"/>
      <c r="I9889" s="228"/>
      <c r="J9889" s="229" t="s">
        <v>55</v>
      </c>
      <c r="K9889" s="230"/>
      <c r="L9889" s="230">
        <v>1500</v>
      </c>
    </row>
    <row r="9890" spans="1:14" ht="11.25" customHeight="1" x14ac:dyDescent="0.2">
      <c r="A9890" s="221">
        <v>2025</v>
      </c>
      <c r="B9890" s="221">
        <v>11</v>
      </c>
      <c r="C9890" s="221">
        <v>23</v>
      </c>
      <c r="D9890" s="231">
        <f t="shared" si="1152"/>
        <v>45984</v>
      </c>
      <c r="E9890" s="233">
        <f t="shared" ref="E9890:E9893" si="1156">DATE(A9890,B9890,C9890)</f>
        <v>45984</v>
      </c>
      <c r="F9890" s="478" t="s">
        <v>1889</v>
      </c>
      <c r="G9890" s="222" t="s">
        <v>1111</v>
      </c>
      <c r="H9890" s="223"/>
      <c r="I9890" s="223"/>
      <c r="J9890" s="224" t="s">
        <v>961</v>
      </c>
      <c r="K9890" s="225">
        <v>3408504.28</v>
      </c>
      <c r="L9890" s="225"/>
    </row>
    <row r="9891" spans="1:14" ht="11.25" customHeight="1" x14ac:dyDescent="0.2">
      <c r="A9891" s="226">
        <v>2025</v>
      </c>
      <c r="B9891" s="226">
        <v>11</v>
      </c>
      <c r="C9891" s="226">
        <v>23</v>
      </c>
      <c r="D9891" s="232">
        <f t="shared" si="1152"/>
        <v>45984</v>
      </c>
      <c r="E9891" s="234">
        <f t="shared" si="1156"/>
        <v>45984</v>
      </c>
      <c r="F9891" s="479"/>
      <c r="G9891" s="227" t="s">
        <v>1111</v>
      </c>
      <c r="H9891" s="228"/>
      <c r="I9891" s="228"/>
      <c r="J9891" s="229" t="s">
        <v>55</v>
      </c>
      <c r="K9891" s="230"/>
      <c r="L9891" s="230">
        <f>K9890</f>
        <v>3408504.28</v>
      </c>
    </row>
    <row r="9892" spans="1:14" ht="11.25" customHeight="1" x14ac:dyDescent="0.2">
      <c r="A9892" s="221">
        <v>2025</v>
      </c>
      <c r="B9892" s="221">
        <v>11</v>
      </c>
      <c r="C9892" s="221">
        <v>23</v>
      </c>
      <c r="D9892" s="231">
        <f t="shared" si="1152"/>
        <v>45984</v>
      </c>
      <c r="E9892" s="233">
        <f t="shared" si="1156"/>
        <v>45984</v>
      </c>
      <c r="F9892" s="478" t="s">
        <v>1670</v>
      </c>
      <c r="G9892" s="222" t="s">
        <v>1111</v>
      </c>
      <c r="H9892" s="223"/>
      <c r="I9892" s="223"/>
      <c r="J9892" s="224" t="s">
        <v>63</v>
      </c>
      <c r="K9892" s="225">
        <v>158</v>
      </c>
      <c r="L9892" s="225"/>
    </row>
    <row r="9893" spans="1:14" ht="11.25" customHeight="1" x14ac:dyDescent="0.2">
      <c r="A9893" s="226">
        <v>2025</v>
      </c>
      <c r="B9893" s="226">
        <v>11</v>
      </c>
      <c r="C9893" s="226">
        <v>23</v>
      </c>
      <c r="D9893" s="232">
        <f t="shared" si="1152"/>
        <v>45984</v>
      </c>
      <c r="E9893" s="234">
        <f t="shared" si="1156"/>
        <v>45984</v>
      </c>
      <c r="F9893" s="479"/>
      <c r="G9893" s="227" t="s">
        <v>1111</v>
      </c>
      <c r="H9893" s="228"/>
      <c r="I9893" s="228"/>
      <c r="J9893" s="229" t="s">
        <v>55</v>
      </c>
      <c r="K9893" s="230"/>
      <c r="L9893" s="230">
        <f>K9892</f>
        <v>158</v>
      </c>
    </row>
    <row r="9894" spans="1:14" ht="11.25" customHeight="1" x14ac:dyDescent="0.2">
      <c r="A9894" s="221">
        <v>2025</v>
      </c>
      <c r="B9894" s="221">
        <v>11</v>
      </c>
      <c r="C9894" s="221">
        <v>23</v>
      </c>
      <c r="D9894" s="221">
        <f t="shared" si="1152"/>
        <v>45984</v>
      </c>
      <c r="E9894" s="233">
        <f t="shared" si="1154"/>
        <v>45984</v>
      </c>
      <c r="F9894" s="478" t="s">
        <v>1930</v>
      </c>
      <c r="G9894" s="222" t="s">
        <v>86</v>
      </c>
      <c r="H9894" s="222"/>
      <c r="I9894" s="223"/>
      <c r="J9894" s="224" t="s">
        <v>80</v>
      </c>
      <c r="K9894" s="225">
        <v>1142550</v>
      </c>
      <c r="L9894" s="225"/>
      <c r="N9894" s="263"/>
    </row>
    <row r="9895" spans="1:14" ht="11.25" customHeight="1" x14ac:dyDescent="0.2">
      <c r="A9895" s="164">
        <v>2025</v>
      </c>
      <c r="B9895" s="164">
        <v>11</v>
      </c>
      <c r="C9895" s="164">
        <v>23</v>
      </c>
      <c r="D9895" s="164">
        <f t="shared" si="1152"/>
        <v>45984</v>
      </c>
      <c r="E9895" s="235">
        <f t="shared" si="1154"/>
        <v>45984</v>
      </c>
      <c r="F9895" s="480"/>
      <c r="G9895" s="208" t="s">
        <v>86</v>
      </c>
      <c r="H9895" s="208"/>
      <c r="J9895" s="165" t="s">
        <v>960</v>
      </c>
      <c r="K9895" s="205">
        <v>2056.59</v>
      </c>
      <c r="L9895" s="205"/>
      <c r="M9895" s="263"/>
      <c r="N9895" s="263"/>
    </row>
    <row r="9896" spans="1:14" ht="11.25" customHeight="1" x14ac:dyDescent="0.2">
      <c r="A9896" s="226">
        <v>2025</v>
      </c>
      <c r="B9896" s="226">
        <v>11</v>
      </c>
      <c r="C9896" s="226">
        <v>23</v>
      </c>
      <c r="D9896" s="226">
        <f t="shared" si="1152"/>
        <v>45984</v>
      </c>
      <c r="E9896" s="234">
        <f t="shared" si="1154"/>
        <v>45984</v>
      </c>
      <c r="F9896" s="479"/>
      <c r="G9896" s="227" t="s">
        <v>86</v>
      </c>
      <c r="H9896" s="227"/>
      <c r="I9896" s="228"/>
      <c r="J9896" s="229" t="s">
        <v>961</v>
      </c>
      <c r="K9896" s="294"/>
      <c r="L9896" s="230">
        <v>1144606.5900000001</v>
      </c>
      <c r="M9896" s="263"/>
      <c r="N9896" s="263"/>
    </row>
    <row r="9897" spans="1:14" ht="11.25" customHeight="1" x14ac:dyDescent="0.2">
      <c r="A9897" s="221">
        <v>2025</v>
      </c>
      <c r="B9897" s="221">
        <v>11</v>
      </c>
      <c r="C9897" s="221">
        <v>23</v>
      </c>
      <c r="D9897" s="221">
        <f t="shared" si="1152"/>
        <v>45984</v>
      </c>
      <c r="E9897" s="233">
        <f t="shared" ref="E9897:E9912" si="1157">DATE(A9897,B9897,C9897)</f>
        <v>45984</v>
      </c>
      <c r="F9897" s="478" t="s">
        <v>1962</v>
      </c>
      <c r="G9897" s="222" t="s">
        <v>86</v>
      </c>
      <c r="H9897" s="222"/>
      <c r="I9897" s="223"/>
      <c r="J9897" s="224" t="s">
        <v>80</v>
      </c>
      <c r="K9897" s="225">
        <v>1103243.6000000001</v>
      </c>
      <c r="L9897" s="225"/>
      <c r="N9897" s="263"/>
    </row>
    <row r="9898" spans="1:14" ht="11.25" customHeight="1" x14ac:dyDescent="0.2">
      <c r="A9898" s="164">
        <v>2025</v>
      </c>
      <c r="B9898" s="164">
        <v>11</v>
      </c>
      <c r="C9898" s="164">
        <v>23</v>
      </c>
      <c r="D9898" s="164">
        <f t="shared" si="1152"/>
        <v>45984</v>
      </c>
      <c r="E9898" s="235">
        <f t="shared" si="1157"/>
        <v>45984</v>
      </c>
      <c r="F9898" s="480"/>
      <c r="G9898" s="208" t="s">
        <v>86</v>
      </c>
      <c r="H9898" s="208"/>
      <c r="J9898" s="165" t="s">
        <v>960</v>
      </c>
      <c r="K9898" s="205">
        <v>1985.84</v>
      </c>
      <c r="L9898" s="205"/>
      <c r="M9898" s="263"/>
      <c r="N9898" s="263"/>
    </row>
    <row r="9899" spans="1:14" ht="11.25" customHeight="1" x14ac:dyDescent="0.2">
      <c r="A9899" s="226">
        <v>2025</v>
      </c>
      <c r="B9899" s="226">
        <v>11</v>
      </c>
      <c r="C9899" s="226">
        <v>23</v>
      </c>
      <c r="D9899" s="226">
        <f t="shared" si="1152"/>
        <v>45984</v>
      </c>
      <c r="E9899" s="234">
        <f t="shared" si="1157"/>
        <v>45984</v>
      </c>
      <c r="F9899" s="479"/>
      <c r="G9899" s="227" t="s">
        <v>86</v>
      </c>
      <c r="H9899" s="227"/>
      <c r="I9899" s="228"/>
      <c r="J9899" s="229" t="s">
        <v>961</v>
      </c>
      <c r="K9899" s="294"/>
      <c r="L9899" s="230">
        <v>1105229.44</v>
      </c>
      <c r="M9899" s="263"/>
      <c r="N9899" s="263"/>
    </row>
    <row r="9900" spans="1:14" ht="11.25" customHeight="1" x14ac:dyDescent="0.2">
      <c r="A9900" s="221">
        <v>2025</v>
      </c>
      <c r="B9900" s="221">
        <v>11</v>
      </c>
      <c r="C9900" s="221">
        <v>23</v>
      </c>
      <c r="D9900" s="231">
        <f t="shared" si="1152"/>
        <v>45984</v>
      </c>
      <c r="E9900" s="233">
        <f t="shared" si="1157"/>
        <v>45984</v>
      </c>
      <c r="F9900" s="478" t="s">
        <v>1964</v>
      </c>
      <c r="G9900" s="222" t="s">
        <v>1111</v>
      </c>
      <c r="H9900" s="223"/>
      <c r="I9900" s="223"/>
      <c r="J9900" s="224" t="s">
        <v>192</v>
      </c>
      <c r="K9900" s="225">
        <v>301250</v>
      </c>
      <c r="L9900" s="225"/>
    </row>
    <row r="9901" spans="1:14" ht="11.25" customHeight="1" x14ac:dyDescent="0.2">
      <c r="A9901" s="226">
        <v>2025</v>
      </c>
      <c r="B9901" s="226">
        <v>11</v>
      </c>
      <c r="C9901" s="226">
        <v>23</v>
      </c>
      <c r="D9901" s="232">
        <f t="shared" si="1152"/>
        <v>45984</v>
      </c>
      <c r="E9901" s="234">
        <f t="shared" si="1157"/>
        <v>45984</v>
      </c>
      <c r="F9901" s="479"/>
      <c r="G9901" s="227" t="s">
        <v>1111</v>
      </c>
      <c r="H9901" s="228"/>
      <c r="I9901" s="228"/>
      <c r="J9901" s="229" t="s">
        <v>191</v>
      </c>
      <c r="K9901" s="230"/>
      <c r="L9901" s="230">
        <f>K9900</f>
        <v>301250</v>
      </c>
    </row>
    <row r="9902" spans="1:14" ht="11.25" customHeight="1" x14ac:dyDescent="0.2">
      <c r="A9902" s="221">
        <v>2025</v>
      </c>
      <c r="B9902" s="221">
        <v>11</v>
      </c>
      <c r="C9902" s="221">
        <v>24</v>
      </c>
      <c r="D9902" s="231">
        <f t="shared" si="1152"/>
        <v>45985</v>
      </c>
      <c r="E9902" s="233">
        <f t="shared" si="1157"/>
        <v>45985</v>
      </c>
      <c r="F9902" s="478" t="s">
        <v>1940</v>
      </c>
      <c r="G9902" s="222" t="s">
        <v>1111</v>
      </c>
      <c r="H9902" s="223"/>
      <c r="I9902" s="223"/>
      <c r="J9902" s="224" t="s">
        <v>961</v>
      </c>
      <c r="K9902" s="225">
        <v>1105229.44</v>
      </c>
      <c r="L9902" s="225"/>
    </row>
    <row r="9903" spans="1:14" ht="11.25" customHeight="1" x14ac:dyDescent="0.2">
      <c r="A9903" s="226">
        <v>2025</v>
      </c>
      <c r="B9903" s="226">
        <v>11</v>
      </c>
      <c r="C9903" s="226">
        <v>24</v>
      </c>
      <c r="D9903" s="232">
        <f t="shared" si="1152"/>
        <v>45985</v>
      </c>
      <c r="E9903" s="234">
        <f t="shared" si="1157"/>
        <v>45985</v>
      </c>
      <c r="F9903" s="479"/>
      <c r="G9903" s="227" t="s">
        <v>1111</v>
      </c>
      <c r="H9903" s="228"/>
      <c r="I9903" s="228"/>
      <c r="J9903" s="229" t="s">
        <v>55</v>
      </c>
      <c r="K9903" s="230"/>
      <c r="L9903" s="230">
        <f>K9902</f>
        <v>1105229.44</v>
      </c>
    </row>
    <row r="9904" spans="1:14" ht="11.25" customHeight="1" x14ac:dyDescent="0.2">
      <c r="A9904" s="221">
        <v>2025</v>
      </c>
      <c r="B9904" s="221">
        <v>11</v>
      </c>
      <c r="C9904" s="221">
        <v>24</v>
      </c>
      <c r="D9904" s="231">
        <f t="shared" si="1152"/>
        <v>45985</v>
      </c>
      <c r="E9904" s="233">
        <f t="shared" si="1157"/>
        <v>45985</v>
      </c>
      <c r="F9904" s="478" t="s">
        <v>1889</v>
      </c>
      <c r="G9904" s="222" t="s">
        <v>1111</v>
      </c>
      <c r="H9904" s="223"/>
      <c r="I9904" s="223"/>
      <c r="J9904" s="224" t="s">
        <v>961</v>
      </c>
      <c r="K9904" s="225">
        <v>1144606.5900000001</v>
      </c>
      <c r="L9904" s="225"/>
    </row>
    <row r="9905" spans="1:14" ht="11.25" customHeight="1" x14ac:dyDescent="0.2">
      <c r="A9905" s="226">
        <v>2025</v>
      </c>
      <c r="B9905" s="226">
        <v>11</v>
      </c>
      <c r="C9905" s="226">
        <v>24</v>
      </c>
      <c r="D9905" s="232">
        <f t="shared" si="1152"/>
        <v>45985</v>
      </c>
      <c r="E9905" s="234">
        <f t="shared" si="1157"/>
        <v>45985</v>
      </c>
      <c r="F9905" s="479"/>
      <c r="G9905" s="227" t="s">
        <v>1111</v>
      </c>
      <c r="H9905" s="228"/>
      <c r="I9905" s="228"/>
      <c r="J9905" s="229" t="s">
        <v>55</v>
      </c>
      <c r="K9905" s="230"/>
      <c r="L9905" s="230">
        <f>K9904</f>
        <v>1144606.5900000001</v>
      </c>
    </row>
    <row r="9906" spans="1:14" ht="11.25" customHeight="1" x14ac:dyDescent="0.2">
      <c r="A9906" s="221">
        <v>2025</v>
      </c>
      <c r="B9906" s="221">
        <v>11</v>
      </c>
      <c r="C9906" s="221">
        <v>24</v>
      </c>
      <c r="D9906" s="231">
        <f t="shared" si="1152"/>
        <v>45985</v>
      </c>
      <c r="E9906" s="233">
        <f t="shared" si="1157"/>
        <v>45985</v>
      </c>
      <c r="F9906" s="478" t="s">
        <v>1670</v>
      </c>
      <c r="G9906" s="222" t="s">
        <v>1111</v>
      </c>
      <c r="H9906" s="223"/>
      <c r="I9906" s="223"/>
      <c r="J9906" s="224" t="s">
        <v>63</v>
      </c>
      <c r="K9906" s="225">
        <v>200</v>
      </c>
      <c r="L9906" s="225"/>
    </row>
    <row r="9907" spans="1:14" ht="11.25" customHeight="1" x14ac:dyDescent="0.2">
      <c r="A9907" s="226">
        <v>2025</v>
      </c>
      <c r="B9907" s="226">
        <v>11</v>
      </c>
      <c r="C9907" s="226">
        <v>24</v>
      </c>
      <c r="D9907" s="232">
        <f t="shared" si="1152"/>
        <v>45985</v>
      </c>
      <c r="E9907" s="234">
        <f t="shared" si="1157"/>
        <v>45985</v>
      </c>
      <c r="F9907" s="479"/>
      <c r="G9907" s="227" t="s">
        <v>1111</v>
      </c>
      <c r="H9907" s="228"/>
      <c r="I9907" s="228"/>
      <c r="J9907" s="229" t="s">
        <v>55</v>
      </c>
      <c r="K9907" s="230"/>
      <c r="L9907" s="230">
        <f>K9906</f>
        <v>200</v>
      </c>
    </row>
    <row r="9908" spans="1:14" ht="11.25" customHeight="1" x14ac:dyDescent="0.2">
      <c r="A9908" s="221">
        <v>2025</v>
      </c>
      <c r="B9908" s="221">
        <v>11</v>
      </c>
      <c r="C9908" s="221">
        <v>24</v>
      </c>
      <c r="D9908" s="221">
        <f t="shared" si="1152"/>
        <v>45985</v>
      </c>
      <c r="E9908" s="233">
        <f t="shared" si="1157"/>
        <v>45985</v>
      </c>
      <c r="F9908" s="478" t="s">
        <v>1886</v>
      </c>
      <c r="G9908" s="222" t="s">
        <v>86</v>
      </c>
      <c r="H9908" s="222"/>
      <c r="I9908" s="223"/>
      <c r="J9908" s="224" t="s">
        <v>80</v>
      </c>
      <c r="K9908" s="225">
        <v>101300</v>
      </c>
      <c r="L9908" s="225"/>
      <c r="N9908" s="263"/>
    </row>
    <row r="9909" spans="1:14" ht="11.25" customHeight="1" x14ac:dyDescent="0.2">
      <c r="A9909" s="164">
        <v>2025</v>
      </c>
      <c r="B9909" s="164">
        <v>11</v>
      </c>
      <c r="C9909" s="164">
        <v>24</v>
      </c>
      <c r="D9909" s="164">
        <f t="shared" si="1152"/>
        <v>45985</v>
      </c>
      <c r="E9909" s="235">
        <f t="shared" si="1157"/>
        <v>45985</v>
      </c>
      <c r="F9909" s="480"/>
      <c r="G9909" s="208" t="s">
        <v>86</v>
      </c>
      <c r="H9909" s="208"/>
      <c r="J9909" s="165" t="s">
        <v>960</v>
      </c>
      <c r="K9909" s="205">
        <v>380.34</v>
      </c>
      <c r="L9909" s="205"/>
      <c r="M9909" s="263"/>
      <c r="N9909" s="263"/>
    </row>
    <row r="9910" spans="1:14" ht="11.25" customHeight="1" x14ac:dyDescent="0.2">
      <c r="A9910" s="164">
        <v>2025</v>
      </c>
      <c r="B9910" s="164">
        <v>11</v>
      </c>
      <c r="C9910" s="164">
        <v>24</v>
      </c>
      <c r="D9910" s="164">
        <f t="shared" si="1152"/>
        <v>45985</v>
      </c>
      <c r="E9910" s="235">
        <f t="shared" si="1157"/>
        <v>45985</v>
      </c>
      <c r="F9910" s="480"/>
      <c r="G9910" s="208" t="s">
        <v>86</v>
      </c>
      <c r="H9910" s="208"/>
      <c r="J9910" s="165" t="s">
        <v>199</v>
      </c>
      <c r="K9910" s="263">
        <v>8319.66</v>
      </c>
      <c r="L9910" s="205"/>
      <c r="M9910" s="263"/>
      <c r="N9910" s="263"/>
    </row>
    <row r="9911" spans="1:14" ht="11.25" customHeight="1" x14ac:dyDescent="0.2">
      <c r="A9911" s="164">
        <v>2025</v>
      </c>
      <c r="B9911" s="164">
        <v>11</v>
      </c>
      <c r="C9911" s="164">
        <v>24</v>
      </c>
      <c r="D9911" s="164">
        <f t="shared" si="1152"/>
        <v>45985</v>
      </c>
      <c r="E9911" s="235">
        <f t="shared" si="1157"/>
        <v>45985</v>
      </c>
      <c r="F9911" s="480"/>
      <c r="G9911" s="208" t="s">
        <v>86</v>
      </c>
      <c r="H9911" s="208"/>
      <c r="J9911" s="165" t="s">
        <v>200</v>
      </c>
      <c r="K9911" s="205">
        <v>1511.5</v>
      </c>
      <c r="L9911" s="205"/>
      <c r="M9911" s="263"/>
      <c r="N9911" s="263"/>
    </row>
    <row r="9912" spans="1:14" ht="11.25" customHeight="1" x14ac:dyDescent="0.2">
      <c r="A9912" s="226">
        <v>2025</v>
      </c>
      <c r="B9912" s="226">
        <v>11</v>
      </c>
      <c r="C9912" s="226">
        <v>24</v>
      </c>
      <c r="D9912" s="226">
        <f t="shared" si="1152"/>
        <v>45985</v>
      </c>
      <c r="E9912" s="234">
        <f t="shared" si="1157"/>
        <v>45985</v>
      </c>
      <c r="F9912" s="479"/>
      <c r="G9912" s="227" t="s">
        <v>86</v>
      </c>
      <c r="H9912" s="228"/>
      <c r="I9912" s="228"/>
      <c r="J9912" s="229" t="s">
        <v>80</v>
      </c>
      <c r="K9912" s="230"/>
      <c r="L9912" s="230">
        <v>111511.5</v>
      </c>
      <c r="M9912" s="263"/>
      <c r="N9912" s="263"/>
    </row>
    <row r="9913" spans="1:14" ht="11.25" customHeight="1" x14ac:dyDescent="0.2">
      <c r="A9913" s="221">
        <v>2025</v>
      </c>
      <c r="B9913" s="221">
        <v>11</v>
      </c>
      <c r="C9913" s="221">
        <v>24</v>
      </c>
      <c r="D9913" s="221">
        <f t="shared" si="1152"/>
        <v>45985</v>
      </c>
      <c r="E9913" s="233">
        <f t="shared" ref="E9913:E9950" si="1158">DATE(A9913,B9913,C9913)</f>
        <v>45985</v>
      </c>
      <c r="F9913" s="478" t="s">
        <v>1937</v>
      </c>
      <c r="G9913" s="222" t="s">
        <v>86</v>
      </c>
      <c r="H9913" s="222"/>
      <c r="I9913" s="223"/>
      <c r="J9913" s="224" t="s">
        <v>80</v>
      </c>
      <c r="K9913" s="225">
        <v>2354509.6</v>
      </c>
      <c r="L9913" s="225"/>
      <c r="N9913" s="263"/>
    </row>
    <row r="9914" spans="1:14" ht="11.25" customHeight="1" x14ac:dyDescent="0.2">
      <c r="A9914" s="164">
        <v>2025</v>
      </c>
      <c r="B9914" s="164">
        <v>11</v>
      </c>
      <c r="C9914" s="164">
        <v>24</v>
      </c>
      <c r="D9914" s="164">
        <f t="shared" si="1152"/>
        <v>45985</v>
      </c>
      <c r="E9914" s="235">
        <f t="shared" si="1158"/>
        <v>45985</v>
      </c>
      <c r="F9914" s="480"/>
      <c r="G9914" s="208" t="s">
        <v>86</v>
      </c>
      <c r="H9914" s="208"/>
      <c r="J9914" s="165" t="s">
        <v>960</v>
      </c>
      <c r="K9914" s="205">
        <v>6277.54</v>
      </c>
      <c r="L9914" s="205"/>
      <c r="M9914" s="263"/>
      <c r="N9914" s="263"/>
    </row>
    <row r="9915" spans="1:14" ht="11.25" customHeight="1" x14ac:dyDescent="0.2">
      <c r="A9915" s="164">
        <v>2025</v>
      </c>
      <c r="B9915" s="164">
        <v>11</v>
      </c>
      <c r="C9915" s="164">
        <v>24</v>
      </c>
      <c r="D9915" s="164">
        <f t="shared" si="1152"/>
        <v>45985</v>
      </c>
      <c r="E9915" s="235">
        <f t="shared" si="1158"/>
        <v>45985</v>
      </c>
      <c r="F9915" s="480"/>
      <c r="G9915" s="208" t="s">
        <v>86</v>
      </c>
      <c r="H9915" s="208"/>
      <c r="J9915" s="165" t="s">
        <v>961</v>
      </c>
      <c r="K9915" s="263"/>
      <c r="L9915" s="205">
        <v>1227772.1399999999</v>
      </c>
      <c r="M9915" s="263"/>
      <c r="N9915" s="263"/>
    </row>
    <row r="9916" spans="1:14" ht="11.25" customHeight="1" x14ac:dyDescent="0.2">
      <c r="A9916" s="164">
        <v>2025</v>
      </c>
      <c r="B9916" s="164">
        <v>11</v>
      </c>
      <c r="C9916" s="164">
        <v>24</v>
      </c>
      <c r="D9916" s="164">
        <f t="shared" si="1152"/>
        <v>45985</v>
      </c>
      <c r="E9916" s="235">
        <f t="shared" si="1158"/>
        <v>45985</v>
      </c>
      <c r="F9916" s="480"/>
      <c r="G9916" s="208" t="s">
        <v>86</v>
      </c>
      <c r="H9916" s="208"/>
      <c r="J9916" s="165" t="s">
        <v>200</v>
      </c>
      <c r="K9916" s="205"/>
      <c r="L9916" s="205">
        <v>59032.58</v>
      </c>
      <c r="M9916" s="263"/>
      <c r="N9916" s="263"/>
    </row>
    <row r="9917" spans="1:14" ht="11.25" customHeight="1" x14ac:dyDescent="0.2">
      <c r="A9917" s="226">
        <v>2025</v>
      </c>
      <c r="B9917" s="226">
        <v>11</v>
      </c>
      <c r="C9917" s="226">
        <v>24</v>
      </c>
      <c r="D9917" s="226">
        <f t="shared" si="1152"/>
        <v>45985</v>
      </c>
      <c r="E9917" s="234">
        <f t="shared" si="1158"/>
        <v>45985</v>
      </c>
      <c r="F9917" s="479"/>
      <c r="G9917" s="227" t="s">
        <v>86</v>
      </c>
      <c r="H9917" s="228"/>
      <c r="I9917" s="228"/>
      <c r="J9917" s="229" t="s">
        <v>80</v>
      </c>
      <c r="K9917" s="230"/>
      <c r="L9917" s="230">
        <v>1073982.42</v>
      </c>
      <c r="M9917" s="263"/>
      <c r="N9917" s="263"/>
    </row>
    <row r="9918" spans="1:14" ht="11.25" customHeight="1" x14ac:dyDescent="0.2">
      <c r="A9918" s="221">
        <v>2025</v>
      </c>
      <c r="B9918" s="221">
        <v>11</v>
      </c>
      <c r="C9918" s="221">
        <v>24</v>
      </c>
      <c r="D9918" s="231">
        <f t="shared" si="1152"/>
        <v>45985</v>
      </c>
      <c r="E9918" s="233">
        <f t="shared" si="1158"/>
        <v>45985</v>
      </c>
      <c r="F9918" s="478" t="s">
        <v>1115</v>
      </c>
      <c r="G9918" s="222" t="s">
        <v>1111</v>
      </c>
      <c r="H9918" s="223"/>
      <c r="I9918" s="223"/>
      <c r="J9918" s="224" t="s">
        <v>14</v>
      </c>
      <c r="K9918" s="167">
        <v>568660</v>
      </c>
      <c r="L9918" s="225"/>
    </row>
    <row r="9919" spans="1:14" ht="11.25" customHeight="1" x14ac:dyDescent="0.2">
      <c r="A9919" s="164">
        <v>2025</v>
      </c>
      <c r="B9919" s="164">
        <v>11</v>
      </c>
      <c r="C9919" s="164">
        <v>24</v>
      </c>
      <c r="D9919" s="156">
        <f t="shared" si="1152"/>
        <v>45985</v>
      </c>
      <c r="E9919" s="235">
        <f t="shared" si="1158"/>
        <v>45985</v>
      </c>
      <c r="F9919" s="480"/>
      <c r="G9919" s="208" t="s">
        <v>1111</v>
      </c>
      <c r="J9919" s="165" t="s">
        <v>1112</v>
      </c>
      <c r="K9919" s="167">
        <v>101340</v>
      </c>
      <c r="L9919" s="205"/>
    </row>
    <row r="9920" spans="1:14" ht="11.25" customHeight="1" x14ac:dyDescent="0.2">
      <c r="A9920" s="226">
        <v>2025</v>
      </c>
      <c r="B9920" s="226">
        <v>11</v>
      </c>
      <c r="C9920" s="226">
        <v>24</v>
      </c>
      <c r="D9920" s="232">
        <f t="shared" si="1152"/>
        <v>45985</v>
      </c>
      <c r="E9920" s="234">
        <f t="shared" si="1158"/>
        <v>45985</v>
      </c>
      <c r="F9920" s="479"/>
      <c r="G9920" s="227" t="s">
        <v>1111</v>
      </c>
      <c r="H9920" s="228"/>
      <c r="I9920" s="228"/>
      <c r="J9920" s="229" t="s">
        <v>55</v>
      </c>
      <c r="K9920" s="230"/>
      <c r="L9920" s="230">
        <v>670000</v>
      </c>
    </row>
    <row r="9921" spans="1:15" ht="11.25" customHeight="1" x14ac:dyDescent="0.2">
      <c r="A9921" s="221">
        <v>2025</v>
      </c>
      <c r="B9921" s="221">
        <v>11</v>
      </c>
      <c r="C9921" s="221">
        <v>25</v>
      </c>
      <c r="D9921" s="231">
        <f t="shared" si="1152"/>
        <v>45986</v>
      </c>
      <c r="E9921" s="233">
        <f t="shared" si="1158"/>
        <v>45986</v>
      </c>
      <c r="F9921" s="478" t="s">
        <v>1940</v>
      </c>
      <c r="G9921" s="222" t="s">
        <v>1111</v>
      </c>
      <c r="H9921" s="223"/>
      <c r="I9921" s="223"/>
      <c r="J9921" s="224" t="s">
        <v>961</v>
      </c>
      <c r="K9921" s="225">
        <v>1227772.1399999999</v>
      </c>
      <c r="L9921" s="225"/>
    </row>
    <row r="9922" spans="1:15" ht="11.25" customHeight="1" x14ac:dyDescent="0.2">
      <c r="A9922" s="226">
        <v>2025</v>
      </c>
      <c r="B9922" s="226">
        <v>11</v>
      </c>
      <c r="C9922" s="226">
        <v>25</v>
      </c>
      <c r="D9922" s="232">
        <f t="shared" si="1152"/>
        <v>45986</v>
      </c>
      <c r="E9922" s="234">
        <f t="shared" si="1158"/>
        <v>45986</v>
      </c>
      <c r="F9922" s="479"/>
      <c r="G9922" s="227" t="s">
        <v>1111</v>
      </c>
      <c r="H9922" s="228"/>
      <c r="I9922" s="228"/>
      <c r="J9922" s="229" t="s">
        <v>55</v>
      </c>
      <c r="K9922" s="230"/>
      <c r="L9922" s="230">
        <f>K9921</f>
        <v>1227772.1399999999</v>
      </c>
    </row>
    <row r="9923" spans="1:15" ht="11.25" customHeight="1" x14ac:dyDescent="0.2">
      <c r="A9923" s="221">
        <v>2025</v>
      </c>
      <c r="B9923" s="221">
        <v>11</v>
      </c>
      <c r="C9923" s="221">
        <v>25</v>
      </c>
      <c r="D9923" s="221">
        <f t="shared" si="1152"/>
        <v>45986</v>
      </c>
      <c r="E9923" s="233">
        <f t="shared" si="1158"/>
        <v>45986</v>
      </c>
      <c r="F9923" s="478" t="s">
        <v>1963</v>
      </c>
      <c r="G9923" s="222" t="s">
        <v>1111</v>
      </c>
      <c r="H9923" s="222"/>
      <c r="I9923" s="223"/>
      <c r="J9923" s="224" t="s">
        <v>50</v>
      </c>
      <c r="K9923" s="225">
        <v>1000000</v>
      </c>
      <c r="L9923" s="225"/>
      <c r="M9923" s="423"/>
      <c r="N9923" s="423"/>
      <c r="O9923" s="166"/>
    </row>
    <row r="9924" spans="1:15" ht="11.25" customHeight="1" x14ac:dyDescent="0.2">
      <c r="A9924" s="164">
        <v>2025</v>
      </c>
      <c r="B9924" s="164">
        <v>11</v>
      </c>
      <c r="C9924" s="164">
        <v>25</v>
      </c>
      <c r="D9924" s="156">
        <f t="shared" si="1152"/>
        <v>45986</v>
      </c>
      <c r="E9924" s="235">
        <f t="shared" si="1158"/>
        <v>45986</v>
      </c>
      <c r="F9924" s="480"/>
      <c r="G9924" s="208" t="s">
        <v>1111</v>
      </c>
      <c r="J9924" s="165" t="s">
        <v>478</v>
      </c>
      <c r="K9924" s="205"/>
      <c r="L9924" s="205">
        <v>150000</v>
      </c>
      <c r="N9924" s="423"/>
    </row>
    <row r="9925" spans="1:15" ht="11.25" customHeight="1" x14ac:dyDescent="0.2">
      <c r="A9925" s="226">
        <v>2025</v>
      </c>
      <c r="B9925" s="226">
        <v>11</v>
      </c>
      <c r="C9925" s="226">
        <v>25</v>
      </c>
      <c r="D9925" s="226">
        <f t="shared" si="1152"/>
        <v>45986</v>
      </c>
      <c r="E9925" s="234">
        <f t="shared" si="1158"/>
        <v>45986</v>
      </c>
      <c r="F9925" s="479"/>
      <c r="G9925" s="227" t="s">
        <v>1111</v>
      </c>
      <c r="H9925" s="227"/>
      <c r="I9925" s="228"/>
      <c r="J9925" s="229" t="s">
        <v>55</v>
      </c>
      <c r="K9925" s="230"/>
      <c r="L9925" s="230">
        <v>850000</v>
      </c>
    </row>
    <row r="9926" spans="1:15" ht="11.25" customHeight="1" x14ac:dyDescent="0.2">
      <c r="A9926" s="221">
        <v>2025</v>
      </c>
      <c r="B9926" s="221">
        <v>11</v>
      </c>
      <c r="C9926" s="221">
        <v>25</v>
      </c>
      <c r="D9926" s="231">
        <f t="shared" si="1152"/>
        <v>45986</v>
      </c>
      <c r="E9926" s="233">
        <f t="shared" si="1158"/>
        <v>45986</v>
      </c>
      <c r="F9926" s="478" t="s">
        <v>1670</v>
      </c>
      <c r="G9926" s="222" t="s">
        <v>1111</v>
      </c>
      <c r="H9926" s="223"/>
      <c r="I9926" s="223"/>
      <c r="J9926" s="224" t="s">
        <v>63</v>
      </c>
      <c r="K9926" s="225">
        <v>100</v>
      </c>
      <c r="L9926" s="225"/>
    </row>
    <row r="9927" spans="1:15" ht="11.25" customHeight="1" x14ac:dyDescent="0.2">
      <c r="A9927" s="226">
        <v>2025</v>
      </c>
      <c r="B9927" s="226">
        <v>11</v>
      </c>
      <c r="C9927" s="226">
        <v>25</v>
      </c>
      <c r="D9927" s="232">
        <f t="shared" si="1152"/>
        <v>45986</v>
      </c>
      <c r="E9927" s="234">
        <f t="shared" si="1158"/>
        <v>45986</v>
      </c>
      <c r="F9927" s="479"/>
      <c r="G9927" s="227" t="s">
        <v>1111</v>
      </c>
      <c r="H9927" s="228"/>
      <c r="I9927" s="228"/>
      <c r="J9927" s="229" t="s">
        <v>55</v>
      </c>
      <c r="K9927" s="230"/>
      <c r="L9927" s="230">
        <f>K9926</f>
        <v>100</v>
      </c>
    </row>
    <row r="9928" spans="1:15" ht="11.25" customHeight="1" x14ac:dyDescent="0.2">
      <c r="A9928" s="221">
        <v>2025</v>
      </c>
      <c r="B9928" s="221">
        <v>11</v>
      </c>
      <c r="C9928" s="221">
        <v>25</v>
      </c>
      <c r="D9928" s="221">
        <f t="shared" si="1152"/>
        <v>45986</v>
      </c>
      <c r="E9928" s="233">
        <f t="shared" ref="E9928:E9935" si="1159">DATE(A9928,B9928,C9928)</f>
        <v>45986</v>
      </c>
      <c r="F9928" s="478" t="s">
        <v>1937</v>
      </c>
      <c r="G9928" s="222" t="s">
        <v>86</v>
      </c>
      <c r="H9928" s="222"/>
      <c r="I9928" s="223"/>
      <c r="J9928" s="224" t="s">
        <v>80</v>
      </c>
      <c r="K9928" s="225">
        <v>2264658</v>
      </c>
      <c r="L9928" s="225"/>
      <c r="N9928" s="263"/>
    </row>
    <row r="9929" spans="1:15" ht="11.25" customHeight="1" x14ac:dyDescent="0.2">
      <c r="A9929" s="164">
        <v>2025</v>
      </c>
      <c r="B9929" s="164">
        <v>11</v>
      </c>
      <c r="C9929" s="164">
        <v>25</v>
      </c>
      <c r="D9929" s="164">
        <f t="shared" ref="D9929:D9992" si="1160">DATE(A9929,B9929,C9929)</f>
        <v>45986</v>
      </c>
      <c r="E9929" s="235">
        <f t="shared" si="1159"/>
        <v>45986</v>
      </c>
      <c r="F9929" s="480"/>
      <c r="G9929" s="208" t="s">
        <v>86</v>
      </c>
      <c r="H9929" s="208"/>
      <c r="J9929" s="165" t="s">
        <v>960</v>
      </c>
      <c r="K9929" s="205">
        <v>5570.16</v>
      </c>
      <c r="L9929" s="205"/>
      <c r="M9929" s="263"/>
      <c r="N9929" s="263"/>
    </row>
    <row r="9930" spans="1:15" ht="11.25" customHeight="1" x14ac:dyDescent="0.2">
      <c r="A9930" s="164">
        <v>2025</v>
      </c>
      <c r="B9930" s="164">
        <v>11</v>
      </c>
      <c r="C9930" s="164">
        <v>25</v>
      </c>
      <c r="D9930" s="164">
        <f t="shared" si="1160"/>
        <v>45986</v>
      </c>
      <c r="E9930" s="235">
        <f t="shared" si="1159"/>
        <v>45986</v>
      </c>
      <c r="F9930" s="480"/>
      <c r="G9930" s="208" t="s">
        <v>86</v>
      </c>
      <c r="H9930" s="208"/>
      <c r="J9930" s="165" t="s">
        <v>961</v>
      </c>
      <c r="K9930" s="263"/>
      <c r="L9930" s="205">
        <v>1440354.96</v>
      </c>
      <c r="M9930" s="263"/>
      <c r="N9930" s="263"/>
    </row>
    <row r="9931" spans="1:15" ht="11.25" customHeight="1" x14ac:dyDescent="0.2">
      <c r="A9931" s="164">
        <v>2025</v>
      </c>
      <c r="B9931" s="164">
        <v>11</v>
      </c>
      <c r="C9931" s="164">
        <v>25</v>
      </c>
      <c r="D9931" s="164">
        <f t="shared" si="1160"/>
        <v>45986</v>
      </c>
      <c r="E9931" s="235">
        <f t="shared" si="1159"/>
        <v>45986</v>
      </c>
      <c r="F9931" s="480"/>
      <c r="G9931" s="208" t="s">
        <v>86</v>
      </c>
      <c r="H9931" s="208"/>
      <c r="J9931" s="165" t="s">
        <v>200</v>
      </c>
      <c r="K9931" s="205"/>
      <c r="L9931" s="205">
        <v>80465.83</v>
      </c>
      <c r="M9931" s="263"/>
      <c r="N9931" s="263"/>
    </row>
    <row r="9932" spans="1:15" ht="11.25" customHeight="1" x14ac:dyDescent="0.2">
      <c r="A9932" s="226">
        <v>2025</v>
      </c>
      <c r="B9932" s="226">
        <v>11</v>
      </c>
      <c r="C9932" s="226">
        <v>25</v>
      </c>
      <c r="D9932" s="226">
        <f t="shared" si="1160"/>
        <v>45986</v>
      </c>
      <c r="E9932" s="234">
        <f t="shared" si="1159"/>
        <v>45986</v>
      </c>
      <c r="F9932" s="479"/>
      <c r="G9932" s="227" t="s">
        <v>86</v>
      </c>
      <c r="H9932" s="228"/>
      <c r="I9932" s="228"/>
      <c r="J9932" s="229" t="s">
        <v>80</v>
      </c>
      <c r="K9932" s="230"/>
      <c r="L9932" s="230">
        <v>749407.37</v>
      </c>
      <c r="M9932" s="263"/>
      <c r="N9932" s="263"/>
    </row>
    <row r="9933" spans="1:15" ht="11.25" customHeight="1" x14ac:dyDescent="0.2">
      <c r="A9933" s="221">
        <v>2025</v>
      </c>
      <c r="B9933" s="221">
        <v>11</v>
      </c>
      <c r="C9933" s="221">
        <v>26</v>
      </c>
      <c r="D9933" s="231">
        <f t="shared" si="1160"/>
        <v>45987</v>
      </c>
      <c r="E9933" s="233">
        <f t="shared" si="1159"/>
        <v>45987</v>
      </c>
      <c r="F9933" s="478" t="s">
        <v>1132</v>
      </c>
      <c r="G9933" s="222" t="s">
        <v>1111</v>
      </c>
      <c r="H9933" s="223"/>
      <c r="I9933" s="223"/>
      <c r="J9933" s="224" t="s">
        <v>55</v>
      </c>
      <c r="K9933" s="167">
        <v>17000</v>
      </c>
      <c r="L9933" s="225"/>
    </row>
    <row r="9934" spans="1:15" ht="11.25" customHeight="1" x14ac:dyDescent="0.2">
      <c r="A9934" s="164">
        <v>2025</v>
      </c>
      <c r="B9934" s="164">
        <v>11</v>
      </c>
      <c r="C9934" s="164">
        <v>26</v>
      </c>
      <c r="D9934" s="156">
        <f t="shared" si="1160"/>
        <v>45987</v>
      </c>
      <c r="E9934" s="235">
        <f t="shared" si="1159"/>
        <v>45987</v>
      </c>
      <c r="F9934" s="480"/>
      <c r="G9934" s="208" t="s">
        <v>1111</v>
      </c>
      <c r="J9934" s="165" t="s">
        <v>14</v>
      </c>
      <c r="L9934" s="205">
        <v>14430</v>
      </c>
    </row>
    <row r="9935" spans="1:15" ht="11.25" customHeight="1" x14ac:dyDescent="0.2">
      <c r="A9935" s="226">
        <v>2025</v>
      </c>
      <c r="B9935" s="226">
        <v>11</v>
      </c>
      <c r="C9935" s="226">
        <v>26</v>
      </c>
      <c r="D9935" s="232">
        <f t="shared" si="1160"/>
        <v>45987</v>
      </c>
      <c r="E9935" s="234">
        <f t="shared" si="1159"/>
        <v>45987</v>
      </c>
      <c r="F9935" s="479"/>
      <c r="G9935" s="227" t="s">
        <v>1111</v>
      </c>
      <c r="H9935" s="228"/>
      <c r="I9935" s="228"/>
      <c r="J9935" s="229" t="s">
        <v>1112</v>
      </c>
      <c r="K9935" s="230"/>
      <c r="L9935" s="230">
        <v>2570</v>
      </c>
    </row>
    <row r="9936" spans="1:15" ht="11.25" customHeight="1" x14ac:dyDescent="0.2">
      <c r="A9936" s="221">
        <v>2025</v>
      </c>
      <c r="B9936" s="221">
        <v>11</v>
      </c>
      <c r="C9936" s="221">
        <v>26</v>
      </c>
      <c r="D9936" s="231">
        <f t="shared" si="1160"/>
        <v>45987</v>
      </c>
      <c r="E9936" s="233">
        <f t="shared" si="1158"/>
        <v>45987</v>
      </c>
      <c r="F9936" s="478" t="s">
        <v>1605</v>
      </c>
      <c r="G9936" s="222" t="s">
        <v>1111</v>
      </c>
      <c r="H9936" s="223"/>
      <c r="I9936" s="223"/>
      <c r="J9936" s="224" t="s">
        <v>55</v>
      </c>
      <c r="K9936" s="167">
        <v>2827680</v>
      </c>
      <c r="L9936" s="225"/>
    </row>
    <row r="9937" spans="1:14" ht="11.25" customHeight="1" x14ac:dyDescent="0.2">
      <c r="A9937" s="164">
        <v>2025</v>
      </c>
      <c r="B9937" s="164">
        <v>11</v>
      </c>
      <c r="C9937" s="164">
        <v>26</v>
      </c>
      <c r="D9937" s="156">
        <f t="shared" si="1160"/>
        <v>45987</v>
      </c>
      <c r="E9937" s="235">
        <f t="shared" si="1158"/>
        <v>45987</v>
      </c>
      <c r="F9937" s="480"/>
      <c r="G9937" s="208" t="s">
        <v>1111</v>
      </c>
      <c r="J9937" s="165" t="s">
        <v>14</v>
      </c>
      <c r="L9937" s="205">
        <v>2400000</v>
      </c>
    </row>
    <row r="9938" spans="1:14" ht="11.25" customHeight="1" x14ac:dyDescent="0.2">
      <c r="A9938" s="226">
        <v>2025</v>
      </c>
      <c r="B9938" s="226">
        <v>11</v>
      </c>
      <c r="C9938" s="226">
        <v>26</v>
      </c>
      <c r="D9938" s="232">
        <f t="shared" si="1160"/>
        <v>45987</v>
      </c>
      <c r="E9938" s="234">
        <f t="shared" si="1158"/>
        <v>45987</v>
      </c>
      <c r="F9938" s="479"/>
      <c r="G9938" s="227" t="s">
        <v>1111</v>
      </c>
      <c r="H9938" s="228"/>
      <c r="I9938" s="228"/>
      <c r="J9938" s="229" t="s">
        <v>1112</v>
      </c>
      <c r="K9938" s="230"/>
      <c r="L9938" s="230">
        <v>427680</v>
      </c>
    </row>
    <row r="9939" spans="1:14" ht="11.25" customHeight="1" x14ac:dyDescent="0.2">
      <c r="A9939" s="221">
        <v>2025</v>
      </c>
      <c r="B9939" s="221">
        <v>11</v>
      </c>
      <c r="C9939" s="221">
        <v>26</v>
      </c>
      <c r="D9939" s="221">
        <f t="shared" si="1160"/>
        <v>45987</v>
      </c>
      <c r="E9939" s="233">
        <f t="shared" si="1158"/>
        <v>45987</v>
      </c>
      <c r="F9939" s="478" t="s">
        <v>1886</v>
      </c>
      <c r="G9939" s="222" t="s">
        <v>86</v>
      </c>
      <c r="H9939" s="222"/>
      <c r="I9939" s="223"/>
      <c r="J9939" s="224" t="s">
        <v>80</v>
      </c>
      <c r="K9939" s="225">
        <v>174000</v>
      </c>
      <c r="L9939" s="225"/>
      <c r="N9939" s="263"/>
    </row>
    <row r="9940" spans="1:14" ht="11.25" customHeight="1" x14ac:dyDescent="0.2">
      <c r="A9940" s="164">
        <v>2025</v>
      </c>
      <c r="B9940" s="164">
        <v>11</v>
      </c>
      <c r="C9940" s="164">
        <v>26</v>
      </c>
      <c r="D9940" s="164">
        <f t="shared" si="1160"/>
        <v>45987</v>
      </c>
      <c r="E9940" s="235">
        <f t="shared" si="1158"/>
        <v>45987</v>
      </c>
      <c r="F9940" s="480"/>
      <c r="G9940" s="208" t="s">
        <v>86</v>
      </c>
      <c r="H9940" s="208"/>
      <c r="J9940" s="165" t="s">
        <v>960</v>
      </c>
      <c r="K9940" s="205">
        <v>483.3</v>
      </c>
      <c r="L9940" s="205"/>
      <c r="M9940" s="263"/>
      <c r="N9940" s="263"/>
    </row>
    <row r="9941" spans="1:14" ht="11.25" customHeight="1" x14ac:dyDescent="0.2">
      <c r="A9941" s="164">
        <v>2025</v>
      </c>
      <c r="B9941" s="164">
        <v>11</v>
      </c>
      <c r="C9941" s="164">
        <v>26</v>
      </c>
      <c r="D9941" s="164">
        <f t="shared" si="1160"/>
        <v>45987</v>
      </c>
      <c r="E9941" s="235">
        <f t="shared" si="1158"/>
        <v>45987</v>
      </c>
      <c r="F9941" s="480"/>
      <c r="G9941" s="208" t="s">
        <v>86</v>
      </c>
      <c r="H9941" s="208"/>
      <c r="J9941" s="165" t="s">
        <v>961</v>
      </c>
      <c r="K9941" s="263"/>
      <c r="L9941" s="205">
        <v>79983.3</v>
      </c>
      <c r="M9941" s="263"/>
      <c r="N9941" s="263"/>
    </row>
    <row r="9942" spans="1:14" ht="11.25" customHeight="1" x14ac:dyDescent="0.2">
      <c r="A9942" s="164">
        <v>2025</v>
      </c>
      <c r="B9942" s="164">
        <v>11</v>
      </c>
      <c r="C9942" s="164">
        <v>26</v>
      </c>
      <c r="D9942" s="164">
        <f t="shared" si="1160"/>
        <v>45987</v>
      </c>
      <c r="E9942" s="235">
        <f t="shared" si="1158"/>
        <v>45987</v>
      </c>
      <c r="F9942" s="480"/>
      <c r="G9942" s="208" t="s">
        <v>86</v>
      </c>
      <c r="H9942" s="208"/>
      <c r="J9942" s="165" t="s">
        <v>200</v>
      </c>
      <c r="K9942" s="205"/>
      <c r="L9942" s="205">
        <v>342.57</v>
      </c>
      <c r="M9942" s="263"/>
      <c r="N9942" s="263"/>
    </row>
    <row r="9943" spans="1:14" ht="11.25" customHeight="1" x14ac:dyDescent="0.2">
      <c r="A9943" s="226">
        <v>2025</v>
      </c>
      <c r="B9943" s="226">
        <v>11</v>
      </c>
      <c r="C9943" s="226">
        <v>26</v>
      </c>
      <c r="D9943" s="226">
        <f t="shared" si="1160"/>
        <v>45987</v>
      </c>
      <c r="E9943" s="234">
        <f t="shared" si="1158"/>
        <v>45987</v>
      </c>
      <c r="F9943" s="479"/>
      <c r="G9943" s="227" t="s">
        <v>86</v>
      </c>
      <c r="H9943" s="228"/>
      <c r="I9943" s="228"/>
      <c r="J9943" s="229" t="s">
        <v>80</v>
      </c>
      <c r="K9943" s="230"/>
      <c r="L9943" s="230">
        <v>94157.43</v>
      </c>
      <c r="M9943" s="263"/>
      <c r="N9943" s="263"/>
    </row>
    <row r="9944" spans="1:14" ht="11.25" customHeight="1" x14ac:dyDescent="0.2">
      <c r="A9944" s="221">
        <v>2025</v>
      </c>
      <c r="B9944" s="221">
        <v>11</v>
      </c>
      <c r="C9944" s="221">
        <v>26</v>
      </c>
      <c r="D9944" s="221">
        <f t="shared" si="1160"/>
        <v>45987</v>
      </c>
      <c r="E9944" s="233">
        <f t="shared" si="1158"/>
        <v>45987</v>
      </c>
      <c r="F9944" s="478" t="s">
        <v>1937</v>
      </c>
      <c r="G9944" s="222" t="s">
        <v>86</v>
      </c>
      <c r="H9944" s="222"/>
      <c r="I9944" s="223"/>
      <c r="J9944" s="224" t="s">
        <v>80</v>
      </c>
      <c r="K9944" s="225">
        <v>214700</v>
      </c>
      <c r="L9944" s="225"/>
      <c r="N9944" s="263"/>
    </row>
    <row r="9945" spans="1:14" ht="11.25" customHeight="1" x14ac:dyDescent="0.2">
      <c r="A9945" s="164">
        <v>2025</v>
      </c>
      <c r="B9945" s="164">
        <v>11</v>
      </c>
      <c r="C9945" s="164">
        <v>26</v>
      </c>
      <c r="D9945" s="164">
        <f t="shared" si="1160"/>
        <v>45987</v>
      </c>
      <c r="E9945" s="235">
        <f t="shared" si="1158"/>
        <v>45987</v>
      </c>
      <c r="F9945" s="480"/>
      <c r="G9945" s="208" t="s">
        <v>86</v>
      </c>
      <c r="H9945" s="208"/>
      <c r="J9945" s="165" t="s">
        <v>960</v>
      </c>
      <c r="K9945" s="205">
        <v>1071.1600000000001</v>
      </c>
      <c r="L9945" s="205"/>
      <c r="M9945" s="263"/>
      <c r="N9945" s="263"/>
    </row>
    <row r="9946" spans="1:14" ht="11.25" customHeight="1" x14ac:dyDescent="0.2">
      <c r="A9946" s="164">
        <v>2025</v>
      </c>
      <c r="B9946" s="164">
        <v>11</v>
      </c>
      <c r="C9946" s="164">
        <v>26</v>
      </c>
      <c r="D9946" s="164">
        <f t="shared" si="1160"/>
        <v>45987</v>
      </c>
      <c r="E9946" s="235">
        <f t="shared" si="1158"/>
        <v>45987</v>
      </c>
      <c r="F9946" s="480"/>
      <c r="G9946" s="208" t="s">
        <v>86</v>
      </c>
      <c r="H9946" s="208"/>
      <c r="J9946" s="165" t="s">
        <v>199</v>
      </c>
      <c r="K9946" s="263">
        <v>164618.44</v>
      </c>
      <c r="L9946" s="205"/>
      <c r="M9946" s="263"/>
      <c r="N9946" s="263"/>
    </row>
    <row r="9947" spans="1:14" ht="11.25" customHeight="1" x14ac:dyDescent="0.2">
      <c r="A9947" s="164">
        <v>2025</v>
      </c>
      <c r="B9947" s="164">
        <v>11</v>
      </c>
      <c r="C9947" s="164">
        <v>26</v>
      </c>
      <c r="D9947" s="164">
        <f t="shared" si="1160"/>
        <v>45987</v>
      </c>
      <c r="E9947" s="235">
        <f t="shared" si="1158"/>
        <v>45987</v>
      </c>
      <c r="F9947" s="480"/>
      <c r="G9947" s="208" t="s">
        <v>86</v>
      </c>
      <c r="H9947" s="208"/>
      <c r="J9947" s="165" t="s">
        <v>200</v>
      </c>
      <c r="K9947" s="205">
        <v>5714.52</v>
      </c>
      <c r="L9947" s="205"/>
      <c r="M9947" s="263"/>
      <c r="N9947" s="263"/>
    </row>
    <row r="9948" spans="1:14" ht="11.25" customHeight="1" x14ac:dyDescent="0.2">
      <c r="A9948" s="226">
        <v>2025</v>
      </c>
      <c r="B9948" s="226">
        <v>11</v>
      </c>
      <c r="C9948" s="226">
        <v>26</v>
      </c>
      <c r="D9948" s="226">
        <f t="shared" si="1160"/>
        <v>45987</v>
      </c>
      <c r="E9948" s="234">
        <f t="shared" si="1158"/>
        <v>45987</v>
      </c>
      <c r="F9948" s="479"/>
      <c r="G9948" s="227" t="s">
        <v>86</v>
      </c>
      <c r="H9948" s="228"/>
      <c r="I9948" s="228"/>
      <c r="J9948" s="229" t="s">
        <v>80</v>
      </c>
      <c r="K9948" s="230"/>
      <c r="L9948" s="230">
        <v>386104.12</v>
      </c>
      <c r="M9948" s="263"/>
      <c r="N9948" s="263"/>
    </row>
    <row r="9949" spans="1:14" ht="11.25" customHeight="1" x14ac:dyDescent="0.2">
      <c r="A9949" s="221">
        <v>2025</v>
      </c>
      <c r="B9949" s="221">
        <v>11</v>
      </c>
      <c r="C9949" s="221">
        <v>26</v>
      </c>
      <c r="D9949" s="231">
        <f t="shared" si="1160"/>
        <v>45987</v>
      </c>
      <c r="E9949" s="233">
        <f t="shared" si="1158"/>
        <v>45987</v>
      </c>
      <c r="F9949" s="478" t="s">
        <v>1844</v>
      </c>
      <c r="G9949" s="222" t="s">
        <v>1111</v>
      </c>
      <c r="H9949" s="223"/>
      <c r="I9949" s="223"/>
      <c r="J9949" s="224" t="s">
        <v>55</v>
      </c>
      <c r="K9949" s="225">
        <v>8319.66</v>
      </c>
      <c r="L9949" s="225"/>
    </row>
    <row r="9950" spans="1:14" ht="11.25" customHeight="1" x14ac:dyDescent="0.2">
      <c r="A9950" s="226">
        <v>2025</v>
      </c>
      <c r="B9950" s="226">
        <v>11</v>
      </c>
      <c r="C9950" s="226">
        <v>26</v>
      </c>
      <c r="D9950" s="232">
        <f t="shared" si="1160"/>
        <v>45987</v>
      </c>
      <c r="E9950" s="234">
        <f t="shared" si="1158"/>
        <v>45987</v>
      </c>
      <c r="F9950" s="479"/>
      <c r="G9950" s="227" t="s">
        <v>1111</v>
      </c>
      <c r="H9950" s="228"/>
      <c r="I9950" s="228"/>
      <c r="J9950" s="229" t="s">
        <v>199</v>
      </c>
      <c r="K9950" s="230"/>
      <c r="L9950" s="230">
        <f>K9949</f>
        <v>8319.66</v>
      </c>
    </row>
    <row r="9951" spans="1:14" ht="11.25" customHeight="1" x14ac:dyDescent="0.2">
      <c r="A9951" s="221">
        <v>2025</v>
      </c>
      <c r="B9951" s="221">
        <v>11</v>
      </c>
      <c r="C9951" s="221">
        <v>26</v>
      </c>
      <c r="D9951" s="231">
        <f t="shared" si="1160"/>
        <v>45987</v>
      </c>
      <c r="E9951" s="233">
        <f t="shared" ref="E9951:E9952" si="1161">DATE(A9951,B9951,C9951)</f>
        <v>45987</v>
      </c>
      <c r="F9951" s="478" t="s">
        <v>1940</v>
      </c>
      <c r="G9951" s="222" t="s">
        <v>1111</v>
      </c>
      <c r="H9951" s="223"/>
      <c r="I9951" s="223"/>
      <c r="J9951" s="224" t="s">
        <v>961</v>
      </c>
      <c r="K9951" s="225">
        <v>1440354.96</v>
      </c>
      <c r="L9951" s="225"/>
    </row>
    <row r="9952" spans="1:14" ht="11.25" customHeight="1" x14ac:dyDescent="0.2">
      <c r="A9952" s="226">
        <v>2025</v>
      </c>
      <c r="B9952" s="226">
        <v>11</v>
      </c>
      <c r="C9952" s="226">
        <v>26</v>
      </c>
      <c r="D9952" s="232">
        <f t="shared" si="1160"/>
        <v>45987</v>
      </c>
      <c r="E9952" s="234">
        <f t="shared" si="1161"/>
        <v>45987</v>
      </c>
      <c r="F9952" s="479"/>
      <c r="G9952" s="227" t="s">
        <v>1111</v>
      </c>
      <c r="H9952" s="228"/>
      <c r="I9952" s="228"/>
      <c r="J9952" s="229" t="s">
        <v>55</v>
      </c>
      <c r="K9952" s="230"/>
      <c r="L9952" s="230">
        <f>K9951</f>
        <v>1440354.96</v>
      </c>
    </row>
    <row r="9953" spans="1:14" ht="11.25" customHeight="1" x14ac:dyDescent="0.2">
      <c r="A9953" s="221">
        <v>2025</v>
      </c>
      <c r="B9953" s="221">
        <v>11</v>
      </c>
      <c r="C9953" s="221">
        <v>26</v>
      </c>
      <c r="D9953" s="231">
        <f t="shared" si="1160"/>
        <v>45987</v>
      </c>
      <c r="E9953" s="233">
        <f t="shared" ref="E9953:E9967" si="1162">DATE(A9953,B9953,C9953)</f>
        <v>45987</v>
      </c>
      <c r="F9953" s="478" t="s">
        <v>1889</v>
      </c>
      <c r="G9953" s="222" t="s">
        <v>1111</v>
      </c>
      <c r="H9953" s="223"/>
      <c r="I9953" s="223"/>
      <c r="J9953" s="224" t="s">
        <v>961</v>
      </c>
      <c r="K9953" s="225">
        <v>79983.3</v>
      </c>
      <c r="L9953" s="225"/>
    </row>
    <row r="9954" spans="1:14" ht="11.25" customHeight="1" x14ac:dyDescent="0.2">
      <c r="A9954" s="226">
        <v>2025</v>
      </c>
      <c r="B9954" s="226">
        <v>11</v>
      </c>
      <c r="C9954" s="226">
        <v>26</v>
      </c>
      <c r="D9954" s="232">
        <f t="shared" si="1160"/>
        <v>45987</v>
      </c>
      <c r="E9954" s="234">
        <f t="shared" si="1162"/>
        <v>45987</v>
      </c>
      <c r="F9954" s="479"/>
      <c r="G9954" s="227" t="s">
        <v>1111</v>
      </c>
      <c r="H9954" s="228"/>
      <c r="I9954" s="228"/>
      <c r="J9954" s="229" t="s">
        <v>55</v>
      </c>
      <c r="K9954" s="230"/>
      <c r="L9954" s="230">
        <f>K9953</f>
        <v>79983.3</v>
      </c>
    </row>
    <row r="9955" spans="1:14" ht="11.25" customHeight="1" x14ac:dyDescent="0.2">
      <c r="A9955" s="221">
        <v>2025</v>
      </c>
      <c r="B9955" s="221">
        <v>11</v>
      </c>
      <c r="C9955" s="221">
        <v>27</v>
      </c>
      <c r="D9955" s="221">
        <f t="shared" si="1160"/>
        <v>45988</v>
      </c>
      <c r="E9955" s="233">
        <f t="shared" si="1162"/>
        <v>45988</v>
      </c>
      <c r="F9955" s="478" t="s">
        <v>1937</v>
      </c>
      <c r="G9955" s="222" t="s">
        <v>86</v>
      </c>
      <c r="H9955" s="222"/>
      <c r="I9955" s="223"/>
      <c r="J9955" s="224" t="s">
        <v>80</v>
      </c>
      <c r="K9955" s="225">
        <v>107000</v>
      </c>
      <c r="L9955" s="225"/>
      <c r="N9955" s="263"/>
    </row>
    <row r="9956" spans="1:14" ht="11.25" customHeight="1" x14ac:dyDescent="0.2">
      <c r="A9956" s="164">
        <v>2025</v>
      </c>
      <c r="B9956" s="164">
        <v>11</v>
      </c>
      <c r="C9956" s="164">
        <v>27</v>
      </c>
      <c r="D9956" s="164">
        <f t="shared" si="1160"/>
        <v>45988</v>
      </c>
      <c r="E9956" s="235">
        <f t="shared" si="1162"/>
        <v>45988</v>
      </c>
      <c r="F9956" s="480"/>
      <c r="G9956" s="208" t="s">
        <v>86</v>
      </c>
      <c r="H9956" s="208"/>
      <c r="J9956" s="165" t="s">
        <v>960</v>
      </c>
      <c r="K9956" s="205">
        <v>689.4</v>
      </c>
      <c r="L9956" s="205"/>
      <c r="M9956" s="263"/>
      <c r="N9956" s="263"/>
    </row>
    <row r="9957" spans="1:14" ht="11.25" customHeight="1" x14ac:dyDescent="0.2">
      <c r="A9957" s="164">
        <v>2025</v>
      </c>
      <c r="B9957" s="164">
        <v>11</v>
      </c>
      <c r="C9957" s="164">
        <v>27</v>
      </c>
      <c r="D9957" s="164">
        <f t="shared" si="1160"/>
        <v>45988</v>
      </c>
      <c r="E9957" s="235">
        <f t="shared" si="1162"/>
        <v>45988</v>
      </c>
      <c r="F9957" s="480"/>
      <c r="G9957" s="208" t="s">
        <v>86</v>
      </c>
      <c r="H9957" s="208"/>
      <c r="J9957" s="165" t="s">
        <v>199</v>
      </c>
      <c r="K9957" s="263">
        <v>168310.6</v>
      </c>
      <c r="L9957" s="205"/>
      <c r="M9957" s="263"/>
      <c r="N9957" s="263"/>
    </row>
    <row r="9958" spans="1:14" ht="11.25" customHeight="1" x14ac:dyDescent="0.2">
      <c r="A9958" s="164">
        <v>2025</v>
      </c>
      <c r="B9958" s="164">
        <v>11</v>
      </c>
      <c r="C9958" s="164">
        <v>27</v>
      </c>
      <c r="D9958" s="164">
        <f t="shared" si="1160"/>
        <v>45988</v>
      </c>
      <c r="E9958" s="235">
        <f t="shared" si="1162"/>
        <v>45988</v>
      </c>
      <c r="F9958" s="480"/>
      <c r="G9958" s="208" t="s">
        <v>86</v>
      </c>
      <c r="H9958" s="208"/>
      <c r="J9958" s="165" t="s">
        <v>200</v>
      </c>
      <c r="K9958" s="205"/>
      <c r="L9958" s="205">
        <v>9259.9699999999993</v>
      </c>
      <c r="M9958" s="263"/>
      <c r="N9958" s="263"/>
    </row>
    <row r="9959" spans="1:14" ht="11.25" customHeight="1" x14ac:dyDescent="0.2">
      <c r="A9959" s="226">
        <v>2025</v>
      </c>
      <c r="B9959" s="226">
        <v>11</v>
      </c>
      <c r="C9959" s="226">
        <v>27</v>
      </c>
      <c r="D9959" s="226">
        <f t="shared" si="1160"/>
        <v>45988</v>
      </c>
      <c r="E9959" s="234">
        <f t="shared" si="1162"/>
        <v>45988</v>
      </c>
      <c r="F9959" s="479"/>
      <c r="G9959" s="227" t="s">
        <v>86</v>
      </c>
      <c r="H9959" s="228"/>
      <c r="I9959" s="228"/>
      <c r="J9959" s="229" t="s">
        <v>80</v>
      </c>
      <c r="K9959" s="230"/>
      <c r="L9959" s="230">
        <v>266740.03000000003</v>
      </c>
      <c r="M9959" s="263"/>
      <c r="N9959" s="263"/>
    </row>
    <row r="9960" spans="1:14" ht="11.25" customHeight="1" x14ac:dyDescent="0.2">
      <c r="A9960" s="280">
        <v>2025</v>
      </c>
      <c r="B9960" s="280">
        <v>11</v>
      </c>
      <c r="C9960" s="280">
        <v>27</v>
      </c>
      <c r="D9960" s="281">
        <f t="shared" si="1160"/>
        <v>45988</v>
      </c>
      <c r="E9960" s="282">
        <f t="shared" si="1162"/>
        <v>45988</v>
      </c>
      <c r="F9960" s="472" t="s">
        <v>1744</v>
      </c>
      <c r="G9960" s="283" t="s">
        <v>86</v>
      </c>
      <c r="H9960" s="284"/>
      <c r="I9960" s="284"/>
      <c r="J9960" s="285" t="s">
        <v>131</v>
      </c>
      <c r="K9960" s="286">
        <v>19358.330000000002</v>
      </c>
      <c r="L9960" s="286"/>
      <c r="M9960" s="401"/>
    </row>
    <row r="9961" spans="1:14" ht="11.25" customHeight="1" x14ac:dyDescent="0.2">
      <c r="A9961" s="287">
        <v>2025</v>
      </c>
      <c r="B9961" s="287">
        <v>11</v>
      </c>
      <c r="C9961" s="287">
        <v>27</v>
      </c>
      <c r="D9961" s="288">
        <f t="shared" si="1160"/>
        <v>45988</v>
      </c>
      <c r="E9961" s="289">
        <f t="shared" si="1162"/>
        <v>45988</v>
      </c>
      <c r="F9961" s="473"/>
      <c r="G9961" s="290" t="s">
        <v>86</v>
      </c>
      <c r="H9961" s="291"/>
      <c r="I9961" s="291"/>
      <c r="J9961" s="292" t="s">
        <v>174</v>
      </c>
      <c r="K9961" s="293"/>
      <c r="L9961" s="293">
        <f>K9960</f>
        <v>19358.330000000002</v>
      </c>
    </row>
    <row r="9962" spans="1:14" ht="11.25" customHeight="1" x14ac:dyDescent="0.2">
      <c r="A9962" s="280">
        <v>2025</v>
      </c>
      <c r="B9962" s="280">
        <v>11</v>
      </c>
      <c r="C9962" s="280">
        <v>27</v>
      </c>
      <c r="D9962" s="281">
        <f t="shared" si="1160"/>
        <v>45988</v>
      </c>
      <c r="E9962" s="282">
        <f t="shared" si="1162"/>
        <v>45988</v>
      </c>
      <c r="F9962" s="472" t="s">
        <v>1584</v>
      </c>
      <c r="G9962" s="283" t="s">
        <v>86</v>
      </c>
      <c r="H9962" s="284"/>
      <c r="I9962" s="284"/>
      <c r="J9962" s="285" t="s">
        <v>131</v>
      </c>
      <c r="K9962" s="286">
        <v>8846.15</v>
      </c>
      <c r="L9962" s="286"/>
      <c r="M9962" s="401"/>
    </row>
    <row r="9963" spans="1:14" ht="11.25" customHeight="1" x14ac:dyDescent="0.2">
      <c r="A9963" s="287">
        <v>2025</v>
      </c>
      <c r="B9963" s="287">
        <v>11</v>
      </c>
      <c r="C9963" s="287">
        <v>27</v>
      </c>
      <c r="D9963" s="288">
        <f t="shared" si="1160"/>
        <v>45988</v>
      </c>
      <c r="E9963" s="289">
        <f t="shared" si="1162"/>
        <v>45988</v>
      </c>
      <c r="F9963" s="473"/>
      <c r="G9963" s="290" t="s">
        <v>86</v>
      </c>
      <c r="H9963" s="291"/>
      <c r="I9963" s="291"/>
      <c r="J9963" s="292" t="s">
        <v>174</v>
      </c>
      <c r="K9963" s="293"/>
      <c r="L9963" s="293">
        <f>K9962</f>
        <v>8846.15</v>
      </c>
    </row>
    <row r="9964" spans="1:14" ht="11.25" customHeight="1" x14ac:dyDescent="0.2">
      <c r="A9964" s="280">
        <v>2025</v>
      </c>
      <c r="B9964" s="280">
        <v>11</v>
      </c>
      <c r="C9964" s="280">
        <v>27</v>
      </c>
      <c r="D9964" s="281">
        <f t="shared" si="1160"/>
        <v>45988</v>
      </c>
      <c r="E9964" s="282">
        <f t="shared" si="1162"/>
        <v>45988</v>
      </c>
      <c r="F9964" s="472" t="s">
        <v>1955</v>
      </c>
      <c r="G9964" s="283" t="s">
        <v>86</v>
      </c>
      <c r="H9964" s="284"/>
      <c r="I9964" s="284"/>
      <c r="J9964" s="285" t="s">
        <v>1978</v>
      </c>
      <c r="K9964" s="286">
        <v>43298.076923076922</v>
      </c>
      <c r="L9964" s="286"/>
      <c r="M9964" s="401"/>
    </row>
    <row r="9965" spans="1:14" ht="11.25" customHeight="1" x14ac:dyDescent="0.2">
      <c r="A9965" s="287">
        <v>2025</v>
      </c>
      <c r="B9965" s="287">
        <v>11</v>
      </c>
      <c r="C9965" s="287">
        <v>27</v>
      </c>
      <c r="D9965" s="288">
        <f t="shared" si="1160"/>
        <v>45988</v>
      </c>
      <c r="E9965" s="289">
        <f t="shared" si="1162"/>
        <v>45988</v>
      </c>
      <c r="F9965" s="473"/>
      <c r="G9965" s="290" t="s">
        <v>86</v>
      </c>
      <c r="H9965" s="291"/>
      <c r="I9965" s="291"/>
      <c r="J9965" s="292" t="s">
        <v>1955</v>
      </c>
      <c r="K9965" s="293"/>
      <c r="L9965" s="293">
        <f>K9964</f>
        <v>43298.076923076922</v>
      </c>
    </row>
    <row r="9966" spans="1:14" ht="11.25" customHeight="1" x14ac:dyDescent="0.2">
      <c r="A9966" s="341">
        <v>2025</v>
      </c>
      <c r="B9966" s="341">
        <v>11</v>
      </c>
      <c r="C9966" s="341">
        <v>27</v>
      </c>
      <c r="D9966" s="328">
        <f t="shared" si="1160"/>
        <v>45988</v>
      </c>
      <c r="E9966" s="329">
        <f t="shared" si="1162"/>
        <v>45988</v>
      </c>
      <c r="F9966" s="474" t="s">
        <v>1767</v>
      </c>
      <c r="G9966" s="330" t="s">
        <v>86</v>
      </c>
      <c r="H9966" s="332"/>
      <c r="I9966" s="332"/>
      <c r="J9966" s="342" t="s">
        <v>67</v>
      </c>
      <c r="K9966" s="343">
        <v>3929.13</v>
      </c>
      <c r="L9966" s="343"/>
    </row>
    <row r="9967" spans="1:14" ht="11.25" customHeight="1" x14ac:dyDescent="0.2">
      <c r="A9967" s="344">
        <v>2025</v>
      </c>
      <c r="B9967" s="344">
        <v>11</v>
      </c>
      <c r="C9967" s="344">
        <v>27</v>
      </c>
      <c r="D9967" s="337">
        <f t="shared" si="1160"/>
        <v>45988</v>
      </c>
      <c r="E9967" s="338">
        <f t="shared" si="1162"/>
        <v>45988</v>
      </c>
      <c r="F9967" s="475"/>
      <c r="G9967" s="339" t="s">
        <v>86</v>
      </c>
      <c r="H9967" s="340"/>
      <c r="I9967" s="340"/>
      <c r="J9967" s="345" t="s">
        <v>174</v>
      </c>
      <c r="K9967" s="346"/>
      <c r="L9967" s="346">
        <f>K9966</f>
        <v>3929.13</v>
      </c>
    </row>
    <row r="9968" spans="1:14" ht="11.25" customHeight="1" x14ac:dyDescent="0.2">
      <c r="A9968" s="358">
        <v>2025</v>
      </c>
      <c r="B9968" s="358">
        <v>11</v>
      </c>
      <c r="C9968" s="358">
        <v>27</v>
      </c>
      <c r="D9968" s="312">
        <f t="shared" si="1160"/>
        <v>45988</v>
      </c>
      <c r="E9968" s="313">
        <f>DATE(A9968,B9968,C9968)</f>
        <v>45988</v>
      </c>
      <c r="F9968" s="482" t="s">
        <v>1627</v>
      </c>
      <c r="G9968" s="314" t="s">
        <v>86</v>
      </c>
      <c r="H9968" s="324"/>
      <c r="I9968" s="324"/>
      <c r="J9968" s="364" t="s">
        <v>1613</v>
      </c>
      <c r="K9968" s="365">
        <v>0</v>
      </c>
      <c r="L9968" s="365"/>
      <c r="M9968" s="156">
        <f>BS!$I$12</f>
        <v>0</v>
      </c>
    </row>
    <row r="9969" spans="1:14" ht="11.25" customHeight="1" x14ac:dyDescent="0.2">
      <c r="A9969" s="320">
        <v>2025</v>
      </c>
      <c r="B9969" s="320">
        <v>11</v>
      </c>
      <c r="C9969" s="320">
        <v>27</v>
      </c>
      <c r="D9969" s="323">
        <f t="shared" si="1160"/>
        <v>45988</v>
      </c>
      <c r="E9969" s="321">
        <f t="shared" ref="E9969" si="1163">DATE(A9969,B9969,C9969)</f>
        <v>45988</v>
      </c>
      <c r="F9969" s="483"/>
      <c r="G9969" s="322" t="s">
        <v>86</v>
      </c>
      <c r="H9969" s="325"/>
      <c r="I9969" s="325"/>
      <c r="J9969" s="366" t="s">
        <v>1621</v>
      </c>
      <c r="K9969" s="367"/>
      <c r="L9969" s="367">
        <f>K9968</f>
        <v>0</v>
      </c>
    </row>
    <row r="9970" spans="1:14" ht="11.25" customHeight="1" x14ac:dyDescent="0.2">
      <c r="A9970" s="358">
        <v>2025</v>
      </c>
      <c r="B9970" s="358">
        <v>11</v>
      </c>
      <c r="C9970" s="358">
        <v>27</v>
      </c>
      <c r="D9970" s="312">
        <f t="shared" si="1160"/>
        <v>45988</v>
      </c>
      <c r="E9970" s="313">
        <f>DATE(A9970,B9970,C9970)</f>
        <v>45988</v>
      </c>
      <c r="F9970" s="482" t="s">
        <v>1713</v>
      </c>
      <c r="G9970" s="314" t="s">
        <v>86</v>
      </c>
      <c r="H9970" s="324"/>
      <c r="I9970" s="324"/>
      <c r="J9970" s="364" t="s">
        <v>1622</v>
      </c>
      <c r="K9970" s="365">
        <v>1367.3730000002543</v>
      </c>
      <c r="L9970" s="365"/>
      <c r="M9970" s="447">
        <f>BS!$I$15</f>
        <v>0</v>
      </c>
      <c r="N9970" s="166"/>
    </row>
    <row r="9971" spans="1:14" ht="11.25" customHeight="1" x14ac:dyDescent="0.2">
      <c r="A9971" s="320">
        <v>2025</v>
      </c>
      <c r="B9971" s="320">
        <v>11</v>
      </c>
      <c r="C9971" s="320">
        <v>27</v>
      </c>
      <c r="D9971" s="323">
        <f t="shared" si="1160"/>
        <v>45988</v>
      </c>
      <c r="E9971" s="321">
        <f t="shared" ref="E9971:E9996" si="1164">DATE(A9971,B9971,C9971)</f>
        <v>45988</v>
      </c>
      <c r="F9971" s="483"/>
      <c r="G9971" s="322" t="s">
        <v>86</v>
      </c>
      <c r="H9971" s="325"/>
      <c r="I9971" s="325"/>
      <c r="J9971" s="366" t="s">
        <v>1614</v>
      </c>
      <c r="K9971" s="367"/>
      <c r="L9971" s="367">
        <f>K9970</f>
        <v>1367.3730000002543</v>
      </c>
    </row>
    <row r="9972" spans="1:14" ht="11.25" customHeight="1" x14ac:dyDescent="0.2">
      <c r="A9972" s="236">
        <v>2025</v>
      </c>
      <c r="B9972" s="236">
        <v>11</v>
      </c>
      <c r="C9972" s="236">
        <v>27</v>
      </c>
      <c r="D9972" s="237">
        <f t="shared" si="1160"/>
        <v>45988</v>
      </c>
      <c r="E9972" s="238">
        <f t="shared" si="1164"/>
        <v>45988</v>
      </c>
      <c r="F9972" s="476" t="s">
        <v>1118</v>
      </c>
      <c r="G9972" s="239" t="s">
        <v>86</v>
      </c>
      <c r="H9972" s="239"/>
      <c r="I9972" s="240"/>
      <c r="J9972" s="241" t="s">
        <v>98</v>
      </c>
      <c r="K9972" s="242">
        <v>3423961.3799999356</v>
      </c>
      <c r="L9972" s="242"/>
      <c r="M9972" s="156">
        <f>BS!$I$8</f>
        <v>0</v>
      </c>
    </row>
    <row r="9973" spans="1:14" ht="11.25" customHeight="1" x14ac:dyDescent="0.2">
      <c r="A9973" s="243">
        <v>2025</v>
      </c>
      <c r="B9973" s="243">
        <v>11</v>
      </c>
      <c r="C9973" s="243">
        <v>27</v>
      </c>
      <c r="D9973" s="248">
        <f t="shared" si="1160"/>
        <v>45988</v>
      </c>
      <c r="E9973" s="249">
        <f t="shared" si="1164"/>
        <v>45988</v>
      </c>
      <c r="F9973" s="477"/>
      <c r="G9973" s="244" t="s">
        <v>86</v>
      </c>
      <c r="H9973" s="244"/>
      <c r="I9973" s="245"/>
      <c r="J9973" s="246" t="s">
        <v>82</v>
      </c>
      <c r="K9973" s="247"/>
      <c r="L9973" s="247">
        <f>K9972</f>
        <v>3423961.3799999356</v>
      </c>
    </row>
    <row r="9974" spans="1:14" ht="11.25" customHeight="1" x14ac:dyDescent="0.2">
      <c r="A9974" s="236">
        <v>2025</v>
      </c>
      <c r="B9974" s="236">
        <v>11</v>
      </c>
      <c r="C9974" s="236">
        <v>27</v>
      </c>
      <c r="D9974" s="237">
        <f t="shared" si="1160"/>
        <v>45988</v>
      </c>
      <c r="E9974" s="238">
        <f t="shared" si="1164"/>
        <v>45988</v>
      </c>
      <c r="F9974" s="476" t="s">
        <v>1120</v>
      </c>
      <c r="G9974" s="239" t="s">
        <v>86</v>
      </c>
      <c r="H9974" s="239"/>
      <c r="I9974" s="240"/>
      <c r="J9974" s="241" t="s">
        <v>87</v>
      </c>
      <c r="K9974" s="242">
        <v>2747.2527472527472</v>
      </c>
      <c r="L9974" s="242"/>
      <c r="M9974" s="401"/>
    </row>
    <row r="9975" spans="1:14" ht="11.25" customHeight="1" x14ac:dyDescent="0.2">
      <c r="A9975" s="243">
        <v>2025</v>
      </c>
      <c r="B9975" s="243">
        <v>11</v>
      </c>
      <c r="C9975" s="243">
        <v>27</v>
      </c>
      <c r="D9975" s="248">
        <f t="shared" si="1160"/>
        <v>45988</v>
      </c>
      <c r="E9975" s="249">
        <f t="shared" si="1164"/>
        <v>45988</v>
      </c>
      <c r="F9975" s="477"/>
      <c r="G9975" s="244" t="s">
        <v>86</v>
      </c>
      <c r="H9975" s="244"/>
      <c r="I9975" s="245"/>
      <c r="J9975" s="246" t="s">
        <v>64</v>
      </c>
      <c r="K9975" s="247"/>
      <c r="L9975" s="247">
        <f>K9974</f>
        <v>2747.2527472527472</v>
      </c>
    </row>
    <row r="9976" spans="1:14" ht="11.25" customHeight="1" x14ac:dyDescent="0.2">
      <c r="A9976" s="236">
        <v>2025</v>
      </c>
      <c r="B9976" s="236">
        <v>11</v>
      </c>
      <c r="C9976" s="236">
        <v>27</v>
      </c>
      <c r="D9976" s="237">
        <f t="shared" si="1160"/>
        <v>45988</v>
      </c>
      <c r="E9976" s="238">
        <f t="shared" si="1164"/>
        <v>45988</v>
      </c>
      <c r="F9976" s="476" t="s">
        <v>1121</v>
      </c>
      <c r="G9976" s="239" t="s">
        <v>86</v>
      </c>
      <c r="H9976" s="239"/>
      <c r="I9976" s="240"/>
      <c r="J9976" s="241" t="s">
        <v>89</v>
      </c>
      <c r="K9976" s="242">
        <f>M9976</f>
        <v>92957.153398719864</v>
      </c>
      <c r="L9976" s="242"/>
      <c r="M9976" s="156">
        <v>92957.153398719864</v>
      </c>
    </row>
    <row r="9977" spans="1:14" ht="11.25" customHeight="1" x14ac:dyDescent="0.2">
      <c r="A9977" s="243">
        <v>2025</v>
      </c>
      <c r="B9977" s="243">
        <v>11</v>
      </c>
      <c r="C9977" s="243">
        <v>27</v>
      </c>
      <c r="D9977" s="248">
        <f t="shared" si="1160"/>
        <v>45988</v>
      </c>
      <c r="E9977" s="249">
        <f t="shared" si="1164"/>
        <v>45988</v>
      </c>
      <c r="F9977" s="477"/>
      <c r="G9977" s="244" t="s">
        <v>86</v>
      </c>
      <c r="H9977" s="244"/>
      <c r="I9977" s="245"/>
      <c r="J9977" s="246" t="s">
        <v>50</v>
      </c>
      <c r="K9977" s="247"/>
      <c r="L9977" s="247">
        <f>K9976</f>
        <v>92957.153398719864</v>
      </c>
      <c r="M9977" s="156">
        <v>4407.4730545513776</v>
      </c>
    </row>
    <row r="9978" spans="1:14" ht="11.25" customHeight="1" x14ac:dyDescent="0.2">
      <c r="A9978" s="236">
        <v>2025</v>
      </c>
      <c r="B9978" s="236">
        <v>11</v>
      </c>
      <c r="C9978" s="236">
        <v>27</v>
      </c>
      <c r="D9978" s="237">
        <f t="shared" si="1160"/>
        <v>45988</v>
      </c>
      <c r="E9978" s="238">
        <f t="shared" si="1164"/>
        <v>45988</v>
      </c>
      <c r="F9978" s="476" t="s">
        <v>1122</v>
      </c>
      <c r="G9978" s="239" t="s">
        <v>86</v>
      </c>
      <c r="H9978" s="239"/>
      <c r="I9978" s="240"/>
      <c r="J9978" s="241" t="s">
        <v>91</v>
      </c>
      <c r="K9978" s="242">
        <f>M9977</f>
        <v>4407.4730545513776</v>
      </c>
      <c r="L9978" s="242"/>
    </row>
    <row r="9979" spans="1:14" ht="11.25" customHeight="1" x14ac:dyDescent="0.2">
      <c r="A9979" s="243">
        <v>2025</v>
      </c>
      <c r="B9979" s="243">
        <v>11</v>
      </c>
      <c r="C9979" s="243">
        <v>27</v>
      </c>
      <c r="D9979" s="248">
        <f t="shared" si="1160"/>
        <v>45988</v>
      </c>
      <c r="E9979" s="249">
        <f t="shared" si="1164"/>
        <v>45988</v>
      </c>
      <c r="F9979" s="477"/>
      <c r="G9979" s="244" t="s">
        <v>86</v>
      </c>
      <c r="H9979" s="244"/>
      <c r="I9979" s="245"/>
      <c r="J9979" s="246" t="s">
        <v>51</v>
      </c>
      <c r="K9979" s="247"/>
      <c r="L9979" s="247">
        <f>K9978</f>
        <v>4407.4730545513776</v>
      </c>
    </row>
    <row r="9980" spans="1:14" ht="11.25" customHeight="1" x14ac:dyDescent="0.2">
      <c r="A9980" s="221">
        <v>2025</v>
      </c>
      <c r="B9980" s="221">
        <v>11</v>
      </c>
      <c r="C9980" s="221">
        <v>30</v>
      </c>
      <c r="D9980" s="231">
        <f t="shared" si="1160"/>
        <v>45991</v>
      </c>
      <c r="E9980" s="233">
        <f t="shared" si="1164"/>
        <v>45991</v>
      </c>
      <c r="F9980" s="478" t="s">
        <v>1945</v>
      </c>
      <c r="G9980" s="222" t="s">
        <v>1111</v>
      </c>
      <c r="H9980" s="223"/>
      <c r="I9980" s="223"/>
      <c r="J9980" s="224" t="s">
        <v>55</v>
      </c>
      <c r="K9980" s="225">
        <v>164121.64000000001</v>
      </c>
      <c r="L9980" s="225"/>
    </row>
    <row r="9981" spans="1:14" ht="11.25" customHeight="1" x14ac:dyDescent="0.2">
      <c r="A9981" s="226">
        <v>2025</v>
      </c>
      <c r="B9981" s="226">
        <v>11</v>
      </c>
      <c r="C9981" s="226">
        <v>30</v>
      </c>
      <c r="D9981" s="232">
        <f t="shared" si="1160"/>
        <v>45991</v>
      </c>
      <c r="E9981" s="234">
        <f t="shared" si="1164"/>
        <v>45991</v>
      </c>
      <c r="F9981" s="479"/>
      <c r="G9981" s="227" t="s">
        <v>1111</v>
      </c>
      <c r="H9981" s="228"/>
      <c r="I9981" s="228"/>
      <c r="J9981" s="229" t="s">
        <v>199</v>
      </c>
      <c r="K9981" s="230"/>
      <c r="L9981" s="230">
        <f>K9980</f>
        <v>164121.64000000001</v>
      </c>
    </row>
    <row r="9982" spans="1:14" ht="11.25" customHeight="1" x14ac:dyDescent="0.2">
      <c r="A9982" s="221">
        <v>2025</v>
      </c>
      <c r="B9982" s="221">
        <v>11</v>
      </c>
      <c r="C9982" s="221">
        <v>30</v>
      </c>
      <c r="D9982" s="231">
        <f t="shared" si="1160"/>
        <v>45991</v>
      </c>
      <c r="E9982" s="233">
        <f t="shared" si="1164"/>
        <v>45991</v>
      </c>
      <c r="F9982" s="478" t="s">
        <v>1965</v>
      </c>
      <c r="G9982" s="222" t="s">
        <v>1111</v>
      </c>
      <c r="H9982" s="223"/>
      <c r="I9982" s="223"/>
      <c r="J9982" s="224" t="s">
        <v>95</v>
      </c>
      <c r="K9982" s="225">
        <v>92000</v>
      </c>
      <c r="L9982" s="225" t="s">
        <v>1119</v>
      </c>
    </row>
    <row r="9983" spans="1:14" ht="11.25" customHeight="1" x14ac:dyDescent="0.2">
      <c r="A9983" s="226">
        <v>2025</v>
      </c>
      <c r="B9983" s="226">
        <v>11</v>
      </c>
      <c r="C9983" s="226">
        <v>30</v>
      </c>
      <c r="D9983" s="232">
        <f t="shared" si="1160"/>
        <v>45991</v>
      </c>
      <c r="E9983" s="234">
        <f t="shared" si="1164"/>
        <v>45991</v>
      </c>
      <c r="F9983" s="479"/>
      <c r="G9983" s="227" t="s">
        <v>1111</v>
      </c>
      <c r="H9983" s="228"/>
      <c r="I9983" s="228"/>
      <c r="J9983" s="229" t="s">
        <v>55</v>
      </c>
      <c r="K9983" s="230" t="s">
        <v>1119</v>
      </c>
      <c r="L9983" s="230">
        <v>92000</v>
      </c>
    </row>
    <row r="9984" spans="1:14" ht="11.25" customHeight="1" x14ac:dyDescent="0.2">
      <c r="A9984" s="221">
        <v>2025</v>
      </c>
      <c r="B9984" s="221">
        <v>11</v>
      </c>
      <c r="C9984" s="221">
        <v>30</v>
      </c>
      <c r="D9984" s="221">
        <f t="shared" si="1160"/>
        <v>45991</v>
      </c>
      <c r="E9984" s="233">
        <f t="shared" si="1164"/>
        <v>45991</v>
      </c>
      <c r="F9984" s="478" t="s">
        <v>1937</v>
      </c>
      <c r="G9984" s="222" t="s">
        <v>86</v>
      </c>
      <c r="H9984" s="222"/>
      <c r="I9984" s="223"/>
      <c r="J9984" s="224" t="s">
        <v>80</v>
      </c>
      <c r="K9984" s="225">
        <v>106500</v>
      </c>
      <c r="L9984" s="225"/>
      <c r="N9984" s="263"/>
    </row>
    <row r="9985" spans="1:14" ht="11.25" customHeight="1" x14ac:dyDescent="0.2">
      <c r="A9985" s="164">
        <v>2025</v>
      </c>
      <c r="B9985" s="164">
        <v>11</v>
      </c>
      <c r="C9985" s="164">
        <v>30</v>
      </c>
      <c r="D9985" s="164">
        <f t="shared" si="1160"/>
        <v>45991</v>
      </c>
      <c r="E9985" s="235">
        <f t="shared" si="1164"/>
        <v>45991</v>
      </c>
      <c r="F9985" s="480"/>
      <c r="G9985" s="208" t="s">
        <v>86</v>
      </c>
      <c r="H9985" s="208"/>
      <c r="J9985" s="165" t="s">
        <v>960</v>
      </c>
      <c r="K9985" s="205">
        <v>3338.76</v>
      </c>
      <c r="L9985" s="205"/>
      <c r="M9985" s="263"/>
      <c r="N9985" s="263"/>
    </row>
    <row r="9986" spans="1:14" ht="11.25" customHeight="1" x14ac:dyDescent="0.2">
      <c r="A9986" s="164">
        <v>2025</v>
      </c>
      <c r="B9986" s="164">
        <v>11</v>
      </c>
      <c r="C9986" s="164">
        <v>30</v>
      </c>
      <c r="D9986" s="164">
        <f t="shared" si="1160"/>
        <v>45991</v>
      </c>
      <c r="E9986" s="235">
        <f t="shared" si="1164"/>
        <v>45991</v>
      </c>
      <c r="F9986" s="480"/>
      <c r="G9986" s="208" t="s">
        <v>86</v>
      </c>
      <c r="H9986" s="208"/>
      <c r="J9986" s="165" t="s">
        <v>199</v>
      </c>
      <c r="K9986" s="263">
        <v>1638526.64</v>
      </c>
      <c r="L9986" s="205"/>
      <c r="M9986" s="263"/>
      <c r="N9986" s="263"/>
    </row>
    <row r="9987" spans="1:14" ht="11.25" customHeight="1" x14ac:dyDescent="0.2">
      <c r="A9987" s="164">
        <v>2025</v>
      </c>
      <c r="B9987" s="164">
        <v>11</v>
      </c>
      <c r="C9987" s="164">
        <v>30</v>
      </c>
      <c r="D9987" s="164">
        <f t="shared" si="1160"/>
        <v>45991</v>
      </c>
      <c r="E9987" s="235">
        <f t="shared" si="1164"/>
        <v>45991</v>
      </c>
      <c r="F9987" s="480"/>
      <c r="G9987" s="208" t="s">
        <v>86</v>
      </c>
      <c r="H9987" s="208"/>
      <c r="J9987" s="165" t="s">
        <v>200</v>
      </c>
      <c r="K9987" s="205"/>
      <c r="L9987" s="205">
        <v>115145.74</v>
      </c>
      <c r="M9987" s="263"/>
      <c r="N9987" s="263"/>
    </row>
    <row r="9988" spans="1:14" ht="11.25" customHeight="1" x14ac:dyDescent="0.2">
      <c r="A9988" s="226">
        <v>2025</v>
      </c>
      <c r="B9988" s="226">
        <v>11</v>
      </c>
      <c r="C9988" s="226">
        <v>30</v>
      </c>
      <c r="D9988" s="226">
        <f t="shared" si="1160"/>
        <v>45991</v>
      </c>
      <c r="E9988" s="234">
        <f t="shared" si="1164"/>
        <v>45991</v>
      </c>
      <c r="F9988" s="479"/>
      <c r="G9988" s="227" t="s">
        <v>86</v>
      </c>
      <c r="H9988" s="228"/>
      <c r="I9988" s="228"/>
      <c r="J9988" s="229" t="s">
        <v>80</v>
      </c>
      <c r="K9988" s="230"/>
      <c r="L9988" s="230">
        <v>1633219.66</v>
      </c>
      <c r="M9988" s="263"/>
      <c r="N9988" s="263"/>
    </row>
    <row r="9989" spans="1:14" ht="11.25" customHeight="1" x14ac:dyDescent="0.2">
      <c r="A9989" s="280">
        <v>2025</v>
      </c>
      <c r="B9989" s="280">
        <v>11</v>
      </c>
      <c r="C9989" s="280">
        <v>30</v>
      </c>
      <c r="D9989" s="281">
        <f t="shared" si="1160"/>
        <v>45991</v>
      </c>
      <c r="E9989" s="282">
        <f t="shared" si="1164"/>
        <v>45991</v>
      </c>
      <c r="F9989" s="472" t="s">
        <v>1744</v>
      </c>
      <c r="G9989" s="283" t="s">
        <v>86</v>
      </c>
      <c r="H9989" s="284"/>
      <c r="I9989" s="284"/>
      <c r="J9989" s="285" t="s">
        <v>131</v>
      </c>
      <c r="K9989" s="286">
        <v>2765.4757142857147</v>
      </c>
      <c r="L9989" s="286"/>
      <c r="M9989" s="401">
        <f>K9989/7</f>
        <v>395.06795918367351</v>
      </c>
    </row>
    <row r="9990" spans="1:14" ht="11.25" customHeight="1" x14ac:dyDescent="0.2">
      <c r="A9990" s="287">
        <v>2025</v>
      </c>
      <c r="B9990" s="287">
        <v>11</v>
      </c>
      <c r="C9990" s="287">
        <v>30</v>
      </c>
      <c r="D9990" s="288">
        <f t="shared" si="1160"/>
        <v>45991</v>
      </c>
      <c r="E9990" s="289">
        <f t="shared" si="1164"/>
        <v>45991</v>
      </c>
      <c r="F9990" s="473"/>
      <c r="G9990" s="290" t="s">
        <v>86</v>
      </c>
      <c r="H9990" s="291"/>
      <c r="I9990" s="291"/>
      <c r="J9990" s="292" t="s">
        <v>174</v>
      </c>
      <c r="K9990" s="293"/>
      <c r="L9990" s="293">
        <f>K9989</f>
        <v>2765.4757142857147</v>
      </c>
    </row>
    <row r="9991" spans="1:14" ht="11.25" customHeight="1" x14ac:dyDescent="0.2">
      <c r="A9991" s="280">
        <v>2025</v>
      </c>
      <c r="B9991" s="280">
        <v>11</v>
      </c>
      <c r="C9991" s="280">
        <v>30</v>
      </c>
      <c r="D9991" s="281">
        <f t="shared" si="1160"/>
        <v>45991</v>
      </c>
      <c r="E9991" s="282">
        <f t="shared" si="1164"/>
        <v>45991</v>
      </c>
      <c r="F9991" s="472" t="s">
        <v>1584</v>
      </c>
      <c r="G9991" s="283" t="s">
        <v>86</v>
      </c>
      <c r="H9991" s="284"/>
      <c r="I9991" s="284"/>
      <c r="J9991" s="285" t="s">
        <v>131</v>
      </c>
      <c r="K9991" s="286">
        <v>1263.7357142857143</v>
      </c>
      <c r="L9991" s="286"/>
      <c r="M9991" s="401">
        <f>K9991/7</f>
        <v>180.53367346938776</v>
      </c>
    </row>
    <row r="9992" spans="1:14" ht="11.25" customHeight="1" x14ac:dyDescent="0.2">
      <c r="A9992" s="287">
        <v>2025</v>
      </c>
      <c r="B9992" s="287">
        <v>11</v>
      </c>
      <c r="C9992" s="287">
        <v>30</v>
      </c>
      <c r="D9992" s="288">
        <f t="shared" si="1160"/>
        <v>45991</v>
      </c>
      <c r="E9992" s="289">
        <f t="shared" si="1164"/>
        <v>45991</v>
      </c>
      <c r="F9992" s="473"/>
      <c r="G9992" s="290" t="s">
        <v>86</v>
      </c>
      <c r="H9992" s="291"/>
      <c r="I9992" s="291"/>
      <c r="J9992" s="292" t="s">
        <v>174</v>
      </c>
      <c r="K9992" s="293"/>
      <c r="L9992" s="293">
        <f>K9991</f>
        <v>1263.7357142857143</v>
      </c>
    </row>
    <row r="9993" spans="1:14" ht="11.25" customHeight="1" x14ac:dyDescent="0.2">
      <c r="A9993" s="280">
        <v>2025</v>
      </c>
      <c r="B9993" s="280">
        <v>11</v>
      </c>
      <c r="C9993" s="280">
        <v>30</v>
      </c>
      <c r="D9993" s="281">
        <f t="shared" ref="D9993:D10056" si="1165">DATE(A9993,B9993,C9993)</f>
        <v>45991</v>
      </c>
      <c r="E9993" s="282">
        <f t="shared" si="1164"/>
        <v>45991</v>
      </c>
      <c r="F9993" s="472" t="s">
        <v>1955</v>
      </c>
      <c r="G9993" s="283" t="s">
        <v>86</v>
      </c>
      <c r="H9993" s="284"/>
      <c r="I9993" s="284"/>
      <c r="J9993" s="285" t="s">
        <v>1978</v>
      </c>
      <c r="K9993" s="286">
        <v>6185.4395604395604</v>
      </c>
      <c r="L9993" s="286"/>
      <c r="M9993" s="401">
        <f>K9993/7</f>
        <v>883.6342229199372</v>
      </c>
    </row>
    <row r="9994" spans="1:14" ht="11.25" customHeight="1" x14ac:dyDescent="0.2">
      <c r="A9994" s="287">
        <v>2025</v>
      </c>
      <c r="B9994" s="287">
        <v>11</v>
      </c>
      <c r="C9994" s="287">
        <v>30</v>
      </c>
      <c r="D9994" s="288">
        <f t="shared" si="1165"/>
        <v>45991</v>
      </c>
      <c r="E9994" s="289">
        <f t="shared" si="1164"/>
        <v>45991</v>
      </c>
      <c r="F9994" s="473"/>
      <c r="G9994" s="290" t="s">
        <v>86</v>
      </c>
      <c r="H9994" s="291"/>
      <c r="I9994" s="291"/>
      <c r="J9994" s="292" t="s">
        <v>1955</v>
      </c>
      <c r="K9994" s="293"/>
      <c r="L9994" s="293">
        <f>K9993</f>
        <v>6185.4395604395604</v>
      </c>
    </row>
    <row r="9995" spans="1:14" ht="11.25" customHeight="1" x14ac:dyDescent="0.2">
      <c r="A9995" s="341">
        <v>2025</v>
      </c>
      <c r="B9995" s="341">
        <v>11</v>
      </c>
      <c r="C9995" s="341">
        <v>30</v>
      </c>
      <c r="D9995" s="328">
        <f t="shared" si="1165"/>
        <v>45991</v>
      </c>
      <c r="E9995" s="329">
        <f t="shared" si="1164"/>
        <v>45991</v>
      </c>
      <c r="F9995" s="474" t="s">
        <v>1767</v>
      </c>
      <c r="G9995" s="330" t="s">
        <v>86</v>
      </c>
      <c r="H9995" s="332"/>
      <c r="I9995" s="332"/>
      <c r="J9995" s="342" t="s">
        <v>67</v>
      </c>
      <c r="K9995" s="343">
        <v>438.87</v>
      </c>
      <c r="L9995" s="343"/>
    </row>
    <row r="9996" spans="1:14" ht="11.25" customHeight="1" x14ac:dyDescent="0.2">
      <c r="A9996" s="344">
        <v>2025</v>
      </c>
      <c r="B9996" s="344">
        <v>11</v>
      </c>
      <c r="C9996" s="344">
        <v>30</v>
      </c>
      <c r="D9996" s="337">
        <f t="shared" si="1165"/>
        <v>45991</v>
      </c>
      <c r="E9996" s="338">
        <f t="shared" si="1164"/>
        <v>45991</v>
      </c>
      <c r="F9996" s="475"/>
      <c r="G9996" s="339" t="s">
        <v>86</v>
      </c>
      <c r="H9996" s="340"/>
      <c r="I9996" s="340"/>
      <c r="J9996" s="345" t="s">
        <v>174</v>
      </c>
      <c r="K9996" s="346"/>
      <c r="L9996" s="346">
        <f>K9995</f>
        <v>438.87</v>
      </c>
    </row>
    <row r="9997" spans="1:14" ht="11.25" customHeight="1" x14ac:dyDescent="0.2">
      <c r="A9997" s="358">
        <v>2025</v>
      </c>
      <c r="B9997" s="358">
        <v>11</v>
      </c>
      <c r="C9997" s="358">
        <v>30</v>
      </c>
      <c r="D9997" s="312">
        <f t="shared" si="1165"/>
        <v>45991</v>
      </c>
      <c r="E9997" s="313">
        <f>DATE(A9997,B9997,C9997)</f>
        <v>45991</v>
      </c>
      <c r="F9997" s="482" t="s">
        <v>1627</v>
      </c>
      <c r="G9997" s="314" t="s">
        <v>86</v>
      </c>
      <c r="H9997" s="324"/>
      <c r="I9997" s="324"/>
      <c r="J9997" s="364" t="s">
        <v>1613</v>
      </c>
      <c r="K9997" s="365"/>
      <c r="L9997" s="365"/>
      <c r="M9997" s="156">
        <f>BS!$I$12</f>
        <v>0</v>
      </c>
    </row>
    <row r="9998" spans="1:14" ht="11.25" customHeight="1" x14ac:dyDescent="0.2">
      <c r="A9998" s="320">
        <v>2025</v>
      </c>
      <c r="B9998" s="320">
        <v>11</v>
      </c>
      <c r="C9998" s="320">
        <v>30</v>
      </c>
      <c r="D9998" s="323">
        <f t="shared" si="1165"/>
        <v>45991</v>
      </c>
      <c r="E9998" s="321">
        <f t="shared" ref="E9998" si="1166">DATE(A9998,B9998,C9998)</f>
        <v>45991</v>
      </c>
      <c r="F9998" s="483"/>
      <c r="G9998" s="322" t="s">
        <v>86</v>
      </c>
      <c r="H9998" s="325"/>
      <c r="I9998" s="325"/>
      <c r="J9998" s="366" t="s">
        <v>1621</v>
      </c>
      <c r="K9998" s="367"/>
      <c r="L9998" s="367">
        <f>K9997</f>
        <v>0</v>
      </c>
    </row>
    <row r="9999" spans="1:14" ht="11.25" customHeight="1" x14ac:dyDescent="0.2">
      <c r="A9999" s="358">
        <v>2025</v>
      </c>
      <c r="B9999" s="358">
        <v>11</v>
      </c>
      <c r="C9999" s="358">
        <v>30</v>
      </c>
      <c r="D9999" s="312">
        <f t="shared" si="1165"/>
        <v>45991</v>
      </c>
      <c r="E9999" s="313">
        <f>DATE(A9999,B9999,C9999)</f>
        <v>45991</v>
      </c>
      <c r="F9999" s="482" t="s">
        <v>1713</v>
      </c>
      <c r="G9999" s="314" t="s">
        <v>86</v>
      </c>
      <c r="H9999" s="324"/>
      <c r="I9999" s="324"/>
      <c r="J9999" s="364" t="s">
        <v>1622</v>
      </c>
      <c r="K9999" s="365">
        <v>195.9369999995688</v>
      </c>
      <c r="L9999" s="365"/>
      <c r="M9999" s="447">
        <f>BS!$I$15</f>
        <v>0</v>
      </c>
      <c r="N9999" s="166"/>
    </row>
    <row r="10000" spans="1:14" ht="11.25" customHeight="1" x14ac:dyDescent="0.2">
      <c r="A10000" s="320">
        <v>2025</v>
      </c>
      <c r="B10000" s="320">
        <v>11</v>
      </c>
      <c r="C10000" s="320">
        <v>30</v>
      </c>
      <c r="D10000" s="323">
        <f t="shared" si="1165"/>
        <v>45991</v>
      </c>
      <c r="E10000" s="321">
        <f t="shared" ref="E10000:E10028" si="1167">DATE(A10000,B10000,C10000)</f>
        <v>45991</v>
      </c>
      <c r="F10000" s="483"/>
      <c r="G10000" s="322" t="s">
        <v>86</v>
      </c>
      <c r="H10000" s="325"/>
      <c r="I10000" s="325"/>
      <c r="J10000" s="366" t="s">
        <v>1614</v>
      </c>
      <c r="K10000" s="367"/>
      <c r="L10000" s="367">
        <f>K9999</f>
        <v>195.9369999995688</v>
      </c>
    </row>
    <row r="10001" spans="1:14" ht="11.25" customHeight="1" x14ac:dyDescent="0.2">
      <c r="A10001" s="236">
        <v>2025</v>
      </c>
      <c r="B10001" s="236">
        <v>11</v>
      </c>
      <c r="C10001" s="236">
        <v>30</v>
      </c>
      <c r="D10001" s="237">
        <f t="shared" si="1165"/>
        <v>45991</v>
      </c>
      <c r="E10001" s="238">
        <f t="shared" si="1167"/>
        <v>45991</v>
      </c>
      <c r="F10001" s="476" t="s">
        <v>1118</v>
      </c>
      <c r="G10001" s="239" t="s">
        <v>86</v>
      </c>
      <c r="H10001" s="239"/>
      <c r="I10001" s="240"/>
      <c r="J10001" s="241" t="s">
        <v>82</v>
      </c>
      <c r="K10001" s="242">
        <v>755245.78000000119</v>
      </c>
      <c r="L10001" s="242"/>
      <c r="M10001" s="156">
        <f>BS!$I$8</f>
        <v>0</v>
      </c>
    </row>
    <row r="10002" spans="1:14" ht="11.25" customHeight="1" x14ac:dyDescent="0.2">
      <c r="A10002" s="243">
        <v>2025</v>
      </c>
      <c r="B10002" s="243">
        <v>11</v>
      </c>
      <c r="C10002" s="243">
        <v>30</v>
      </c>
      <c r="D10002" s="248">
        <f t="shared" si="1165"/>
        <v>45991</v>
      </c>
      <c r="E10002" s="249">
        <f t="shared" si="1167"/>
        <v>45991</v>
      </c>
      <c r="F10002" s="477"/>
      <c r="G10002" s="244" t="s">
        <v>86</v>
      </c>
      <c r="H10002" s="244"/>
      <c r="I10002" s="245"/>
      <c r="J10002" s="246" t="s">
        <v>98</v>
      </c>
      <c r="K10002" s="247"/>
      <c r="L10002" s="247">
        <f>K10001</f>
        <v>755245.78000000119</v>
      </c>
    </row>
    <row r="10003" spans="1:14" ht="11.25" customHeight="1" x14ac:dyDescent="0.2">
      <c r="A10003" s="236">
        <v>2025</v>
      </c>
      <c r="B10003" s="236">
        <v>11</v>
      </c>
      <c r="C10003" s="236">
        <v>30</v>
      </c>
      <c r="D10003" s="237">
        <f t="shared" si="1165"/>
        <v>45991</v>
      </c>
      <c r="E10003" s="238">
        <f t="shared" si="1167"/>
        <v>45991</v>
      </c>
      <c r="F10003" s="476" t="s">
        <v>1120</v>
      </c>
      <c r="G10003" s="239" t="s">
        <v>86</v>
      </c>
      <c r="H10003" s="239"/>
      <c r="I10003" s="240"/>
      <c r="J10003" s="241" t="s">
        <v>87</v>
      </c>
      <c r="K10003" s="242">
        <v>392.46467817896388</v>
      </c>
      <c r="L10003" s="242"/>
      <c r="M10003" s="401"/>
    </row>
    <row r="10004" spans="1:14" ht="11.25" customHeight="1" x14ac:dyDescent="0.2">
      <c r="A10004" s="243">
        <v>2025</v>
      </c>
      <c r="B10004" s="243">
        <v>11</v>
      </c>
      <c r="C10004" s="243">
        <v>30</v>
      </c>
      <c r="D10004" s="248">
        <f t="shared" si="1165"/>
        <v>45991</v>
      </c>
      <c r="E10004" s="249">
        <f t="shared" si="1167"/>
        <v>45991</v>
      </c>
      <c r="F10004" s="477"/>
      <c r="G10004" s="244" t="s">
        <v>86</v>
      </c>
      <c r="H10004" s="244"/>
      <c r="I10004" s="245"/>
      <c r="J10004" s="246" t="s">
        <v>64</v>
      </c>
      <c r="K10004" s="247"/>
      <c r="L10004" s="247">
        <f>K10003</f>
        <v>392.46467817896388</v>
      </c>
    </row>
    <row r="10005" spans="1:14" ht="11.25" customHeight="1" x14ac:dyDescent="0.2">
      <c r="A10005" s="236">
        <v>2025</v>
      </c>
      <c r="B10005" s="236">
        <v>11</v>
      </c>
      <c r="C10005" s="236">
        <v>30</v>
      </c>
      <c r="D10005" s="237">
        <f t="shared" si="1165"/>
        <v>45991</v>
      </c>
      <c r="E10005" s="238">
        <f t="shared" si="1167"/>
        <v>45991</v>
      </c>
      <c r="F10005" s="476" t="s">
        <v>1121</v>
      </c>
      <c r="G10005" s="239" t="s">
        <v>86</v>
      </c>
      <c r="H10005" s="239"/>
      <c r="I10005" s="240"/>
      <c r="J10005" s="241" t="s">
        <v>89</v>
      </c>
      <c r="K10005" s="242">
        <f>M10005</f>
        <v>13277.058080773402</v>
      </c>
      <c r="L10005" s="242"/>
      <c r="M10005" s="156">
        <v>13277.058080773402</v>
      </c>
    </row>
    <row r="10006" spans="1:14" ht="11.25" customHeight="1" x14ac:dyDescent="0.2">
      <c r="A10006" s="243">
        <v>2025</v>
      </c>
      <c r="B10006" s="243">
        <v>11</v>
      </c>
      <c r="C10006" s="243">
        <v>30</v>
      </c>
      <c r="D10006" s="248">
        <f t="shared" si="1165"/>
        <v>45991</v>
      </c>
      <c r="E10006" s="249">
        <f t="shared" si="1167"/>
        <v>45991</v>
      </c>
      <c r="F10006" s="477"/>
      <c r="G10006" s="244" t="s">
        <v>86</v>
      </c>
      <c r="H10006" s="244"/>
      <c r="I10006" s="245"/>
      <c r="J10006" s="246" t="s">
        <v>50</v>
      </c>
      <c r="K10006" s="247"/>
      <c r="L10006" s="247">
        <f>K10005</f>
        <v>13277.058080773402</v>
      </c>
      <c r="M10006" s="156">
        <v>629.5122446980107</v>
      </c>
    </row>
    <row r="10007" spans="1:14" ht="11.25" customHeight="1" x14ac:dyDescent="0.2">
      <c r="A10007" s="236">
        <v>2025</v>
      </c>
      <c r="B10007" s="236">
        <v>11</v>
      </c>
      <c r="C10007" s="236">
        <v>30</v>
      </c>
      <c r="D10007" s="237">
        <f t="shared" si="1165"/>
        <v>45991</v>
      </c>
      <c r="E10007" s="238">
        <f t="shared" si="1167"/>
        <v>45991</v>
      </c>
      <c r="F10007" s="476" t="s">
        <v>1122</v>
      </c>
      <c r="G10007" s="239" t="s">
        <v>86</v>
      </c>
      <c r="H10007" s="239"/>
      <c r="I10007" s="240"/>
      <c r="J10007" s="241" t="s">
        <v>91</v>
      </c>
      <c r="K10007" s="242">
        <f>M10006</f>
        <v>629.5122446980107</v>
      </c>
      <c r="L10007" s="242"/>
    </row>
    <row r="10008" spans="1:14" ht="11.25" customHeight="1" x14ac:dyDescent="0.2">
      <c r="A10008" s="243">
        <v>2025</v>
      </c>
      <c r="B10008" s="243">
        <v>11</v>
      </c>
      <c r="C10008" s="243">
        <v>30</v>
      </c>
      <c r="D10008" s="248">
        <f t="shared" si="1165"/>
        <v>45991</v>
      </c>
      <c r="E10008" s="249">
        <f t="shared" si="1167"/>
        <v>45991</v>
      </c>
      <c r="F10008" s="477"/>
      <c r="G10008" s="244" t="s">
        <v>86</v>
      </c>
      <c r="H10008" s="244"/>
      <c r="I10008" s="245"/>
      <c r="J10008" s="246" t="s">
        <v>51</v>
      </c>
      <c r="K10008" s="247"/>
      <c r="L10008" s="247">
        <f>K10007</f>
        <v>629.5122446980107</v>
      </c>
    </row>
    <row r="10009" spans="1:14" ht="11.25" customHeight="1" x14ac:dyDescent="0.2">
      <c r="A10009" s="221">
        <v>2025</v>
      </c>
      <c r="B10009" s="221">
        <v>12</v>
      </c>
      <c r="C10009" s="221">
        <v>1</v>
      </c>
      <c r="D10009" s="231">
        <f t="shared" si="1165"/>
        <v>45992</v>
      </c>
      <c r="E10009" s="233">
        <f t="shared" si="1167"/>
        <v>45992</v>
      </c>
      <c r="F10009" s="478" t="s">
        <v>1945</v>
      </c>
      <c r="G10009" s="222" t="s">
        <v>1111</v>
      </c>
      <c r="H10009" s="223"/>
      <c r="I10009" s="223"/>
      <c r="J10009" s="224" t="s">
        <v>55</v>
      </c>
      <c r="K10009" s="225">
        <v>165660.34</v>
      </c>
      <c r="L10009" s="225"/>
    </row>
    <row r="10010" spans="1:14" ht="11.25" customHeight="1" x14ac:dyDescent="0.2">
      <c r="A10010" s="226">
        <v>2025</v>
      </c>
      <c r="B10010" s="226">
        <v>12</v>
      </c>
      <c r="C10010" s="226">
        <v>1</v>
      </c>
      <c r="D10010" s="232">
        <f t="shared" si="1165"/>
        <v>45992</v>
      </c>
      <c r="E10010" s="234">
        <f t="shared" si="1167"/>
        <v>45992</v>
      </c>
      <c r="F10010" s="479"/>
      <c r="G10010" s="227" t="s">
        <v>1111</v>
      </c>
      <c r="H10010" s="228"/>
      <c r="I10010" s="228"/>
      <c r="J10010" s="229" t="s">
        <v>199</v>
      </c>
      <c r="K10010" s="230"/>
      <c r="L10010" s="230">
        <f>K10009</f>
        <v>165660.34</v>
      </c>
    </row>
    <row r="10011" spans="1:14" ht="11.25" customHeight="1" x14ac:dyDescent="0.2">
      <c r="A10011" s="221">
        <v>2025</v>
      </c>
      <c r="B10011" s="221">
        <v>12</v>
      </c>
      <c r="C10011" s="221">
        <v>1</v>
      </c>
      <c r="D10011" s="221">
        <f t="shared" si="1165"/>
        <v>45992</v>
      </c>
      <c r="E10011" s="233">
        <f t="shared" ref="E10011:E10015" si="1168">DATE(A10011,B10011,C10011)</f>
        <v>45992</v>
      </c>
      <c r="F10011" s="478" t="s">
        <v>1886</v>
      </c>
      <c r="G10011" s="222" t="s">
        <v>86</v>
      </c>
      <c r="H10011" s="222"/>
      <c r="I10011" s="223"/>
      <c r="J10011" s="224" t="s">
        <v>80</v>
      </c>
      <c r="K10011" s="225">
        <v>420750</v>
      </c>
      <c r="L10011" s="225"/>
      <c r="N10011" s="263"/>
    </row>
    <row r="10012" spans="1:14" ht="11.25" customHeight="1" x14ac:dyDescent="0.2">
      <c r="A10012" s="164">
        <v>2025</v>
      </c>
      <c r="B10012" s="164">
        <v>12</v>
      </c>
      <c r="C10012" s="164">
        <v>1</v>
      </c>
      <c r="D10012" s="164">
        <f t="shared" si="1165"/>
        <v>45992</v>
      </c>
      <c r="E10012" s="235">
        <f t="shared" si="1168"/>
        <v>45992</v>
      </c>
      <c r="F10012" s="480"/>
      <c r="G10012" s="208" t="s">
        <v>86</v>
      </c>
      <c r="H10012" s="208"/>
      <c r="J10012" s="165" t="s">
        <v>960</v>
      </c>
      <c r="K10012" s="205">
        <v>5728.88</v>
      </c>
      <c r="L10012" s="205"/>
      <c r="M10012" s="263"/>
      <c r="N10012" s="263"/>
    </row>
    <row r="10013" spans="1:14" ht="11.25" customHeight="1" x14ac:dyDescent="0.2">
      <c r="A10013" s="164">
        <v>2025</v>
      </c>
      <c r="B10013" s="164">
        <v>12</v>
      </c>
      <c r="C10013" s="164">
        <v>1</v>
      </c>
      <c r="D10013" s="164">
        <f t="shared" si="1165"/>
        <v>45992</v>
      </c>
      <c r="E10013" s="235">
        <f t="shared" si="1168"/>
        <v>45992</v>
      </c>
      <c r="F10013" s="480"/>
      <c r="G10013" s="208" t="s">
        <v>86</v>
      </c>
      <c r="H10013" s="208"/>
      <c r="J10013" s="165" t="s">
        <v>199</v>
      </c>
      <c r="K10013" s="263">
        <v>2335481.12</v>
      </c>
      <c r="L10013" s="205"/>
      <c r="M10013" s="263"/>
      <c r="N10013" s="263"/>
    </row>
    <row r="10014" spans="1:14" ht="11.25" customHeight="1" x14ac:dyDescent="0.2">
      <c r="A10014" s="164">
        <v>2025</v>
      </c>
      <c r="B10014" s="164">
        <v>12</v>
      </c>
      <c r="C10014" s="164">
        <v>1</v>
      </c>
      <c r="D10014" s="164">
        <f t="shared" si="1165"/>
        <v>45992</v>
      </c>
      <c r="E10014" s="235">
        <f t="shared" si="1168"/>
        <v>45992</v>
      </c>
      <c r="F10014" s="480"/>
      <c r="G10014" s="208" t="s">
        <v>86</v>
      </c>
      <c r="H10014" s="208"/>
      <c r="J10014" s="165" t="s">
        <v>200</v>
      </c>
      <c r="K10014" s="205"/>
      <c r="L10014" s="205">
        <v>244700.58</v>
      </c>
      <c r="M10014" s="263"/>
      <c r="N10014" s="263"/>
    </row>
    <row r="10015" spans="1:14" ht="11.25" customHeight="1" x14ac:dyDescent="0.2">
      <c r="A10015" s="226">
        <v>2025</v>
      </c>
      <c r="B10015" s="226">
        <v>12</v>
      </c>
      <c r="C10015" s="226">
        <v>1</v>
      </c>
      <c r="D10015" s="226">
        <f t="shared" si="1165"/>
        <v>45992</v>
      </c>
      <c r="E10015" s="234">
        <f t="shared" si="1168"/>
        <v>45992</v>
      </c>
      <c r="F10015" s="479"/>
      <c r="G10015" s="227" t="s">
        <v>86</v>
      </c>
      <c r="H10015" s="228"/>
      <c r="I10015" s="228"/>
      <c r="J10015" s="229" t="s">
        <v>80</v>
      </c>
      <c r="K10015" s="230"/>
      <c r="L10015" s="230">
        <v>2517259.42</v>
      </c>
      <c r="M10015" s="263"/>
      <c r="N10015" s="263"/>
    </row>
    <row r="10016" spans="1:14" ht="11.25" customHeight="1" x14ac:dyDescent="0.2">
      <c r="A10016" s="221">
        <v>2025</v>
      </c>
      <c r="B10016" s="221">
        <v>12</v>
      </c>
      <c r="C10016" s="221">
        <v>1</v>
      </c>
      <c r="D10016" s="221">
        <f t="shared" si="1165"/>
        <v>45992</v>
      </c>
      <c r="E10016" s="233">
        <f t="shared" si="1167"/>
        <v>45992</v>
      </c>
      <c r="F10016" s="478" t="s">
        <v>1937</v>
      </c>
      <c r="G10016" s="222" t="s">
        <v>86</v>
      </c>
      <c r="H10016" s="222"/>
      <c r="I10016" s="223"/>
      <c r="J10016" s="224" t="s">
        <v>80</v>
      </c>
      <c r="K10016" s="225">
        <v>348027.8</v>
      </c>
      <c r="L10016" s="225"/>
      <c r="N10016" s="263"/>
    </row>
    <row r="10017" spans="1:14" ht="11.25" customHeight="1" x14ac:dyDescent="0.2">
      <c r="A10017" s="164">
        <v>2025</v>
      </c>
      <c r="B10017" s="164">
        <v>12</v>
      </c>
      <c r="C10017" s="164">
        <v>1</v>
      </c>
      <c r="D10017" s="164">
        <f t="shared" si="1165"/>
        <v>45992</v>
      </c>
      <c r="E10017" s="235">
        <f t="shared" si="1167"/>
        <v>45992</v>
      </c>
      <c r="F10017" s="480"/>
      <c r="G10017" s="208" t="s">
        <v>86</v>
      </c>
      <c r="H10017" s="208"/>
      <c r="J10017" s="165" t="s">
        <v>960</v>
      </c>
      <c r="K10017" s="205">
        <v>2027.69</v>
      </c>
      <c r="L10017" s="205"/>
      <c r="M10017" s="263"/>
      <c r="N10017" s="263"/>
    </row>
    <row r="10018" spans="1:14" ht="11.25" customHeight="1" x14ac:dyDescent="0.2">
      <c r="A10018" s="164">
        <v>2025</v>
      </c>
      <c r="B10018" s="164">
        <v>12</v>
      </c>
      <c r="C10018" s="164">
        <v>1</v>
      </c>
      <c r="D10018" s="164">
        <f t="shared" si="1165"/>
        <v>45992</v>
      </c>
      <c r="E10018" s="235">
        <f t="shared" si="1167"/>
        <v>45992</v>
      </c>
      <c r="F10018" s="480"/>
      <c r="G10018" s="208" t="s">
        <v>86</v>
      </c>
      <c r="H10018" s="208"/>
      <c r="J10018" s="165" t="s">
        <v>199</v>
      </c>
      <c r="K10018" s="263">
        <v>428409.51</v>
      </c>
      <c r="L10018" s="205"/>
      <c r="M10018" s="263"/>
      <c r="N10018" s="263"/>
    </row>
    <row r="10019" spans="1:14" ht="11.25" customHeight="1" x14ac:dyDescent="0.2">
      <c r="A10019" s="164">
        <v>2025</v>
      </c>
      <c r="B10019" s="164">
        <v>12</v>
      </c>
      <c r="C10019" s="164">
        <v>1</v>
      </c>
      <c r="D10019" s="164">
        <f t="shared" si="1165"/>
        <v>45992</v>
      </c>
      <c r="E10019" s="235">
        <f t="shared" si="1167"/>
        <v>45992</v>
      </c>
      <c r="F10019" s="480"/>
      <c r="G10019" s="208" t="s">
        <v>86</v>
      </c>
      <c r="H10019" s="208"/>
      <c r="J10019" s="165" t="s">
        <v>200</v>
      </c>
      <c r="K10019" s="205"/>
      <c r="L10019" s="205">
        <v>57112.6</v>
      </c>
      <c r="M10019" s="263"/>
      <c r="N10019" s="263"/>
    </row>
    <row r="10020" spans="1:14" ht="11.25" customHeight="1" x14ac:dyDescent="0.2">
      <c r="A10020" s="226">
        <v>2025</v>
      </c>
      <c r="B10020" s="226">
        <v>12</v>
      </c>
      <c r="C10020" s="226">
        <v>1</v>
      </c>
      <c r="D10020" s="226">
        <f t="shared" si="1165"/>
        <v>45992</v>
      </c>
      <c r="E10020" s="234">
        <f t="shared" si="1167"/>
        <v>45992</v>
      </c>
      <c r="F10020" s="479"/>
      <c r="G10020" s="227" t="s">
        <v>86</v>
      </c>
      <c r="H10020" s="228"/>
      <c r="I10020" s="228"/>
      <c r="J10020" s="229" t="s">
        <v>80</v>
      </c>
      <c r="K10020" s="230"/>
      <c r="L10020" s="230">
        <v>721352.4</v>
      </c>
      <c r="M10020" s="263"/>
      <c r="N10020" s="263"/>
    </row>
    <row r="10021" spans="1:14" ht="11.25" customHeight="1" x14ac:dyDescent="0.2">
      <c r="A10021" s="280">
        <v>2025</v>
      </c>
      <c r="B10021" s="280">
        <v>12</v>
      </c>
      <c r="C10021" s="280">
        <v>1</v>
      </c>
      <c r="D10021" s="281">
        <f t="shared" si="1165"/>
        <v>45992</v>
      </c>
      <c r="E10021" s="282">
        <f t="shared" si="1167"/>
        <v>45992</v>
      </c>
      <c r="F10021" s="472" t="s">
        <v>1744</v>
      </c>
      <c r="G10021" s="283" t="s">
        <v>86</v>
      </c>
      <c r="H10021" s="284"/>
      <c r="I10021" s="284"/>
      <c r="J10021" s="285" t="s">
        <v>131</v>
      </c>
      <c r="K10021" s="286">
        <v>2765.4757142857147</v>
      </c>
      <c r="L10021" s="286"/>
      <c r="M10021" s="401">
        <f>K10021/7</f>
        <v>395.06795918367351</v>
      </c>
    </row>
    <row r="10022" spans="1:14" ht="11.25" customHeight="1" x14ac:dyDescent="0.2">
      <c r="A10022" s="287">
        <v>2025</v>
      </c>
      <c r="B10022" s="287">
        <v>12</v>
      </c>
      <c r="C10022" s="287">
        <v>1</v>
      </c>
      <c r="D10022" s="288">
        <f t="shared" si="1165"/>
        <v>45992</v>
      </c>
      <c r="E10022" s="289">
        <f t="shared" si="1167"/>
        <v>45992</v>
      </c>
      <c r="F10022" s="473"/>
      <c r="G10022" s="290" t="s">
        <v>86</v>
      </c>
      <c r="H10022" s="291"/>
      <c r="I10022" s="291"/>
      <c r="J10022" s="292" t="s">
        <v>174</v>
      </c>
      <c r="K10022" s="293"/>
      <c r="L10022" s="293">
        <f>K10021</f>
        <v>2765.4757142857147</v>
      </c>
    </row>
    <row r="10023" spans="1:14" ht="11.25" customHeight="1" x14ac:dyDescent="0.2">
      <c r="A10023" s="280">
        <v>2025</v>
      </c>
      <c r="B10023" s="280">
        <v>12</v>
      </c>
      <c r="C10023" s="280">
        <v>1</v>
      </c>
      <c r="D10023" s="281">
        <f t="shared" si="1165"/>
        <v>45992</v>
      </c>
      <c r="E10023" s="282">
        <f t="shared" si="1167"/>
        <v>45992</v>
      </c>
      <c r="F10023" s="472" t="s">
        <v>1584</v>
      </c>
      <c r="G10023" s="283" t="s">
        <v>86</v>
      </c>
      <c r="H10023" s="284"/>
      <c r="I10023" s="284"/>
      <c r="J10023" s="285" t="s">
        <v>131</v>
      </c>
      <c r="K10023" s="286">
        <v>1263.7357142857143</v>
      </c>
      <c r="L10023" s="286"/>
      <c r="M10023" s="401">
        <f>K10023/7</f>
        <v>180.53367346938776</v>
      </c>
    </row>
    <row r="10024" spans="1:14" ht="11.25" customHeight="1" x14ac:dyDescent="0.2">
      <c r="A10024" s="287">
        <v>2025</v>
      </c>
      <c r="B10024" s="287">
        <v>12</v>
      </c>
      <c r="C10024" s="287">
        <v>1</v>
      </c>
      <c r="D10024" s="288">
        <f t="shared" si="1165"/>
        <v>45992</v>
      </c>
      <c r="E10024" s="289">
        <f t="shared" si="1167"/>
        <v>45992</v>
      </c>
      <c r="F10024" s="473"/>
      <c r="G10024" s="290" t="s">
        <v>86</v>
      </c>
      <c r="H10024" s="291"/>
      <c r="I10024" s="291"/>
      <c r="J10024" s="292" t="s">
        <v>174</v>
      </c>
      <c r="K10024" s="293"/>
      <c r="L10024" s="293">
        <f>K10023</f>
        <v>1263.7357142857143</v>
      </c>
    </row>
    <row r="10025" spans="1:14" ht="11.25" customHeight="1" x14ac:dyDescent="0.2">
      <c r="A10025" s="280">
        <v>2025</v>
      </c>
      <c r="B10025" s="280">
        <v>12</v>
      </c>
      <c r="C10025" s="280">
        <v>1</v>
      </c>
      <c r="D10025" s="281">
        <f t="shared" si="1165"/>
        <v>45992</v>
      </c>
      <c r="E10025" s="282">
        <f t="shared" si="1167"/>
        <v>45992</v>
      </c>
      <c r="F10025" s="472" t="s">
        <v>1955</v>
      </c>
      <c r="G10025" s="283" t="s">
        <v>86</v>
      </c>
      <c r="H10025" s="284"/>
      <c r="I10025" s="284"/>
      <c r="J10025" s="285" t="s">
        <v>1978</v>
      </c>
      <c r="K10025" s="286">
        <v>6185.4395604395604</v>
      </c>
      <c r="L10025" s="286"/>
      <c r="M10025" s="401">
        <f>K10025/7</f>
        <v>883.6342229199372</v>
      </c>
    </row>
    <row r="10026" spans="1:14" ht="11.25" customHeight="1" x14ac:dyDescent="0.2">
      <c r="A10026" s="287">
        <v>2025</v>
      </c>
      <c r="B10026" s="287">
        <v>12</v>
      </c>
      <c r="C10026" s="287">
        <v>1</v>
      </c>
      <c r="D10026" s="288">
        <f t="shared" si="1165"/>
        <v>45992</v>
      </c>
      <c r="E10026" s="289">
        <f t="shared" si="1167"/>
        <v>45992</v>
      </c>
      <c r="F10026" s="473"/>
      <c r="G10026" s="290" t="s">
        <v>86</v>
      </c>
      <c r="H10026" s="291"/>
      <c r="I10026" s="291"/>
      <c r="J10026" s="292" t="s">
        <v>1955</v>
      </c>
      <c r="K10026" s="293"/>
      <c r="L10026" s="293">
        <f>K10025</f>
        <v>6185.4395604395604</v>
      </c>
    </row>
    <row r="10027" spans="1:14" ht="11.25" customHeight="1" x14ac:dyDescent="0.2">
      <c r="A10027" s="341">
        <v>2025</v>
      </c>
      <c r="B10027" s="341">
        <v>12</v>
      </c>
      <c r="C10027" s="341">
        <v>1</v>
      </c>
      <c r="D10027" s="328">
        <f t="shared" si="1165"/>
        <v>45992</v>
      </c>
      <c r="E10027" s="329">
        <f t="shared" si="1167"/>
        <v>45992</v>
      </c>
      <c r="F10027" s="474" t="s">
        <v>1767</v>
      </c>
      <c r="G10027" s="330" t="s">
        <v>86</v>
      </c>
      <c r="H10027" s="332"/>
      <c r="I10027" s="332"/>
      <c r="J10027" s="342" t="s">
        <v>67</v>
      </c>
      <c r="K10027" s="343">
        <v>473.39</v>
      </c>
      <c r="L10027" s="343"/>
    </row>
    <row r="10028" spans="1:14" ht="11.25" customHeight="1" x14ac:dyDescent="0.2">
      <c r="A10028" s="344">
        <v>2025</v>
      </c>
      <c r="B10028" s="344">
        <v>12</v>
      </c>
      <c r="C10028" s="344">
        <v>1</v>
      </c>
      <c r="D10028" s="337">
        <f t="shared" si="1165"/>
        <v>45992</v>
      </c>
      <c r="E10028" s="338">
        <f t="shared" si="1167"/>
        <v>45992</v>
      </c>
      <c r="F10028" s="475"/>
      <c r="G10028" s="339" t="s">
        <v>86</v>
      </c>
      <c r="H10028" s="340"/>
      <c r="I10028" s="340"/>
      <c r="J10028" s="345" t="s">
        <v>174</v>
      </c>
      <c r="K10028" s="346"/>
      <c r="L10028" s="346">
        <f>K10027</f>
        <v>473.39</v>
      </c>
    </row>
    <row r="10029" spans="1:14" ht="11.25" customHeight="1" x14ac:dyDescent="0.2">
      <c r="A10029" s="358">
        <v>2025</v>
      </c>
      <c r="B10029" s="358">
        <v>12</v>
      </c>
      <c r="C10029" s="358">
        <v>1</v>
      </c>
      <c r="D10029" s="312">
        <f t="shared" si="1165"/>
        <v>45992</v>
      </c>
      <c r="E10029" s="313">
        <f>DATE(A10029,B10029,C10029)</f>
        <v>45992</v>
      </c>
      <c r="F10029" s="482" t="s">
        <v>1627</v>
      </c>
      <c r="G10029" s="314" t="s">
        <v>86</v>
      </c>
      <c r="H10029" s="324"/>
      <c r="I10029" s="324"/>
      <c r="J10029" s="364" t="s">
        <v>1613</v>
      </c>
      <c r="K10029" s="365"/>
      <c r="L10029" s="365"/>
      <c r="M10029" s="156">
        <f>BS!$I$12</f>
        <v>0</v>
      </c>
    </row>
    <row r="10030" spans="1:14" ht="11.25" customHeight="1" x14ac:dyDescent="0.2">
      <c r="A10030" s="320">
        <v>2025</v>
      </c>
      <c r="B10030" s="320">
        <v>12</v>
      </c>
      <c r="C10030" s="320">
        <v>1</v>
      </c>
      <c r="D10030" s="323">
        <f t="shared" si="1165"/>
        <v>45992</v>
      </c>
      <c r="E10030" s="321">
        <f t="shared" ref="E10030" si="1169">DATE(A10030,B10030,C10030)</f>
        <v>45992</v>
      </c>
      <c r="F10030" s="483"/>
      <c r="G10030" s="322" t="s">
        <v>86</v>
      </c>
      <c r="H10030" s="325"/>
      <c r="I10030" s="325"/>
      <c r="J10030" s="366" t="s">
        <v>1621</v>
      </c>
      <c r="K10030" s="367"/>
      <c r="L10030" s="367">
        <f>K10029</f>
        <v>0</v>
      </c>
    </row>
    <row r="10031" spans="1:14" ht="11.25" customHeight="1" x14ac:dyDescent="0.2">
      <c r="A10031" s="358">
        <v>2025</v>
      </c>
      <c r="B10031" s="358">
        <v>12</v>
      </c>
      <c r="C10031" s="358">
        <v>1</v>
      </c>
      <c r="D10031" s="312">
        <f t="shared" si="1165"/>
        <v>45992</v>
      </c>
      <c r="E10031" s="313">
        <f>DATE(A10031,B10031,C10031)</f>
        <v>45992</v>
      </c>
      <c r="F10031" s="482" t="s">
        <v>1713</v>
      </c>
      <c r="G10031" s="314" t="s">
        <v>86</v>
      </c>
      <c r="H10031" s="324"/>
      <c r="I10031" s="324"/>
      <c r="J10031" s="364" t="s">
        <v>1622</v>
      </c>
      <c r="K10031" s="365">
        <v>195.93699999968521</v>
      </c>
      <c r="L10031" s="365"/>
      <c r="M10031" s="447">
        <f>BS!$I$15</f>
        <v>0</v>
      </c>
      <c r="N10031" s="166"/>
    </row>
    <row r="10032" spans="1:14" ht="11.25" customHeight="1" x14ac:dyDescent="0.2">
      <c r="A10032" s="320">
        <v>2025</v>
      </c>
      <c r="B10032" s="320">
        <v>12</v>
      </c>
      <c r="C10032" s="320">
        <v>1</v>
      </c>
      <c r="D10032" s="323">
        <f t="shared" si="1165"/>
        <v>45992</v>
      </c>
      <c r="E10032" s="321">
        <f t="shared" ref="E10032:E10053" si="1170">DATE(A10032,B10032,C10032)</f>
        <v>45992</v>
      </c>
      <c r="F10032" s="483"/>
      <c r="G10032" s="322" t="s">
        <v>86</v>
      </c>
      <c r="H10032" s="325"/>
      <c r="I10032" s="325"/>
      <c r="J10032" s="366" t="s">
        <v>1614</v>
      </c>
      <c r="K10032" s="367"/>
      <c r="L10032" s="367">
        <f>K10031</f>
        <v>195.93699999968521</v>
      </c>
    </row>
    <row r="10033" spans="1:14" ht="11.25" customHeight="1" x14ac:dyDescent="0.2">
      <c r="A10033" s="236">
        <v>2025</v>
      </c>
      <c r="B10033" s="236">
        <v>12</v>
      </c>
      <c r="C10033" s="236">
        <v>1</v>
      </c>
      <c r="D10033" s="237">
        <f t="shared" si="1165"/>
        <v>45992</v>
      </c>
      <c r="E10033" s="238">
        <f t="shared" si="1170"/>
        <v>45992</v>
      </c>
      <c r="F10033" s="476" t="s">
        <v>1118</v>
      </c>
      <c r="G10033" s="239" t="s">
        <v>86</v>
      </c>
      <c r="H10033" s="239"/>
      <c r="I10033" s="240"/>
      <c r="J10033" s="241" t="s">
        <v>82</v>
      </c>
      <c r="K10033" s="242">
        <v>778308.47999998927</v>
      </c>
      <c r="L10033" s="242"/>
      <c r="M10033" s="156">
        <f>BS!$I$8</f>
        <v>0</v>
      </c>
    </row>
    <row r="10034" spans="1:14" ht="11.25" customHeight="1" x14ac:dyDescent="0.2">
      <c r="A10034" s="243">
        <v>2025</v>
      </c>
      <c r="B10034" s="243">
        <v>12</v>
      </c>
      <c r="C10034" s="243">
        <v>1</v>
      </c>
      <c r="D10034" s="248">
        <f t="shared" si="1165"/>
        <v>45992</v>
      </c>
      <c r="E10034" s="249">
        <f t="shared" si="1170"/>
        <v>45992</v>
      </c>
      <c r="F10034" s="477"/>
      <c r="G10034" s="244" t="s">
        <v>86</v>
      </c>
      <c r="H10034" s="244"/>
      <c r="I10034" s="245"/>
      <c r="J10034" s="246" t="s">
        <v>98</v>
      </c>
      <c r="K10034" s="247"/>
      <c r="L10034" s="247">
        <f>K10033</f>
        <v>778308.47999998927</v>
      </c>
    </row>
    <row r="10035" spans="1:14" ht="11.25" customHeight="1" x14ac:dyDescent="0.2">
      <c r="A10035" s="236">
        <v>2025</v>
      </c>
      <c r="B10035" s="236">
        <v>12</v>
      </c>
      <c r="C10035" s="236">
        <v>1</v>
      </c>
      <c r="D10035" s="237">
        <f t="shared" si="1165"/>
        <v>45992</v>
      </c>
      <c r="E10035" s="238">
        <f t="shared" si="1170"/>
        <v>45992</v>
      </c>
      <c r="F10035" s="476" t="s">
        <v>1120</v>
      </c>
      <c r="G10035" s="239" t="s">
        <v>86</v>
      </c>
      <c r="H10035" s="239"/>
      <c r="I10035" s="240"/>
      <c r="J10035" s="241" t="s">
        <v>87</v>
      </c>
      <c r="K10035" s="242">
        <v>392.46467817896388</v>
      </c>
      <c r="L10035" s="242"/>
      <c r="M10035" s="401"/>
    </row>
    <row r="10036" spans="1:14" ht="11.25" customHeight="1" x14ac:dyDescent="0.2">
      <c r="A10036" s="243">
        <v>2025</v>
      </c>
      <c r="B10036" s="243">
        <v>12</v>
      </c>
      <c r="C10036" s="243">
        <v>1</v>
      </c>
      <c r="D10036" s="248">
        <f t="shared" si="1165"/>
        <v>45992</v>
      </c>
      <c r="E10036" s="249">
        <f t="shared" si="1170"/>
        <v>45992</v>
      </c>
      <c r="F10036" s="477"/>
      <c r="G10036" s="244" t="s">
        <v>86</v>
      </c>
      <c r="H10036" s="244"/>
      <c r="I10036" s="245"/>
      <c r="J10036" s="246" t="s">
        <v>64</v>
      </c>
      <c r="K10036" s="247"/>
      <c r="L10036" s="247">
        <f>K10035</f>
        <v>392.46467817896388</v>
      </c>
    </row>
    <row r="10037" spans="1:14" ht="11.25" customHeight="1" x14ac:dyDescent="0.2">
      <c r="A10037" s="236">
        <v>2025</v>
      </c>
      <c r="B10037" s="236">
        <v>12</v>
      </c>
      <c r="C10037" s="236">
        <v>1</v>
      </c>
      <c r="D10037" s="237">
        <f t="shared" si="1165"/>
        <v>45992</v>
      </c>
      <c r="E10037" s="238">
        <f t="shared" si="1170"/>
        <v>45992</v>
      </c>
      <c r="F10037" s="476" t="s">
        <v>1121</v>
      </c>
      <c r="G10037" s="239" t="s">
        <v>86</v>
      </c>
      <c r="H10037" s="239"/>
      <c r="I10037" s="240"/>
      <c r="J10037" s="241" t="s">
        <v>89</v>
      </c>
      <c r="K10037" s="242">
        <f>M10037</f>
        <v>13214.150758050251</v>
      </c>
      <c r="L10037" s="242"/>
      <c r="M10037" s="448">
        <v>13214.150758050251</v>
      </c>
    </row>
    <row r="10038" spans="1:14" ht="11.25" customHeight="1" x14ac:dyDescent="0.2">
      <c r="A10038" s="243">
        <v>2025</v>
      </c>
      <c r="B10038" s="243">
        <v>12</v>
      </c>
      <c r="C10038" s="243">
        <v>1</v>
      </c>
      <c r="D10038" s="248">
        <f t="shared" si="1165"/>
        <v>45992</v>
      </c>
      <c r="E10038" s="249">
        <f t="shared" si="1170"/>
        <v>45992</v>
      </c>
      <c r="F10038" s="477"/>
      <c r="G10038" s="244" t="s">
        <v>86</v>
      </c>
      <c r="H10038" s="244"/>
      <c r="I10038" s="245"/>
      <c r="J10038" s="246" t="s">
        <v>50</v>
      </c>
      <c r="K10038" s="247"/>
      <c r="L10038" s="247">
        <f>K10037</f>
        <v>13214.150758050251</v>
      </c>
      <c r="M10038" s="448">
        <v>626.36687856185313</v>
      </c>
    </row>
    <row r="10039" spans="1:14" ht="11.25" customHeight="1" x14ac:dyDescent="0.2">
      <c r="A10039" s="236">
        <v>2025</v>
      </c>
      <c r="B10039" s="236">
        <v>12</v>
      </c>
      <c r="C10039" s="236">
        <v>1</v>
      </c>
      <c r="D10039" s="237">
        <f t="shared" si="1165"/>
        <v>45992</v>
      </c>
      <c r="E10039" s="238">
        <f t="shared" si="1170"/>
        <v>45992</v>
      </c>
      <c r="F10039" s="476" t="s">
        <v>1122</v>
      </c>
      <c r="G10039" s="239" t="s">
        <v>86</v>
      </c>
      <c r="H10039" s="239"/>
      <c r="I10039" s="240"/>
      <c r="J10039" s="241" t="s">
        <v>91</v>
      </c>
      <c r="K10039" s="242">
        <f>M10038</f>
        <v>626.36687856185313</v>
      </c>
      <c r="L10039" s="242"/>
    </row>
    <row r="10040" spans="1:14" ht="11.25" customHeight="1" x14ac:dyDescent="0.2">
      <c r="A10040" s="243">
        <v>2025</v>
      </c>
      <c r="B10040" s="243">
        <v>12</v>
      </c>
      <c r="C10040" s="243">
        <v>1</v>
      </c>
      <c r="D10040" s="248">
        <f t="shared" si="1165"/>
        <v>45992</v>
      </c>
      <c r="E10040" s="249">
        <f t="shared" si="1170"/>
        <v>45992</v>
      </c>
      <c r="F10040" s="477"/>
      <c r="G10040" s="244" t="s">
        <v>86</v>
      </c>
      <c r="H10040" s="244"/>
      <c r="I10040" s="245"/>
      <c r="J10040" s="246" t="s">
        <v>51</v>
      </c>
      <c r="K10040" s="247"/>
      <c r="L10040" s="247">
        <f>K10039</f>
        <v>626.36687856185313</v>
      </c>
    </row>
    <row r="10041" spans="1:14" ht="11.25" customHeight="1" x14ac:dyDescent="0.2">
      <c r="A10041" s="221">
        <v>2025</v>
      </c>
      <c r="B10041" s="221">
        <v>12</v>
      </c>
      <c r="C10041" s="221">
        <v>2</v>
      </c>
      <c r="D10041" s="231">
        <f t="shared" si="1165"/>
        <v>45993</v>
      </c>
      <c r="E10041" s="233">
        <f t="shared" si="1170"/>
        <v>45993</v>
      </c>
      <c r="F10041" s="478" t="s">
        <v>1945</v>
      </c>
      <c r="G10041" s="222" t="s">
        <v>1111</v>
      </c>
      <c r="H10041" s="223"/>
      <c r="I10041" s="223"/>
      <c r="J10041" s="224" t="s">
        <v>55</v>
      </c>
      <c r="K10041" s="225">
        <v>1640272.46</v>
      </c>
      <c r="L10041" s="225"/>
    </row>
    <row r="10042" spans="1:14" ht="11.25" customHeight="1" x14ac:dyDescent="0.2">
      <c r="A10042" s="226">
        <v>2025</v>
      </c>
      <c r="B10042" s="226">
        <v>12</v>
      </c>
      <c r="C10042" s="226">
        <v>2</v>
      </c>
      <c r="D10042" s="232">
        <f t="shared" si="1165"/>
        <v>45993</v>
      </c>
      <c r="E10042" s="234">
        <f t="shared" si="1170"/>
        <v>45993</v>
      </c>
      <c r="F10042" s="479"/>
      <c r="G10042" s="227" t="s">
        <v>1111</v>
      </c>
      <c r="H10042" s="228"/>
      <c r="I10042" s="228"/>
      <c r="J10042" s="229" t="s">
        <v>199</v>
      </c>
      <c r="K10042" s="230"/>
      <c r="L10042" s="230">
        <f>K10041</f>
        <v>1640272.46</v>
      </c>
    </row>
    <row r="10043" spans="1:14" ht="11.25" customHeight="1" x14ac:dyDescent="0.2">
      <c r="A10043" s="221">
        <v>2025</v>
      </c>
      <c r="B10043" s="221">
        <v>12</v>
      </c>
      <c r="C10043" s="221">
        <v>2</v>
      </c>
      <c r="D10043" s="221">
        <f t="shared" si="1165"/>
        <v>45993</v>
      </c>
      <c r="E10043" s="233">
        <f t="shared" si="1170"/>
        <v>45993</v>
      </c>
      <c r="F10043" s="478" t="s">
        <v>1962</v>
      </c>
      <c r="G10043" s="222" t="s">
        <v>86</v>
      </c>
      <c r="H10043" s="222"/>
      <c r="I10043" s="223"/>
      <c r="J10043" s="224" t="s">
        <v>80</v>
      </c>
      <c r="K10043" s="225">
        <v>329899.7</v>
      </c>
      <c r="L10043" s="225"/>
      <c r="N10043" s="263"/>
    </row>
    <row r="10044" spans="1:14" ht="11.25" customHeight="1" x14ac:dyDescent="0.2">
      <c r="A10044" s="164">
        <v>2025</v>
      </c>
      <c r="B10044" s="164">
        <v>12</v>
      </c>
      <c r="C10044" s="164">
        <v>2</v>
      </c>
      <c r="D10044" s="164">
        <f t="shared" si="1165"/>
        <v>45993</v>
      </c>
      <c r="E10044" s="235">
        <f t="shared" si="1170"/>
        <v>45993</v>
      </c>
      <c r="F10044" s="480"/>
      <c r="G10044" s="208" t="s">
        <v>86</v>
      </c>
      <c r="H10044" s="208"/>
      <c r="J10044" s="165" t="s">
        <v>960</v>
      </c>
      <c r="K10044" s="205">
        <v>593.82000000000005</v>
      </c>
      <c r="L10044" s="205"/>
      <c r="M10044" s="263"/>
      <c r="N10044" s="263"/>
    </row>
    <row r="10045" spans="1:14" ht="11.25" customHeight="1" x14ac:dyDescent="0.2">
      <c r="A10045" s="226">
        <v>2025</v>
      </c>
      <c r="B10045" s="226">
        <v>12</v>
      </c>
      <c r="C10045" s="226">
        <v>2</v>
      </c>
      <c r="D10045" s="226">
        <f t="shared" si="1165"/>
        <v>45993</v>
      </c>
      <c r="E10045" s="234">
        <f t="shared" si="1170"/>
        <v>45993</v>
      </c>
      <c r="F10045" s="479"/>
      <c r="G10045" s="227" t="s">
        <v>86</v>
      </c>
      <c r="H10045" s="227"/>
      <c r="I10045" s="228"/>
      <c r="J10045" s="229" t="s">
        <v>961</v>
      </c>
      <c r="K10045" s="294"/>
      <c r="L10045" s="230">
        <v>330493.52</v>
      </c>
      <c r="M10045" s="263"/>
      <c r="N10045" s="263"/>
    </row>
    <row r="10046" spans="1:14" ht="11.25" customHeight="1" x14ac:dyDescent="0.2">
      <c r="A10046" s="280">
        <v>2025</v>
      </c>
      <c r="B10046" s="280">
        <v>12</v>
      </c>
      <c r="C10046" s="280">
        <v>2</v>
      </c>
      <c r="D10046" s="281">
        <f t="shared" si="1165"/>
        <v>45993</v>
      </c>
      <c r="E10046" s="282">
        <f t="shared" si="1170"/>
        <v>45993</v>
      </c>
      <c r="F10046" s="472" t="s">
        <v>1744</v>
      </c>
      <c r="G10046" s="283" t="s">
        <v>86</v>
      </c>
      <c r="H10046" s="284"/>
      <c r="I10046" s="284"/>
      <c r="J10046" s="285" t="s">
        <v>131</v>
      </c>
      <c r="K10046" s="286">
        <v>2765.4757142857147</v>
      </c>
      <c r="L10046" s="286"/>
      <c r="M10046" s="401">
        <f>K10046/7</f>
        <v>395.06795918367351</v>
      </c>
    </row>
    <row r="10047" spans="1:14" ht="11.25" customHeight="1" x14ac:dyDescent="0.2">
      <c r="A10047" s="287">
        <v>2025</v>
      </c>
      <c r="B10047" s="287">
        <v>12</v>
      </c>
      <c r="C10047" s="287">
        <v>2</v>
      </c>
      <c r="D10047" s="288">
        <f t="shared" si="1165"/>
        <v>45993</v>
      </c>
      <c r="E10047" s="289">
        <f t="shared" si="1170"/>
        <v>45993</v>
      </c>
      <c r="F10047" s="473"/>
      <c r="G10047" s="290" t="s">
        <v>86</v>
      </c>
      <c r="H10047" s="291"/>
      <c r="I10047" s="291"/>
      <c r="J10047" s="292" t="s">
        <v>174</v>
      </c>
      <c r="K10047" s="293"/>
      <c r="L10047" s="293">
        <f>K10046</f>
        <v>2765.4757142857147</v>
      </c>
    </row>
    <row r="10048" spans="1:14" ht="11.25" customHeight="1" x14ac:dyDescent="0.2">
      <c r="A10048" s="280">
        <v>2025</v>
      </c>
      <c r="B10048" s="280">
        <v>12</v>
      </c>
      <c r="C10048" s="280">
        <v>2</v>
      </c>
      <c r="D10048" s="281">
        <f t="shared" si="1165"/>
        <v>45993</v>
      </c>
      <c r="E10048" s="282">
        <f t="shared" si="1170"/>
        <v>45993</v>
      </c>
      <c r="F10048" s="472" t="s">
        <v>1584</v>
      </c>
      <c r="G10048" s="283" t="s">
        <v>86</v>
      </c>
      <c r="H10048" s="284"/>
      <c r="I10048" s="284"/>
      <c r="J10048" s="285" t="s">
        <v>131</v>
      </c>
      <c r="K10048" s="286">
        <v>1263.7357142857143</v>
      </c>
      <c r="L10048" s="286"/>
      <c r="M10048" s="401">
        <f>K10048/7</f>
        <v>180.53367346938776</v>
      </c>
    </row>
    <row r="10049" spans="1:14" ht="11.25" customHeight="1" x14ac:dyDescent="0.2">
      <c r="A10049" s="287">
        <v>2025</v>
      </c>
      <c r="B10049" s="287">
        <v>12</v>
      </c>
      <c r="C10049" s="287">
        <v>2</v>
      </c>
      <c r="D10049" s="288">
        <f t="shared" si="1165"/>
        <v>45993</v>
      </c>
      <c r="E10049" s="289">
        <f t="shared" si="1170"/>
        <v>45993</v>
      </c>
      <c r="F10049" s="473"/>
      <c r="G10049" s="290" t="s">
        <v>86</v>
      </c>
      <c r="H10049" s="291"/>
      <c r="I10049" s="291"/>
      <c r="J10049" s="292" t="s">
        <v>174</v>
      </c>
      <c r="K10049" s="293"/>
      <c r="L10049" s="293">
        <f>K10048</f>
        <v>1263.7357142857143</v>
      </c>
    </row>
    <row r="10050" spans="1:14" ht="11.25" customHeight="1" x14ac:dyDescent="0.2">
      <c r="A10050" s="280">
        <v>2025</v>
      </c>
      <c r="B10050" s="280">
        <v>12</v>
      </c>
      <c r="C10050" s="280">
        <v>2</v>
      </c>
      <c r="D10050" s="281">
        <f t="shared" si="1165"/>
        <v>45993</v>
      </c>
      <c r="E10050" s="282">
        <f t="shared" si="1170"/>
        <v>45993</v>
      </c>
      <c r="F10050" s="472" t="s">
        <v>1955</v>
      </c>
      <c r="G10050" s="283" t="s">
        <v>86</v>
      </c>
      <c r="H10050" s="284"/>
      <c r="I10050" s="284"/>
      <c r="J10050" s="285" t="s">
        <v>1978</v>
      </c>
      <c r="K10050" s="286">
        <v>6185.4395604395604</v>
      </c>
      <c r="L10050" s="286"/>
      <c r="M10050" s="401">
        <f>K10050/7</f>
        <v>883.6342229199372</v>
      </c>
    </row>
    <row r="10051" spans="1:14" ht="11.25" customHeight="1" x14ac:dyDescent="0.2">
      <c r="A10051" s="287">
        <v>2025</v>
      </c>
      <c r="B10051" s="287">
        <v>12</v>
      </c>
      <c r="C10051" s="287">
        <v>2</v>
      </c>
      <c r="D10051" s="288">
        <f t="shared" si="1165"/>
        <v>45993</v>
      </c>
      <c r="E10051" s="289">
        <f t="shared" si="1170"/>
        <v>45993</v>
      </c>
      <c r="F10051" s="473"/>
      <c r="G10051" s="290" t="s">
        <v>86</v>
      </c>
      <c r="H10051" s="291"/>
      <c r="I10051" s="291"/>
      <c r="J10051" s="292" t="s">
        <v>1955</v>
      </c>
      <c r="K10051" s="293"/>
      <c r="L10051" s="293">
        <f>K10050</f>
        <v>6185.4395604395604</v>
      </c>
    </row>
    <row r="10052" spans="1:14" ht="11.25" customHeight="1" x14ac:dyDescent="0.2">
      <c r="A10052" s="341">
        <v>2025</v>
      </c>
      <c r="B10052" s="341">
        <v>12</v>
      </c>
      <c r="C10052" s="341">
        <v>2</v>
      </c>
      <c r="D10052" s="328">
        <f t="shared" si="1165"/>
        <v>45993</v>
      </c>
      <c r="E10052" s="329">
        <f t="shared" si="1170"/>
        <v>45993</v>
      </c>
      <c r="F10052" s="474" t="s">
        <v>1767</v>
      </c>
      <c r="G10052" s="330" t="s">
        <v>86</v>
      </c>
      <c r="H10052" s="332"/>
      <c r="I10052" s="332"/>
      <c r="J10052" s="342" t="s">
        <v>67</v>
      </c>
      <c r="K10052" s="343">
        <v>815.10911749999991</v>
      </c>
      <c r="L10052" s="343"/>
    </row>
    <row r="10053" spans="1:14" ht="11.25" customHeight="1" x14ac:dyDescent="0.2">
      <c r="A10053" s="344">
        <v>2025</v>
      </c>
      <c r="B10053" s="344">
        <v>12</v>
      </c>
      <c r="C10053" s="344">
        <v>2</v>
      </c>
      <c r="D10053" s="337">
        <f t="shared" si="1165"/>
        <v>45993</v>
      </c>
      <c r="E10053" s="338">
        <f t="shared" si="1170"/>
        <v>45993</v>
      </c>
      <c r="F10053" s="475"/>
      <c r="G10053" s="339" t="s">
        <v>86</v>
      </c>
      <c r="H10053" s="340"/>
      <c r="I10053" s="340"/>
      <c r="J10053" s="345" t="s">
        <v>174</v>
      </c>
      <c r="K10053" s="346"/>
      <c r="L10053" s="346">
        <f>K10052</f>
        <v>815.10911749999991</v>
      </c>
    </row>
    <row r="10054" spans="1:14" ht="11.25" customHeight="1" x14ac:dyDescent="0.2">
      <c r="A10054" s="358">
        <v>2025</v>
      </c>
      <c r="B10054" s="358">
        <v>12</v>
      </c>
      <c r="C10054" s="358">
        <v>2</v>
      </c>
      <c r="D10054" s="312">
        <f t="shared" si="1165"/>
        <v>45993</v>
      </c>
      <c r="E10054" s="313">
        <f>DATE(A10054,B10054,C10054)</f>
        <v>45993</v>
      </c>
      <c r="F10054" s="482" t="s">
        <v>1627</v>
      </c>
      <c r="G10054" s="314" t="s">
        <v>86</v>
      </c>
      <c r="H10054" s="324"/>
      <c r="I10054" s="324"/>
      <c r="J10054" s="364" t="s">
        <v>1613</v>
      </c>
      <c r="K10054" s="365"/>
      <c r="L10054" s="365"/>
      <c r="M10054" s="156">
        <f>BS!$I$12</f>
        <v>0</v>
      </c>
    </row>
    <row r="10055" spans="1:14" ht="11.25" customHeight="1" x14ac:dyDescent="0.2">
      <c r="A10055" s="320">
        <v>2025</v>
      </c>
      <c r="B10055" s="320">
        <v>12</v>
      </c>
      <c r="C10055" s="320">
        <v>2</v>
      </c>
      <c r="D10055" s="323">
        <f t="shared" si="1165"/>
        <v>45993</v>
      </c>
      <c r="E10055" s="321">
        <f t="shared" ref="E10055" si="1171">DATE(A10055,B10055,C10055)</f>
        <v>45993</v>
      </c>
      <c r="F10055" s="483"/>
      <c r="G10055" s="322" t="s">
        <v>86</v>
      </c>
      <c r="H10055" s="325"/>
      <c r="I10055" s="325"/>
      <c r="J10055" s="366" t="s">
        <v>1621</v>
      </c>
      <c r="K10055" s="367"/>
      <c r="L10055" s="367">
        <f>K10054</f>
        <v>0</v>
      </c>
    </row>
    <row r="10056" spans="1:14" ht="11.25" customHeight="1" x14ac:dyDescent="0.2">
      <c r="A10056" s="358">
        <v>2025</v>
      </c>
      <c r="B10056" s="358">
        <v>12</v>
      </c>
      <c r="C10056" s="358">
        <v>2</v>
      </c>
      <c r="D10056" s="312">
        <f t="shared" si="1165"/>
        <v>45993</v>
      </c>
      <c r="E10056" s="313">
        <f>DATE(A10056,B10056,C10056)</f>
        <v>45993</v>
      </c>
      <c r="F10056" s="482" t="s">
        <v>1713</v>
      </c>
      <c r="G10056" s="314" t="s">
        <v>86</v>
      </c>
      <c r="H10056" s="324"/>
      <c r="I10056" s="324"/>
      <c r="J10056" s="364" t="s">
        <v>1622</v>
      </c>
      <c r="K10056" s="365">
        <v>195.23699999973178</v>
      </c>
      <c r="L10056" s="365"/>
      <c r="M10056" s="447">
        <f>BS!$I$15</f>
        <v>0</v>
      </c>
      <c r="N10056" s="166"/>
    </row>
    <row r="10057" spans="1:14" ht="11.25" customHeight="1" x14ac:dyDescent="0.2">
      <c r="A10057" s="320">
        <v>2025</v>
      </c>
      <c r="B10057" s="320">
        <v>12</v>
      </c>
      <c r="C10057" s="320">
        <v>2</v>
      </c>
      <c r="D10057" s="323">
        <f t="shared" ref="D10057:D10120" si="1172">DATE(A10057,B10057,C10057)</f>
        <v>45993</v>
      </c>
      <c r="E10057" s="321">
        <f t="shared" ref="E10057:E10083" si="1173">DATE(A10057,B10057,C10057)</f>
        <v>45993</v>
      </c>
      <c r="F10057" s="483"/>
      <c r="G10057" s="322" t="s">
        <v>86</v>
      </c>
      <c r="H10057" s="325"/>
      <c r="I10057" s="325"/>
      <c r="J10057" s="366" t="s">
        <v>1614</v>
      </c>
      <c r="K10057" s="367"/>
      <c r="L10057" s="367">
        <f>K10056</f>
        <v>195.23699999973178</v>
      </c>
    </row>
    <row r="10058" spans="1:14" ht="11.25" customHeight="1" x14ac:dyDescent="0.2">
      <c r="A10058" s="236">
        <v>2025</v>
      </c>
      <c r="B10058" s="236">
        <v>12</v>
      </c>
      <c r="C10058" s="236">
        <v>2</v>
      </c>
      <c r="D10058" s="237">
        <f t="shared" si="1172"/>
        <v>45993</v>
      </c>
      <c r="E10058" s="238">
        <f t="shared" si="1173"/>
        <v>45993</v>
      </c>
      <c r="F10058" s="476" t="s">
        <v>1118</v>
      </c>
      <c r="G10058" s="239" t="s">
        <v>86</v>
      </c>
      <c r="H10058" s="239"/>
      <c r="I10058" s="240"/>
      <c r="J10058" s="241" t="s">
        <v>98</v>
      </c>
      <c r="K10058" s="242">
        <v>133012.58000004292</v>
      </c>
      <c r="L10058" s="242"/>
      <c r="M10058" s="156">
        <f>BS!$I$8</f>
        <v>0</v>
      </c>
    </row>
    <row r="10059" spans="1:14" ht="11.25" customHeight="1" x14ac:dyDescent="0.2">
      <c r="A10059" s="243">
        <v>2025</v>
      </c>
      <c r="B10059" s="243">
        <v>12</v>
      </c>
      <c r="C10059" s="243">
        <v>2</v>
      </c>
      <c r="D10059" s="248">
        <f t="shared" si="1172"/>
        <v>45993</v>
      </c>
      <c r="E10059" s="249">
        <f t="shared" si="1173"/>
        <v>45993</v>
      </c>
      <c r="F10059" s="477"/>
      <c r="G10059" s="244" t="s">
        <v>86</v>
      </c>
      <c r="H10059" s="244"/>
      <c r="I10059" s="245"/>
      <c r="J10059" s="246" t="s">
        <v>82</v>
      </c>
      <c r="K10059" s="247"/>
      <c r="L10059" s="247">
        <f>K10058</f>
        <v>133012.58000004292</v>
      </c>
    </row>
    <row r="10060" spans="1:14" ht="11.25" customHeight="1" x14ac:dyDescent="0.2">
      <c r="A10060" s="236">
        <v>2025</v>
      </c>
      <c r="B10060" s="236">
        <v>12</v>
      </c>
      <c r="C10060" s="236">
        <v>2</v>
      </c>
      <c r="D10060" s="237">
        <f t="shared" si="1172"/>
        <v>45993</v>
      </c>
      <c r="E10060" s="238">
        <f t="shared" si="1173"/>
        <v>45993</v>
      </c>
      <c r="F10060" s="476" t="s">
        <v>1120</v>
      </c>
      <c r="G10060" s="239" t="s">
        <v>86</v>
      </c>
      <c r="H10060" s="239"/>
      <c r="I10060" s="240"/>
      <c r="J10060" s="241" t="s">
        <v>87</v>
      </c>
      <c r="K10060" s="242">
        <v>392.46467817896388</v>
      </c>
      <c r="L10060" s="242"/>
      <c r="M10060" s="401"/>
    </row>
    <row r="10061" spans="1:14" ht="11.25" customHeight="1" x14ac:dyDescent="0.2">
      <c r="A10061" s="243">
        <v>2025</v>
      </c>
      <c r="B10061" s="243">
        <v>12</v>
      </c>
      <c r="C10061" s="243">
        <v>2</v>
      </c>
      <c r="D10061" s="248">
        <f t="shared" si="1172"/>
        <v>45993</v>
      </c>
      <c r="E10061" s="249">
        <f t="shared" si="1173"/>
        <v>45993</v>
      </c>
      <c r="F10061" s="477"/>
      <c r="G10061" s="244" t="s">
        <v>86</v>
      </c>
      <c r="H10061" s="244"/>
      <c r="I10061" s="245"/>
      <c r="J10061" s="246" t="s">
        <v>64</v>
      </c>
      <c r="K10061" s="247"/>
      <c r="L10061" s="247">
        <f>K10060</f>
        <v>392.46467817896388</v>
      </c>
    </row>
    <row r="10062" spans="1:14" ht="11.25" customHeight="1" x14ac:dyDescent="0.2">
      <c r="A10062" s="236">
        <v>2025</v>
      </c>
      <c r="B10062" s="236">
        <v>12</v>
      </c>
      <c r="C10062" s="236">
        <v>2</v>
      </c>
      <c r="D10062" s="237">
        <f t="shared" si="1172"/>
        <v>45993</v>
      </c>
      <c r="E10062" s="238">
        <f t="shared" si="1173"/>
        <v>45993</v>
      </c>
      <c r="F10062" s="476" t="s">
        <v>1121</v>
      </c>
      <c r="G10062" s="239" t="s">
        <v>86</v>
      </c>
      <c r="H10062" s="239"/>
      <c r="I10062" s="240"/>
      <c r="J10062" s="241" t="s">
        <v>89</v>
      </c>
      <c r="K10062" s="242">
        <f>M10062</f>
        <v>13221.261240181668</v>
      </c>
      <c r="L10062" s="242"/>
      <c r="M10062" s="448">
        <v>13221.261240181668</v>
      </c>
    </row>
    <row r="10063" spans="1:14" ht="11.25" customHeight="1" x14ac:dyDescent="0.2">
      <c r="A10063" s="243">
        <v>2025</v>
      </c>
      <c r="B10063" s="243">
        <v>12</v>
      </c>
      <c r="C10063" s="243">
        <v>2</v>
      </c>
      <c r="D10063" s="248">
        <f t="shared" si="1172"/>
        <v>45993</v>
      </c>
      <c r="E10063" s="249">
        <f t="shared" si="1173"/>
        <v>45993</v>
      </c>
      <c r="F10063" s="477"/>
      <c r="G10063" s="244" t="s">
        <v>86</v>
      </c>
      <c r="H10063" s="244"/>
      <c r="I10063" s="245"/>
      <c r="J10063" s="246" t="s">
        <v>50</v>
      </c>
      <c r="K10063" s="247"/>
      <c r="L10063" s="247">
        <f>K10062</f>
        <v>13221.261240181668</v>
      </c>
      <c r="M10063" s="448">
        <v>626.72240266842414</v>
      </c>
    </row>
    <row r="10064" spans="1:14" ht="11.25" customHeight="1" x14ac:dyDescent="0.2">
      <c r="A10064" s="236">
        <v>2025</v>
      </c>
      <c r="B10064" s="236">
        <v>12</v>
      </c>
      <c r="C10064" s="236">
        <v>2</v>
      </c>
      <c r="D10064" s="237">
        <f t="shared" si="1172"/>
        <v>45993</v>
      </c>
      <c r="E10064" s="238">
        <f t="shared" si="1173"/>
        <v>45993</v>
      </c>
      <c r="F10064" s="476" t="s">
        <v>1122</v>
      </c>
      <c r="G10064" s="239" t="s">
        <v>86</v>
      </c>
      <c r="H10064" s="239"/>
      <c r="I10064" s="240"/>
      <c r="J10064" s="241" t="s">
        <v>91</v>
      </c>
      <c r="K10064" s="242">
        <f>M10063</f>
        <v>626.72240266842414</v>
      </c>
      <c r="L10064" s="242"/>
    </row>
    <row r="10065" spans="1:14" ht="11.25" customHeight="1" x14ac:dyDescent="0.2">
      <c r="A10065" s="243">
        <v>2025</v>
      </c>
      <c r="B10065" s="243">
        <v>12</v>
      </c>
      <c r="C10065" s="243">
        <v>2</v>
      </c>
      <c r="D10065" s="248">
        <f t="shared" si="1172"/>
        <v>45993</v>
      </c>
      <c r="E10065" s="249">
        <f t="shared" si="1173"/>
        <v>45993</v>
      </c>
      <c r="F10065" s="477"/>
      <c r="G10065" s="244" t="s">
        <v>86</v>
      </c>
      <c r="H10065" s="244"/>
      <c r="I10065" s="245"/>
      <c r="J10065" s="246" t="s">
        <v>51</v>
      </c>
      <c r="K10065" s="247"/>
      <c r="L10065" s="247">
        <f>K10064</f>
        <v>626.72240266842414</v>
      </c>
    </row>
    <row r="10066" spans="1:14" ht="11.25" customHeight="1" x14ac:dyDescent="0.2">
      <c r="A10066" s="221">
        <v>2025</v>
      </c>
      <c r="B10066" s="221">
        <v>12</v>
      </c>
      <c r="C10066" s="221">
        <v>3</v>
      </c>
      <c r="D10066" s="221">
        <f t="shared" si="1172"/>
        <v>45994</v>
      </c>
      <c r="E10066" s="233">
        <f t="shared" si="1173"/>
        <v>45994</v>
      </c>
      <c r="F10066" s="478" t="s">
        <v>1293</v>
      </c>
      <c r="G10066" s="222" t="s">
        <v>1111</v>
      </c>
      <c r="H10066" s="222"/>
      <c r="I10066" s="223"/>
      <c r="J10066" s="224" t="s">
        <v>55</v>
      </c>
      <c r="K10066" s="225">
        <v>3210000</v>
      </c>
      <c r="L10066" s="205"/>
    </row>
    <row r="10067" spans="1:14" ht="11.25" customHeight="1" x14ac:dyDescent="0.2">
      <c r="A10067" s="164">
        <v>2025</v>
      </c>
      <c r="B10067" s="164">
        <v>12</v>
      </c>
      <c r="C10067" s="164">
        <v>3</v>
      </c>
      <c r="D10067" s="164">
        <f t="shared" si="1172"/>
        <v>45994</v>
      </c>
      <c r="E10067" s="235">
        <f t="shared" ref="E10067" si="1174">DATE(A10067,B10067,C10067)</f>
        <v>45994</v>
      </c>
      <c r="F10067" s="480"/>
      <c r="G10067" s="208" t="s">
        <v>1111</v>
      </c>
      <c r="H10067" s="208"/>
      <c r="J10067" s="165" t="s">
        <v>200</v>
      </c>
      <c r="K10067" s="205"/>
      <c r="L10067" s="205">
        <v>710000</v>
      </c>
    </row>
    <row r="10068" spans="1:14" ht="11.25" customHeight="1" x14ac:dyDescent="0.2">
      <c r="A10068" s="226">
        <v>2025</v>
      </c>
      <c r="B10068" s="226">
        <v>12</v>
      </c>
      <c r="C10068" s="226">
        <v>3</v>
      </c>
      <c r="D10068" s="226">
        <f t="shared" si="1172"/>
        <v>45994</v>
      </c>
      <c r="E10068" s="234">
        <f t="shared" si="1173"/>
        <v>45994</v>
      </c>
      <c r="F10068" s="479"/>
      <c r="G10068" s="227" t="s">
        <v>1111</v>
      </c>
      <c r="H10068" s="228"/>
      <c r="I10068" s="228"/>
      <c r="J10068" s="229" t="s">
        <v>80</v>
      </c>
      <c r="K10068" s="230"/>
      <c r="L10068" s="230">
        <v>2500000</v>
      </c>
    </row>
    <row r="10069" spans="1:14" ht="11.25" customHeight="1" x14ac:dyDescent="0.2">
      <c r="A10069" s="221">
        <v>2025</v>
      </c>
      <c r="B10069" s="221">
        <v>12</v>
      </c>
      <c r="C10069" s="221">
        <v>3</v>
      </c>
      <c r="D10069" s="221">
        <f t="shared" si="1172"/>
        <v>45994</v>
      </c>
      <c r="E10069" s="233">
        <f t="shared" si="1173"/>
        <v>45994</v>
      </c>
      <c r="F10069" s="478" t="s">
        <v>1930</v>
      </c>
      <c r="G10069" s="222" t="s">
        <v>86</v>
      </c>
      <c r="H10069" s="222"/>
      <c r="I10069" s="223"/>
      <c r="J10069" s="224" t="s">
        <v>80</v>
      </c>
      <c r="K10069" s="225">
        <v>472190</v>
      </c>
      <c r="L10069" s="225"/>
      <c r="N10069" s="263"/>
    </row>
    <row r="10070" spans="1:14" ht="11.25" customHeight="1" x14ac:dyDescent="0.2">
      <c r="A10070" s="164">
        <v>2025</v>
      </c>
      <c r="B10070" s="164">
        <v>12</v>
      </c>
      <c r="C10070" s="164">
        <v>3</v>
      </c>
      <c r="D10070" s="164">
        <f t="shared" si="1172"/>
        <v>45994</v>
      </c>
      <c r="E10070" s="235">
        <f t="shared" si="1173"/>
        <v>45994</v>
      </c>
      <c r="F10070" s="480"/>
      <c r="G10070" s="208" t="s">
        <v>86</v>
      </c>
      <c r="H10070" s="208"/>
      <c r="J10070" s="165" t="s">
        <v>960</v>
      </c>
      <c r="K10070" s="205">
        <v>849.94</v>
      </c>
      <c r="L10070" s="205"/>
      <c r="M10070" s="263"/>
      <c r="N10070" s="263"/>
    </row>
    <row r="10071" spans="1:14" ht="11.25" customHeight="1" x14ac:dyDescent="0.2">
      <c r="A10071" s="226">
        <v>2025</v>
      </c>
      <c r="B10071" s="226">
        <v>12</v>
      </c>
      <c r="C10071" s="226">
        <v>3</v>
      </c>
      <c r="D10071" s="226">
        <f t="shared" si="1172"/>
        <v>45994</v>
      </c>
      <c r="E10071" s="234">
        <f t="shared" si="1173"/>
        <v>45994</v>
      </c>
      <c r="F10071" s="479"/>
      <c r="G10071" s="227" t="s">
        <v>86</v>
      </c>
      <c r="H10071" s="227"/>
      <c r="I10071" s="228"/>
      <c r="J10071" s="229" t="s">
        <v>961</v>
      </c>
      <c r="K10071" s="294"/>
      <c r="L10071" s="230">
        <v>473039.94</v>
      </c>
      <c r="M10071" s="263"/>
      <c r="N10071" s="263"/>
    </row>
    <row r="10072" spans="1:14" ht="11.25" customHeight="1" x14ac:dyDescent="0.2">
      <c r="A10072" s="221">
        <v>2025</v>
      </c>
      <c r="B10072" s="221">
        <v>12</v>
      </c>
      <c r="C10072" s="221">
        <v>3</v>
      </c>
      <c r="D10072" s="231">
        <f t="shared" si="1172"/>
        <v>45994</v>
      </c>
      <c r="E10072" s="233">
        <f t="shared" ref="E10072:E10073" si="1175">DATE(A10072,B10072,C10072)</f>
        <v>45994</v>
      </c>
      <c r="F10072" s="478" t="s">
        <v>1945</v>
      </c>
      <c r="G10072" s="222" t="s">
        <v>1111</v>
      </c>
      <c r="H10072" s="223"/>
      <c r="I10072" s="223"/>
      <c r="J10072" s="224" t="s">
        <v>55</v>
      </c>
      <c r="K10072" s="225">
        <v>99317.23</v>
      </c>
      <c r="L10072" s="225"/>
    </row>
    <row r="10073" spans="1:14" ht="11.25" customHeight="1" x14ac:dyDescent="0.2">
      <c r="A10073" s="226">
        <v>2025</v>
      </c>
      <c r="B10073" s="226">
        <v>12</v>
      </c>
      <c r="C10073" s="226">
        <v>3</v>
      </c>
      <c r="D10073" s="232">
        <f t="shared" si="1172"/>
        <v>45994</v>
      </c>
      <c r="E10073" s="234">
        <f t="shared" si="1175"/>
        <v>45994</v>
      </c>
      <c r="F10073" s="479"/>
      <c r="G10073" s="227" t="s">
        <v>1111</v>
      </c>
      <c r="H10073" s="228"/>
      <c r="I10073" s="228"/>
      <c r="J10073" s="229" t="s">
        <v>199</v>
      </c>
      <c r="K10073" s="230"/>
      <c r="L10073" s="230">
        <f>K10072</f>
        <v>99317.23</v>
      </c>
    </row>
    <row r="10074" spans="1:14" ht="11.25" customHeight="1" x14ac:dyDescent="0.2">
      <c r="A10074" s="221">
        <v>2025</v>
      </c>
      <c r="B10074" s="221">
        <v>12</v>
      </c>
      <c r="C10074" s="221">
        <v>3</v>
      </c>
      <c r="D10074" s="231">
        <f t="shared" si="1172"/>
        <v>45994</v>
      </c>
      <c r="E10074" s="233">
        <f t="shared" si="1173"/>
        <v>45994</v>
      </c>
      <c r="F10074" s="478" t="s">
        <v>1844</v>
      </c>
      <c r="G10074" s="222" t="s">
        <v>1111</v>
      </c>
      <c r="H10074" s="223"/>
      <c r="I10074" s="223"/>
      <c r="J10074" s="224" t="s">
        <v>55</v>
      </c>
      <c r="K10074" s="225">
        <v>2335481.12</v>
      </c>
      <c r="L10074" s="225"/>
    </row>
    <row r="10075" spans="1:14" ht="11.25" customHeight="1" x14ac:dyDescent="0.2">
      <c r="A10075" s="226">
        <v>2025</v>
      </c>
      <c r="B10075" s="226">
        <v>12</v>
      </c>
      <c r="C10075" s="226">
        <v>3</v>
      </c>
      <c r="D10075" s="232">
        <f t="shared" si="1172"/>
        <v>45994</v>
      </c>
      <c r="E10075" s="234">
        <f t="shared" si="1173"/>
        <v>45994</v>
      </c>
      <c r="F10075" s="479"/>
      <c r="G10075" s="227" t="s">
        <v>1111</v>
      </c>
      <c r="H10075" s="228"/>
      <c r="I10075" s="228"/>
      <c r="J10075" s="229" t="s">
        <v>199</v>
      </c>
      <c r="K10075" s="230"/>
      <c r="L10075" s="230">
        <f>K10074</f>
        <v>2335481.12</v>
      </c>
    </row>
    <row r="10076" spans="1:14" ht="11.25" customHeight="1" x14ac:dyDescent="0.2">
      <c r="A10076" s="280">
        <v>2025</v>
      </c>
      <c r="B10076" s="280">
        <v>12</v>
      </c>
      <c r="C10076" s="280">
        <v>3</v>
      </c>
      <c r="D10076" s="281">
        <f t="shared" si="1172"/>
        <v>45994</v>
      </c>
      <c r="E10076" s="282">
        <f t="shared" si="1173"/>
        <v>45994</v>
      </c>
      <c r="F10076" s="472" t="s">
        <v>1744</v>
      </c>
      <c r="G10076" s="283" t="s">
        <v>86</v>
      </c>
      <c r="H10076" s="284"/>
      <c r="I10076" s="284"/>
      <c r="J10076" s="285" t="s">
        <v>131</v>
      </c>
      <c r="K10076" s="286">
        <v>2765.4757142857147</v>
      </c>
      <c r="L10076" s="286"/>
      <c r="M10076" s="401">
        <f>K10076/7</f>
        <v>395.06795918367351</v>
      </c>
    </row>
    <row r="10077" spans="1:14" ht="11.25" customHeight="1" x14ac:dyDescent="0.2">
      <c r="A10077" s="287">
        <v>2025</v>
      </c>
      <c r="B10077" s="287">
        <v>12</v>
      </c>
      <c r="C10077" s="287">
        <v>3</v>
      </c>
      <c r="D10077" s="288">
        <f t="shared" si="1172"/>
        <v>45994</v>
      </c>
      <c r="E10077" s="289">
        <f t="shared" si="1173"/>
        <v>45994</v>
      </c>
      <c r="F10077" s="473"/>
      <c r="G10077" s="290" t="s">
        <v>86</v>
      </c>
      <c r="H10077" s="291"/>
      <c r="I10077" s="291"/>
      <c r="J10077" s="292" t="s">
        <v>174</v>
      </c>
      <c r="K10077" s="293"/>
      <c r="L10077" s="293">
        <f>K10076</f>
        <v>2765.4757142857147</v>
      </c>
    </row>
    <row r="10078" spans="1:14" ht="11.25" customHeight="1" x14ac:dyDescent="0.2">
      <c r="A10078" s="280">
        <v>2025</v>
      </c>
      <c r="B10078" s="280">
        <v>12</v>
      </c>
      <c r="C10078" s="280">
        <v>3</v>
      </c>
      <c r="D10078" s="281">
        <f t="shared" si="1172"/>
        <v>45994</v>
      </c>
      <c r="E10078" s="282">
        <f t="shared" si="1173"/>
        <v>45994</v>
      </c>
      <c r="F10078" s="472" t="s">
        <v>1584</v>
      </c>
      <c r="G10078" s="283" t="s">
        <v>86</v>
      </c>
      <c r="H10078" s="284"/>
      <c r="I10078" s="284"/>
      <c r="J10078" s="285" t="s">
        <v>131</v>
      </c>
      <c r="K10078" s="286">
        <v>1263.7357142857143</v>
      </c>
      <c r="L10078" s="286"/>
      <c r="M10078" s="401">
        <f>K10078/7</f>
        <v>180.53367346938776</v>
      </c>
    </row>
    <row r="10079" spans="1:14" ht="11.25" customHeight="1" x14ac:dyDescent="0.2">
      <c r="A10079" s="287">
        <v>2025</v>
      </c>
      <c r="B10079" s="287">
        <v>12</v>
      </c>
      <c r="C10079" s="287">
        <v>3</v>
      </c>
      <c r="D10079" s="288">
        <f t="shared" si="1172"/>
        <v>45994</v>
      </c>
      <c r="E10079" s="289">
        <f t="shared" si="1173"/>
        <v>45994</v>
      </c>
      <c r="F10079" s="473"/>
      <c r="G10079" s="290" t="s">
        <v>86</v>
      </c>
      <c r="H10079" s="291"/>
      <c r="I10079" s="291"/>
      <c r="J10079" s="292" t="s">
        <v>174</v>
      </c>
      <c r="K10079" s="293"/>
      <c r="L10079" s="293">
        <f>K10078</f>
        <v>1263.7357142857143</v>
      </c>
    </row>
    <row r="10080" spans="1:14" ht="11.25" customHeight="1" x14ac:dyDescent="0.2">
      <c r="A10080" s="280">
        <v>2025</v>
      </c>
      <c r="B10080" s="280">
        <v>12</v>
      </c>
      <c r="C10080" s="280">
        <v>3</v>
      </c>
      <c r="D10080" s="281">
        <f t="shared" si="1172"/>
        <v>45994</v>
      </c>
      <c r="E10080" s="282">
        <f t="shared" si="1173"/>
        <v>45994</v>
      </c>
      <c r="F10080" s="472" t="s">
        <v>1955</v>
      </c>
      <c r="G10080" s="283" t="s">
        <v>86</v>
      </c>
      <c r="H10080" s="284"/>
      <c r="I10080" s="284"/>
      <c r="J10080" s="285" t="s">
        <v>1978</v>
      </c>
      <c r="K10080" s="286">
        <v>6185.4395604395604</v>
      </c>
      <c r="L10080" s="286"/>
      <c r="M10080" s="401">
        <f>K10080/7</f>
        <v>883.6342229199372</v>
      </c>
    </row>
    <row r="10081" spans="1:14" ht="11.25" customHeight="1" x14ac:dyDescent="0.2">
      <c r="A10081" s="287">
        <v>2025</v>
      </c>
      <c r="B10081" s="287">
        <v>12</v>
      </c>
      <c r="C10081" s="287">
        <v>3</v>
      </c>
      <c r="D10081" s="288">
        <f t="shared" si="1172"/>
        <v>45994</v>
      </c>
      <c r="E10081" s="289">
        <f t="shared" si="1173"/>
        <v>45994</v>
      </c>
      <c r="F10081" s="473"/>
      <c r="G10081" s="290" t="s">
        <v>86</v>
      </c>
      <c r="H10081" s="291"/>
      <c r="I10081" s="291"/>
      <c r="J10081" s="292" t="s">
        <v>1955</v>
      </c>
      <c r="K10081" s="293"/>
      <c r="L10081" s="293">
        <f>K10080</f>
        <v>6185.4395604395604</v>
      </c>
    </row>
    <row r="10082" spans="1:14" ht="11.25" customHeight="1" x14ac:dyDescent="0.2">
      <c r="A10082" s="341">
        <v>2025</v>
      </c>
      <c r="B10082" s="341">
        <v>12</v>
      </c>
      <c r="C10082" s="341">
        <v>3</v>
      </c>
      <c r="D10082" s="328">
        <f t="shared" si="1172"/>
        <v>45994</v>
      </c>
      <c r="E10082" s="329">
        <f t="shared" si="1173"/>
        <v>45994</v>
      </c>
      <c r="F10082" s="474" t="s">
        <v>1767</v>
      </c>
      <c r="G10082" s="330" t="s">
        <v>86</v>
      </c>
      <c r="H10082" s="332"/>
      <c r="I10082" s="332"/>
      <c r="J10082" s="342" t="s">
        <v>67</v>
      </c>
      <c r="K10082" s="343">
        <v>1483.8591174999999</v>
      </c>
      <c r="L10082" s="343"/>
    </row>
    <row r="10083" spans="1:14" ht="11.25" customHeight="1" x14ac:dyDescent="0.2">
      <c r="A10083" s="344">
        <v>2025</v>
      </c>
      <c r="B10083" s="344">
        <v>12</v>
      </c>
      <c r="C10083" s="344">
        <v>3</v>
      </c>
      <c r="D10083" s="337">
        <f t="shared" si="1172"/>
        <v>45994</v>
      </c>
      <c r="E10083" s="338">
        <f t="shared" si="1173"/>
        <v>45994</v>
      </c>
      <c r="F10083" s="475"/>
      <c r="G10083" s="339" t="s">
        <v>86</v>
      </c>
      <c r="H10083" s="340"/>
      <c r="I10083" s="340"/>
      <c r="J10083" s="345" t="s">
        <v>174</v>
      </c>
      <c r="K10083" s="346"/>
      <c r="L10083" s="346">
        <f>K10082</f>
        <v>1483.8591174999999</v>
      </c>
    </row>
    <row r="10084" spans="1:14" ht="11.25" customHeight="1" x14ac:dyDescent="0.2">
      <c r="A10084" s="358">
        <v>2025</v>
      </c>
      <c r="B10084" s="358">
        <v>12</v>
      </c>
      <c r="C10084" s="358">
        <v>3</v>
      </c>
      <c r="D10084" s="312">
        <f t="shared" si="1172"/>
        <v>45994</v>
      </c>
      <c r="E10084" s="313">
        <f>DATE(A10084,B10084,C10084)</f>
        <v>45994</v>
      </c>
      <c r="F10084" s="482" t="s">
        <v>1627</v>
      </c>
      <c r="G10084" s="314" t="s">
        <v>86</v>
      </c>
      <c r="H10084" s="324"/>
      <c r="I10084" s="324"/>
      <c r="J10084" s="364" t="s">
        <v>1613</v>
      </c>
      <c r="K10084" s="365"/>
      <c r="L10084" s="365"/>
      <c r="M10084" s="156">
        <f>BS!$I$12</f>
        <v>0</v>
      </c>
    </row>
    <row r="10085" spans="1:14" ht="11.25" customHeight="1" x14ac:dyDescent="0.2">
      <c r="A10085" s="320">
        <v>2025</v>
      </c>
      <c r="B10085" s="320">
        <v>12</v>
      </c>
      <c r="C10085" s="320">
        <v>3</v>
      </c>
      <c r="D10085" s="323">
        <f t="shared" si="1172"/>
        <v>45994</v>
      </c>
      <c r="E10085" s="321">
        <f t="shared" ref="E10085" si="1176">DATE(A10085,B10085,C10085)</f>
        <v>45994</v>
      </c>
      <c r="F10085" s="483"/>
      <c r="G10085" s="322" t="s">
        <v>86</v>
      </c>
      <c r="H10085" s="325"/>
      <c r="I10085" s="325"/>
      <c r="J10085" s="366" t="s">
        <v>1621</v>
      </c>
      <c r="K10085" s="367"/>
      <c r="L10085" s="367">
        <f>K10084</f>
        <v>0</v>
      </c>
    </row>
    <row r="10086" spans="1:14" ht="11.25" customHeight="1" x14ac:dyDescent="0.2">
      <c r="A10086" s="358">
        <v>2025</v>
      </c>
      <c r="B10086" s="358">
        <v>12</v>
      </c>
      <c r="C10086" s="358">
        <v>3</v>
      </c>
      <c r="D10086" s="312">
        <f t="shared" si="1172"/>
        <v>45994</v>
      </c>
      <c r="E10086" s="313">
        <f>DATE(A10086,B10086,C10086)</f>
        <v>45994</v>
      </c>
      <c r="F10086" s="482" t="s">
        <v>1713</v>
      </c>
      <c r="G10086" s="314" t="s">
        <v>86</v>
      </c>
      <c r="H10086" s="324"/>
      <c r="I10086" s="324"/>
      <c r="J10086" s="364" t="s">
        <v>1622</v>
      </c>
      <c r="K10086" s="365">
        <v>195.93699999991804</v>
      </c>
      <c r="L10086" s="365"/>
      <c r="M10086" s="447">
        <f>BS!$I$15</f>
        <v>0</v>
      </c>
      <c r="N10086" s="166"/>
    </row>
    <row r="10087" spans="1:14" ht="11.25" customHeight="1" x14ac:dyDescent="0.2">
      <c r="A10087" s="320">
        <v>2025</v>
      </c>
      <c r="B10087" s="320">
        <v>12</v>
      </c>
      <c r="C10087" s="320">
        <v>3</v>
      </c>
      <c r="D10087" s="323">
        <f t="shared" si="1172"/>
        <v>45994</v>
      </c>
      <c r="E10087" s="321">
        <f t="shared" ref="E10087:E10097" si="1177">DATE(A10087,B10087,C10087)</f>
        <v>45994</v>
      </c>
      <c r="F10087" s="483"/>
      <c r="G10087" s="322" t="s">
        <v>86</v>
      </c>
      <c r="H10087" s="325"/>
      <c r="I10087" s="325"/>
      <c r="J10087" s="366" t="s">
        <v>1614</v>
      </c>
      <c r="K10087" s="367"/>
      <c r="L10087" s="367">
        <f>K10086</f>
        <v>195.93699999991804</v>
      </c>
    </row>
    <row r="10088" spans="1:14" ht="11.25" customHeight="1" x14ac:dyDescent="0.2">
      <c r="A10088" s="236">
        <v>2025</v>
      </c>
      <c r="B10088" s="236">
        <v>12</v>
      </c>
      <c r="C10088" s="236">
        <v>3</v>
      </c>
      <c r="D10088" s="237">
        <f t="shared" si="1172"/>
        <v>45994</v>
      </c>
      <c r="E10088" s="238">
        <f t="shared" si="1177"/>
        <v>45994</v>
      </c>
      <c r="F10088" s="476" t="s">
        <v>1118</v>
      </c>
      <c r="G10088" s="239" t="s">
        <v>86</v>
      </c>
      <c r="H10088" s="239"/>
      <c r="I10088" s="240"/>
      <c r="J10088" s="241" t="s">
        <v>82</v>
      </c>
      <c r="K10088" s="242">
        <v>971426.92000001669</v>
      </c>
      <c r="L10088" s="242"/>
      <c r="M10088" s="156">
        <f>BS!$I$8</f>
        <v>0</v>
      </c>
    </row>
    <row r="10089" spans="1:14" ht="11.25" customHeight="1" x14ac:dyDescent="0.2">
      <c r="A10089" s="243">
        <v>2025</v>
      </c>
      <c r="B10089" s="243">
        <v>12</v>
      </c>
      <c r="C10089" s="243">
        <v>3</v>
      </c>
      <c r="D10089" s="248">
        <f t="shared" si="1172"/>
        <v>45994</v>
      </c>
      <c r="E10089" s="249">
        <f t="shared" si="1177"/>
        <v>45994</v>
      </c>
      <c r="F10089" s="477"/>
      <c r="G10089" s="244" t="s">
        <v>86</v>
      </c>
      <c r="H10089" s="244"/>
      <c r="I10089" s="245"/>
      <c r="J10089" s="246" t="s">
        <v>98</v>
      </c>
      <c r="K10089" s="247"/>
      <c r="L10089" s="247">
        <f>K10088</f>
        <v>971426.92000001669</v>
      </c>
    </row>
    <row r="10090" spans="1:14" ht="11.25" customHeight="1" x14ac:dyDescent="0.2">
      <c r="A10090" s="236">
        <v>2025</v>
      </c>
      <c r="B10090" s="236">
        <v>12</v>
      </c>
      <c r="C10090" s="236">
        <v>3</v>
      </c>
      <c r="D10090" s="237">
        <f t="shared" si="1172"/>
        <v>45994</v>
      </c>
      <c r="E10090" s="238">
        <f t="shared" si="1177"/>
        <v>45994</v>
      </c>
      <c r="F10090" s="476" t="s">
        <v>1120</v>
      </c>
      <c r="G10090" s="239" t="s">
        <v>86</v>
      </c>
      <c r="H10090" s="239"/>
      <c r="I10090" s="240"/>
      <c r="J10090" s="241" t="s">
        <v>87</v>
      </c>
      <c r="K10090" s="242">
        <v>392.46467817896388</v>
      </c>
      <c r="L10090" s="242"/>
      <c r="M10090" s="401"/>
    </row>
    <row r="10091" spans="1:14" ht="11.25" customHeight="1" x14ac:dyDescent="0.2">
      <c r="A10091" s="243">
        <v>2025</v>
      </c>
      <c r="B10091" s="243">
        <v>12</v>
      </c>
      <c r="C10091" s="243">
        <v>3</v>
      </c>
      <c r="D10091" s="248">
        <f t="shared" si="1172"/>
        <v>45994</v>
      </c>
      <c r="E10091" s="249">
        <f t="shared" si="1177"/>
        <v>45994</v>
      </c>
      <c r="F10091" s="477"/>
      <c r="G10091" s="244" t="s">
        <v>86</v>
      </c>
      <c r="H10091" s="244"/>
      <c r="I10091" s="245"/>
      <c r="J10091" s="246" t="s">
        <v>64</v>
      </c>
      <c r="K10091" s="247"/>
      <c r="L10091" s="247">
        <f>K10090</f>
        <v>392.46467817896388</v>
      </c>
    </row>
    <row r="10092" spans="1:14" ht="11.25" customHeight="1" x14ac:dyDescent="0.2">
      <c r="A10092" s="236">
        <v>2025</v>
      </c>
      <c r="B10092" s="236">
        <v>12</v>
      </c>
      <c r="C10092" s="236">
        <v>3</v>
      </c>
      <c r="D10092" s="237">
        <f t="shared" si="1172"/>
        <v>45994</v>
      </c>
      <c r="E10092" s="238">
        <f t="shared" si="1177"/>
        <v>45994</v>
      </c>
      <c r="F10092" s="476" t="s">
        <v>1121</v>
      </c>
      <c r="G10092" s="239" t="s">
        <v>86</v>
      </c>
      <c r="H10092" s="239"/>
      <c r="I10092" s="240"/>
      <c r="J10092" s="241" t="s">
        <v>89</v>
      </c>
      <c r="K10092" s="242">
        <f>M10092</f>
        <v>13205.960644310382</v>
      </c>
      <c r="L10092" s="242"/>
      <c r="M10092" s="448">
        <v>13205.960644310382</v>
      </c>
    </row>
    <row r="10093" spans="1:14" ht="11.25" customHeight="1" x14ac:dyDescent="0.2">
      <c r="A10093" s="243">
        <v>2025</v>
      </c>
      <c r="B10093" s="243">
        <v>12</v>
      </c>
      <c r="C10093" s="243">
        <v>3</v>
      </c>
      <c r="D10093" s="248">
        <f t="shared" si="1172"/>
        <v>45994</v>
      </c>
      <c r="E10093" s="249">
        <f t="shared" si="1177"/>
        <v>45994</v>
      </c>
      <c r="F10093" s="477"/>
      <c r="G10093" s="244" t="s">
        <v>86</v>
      </c>
      <c r="H10093" s="244"/>
      <c r="I10093" s="245"/>
      <c r="J10093" s="246" t="s">
        <v>50</v>
      </c>
      <c r="K10093" s="247"/>
      <c r="L10093" s="247">
        <f>K10092</f>
        <v>13205.960644310382</v>
      </c>
      <c r="M10093" s="448">
        <v>625.95737287485986</v>
      </c>
    </row>
    <row r="10094" spans="1:14" ht="11.25" customHeight="1" x14ac:dyDescent="0.2">
      <c r="A10094" s="236">
        <v>2025</v>
      </c>
      <c r="B10094" s="236">
        <v>12</v>
      </c>
      <c r="C10094" s="236">
        <v>3</v>
      </c>
      <c r="D10094" s="237">
        <f t="shared" si="1172"/>
        <v>45994</v>
      </c>
      <c r="E10094" s="238">
        <f t="shared" si="1177"/>
        <v>45994</v>
      </c>
      <c r="F10094" s="476" t="s">
        <v>1122</v>
      </c>
      <c r="G10094" s="239" t="s">
        <v>86</v>
      </c>
      <c r="H10094" s="239"/>
      <c r="I10094" s="240"/>
      <c r="J10094" s="241" t="s">
        <v>91</v>
      </c>
      <c r="K10094" s="242">
        <f>M10093</f>
        <v>625.95737287485986</v>
      </c>
      <c r="L10094" s="242"/>
    </row>
    <row r="10095" spans="1:14" ht="11.25" customHeight="1" x14ac:dyDescent="0.2">
      <c r="A10095" s="243">
        <v>2025</v>
      </c>
      <c r="B10095" s="243">
        <v>12</v>
      </c>
      <c r="C10095" s="243">
        <v>3</v>
      </c>
      <c r="D10095" s="248">
        <f t="shared" si="1172"/>
        <v>45994</v>
      </c>
      <c r="E10095" s="249">
        <f t="shared" si="1177"/>
        <v>45994</v>
      </c>
      <c r="F10095" s="477"/>
      <c r="G10095" s="244" t="s">
        <v>86</v>
      </c>
      <c r="H10095" s="244"/>
      <c r="I10095" s="245"/>
      <c r="J10095" s="246" t="s">
        <v>51</v>
      </c>
      <c r="K10095" s="247"/>
      <c r="L10095" s="247">
        <f>K10094</f>
        <v>625.95737287485986</v>
      </c>
    </row>
    <row r="10096" spans="1:14" ht="11.25" customHeight="1" x14ac:dyDescent="0.2">
      <c r="A10096" s="221">
        <v>2025</v>
      </c>
      <c r="B10096" s="221">
        <v>12</v>
      </c>
      <c r="C10096" s="221">
        <v>4</v>
      </c>
      <c r="D10096" s="231">
        <f t="shared" si="1172"/>
        <v>45995</v>
      </c>
      <c r="E10096" s="233">
        <f t="shared" si="1177"/>
        <v>45995</v>
      </c>
      <c r="F10096" s="478" t="s">
        <v>1940</v>
      </c>
      <c r="G10096" s="222" t="s">
        <v>1111</v>
      </c>
      <c r="H10096" s="223"/>
      <c r="I10096" s="223"/>
      <c r="J10096" s="224" t="s">
        <v>961</v>
      </c>
      <c r="K10096" s="225">
        <v>330493.52</v>
      </c>
      <c r="L10096" s="225"/>
    </row>
    <row r="10097" spans="1:14" ht="11.25" customHeight="1" x14ac:dyDescent="0.2">
      <c r="A10097" s="226">
        <v>2025</v>
      </c>
      <c r="B10097" s="226">
        <v>12</v>
      </c>
      <c r="C10097" s="226">
        <v>4</v>
      </c>
      <c r="D10097" s="232">
        <f t="shared" si="1172"/>
        <v>45995</v>
      </c>
      <c r="E10097" s="234">
        <f t="shared" si="1177"/>
        <v>45995</v>
      </c>
      <c r="F10097" s="479"/>
      <c r="G10097" s="227" t="s">
        <v>1111</v>
      </c>
      <c r="H10097" s="228"/>
      <c r="I10097" s="228"/>
      <c r="J10097" s="229" t="s">
        <v>55</v>
      </c>
      <c r="K10097" s="230"/>
      <c r="L10097" s="230">
        <f>K10096</f>
        <v>330493.52</v>
      </c>
    </row>
    <row r="10098" spans="1:14" ht="11.25" customHeight="1" x14ac:dyDescent="0.2">
      <c r="A10098" s="221">
        <v>2025</v>
      </c>
      <c r="B10098" s="221">
        <v>12</v>
      </c>
      <c r="C10098" s="221">
        <v>4</v>
      </c>
      <c r="D10098" s="221">
        <f t="shared" si="1172"/>
        <v>45995</v>
      </c>
      <c r="E10098" s="233">
        <f t="shared" ref="E10098:E10113" si="1178">DATE(A10098,B10098,C10098)</f>
        <v>45995</v>
      </c>
      <c r="F10098" s="478" t="s">
        <v>1886</v>
      </c>
      <c r="G10098" s="222" t="s">
        <v>86</v>
      </c>
      <c r="H10098" s="222"/>
      <c r="I10098" s="223"/>
      <c r="J10098" s="224" t="s">
        <v>80</v>
      </c>
      <c r="K10098" s="225">
        <v>251300</v>
      </c>
      <c r="L10098" s="225"/>
      <c r="N10098" s="263"/>
    </row>
    <row r="10099" spans="1:14" ht="11.25" customHeight="1" x14ac:dyDescent="0.2">
      <c r="A10099" s="164">
        <v>2025</v>
      </c>
      <c r="B10099" s="164">
        <v>12</v>
      </c>
      <c r="C10099" s="164">
        <v>4</v>
      </c>
      <c r="D10099" s="164">
        <f t="shared" si="1172"/>
        <v>45995</v>
      </c>
      <c r="E10099" s="235">
        <f t="shared" si="1178"/>
        <v>45995</v>
      </c>
      <c r="F10099" s="480"/>
      <c r="G10099" s="208" t="s">
        <v>86</v>
      </c>
      <c r="H10099" s="208"/>
      <c r="J10099" s="165" t="s">
        <v>960</v>
      </c>
      <c r="K10099" s="205">
        <v>709.74</v>
      </c>
      <c r="L10099" s="205"/>
      <c r="M10099" s="263"/>
      <c r="N10099" s="263"/>
    </row>
    <row r="10100" spans="1:14" ht="11.25" customHeight="1" x14ac:dyDescent="0.2">
      <c r="A10100" s="164">
        <v>2025</v>
      </c>
      <c r="B10100" s="164">
        <v>12</v>
      </c>
      <c r="C10100" s="164">
        <v>4</v>
      </c>
      <c r="D10100" s="164">
        <f t="shared" si="1172"/>
        <v>45995</v>
      </c>
      <c r="E10100" s="235">
        <f t="shared" si="1178"/>
        <v>45995</v>
      </c>
      <c r="F10100" s="480"/>
      <c r="G10100" s="208" t="s">
        <v>86</v>
      </c>
      <c r="H10100" s="208"/>
      <c r="J10100" s="165" t="s">
        <v>961</v>
      </c>
      <c r="K10100" s="263"/>
      <c r="L10100" s="205">
        <v>109009.74</v>
      </c>
      <c r="M10100" s="263"/>
      <c r="N10100" s="263"/>
    </row>
    <row r="10101" spans="1:14" ht="11.25" customHeight="1" x14ac:dyDescent="0.2">
      <c r="A10101" s="164">
        <v>2025</v>
      </c>
      <c r="B10101" s="164">
        <v>12</v>
      </c>
      <c r="C10101" s="164">
        <v>4</v>
      </c>
      <c r="D10101" s="164">
        <f t="shared" si="1172"/>
        <v>45995</v>
      </c>
      <c r="E10101" s="235">
        <f t="shared" si="1178"/>
        <v>45995</v>
      </c>
      <c r="F10101" s="480"/>
      <c r="G10101" s="208" t="s">
        <v>86</v>
      </c>
      <c r="H10101" s="208"/>
      <c r="J10101" s="165" t="s">
        <v>200</v>
      </c>
      <c r="K10101" s="205"/>
      <c r="L10101" s="205">
        <v>7341.66</v>
      </c>
      <c r="M10101" s="263"/>
      <c r="N10101" s="263"/>
    </row>
    <row r="10102" spans="1:14" ht="11.25" customHeight="1" x14ac:dyDescent="0.2">
      <c r="A10102" s="226">
        <v>2025</v>
      </c>
      <c r="B10102" s="226">
        <v>12</v>
      </c>
      <c r="C10102" s="226">
        <v>4</v>
      </c>
      <c r="D10102" s="226">
        <f t="shared" si="1172"/>
        <v>45995</v>
      </c>
      <c r="E10102" s="234">
        <f t="shared" si="1178"/>
        <v>45995</v>
      </c>
      <c r="F10102" s="479"/>
      <c r="G10102" s="227" t="s">
        <v>86</v>
      </c>
      <c r="H10102" s="228"/>
      <c r="I10102" s="228"/>
      <c r="J10102" s="229" t="s">
        <v>80</v>
      </c>
      <c r="K10102" s="230"/>
      <c r="L10102" s="230">
        <v>135658.34</v>
      </c>
      <c r="M10102" s="263"/>
      <c r="N10102" s="263"/>
    </row>
    <row r="10103" spans="1:14" ht="11.25" customHeight="1" x14ac:dyDescent="0.2">
      <c r="A10103" s="221">
        <v>2025</v>
      </c>
      <c r="B10103" s="221">
        <v>12</v>
      </c>
      <c r="C10103" s="221">
        <v>4</v>
      </c>
      <c r="D10103" s="221">
        <f t="shared" si="1172"/>
        <v>45995</v>
      </c>
      <c r="E10103" s="233">
        <f t="shared" si="1178"/>
        <v>45995</v>
      </c>
      <c r="F10103" s="478" t="s">
        <v>1936</v>
      </c>
      <c r="G10103" s="222" t="s">
        <v>86</v>
      </c>
      <c r="H10103" s="222"/>
      <c r="I10103" s="223"/>
      <c r="J10103" s="224" t="s">
        <v>80</v>
      </c>
      <c r="K10103" s="225">
        <v>194950</v>
      </c>
      <c r="L10103" s="225"/>
      <c r="N10103" s="263"/>
    </row>
    <row r="10104" spans="1:14" ht="11.25" customHeight="1" x14ac:dyDescent="0.2">
      <c r="A10104" s="164">
        <v>2025</v>
      </c>
      <c r="B10104" s="164">
        <v>12</v>
      </c>
      <c r="C10104" s="164">
        <v>4</v>
      </c>
      <c r="D10104" s="164">
        <f t="shared" si="1172"/>
        <v>45995</v>
      </c>
      <c r="E10104" s="235">
        <f t="shared" si="1178"/>
        <v>45995</v>
      </c>
      <c r="F10104" s="480"/>
      <c r="G10104" s="208" t="s">
        <v>86</v>
      </c>
      <c r="H10104" s="208"/>
      <c r="J10104" s="165" t="s">
        <v>960</v>
      </c>
      <c r="K10104" s="205">
        <v>350.91</v>
      </c>
      <c r="L10104" s="205"/>
      <c r="M10104" s="263"/>
      <c r="N10104" s="263"/>
    </row>
    <row r="10105" spans="1:14" ht="11.25" customHeight="1" x14ac:dyDescent="0.2">
      <c r="A10105" s="226">
        <v>2025</v>
      </c>
      <c r="B10105" s="226">
        <v>12</v>
      </c>
      <c r="C10105" s="226">
        <v>4</v>
      </c>
      <c r="D10105" s="226">
        <f t="shared" si="1172"/>
        <v>45995</v>
      </c>
      <c r="E10105" s="234">
        <f t="shared" si="1178"/>
        <v>45995</v>
      </c>
      <c r="F10105" s="479"/>
      <c r="G10105" s="227" t="s">
        <v>86</v>
      </c>
      <c r="H10105" s="227"/>
      <c r="I10105" s="228"/>
      <c r="J10105" s="229" t="s">
        <v>961</v>
      </c>
      <c r="K10105" s="294"/>
      <c r="L10105" s="230">
        <v>195300.91</v>
      </c>
      <c r="M10105" s="263"/>
      <c r="N10105" s="263"/>
    </row>
    <row r="10106" spans="1:14" ht="11.25" customHeight="1" x14ac:dyDescent="0.2">
      <c r="A10106" s="280">
        <v>2025</v>
      </c>
      <c r="B10106" s="280">
        <v>12</v>
      </c>
      <c r="C10106" s="280">
        <v>4</v>
      </c>
      <c r="D10106" s="281">
        <f t="shared" si="1172"/>
        <v>45995</v>
      </c>
      <c r="E10106" s="282">
        <f t="shared" si="1178"/>
        <v>45995</v>
      </c>
      <c r="F10106" s="472" t="s">
        <v>1744</v>
      </c>
      <c r="G10106" s="283" t="s">
        <v>86</v>
      </c>
      <c r="H10106" s="284"/>
      <c r="I10106" s="284"/>
      <c r="J10106" s="285" t="s">
        <v>131</v>
      </c>
      <c r="K10106" s="286">
        <v>2765.4757142857147</v>
      </c>
      <c r="L10106" s="286"/>
      <c r="M10106" s="401">
        <f>K10106/7</f>
        <v>395.06795918367351</v>
      </c>
    </row>
    <row r="10107" spans="1:14" ht="11.25" customHeight="1" x14ac:dyDescent="0.2">
      <c r="A10107" s="287">
        <v>2025</v>
      </c>
      <c r="B10107" s="287">
        <v>12</v>
      </c>
      <c r="C10107" s="287">
        <v>4</v>
      </c>
      <c r="D10107" s="288">
        <f t="shared" si="1172"/>
        <v>45995</v>
      </c>
      <c r="E10107" s="289">
        <f t="shared" si="1178"/>
        <v>45995</v>
      </c>
      <c r="F10107" s="473"/>
      <c r="G10107" s="290" t="s">
        <v>86</v>
      </c>
      <c r="H10107" s="291"/>
      <c r="I10107" s="291"/>
      <c r="J10107" s="292" t="s">
        <v>174</v>
      </c>
      <c r="K10107" s="293"/>
      <c r="L10107" s="293">
        <f>K10106</f>
        <v>2765.4757142857147</v>
      </c>
    </row>
    <row r="10108" spans="1:14" ht="11.25" customHeight="1" x14ac:dyDescent="0.2">
      <c r="A10108" s="280">
        <v>2025</v>
      </c>
      <c r="B10108" s="280">
        <v>12</v>
      </c>
      <c r="C10108" s="280">
        <v>4</v>
      </c>
      <c r="D10108" s="281">
        <f t="shared" si="1172"/>
        <v>45995</v>
      </c>
      <c r="E10108" s="282">
        <f t="shared" si="1178"/>
        <v>45995</v>
      </c>
      <c r="F10108" s="472" t="s">
        <v>1584</v>
      </c>
      <c r="G10108" s="283" t="s">
        <v>86</v>
      </c>
      <c r="H10108" s="284"/>
      <c r="I10108" s="284"/>
      <c r="J10108" s="285" t="s">
        <v>131</v>
      </c>
      <c r="K10108" s="286">
        <v>1263.7357142857143</v>
      </c>
      <c r="L10108" s="286"/>
      <c r="M10108" s="401">
        <f>K10108/7</f>
        <v>180.53367346938776</v>
      </c>
    </row>
    <row r="10109" spans="1:14" ht="11.25" customHeight="1" x14ac:dyDescent="0.2">
      <c r="A10109" s="287">
        <v>2025</v>
      </c>
      <c r="B10109" s="287">
        <v>12</v>
      </c>
      <c r="C10109" s="287">
        <v>4</v>
      </c>
      <c r="D10109" s="288">
        <f t="shared" si="1172"/>
        <v>45995</v>
      </c>
      <c r="E10109" s="289">
        <f t="shared" si="1178"/>
        <v>45995</v>
      </c>
      <c r="F10109" s="473"/>
      <c r="G10109" s="290" t="s">
        <v>86</v>
      </c>
      <c r="H10109" s="291"/>
      <c r="I10109" s="291"/>
      <c r="J10109" s="292" t="s">
        <v>174</v>
      </c>
      <c r="K10109" s="293"/>
      <c r="L10109" s="293">
        <f>K10108</f>
        <v>1263.7357142857143</v>
      </c>
    </row>
    <row r="10110" spans="1:14" ht="11.25" customHeight="1" x14ac:dyDescent="0.2">
      <c r="A10110" s="280">
        <v>2025</v>
      </c>
      <c r="B10110" s="280">
        <v>12</v>
      </c>
      <c r="C10110" s="280">
        <v>4</v>
      </c>
      <c r="D10110" s="281">
        <f t="shared" si="1172"/>
        <v>45995</v>
      </c>
      <c r="E10110" s="282">
        <f t="shared" si="1178"/>
        <v>45995</v>
      </c>
      <c r="F10110" s="472" t="s">
        <v>1955</v>
      </c>
      <c r="G10110" s="283" t="s">
        <v>86</v>
      </c>
      <c r="H10110" s="284"/>
      <c r="I10110" s="284"/>
      <c r="J10110" s="285" t="s">
        <v>1978</v>
      </c>
      <c r="K10110" s="286">
        <v>6185.4395604395604</v>
      </c>
      <c r="L10110" s="286"/>
      <c r="M10110" s="401">
        <f>K10110/7</f>
        <v>883.6342229199372</v>
      </c>
    </row>
    <row r="10111" spans="1:14" ht="11.25" customHeight="1" x14ac:dyDescent="0.2">
      <c r="A10111" s="287">
        <v>2025</v>
      </c>
      <c r="B10111" s="287">
        <v>12</v>
      </c>
      <c r="C10111" s="287">
        <v>4</v>
      </c>
      <c r="D10111" s="288">
        <f t="shared" si="1172"/>
        <v>45995</v>
      </c>
      <c r="E10111" s="289">
        <f t="shared" si="1178"/>
        <v>45995</v>
      </c>
      <c r="F10111" s="473"/>
      <c r="G10111" s="290" t="s">
        <v>86</v>
      </c>
      <c r="H10111" s="291"/>
      <c r="I10111" s="291"/>
      <c r="J10111" s="292" t="s">
        <v>1955</v>
      </c>
      <c r="K10111" s="293"/>
      <c r="L10111" s="293">
        <f>K10110</f>
        <v>6185.4395604395604</v>
      </c>
    </row>
    <row r="10112" spans="1:14" ht="11.25" customHeight="1" x14ac:dyDescent="0.2">
      <c r="A10112" s="341">
        <v>2025</v>
      </c>
      <c r="B10112" s="341">
        <v>12</v>
      </c>
      <c r="C10112" s="341">
        <v>4</v>
      </c>
      <c r="D10112" s="328">
        <f t="shared" si="1172"/>
        <v>45995</v>
      </c>
      <c r="E10112" s="329">
        <f t="shared" si="1178"/>
        <v>45995</v>
      </c>
      <c r="F10112" s="474" t="s">
        <v>1767</v>
      </c>
      <c r="G10112" s="330" t="s">
        <v>86</v>
      </c>
      <c r="H10112" s="332"/>
      <c r="I10112" s="332"/>
      <c r="J10112" s="342" t="s">
        <v>67</v>
      </c>
      <c r="K10112" s="343">
        <v>1823.6938862499997</v>
      </c>
      <c r="L10112" s="343"/>
    </row>
    <row r="10113" spans="1:14" ht="11.25" customHeight="1" x14ac:dyDescent="0.2">
      <c r="A10113" s="344">
        <v>2025</v>
      </c>
      <c r="B10113" s="344">
        <v>12</v>
      </c>
      <c r="C10113" s="344">
        <v>4</v>
      </c>
      <c r="D10113" s="337">
        <f t="shared" si="1172"/>
        <v>45995</v>
      </c>
      <c r="E10113" s="338">
        <f t="shared" si="1178"/>
        <v>45995</v>
      </c>
      <c r="F10113" s="475"/>
      <c r="G10113" s="339" t="s">
        <v>86</v>
      </c>
      <c r="H10113" s="340"/>
      <c r="I10113" s="340"/>
      <c r="J10113" s="345" t="s">
        <v>174</v>
      </c>
      <c r="K10113" s="346"/>
      <c r="L10113" s="346">
        <f>K10112</f>
        <v>1823.6938862499997</v>
      </c>
    </row>
    <row r="10114" spans="1:14" ht="11.25" customHeight="1" x14ac:dyDescent="0.2">
      <c r="A10114" s="358">
        <v>2025</v>
      </c>
      <c r="B10114" s="358">
        <v>12</v>
      </c>
      <c r="C10114" s="358">
        <v>4</v>
      </c>
      <c r="D10114" s="312">
        <f t="shared" si="1172"/>
        <v>45995</v>
      </c>
      <c r="E10114" s="313">
        <f>DATE(A10114,B10114,C10114)</f>
        <v>45995</v>
      </c>
      <c r="F10114" s="482" t="s">
        <v>1627</v>
      </c>
      <c r="G10114" s="314" t="s">
        <v>86</v>
      </c>
      <c r="H10114" s="324"/>
      <c r="I10114" s="324"/>
      <c r="J10114" s="364" t="s">
        <v>1613</v>
      </c>
      <c r="K10114" s="365"/>
      <c r="L10114" s="365"/>
      <c r="M10114" s="156">
        <f>BS!$I$12</f>
        <v>0</v>
      </c>
    </row>
    <row r="10115" spans="1:14" ht="11.25" customHeight="1" x14ac:dyDescent="0.2">
      <c r="A10115" s="320">
        <v>2025</v>
      </c>
      <c r="B10115" s="320">
        <v>12</v>
      </c>
      <c r="C10115" s="320">
        <v>4</v>
      </c>
      <c r="D10115" s="323">
        <f t="shared" si="1172"/>
        <v>45995</v>
      </c>
      <c r="E10115" s="321">
        <f t="shared" ref="E10115" si="1179">DATE(A10115,B10115,C10115)</f>
        <v>45995</v>
      </c>
      <c r="F10115" s="483"/>
      <c r="G10115" s="322" t="s">
        <v>86</v>
      </c>
      <c r="H10115" s="325"/>
      <c r="I10115" s="325"/>
      <c r="J10115" s="366" t="s">
        <v>1621</v>
      </c>
      <c r="K10115" s="367"/>
      <c r="L10115" s="367">
        <f>K10114</f>
        <v>0</v>
      </c>
    </row>
    <row r="10116" spans="1:14" ht="11.25" customHeight="1" x14ac:dyDescent="0.2">
      <c r="A10116" s="358">
        <v>2025</v>
      </c>
      <c r="B10116" s="358">
        <v>12</v>
      </c>
      <c r="C10116" s="358">
        <v>4</v>
      </c>
      <c r="D10116" s="312">
        <f t="shared" si="1172"/>
        <v>45995</v>
      </c>
      <c r="E10116" s="313">
        <f>DATE(A10116,B10116,C10116)</f>
        <v>45995</v>
      </c>
      <c r="F10116" s="482" t="s">
        <v>1713</v>
      </c>
      <c r="G10116" s="314" t="s">
        <v>86</v>
      </c>
      <c r="H10116" s="324"/>
      <c r="I10116" s="324"/>
      <c r="J10116" s="364" t="s">
        <v>1622</v>
      </c>
      <c r="K10116" s="365">
        <v>195.9440000000177</v>
      </c>
      <c r="L10116" s="365"/>
      <c r="M10116" s="447">
        <f>BS!$I$15</f>
        <v>0</v>
      </c>
      <c r="N10116" s="166"/>
    </row>
    <row r="10117" spans="1:14" ht="11.25" customHeight="1" x14ac:dyDescent="0.2">
      <c r="A10117" s="320">
        <v>2025</v>
      </c>
      <c r="B10117" s="320">
        <v>12</v>
      </c>
      <c r="C10117" s="320">
        <v>4</v>
      </c>
      <c r="D10117" s="323">
        <f t="shared" si="1172"/>
        <v>45995</v>
      </c>
      <c r="E10117" s="321">
        <f t="shared" ref="E10117:E10149" si="1180">DATE(A10117,B10117,C10117)</f>
        <v>45995</v>
      </c>
      <c r="F10117" s="483"/>
      <c r="G10117" s="322" t="s">
        <v>86</v>
      </c>
      <c r="H10117" s="325"/>
      <c r="I10117" s="325"/>
      <c r="J10117" s="366" t="s">
        <v>1614</v>
      </c>
      <c r="K10117" s="367"/>
      <c r="L10117" s="367">
        <f>K10116</f>
        <v>195.9440000000177</v>
      </c>
    </row>
    <row r="10118" spans="1:14" ht="11.25" customHeight="1" x14ac:dyDescent="0.2">
      <c r="A10118" s="236">
        <v>2025</v>
      </c>
      <c r="B10118" s="236">
        <v>12</v>
      </c>
      <c r="C10118" s="236">
        <v>4</v>
      </c>
      <c r="D10118" s="237">
        <f t="shared" si="1172"/>
        <v>45995</v>
      </c>
      <c r="E10118" s="238">
        <f t="shared" si="1180"/>
        <v>45995</v>
      </c>
      <c r="F10118" s="476" t="s">
        <v>1118</v>
      </c>
      <c r="G10118" s="239" t="s">
        <v>86</v>
      </c>
      <c r="H10118" s="239"/>
      <c r="I10118" s="240"/>
      <c r="J10118" s="241" t="s">
        <v>98</v>
      </c>
      <c r="K10118" s="242">
        <v>79902.09999999404</v>
      </c>
      <c r="L10118" s="242"/>
      <c r="M10118" s="156">
        <f>BS!$I$8</f>
        <v>0</v>
      </c>
    </row>
    <row r="10119" spans="1:14" ht="11.25" customHeight="1" x14ac:dyDescent="0.2">
      <c r="A10119" s="243">
        <v>2025</v>
      </c>
      <c r="B10119" s="243">
        <v>12</v>
      </c>
      <c r="C10119" s="243">
        <v>4</v>
      </c>
      <c r="D10119" s="248">
        <f t="shared" si="1172"/>
        <v>45995</v>
      </c>
      <c r="E10119" s="249">
        <f t="shared" si="1180"/>
        <v>45995</v>
      </c>
      <c r="F10119" s="477"/>
      <c r="G10119" s="244" t="s">
        <v>86</v>
      </c>
      <c r="H10119" s="244"/>
      <c r="I10119" s="245"/>
      <c r="J10119" s="246" t="s">
        <v>82</v>
      </c>
      <c r="K10119" s="247"/>
      <c r="L10119" s="247">
        <f>K10118</f>
        <v>79902.09999999404</v>
      </c>
    </row>
    <row r="10120" spans="1:14" ht="11.25" customHeight="1" x14ac:dyDescent="0.2">
      <c r="A10120" s="236">
        <v>2025</v>
      </c>
      <c r="B10120" s="236">
        <v>12</v>
      </c>
      <c r="C10120" s="236">
        <v>4</v>
      </c>
      <c r="D10120" s="237">
        <f t="shared" si="1172"/>
        <v>45995</v>
      </c>
      <c r="E10120" s="238">
        <f t="shared" si="1180"/>
        <v>45995</v>
      </c>
      <c r="F10120" s="476" t="s">
        <v>1120</v>
      </c>
      <c r="G10120" s="239" t="s">
        <v>86</v>
      </c>
      <c r="H10120" s="239"/>
      <c r="I10120" s="240"/>
      <c r="J10120" s="241" t="s">
        <v>87</v>
      </c>
      <c r="K10120" s="242">
        <v>392.46467817896388</v>
      </c>
      <c r="L10120" s="242"/>
      <c r="M10120" s="401"/>
    </row>
    <row r="10121" spans="1:14" ht="11.25" customHeight="1" x14ac:dyDescent="0.2">
      <c r="A10121" s="243">
        <v>2025</v>
      </c>
      <c r="B10121" s="243">
        <v>12</v>
      </c>
      <c r="C10121" s="243">
        <v>4</v>
      </c>
      <c r="D10121" s="248">
        <f t="shared" ref="D10121:D10184" si="1181">DATE(A10121,B10121,C10121)</f>
        <v>45995</v>
      </c>
      <c r="E10121" s="249">
        <f t="shared" si="1180"/>
        <v>45995</v>
      </c>
      <c r="F10121" s="477"/>
      <c r="G10121" s="244" t="s">
        <v>86</v>
      </c>
      <c r="H10121" s="244"/>
      <c r="I10121" s="245"/>
      <c r="J10121" s="246" t="s">
        <v>64</v>
      </c>
      <c r="K10121" s="247"/>
      <c r="L10121" s="247">
        <f>K10120</f>
        <v>392.46467817896388</v>
      </c>
    </row>
    <row r="10122" spans="1:14" ht="11.25" customHeight="1" x14ac:dyDescent="0.2">
      <c r="A10122" s="236">
        <v>2025</v>
      </c>
      <c r="B10122" s="236">
        <v>12</v>
      </c>
      <c r="C10122" s="236">
        <v>4</v>
      </c>
      <c r="D10122" s="237">
        <f t="shared" si="1181"/>
        <v>45995</v>
      </c>
      <c r="E10122" s="238">
        <f t="shared" si="1180"/>
        <v>45995</v>
      </c>
      <c r="F10122" s="476" t="s">
        <v>1121</v>
      </c>
      <c r="G10122" s="239" t="s">
        <v>86</v>
      </c>
      <c r="H10122" s="239"/>
      <c r="I10122" s="240"/>
      <c r="J10122" s="241" t="s">
        <v>89</v>
      </c>
      <c r="K10122" s="242">
        <f>M10122</f>
        <v>13211.344325619326</v>
      </c>
      <c r="L10122" s="242"/>
      <c r="M10122" s="448">
        <v>13211.344325619326</v>
      </c>
    </row>
    <row r="10123" spans="1:14" ht="11.25" customHeight="1" x14ac:dyDescent="0.2">
      <c r="A10123" s="243">
        <v>2025</v>
      </c>
      <c r="B10123" s="243">
        <v>12</v>
      </c>
      <c r="C10123" s="243">
        <v>4</v>
      </c>
      <c r="D10123" s="248">
        <f t="shared" si="1181"/>
        <v>45995</v>
      </c>
      <c r="E10123" s="249">
        <f t="shared" si="1180"/>
        <v>45995</v>
      </c>
      <c r="F10123" s="477"/>
      <c r="G10123" s="244" t="s">
        <v>86</v>
      </c>
      <c r="H10123" s="244"/>
      <c r="I10123" s="245"/>
      <c r="J10123" s="246" t="s">
        <v>50</v>
      </c>
      <c r="K10123" s="247"/>
      <c r="L10123" s="247">
        <f>K10122</f>
        <v>13211.344325619326</v>
      </c>
      <c r="M10123" s="448">
        <v>626.22655694030686</v>
      </c>
    </row>
    <row r="10124" spans="1:14" ht="11.25" customHeight="1" x14ac:dyDescent="0.2">
      <c r="A10124" s="236">
        <v>2025</v>
      </c>
      <c r="B10124" s="236">
        <v>12</v>
      </c>
      <c r="C10124" s="236">
        <v>4</v>
      </c>
      <c r="D10124" s="237">
        <f t="shared" si="1181"/>
        <v>45995</v>
      </c>
      <c r="E10124" s="238">
        <f t="shared" si="1180"/>
        <v>45995</v>
      </c>
      <c r="F10124" s="476" t="s">
        <v>1122</v>
      </c>
      <c r="G10124" s="239" t="s">
        <v>86</v>
      </c>
      <c r="H10124" s="239"/>
      <c r="I10124" s="240"/>
      <c r="J10124" s="241" t="s">
        <v>91</v>
      </c>
      <c r="K10124" s="242">
        <f>M10123</f>
        <v>626.22655694030686</v>
      </c>
      <c r="L10124" s="242"/>
    </row>
    <row r="10125" spans="1:14" ht="11.25" customHeight="1" x14ac:dyDescent="0.2">
      <c r="A10125" s="243">
        <v>2025</v>
      </c>
      <c r="B10125" s="243">
        <v>12</v>
      </c>
      <c r="C10125" s="243">
        <v>4</v>
      </c>
      <c r="D10125" s="248">
        <f t="shared" si="1181"/>
        <v>45995</v>
      </c>
      <c r="E10125" s="249">
        <f t="shared" si="1180"/>
        <v>45995</v>
      </c>
      <c r="F10125" s="477"/>
      <c r="G10125" s="244" t="s">
        <v>86</v>
      </c>
      <c r="H10125" s="244"/>
      <c r="I10125" s="245"/>
      <c r="J10125" s="246" t="s">
        <v>51</v>
      </c>
      <c r="K10125" s="247"/>
      <c r="L10125" s="247">
        <f>K10124</f>
        <v>626.22655694030686</v>
      </c>
    </row>
    <row r="10126" spans="1:14" ht="11.25" customHeight="1" x14ac:dyDescent="0.2">
      <c r="A10126" s="221">
        <v>2025</v>
      </c>
      <c r="B10126" s="221">
        <v>12</v>
      </c>
      <c r="C10126" s="221">
        <v>7</v>
      </c>
      <c r="D10126" s="231">
        <f t="shared" si="1181"/>
        <v>45998</v>
      </c>
      <c r="E10126" s="233">
        <f t="shared" si="1180"/>
        <v>45998</v>
      </c>
      <c r="F10126" s="478" t="s">
        <v>1889</v>
      </c>
      <c r="G10126" s="222" t="s">
        <v>1111</v>
      </c>
      <c r="H10126" s="223"/>
      <c r="I10126" s="223"/>
      <c r="J10126" s="224" t="s">
        <v>961</v>
      </c>
      <c r="K10126" s="225">
        <v>109009.74</v>
      </c>
      <c r="L10126" s="225"/>
    </row>
    <row r="10127" spans="1:14" ht="11.25" customHeight="1" x14ac:dyDescent="0.2">
      <c r="A10127" s="226">
        <v>2025</v>
      </c>
      <c r="B10127" s="226">
        <v>12</v>
      </c>
      <c r="C10127" s="226">
        <v>7</v>
      </c>
      <c r="D10127" s="232">
        <f t="shared" si="1181"/>
        <v>45998</v>
      </c>
      <c r="E10127" s="234">
        <f t="shared" si="1180"/>
        <v>45998</v>
      </c>
      <c r="F10127" s="479"/>
      <c r="G10127" s="227" t="s">
        <v>1111</v>
      </c>
      <c r="H10127" s="228"/>
      <c r="I10127" s="228"/>
      <c r="J10127" s="229" t="s">
        <v>55</v>
      </c>
      <c r="K10127" s="230"/>
      <c r="L10127" s="230">
        <f>K10126</f>
        <v>109009.74</v>
      </c>
    </row>
    <row r="10128" spans="1:14" ht="11.25" customHeight="1" x14ac:dyDescent="0.2">
      <c r="A10128" s="221">
        <v>2025</v>
      </c>
      <c r="B10128" s="221">
        <v>12</v>
      </c>
      <c r="C10128" s="221">
        <v>7</v>
      </c>
      <c r="D10128" s="231">
        <f t="shared" si="1181"/>
        <v>45998</v>
      </c>
      <c r="E10128" s="233">
        <f t="shared" si="1180"/>
        <v>45998</v>
      </c>
      <c r="F10128" s="478" t="s">
        <v>1940</v>
      </c>
      <c r="G10128" s="222" t="s">
        <v>1111</v>
      </c>
      <c r="H10128" s="223"/>
      <c r="I10128" s="223"/>
      <c r="J10128" s="224" t="s">
        <v>961</v>
      </c>
      <c r="K10128" s="225">
        <v>195300.91</v>
      </c>
      <c r="L10128" s="225"/>
    </row>
    <row r="10129" spans="1:14" ht="11.25" customHeight="1" x14ac:dyDescent="0.2">
      <c r="A10129" s="226">
        <v>2025</v>
      </c>
      <c r="B10129" s="226">
        <v>12</v>
      </c>
      <c r="C10129" s="226">
        <v>7</v>
      </c>
      <c r="D10129" s="232">
        <f t="shared" si="1181"/>
        <v>45998</v>
      </c>
      <c r="E10129" s="234">
        <f t="shared" si="1180"/>
        <v>45998</v>
      </c>
      <c r="F10129" s="479"/>
      <c r="G10129" s="227" t="s">
        <v>1111</v>
      </c>
      <c r="H10129" s="228"/>
      <c r="I10129" s="228"/>
      <c r="J10129" s="229" t="s">
        <v>55</v>
      </c>
      <c r="K10129" s="230"/>
      <c r="L10129" s="230">
        <f>K10128</f>
        <v>195300.91</v>
      </c>
    </row>
    <row r="10130" spans="1:14" ht="11.25" customHeight="1" x14ac:dyDescent="0.2">
      <c r="A10130" s="221">
        <v>2025</v>
      </c>
      <c r="B10130" s="221">
        <v>12</v>
      </c>
      <c r="C10130" s="221">
        <v>7</v>
      </c>
      <c r="D10130" s="231">
        <f t="shared" si="1181"/>
        <v>45998</v>
      </c>
      <c r="E10130" s="233">
        <f t="shared" ref="E10130:E10131" si="1182">DATE(A10130,B10130,C10130)</f>
        <v>45998</v>
      </c>
      <c r="F10130" s="478" t="s">
        <v>1889</v>
      </c>
      <c r="G10130" s="222" t="s">
        <v>1111</v>
      </c>
      <c r="H10130" s="223"/>
      <c r="I10130" s="223"/>
      <c r="J10130" s="224" t="s">
        <v>961</v>
      </c>
      <c r="K10130" s="225">
        <v>473039.94</v>
      </c>
      <c r="L10130" s="225"/>
    </row>
    <row r="10131" spans="1:14" ht="11.25" customHeight="1" x14ac:dyDescent="0.2">
      <c r="A10131" s="226">
        <v>2025</v>
      </c>
      <c r="B10131" s="226">
        <v>12</v>
      </c>
      <c r="C10131" s="226">
        <v>7</v>
      </c>
      <c r="D10131" s="232">
        <f t="shared" si="1181"/>
        <v>45998</v>
      </c>
      <c r="E10131" s="234">
        <f t="shared" si="1182"/>
        <v>45998</v>
      </c>
      <c r="F10131" s="479"/>
      <c r="G10131" s="227" t="s">
        <v>1111</v>
      </c>
      <c r="H10131" s="228"/>
      <c r="I10131" s="228"/>
      <c r="J10131" s="229" t="s">
        <v>55</v>
      </c>
      <c r="K10131" s="230"/>
      <c r="L10131" s="230">
        <f>K10130</f>
        <v>473039.94</v>
      </c>
    </row>
    <row r="10132" spans="1:14" ht="11.25" customHeight="1" x14ac:dyDescent="0.2">
      <c r="A10132" s="221">
        <v>2025</v>
      </c>
      <c r="B10132" s="221">
        <v>12</v>
      </c>
      <c r="C10132" s="221">
        <v>7</v>
      </c>
      <c r="D10132" s="231">
        <f t="shared" si="1181"/>
        <v>45998</v>
      </c>
      <c r="E10132" s="233">
        <f t="shared" si="1180"/>
        <v>45998</v>
      </c>
      <c r="F10132" s="478" t="s">
        <v>1670</v>
      </c>
      <c r="G10132" s="222" t="s">
        <v>1111</v>
      </c>
      <c r="H10132" s="223"/>
      <c r="I10132" s="223"/>
      <c r="J10132" s="224" t="s">
        <v>63</v>
      </c>
      <c r="K10132" s="225">
        <v>174</v>
      </c>
      <c r="L10132" s="225"/>
    </row>
    <row r="10133" spans="1:14" ht="11.25" customHeight="1" x14ac:dyDescent="0.2">
      <c r="A10133" s="226">
        <v>2025</v>
      </c>
      <c r="B10133" s="226">
        <v>12</v>
      </c>
      <c r="C10133" s="226">
        <v>7</v>
      </c>
      <c r="D10133" s="232">
        <f t="shared" si="1181"/>
        <v>45998</v>
      </c>
      <c r="E10133" s="234">
        <f t="shared" si="1180"/>
        <v>45998</v>
      </c>
      <c r="F10133" s="479"/>
      <c r="G10133" s="227" t="s">
        <v>1111</v>
      </c>
      <c r="H10133" s="228"/>
      <c r="I10133" s="228"/>
      <c r="J10133" s="229" t="s">
        <v>55</v>
      </c>
      <c r="K10133" s="230"/>
      <c r="L10133" s="230">
        <f>K10132</f>
        <v>174</v>
      </c>
    </row>
    <row r="10134" spans="1:14" ht="11.25" customHeight="1" x14ac:dyDescent="0.2">
      <c r="A10134" s="221">
        <v>2025</v>
      </c>
      <c r="B10134" s="221">
        <v>12</v>
      </c>
      <c r="C10134" s="221">
        <v>7</v>
      </c>
      <c r="D10134" s="221">
        <f t="shared" si="1181"/>
        <v>45998</v>
      </c>
      <c r="E10134" s="233">
        <f t="shared" si="1180"/>
        <v>45998</v>
      </c>
      <c r="F10134" s="478" t="s">
        <v>1930</v>
      </c>
      <c r="G10134" s="222" t="s">
        <v>86</v>
      </c>
      <c r="H10134" s="222"/>
      <c r="I10134" s="223"/>
      <c r="J10134" s="224" t="s">
        <v>80</v>
      </c>
      <c r="K10134" s="225">
        <v>1277200</v>
      </c>
      <c r="L10134" s="225"/>
      <c r="N10134" s="263"/>
    </row>
    <row r="10135" spans="1:14" ht="11.25" customHeight="1" x14ac:dyDescent="0.2">
      <c r="A10135" s="164">
        <v>2025</v>
      </c>
      <c r="B10135" s="164">
        <v>12</v>
      </c>
      <c r="C10135" s="164">
        <v>7</v>
      </c>
      <c r="D10135" s="164">
        <f t="shared" si="1181"/>
        <v>45998</v>
      </c>
      <c r="E10135" s="235">
        <f t="shared" si="1180"/>
        <v>45998</v>
      </c>
      <c r="F10135" s="480"/>
      <c r="G10135" s="208" t="s">
        <v>86</v>
      </c>
      <c r="H10135" s="208"/>
      <c r="J10135" s="165" t="s">
        <v>960</v>
      </c>
      <c r="K10135" s="205">
        <v>2298.96</v>
      </c>
      <c r="L10135" s="205"/>
      <c r="M10135" s="263"/>
      <c r="N10135" s="263"/>
    </row>
    <row r="10136" spans="1:14" ht="11.25" customHeight="1" x14ac:dyDescent="0.2">
      <c r="A10136" s="226">
        <v>2025</v>
      </c>
      <c r="B10136" s="226">
        <v>12</v>
      </c>
      <c r="C10136" s="226">
        <v>7</v>
      </c>
      <c r="D10136" s="226">
        <f t="shared" si="1181"/>
        <v>45998</v>
      </c>
      <c r="E10136" s="234">
        <f t="shared" si="1180"/>
        <v>45998</v>
      </c>
      <c r="F10136" s="479"/>
      <c r="G10136" s="227" t="s">
        <v>86</v>
      </c>
      <c r="H10136" s="227"/>
      <c r="I10136" s="228"/>
      <c r="J10136" s="229" t="s">
        <v>961</v>
      </c>
      <c r="K10136" s="294"/>
      <c r="L10136" s="230">
        <v>1279498.96</v>
      </c>
      <c r="M10136" s="263"/>
      <c r="N10136" s="263"/>
    </row>
    <row r="10137" spans="1:14" ht="11.25" customHeight="1" x14ac:dyDescent="0.2">
      <c r="A10137" s="221">
        <v>2025</v>
      </c>
      <c r="B10137" s="221">
        <v>12</v>
      </c>
      <c r="C10137" s="221">
        <v>7</v>
      </c>
      <c r="D10137" s="231">
        <f t="shared" si="1181"/>
        <v>45998</v>
      </c>
      <c r="E10137" s="233">
        <f t="shared" si="1180"/>
        <v>45998</v>
      </c>
      <c r="F10137" s="478" t="s">
        <v>1132</v>
      </c>
      <c r="G10137" s="222" t="s">
        <v>1111</v>
      </c>
      <c r="H10137" s="223"/>
      <c r="I10137" s="223"/>
      <c r="J10137" s="224" t="s">
        <v>55</v>
      </c>
      <c r="K10137" s="167">
        <v>38000</v>
      </c>
      <c r="L10137" s="225"/>
    </row>
    <row r="10138" spans="1:14" ht="11.25" customHeight="1" x14ac:dyDescent="0.2">
      <c r="A10138" s="164">
        <v>2025</v>
      </c>
      <c r="B10138" s="164">
        <v>12</v>
      </c>
      <c r="C10138" s="164">
        <v>7</v>
      </c>
      <c r="D10138" s="156">
        <f t="shared" si="1181"/>
        <v>45998</v>
      </c>
      <c r="E10138" s="235">
        <f t="shared" si="1180"/>
        <v>45998</v>
      </c>
      <c r="F10138" s="480"/>
      <c r="G10138" s="208" t="s">
        <v>1111</v>
      </c>
      <c r="J10138" s="165" t="s">
        <v>14</v>
      </c>
      <c r="L10138" s="205">
        <v>31900</v>
      </c>
    </row>
    <row r="10139" spans="1:14" ht="11.25" customHeight="1" x14ac:dyDescent="0.2">
      <c r="A10139" s="226">
        <v>2025</v>
      </c>
      <c r="B10139" s="226">
        <v>12</v>
      </c>
      <c r="C10139" s="226">
        <v>7</v>
      </c>
      <c r="D10139" s="232">
        <f t="shared" si="1181"/>
        <v>45998</v>
      </c>
      <c r="E10139" s="234">
        <f t="shared" si="1180"/>
        <v>45998</v>
      </c>
      <c r="F10139" s="479"/>
      <c r="G10139" s="227" t="s">
        <v>1111</v>
      </c>
      <c r="H10139" s="228"/>
      <c r="I10139" s="228"/>
      <c r="J10139" s="229" t="s">
        <v>1112</v>
      </c>
      <c r="K10139" s="230"/>
      <c r="L10139" s="230">
        <v>6100</v>
      </c>
    </row>
    <row r="10140" spans="1:14" ht="11.25" customHeight="1" x14ac:dyDescent="0.2">
      <c r="A10140" s="221">
        <v>2025</v>
      </c>
      <c r="B10140" s="221">
        <v>12</v>
      </c>
      <c r="C10140" s="221">
        <v>7</v>
      </c>
      <c r="D10140" s="231">
        <f t="shared" si="1181"/>
        <v>45998</v>
      </c>
      <c r="E10140" s="233">
        <f t="shared" si="1180"/>
        <v>45998</v>
      </c>
      <c r="F10140" s="478" t="s">
        <v>1967</v>
      </c>
      <c r="G10140" s="222" t="s">
        <v>1111</v>
      </c>
      <c r="H10140" s="223"/>
      <c r="I10140" s="223"/>
      <c r="J10140" s="224" t="s">
        <v>192</v>
      </c>
      <c r="K10140" s="225">
        <v>269610</v>
      </c>
      <c r="L10140" s="225"/>
    </row>
    <row r="10141" spans="1:14" ht="11.25" customHeight="1" x14ac:dyDescent="0.2">
      <c r="A10141" s="226">
        <v>2025</v>
      </c>
      <c r="B10141" s="226">
        <v>12</v>
      </c>
      <c r="C10141" s="226">
        <v>7</v>
      </c>
      <c r="D10141" s="232">
        <f t="shared" si="1181"/>
        <v>45998</v>
      </c>
      <c r="E10141" s="234">
        <f t="shared" si="1180"/>
        <v>45998</v>
      </c>
      <c r="F10141" s="479"/>
      <c r="G10141" s="227" t="s">
        <v>1111</v>
      </c>
      <c r="H10141" s="228"/>
      <c r="I10141" s="228"/>
      <c r="J10141" s="229" t="s">
        <v>191</v>
      </c>
      <c r="K10141" s="230"/>
      <c r="L10141" s="230">
        <f>K10140</f>
        <v>269610</v>
      </c>
    </row>
    <row r="10142" spans="1:14" ht="11.25" customHeight="1" x14ac:dyDescent="0.2">
      <c r="A10142" s="280">
        <v>2025</v>
      </c>
      <c r="B10142" s="280">
        <v>12</v>
      </c>
      <c r="C10142" s="280">
        <v>7</v>
      </c>
      <c r="D10142" s="281">
        <f t="shared" si="1181"/>
        <v>45998</v>
      </c>
      <c r="E10142" s="282">
        <f t="shared" si="1180"/>
        <v>45998</v>
      </c>
      <c r="F10142" s="472" t="s">
        <v>1744</v>
      </c>
      <c r="G10142" s="283" t="s">
        <v>86</v>
      </c>
      <c r="H10142" s="284"/>
      <c r="I10142" s="284"/>
      <c r="J10142" s="285" t="s">
        <v>131</v>
      </c>
      <c r="K10142" s="286">
        <v>8296.4271428571446</v>
      </c>
      <c r="L10142" s="286"/>
      <c r="M10142" s="401"/>
    </row>
    <row r="10143" spans="1:14" ht="11.25" customHeight="1" x14ac:dyDescent="0.2">
      <c r="A10143" s="287">
        <v>2025</v>
      </c>
      <c r="B10143" s="287">
        <v>12</v>
      </c>
      <c r="C10143" s="287">
        <v>7</v>
      </c>
      <c r="D10143" s="288">
        <f t="shared" si="1181"/>
        <v>45998</v>
      </c>
      <c r="E10143" s="289">
        <f t="shared" si="1180"/>
        <v>45998</v>
      </c>
      <c r="F10143" s="473"/>
      <c r="G10143" s="290" t="s">
        <v>86</v>
      </c>
      <c r="H10143" s="291"/>
      <c r="I10143" s="291"/>
      <c r="J10143" s="292" t="s">
        <v>174</v>
      </c>
      <c r="K10143" s="293"/>
      <c r="L10143" s="293">
        <f>K10142</f>
        <v>8296.4271428571446</v>
      </c>
    </row>
    <row r="10144" spans="1:14" ht="11.25" customHeight="1" x14ac:dyDescent="0.2">
      <c r="A10144" s="280">
        <v>2025</v>
      </c>
      <c r="B10144" s="280">
        <v>12</v>
      </c>
      <c r="C10144" s="280">
        <v>7</v>
      </c>
      <c r="D10144" s="281">
        <f t="shared" si="1181"/>
        <v>45998</v>
      </c>
      <c r="E10144" s="282">
        <f t="shared" si="1180"/>
        <v>45998</v>
      </c>
      <c r="F10144" s="472" t="s">
        <v>1584</v>
      </c>
      <c r="G10144" s="283" t="s">
        <v>86</v>
      </c>
      <c r="H10144" s="284"/>
      <c r="I10144" s="284"/>
      <c r="J10144" s="285" t="s">
        <v>131</v>
      </c>
      <c r="K10144" s="286">
        <v>3791.2071428571426</v>
      </c>
      <c r="L10144" s="286"/>
      <c r="M10144" s="401"/>
    </row>
    <row r="10145" spans="1:14" ht="11.25" customHeight="1" x14ac:dyDescent="0.2">
      <c r="A10145" s="287">
        <v>2025</v>
      </c>
      <c r="B10145" s="287">
        <v>12</v>
      </c>
      <c r="C10145" s="287">
        <v>7</v>
      </c>
      <c r="D10145" s="288">
        <f t="shared" si="1181"/>
        <v>45998</v>
      </c>
      <c r="E10145" s="289">
        <f t="shared" si="1180"/>
        <v>45998</v>
      </c>
      <c r="F10145" s="473"/>
      <c r="G10145" s="290" t="s">
        <v>86</v>
      </c>
      <c r="H10145" s="291"/>
      <c r="I10145" s="291"/>
      <c r="J10145" s="292" t="s">
        <v>174</v>
      </c>
      <c r="K10145" s="293"/>
      <c r="L10145" s="293">
        <f>K10144</f>
        <v>3791.2071428571426</v>
      </c>
    </row>
    <row r="10146" spans="1:14" ht="11.25" customHeight="1" x14ac:dyDescent="0.2">
      <c r="A10146" s="280">
        <v>2025</v>
      </c>
      <c r="B10146" s="280">
        <v>12</v>
      </c>
      <c r="C10146" s="280">
        <v>7</v>
      </c>
      <c r="D10146" s="281">
        <f t="shared" si="1181"/>
        <v>45998</v>
      </c>
      <c r="E10146" s="282">
        <f t="shared" si="1180"/>
        <v>45998</v>
      </c>
      <c r="F10146" s="472" t="s">
        <v>1955</v>
      </c>
      <c r="G10146" s="283" t="s">
        <v>86</v>
      </c>
      <c r="H10146" s="284"/>
      <c r="I10146" s="284"/>
      <c r="J10146" s="285" t="s">
        <v>1978</v>
      </c>
      <c r="K10146" s="286">
        <v>18556.31868131868</v>
      </c>
      <c r="L10146" s="286"/>
      <c r="M10146" s="401"/>
    </row>
    <row r="10147" spans="1:14" ht="11.25" customHeight="1" x14ac:dyDescent="0.2">
      <c r="A10147" s="287">
        <v>2025</v>
      </c>
      <c r="B10147" s="287">
        <v>12</v>
      </c>
      <c r="C10147" s="287">
        <v>7</v>
      </c>
      <c r="D10147" s="288">
        <f t="shared" si="1181"/>
        <v>45998</v>
      </c>
      <c r="E10147" s="289">
        <f t="shared" si="1180"/>
        <v>45998</v>
      </c>
      <c r="F10147" s="473"/>
      <c r="G10147" s="290" t="s">
        <v>86</v>
      </c>
      <c r="H10147" s="291"/>
      <c r="I10147" s="291"/>
      <c r="J10147" s="292" t="s">
        <v>1955</v>
      </c>
      <c r="K10147" s="293"/>
      <c r="L10147" s="293">
        <f>K10146</f>
        <v>18556.31868131868</v>
      </c>
    </row>
    <row r="10148" spans="1:14" ht="11.25" customHeight="1" x14ac:dyDescent="0.2">
      <c r="A10148" s="341">
        <v>2025</v>
      </c>
      <c r="B10148" s="341">
        <v>12</v>
      </c>
      <c r="C10148" s="341">
        <v>7</v>
      </c>
      <c r="D10148" s="328">
        <f t="shared" si="1181"/>
        <v>45998</v>
      </c>
      <c r="E10148" s="329">
        <f t="shared" si="1180"/>
        <v>45998</v>
      </c>
      <c r="F10148" s="474" t="s">
        <v>1767</v>
      </c>
      <c r="G10148" s="330" t="s">
        <v>86</v>
      </c>
      <c r="H10148" s="332"/>
      <c r="I10148" s="332"/>
      <c r="J10148" s="342" t="s">
        <v>67</v>
      </c>
      <c r="K10148" s="343">
        <v>5559.36</v>
      </c>
      <c r="L10148" s="343"/>
    </row>
    <row r="10149" spans="1:14" ht="11.25" customHeight="1" x14ac:dyDescent="0.2">
      <c r="A10149" s="344">
        <v>2025</v>
      </c>
      <c r="B10149" s="344">
        <v>12</v>
      </c>
      <c r="C10149" s="344">
        <v>7</v>
      </c>
      <c r="D10149" s="337">
        <f t="shared" si="1181"/>
        <v>45998</v>
      </c>
      <c r="E10149" s="338">
        <f t="shared" si="1180"/>
        <v>45998</v>
      </c>
      <c r="F10149" s="475"/>
      <c r="G10149" s="339" t="s">
        <v>86</v>
      </c>
      <c r="H10149" s="340"/>
      <c r="I10149" s="340"/>
      <c r="J10149" s="345" t="s">
        <v>174</v>
      </c>
      <c r="K10149" s="346"/>
      <c r="L10149" s="346">
        <f>K10148</f>
        <v>5559.36</v>
      </c>
    </row>
    <row r="10150" spans="1:14" ht="11.25" customHeight="1" x14ac:dyDescent="0.2">
      <c r="A10150" s="358">
        <v>2025</v>
      </c>
      <c r="B10150" s="358">
        <v>12</v>
      </c>
      <c r="C10150" s="358">
        <v>7</v>
      </c>
      <c r="D10150" s="312">
        <f t="shared" si="1181"/>
        <v>45998</v>
      </c>
      <c r="E10150" s="313">
        <f>DATE(A10150,B10150,C10150)</f>
        <v>45998</v>
      </c>
      <c r="F10150" s="482" t="s">
        <v>1627</v>
      </c>
      <c r="G10150" s="314" t="s">
        <v>86</v>
      </c>
      <c r="H10150" s="324"/>
      <c r="I10150" s="324"/>
      <c r="J10150" s="364" t="s">
        <v>1613</v>
      </c>
      <c r="K10150" s="365"/>
      <c r="L10150" s="365"/>
      <c r="M10150" s="156">
        <f>BS!$I$12</f>
        <v>0</v>
      </c>
    </row>
    <row r="10151" spans="1:14" ht="11.25" customHeight="1" x14ac:dyDescent="0.2">
      <c r="A10151" s="320">
        <v>2025</v>
      </c>
      <c r="B10151" s="320">
        <v>12</v>
      </c>
      <c r="C10151" s="320">
        <v>7</v>
      </c>
      <c r="D10151" s="323">
        <f t="shared" si="1181"/>
        <v>45998</v>
      </c>
      <c r="E10151" s="321">
        <f t="shared" ref="E10151" si="1183">DATE(A10151,B10151,C10151)</f>
        <v>45998</v>
      </c>
      <c r="F10151" s="483"/>
      <c r="G10151" s="322" t="s">
        <v>86</v>
      </c>
      <c r="H10151" s="325"/>
      <c r="I10151" s="325"/>
      <c r="J10151" s="366" t="s">
        <v>1621</v>
      </c>
      <c r="K10151" s="367"/>
      <c r="L10151" s="367">
        <f>K10150</f>
        <v>0</v>
      </c>
    </row>
    <row r="10152" spans="1:14" ht="11.25" customHeight="1" x14ac:dyDescent="0.2">
      <c r="A10152" s="358">
        <v>2025</v>
      </c>
      <c r="B10152" s="358">
        <v>12</v>
      </c>
      <c r="C10152" s="358">
        <v>7</v>
      </c>
      <c r="D10152" s="312">
        <f t="shared" si="1181"/>
        <v>45998</v>
      </c>
      <c r="E10152" s="313">
        <f>DATE(A10152,B10152,C10152)</f>
        <v>45998</v>
      </c>
      <c r="F10152" s="482" t="s">
        <v>1713</v>
      </c>
      <c r="G10152" s="314" t="s">
        <v>86</v>
      </c>
      <c r="H10152" s="324"/>
      <c r="I10152" s="324"/>
      <c r="J10152" s="364" t="s">
        <v>1622</v>
      </c>
      <c r="K10152" s="365">
        <v>587.11099999991711</v>
      </c>
      <c r="L10152" s="365"/>
      <c r="M10152" s="447">
        <f>BS!$I$15</f>
        <v>0</v>
      </c>
      <c r="N10152" s="166"/>
    </row>
    <row r="10153" spans="1:14" ht="11.25" customHeight="1" x14ac:dyDescent="0.2">
      <c r="A10153" s="320">
        <v>2025</v>
      </c>
      <c r="B10153" s="320">
        <v>12</v>
      </c>
      <c r="C10153" s="320">
        <v>7</v>
      </c>
      <c r="D10153" s="323">
        <f t="shared" si="1181"/>
        <v>45998</v>
      </c>
      <c r="E10153" s="321">
        <f t="shared" ref="E10153:E10180" si="1184">DATE(A10153,B10153,C10153)</f>
        <v>45998</v>
      </c>
      <c r="F10153" s="483"/>
      <c r="G10153" s="322" t="s">
        <v>86</v>
      </c>
      <c r="H10153" s="325"/>
      <c r="I10153" s="325"/>
      <c r="J10153" s="366" t="s">
        <v>1614</v>
      </c>
      <c r="K10153" s="367"/>
      <c r="L10153" s="367">
        <f>K10152</f>
        <v>587.11099999991711</v>
      </c>
    </row>
    <row r="10154" spans="1:14" ht="11.25" customHeight="1" x14ac:dyDescent="0.2">
      <c r="A10154" s="236">
        <v>2025</v>
      </c>
      <c r="B10154" s="236">
        <v>12</v>
      </c>
      <c r="C10154" s="236">
        <v>7</v>
      </c>
      <c r="D10154" s="237">
        <f t="shared" si="1181"/>
        <v>45998</v>
      </c>
      <c r="E10154" s="238">
        <f t="shared" si="1184"/>
        <v>45998</v>
      </c>
      <c r="F10154" s="476" t="s">
        <v>1118</v>
      </c>
      <c r="G10154" s="239" t="s">
        <v>86</v>
      </c>
      <c r="H10154" s="239"/>
      <c r="I10154" s="240"/>
      <c r="J10154" s="241" t="s">
        <v>82</v>
      </c>
      <c r="K10154" s="242">
        <v>540794.67999997735</v>
      </c>
      <c r="L10154" s="242"/>
      <c r="M10154" s="156">
        <f>BS!$I$8</f>
        <v>0</v>
      </c>
    </row>
    <row r="10155" spans="1:14" ht="11.25" customHeight="1" x14ac:dyDescent="0.2">
      <c r="A10155" s="243">
        <v>2025</v>
      </c>
      <c r="B10155" s="243">
        <v>12</v>
      </c>
      <c r="C10155" s="243">
        <v>7</v>
      </c>
      <c r="D10155" s="248">
        <f t="shared" si="1181"/>
        <v>45998</v>
      </c>
      <c r="E10155" s="249">
        <f t="shared" si="1184"/>
        <v>45998</v>
      </c>
      <c r="F10155" s="477"/>
      <c r="G10155" s="244" t="s">
        <v>86</v>
      </c>
      <c r="H10155" s="244"/>
      <c r="I10155" s="245"/>
      <c r="J10155" s="246" t="s">
        <v>98</v>
      </c>
      <c r="K10155" s="247"/>
      <c r="L10155" s="247">
        <f>K10154</f>
        <v>540794.67999997735</v>
      </c>
    </row>
    <row r="10156" spans="1:14" ht="11.25" customHeight="1" x14ac:dyDescent="0.2">
      <c r="A10156" s="236">
        <v>2025</v>
      </c>
      <c r="B10156" s="236">
        <v>12</v>
      </c>
      <c r="C10156" s="236">
        <v>7</v>
      </c>
      <c r="D10156" s="237">
        <f t="shared" si="1181"/>
        <v>45998</v>
      </c>
      <c r="E10156" s="238">
        <f t="shared" si="1184"/>
        <v>45998</v>
      </c>
      <c r="F10156" s="476" t="s">
        <v>1120</v>
      </c>
      <c r="G10156" s="239" t="s">
        <v>86</v>
      </c>
      <c r="H10156" s="239"/>
      <c r="I10156" s="240"/>
      <c r="J10156" s="241" t="s">
        <v>87</v>
      </c>
      <c r="K10156" s="242">
        <v>1177.3940345368917</v>
      </c>
      <c r="L10156" s="242"/>
      <c r="M10156" s="401"/>
    </row>
    <row r="10157" spans="1:14" ht="11.25" customHeight="1" x14ac:dyDescent="0.2">
      <c r="A10157" s="243">
        <v>2025</v>
      </c>
      <c r="B10157" s="243">
        <v>12</v>
      </c>
      <c r="C10157" s="243">
        <v>7</v>
      </c>
      <c r="D10157" s="248">
        <f t="shared" si="1181"/>
        <v>45998</v>
      </c>
      <c r="E10157" s="249">
        <f t="shared" si="1184"/>
        <v>45998</v>
      </c>
      <c r="F10157" s="477"/>
      <c r="G10157" s="244" t="s">
        <v>86</v>
      </c>
      <c r="H10157" s="244"/>
      <c r="I10157" s="245"/>
      <c r="J10157" s="246" t="s">
        <v>64</v>
      </c>
      <c r="K10157" s="247"/>
      <c r="L10157" s="247">
        <f>K10156</f>
        <v>1177.3940345368917</v>
      </c>
    </row>
    <row r="10158" spans="1:14" ht="11.25" customHeight="1" x14ac:dyDescent="0.2">
      <c r="A10158" s="236">
        <v>2025</v>
      </c>
      <c r="B10158" s="236">
        <v>12</v>
      </c>
      <c r="C10158" s="236">
        <v>7</v>
      </c>
      <c r="D10158" s="237">
        <f t="shared" si="1181"/>
        <v>45998</v>
      </c>
      <c r="E10158" s="238">
        <f t="shared" si="1184"/>
        <v>45998</v>
      </c>
      <c r="F10158" s="476" t="s">
        <v>1121</v>
      </c>
      <c r="G10158" s="239" t="s">
        <v>86</v>
      </c>
      <c r="H10158" s="239"/>
      <c r="I10158" s="240"/>
      <c r="J10158" s="241" t="s">
        <v>89</v>
      </c>
      <c r="K10158" s="242">
        <f>M10158</f>
        <v>39544.844204291207</v>
      </c>
      <c r="L10158" s="242"/>
      <c r="M10158" s="448">
        <v>39544.844204291207</v>
      </c>
    </row>
    <row r="10159" spans="1:14" ht="11.25" customHeight="1" x14ac:dyDescent="0.2">
      <c r="A10159" s="243">
        <v>2025</v>
      </c>
      <c r="B10159" s="243">
        <v>12</v>
      </c>
      <c r="C10159" s="243">
        <v>7</v>
      </c>
      <c r="D10159" s="248">
        <f t="shared" si="1181"/>
        <v>45998</v>
      </c>
      <c r="E10159" s="249">
        <f t="shared" si="1184"/>
        <v>45998</v>
      </c>
      <c r="F10159" s="477"/>
      <c r="G10159" s="244" t="s">
        <v>86</v>
      </c>
      <c r="H10159" s="244"/>
      <c r="I10159" s="245"/>
      <c r="J10159" s="246" t="s">
        <v>50</v>
      </c>
      <c r="K10159" s="247"/>
      <c r="L10159" s="247">
        <f>K10158</f>
        <v>39544.844204291207</v>
      </c>
      <c r="M10159" s="448">
        <v>1874.2202321925824</v>
      </c>
    </row>
    <row r="10160" spans="1:14" ht="11.25" customHeight="1" x14ac:dyDescent="0.2">
      <c r="A10160" s="236">
        <v>2025</v>
      </c>
      <c r="B10160" s="236">
        <v>12</v>
      </c>
      <c r="C10160" s="236">
        <v>7</v>
      </c>
      <c r="D10160" s="237">
        <f t="shared" si="1181"/>
        <v>45998</v>
      </c>
      <c r="E10160" s="238">
        <f t="shared" si="1184"/>
        <v>45998</v>
      </c>
      <c r="F10160" s="476" t="s">
        <v>1122</v>
      </c>
      <c r="G10160" s="239" t="s">
        <v>86</v>
      </c>
      <c r="H10160" s="239"/>
      <c r="I10160" s="240"/>
      <c r="J10160" s="241" t="s">
        <v>91</v>
      </c>
      <c r="K10160" s="242">
        <f>M10159</f>
        <v>1874.2202321925824</v>
      </c>
      <c r="L10160" s="242"/>
    </row>
    <row r="10161" spans="1:14" ht="11.25" customHeight="1" x14ac:dyDescent="0.2">
      <c r="A10161" s="243">
        <v>2025</v>
      </c>
      <c r="B10161" s="243">
        <v>12</v>
      </c>
      <c r="C10161" s="243">
        <v>7</v>
      </c>
      <c r="D10161" s="248">
        <f t="shared" si="1181"/>
        <v>45998</v>
      </c>
      <c r="E10161" s="249">
        <f t="shared" si="1184"/>
        <v>45998</v>
      </c>
      <c r="F10161" s="477"/>
      <c r="G10161" s="244" t="s">
        <v>86</v>
      </c>
      <c r="H10161" s="244"/>
      <c r="I10161" s="245"/>
      <c r="J10161" s="246" t="s">
        <v>51</v>
      </c>
      <c r="K10161" s="247"/>
      <c r="L10161" s="247">
        <f>K10160</f>
        <v>1874.2202321925824</v>
      </c>
    </row>
    <row r="10162" spans="1:14" ht="11.25" customHeight="1" x14ac:dyDescent="0.2">
      <c r="A10162" s="221">
        <v>2025</v>
      </c>
      <c r="B10162" s="221">
        <v>12</v>
      </c>
      <c r="C10162" s="221">
        <v>8</v>
      </c>
      <c r="D10162" s="231">
        <f t="shared" si="1181"/>
        <v>45999</v>
      </c>
      <c r="E10162" s="233">
        <f t="shared" si="1184"/>
        <v>45999</v>
      </c>
      <c r="F10162" s="478" t="s">
        <v>1945</v>
      </c>
      <c r="G10162" s="222" t="s">
        <v>1111</v>
      </c>
      <c r="H10162" s="223"/>
      <c r="I10162" s="223"/>
      <c r="J10162" s="224" t="s">
        <v>55</v>
      </c>
      <c r="K10162" s="225">
        <v>330493.52</v>
      </c>
      <c r="L10162" s="225"/>
    </row>
    <row r="10163" spans="1:14" ht="11.25" customHeight="1" x14ac:dyDescent="0.2">
      <c r="A10163" s="226">
        <v>2025</v>
      </c>
      <c r="B10163" s="226">
        <v>12</v>
      </c>
      <c r="C10163" s="226">
        <v>8</v>
      </c>
      <c r="D10163" s="232">
        <f t="shared" si="1181"/>
        <v>45999</v>
      </c>
      <c r="E10163" s="234">
        <f t="shared" si="1184"/>
        <v>45999</v>
      </c>
      <c r="F10163" s="479"/>
      <c r="G10163" s="227" t="s">
        <v>1111</v>
      </c>
      <c r="H10163" s="228"/>
      <c r="I10163" s="228"/>
      <c r="J10163" s="229" t="s">
        <v>199</v>
      </c>
      <c r="K10163" s="230"/>
      <c r="L10163" s="230">
        <f>K10162</f>
        <v>330493.52</v>
      </c>
    </row>
    <row r="10164" spans="1:14" ht="11.25" customHeight="1" x14ac:dyDescent="0.2">
      <c r="A10164" s="221">
        <v>2025</v>
      </c>
      <c r="B10164" s="221">
        <v>12</v>
      </c>
      <c r="C10164" s="221">
        <v>8</v>
      </c>
      <c r="D10164" s="231">
        <f t="shared" si="1181"/>
        <v>45999</v>
      </c>
      <c r="E10164" s="233">
        <f t="shared" si="1184"/>
        <v>45999</v>
      </c>
      <c r="F10164" s="478" t="s">
        <v>1889</v>
      </c>
      <c r="G10164" s="222" t="s">
        <v>1111</v>
      </c>
      <c r="H10164" s="223"/>
      <c r="I10164" s="223"/>
      <c r="J10164" s="224" t="s">
        <v>961</v>
      </c>
      <c r="K10164" s="225">
        <v>1279498.96</v>
      </c>
      <c r="L10164" s="225"/>
    </row>
    <row r="10165" spans="1:14" ht="11.25" customHeight="1" x14ac:dyDescent="0.2">
      <c r="A10165" s="226">
        <v>2025</v>
      </c>
      <c r="B10165" s="226">
        <v>12</v>
      </c>
      <c r="C10165" s="226">
        <v>8</v>
      </c>
      <c r="D10165" s="232">
        <f t="shared" si="1181"/>
        <v>45999</v>
      </c>
      <c r="E10165" s="234">
        <f t="shared" si="1184"/>
        <v>45999</v>
      </c>
      <c r="F10165" s="479"/>
      <c r="G10165" s="227" t="s">
        <v>1111</v>
      </c>
      <c r="H10165" s="228"/>
      <c r="I10165" s="228"/>
      <c r="J10165" s="229" t="s">
        <v>55</v>
      </c>
      <c r="K10165" s="230"/>
      <c r="L10165" s="230">
        <f>K10164</f>
        <v>1279498.96</v>
      </c>
    </row>
    <row r="10166" spans="1:14" ht="11.25" customHeight="1" x14ac:dyDescent="0.2">
      <c r="A10166" s="221">
        <v>2025</v>
      </c>
      <c r="B10166" s="221">
        <v>12</v>
      </c>
      <c r="C10166" s="221">
        <v>8</v>
      </c>
      <c r="D10166" s="231">
        <f t="shared" si="1181"/>
        <v>45999</v>
      </c>
      <c r="E10166" s="233">
        <f t="shared" si="1184"/>
        <v>45999</v>
      </c>
      <c r="F10166" s="478" t="s">
        <v>1670</v>
      </c>
      <c r="G10166" s="222" t="s">
        <v>1111</v>
      </c>
      <c r="H10166" s="223"/>
      <c r="I10166" s="223"/>
      <c r="J10166" s="224" t="s">
        <v>63</v>
      </c>
      <c r="K10166" s="225">
        <v>100</v>
      </c>
      <c r="L10166" s="225"/>
    </row>
    <row r="10167" spans="1:14" ht="11.25" customHeight="1" x14ac:dyDescent="0.2">
      <c r="A10167" s="226">
        <v>2025</v>
      </c>
      <c r="B10167" s="226">
        <v>12</v>
      </c>
      <c r="C10167" s="226">
        <v>8</v>
      </c>
      <c r="D10167" s="232">
        <f t="shared" si="1181"/>
        <v>45999</v>
      </c>
      <c r="E10167" s="234">
        <f t="shared" si="1184"/>
        <v>45999</v>
      </c>
      <c r="F10167" s="479"/>
      <c r="G10167" s="227" t="s">
        <v>1111</v>
      </c>
      <c r="H10167" s="228"/>
      <c r="I10167" s="228"/>
      <c r="J10167" s="229" t="s">
        <v>55</v>
      </c>
      <c r="K10167" s="230"/>
      <c r="L10167" s="230">
        <f>K10166</f>
        <v>100</v>
      </c>
    </row>
    <row r="10168" spans="1:14" ht="11.25" customHeight="1" x14ac:dyDescent="0.2">
      <c r="A10168" s="221">
        <v>2025</v>
      </c>
      <c r="B10168" s="221">
        <v>12</v>
      </c>
      <c r="C10168" s="221">
        <v>8</v>
      </c>
      <c r="D10168" s="221">
        <f t="shared" si="1181"/>
        <v>45999</v>
      </c>
      <c r="E10168" s="233">
        <f t="shared" si="1184"/>
        <v>45999</v>
      </c>
      <c r="F10168" s="478" t="s">
        <v>1886</v>
      </c>
      <c r="G10168" s="222" t="s">
        <v>86</v>
      </c>
      <c r="H10168" s="222"/>
      <c r="I10168" s="223"/>
      <c r="J10168" s="224" t="s">
        <v>80</v>
      </c>
      <c r="K10168" s="225">
        <v>63000</v>
      </c>
      <c r="L10168" s="225"/>
      <c r="N10168" s="263"/>
    </row>
    <row r="10169" spans="1:14" ht="11.25" customHeight="1" x14ac:dyDescent="0.2">
      <c r="A10169" s="164">
        <v>2025</v>
      </c>
      <c r="B10169" s="164">
        <v>12</v>
      </c>
      <c r="C10169" s="164">
        <v>8</v>
      </c>
      <c r="D10169" s="164">
        <f t="shared" si="1181"/>
        <v>45999</v>
      </c>
      <c r="E10169" s="235">
        <f t="shared" si="1184"/>
        <v>45999</v>
      </c>
      <c r="F10169" s="480"/>
      <c r="G10169" s="208" t="s">
        <v>86</v>
      </c>
      <c r="H10169" s="208"/>
      <c r="J10169" s="165" t="s">
        <v>960</v>
      </c>
      <c r="K10169" s="205">
        <v>437.4</v>
      </c>
      <c r="L10169" s="205"/>
      <c r="M10169" s="263"/>
      <c r="N10169" s="263"/>
    </row>
    <row r="10170" spans="1:14" ht="11.25" customHeight="1" x14ac:dyDescent="0.2">
      <c r="A10170" s="164">
        <v>2025</v>
      </c>
      <c r="B10170" s="164">
        <v>12</v>
      </c>
      <c r="C10170" s="164">
        <v>8</v>
      </c>
      <c r="D10170" s="164">
        <f t="shared" si="1181"/>
        <v>45999</v>
      </c>
      <c r="E10170" s="235">
        <f t="shared" si="1184"/>
        <v>45999</v>
      </c>
      <c r="F10170" s="480"/>
      <c r="G10170" s="208" t="s">
        <v>86</v>
      </c>
      <c r="H10170" s="208"/>
      <c r="J10170" s="165" t="s">
        <v>199</v>
      </c>
      <c r="K10170" s="263">
        <v>116562.6</v>
      </c>
      <c r="L10170" s="205"/>
      <c r="M10170" s="263"/>
      <c r="N10170" s="263"/>
    </row>
    <row r="10171" spans="1:14" ht="11.25" customHeight="1" x14ac:dyDescent="0.2">
      <c r="A10171" s="164">
        <v>2025</v>
      </c>
      <c r="B10171" s="164">
        <v>12</v>
      </c>
      <c r="C10171" s="164">
        <v>8</v>
      </c>
      <c r="D10171" s="164">
        <f t="shared" si="1181"/>
        <v>45999</v>
      </c>
      <c r="E10171" s="235">
        <f t="shared" si="1184"/>
        <v>45999</v>
      </c>
      <c r="F10171" s="480"/>
      <c r="G10171" s="208" t="s">
        <v>86</v>
      </c>
      <c r="H10171" s="208"/>
      <c r="J10171" s="165" t="s">
        <v>200</v>
      </c>
      <c r="K10171" s="205">
        <v>7686.54</v>
      </c>
      <c r="L10171" s="205"/>
      <c r="M10171" s="263"/>
      <c r="N10171" s="263"/>
    </row>
    <row r="10172" spans="1:14" ht="11.25" customHeight="1" x14ac:dyDescent="0.2">
      <c r="A10172" s="226">
        <v>2025</v>
      </c>
      <c r="B10172" s="226">
        <v>12</v>
      </c>
      <c r="C10172" s="226">
        <v>8</v>
      </c>
      <c r="D10172" s="226">
        <f t="shared" si="1181"/>
        <v>45999</v>
      </c>
      <c r="E10172" s="234">
        <f t="shared" si="1184"/>
        <v>45999</v>
      </c>
      <c r="F10172" s="479"/>
      <c r="G10172" s="227" t="s">
        <v>86</v>
      </c>
      <c r="H10172" s="228"/>
      <c r="I10172" s="228"/>
      <c r="J10172" s="229" t="s">
        <v>80</v>
      </c>
      <c r="K10172" s="230"/>
      <c r="L10172" s="230">
        <v>187686.54</v>
      </c>
      <c r="M10172" s="263"/>
      <c r="N10172" s="263"/>
    </row>
    <row r="10173" spans="1:14" ht="11.25" customHeight="1" x14ac:dyDescent="0.2">
      <c r="A10173" s="280">
        <v>2025</v>
      </c>
      <c r="B10173" s="280">
        <v>12</v>
      </c>
      <c r="C10173" s="280">
        <v>8</v>
      </c>
      <c r="D10173" s="281">
        <f t="shared" si="1181"/>
        <v>45999</v>
      </c>
      <c r="E10173" s="282">
        <f t="shared" si="1184"/>
        <v>45999</v>
      </c>
      <c r="F10173" s="472" t="s">
        <v>1744</v>
      </c>
      <c r="G10173" s="283" t="s">
        <v>86</v>
      </c>
      <c r="H10173" s="284"/>
      <c r="I10173" s="284"/>
      <c r="J10173" s="285" t="s">
        <v>131</v>
      </c>
      <c r="K10173" s="286">
        <v>2765.4757142857147</v>
      </c>
      <c r="L10173" s="286"/>
      <c r="M10173" s="401">
        <f>K10173/7</f>
        <v>395.06795918367351</v>
      </c>
    </row>
    <row r="10174" spans="1:14" ht="11.25" customHeight="1" x14ac:dyDescent="0.2">
      <c r="A10174" s="287">
        <v>2025</v>
      </c>
      <c r="B10174" s="287">
        <v>12</v>
      </c>
      <c r="C10174" s="287">
        <v>8</v>
      </c>
      <c r="D10174" s="288">
        <f t="shared" si="1181"/>
        <v>45999</v>
      </c>
      <c r="E10174" s="289">
        <f t="shared" si="1184"/>
        <v>45999</v>
      </c>
      <c r="F10174" s="473"/>
      <c r="G10174" s="290" t="s">
        <v>86</v>
      </c>
      <c r="H10174" s="291"/>
      <c r="I10174" s="291"/>
      <c r="J10174" s="292" t="s">
        <v>174</v>
      </c>
      <c r="K10174" s="293"/>
      <c r="L10174" s="293">
        <f>K10173</f>
        <v>2765.4757142857147</v>
      </c>
    </row>
    <row r="10175" spans="1:14" ht="11.25" customHeight="1" x14ac:dyDescent="0.2">
      <c r="A10175" s="280">
        <v>2025</v>
      </c>
      <c r="B10175" s="280">
        <v>12</v>
      </c>
      <c r="C10175" s="280">
        <v>8</v>
      </c>
      <c r="D10175" s="281">
        <f t="shared" si="1181"/>
        <v>45999</v>
      </c>
      <c r="E10175" s="282">
        <f t="shared" si="1184"/>
        <v>45999</v>
      </c>
      <c r="F10175" s="472" t="s">
        <v>1584</v>
      </c>
      <c r="G10175" s="283" t="s">
        <v>86</v>
      </c>
      <c r="H10175" s="284"/>
      <c r="I10175" s="284"/>
      <c r="J10175" s="285" t="s">
        <v>131</v>
      </c>
      <c r="K10175" s="286">
        <v>1263.7357142857143</v>
      </c>
      <c r="L10175" s="286"/>
      <c r="M10175" s="401">
        <f>K10175/7</f>
        <v>180.53367346938776</v>
      </c>
    </row>
    <row r="10176" spans="1:14" ht="11.25" customHeight="1" x14ac:dyDescent="0.2">
      <c r="A10176" s="287">
        <v>2025</v>
      </c>
      <c r="B10176" s="287">
        <v>12</v>
      </c>
      <c r="C10176" s="287">
        <v>8</v>
      </c>
      <c r="D10176" s="288">
        <f t="shared" si="1181"/>
        <v>45999</v>
      </c>
      <c r="E10176" s="289">
        <f t="shared" si="1184"/>
        <v>45999</v>
      </c>
      <c r="F10176" s="473"/>
      <c r="G10176" s="290" t="s">
        <v>86</v>
      </c>
      <c r="H10176" s="291"/>
      <c r="I10176" s="291"/>
      <c r="J10176" s="292" t="s">
        <v>174</v>
      </c>
      <c r="K10176" s="293"/>
      <c r="L10176" s="293">
        <f>K10175</f>
        <v>1263.7357142857143</v>
      </c>
    </row>
    <row r="10177" spans="1:14" ht="11.25" customHeight="1" x14ac:dyDescent="0.2">
      <c r="A10177" s="280">
        <v>2025</v>
      </c>
      <c r="B10177" s="280">
        <v>12</v>
      </c>
      <c r="C10177" s="280">
        <v>8</v>
      </c>
      <c r="D10177" s="281">
        <f t="shared" si="1181"/>
        <v>45999</v>
      </c>
      <c r="E10177" s="282">
        <f t="shared" si="1184"/>
        <v>45999</v>
      </c>
      <c r="F10177" s="472" t="s">
        <v>1955</v>
      </c>
      <c r="G10177" s="283" t="s">
        <v>86</v>
      </c>
      <c r="H10177" s="284"/>
      <c r="I10177" s="284"/>
      <c r="J10177" s="285" t="s">
        <v>1978</v>
      </c>
      <c r="K10177" s="286">
        <v>6185.4395604395604</v>
      </c>
      <c r="L10177" s="286"/>
      <c r="M10177" s="401">
        <f>K10177/7</f>
        <v>883.6342229199372</v>
      </c>
    </row>
    <row r="10178" spans="1:14" ht="11.25" customHeight="1" x14ac:dyDescent="0.2">
      <c r="A10178" s="287">
        <v>2025</v>
      </c>
      <c r="B10178" s="287">
        <v>12</v>
      </c>
      <c r="C10178" s="287">
        <v>8</v>
      </c>
      <c r="D10178" s="288">
        <f t="shared" si="1181"/>
        <v>45999</v>
      </c>
      <c r="E10178" s="289">
        <f t="shared" si="1184"/>
        <v>45999</v>
      </c>
      <c r="F10178" s="473"/>
      <c r="G10178" s="290" t="s">
        <v>86</v>
      </c>
      <c r="H10178" s="291"/>
      <c r="I10178" s="291"/>
      <c r="J10178" s="292" t="s">
        <v>1955</v>
      </c>
      <c r="K10178" s="293"/>
      <c r="L10178" s="293">
        <f>K10177</f>
        <v>6185.4395604395604</v>
      </c>
    </row>
    <row r="10179" spans="1:14" ht="11.25" customHeight="1" x14ac:dyDescent="0.2">
      <c r="A10179" s="341">
        <v>2025</v>
      </c>
      <c r="B10179" s="341">
        <v>12</v>
      </c>
      <c r="C10179" s="341">
        <v>8</v>
      </c>
      <c r="D10179" s="328">
        <f t="shared" si="1181"/>
        <v>45999</v>
      </c>
      <c r="E10179" s="329">
        <f t="shared" si="1184"/>
        <v>45999</v>
      </c>
      <c r="F10179" s="474" t="s">
        <v>1767</v>
      </c>
      <c r="G10179" s="330" t="s">
        <v>86</v>
      </c>
      <c r="H10179" s="332"/>
      <c r="I10179" s="332"/>
      <c r="J10179" s="342" t="s">
        <v>67</v>
      </c>
      <c r="K10179" s="343">
        <v>1567.2913674999998</v>
      </c>
      <c r="L10179" s="343"/>
    </row>
    <row r="10180" spans="1:14" ht="11.25" customHeight="1" x14ac:dyDescent="0.2">
      <c r="A10180" s="344">
        <v>2025</v>
      </c>
      <c r="B10180" s="344">
        <v>12</v>
      </c>
      <c r="C10180" s="344">
        <v>8</v>
      </c>
      <c r="D10180" s="337">
        <f t="shared" si="1181"/>
        <v>45999</v>
      </c>
      <c r="E10180" s="338">
        <f t="shared" si="1184"/>
        <v>45999</v>
      </c>
      <c r="F10180" s="475"/>
      <c r="G10180" s="339" t="s">
        <v>86</v>
      </c>
      <c r="H10180" s="340"/>
      <c r="I10180" s="340"/>
      <c r="J10180" s="345" t="s">
        <v>174</v>
      </c>
      <c r="K10180" s="346"/>
      <c r="L10180" s="346">
        <f>K10179</f>
        <v>1567.2913674999998</v>
      </c>
    </row>
    <row r="10181" spans="1:14" ht="11.25" customHeight="1" x14ac:dyDescent="0.2">
      <c r="A10181" s="358">
        <v>2025</v>
      </c>
      <c r="B10181" s="358">
        <v>12</v>
      </c>
      <c r="C10181" s="358">
        <v>8</v>
      </c>
      <c r="D10181" s="312">
        <f t="shared" si="1181"/>
        <v>45999</v>
      </c>
      <c r="E10181" s="313">
        <f>DATE(A10181,B10181,C10181)</f>
        <v>45999</v>
      </c>
      <c r="F10181" s="482" t="s">
        <v>1627</v>
      </c>
      <c r="G10181" s="314" t="s">
        <v>86</v>
      </c>
      <c r="H10181" s="324"/>
      <c r="I10181" s="324"/>
      <c r="J10181" s="364" t="s">
        <v>1613</v>
      </c>
      <c r="K10181" s="365"/>
      <c r="L10181" s="365"/>
      <c r="M10181" s="156">
        <f>BS!$I$12</f>
        <v>0</v>
      </c>
    </row>
    <row r="10182" spans="1:14" ht="11.25" customHeight="1" x14ac:dyDescent="0.2">
      <c r="A10182" s="320">
        <v>2025</v>
      </c>
      <c r="B10182" s="320">
        <v>12</v>
      </c>
      <c r="C10182" s="320">
        <v>8</v>
      </c>
      <c r="D10182" s="323">
        <f t="shared" si="1181"/>
        <v>45999</v>
      </c>
      <c r="E10182" s="321">
        <f t="shared" ref="E10182" si="1185">DATE(A10182,B10182,C10182)</f>
        <v>45999</v>
      </c>
      <c r="F10182" s="483"/>
      <c r="G10182" s="322" t="s">
        <v>86</v>
      </c>
      <c r="H10182" s="325"/>
      <c r="I10182" s="325"/>
      <c r="J10182" s="366" t="s">
        <v>1621</v>
      </c>
      <c r="K10182" s="367"/>
      <c r="L10182" s="367">
        <f>K10181</f>
        <v>0</v>
      </c>
    </row>
    <row r="10183" spans="1:14" ht="11.25" customHeight="1" x14ac:dyDescent="0.2">
      <c r="A10183" s="358">
        <v>2025</v>
      </c>
      <c r="B10183" s="358">
        <v>12</v>
      </c>
      <c r="C10183" s="358">
        <v>8</v>
      </c>
      <c r="D10183" s="312">
        <f t="shared" si="1181"/>
        <v>45999</v>
      </c>
      <c r="E10183" s="313">
        <f>DATE(A10183,B10183,C10183)</f>
        <v>45999</v>
      </c>
      <c r="F10183" s="482" t="s">
        <v>1713</v>
      </c>
      <c r="G10183" s="314" t="s">
        <v>86</v>
      </c>
      <c r="H10183" s="324"/>
      <c r="I10183" s="324"/>
      <c r="J10183" s="364" t="s">
        <v>1622</v>
      </c>
      <c r="K10183" s="365">
        <v>195.94400000036694</v>
      </c>
      <c r="L10183" s="365"/>
      <c r="M10183" s="447">
        <f>BS!$I$15</f>
        <v>0</v>
      </c>
      <c r="N10183" s="166"/>
    </row>
    <row r="10184" spans="1:14" ht="11.25" customHeight="1" x14ac:dyDescent="0.2">
      <c r="A10184" s="320">
        <v>2025</v>
      </c>
      <c r="B10184" s="320">
        <v>12</v>
      </c>
      <c r="C10184" s="320">
        <v>8</v>
      </c>
      <c r="D10184" s="323">
        <f t="shared" si="1181"/>
        <v>45999</v>
      </c>
      <c r="E10184" s="321">
        <f t="shared" ref="E10184:E10210" si="1186">DATE(A10184,B10184,C10184)</f>
        <v>45999</v>
      </c>
      <c r="F10184" s="483"/>
      <c r="G10184" s="322" t="s">
        <v>86</v>
      </c>
      <c r="H10184" s="325"/>
      <c r="I10184" s="325"/>
      <c r="J10184" s="366" t="s">
        <v>1614</v>
      </c>
      <c r="K10184" s="367"/>
      <c r="L10184" s="367">
        <f>K10183</f>
        <v>195.94400000036694</v>
      </c>
    </row>
    <row r="10185" spans="1:14" ht="11.25" customHeight="1" x14ac:dyDescent="0.2">
      <c r="A10185" s="236">
        <v>2025</v>
      </c>
      <c r="B10185" s="236">
        <v>12</v>
      </c>
      <c r="C10185" s="236">
        <v>8</v>
      </c>
      <c r="D10185" s="237">
        <f t="shared" ref="D10185:D10248" si="1187">DATE(A10185,B10185,C10185)</f>
        <v>45999</v>
      </c>
      <c r="E10185" s="238">
        <f t="shared" si="1186"/>
        <v>45999</v>
      </c>
      <c r="F10185" s="476" t="s">
        <v>1118</v>
      </c>
      <c r="G10185" s="239" t="s">
        <v>86</v>
      </c>
      <c r="H10185" s="239"/>
      <c r="I10185" s="240"/>
      <c r="J10185" s="241" t="s">
        <v>98</v>
      </c>
      <c r="K10185" s="242">
        <v>259725.89999997616</v>
      </c>
      <c r="L10185" s="242"/>
      <c r="M10185" s="156">
        <f>BS!$I$8</f>
        <v>0</v>
      </c>
    </row>
    <row r="10186" spans="1:14" ht="11.25" customHeight="1" x14ac:dyDescent="0.2">
      <c r="A10186" s="243">
        <v>2025</v>
      </c>
      <c r="B10186" s="243">
        <v>12</v>
      </c>
      <c r="C10186" s="243">
        <v>8</v>
      </c>
      <c r="D10186" s="248">
        <f t="shared" si="1187"/>
        <v>45999</v>
      </c>
      <c r="E10186" s="249">
        <f t="shared" si="1186"/>
        <v>45999</v>
      </c>
      <c r="F10186" s="477"/>
      <c r="G10186" s="244" t="s">
        <v>86</v>
      </c>
      <c r="H10186" s="244"/>
      <c r="I10186" s="245"/>
      <c r="J10186" s="246" t="s">
        <v>82</v>
      </c>
      <c r="K10186" s="247"/>
      <c r="L10186" s="247">
        <f>K10185</f>
        <v>259725.89999997616</v>
      </c>
    </row>
    <row r="10187" spans="1:14" ht="11.25" customHeight="1" x14ac:dyDescent="0.2">
      <c r="A10187" s="236">
        <v>2025</v>
      </c>
      <c r="B10187" s="236">
        <v>12</v>
      </c>
      <c r="C10187" s="236">
        <v>8</v>
      </c>
      <c r="D10187" s="237">
        <f t="shared" si="1187"/>
        <v>45999</v>
      </c>
      <c r="E10187" s="238">
        <f t="shared" si="1186"/>
        <v>45999</v>
      </c>
      <c r="F10187" s="476" t="s">
        <v>1120</v>
      </c>
      <c r="G10187" s="239" t="s">
        <v>86</v>
      </c>
      <c r="H10187" s="239"/>
      <c r="I10187" s="240"/>
      <c r="J10187" s="241" t="s">
        <v>87</v>
      </c>
      <c r="K10187" s="242">
        <v>392.46467817896388</v>
      </c>
      <c r="L10187" s="242"/>
      <c r="M10187" s="401"/>
    </row>
    <row r="10188" spans="1:14" ht="11.25" customHeight="1" x14ac:dyDescent="0.2">
      <c r="A10188" s="243">
        <v>2025</v>
      </c>
      <c r="B10188" s="243">
        <v>12</v>
      </c>
      <c r="C10188" s="243">
        <v>8</v>
      </c>
      <c r="D10188" s="248">
        <f t="shared" si="1187"/>
        <v>45999</v>
      </c>
      <c r="E10188" s="249">
        <f t="shared" si="1186"/>
        <v>45999</v>
      </c>
      <c r="F10188" s="477"/>
      <c r="G10188" s="244" t="s">
        <v>86</v>
      </c>
      <c r="H10188" s="244"/>
      <c r="I10188" s="245"/>
      <c r="J10188" s="246" t="s">
        <v>64</v>
      </c>
      <c r="K10188" s="247"/>
      <c r="L10188" s="247">
        <f>K10187</f>
        <v>392.46467817896388</v>
      </c>
    </row>
    <row r="10189" spans="1:14" ht="11.25" customHeight="1" x14ac:dyDescent="0.2">
      <c r="A10189" s="236">
        <v>2025</v>
      </c>
      <c r="B10189" s="236">
        <v>12</v>
      </c>
      <c r="C10189" s="236">
        <v>8</v>
      </c>
      <c r="D10189" s="237">
        <f t="shared" si="1187"/>
        <v>45999</v>
      </c>
      <c r="E10189" s="238">
        <f t="shared" si="1186"/>
        <v>45999</v>
      </c>
      <c r="F10189" s="476" t="s">
        <v>1121</v>
      </c>
      <c r="G10189" s="239" t="s">
        <v>86</v>
      </c>
      <c r="H10189" s="239"/>
      <c r="I10189" s="240"/>
      <c r="J10189" s="241" t="s">
        <v>89</v>
      </c>
      <c r="K10189" s="242">
        <f>M10189</f>
        <v>13198.059096624367</v>
      </c>
      <c r="L10189" s="242"/>
      <c r="M10189" s="448">
        <v>13198.059096624367</v>
      </c>
    </row>
    <row r="10190" spans="1:14" ht="11.25" customHeight="1" x14ac:dyDescent="0.2">
      <c r="A10190" s="243">
        <v>2025</v>
      </c>
      <c r="B10190" s="243">
        <v>12</v>
      </c>
      <c r="C10190" s="243">
        <v>8</v>
      </c>
      <c r="D10190" s="248">
        <f t="shared" si="1187"/>
        <v>45999</v>
      </c>
      <c r="E10190" s="249">
        <f t="shared" si="1186"/>
        <v>45999</v>
      </c>
      <c r="F10190" s="477"/>
      <c r="G10190" s="244" t="s">
        <v>86</v>
      </c>
      <c r="H10190" s="244"/>
      <c r="I10190" s="245"/>
      <c r="J10190" s="246" t="s">
        <v>50</v>
      </c>
      <c r="K10190" s="247"/>
      <c r="L10190" s="247">
        <f>K10189</f>
        <v>13198.059096624367</v>
      </c>
      <c r="M10190" s="448">
        <v>625.56229549055899</v>
      </c>
    </row>
    <row r="10191" spans="1:14" ht="11.25" customHeight="1" x14ac:dyDescent="0.2">
      <c r="A10191" s="236">
        <v>2025</v>
      </c>
      <c r="B10191" s="236">
        <v>12</v>
      </c>
      <c r="C10191" s="236">
        <v>8</v>
      </c>
      <c r="D10191" s="237">
        <f t="shared" si="1187"/>
        <v>45999</v>
      </c>
      <c r="E10191" s="238">
        <f t="shared" si="1186"/>
        <v>45999</v>
      </c>
      <c r="F10191" s="476" t="s">
        <v>1122</v>
      </c>
      <c r="G10191" s="239" t="s">
        <v>86</v>
      </c>
      <c r="H10191" s="239"/>
      <c r="I10191" s="240"/>
      <c r="J10191" s="241" t="s">
        <v>91</v>
      </c>
      <c r="K10191" s="242">
        <f>M10190</f>
        <v>625.56229549055899</v>
      </c>
      <c r="L10191" s="242"/>
    </row>
    <row r="10192" spans="1:14" ht="11.25" customHeight="1" x14ac:dyDescent="0.2">
      <c r="A10192" s="243">
        <v>2025</v>
      </c>
      <c r="B10192" s="243">
        <v>12</v>
      </c>
      <c r="C10192" s="243">
        <v>8</v>
      </c>
      <c r="D10192" s="248">
        <f t="shared" si="1187"/>
        <v>45999</v>
      </c>
      <c r="E10192" s="249">
        <f t="shared" si="1186"/>
        <v>45999</v>
      </c>
      <c r="F10192" s="477"/>
      <c r="G10192" s="244" t="s">
        <v>86</v>
      </c>
      <c r="H10192" s="244"/>
      <c r="I10192" s="245"/>
      <c r="J10192" s="246" t="s">
        <v>51</v>
      </c>
      <c r="K10192" s="247"/>
      <c r="L10192" s="247">
        <f>K10191</f>
        <v>625.56229549055899</v>
      </c>
    </row>
    <row r="10193" spans="1:14" ht="11.25" customHeight="1" x14ac:dyDescent="0.2">
      <c r="A10193" s="221">
        <v>2025</v>
      </c>
      <c r="B10193" s="221">
        <v>12</v>
      </c>
      <c r="C10193" s="221">
        <v>9</v>
      </c>
      <c r="D10193" s="221">
        <f t="shared" si="1187"/>
        <v>46000</v>
      </c>
      <c r="E10193" s="233">
        <f t="shared" si="1186"/>
        <v>46000</v>
      </c>
      <c r="F10193" s="478" t="s">
        <v>1886</v>
      </c>
      <c r="G10193" s="222" t="s">
        <v>86</v>
      </c>
      <c r="H10193" s="222"/>
      <c r="I10193" s="223"/>
      <c r="J10193" s="224" t="s">
        <v>80</v>
      </c>
      <c r="K10193" s="225">
        <v>923869</v>
      </c>
      <c r="L10193" s="225"/>
      <c r="N10193" s="263"/>
    </row>
    <row r="10194" spans="1:14" ht="11.25" customHeight="1" x14ac:dyDescent="0.2">
      <c r="A10194" s="164">
        <v>2025</v>
      </c>
      <c r="B10194" s="164">
        <v>12</v>
      </c>
      <c r="C10194" s="164">
        <v>9</v>
      </c>
      <c r="D10194" s="164">
        <f t="shared" si="1187"/>
        <v>46000</v>
      </c>
      <c r="E10194" s="235">
        <f t="shared" si="1186"/>
        <v>46000</v>
      </c>
      <c r="F10194" s="480"/>
      <c r="G10194" s="208" t="s">
        <v>86</v>
      </c>
      <c r="H10194" s="208"/>
      <c r="J10194" s="165" t="s">
        <v>960</v>
      </c>
      <c r="K10194" s="205">
        <v>4372.5</v>
      </c>
      <c r="L10194" s="205"/>
      <c r="M10194" s="263"/>
      <c r="N10194" s="263"/>
    </row>
    <row r="10195" spans="1:14" ht="11.25" customHeight="1" x14ac:dyDescent="0.2">
      <c r="A10195" s="164">
        <v>2025</v>
      </c>
      <c r="B10195" s="164">
        <v>12</v>
      </c>
      <c r="C10195" s="164">
        <v>9</v>
      </c>
      <c r="D10195" s="164">
        <f t="shared" si="1187"/>
        <v>46000</v>
      </c>
      <c r="E10195" s="235">
        <f t="shared" si="1186"/>
        <v>46000</v>
      </c>
      <c r="F10195" s="480"/>
      <c r="G10195" s="208" t="s">
        <v>86</v>
      </c>
      <c r="H10195" s="208"/>
      <c r="J10195" s="165" t="s">
        <v>199</v>
      </c>
      <c r="K10195" s="263">
        <v>577058.5</v>
      </c>
      <c r="L10195" s="205"/>
      <c r="M10195" s="263"/>
      <c r="N10195" s="263"/>
    </row>
    <row r="10196" spans="1:14" ht="11.25" customHeight="1" x14ac:dyDescent="0.2">
      <c r="A10196" s="164">
        <v>2025</v>
      </c>
      <c r="B10196" s="164">
        <v>12</v>
      </c>
      <c r="C10196" s="164">
        <v>9</v>
      </c>
      <c r="D10196" s="164">
        <f t="shared" si="1187"/>
        <v>46000</v>
      </c>
      <c r="E10196" s="235">
        <f t="shared" si="1186"/>
        <v>46000</v>
      </c>
      <c r="F10196" s="480"/>
      <c r="G10196" s="208" t="s">
        <v>86</v>
      </c>
      <c r="H10196" s="208"/>
      <c r="J10196" s="165" t="s">
        <v>200</v>
      </c>
      <c r="K10196" s="205"/>
      <c r="L10196" s="205">
        <v>2019.36</v>
      </c>
      <c r="M10196" s="263"/>
      <c r="N10196" s="263"/>
    </row>
    <row r="10197" spans="1:14" ht="11.25" customHeight="1" x14ac:dyDescent="0.2">
      <c r="A10197" s="226">
        <v>2025</v>
      </c>
      <c r="B10197" s="226">
        <v>12</v>
      </c>
      <c r="C10197" s="226">
        <v>9</v>
      </c>
      <c r="D10197" s="226">
        <f t="shared" si="1187"/>
        <v>46000</v>
      </c>
      <c r="E10197" s="234">
        <f t="shared" si="1186"/>
        <v>46000</v>
      </c>
      <c r="F10197" s="479"/>
      <c r="G10197" s="227" t="s">
        <v>86</v>
      </c>
      <c r="H10197" s="228"/>
      <c r="I10197" s="228"/>
      <c r="J10197" s="229" t="s">
        <v>80</v>
      </c>
      <c r="K10197" s="230"/>
      <c r="L10197" s="230">
        <v>1503280.64</v>
      </c>
      <c r="M10197" s="263"/>
      <c r="N10197" s="263"/>
    </row>
    <row r="10198" spans="1:14" ht="11.25" customHeight="1" x14ac:dyDescent="0.2">
      <c r="A10198" s="221">
        <v>2025</v>
      </c>
      <c r="B10198" s="221">
        <v>12</v>
      </c>
      <c r="C10198" s="221">
        <v>9</v>
      </c>
      <c r="D10198" s="221">
        <f t="shared" si="1187"/>
        <v>46000</v>
      </c>
      <c r="E10198" s="233">
        <f t="shared" ref="E10198:E10202" si="1188">DATE(A10198,B10198,C10198)</f>
        <v>46000</v>
      </c>
      <c r="F10198" s="478" t="s">
        <v>1937</v>
      </c>
      <c r="G10198" s="222" t="s">
        <v>86</v>
      </c>
      <c r="H10198" s="222"/>
      <c r="I10198" s="223"/>
      <c r="J10198" s="224" t="s">
        <v>80</v>
      </c>
      <c r="K10198" s="225">
        <v>24660</v>
      </c>
      <c r="L10198" s="225"/>
      <c r="N10198" s="263"/>
    </row>
    <row r="10199" spans="1:14" ht="11.25" customHeight="1" x14ac:dyDescent="0.2">
      <c r="A10199" s="164">
        <v>2025</v>
      </c>
      <c r="B10199" s="164">
        <v>12</v>
      </c>
      <c r="C10199" s="164">
        <v>9</v>
      </c>
      <c r="D10199" s="164">
        <f t="shared" si="1187"/>
        <v>46000</v>
      </c>
      <c r="E10199" s="235">
        <f t="shared" si="1188"/>
        <v>46000</v>
      </c>
      <c r="F10199" s="480"/>
      <c r="G10199" s="208" t="s">
        <v>86</v>
      </c>
      <c r="H10199" s="208"/>
      <c r="J10199" s="165" t="s">
        <v>960</v>
      </c>
      <c r="K10199" s="205">
        <v>432.11</v>
      </c>
      <c r="L10199" s="205"/>
      <c r="M10199" s="263"/>
      <c r="N10199" s="263"/>
    </row>
    <row r="10200" spans="1:14" ht="11.25" customHeight="1" x14ac:dyDescent="0.2">
      <c r="A10200" s="164">
        <v>2025</v>
      </c>
      <c r="B10200" s="164">
        <v>12</v>
      </c>
      <c r="C10200" s="164">
        <v>9</v>
      </c>
      <c r="D10200" s="164">
        <f t="shared" si="1187"/>
        <v>46000</v>
      </c>
      <c r="E10200" s="235">
        <f t="shared" si="1188"/>
        <v>46000</v>
      </c>
      <c r="F10200" s="480"/>
      <c r="G10200" s="208" t="s">
        <v>86</v>
      </c>
      <c r="H10200" s="208"/>
      <c r="J10200" s="165" t="s">
        <v>199</v>
      </c>
      <c r="K10200" s="263">
        <v>190307.89</v>
      </c>
      <c r="L10200" s="205"/>
      <c r="M10200" s="263"/>
      <c r="N10200" s="263"/>
    </row>
    <row r="10201" spans="1:14" ht="11.25" customHeight="1" x14ac:dyDescent="0.2">
      <c r="A10201" s="164">
        <v>2025</v>
      </c>
      <c r="B10201" s="164">
        <v>12</v>
      </c>
      <c r="C10201" s="164">
        <v>9</v>
      </c>
      <c r="D10201" s="164">
        <f t="shared" si="1187"/>
        <v>46000</v>
      </c>
      <c r="E10201" s="235">
        <f t="shared" si="1188"/>
        <v>46000</v>
      </c>
      <c r="F10201" s="480"/>
      <c r="G10201" s="208" t="s">
        <v>86</v>
      </c>
      <c r="H10201" s="208"/>
      <c r="J10201" s="165" t="s">
        <v>200</v>
      </c>
      <c r="K10201" s="205">
        <v>5895.19</v>
      </c>
      <c r="L10201" s="205"/>
      <c r="M10201" s="263"/>
      <c r="N10201" s="263"/>
    </row>
    <row r="10202" spans="1:14" ht="11.25" customHeight="1" x14ac:dyDescent="0.2">
      <c r="A10202" s="226">
        <v>2025</v>
      </c>
      <c r="B10202" s="226">
        <v>12</v>
      </c>
      <c r="C10202" s="226">
        <v>9</v>
      </c>
      <c r="D10202" s="226">
        <f t="shared" si="1187"/>
        <v>46000</v>
      </c>
      <c r="E10202" s="234">
        <f t="shared" si="1188"/>
        <v>46000</v>
      </c>
      <c r="F10202" s="479"/>
      <c r="G10202" s="227" t="s">
        <v>86</v>
      </c>
      <c r="H10202" s="228"/>
      <c r="I10202" s="228"/>
      <c r="J10202" s="229" t="s">
        <v>80</v>
      </c>
      <c r="K10202" s="230"/>
      <c r="L10202" s="230">
        <v>221295.19</v>
      </c>
      <c r="M10202" s="263"/>
      <c r="N10202" s="263"/>
    </row>
    <row r="10203" spans="1:14" ht="11.25" customHeight="1" x14ac:dyDescent="0.2">
      <c r="A10203" s="280">
        <v>2025</v>
      </c>
      <c r="B10203" s="280">
        <v>12</v>
      </c>
      <c r="C10203" s="280">
        <v>9</v>
      </c>
      <c r="D10203" s="281">
        <f t="shared" si="1187"/>
        <v>46000</v>
      </c>
      <c r="E10203" s="282">
        <f t="shared" si="1186"/>
        <v>46000</v>
      </c>
      <c r="F10203" s="472" t="s">
        <v>1744</v>
      </c>
      <c r="G10203" s="283" t="s">
        <v>86</v>
      </c>
      <c r="H10203" s="284"/>
      <c r="I10203" s="284"/>
      <c r="J10203" s="285" t="s">
        <v>131</v>
      </c>
      <c r="K10203" s="286">
        <v>2765.4757142857147</v>
      </c>
      <c r="L10203" s="286"/>
      <c r="M10203" s="401">
        <f>K10203/7</f>
        <v>395.06795918367351</v>
      </c>
    </row>
    <row r="10204" spans="1:14" ht="11.25" customHeight="1" x14ac:dyDescent="0.2">
      <c r="A10204" s="287">
        <v>2025</v>
      </c>
      <c r="B10204" s="287">
        <v>12</v>
      </c>
      <c r="C10204" s="287">
        <v>9</v>
      </c>
      <c r="D10204" s="288">
        <f t="shared" si="1187"/>
        <v>46000</v>
      </c>
      <c r="E10204" s="289">
        <f t="shared" si="1186"/>
        <v>46000</v>
      </c>
      <c r="F10204" s="473"/>
      <c r="G10204" s="290" t="s">
        <v>86</v>
      </c>
      <c r="H10204" s="291"/>
      <c r="I10204" s="291"/>
      <c r="J10204" s="292" t="s">
        <v>174</v>
      </c>
      <c r="K10204" s="293"/>
      <c r="L10204" s="293">
        <f>K10203</f>
        <v>2765.4757142857147</v>
      </c>
    </row>
    <row r="10205" spans="1:14" ht="11.25" customHeight="1" x14ac:dyDescent="0.2">
      <c r="A10205" s="280">
        <v>2025</v>
      </c>
      <c r="B10205" s="280">
        <v>12</v>
      </c>
      <c r="C10205" s="280">
        <v>9</v>
      </c>
      <c r="D10205" s="281">
        <f t="shared" si="1187"/>
        <v>46000</v>
      </c>
      <c r="E10205" s="282">
        <f t="shared" si="1186"/>
        <v>46000</v>
      </c>
      <c r="F10205" s="472" t="s">
        <v>1584</v>
      </c>
      <c r="G10205" s="283" t="s">
        <v>86</v>
      </c>
      <c r="H10205" s="284"/>
      <c r="I10205" s="284"/>
      <c r="J10205" s="285" t="s">
        <v>131</v>
      </c>
      <c r="K10205" s="286">
        <v>1263.7357142857143</v>
      </c>
      <c r="L10205" s="286"/>
      <c r="M10205" s="401">
        <f>K10205/7</f>
        <v>180.53367346938776</v>
      </c>
    </row>
    <row r="10206" spans="1:14" ht="11.25" customHeight="1" x14ac:dyDescent="0.2">
      <c r="A10206" s="287">
        <v>2025</v>
      </c>
      <c r="B10206" s="287">
        <v>12</v>
      </c>
      <c r="C10206" s="287">
        <v>9</v>
      </c>
      <c r="D10206" s="288">
        <f t="shared" si="1187"/>
        <v>46000</v>
      </c>
      <c r="E10206" s="289">
        <f t="shared" si="1186"/>
        <v>46000</v>
      </c>
      <c r="F10206" s="473"/>
      <c r="G10206" s="290" t="s">
        <v>86</v>
      </c>
      <c r="H10206" s="291"/>
      <c r="I10206" s="291"/>
      <c r="J10206" s="292" t="s">
        <v>174</v>
      </c>
      <c r="K10206" s="293"/>
      <c r="L10206" s="293">
        <f>K10205</f>
        <v>1263.7357142857143</v>
      </c>
    </row>
    <row r="10207" spans="1:14" ht="11.25" customHeight="1" x14ac:dyDescent="0.2">
      <c r="A10207" s="280">
        <v>2025</v>
      </c>
      <c r="B10207" s="280">
        <v>12</v>
      </c>
      <c r="C10207" s="280">
        <v>9</v>
      </c>
      <c r="D10207" s="281">
        <f t="shared" si="1187"/>
        <v>46000</v>
      </c>
      <c r="E10207" s="282">
        <f t="shared" si="1186"/>
        <v>46000</v>
      </c>
      <c r="F10207" s="472" t="s">
        <v>1955</v>
      </c>
      <c r="G10207" s="283" t="s">
        <v>86</v>
      </c>
      <c r="H10207" s="284"/>
      <c r="I10207" s="284"/>
      <c r="J10207" s="285" t="s">
        <v>1978</v>
      </c>
      <c r="K10207" s="286">
        <v>6185.4395604395604</v>
      </c>
      <c r="L10207" s="286"/>
      <c r="M10207" s="401">
        <f>K10207/7</f>
        <v>883.6342229199372</v>
      </c>
    </row>
    <row r="10208" spans="1:14" ht="11.25" customHeight="1" x14ac:dyDescent="0.2">
      <c r="A10208" s="287">
        <v>2025</v>
      </c>
      <c r="B10208" s="287">
        <v>12</v>
      </c>
      <c r="C10208" s="287">
        <v>9</v>
      </c>
      <c r="D10208" s="288">
        <f t="shared" si="1187"/>
        <v>46000</v>
      </c>
      <c r="E10208" s="289">
        <f t="shared" si="1186"/>
        <v>46000</v>
      </c>
      <c r="F10208" s="473"/>
      <c r="G10208" s="290" t="s">
        <v>86</v>
      </c>
      <c r="H10208" s="291"/>
      <c r="I10208" s="291"/>
      <c r="J10208" s="292" t="s">
        <v>1955</v>
      </c>
      <c r="K10208" s="293"/>
      <c r="L10208" s="293">
        <f>K10207</f>
        <v>6185.4395604395604</v>
      </c>
    </row>
    <row r="10209" spans="1:14" ht="11.25" customHeight="1" x14ac:dyDescent="0.2">
      <c r="A10209" s="341">
        <v>2025</v>
      </c>
      <c r="B10209" s="341">
        <v>12</v>
      </c>
      <c r="C10209" s="341">
        <v>9</v>
      </c>
      <c r="D10209" s="328">
        <f t="shared" si="1187"/>
        <v>46000</v>
      </c>
      <c r="E10209" s="329">
        <f t="shared" si="1186"/>
        <v>46000</v>
      </c>
      <c r="F10209" s="474" t="s">
        <v>1767</v>
      </c>
      <c r="G10209" s="330" t="s">
        <v>86</v>
      </c>
      <c r="H10209" s="332"/>
      <c r="I10209" s="332"/>
      <c r="J10209" s="342" t="s">
        <v>67</v>
      </c>
      <c r="K10209" s="343">
        <v>1567.2913674999998</v>
      </c>
      <c r="L10209" s="343"/>
    </row>
    <row r="10210" spans="1:14" ht="11.25" customHeight="1" x14ac:dyDescent="0.2">
      <c r="A10210" s="344">
        <v>2025</v>
      </c>
      <c r="B10210" s="344">
        <v>12</v>
      </c>
      <c r="C10210" s="344">
        <v>9</v>
      </c>
      <c r="D10210" s="337">
        <f t="shared" si="1187"/>
        <v>46000</v>
      </c>
      <c r="E10210" s="338">
        <f t="shared" si="1186"/>
        <v>46000</v>
      </c>
      <c r="F10210" s="475"/>
      <c r="G10210" s="339" t="s">
        <v>86</v>
      </c>
      <c r="H10210" s="340"/>
      <c r="I10210" s="340"/>
      <c r="J10210" s="345" t="s">
        <v>174</v>
      </c>
      <c r="K10210" s="346"/>
      <c r="L10210" s="346">
        <f>K10209</f>
        <v>1567.2913674999998</v>
      </c>
    </row>
    <row r="10211" spans="1:14" ht="11.25" customHeight="1" x14ac:dyDescent="0.2">
      <c r="A10211" s="358">
        <v>2025</v>
      </c>
      <c r="B10211" s="358">
        <v>12</v>
      </c>
      <c r="C10211" s="358">
        <v>9</v>
      </c>
      <c r="D10211" s="312">
        <f t="shared" si="1187"/>
        <v>46000</v>
      </c>
      <c r="E10211" s="313">
        <f>DATE(A10211,B10211,C10211)</f>
        <v>46000</v>
      </c>
      <c r="F10211" s="482" t="s">
        <v>1627</v>
      </c>
      <c r="G10211" s="314" t="s">
        <v>86</v>
      </c>
      <c r="H10211" s="324"/>
      <c r="I10211" s="324"/>
      <c r="J10211" s="364" t="s">
        <v>1613</v>
      </c>
      <c r="K10211" s="365"/>
      <c r="L10211" s="365"/>
      <c r="M10211" s="156">
        <f>BS!$I$12</f>
        <v>0</v>
      </c>
    </row>
    <row r="10212" spans="1:14" ht="11.25" customHeight="1" x14ac:dyDescent="0.2">
      <c r="A10212" s="320">
        <v>2025</v>
      </c>
      <c r="B10212" s="320">
        <v>12</v>
      </c>
      <c r="C10212" s="320">
        <v>9</v>
      </c>
      <c r="D10212" s="323">
        <f t="shared" si="1187"/>
        <v>46000</v>
      </c>
      <c r="E10212" s="321">
        <f t="shared" ref="E10212" si="1189">DATE(A10212,B10212,C10212)</f>
        <v>46000</v>
      </c>
      <c r="F10212" s="483"/>
      <c r="G10212" s="322" t="s">
        <v>86</v>
      </c>
      <c r="H10212" s="325"/>
      <c r="I10212" s="325"/>
      <c r="J10212" s="366" t="s">
        <v>1621</v>
      </c>
      <c r="K10212" s="367"/>
      <c r="L10212" s="367">
        <f>K10211</f>
        <v>0</v>
      </c>
    </row>
    <row r="10213" spans="1:14" ht="11.25" customHeight="1" x14ac:dyDescent="0.2">
      <c r="A10213" s="358">
        <v>2025</v>
      </c>
      <c r="B10213" s="358">
        <v>12</v>
      </c>
      <c r="C10213" s="358">
        <v>9</v>
      </c>
      <c r="D10213" s="312">
        <f t="shared" si="1187"/>
        <v>46000</v>
      </c>
      <c r="E10213" s="313">
        <f>DATE(A10213,B10213,C10213)</f>
        <v>46000</v>
      </c>
      <c r="F10213" s="482" t="s">
        <v>1713</v>
      </c>
      <c r="G10213" s="314" t="s">
        <v>86</v>
      </c>
      <c r="H10213" s="324"/>
      <c r="I10213" s="324"/>
      <c r="J10213" s="364" t="s">
        <v>1622</v>
      </c>
      <c r="K10213" s="365">
        <v>196.63700000022072</v>
      </c>
      <c r="L10213" s="365"/>
      <c r="M10213" s="447">
        <f>BS!$I$15</f>
        <v>0</v>
      </c>
      <c r="N10213" s="166"/>
    </row>
    <row r="10214" spans="1:14" ht="11.25" customHeight="1" x14ac:dyDescent="0.2">
      <c r="A10214" s="320">
        <v>2025</v>
      </c>
      <c r="B10214" s="320">
        <v>12</v>
      </c>
      <c r="C10214" s="320">
        <v>9</v>
      </c>
      <c r="D10214" s="323">
        <f t="shared" si="1187"/>
        <v>46000</v>
      </c>
      <c r="E10214" s="321">
        <f t="shared" ref="E10214:E10242" si="1190">DATE(A10214,B10214,C10214)</f>
        <v>46000</v>
      </c>
      <c r="F10214" s="483"/>
      <c r="G10214" s="322" t="s">
        <v>86</v>
      </c>
      <c r="H10214" s="325"/>
      <c r="I10214" s="325"/>
      <c r="J10214" s="366" t="s">
        <v>1614</v>
      </c>
      <c r="K10214" s="367"/>
      <c r="L10214" s="367">
        <f>K10213</f>
        <v>196.63700000022072</v>
      </c>
    </row>
    <row r="10215" spans="1:14" ht="11.25" customHeight="1" x14ac:dyDescent="0.2">
      <c r="A10215" s="236">
        <v>2025</v>
      </c>
      <c r="B10215" s="236">
        <v>12</v>
      </c>
      <c r="C10215" s="236">
        <v>9</v>
      </c>
      <c r="D10215" s="237">
        <f t="shared" si="1187"/>
        <v>46000</v>
      </c>
      <c r="E10215" s="238">
        <f t="shared" si="1190"/>
        <v>46000</v>
      </c>
      <c r="F10215" s="476" t="s">
        <v>1118</v>
      </c>
      <c r="G10215" s="239" t="s">
        <v>86</v>
      </c>
      <c r="H10215" s="239"/>
      <c r="I10215" s="240"/>
      <c r="J10215" s="241" t="s">
        <v>98</v>
      </c>
      <c r="K10215" s="242">
        <v>1544459.8499999344</v>
      </c>
      <c r="L10215" s="242"/>
      <c r="M10215" s="156">
        <f>BS!$I$8</f>
        <v>0</v>
      </c>
    </row>
    <row r="10216" spans="1:14" ht="11.25" customHeight="1" x14ac:dyDescent="0.2">
      <c r="A10216" s="243">
        <v>2025</v>
      </c>
      <c r="B10216" s="243">
        <v>12</v>
      </c>
      <c r="C10216" s="243">
        <v>9</v>
      </c>
      <c r="D10216" s="248">
        <f t="shared" si="1187"/>
        <v>46000</v>
      </c>
      <c r="E10216" s="249">
        <f t="shared" si="1190"/>
        <v>46000</v>
      </c>
      <c r="F10216" s="477"/>
      <c r="G10216" s="244" t="s">
        <v>86</v>
      </c>
      <c r="H10216" s="244"/>
      <c r="I10216" s="245"/>
      <c r="J10216" s="246" t="s">
        <v>82</v>
      </c>
      <c r="K10216" s="247"/>
      <c r="L10216" s="247">
        <f>K10215</f>
        <v>1544459.8499999344</v>
      </c>
    </row>
    <row r="10217" spans="1:14" ht="11.25" customHeight="1" x14ac:dyDescent="0.2">
      <c r="A10217" s="236">
        <v>2025</v>
      </c>
      <c r="B10217" s="236">
        <v>12</v>
      </c>
      <c r="C10217" s="236">
        <v>9</v>
      </c>
      <c r="D10217" s="237">
        <f t="shared" si="1187"/>
        <v>46000</v>
      </c>
      <c r="E10217" s="238">
        <f t="shared" si="1190"/>
        <v>46000</v>
      </c>
      <c r="F10217" s="476" t="s">
        <v>1120</v>
      </c>
      <c r="G10217" s="239" t="s">
        <v>86</v>
      </c>
      <c r="H10217" s="239"/>
      <c r="I10217" s="240"/>
      <c r="J10217" s="241" t="s">
        <v>87</v>
      </c>
      <c r="K10217" s="242">
        <v>392.46467817896388</v>
      </c>
      <c r="L10217" s="242"/>
      <c r="M10217" s="401"/>
    </row>
    <row r="10218" spans="1:14" ht="11.25" customHeight="1" x14ac:dyDescent="0.2">
      <c r="A10218" s="243">
        <v>2025</v>
      </c>
      <c r="B10218" s="243">
        <v>12</v>
      </c>
      <c r="C10218" s="243">
        <v>9</v>
      </c>
      <c r="D10218" s="248">
        <f t="shared" si="1187"/>
        <v>46000</v>
      </c>
      <c r="E10218" s="249">
        <f t="shared" si="1190"/>
        <v>46000</v>
      </c>
      <c r="F10218" s="477"/>
      <c r="G10218" s="244" t="s">
        <v>86</v>
      </c>
      <c r="H10218" s="244"/>
      <c r="I10218" s="245"/>
      <c r="J10218" s="246" t="s">
        <v>64</v>
      </c>
      <c r="K10218" s="247"/>
      <c r="L10218" s="247">
        <f>K10217</f>
        <v>392.46467817896388</v>
      </c>
    </row>
    <row r="10219" spans="1:14" ht="11.25" customHeight="1" x14ac:dyDescent="0.2">
      <c r="A10219" s="236">
        <v>2025</v>
      </c>
      <c r="B10219" s="236">
        <v>12</v>
      </c>
      <c r="C10219" s="236">
        <v>9</v>
      </c>
      <c r="D10219" s="237">
        <f t="shared" si="1187"/>
        <v>46000</v>
      </c>
      <c r="E10219" s="238">
        <f t="shared" si="1190"/>
        <v>46000</v>
      </c>
      <c r="F10219" s="476" t="s">
        <v>1121</v>
      </c>
      <c r="G10219" s="239" t="s">
        <v>86</v>
      </c>
      <c r="H10219" s="239"/>
      <c r="I10219" s="240"/>
      <c r="J10219" s="241" t="s">
        <v>89</v>
      </c>
      <c r="K10219" s="242">
        <f>M10219</f>
        <v>13299.277948673058</v>
      </c>
      <c r="L10219" s="242"/>
      <c r="M10219" s="448">
        <v>13299.277948673058</v>
      </c>
    </row>
    <row r="10220" spans="1:14" ht="11.25" customHeight="1" x14ac:dyDescent="0.2">
      <c r="A10220" s="243">
        <v>2025</v>
      </c>
      <c r="B10220" s="243">
        <v>12</v>
      </c>
      <c r="C10220" s="243">
        <v>9</v>
      </c>
      <c r="D10220" s="248">
        <f t="shared" si="1187"/>
        <v>46000</v>
      </c>
      <c r="E10220" s="249">
        <f t="shared" si="1190"/>
        <v>46000</v>
      </c>
      <c r="F10220" s="477"/>
      <c r="G10220" s="244" t="s">
        <v>86</v>
      </c>
      <c r="H10220" s="244"/>
      <c r="I10220" s="245"/>
      <c r="J10220" s="246" t="s">
        <v>50</v>
      </c>
      <c r="K10220" s="247"/>
      <c r="L10220" s="247">
        <f>K10219</f>
        <v>13299.277948673058</v>
      </c>
      <c r="M10220" s="448">
        <v>630.62323809299346</v>
      </c>
    </row>
    <row r="10221" spans="1:14" ht="11.25" customHeight="1" x14ac:dyDescent="0.2">
      <c r="A10221" s="236">
        <v>2025</v>
      </c>
      <c r="B10221" s="236">
        <v>12</v>
      </c>
      <c r="C10221" s="236">
        <v>9</v>
      </c>
      <c r="D10221" s="237">
        <f t="shared" si="1187"/>
        <v>46000</v>
      </c>
      <c r="E10221" s="238">
        <f t="shared" si="1190"/>
        <v>46000</v>
      </c>
      <c r="F10221" s="476" t="s">
        <v>1122</v>
      </c>
      <c r="G10221" s="239" t="s">
        <v>86</v>
      </c>
      <c r="H10221" s="239"/>
      <c r="I10221" s="240"/>
      <c r="J10221" s="241" t="s">
        <v>91</v>
      </c>
      <c r="K10221" s="242">
        <f>M10220</f>
        <v>630.62323809299346</v>
      </c>
      <c r="L10221" s="242"/>
    </row>
    <row r="10222" spans="1:14" ht="11.25" customHeight="1" x14ac:dyDescent="0.2">
      <c r="A10222" s="243">
        <v>2025</v>
      </c>
      <c r="B10222" s="243">
        <v>12</v>
      </c>
      <c r="C10222" s="243">
        <v>9</v>
      </c>
      <c r="D10222" s="248">
        <f t="shared" si="1187"/>
        <v>46000</v>
      </c>
      <c r="E10222" s="249">
        <f t="shared" si="1190"/>
        <v>46000</v>
      </c>
      <c r="F10222" s="477"/>
      <c r="G10222" s="244" t="s">
        <v>86</v>
      </c>
      <c r="H10222" s="244"/>
      <c r="I10222" s="245"/>
      <c r="J10222" s="246" t="s">
        <v>51</v>
      </c>
      <c r="K10222" s="247"/>
      <c r="L10222" s="247">
        <f>K10221</f>
        <v>630.62323809299346</v>
      </c>
    </row>
    <row r="10223" spans="1:14" ht="11.25" customHeight="1" x14ac:dyDescent="0.2">
      <c r="A10223" s="221">
        <v>2025</v>
      </c>
      <c r="B10223" s="221">
        <v>12</v>
      </c>
      <c r="C10223" s="221">
        <v>10</v>
      </c>
      <c r="D10223" s="231">
        <f t="shared" si="1187"/>
        <v>46001</v>
      </c>
      <c r="E10223" s="233">
        <f t="shared" si="1190"/>
        <v>46001</v>
      </c>
      <c r="F10223" s="478" t="s">
        <v>1115</v>
      </c>
      <c r="G10223" s="222" t="s">
        <v>1111</v>
      </c>
      <c r="H10223" s="223"/>
      <c r="I10223" s="223"/>
      <c r="J10223" s="224" t="s">
        <v>14</v>
      </c>
      <c r="K10223" s="167">
        <v>2000000</v>
      </c>
      <c r="L10223" s="225"/>
    </row>
    <row r="10224" spans="1:14" ht="11.25" customHeight="1" x14ac:dyDescent="0.2">
      <c r="A10224" s="164">
        <v>2025</v>
      </c>
      <c r="B10224" s="164">
        <v>12</v>
      </c>
      <c r="C10224" s="164">
        <v>10</v>
      </c>
      <c r="D10224" s="156">
        <f t="shared" si="1187"/>
        <v>46001</v>
      </c>
      <c r="E10224" s="235">
        <f t="shared" si="1190"/>
        <v>46001</v>
      </c>
      <c r="F10224" s="480"/>
      <c r="G10224" s="208" t="s">
        <v>1111</v>
      </c>
      <c r="J10224" s="165" t="s">
        <v>1112</v>
      </c>
      <c r="K10224" s="167">
        <v>356000</v>
      </c>
      <c r="L10224" s="205"/>
    </row>
    <row r="10225" spans="1:14" ht="11.25" customHeight="1" x14ac:dyDescent="0.2">
      <c r="A10225" s="226">
        <v>2025</v>
      </c>
      <c r="B10225" s="226">
        <v>12</v>
      </c>
      <c r="C10225" s="226">
        <v>10</v>
      </c>
      <c r="D10225" s="232">
        <f t="shared" si="1187"/>
        <v>46001</v>
      </c>
      <c r="E10225" s="234">
        <f t="shared" si="1190"/>
        <v>46001</v>
      </c>
      <c r="F10225" s="479"/>
      <c r="G10225" s="227" t="s">
        <v>1111</v>
      </c>
      <c r="H10225" s="228"/>
      <c r="I10225" s="228"/>
      <c r="J10225" s="229" t="s">
        <v>55</v>
      </c>
      <c r="K10225" s="230"/>
      <c r="L10225" s="230">
        <v>2356000</v>
      </c>
    </row>
    <row r="10226" spans="1:14" ht="11.25" customHeight="1" x14ac:dyDescent="0.2">
      <c r="A10226" s="221">
        <v>2025</v>
      </c>
      <c r="B10226" s="221">
        <v>12</v>
      </c>
      <c r="C10226" s="221">
        <v>10</v>
      </c>
      <c r="D10226" s="231">
        <f t="shared" si="1187"/>
        <v>46001</v>
      </c>
      <c r="E10226" s="233">
        <f t="shared" si="1190"/>
        <v>46001</v>
      </c>
      <c r="F10226" s="478" t="s">
        <v>1670</v>
      </c>
      <c r="G10226" s="222" t="s">
        <v>1111</v>
      </c>
      <c r="H10226" s="223"/>
      <c r="I10226" s="223"/>
      <c r="J10226" s="224" t="s">
        <v>63</v>
      </c>
      <c r="K10226" s="225">
        <v>100</v>
      </c>
      <c r="L10226" s="225"/>
    </row>
    <row r="10227" spans="1:14" ht="11.25" customHeight="1" x14ac:dyDescent="0.2">
      <c r="A10227" s="226">
        <v>2025</v>
      </c>
      <c r="B10227" s="226">
        <v>12</v>
      </c>
      <c r="C10227" s="226">
        <v>10</v>
      </c>
      <c r="D10227" s="232">
        <f t="shared" si="1187"/>
        <v>46001</v>
      </c>
      <c r="E10227" s="234">
        <f t="shared" si="1190"/>
        <v>46001</v>
      </c>
      <c r="F10227" s="479"/>
      <c r="G10227" s="227" t="s">
        <v>1111</v>
      </c>
      <c r="H10227" s="228"/>
      <c r="I10227" s="228"/>
      <c r="J10227" s="229" t="s">
        <v>55</v>
      </c>
      <c r="K10227" s="230"/>
      <c r="L10227" s="230">
        <f>K10226</f>
        <v>100</v>
      </c>
    </row>
    <row r="10228" spans="1:14" ht="11.25" customHeight="1" x14ac:dyDescent="0.2">
      <c r="A10228" s="221">
        <v>2025</v>
      </c>
      <c r="B10228" s="221">
        <v>12</v>
      </c>
      <c r="C10228" s="221">
        <v>10</v>
      </c>
      <c r="D10228" s="221">
        <f t="shared" si="1187"/>
        <v>46001</v>
      </c>
      <c r="E10228" s="233">
        <f t="shared" si="1190"/>
        <v>46001</v>
      </c>
      <c r="F10228" s="478" t="s">
        <v>1886</v>
      </c>
      <c r="G10228" s="222" t="s">
        <v>86</v>
      </c>
      <c r="H10228" s="222"/>
      <c r="I10228" s="223"/>
      <c r="J10228" s="224" t="s">
        <v>80</v>
      </c>
      <c r="K10228" s="225">
        <v>1319128.5</v>
      </c>
      <c r="L10228" s="225"/>
      <c r="N10228" s="263"/>
    </row>
    <row r="10229" spans="1:14" ht="11.25" customHeight="1" x14ac:dyDescent="0.2">
      <c r="A10229" s="164">
        <v>2025</v>
      </c>
      <c r="B10229" s="164">
        <v>12</v>
      </c>
      <c r="C10229" s="164">
        <v>10</v>
      </c>
      <c r="D10229" s="164">
        <f t="shared" si="1187"/>
        <v>46001</v>
      </c>
      <c r="E10229" s="235">
        <f t="shared" si="1190"/>
        <v>46001</v>
      </c>
      <c r="F10229" s="480"/>
      <c r="G10229" s="208" t="s">
        <v>86</v>
      </c>
      <c r="H10229" s="208"/>
      <c r="J10229" s="165" t="s">
        <v>960</v>
      </c>
      <c r="K10229" s="205">
        <v>3666.63</v>
      </c>
      <c r="L10229" s="205"/>
      <c r="M10229" s="263"/>
      <c r="N10229" s="263"/>
    </row>
    <row r="10230" spans="1:14" ht="11.25" customHeight="1" x14ac:dyDescent="0.2">
      <c r="A10230" s="164">
        <v>2025</v>
      </c>
      <c r="B10230" s="164">
        <v>12</v>
      </c>
      <c r="C10230" s="164">
        <v>10</v>
      </c>
      <c r="D10230" s="164">
        <f t="shared" si="1187"/>
        <v>46001</v>
      </c>
      <c r="E10230" s="235">
        <f t="shared" si="1190"/>
        <v>46001</v>
      </c>
      <c r="F10230" s="480"/>
      <c r="G10230" s="208" t="s">
        <v>86</v>
      </c>
      <c r="H10230" s="208"/>
      <c r="J10230" s="165" t="s">
        <v>961</v>
      </c>
      <c r="K10230" s="263"/>
      <c r="L10230" s="205">
        <v>604906.13</v>
      </c>
      <c r="M10230" s="263"/>
      <c r="N10230" s="263"/>
    </row>
    <row r="10231" spans="1:14" ht="11.25" customHeight="1" x14ac:dyDescent="0.2">
      <c r="A10231" s="164">
        <v>2025</v>
      </c>
      <c r="B10231" s="164">
        <v>12</v>
      </c>
      <c r="C10231" s="164">
        <v>10</v>
      </c>
      <c r="D10231" s="164">
        <f t="shared" si="1187"/>
        <v>46001</v>
      </c>
      <c r="E10231" s="235">
        <f t="shared" si="1190"/>
        <v>46001</v>
      </c>
      <c r="F10231" s="480"/>
      <c r="G10231" s="208" t="s">
        <v>86</v>
      </c>
      <c r="H10231" s="208"/>
      <c r="J10231" s="165" t="s">
        <v>200</v>
      </c>
      <c r="K10231" s="205"/>
      <c r="L10231" s="205">
        <v>46406.47</v>
      </c>
      <c r="M10231" s="263"/>
      <c r="N10231" s="263"/>
    </row>
    <row r="10232" spans="1:14" ht="11.25" customHeight="1" x14ac:dyDescent="0.2">
      <c r="A10232" s="226">
        <v>2025</v>
      </c>
      <c r="B10232" s="226">
        <v>12</v>
      </c>
      <c r="C10232" s="226">
        <v>10</v>
      </c>
      <c r="D10232" s="226">
        <f t="shared" si="1187"/>
        <v>46001</v>
      </c>
      <c r="E10232" s="234">
        <f t="shared" si="1190"/>
        <v>46001</v>
      </c>
      <c r="F10232" s="479"/>
      <c r="G10232" s="227" t="s">
        <v>86</v>
      </c>
      <c r="H10232" s="228"/>
      <c r="I10232" s="228"/>
      <c r="J10232" s="229" t="s">
        <v>80</v>
      </c>
      <c r="K10232" s="230"/>
      <c r="L10232" s="230">
        <v>671482.53</v>
      </c>
      <c r="M10232" s="263"/>
      <c r="N10232" s="263"/>
    </row>
    <row r="10233" spans="1:14" ht="11.25" customHeight="1" x14ac:dyDescent="0.2">
      <c r="A10233" s="221">
        <v>2025</v>
      </c>
      <c r="B10233" s="221">
        <v>12</v>
      </c>
      <c r="C10233" s="221">
        <v>10</v>
      </c>
      <c r="D10233" s="231">
        <f t="shared" si="1187"/>
        <v>46001</v>
      </c>
      <c r="E10233" s="233">
        <f t="shared" si="1190"/>
        <v>46001</v>
      </c>
      <c r="F10233" s="478" t="s">
        <v>1844</v>
      </c>
      <c r="G10233" s="222" t="s">
        <v>1111</v>
      </c>
      <c r="H10233" s="223"/>
      <c r="I10233" s="223"/>
      <c r="J10233" s="224" t="s">
        <v>55</v>
      </c>
      <c r="K10233" s="225">
        <v>116562.6</v>
      </c>
      <c r="L10233" s="225"/>
    </row>
    <row r="10234" spans="1:14" ht="11.25" customHeight="1" x14ac:dyDescent="0.2">
      <c r="A10234" s="226">
        <v>2025</v>
      </c>
      <c r="B10234" s="226">
        <v>12</v>
      </c>
      <c r="C10234" s="226">
        <v>10</v>
      </c>
      <c r="D10234" s="232">
        <f t="shared" si="1187"/>
        <v>46001</v>
      </c>
      <c r="E10234" s="234">
        <f t="shared" si="1190"/>
        <v>46001</v>
      </c>
      <c r="F10234" s="479"/>
      <c r="G10234" s="227" t="s">
        <v>1111</v>
      </c>
      <c r="H10234" s="228"/>
      <c r="I10234" s="228"/>
      <c r="J10234" s="229" t="s">
        <v>199</v>
      </c>
      <c r="K10234" s="230"/>
      <c r="L10234" s="230">
        <f>K10233</f>
        <v>116562.6</v>
      </c>
    </row>
    <row r="10235" spans="1:14" ht="11.25" customHeight="1" x14ac:dyDescent="0.2">
      <c r="A10235" s="280">
        <v>2025</v>
      </c>
      <c r="B10235" s="280">
        <v>12</v>
      </c>
      <c r="C10235" s="280">
        <v>10</v>
      </c>
      <c r="D10235" s="281">
        <f t="shared" si="1187"/>
        <v>46001</v>
      </c>
      <c r="E10235" s="282">
        <f t="shared" si="1190"/>
        <v>46001</v>
      </c>
      <c r="F10235" s="472" t="s">
        <v>1744</v>
      </c>
      <c r="G10235" s="283" t="s">
        <v>86</v>
      </c>
      <c r="H10235" s="284"/>
      <c r="I10235" s="284"/>
      <c r="J10235" s="285" t="s">
        <v>131</v>
      </c>
      <c r="K10235" s="286">
        <v>2765.4757142857147</v>
      </c>
      <c r="L10235" s="286"/>
      <c r="M10235" s="401">
        <f>K10235/7</f>
        <v>395.06795918367351</v>
      </c>
    </row>
    <row r="10236" spans="1:14" ht="11.25" customHeight="1" x14ac:dyDescent="0.2">
      <c r="A10236" s="287">
        <v>2025</v>
      </c>
      <c r="B10236" s="287">
        <v>12</v>
      </c>
      <c r="C10236" s="287">
        <v>10</v>
      </c>
      <c r="D10236" s="288">
        <f t="shared" si="1187"/>
        <v>46001</v>
      </c>
      <c r="E10236" s="289">
        <f t="shared" si="1190"/>
        <v>46001</v>
      </c>
      <c r="F10236" s="473"/>
      <c r="G10236" s="290" t="s">
        <v>86</v>
      </c>
      <c r="H10236" s="291"/>
      <c r="I10236" s="291"/>
      <c r="J10236" s="292" t="s">
        <v>174</v>
      </c>
      <c r="K10236" s="293"/>
      <c r="L10236" s="293">
        <f>K10235</f>
        <v>2765.4757142857147</v>
      </c>
    </row>
    <row r="10237" spans="1:14" ht="11.25" customHeight="1" x14ac:dyDescent="0.2">
      <c r="A10237" s="280">
        <v>2025</v>
      </c>
      <c r="B10237" s="280">
        <v>12</v>
      </c>
      <c r="C10237" s="280">
        <v>10</v>
      </c>
      <c r="D10237" s="281">
        <f t="shared" si="1187"/>
        <v>46001</v>
      </c>
      <c r="E10237" s="282">
        <f t="shared" si="1190"/>
        <v>46001</v>
      </c>
      <c r="F10237" s="472" t="s">
        <v>1584</v>
      </c>
      <c r="G10237" s="283" t="s">
        <v>86</v>
      </c>
      <c r="H10237" s="284"/>
      <c r="I10237" s="284"/>
      <c r="J10237" s="285" t="s">
        <v>131</v>
      </c>
      <c r="K10237" s="286">
        <v>1263.7357142857143</v>
      </c>
      <c r="L10237" s="286"/>
      <c r="M10237" s="401">
        <f>K10237/7</f>
        <v>180.53367346938776</v>
      </c>
    </row>
    <row r="10238" spans="1:14" ht="11.25" customHeight="1" x14ac:dyDescent="0.2">
      <c r="A10238" s="287">
        <v>2025</v>
      </c>
      <c r="B10238" s="287">
        <v>12</v>
      </c>
      <c r="C10238" s="287">
        <v>10</v>
      </c>
      <c r="D10238" s="288">
        <f t="shared" si="1187"/>
        <v>46001</v>
      </c>
      <c r="E10238" s="289">
        <f t="shared" si="1190"/>
        <v>46001</v>
      </c>
      <c r="F10238" s="473"/>
      <c r="G10238" s="290" t="s">
        <v>86</v>
      </c>
      <c r="H10238" s="291"/>
      <c r="I10238" s="291"/>
      <c r="J10238" s="292" t="s">
        <v>174</v>
      </c>
      <c r="K10238" s="293"/>
      <c r="L10238" s="293">
        <f>K10237</f>
        <v>1263.7357142857143</v>
      </c>
    </row>
    <row r="10239" spans="1:14" ht="11.25" customHeight="1" x14ac:dyDescent="0.2">
      <c r="A10239" s="280">
        <v>2025</v>
      </c>
      <c r="B10239" s="280">
        <v>12</v>
      </c>
      <c r="C10239" s="280">
        <v>10</v>
      </c>
      <c r="D10239" s="281">
        <f t="shared" si="1187"/>
        <v>46001</v>
      </c>
      <c r="E10239" s="282">
        <f t="shared" si="1190"/>
        <v>46001</v>
      </c>
      <c r="F10239" s="472" t="s">
        <v>1955</v>
      </c>
      <c r="G10239" s="283" t="s">
        <v>86</v>
      </c>
      <c r="H10239" s="284"/>
      <c r="I10239" s="284"/>
      <c r="J10239" s="285" t="s">
        <v>1978</v>
      </c>
      <c r="K10239" s="286">
        <v>6185.4395604395604</v>
      </c>
      <c r="L10239" s="286"/>
      <c r="M10239" s="401">
        <f>K10239/7</f>
        <v>883.6342229199372</v>
      </c>
    </row>
    <row r="10240" spans="1:14" ht="11.25" customHeight="1" x14ac:dyDescent="0.2">
      <c r="A10240" s="287">
        <v>2025</v>
      </c>
      <c r="B10240" s="287">
        <v>12</v>
      </c>
      <c r="C10240" s="287">
        <v>10</v>
      </c>
      <c r="D10240" s="288">
        <f t="shared" si="1187"/>
        <v>46001</v>
      </c>
      <c r="E10240" s="289">
        <f t="shared" si="1190"/>
        <v>46001</v>
      </c>
      <c r="F10240" s="473"/>
      <c r="G10240" s="290" t="s">
        <v>86</v>
      </c>
      <c r="H10240" s="291"/>
      <c r="I10240" s="291"/>
      <c r="J10240" s="292" t="s">
        <v>1955</v>
      </c>
      <c r="K10240" s="293"/>
      <c r="L10240" s="293">
        <f>K10239</f>
        <v>6185.4395604395604</v>
      </c>
    </row>
    <row r="10241" spans="1:14" ht="11.25" customHeight="1" x14ac:dyDescent="0.2">
      <c r="A10241" s="341">
        <v>2025</v>
      </c>
      <c r="B10241" s="341">
        <v>12</v>
      </c>
      <c r="C10241" s="341">
        <v>10</v>
      </c>
      <c r="D10241" s="328">
        <f t="shared" si="1187"/>
        <v>46001</v>
      </c>
      <c r="E10241" s="329">
        <f t="shared" si="1190"/>
        <v>46001</v>
      </c>
      <c r="F10241" s="474" t="s">
        <v>1767</v>
      </c>
      <c r="G10241" s="330" t="s">
        <v>86</v>
      </c>
      <c r="H10241" s="332"/>
      <c r="I10241" s="332"/>
      <c r="J10241" s="342" t="s">
        <v>67</v>
      </c>
      <c r="K10241" s="343">
        <v>1076.4372008333335</v>
      </c>
      <c r="L10241" s="343"/>
    </row>
    <row r="10242" spans="1:14" ht="11.25" customHeight="1" x14ac:dyDescent="0.2">
      <c r="A10242" s="344">
        <v>2025</v>
      </c>
      <c r="B10242" s="344">
        <v>12</v>
      </c>
      <c r="C10242" s="344">
        <v>10</v>
      </c>
      <c r="D10242" s="337">
        <f t="shared" si="1187"/>
        <v>46001</v>
      </c>
      <c r="E10242" s="338">
        <f t="shared" si="1190"/>
        <v>46001</v>
      </c>
      <c r="F10242" s="475"/>
      <c r="G10242" s="339" t="s">
        <v>86</v>
      </c>
      <c r="H10242" s="340"/>
      <c r="I10242" s="340"/>
      <c r="J10242" s="345" t="s">
        <v>174</v>
      </c>
      <c r="K10242" s="346"/>
      <c r="L10242" s="346">
        <f>K10241</f>
        <v>1076.4372008333335</v>
      </c>
    </row>
    <row r="10243" spans="1:14" ht="11.25" customHeight="1" x14ac:dyDescent="0.2">
      <c r="A10243" s="358">
        <v>2025</v>
      </c>
      <c r="B10243" s="358">
        <v>12</v>
      </c>
      <c r="C10243" s="358">
        <v>10</v>
      </c>
      <c r="D10243" s="312">
        <f t="shared" si="1187"/>
        <v>46001</v>
      </c>
      <c r="E10243" s="313">
        <f>DATE(A10243,B10243,C10243)</f>
        <v>46001</v>
      </c>
      <c r="F10243" s="482" t="s">
        <v>1627</v>
      </c>
      <c r="G10243" s="314" t="s">
        <v>86</v>
      </c>
      <c r="H10243" s="324"/>
      <c r="I10243" s="324"/>
      <c r="J10243" s="364" t="s">
        <v>1613</v>
      </c>
      <c r="K10243" s="365"/>
      <c r="L10243" s="365"/>
      <c r="M10243" s="156">
        <f>BS!$I$12</f>
        <v>0</v>
      </c>
    </row>
    <row r="10244" spans="1:14" ht="11.25" customHeight="1" x14ac:dyDescent="0.2">
      <c r="A10244" s="320">
        <v>2025</v>
      </c>
      <c r="B10244" s="320">
        <v>12</v>
      </c>
      <c r="C10244" s="320">
        <v>10</v>
      </c>
      <c r="D10244" s="323">
        <f t="shared" si="1187"/>
        <v>46001</v>
      </c>
      <c r="E10244" s="321">
        <f t="shared" ref="E10244" si="1191">DATE(A10244,B10244,C10244)</f>
        <v>46001</v>
      </c>
      <c r="F10244" s="483"/>
      <c r="G10244" s="322" t="s">
        <v>86</v>
      </c>
      <c r="H10244" s="325"/>
      <c r="I10244" s="325"/>
      <c r="J10244" s="366" t="s">
        <v>1621</v>
      </c>
      <c r="K10244" s="367"/>
      <c r="L10244" s="367">
        <f>K10243</f>
        <v>0</v>
      </c>
    </row>
    <row r="10245" spans="1:14" ht="11.25" customHeight="1" x14ac:dyDescent="0.2">
      <c r="A10245" s="358">
        <v>2025</v>
      </c>
      <c r="B10245" s="358">
        <v>12</v>
      </c>
      <c r="C10245" s="358">
        <v>10</v>
      </c>
      <c r="D10245" s="312">
        <f t="shared" si="1187"/>
        <v>46001</v>
      </c>
      <c r="E10245" s="313">
        <f>DATE(A10245,B10245,C10245)</f>
        <v>46001</v>
      </c>
      <c r="F10245" s="482" t="s">
        <v>1713</v>
      </c>
      <c r="G10245" s="314" t="s">
        <v>86</v>
      </c>
      <c r="H10245" s="324"/>
      <c r="I10245" s="324"/>
      <c r="J10245" s="364" t="s">
        <v>1622</v>
      </c>
      <c r="K10245" s="365">
        <v>195.93700000015087</v>
      </c>
      <c r="L10245" s="365"/>
      <c r="M10245" s="447">
        <f>BS!$I$15</f>
        <v>0</v>
      </c>
      <c r="N10245" s="166"/>
    </row>
    <row r="10246" spans="1:14" ht="11.25" customHeight="1" x14ac:dyDescent="0.2">
      <c r="A10246" s="320">
        <v>2025</v>
      </c>
      <c r="B10246" s="320">
        <v>12</v>
      </c>
      <c r="C10246" s="320">
        <v>10</v>
      </c>
      <c r="D10246" s="323">
        <f t="shared" si="1187"/>
        <v>46001</v>
      </c>
      <c r="E10246" s="321">
        <f t="shared" ref="E10246:E10280" si="1192">DATE(A10246,B10246,C10246)</f>
        <v>46001</v>
      </c>
      <c r="F10246" s="483"/>
      <c r="G10246" s="322" t="s">
        <v>86</v>
      </c>
      <c r="H10246" s="325"/>
      <c r="I10246" s="325"/>
      <c r="J10246" s="366" t="s">
        <v>1614</v>
      </c>
      <c r="K10246" s="367"/>
      <c r="L10246" s="367">
        <f>K10245</f>
        <v>195.93700000015087</v>
      </c>
    </row>
    <row r="10247" spans="1:14" ht="11.25" customHeight="1" x14ac:dyDescent="0.2">
      <c r="A10247" s="236">
        <v>2025</v>
      </c>
      <c r="B10247" s="236">
        <v>12</v>
      </c>
      <c r="C10247" s="236">
        <v>10</v>
      </c>
      <c r="D10247" s="237">
        <f t="shared" si="1187"/>
        <v>46001</v>
      </c>
      <c r="E10247" s="238">
        <f t="shared" si="1192"/>
        <v>46001</v>
      </c>
      <c r="F10247" s="476" t="s">
        <v>1118</v>
      </c>
      <c r="G10247" s="239" t="s">
        <v>86</v>
      </c>
      <c r="H10247" s="239"/>
      <c r="I10247" s="240"/>
      <c r="J10247" s="241" t="s">
        <v>82</v>
      </c>
      <c r="K10247" s="242">
        <v>218156.98999997973</v>
      </c>
      <c r="L10247" s="242"/>
      <c r="M10247" s="156">
        <f>BS!$I$8</f>
        <v>0</v>
      </c>
    </row>
    <row r="10248" spans="1:14" ht="11.25" customHeight="1" x14ac:dyDescent="0.2">
      <c r="A10248" s="243">
        <v>2025</v>
      </c>
      <c r="B10248" s="243">
        <v>12</v>
      </c>
      <c r="C10248" s="243">
        <v>10</v>
      </c>
      <c r="D10248" s="248">
        <f t="shared" si="1187"/>
        <v>46001</v>
      </c>
      <c r="E10248" s="249">
        <f t="shared" si="1192"/>
        <v>46001</v>
      </c>
      <c r="F10248" s="477"/>
      <c r="G10248" s="244" t="s">
        <v>86</v>
      </c>
      <c r="H10248" s="244"/>
      <c r="I10248" s="245"/>
      <c r="J10248" s="246" t="s">
        <v>98</v>
      </c>
      <c r="K10248" s="247"/>
      <c r="L10248" s="247">
        <f>K10247</f>
        <v>218156.98999997973</v>
      </c>
    </row>
    <row r="10249" spans="1:14" ht="11.25" customHeight="1" x14ac:dyDescent="0.2">
      <c r="A10249" s="236">
        <v>2025</v>
      </c>
      <c r="B10249" s="236">
        <v>12</v>
      </c>
      <c r="C10249" s="236">
        <v>10</v>
      </c>
      <c r="D10249" s="237">
        <f t="shared" ref="D10249:D10312" si="1193">DATE(A10249,B10249,C10249)</f>
        <v>46001</v>
      </c>
      <c r="E10249" s="238">
        <f t="shared" si="1192"/>
        <v>46001</v>
      </c>
      <c r="F10249" s="476" t="s">
        <v>1120</v>
      </c>
      <c r="G10249" s="239" t="s">
        <v>86</v>
      </c>
      <c r="H10249" s="239"/>
      <c r="I10249" s="240"/>
      <c r="J10249" s="241" t="s">
        <v>87</v>
      </c>
      <c r="K10249" s="242">
        <v>392.46467817896388</v>
      </c>
      <c r="L10249" s="242"/>
      <c r="M10249" s="401"/>
    </row>
    <row r="10250" spans="1:14" ht="11.25" customHeight="1" x14ac:dyDescent="0.2">
      <c r="A10250" s="243">
        <v>2025</v>
      </c>
      <c r="B10250" s="243">
        <v>12</v>
      </c>
      <c r="C10250" s="243">
        <v>10</v>
      </c>
      <c r="D10250" s="248">
        <f t="shared" si="1193"/>
        <v>46001</v>
      </c>
      <c r="E10250" s="249">
        <f t="shared" si="1192"/>
        <v>46001</v>
      </c>
      <c r="F10250" s="477"/>
      <c r="G10250" s="244" t="s">
        <v>86</v>
      </c>
      <c r="H10250" s="244"/>
      <c r="I10250" s="245"/>
      <c r="J10250" s="246" t="s">
        <v>64</v>
      </c>
      <c r="K10250" s="247"/>
      <c r="L10250" s="247">
        <f>K10249</f>
        <v>392.46467817896388</v>
      </c>
    </row>
    <row r="10251" spans="1:14" ht="11.25" customHeight="1" x14ac:dyDescent="0.2">
      <c r="A10251" s="236">
        <v>2025</v>
      </c>
      <c r="B10251" s="236">
        <v>12</v>
      </c>
      <c r="C10251" s="236">
        <v>10</v>
      </c>
      <c r="D10251" s="237">
        <f t="shared" si="1193"/>
        <v>46001</v>
      </c>
      <c r="E10251" s="238">
        <f t="shared" si="1192"/>
        <v>46001</v>
      </c>
      <c r="F10251" s="476" t="s">
        <v>1121</v>
      </c>
      <c r="G10251" s="239" t="s">
        <v>86</v>
      </c>
      <c r="H10251" s="239"/>
      <c r="I10251" s="240"/>
      <c r="J10251" s="241" t="s">
        <v>89</v>
      </c>
      <c r="K10251" s="242">
        <f>M10251</f>
        <v>13156.79122391069</v>
      </c>
      <c r="L10251" s="242"/>
      <c r="M10251" s="448">
        <v>13156.79122391069</v>
      </c>
    </row>
    <row r="10252" spans="1:14" ht="11.25" customHeight="1" x14ac:dyDescent="0.2">
      <c r="A10252" s="243">
        <v>2025</v>
      </c>
      <c r="B10252" s="243">
        <v>12</v>
      </c>
      <c r="C10252" s="243">
        <v>10</v>
      </c>
      <c r="D10252" s="248">
        <f t="shared" si="1193"/>
        <v>46001</v>
      </c>
      <c r="E10252" s="249">
        <f t="shared" si="1192"/>
        <v>46001</v>
      </c>
      <c r="F10252" s="477"/>
      <c r="G10252" s="244" t="s">
        <v>86</v>
      </c>
      <c r="H10252" s="244"/>
      <c r="I10252" s="245"/>
      <c r="J10252" s="246" t="s">
        <v>50</v>
      </c>
      <c r="K10252" s="247"/>
      <c r="L10252" s="247">
        <f>K10251</f>
        <v>13156.79122391069</v>
      </c>
      <c r="M10252" s="448">
        <v>623.49890185487516</v>
      </c>
    </row>
    <row r="10253" spans="1:14" ht="11.25" customHeight="1" x14ac:dyDescent="0.2">
      <c r="A10253" s="236">
        <v>2025</v>
      </c>
      <c r="B10253" s="236">
        <v>12</v>
      </c>
      <c r="C10253" s="236">
        <v>10</v>
      </c>
      <c r="D10253" s="237">
        <f t="shared" si="1193"/>
        <v>46001</v>
      </c>
      <c r="E10253" s="238">
        <f t="shared" si="1192"/>
        <v>46001</v>
      </c>
      <c r="F10253" s="476" t="s">
        <v>1122</v>
      </c>
      <c r="G10253" s="239" t="s">
        <v>86</v>
      </c>
      <c r="H10253" s="239"/>
      <c r="I10253" s="240"/>
      <c r="J10253" s="241" t="s">
        <v>91</v>
      </c>
      <c r="K10253" s="242">
        <f>M10252</f>
        <v>623.49890185487516</v>
      </c>
      <c r="L10253" s="242"/>
    </row>
    <row r="10254" spans="1:14" ht="11.25" customHeight="1" x14ac:dyDescent="0.2">
      <c r="A10254" s="243">
        <v>2025</v>
      </c>
      <c r="B10254" s="243">
        <v>12</v>
      </c>
      <c r="C10254" s="243">
        <v>10</v>
      </c>
      <c r="D10254" s="248">
        <f t="shared" si="1193"/>
        <v>46001</v>
      </c>
      <c r="E10254" s="249">
        <f t="shared" si="1192"/>
        <v>46001</v>
      </c>
      <c r="F10254" s="477"/>
      <c r="G10254" s="244" t="s">
        <v>86</v>
      </c>
      <c r="H10254" s="244"/>
      <c r="I10254" s="245"/>
      <c r="J10254" s="246" t="s">
        <v>51</v>
      </c>
      <c r="K10254" s="247"/>
      <c r="L10254" s="247">
        <f>K10253</f>
        <v>623.49890185487516</v>
      </c>
    </row>
    <row r="10255" spans="1:14" ht="11.25" customHeight="1" x14ac:dyDescent="0.2">
      <c r="A10255" s="221">
        <v>2025</v>
      </c>
      <c r="B10255" s="221">
        <v>12</v>
      </c>
      <c r="C10255" s="221">
        <v>11</v>
      </c>
      <c r="D10255" s="231">
        <f t="shared" si="1193"/>
        <v>46002</v>
      </c>
      <c r="E10255" s="233">
        <f t="shared" si="1192"/>
        <v>46002</v>
      </c>
      <c r="F10255" s="478" t="s">
        <v>1132</v>
      </c>
      <c r="G10255" s="222" t="s">
        <v>1111</v>
      </c>
      <c r="H10255" s="223"/>
      <c r="I10255" s="223"/>
      <c r="J10255" s="224" t="s">
        <v>55</v>
      </c>
      <c r="K10255" s="167">
        <v>5000</v>
      </c>
      <c r="L10255" s="225"/>
    </row>
    <row r="10256" spans="1:14" ht="11.25" customHeight="1" x14ac:dyDescent="0.2">
      <c r="A10256" s="164">
        <v>2025</v>
      </c>
      <c r="B10256" s="164">
        <v>12</v>
      </c>
      <c r="C10256" s="164">
        <v>11</v>
      </c>
      <c r="D10256" s="156">
        <f t="shared" si="1193"/>
        <v>46002</v>
      </c>
      <c r="E10256" s="235">
        <f t="shared" si="1192"/>
        <v>46002</v>
      </c>
      <c r="F10256" s="480"/>
      <c r="G10256" s="208" t="s">
        <v>1111</v>
      </c>
      <c r="J10256" s="165" t="s">
        <v>14</v>
      </c>
      <c r="L10256" s="205">
        <v>4170</v>
      </c>
    </row>
    <row r="10257" spans="1:14" ht="11.25" customHeight="1" x14ac:dyDescent="0.2">
      <c r="A10257" s="226">
        <v>2025</v>
      </c>
      <c r="B10257" s="226">
        <v>12</v>
      </c>
      <c r="C10257" s="226">
        <v>11</v>
      </c>
      <c r="D10257" s="232">
        <f t="shared" si="1193"/>
        <v>46002</v>
      </c>
      <c r="E10257" s="234">
        <f t="shared" si="1192"/>
        <v>46002</v>
      </c>
      <c r="F10257" s="479"/>
      <c r="G10257" s="227" t="s">
        <v>1111</v>
      </c>
      <c r="H10257" s="228"/>
      <c r="I10257" s="228"/>
      <c r="J10257" s="229" t="s">
        <v>1112</v>
      </c>
      <c r="K10257" s="230"/>
      <c r="L10257" s="230">
        <v>830</v>
      </c>
    </row>
    <row r="10258" spans="1:14" ht="11.25" customHeight="1" x14ac:dyDescent="0.2">
      <c r="A10258" s="221">
        <v>2025</v>
      </c>
      <c r="B10258" s="221">
        <v>12</v>
      </c>
      <c r="C10258" s="221">
        <v>11</v>
      </c>
      <c r="D10258" s="231">
        <f t="shared" si="1193"/>
        <v>46002</v>
      </c>
      <c r="E10258" s="233">
        <f t="shared" si="1192"/>
        <v>46002</v>
      </c>
      <c r="F10258" s="478" t="s">
        <v>1945</v>
      </c>
      <c r="G10258" s="222" t="s">
        <v>1111</v>
      </c>
      <c r="H10258" s="223"/>
      <c r="I10258" s="223"/>
      <c r="J10258" s="224" t="s">
        <v>55</v>
      </c>
      <c r="K10258" s="225">
        <v>190307.89</v>
      </c>
      <c r="L10258" s="225"/>
    </row>
    <row r="10259" spans="1:14" ht="11.25" customHeight="1" x14ac:dyDescent="0.2">
      <c r="A10259" s="226">
        <v>2025</v>
      </c>
      <c r="B10259" s="226">
        <v>12</v>
      </c>
      <c r="C10259" s="226">
        <v>11</v>
      </c>
      <c r="D10259" s="232">
        <f t="shared" si="1193"/>
        <v>46002</v>
      </c>
      <c r="E10259" s="234">
        <f t="shared" si="1192"/>
        <v>46002</v>
      </c>
      <c r="F10259" s="479"/>
      <c r="G10259" s="227" t="s">
        <v>1111</v>
      </c>
      <c r="H10259" s="228"/>
      <c r="I10259" s="228"/>
      <c r="J10259" s="229" t="s">
        <v>199</v>
      </c>
      <c r="K10259" s="230"/>
      <c r="L10259" s="230">
        <f>K10258</f>
        <v>190307.89</v>
      </c>
    </row>
    <row r="10260" spans="1:14" ht="11.25" customHeight="1" x14ac:dyDescent="0.2">
      <c r="A10260" s="221">
        <v>2025</v>
      </c>
      <c r="B10260" s="221">
        <v>12</v>
      </c>
      <c r="C10260" s="221">
        <v>11</v>
      </c>
      <c r="D10260" s="231">
        <f t="shared" si="1193"/>
        <v>46002</v>
      </c>
      <c r="E10260" s="233">
        <f t="shared" si="1192"/>
        <v>46002</v>
      </c>
      <c r="F10260" s="478" t="s">
        <v>1889</v>
      </c>
      <c r="G10260" s="222" t="s">
        <v>1111</v>
      </c>
      <c r="H10260" s="223"/>
      <c r="I10260" s="223"/>
      <c r="J10260" s="224" t="s">
        <v>961</v>
      </c>
      <c r="K10260" s="225">
        <v>604906.13</v>
      </c>
      <c r="L10260" s="225"/>
    </row>
    <row r="10261" spans="1:14" ht="11.25" customHeight="1" x14ac:dyDescent="0.2">
      <c r="A10261" s="226">
        <v>2025</v>
      </c>
      <c r="B10261" s="226">
        <v>12</v>
      </c>
      <c r="C10261" s="226">
        <v>11</v>
      </c>
      <c r="D10261" s="232">
        <f t="shared" si="1193"/>
        <v>46002</v>
      </c>
      <c r="E10261" s="234">
        <f t="shared" si="1192"/>
        <v>46002</v>
      </c>
      <c r="F10261" s="479"/>
      <c r="G10261" s="227" t="s">
        <v>1111</v>
      </c>
      <c r="H10261" s="228"/>
      <c r="I10261" s="228"/>
      <c r="J10261" s="229" t="s">
        <v>55</v>
      </c>
      <c r="K10261" s="230"/>
      <c r="L10261" s="230">
        <f>K10260</f>
        <v>604906.13</v>
      </c>
    </row>
    <row r="10262" spans="1:14" ht="11.25" customHeight="1" x14ac:dyDescent="0.2">
      <c r="A10262" s="221">
        <v>2025</v>
      </c>
      <c r="B10262" s="221">
        <v>12</v>
      </c>
      <c r="C10262" s="221">
        <v>11</v>
      </c>
      <c r="D10262" s="231">
        <f t="shared" si="1193"/>
        <v>46002</v>
      </c>
      <c r="E10262" s="233">
        <f t="shared" ref="E10262:E10263" si="1194">DATE(A10262,B10262,C10262)</f>
        <v>46002</v>
      </c>
      <c r="F10262" s="478" t="s">
        <v>1844</v>
      </c>
      <c r="G10262" s="222" t="s">
        <v>1111</v>
      </c>
      <c r="H10262" s="223"/>
      <c r="I10262" s="223"/>
      <c r="J10262" s="224" t="s">
        <v>55</v>
      </c>
      <c r="K10262" s="225">
        <v>577058.5</v>
      </c>
      <c r="L10262" s="225"/>
    </row>
    <row r="10263" spans="1:14" ht="11.25" customHeight="1" x14ac:dyDescent="0.2">
      <c r="A10263" s="226">
        <v>2025</v>
      </c>
      <c r="B10263" s="226">
        <v>12</v>
      </c>
      <c r="C10263" s="226">
        <v>11</v>
      </c>
      <c r="D10263" s="232">
        <f t="shared" si="1193"/>
        <v>46002</v>
      </c>
      <c r="E10263" s="234">
        <f t="shared" si="1194"/>
        <v>46002</v>
      </c>
      <c r="F10263" s="479"/>
      <c r="G10263" s="227" t="s">
        <v>1111</v>
      </c>
      <c r="H10263" s="228"/>
      <c r="I10263" s="228"/>
      <c r="J10263" s="229" t="s">
        <v>199</v>
      </c>
      <c r="K10263" s="230"/>
      <c r="L10263" s="230">
        <f>K10262</f>
        <v>577058.5</v>
      </c>
    </row>
    <row r="10264" spans="1:14" ht="11.25" customHeight="1" x14ac:dyDescent="0.2">
      <c r="A10264" s="221">
        <v>2025</v>
      </c>
      <c r="B10264" s="221">
        <v>12</v>
      </c>
      <c r="C10264" s="221">
        <v>11</v>
      </c>
      <c r="D10264" s="231">
        <f t="shared" si="1193"/>
        <v>46002</v>
      </c>
      <c r="E10264" s="233">
        <f t="shared" si="1192"/>
        <v>46002</v>
      </c>
      <c r="F10264" s="478" t="s">
        <v>1670</v>
      </c>
      <c r="G10264" s="222" t="s">
        <v>1111</v>
      </c>
      <c r="H10264" s="223"/>
      <c r="I10264" s="223"/>
      <c r="J10264" s="224" t="s">
        <v>63</v>
      </c>
      <c r="K10264" s="225">
        <v>100</v>
      </c>
      <c r="L10264" s="225"/>
    </row>
    <row r="10265" spans="1:14" ht="11.25" customHeight="1" x14ac:dyDescent="0.2">
      <c r="A10265" s="226">
        <v>2025</v>
      </c>
      <c r="B10265" s="226">
        <v>12</v>
      </c>
      <c r="C10265" s="226">
        <v>11</v>
      </c>
      <c r="D10265" s="232">
        <f t="shared" si="1193"/>
        <v>46002</v>
      </c>
      <c r="E10265" s="234">
        <f t="shared" si="1192"/>
        <v>46002</v>
      </c>
      <c r="F10265" s="479"/>
      <c r="G10265" s="227" t="s">
        <v>1111</v>
      </c>
      <c r="H10265" s="228"/>
      <c r="I10265" s="228"/>
      <c r="J10265" s="229" t="s">
        <v>55</v>
      </c>
      <c r="K10265" s="230"/>
      <c r="L10265" s="230">
        <f>K10264</f>
        <v>100</v>
      </c>
    </row>
    <row r="10266" spans="1:14" ht="11.25" customHeight="1" x14ac:dyDescent="0.2">
      <c r="A10266" s="221">
        <v>2025</v>
      </c>
      <c r="B10266" s="221">
        <v>12</v>
      </c>
      <c r="C10266" s="221">
        <v>11</v>
      </c>
      <c r="D10266" s="221">
        <f t="shared" si="1193"/>
        <v>46002</v>
      </c>
      <c r="E10266" s="233">
        <f t="shared" si="1192"/>
        <v>46002</v>
      </c>
      <c r="F10266" s="478" t="s">
        <v>1886</v>
      </c>
      <c r="G10266" s="222" t="s">
        <v>86</v>
      </c>
      <c r="H10266" s="222"/>
      <c r="I10266" s="223"/>
      <c r="J10266" s="224" t="s">
        <v>80</v>
      </c>
      <c r="K10266" s="225">
        <v>2345767</v>
      </c>
      <c r="L10266" s="225"/>
      <c r="N10266" s="263"/>
    </row>
    <row r="10267" spans="1:14" ht="11.25" customHeight="1" x14ac:dyDescent="0.2">
      <c r="A10267" s="164">
        <v>2025</v>
      </c>
      <c r="B10267" s="164">
        <v>12</v>
      </c>
      <c r="C10267" s="164">
        <v>11</v>
      </c>
      <c r="D10267" s="164">
        <f t="shared" si="1193"/>
        <v>46002</v>
      </c>
      <c r="E10267" s="235">
        <f t="shared" si="1192"/>
        <v>46002</v>
      </c>
      <c r="F10267" s="480"/>
      <c r="G10267" s="208" t="s">
        <v>86</v>
      </c>
      <c r="H10267" s="208"/>
      <c r="J10267" s="165" t="s">
        <v>960</v>
      </c>
      <c r="K10267" s="205">
        <v>5455.76</v>
      </c>
      <c r="L10267" s="205"/>
      <c r="M10267" s="263"/>
      <c r="N10267" s="263"/>
    </row>
    <row r="10268" spans="1:14" ht="11.25" customHeight="1" x14ac:dyDescent="0.2">
      <c r="A10268" s="164">
        <v>2025</v>
      </c>
      <c r="B10268" s="164">
        <v>12</v>
      </c>
      <c r="C10268" s="164">
        <v>11</v>
      </c>
      <c r="D10268" s="164">
        <f t="shared" si="1193"/>
        <v>46002</v>
      </c>
      <c r="E10268" s="235">
        <f t="shared" si="1192"/>
        <v>46002</v>
      </c>
      <c r="F10268" s="480"/>
      <c r="G10268" s="208" t="s">
        <v>86</v>
      </c>
      <c r="H10268" s="208"/>
      <c r="J10268" s="165" t="s">
        <v>961</v>
      </c>
      <c r="K10268" s="263"/>
      <c r="L10268" s="205">
        <v>1666013.46</v>
      </c>
      <c r="M10268" s="263"/>
      <c r="N10268" s="263"/>
    </row>
    <row r="10269" spans="1:14" ht="11.25" customHeight="1" x14ac:dyDescent="0.2">
      <c r="A10269" s="164">
        <v>2025</v>
      </c>
      <c r="B10269" s="164">
        <v>12</v>
      </c>
      <c r="C10269" s="164">
        <v>11</v>
      </c>
      <c r="D10269" s="164">
        <f t="shared" si="1193"/>
        <v>46002</v>
      </c>
      <c r="E10269" s="235">
        <f t="shared" si="1192"/>
        <v>46002</v>
      </c>
      <c r="F10269" s="480"/>
      <c r="G10269" s="208" t="s">
        <v>86</v>
      </c>
      <c r="H10269" s="208"/>
      <c r="J10269" s="165" t="s">
        <v>200</v>
      </c>
      <c r="K10269" s="205">
        <v>12394.92</v>
      </c>
      <c r="L10269" s="205"/>
      <c r="M10269" s="263"/>
      <c r="N10269" s="263"/>
    </row>
    <row r="10270" spans="1:14" ht="11.25" customHeight="1" x14ac:dyDescent="0.2">
      <c r="A10270" s="226">
        <v>2025</v>
      </c>
      <c r="B10270" s="226">
        <v>12</v>
      </c>
      <c r="C10270" s="226">
        <v>11</v>
      </c>
      <c r="D10270" s="226">
        <f t="shared" si="1193"/>
        <v>46002</v>
      </c>
      <c r="E10270" s="234">
        <f t="shared" si="1192"/>
        <v>46002</v>
      </c>
      <c r="F10270" s="479"/>
      <c r="G10270" s="227" t="s">
        <v>86</v>
      </c>
      <c r="H10270" s="228"/>
      <c r="I10270" s="228"/>
      <c r="J10270" s="229" t="s">
        <v>80</v>
      </c>
      <c r="K10270" s="230"/>
      <c r="L10270" s="230">
        <v>697604.22</v>
      </c>
      <c r="M10270" s="263"/>
      <c r="N10270" s="263"/>
    </row>
    <row r="10271" spans="1:14" ht="11.25" customHeight="1" x14ac:dyDescent="0.2">
      <c r="A10271" s="221">
        <v>2025</v>
      </c>
      <c r="B10271" s="221">
        <v>10</v>
      </c>
      <c r="C10271" s="221">
        <v>29</v>
      </c>
      <c r="D10271" s="231">
        <f t="shared" si="1193"/>
        <v>45959</v>
      </c>
      <c r="E10271" s="233">
        <f t="shared" si="1192"/>
        <v>45959</v>
      </c>
      <c r="F10271" s="478" t="s">
        <v>1753</v>
      </c>
      <c r="G10271" s="222" t="s">
        <v>1111</v>
      </c>
      <c r="H10271" s="223"/>
      <c r="I10271" s="223"/>
      <c r="J10271" s="224" t="s">
        <v>63</v>
      </c>
      <c r="K10271" s="225">
        <v>287.5</v>
      </c>
      <c r="L10271" s="225"/>
    </row>
    <row r="10272" spans="1:14" ht="11.25" customHeight="1" x14ac:dyDescent="0.2">
      <c r="A10272" s="226">
        <v>2025</v>
      </c>
      <c r="B10272" s="226">
        <v>10</v>
      </c>
      <c r="C10272" s="226">
        <v>29</v>
      </c>
      <c r="D10272" s="232">
        <f t="shared" si="1193"/>
        <v>45959</v>
      </c>
      <c r="E10272" s="234">
        <f t="shared" si="1192"/>
        <v>45959</v>
      </c>
      <c r="F10272" s="479"/>
      <c r="G10272" s="227" t="s">
        <v>1111</v>
      </c>
      <c r="H10272" s="228"/>
      <c r="I10272" s="228"/>
      <c r="J10272" s="229" t="s">
        <v>55</v>
      </c>
      <c r="K10272" s="230"/>
      <c r="L10272" s="230">
        <f>K10271</f>
        <v>287.5</v>
      </c>
    </row>
    <row r="10273" spans="1:14" ht="11.25" customHeight="1" x14ac:dyDescent="0.2">
      <c r="A10273" s="280">
        <v>2025</v>
      </c>
      <c r="B10273" s="280">
        <v>12</v>
      </c>
      <c r="C10273" s="280">
        <v>11</v>
      </c>
      <c r="D10273" s="281">
        <f t="shared" si="1193"/>
        <v>46002</v>
      </c>
      <c r="E10273" s="282">
        <f t="shared" si="1192"/>
        <v>46002</v>
      </c>
      <c r="F10273" s="472" t="s">
        <v>1744</v>
      </c>
      <c r="G10273" s="283" t="s">
        <v>86</v>
      </c>
      <c r="H10273" s="284"/>
      <c r="I10273" s="284"/>
      <c r="J10273" s="285" t="s">
        <v>131</v>
      </c>
      <c r="K10273" s="286">
        <v>8296.4271428571446</v>
      </c>
      <c r="L10273" s="286"/>
      <c r="M10273" s="401"/>
    </row>
    <row r="10274" spans="1:14" ht="11.25" customHeight="1" x14ac:dyDescent="0.2">
      <c r="A10274" s="287">
        <v>2025</v>
      </c>
      <c r="B10274" s="287">
        <v>12</v>
      </c>
      <c r="C10274" s="287">
        <v>11</v>
      </c>
      <c r="D10274" s="288">
        <f t="shared" si="1193"/>
        <v>46002</v>
      </c>
      <c r="E10274" s="289">
        <f t="shared" si="1192"/>
        <v>46002</v>
      </c>
      <c r="F10274" s="473"/>
      <c r="G10274" s="290" t="s">
        <v>86</v>
      </c>
      <c r="H10274" s="291"/>
      <c r="I10274" s="291"/>
      <c r="J10274" s="292" t="s">
        <v>174</v>
      </c>
      <c r="K10274" s="293"/>
      <c r="L10274" s="293">
        <f>K10273</f>
        <v>8296.4271428571446</v>
      </c>
    </row>
    <row r="10275" spans="1:14" ht="11.25" customHeight="1" x14ac:dyDescent="0.2">
      <c r="A10275" s="280">
        <v>2025</v>
      </c>
      <c r="B10275" s="280">
        <v>12</v>
      </c>
      <c r="C10275" s="280">
        <v>11</v>
      </c>
      <c r="D10275" s="281">
        <f t="shared" si="1193"/>
        <v>46002</v>
      </c>
      <c r="E10275" s="282">
        <f t="shared" si="1192"/>
        <v>46002</v>
      </c>
      <c r="F10275" s="472" t="s">
        <v>1584</v>
      </c>
      <c r="G10275" s="283" t="s">
        <v>86</v>
      </c>
      <c r="H10275" s="284"/>
      <c r="I10275" s="284"/>
      <c r="J10275" s="285" t="s">
        <v>131</v>
      </c>
      <c r="K10275" s="286">
        <v>3791.2071428571426</v>
      </c>
      <c r="L10275" s="286"/>
      <c r="M10275" s="401"/>
    </row>
    <row r="10276" spans="1:14" ht="11.25" customHeight="1" x14ac:dyDescent="0.2">
      <c r="A10276" s="287">
        <v>2025</v>
      </c>
      <c r="B10276" s="287">
        <v>12</v>
      </c>
      <c r="C10276" s="287">
        <v>11</v>
      </c>
      <c r="D10276" s="288">
        <f t="shared" si="1193"/>
        <v>46002</v>
      </c>
      <c r="E10276" s="289">
        <f t="shared" si="1192"/>
        <v>46002</v>
      </c>
      <c r="F10276" s="473"/>
      <c r="G10276" s="290" t="s">
        <v>86</v>
      </c>
      <c r="H10276" s="291"/>
      <c r="I10276" s="291"/>
      <c r="J10276" s="292" t="s">
        <v>174</v>
      </c>
      <c r="K10276" s="293"/>
      <c r="L10276" s="293">
        <f>K10275</f>
        <v>3791.2071428571426</v>
      </c>
    </row>
    <row r="10277" spans="1:14" ht="11.25" customHeight="1" x14ac:dyDescent="0.2">
      <c r="A10277" s="280">
        <v>2025</v>
      </c>
      <c r="B10277" s="280">
        <v>12</v>
      </c>
      <c r="C10277" s="280">
        <v>11</v>
      </c>
      <c r="D10277" s="281">
        <f t="shared" si="1193"/>
        <v>46002</v>
      </c>
      <c r="E10277" s="282">
        <f t="shared" si="1192"/>
        <v>46002</v>
      </c>
      <c r="F10277" s="472" t="s">
        <v>1955</v>
      </c>
      <c r="G10277" s="283" t="s">
        <v>86</v>
      </c>
      <c r="H10277" s="284"/>
      <c r="I10277" s="284"/>
      <c r="J10277" s="285" t="s">
        <v>1978</v>
      </c>
      <c r="K10277" s="286">
        <v>18556.31868131868</v>
      </c>
      <c r="L10277" s="286"/>
      <c r="M10277" s="401"/>
    </row>
    <row r="10278" spans="1:14" ht="11.25" customHeight="1" x14ac:dyDescent="0.2">
      <c r="A10278" s="287">
        <v>2025</v>
      </c>
      <c r="B10278" s="287">
        <v>12</v>
      </c>
      <c r="C10278" s="287">
        <v>11</v>
      </c>
      <c r="D10278" s="288">
        <f t="shared" si="1193"/>
        <v>46002</v>
      </c>
      <c r="E10278" s="289">
        <f t="shared" si="1192"/>
        <v>46002</v>
      </c>
      <c r="F10278" s="473"/>
      <c r="G10278" s="290" t="s">
        <v>86</v>
      </c>
      <c r="H10278" s="291"/>
      <c r="I10278" s="291"/>
      <c r="J10278" s="292" t="s">
        <v>1955</v>
      </c>
      <c r="K10278" s="293"/>
      <c r="L10278" s="293">
        <f>K10277</f>
        <v>18556.31868131868</v>
      </c>
    </row>
    <row r="10279" spans="1:14" ht="11.25" customHeight="1" x14ac:dyDescent="0.2">
      <c r="A10279" s="341">
        <v>2025</v>
      </c>
      <c r="B10279" s="341">
        <v>12</v>
      </c>
      <c r="C10279" s="341">
        <v>11</v>
      </c>
      <c r="D10279" s="328">
        <f t="shared" si="1193"/>
        <v>46002</v>
      </c>
      <c r="E10279" s="329">
        <f t="shared" si="1192"/>
        <v>46002</v>
      </c>
      <c r="F10279" s="474" t="s">
        <v>1767</v>
      </c>
      <c r="G10279" s="330" t="s">
        <v>86</v>
      </c>
      <c r="H10279" s="332"/>
      <c r="I10279" s="332"/>
      <c r="J10279" s="342" t="s">
        <v>67</v>
      </c>
      <c r="K10279" s="343">
        <v>3044.85</v>
      </c>
      <c r="L10279" s="343"/>
    </row>
    <row r="10280" spans="1:14" ht="11.25" customHeight="1" x14ac:dyDescent="0.2">
      <c r="A10280" s="344">
        <v>2025</v>
      </c>
      <c r="B10280" s="344">
        <v>12</v>
      </c>
      <c r="C10280" s="344">
        <v>11</v>
      </c>
      <c r="D10280" s="337">
        <f t="shared" si="1193"/>
        <v>46002</v>
      </c>
      <c r="E10280" s="338">
        <f t="shared" si="1192"/>
        <v>46002</v>
      </c>
      <c r="F10280" s="475"/>
      <c r="G10280" s="339" t="s">
        <v>86</v>
      </c>
      <c r="H10280" s="340"/>
      <c r="I10280" s="340"/>
      <c r="J10280" s="345" t="s">
        <v>174</v>
      </c>
      <c r="K10280" s="346"/>
      <c r="L10280" s="346">
        <f>K10279</f>
        <v>3044.85</v>
      </c>
    </row>
    <row r="10281" spans="1:14" ht="11.25" customHeight="1" x14ac:dyDescent="0.2">
      <c r="A10281" s="358">
        <v>2025</v>
      </c>
      <c r="B10281" s="358">
        <v>12</v>
      </c>
      <c r="C10281" s="358">
        <v>11</v>
      </c>
      <c r="D10281" s="312">
        <f t="shared" si="1193"/>
        <v>46002</v>
      </c>
      <c r="E10281" s="313">
        <f>DATE(A10281,B10281,C10281)</f>
        <v>46002</v>
      </c>
      <c r="F10281" s="482" t="s">
        <v>1627</v>
      </c>
      <c r="G10281" s="314" t="s">
        <v>86</v>
      </c>
      <c r="H10281" s="324"/>
      <c r="I10281" s="324"/>
      <c r="J10281" s="364" t="s">
        <v>1613</v>
      </c>
      <c r="K10281" s="365"/>
      <c r="L10281" s="365"/>
      <c r="M10281" s="156">
        <f>BS!$I$12</f>
        <v>0</v>
      </c>
    </row>
    <row r="10282" spans="1:14" ht="11.25" customHeight="1" x14ac:dyDescent="0.2">
      <c r="A10282" s="320">
        <v>2025</v>
      </c>
      <c r="B10282" s="320">
        <v>12</v>
      </c>
      <c r="C10282" s="320">
        <v>11</v>
      </c>
      <c r="D10282" s="323">
        <f t="shared" si="1193"/>
        <v>46002</v>
      </c>
      <c r="E10282" s="321">
        <f t="shared" ref="E10282" si="1195">DATE(A10282,B10282,C10282)</f>
        <v>46002</v>
      </c>
      <c r="F10282" s="483"/>
      <c r="G10282" s="322" t="s">
        <v>86</v>
      </c>
      <c r="H10282" s="325"/>
      <c r="I10282" s="325"/>
      <c r="J10282" s="366" t="s">
        <v>1621</v>
      </c>
      <c r="K10282" s="367"/>
      <c r="L10282" s="367">
        <f>K10281</f>
        <v>0</v>
      </c>
    </row>
    <row r="10283" spans="1:14" ht="11.25" customHeight="1" x14ac:dyDescent="0.2">
      <c r="A10283" s="358">
        <v>2025</v>
      </c>
      <c r="B10283" s="358">
        <v>12</v>
      </c>
      <c r="C10283" s="358">
        <v>11</v>
      </c>
      <c r="D10283" s="312">
        <f t="shared" si="1193"/>
        <v>46002</v>
      </c>
      <c r="E10283" s="313">
        <f>DATE(A10283,B10283,C10283)</f>
        <v>46002</v>
      </c>
      <c r="F10283" s="482" t="s">
        <v>1713</v>
      </c>
      <c r="G10283" s="314" t="s">
        <v>86</v>
      </c>
      <c r="H10283" s="324"/>
      <c r="I10283" s="324"/>
      <c r="J10283" s="364" t="s">
        <v>1622</v>
      </c>
      <c r="K10283" s="365">
        <v>588.51800000027288</v>
      </c>
      <c r="L10283" s="365"/>
      <c r="M10283" s="447">
        <f>BS!$I$15</f>
        <v>0</v>
      </c>
      <c r="N10283" s="166"/>
    </row>
    <row r="10284" spans="1:14" ht="11.25" customHeight="1" x14ac:dyDescent="0.2">
      <c r="A10284" s="320">
        <v>2025</v>
      </c>
      <c r="B10284" s="320">
        <v>12</v>
      </c>
      <c r="C10284" s="320">
        <v>11</v>
      </c>
      <c r="D10284" s="323">
        <f t="shared" si="1193"/>
        <v>46002</v>
      </c>
      <c r="E10284" s="321">
        <f t="shared" ref="E10284:E10305" si="1196">DATE(A10284,B10284,C10284)</f>
        <v>46002</v>
      </c>
      <c r="F10284" s="483"/>
      <c r="G10284" s="322" t="s">
        <v>86</v>
      </c>
      <c r="H10284" s="325"/>
      <c r="I10284" s="325"/>
      <c r="J10284" s="366" t="s">
        <v>1614</v>
      </c>
      <c r="K10284" s="367"/>
      <c r="L10284" s="367">
        <f>K10283</f>
        <v>588.51800000027288</v>
      </c>
    </row>
    <row r="10285" spans="1:14" ht="11.25" customHeight="1" x14ac:dyDescent="0.2">
      <c r="A10285" s="236">
        <v>2025</v>
      </c>
      <c r="B10285" s="236">
        <v>12</v>
      </c>
      <c r="C10285" s="236">
        <v>11</v>
      </c>
      <c r="D10285" s="237">
        <f t="shared" si="1193"/>
        <v>46002</v>
      </c>
      <c r="E10285" s="238">
        <f t="shared" si="1196"/>
        <v>46002</v>
      </c>
      <c r="F10285" s="476" t="s">
        <v>1118</v>
      </c>
      <c r="G10285" s="239" t="s">
        <v>86</v>
      </c>
      <c r="H10285" s="239"/>
      <c r="I10285" s="240"/>
      <c r="J10285" s="241" t="s">
        <v>98</v>
      </c>
      <c r="K10285" s="242">
        <v>593723.16000002623</v>
      </c>
      <c r="L10285" s="242"/>
      <c r="M10285" s="156">
        <f>BS!$I$8</f>
        <v>0</v>
      </c>
    </row>
    <row r="10286" spans="1:14" ht="11.25" customHeight="1" x14ac:dyDescent="0.2">
      <c r="A10286" s="243">
        <v>2025</v>
      </c>
      <c r="B10286" s="243">
        <v>12</v>
      </c>
      <c r="C10286" s="243">
        <v>11</v>
      </c>
      <c r="D10286" s="248">
        <f t="shared" si="1193"/>
        <v>46002</v>
      </c>
      <c r="E10286" s="249">
        <f t="shared" si="1196"/>
        <v>46002</v>
      </c>
      <c r="F10286" s="477"/>
      <c r="G10286" s="244" t="s">
        <v>86</v>
      </c>
      <c r="H10286" s="244"/>
      <c r="I10286" s="245"/>
      <c r="J10286" s="246" t="s">
        <v>82</v>
      </c>
      <c r="K10286" s="247"/>
      <c r="L10286" s="247">
        <f>K10285</f>
        <v>593723.16000002623</v>
      </c>
    </row>
    <row r="10287" spans="1:14" ht="11.25" customHeight="1" x14ac:dyDescent="0.2">
      <c r="A10287" s="236">
        <v>2025</v>
      </c>
      <c r="B10287" s="236">
        <v>12</v>
      </c>
      <c r="C10287" s="236">
        <v>11</v>
      </c>
      <c r="D10287" s="237">
        <f t="shared" si="1193"/>
        <v>46002</v>
      </c>
      <c r="E10287" s="238">
        <f t="shared" si="1196"/>
        <v>46002</v>
      </c>
      <c r="F10287" s="476" t="s">
        <v>1120</v>
      </c>
      <c r="G10287" s="239" t="s">
        <v>86</v>
      </c>
      <c r="H10287" s="239"/>
      <c r="I10287" s="240"/>
      <c r="J10287" s="241" t="s">
        <v>87</v>
      </c>
      <c r="K10287" s="242">
        <v>1177.3940345368917</v>
      </c>
      <c r="L10287" s="242"/>
      <c r="M10287" s="401"/>
    </row>
    <row r="10288" spans="1:14" ht="11.25" customHeight="1" x14ac:dyDescent="0.2">
      <c r="A10288" s="243">
        <v>2025</v>
      </c>
      <c r="B10288" s="243">
        <v>12</v>
      </c>
      <c r="C10288" s="243">
        <v>11</v>
      </c>
      <c r="D10288" s="248">
        <f t="shared" si="1193"/>
        <v>46002</v>
      </c>
      <c r="E10288" s="249">
        <f t="shared" si="1196"/>
        <v>46002</v>
      </c>
      <c r="F10288" s="477"/>
      <c r="G10288" s="244" t="s">
        <v>86</v>
      </c>
      <c r="H10288" s="244"/>
      <c r="I10288" s="245"/>
      <c r="J10288" s="246" t="s">
        <v>64</v>
      </c>
      <c r="K10288" s="247"/>
      <c r="L10288" s="247">
        <f>K10287</f>
        <v>1177.3940345368917</v>
      </c>
    </row>
    <row r="10289" spans="1:14" ht="11.25" customHeight="1" x14ac:dyDescent="0.2">
      <c r="A10289" s="236">
        <v>2025</v>
      </c>
      <c r="B10289" s="236">
        <v>12</v>
      </c>
      <c r="C10289" s="236">
        <v>11</v>
      </c>
      <c r="D10289" s="237">
        <f t="shared" si="1193"/>
        <v>46002</v>
      </c>
      <c r="E10289" s="238">
        <f t="shared" si="1196"/>
        <v>46002</v>
      </c>
      <c r="F10289" s="476" t="s">
        <v>1121</v>
      </c>
      <c r="G10289" s="239" t="s">
        <v>86</v>
      </c>
      <c r="H10289" s="239"/>
      <c r="I10289" s="240"/>
      <c r="J10289" s="241" t="s">
        <v>89</v>
      </c>
      <c r="K10289" s="242">
        <f>M10289</f>
        <v>39569.273471205699</v>
      </c>
      <c r="L10289" s="242"/>
      <c r="M10289" s="448">
        <v>39569.273471205699</v>
      </c>
    </row>
    <row r="10290" spans="1:14" ht="11.25" customHeight="1" x14ac:dyDescent="0.2">
      <c r="A10290" s="243">
        <v>2025</v>
      </c>
      <c r="B10290" s="243">
        <v>12</v>
      </c>
      <c r="C10290" s="243">
        <v>11</v>
      </c>
      <c r="D10290" s="248">
        <f t="shared" si="1193"/>
        <v>46002</v>
      </c>
      <c r="E10290" s="249">
        <f t="shared" si="1196"/>
        <v>46002</v>
      </c>
      <c r="F10290" s="477"/>
      <c r="G10290" s="244" t="s">
        <v>86</v>
      </c>
      <c r="H10290" s="244"/>
      <c r="I10290" s="245"/>
      <c r="J10290" s="246" t="s">
        <v>50</v>
      </c>
      <c r="K10290" s="247"/>
      <c r="L10290" s="247">
        <f>K10289</f>
        <v>39569.273471205699</v>
      </c>
      <c r="M10290" s="448">
        <v>1875.4416955383076</v>
      </c>
    </row>
    <row r="10291" spans="1:14" ht="11.25" customHeight="1" x14ac:dyDescent="0.2">
      <c r="A10291" s="236">
        <v>2025</v>
      </c>
      <c r="B10291" s="236">
        <v>12</v>
      </c>
      <c r="C10291" s="236">
        <v>11</v>
      </c>
      <c r="D10291" s="237">
        <f t="shared" si="1193"/>
        <v>46002</v>
      </c>
      <c r="E10291" s="238">
        <f t="shared" si="1196"/>
        <v>46002</v>
      </c>
      <c r="F10291" s="476" t="s">
        <v>1122</v>
      </c>
      <c r="G10291" s="239" t="s">
        <v>86</v>
      </c>
      <c r="H10291" s="239"/>
      <c r="I10291" s="240"/>
      <c r="J10291" s="241" t="s">
        <v>91</v>
      </c>
      <c r="K10291" s="242">
        <f>M10290</f>
        <v>1875.4416955383076</v>
      </c>
      <c r="L10291" s="242"/>
    </row>
    <row r="10292" spans="1:14" ht="11.25" customHeight="1" x14ac:dyDescent="0.2">
      <c r="A10292" s="243">
        <v>2025</v>
      </c>
      <c r="B10292" s="243">
        <v>12</v>
      </c>
      <c r="C10292" s="243">
        <v>11</v>
      </c>
      <c r="D10292" s="248">
        <f t="shared" si="1193"/>
        <v>46002</v>
      </c>
      <c r="E10292" s="249">
        <f t="shared" si="1196"/>
        <v>46002</v>
      </c>
      <c r="F10292" s="477"/>
      <c r="G10292" s="244" t="s">
        <v>86</v>
      </c>
      <c r="H10292" s="244"/>
      <c r="I10292" s="245"/>
      <c r="J10292" s="246" t="s">
        <v>51</v>
      </c>
      <c r="K10292" s="247"/>
      <c r="L10292" s="247">
        <f>K10291</f>
        <v>1875.4416955383076</v>
      </c>
    </row>
    <row r="10293" spans="1:14" ht="11.25" customHeight="1" x14ac:dyDescent="0.2">
      <c r="A10293" s="221">
        <v>2025</v>
      </c>
      <c r="B10293" s="221">
        <v>12</v>
      </c>
      <c r="C10293" s="221">
        <v>14</v>
      </c>
      <c r="D10293" s="221">
        <f t="shared" si="1193"/>
        <v>46005</v>
      </c>
      <c r="E10293" s="233">
        <f t="shared" si="1196"/>
        <v>46005</v>
      </c>
      <c r="F10293" s="478" t="s">
        <v>1886</v>
      </c>
      <c r="G10293" s="222" t="s">
        <v>86</v>
      </c>
      <c r="H10293" s="222"/>
      <c r="I10293" s="223"/>
      <c r="J10293" s="224" t="s">
        <v>80</v>
      </c>
      <c r="K10293" s="225">
        <v>412740</v>
      </c>
      <c r="L10293" s="225"/>
      <c r="N10293" s="263"/>
    </row>
    <row r="10294" spans="1:14" ht="11.25" customHeight="1" x14ac:dyDescent="0.2">
      <c r="A10294" s="164">
        <v>2025</v>
      </c>
      <c r="B10294" s="164">
        <v>12</v>
      </c>
      <c r="C10294" s="164">
        <v>14</v>
      </c>
      <c r="D10294" s="164">
        <f t="shared" si="1193"/>
        <v>46005</v>
      </c>
      <c r="E10294" s="235">
        <f t="shared" si="1196"/>
        <v>46005</v>
      </c>
      <c r="F10294" s="480"/>
      <c r="G10294" s="208" t="s">
        <v>86</v>
      </c>
      <c r="H10294" s="208"/>
      <c r="J10294" s="165" t="s">
        <v>960</v>
      </c>
      <c r="K10294" s="205">
        <v>1138.93</v>
      </c>
      <c r="L10294" s="205"/>
      <c r="M10294" s="263"/>
      <c r="N10294" s="263"/>
    </row>
    <row r="10295" spans="1:14" ht="11.25" customHeight="1" x14ac:dyDescent="0.2">
      <c r="A10295" s="164">
        <v>2025</v>
      </c>
      <c r="B10295" s="164">
        <v>12</v>
      </c>
      <c r="C10295" s="164">
        <v>14</v>
      </c>
      <c r="D10295" s="164">
        <f t="shared" si="1193"/>
        <v>46005</v>
      </c>
      <c r="E10295" s="235">
        <f t="shared" si="1196"/>
        <v>46005</v>
      </c>
      <c r="F10295" s="480"/>
      <c r="G10295" s="208" t="s">
        <v>86</v>
      </c>
      <c r="H10295" s="208"/>
      <c r="J10295" s="165" t="s">
        <v>961</v>
      </c>
      <c r="K10295" s="263"/>
      <c r="L10295" s="205">
        <v>193878.93</v>
      </c>
      <c r="M10295" s="263"/>
      <c r="N10295" s="263"/>
    </row>
    <row r="10296" spans="1:14" ht="11.25" customHeight="1" x14ac:dyDescent="0.2">
      <c r="A10296" s="164">
        <v>2025</v>
      </c>
      <c r="B10296" s="164">
        <v>12</v>
      </c>
      <c r="C10296" s="164">
        <v>14</v>
      </c>
      <c r="D10296" s="164">
        <f t="shared" si="1193"/>
        <v>46005</v>
      </c>
      <c r="E10296" s="235">
        <f t="shared" si="1196"/>
        <v>46005</v>
      </c>
      <c r="F10296" s="480"/>
      <c r="G10296" s="208" t="s">
        <v>86</v>
      </c>
      <c r="H10296" s="208"/>
      <c r="J10296" s="165" t="s">
        <v>200</v>
      </c>
      <c r="K10296" s="205">
        <v>5223.8500000000004</v>
      </c>
      <c r="L10296" s="205"/>
      <c r="M10296" s="263"/>
      <c r="N10296" s="263"/>
    </row>
    <row r="10297" spans="1:14" ht="11.25" customHeight="1" x14ac:dyDescent="0.2">
      <c r="A10297" s="226">
        <v>2025</v>
      </c>
      <c r="B10297" s="226">
        <v>12</v>
      </c>
      <c r="C10297" s="226">
        <v>14</v>
      </c>
      <c r="D10297" s="226">
        <f t="shared" si="1193"/>
        <v>46005</v>
      </c>
      <c r="E10297" s="234">
        <f t="shared" si="1196"/>
        <v>46005</v>
      </c>
      <c r="F10297" s="479"/>
      <c r="G10297" s="227" t="s">
        <v>86</v>
      </c>
      <c r="H10297" s="228"/>
      <c r="I10297" s="228"/>
      <c r="J10297" s="229" t="s">
        <v>80</v>
      </c>
      <c r="K10297" s="230"/>
      <c r="L10297" s="230">
        <v>225223.85</v>
      </c>
      <c r="M10297" s="263"/>
      <c r="N10297" s="263"/>
    </row>
    <row r="10298" spans="1:14" ht="11.25" customHeight="1" x14ac:dyDescent="0.2">
      <c r="A10298" s="280">
        <v>2025</v>
      </c>
      <c r="B10298" s="280">
        <v>12</v>
      </c>
      <c r="C10298" s="280">
        <v>14</v>
      </c>
      <c r="D10298" s="281">
        <f t="shared" si="1193"/>
        <v>46005</v>
      </c>
      <c r="E10298" s="282">
        <f t="shared" si="1196"/>
        <v>46005</v>
      </c>
      <c r="F10298" s="472" t="s">
        <v>1744</v>
      </c>
      <c r="G10298" s="283" t="s">
        <v>86</v>
      </c>
      <c r="H10298" s="284"/>
      <c r="I10298" s="284"/>
      <c r="J10298" s="285" t="s">
        <v>131</v>
      </c>
      <c r="K10298" s="286">
        <v>2765.4757142857147</v>
      </c>
      <c r="L10298" s="286"/>
      <c r="M10298" s="401"/>
    </row>
    <row r="10299" spans="1:14" ht="11.25" customHeight="1" x14ac:dyDescent="0.2">
      <c r="A10299" s="287">
        <v>2025</v>
      </c>
      <c r="B10299" s="287">
        <v>12</v>
      </c>
      <c r="C10299" s="287">
        <v>14</v>
      </c>
      <c r="D10299" s="288">
        <f t="shared" si="1193"/>
        <v>46005</v>
      </c>
      <c r="E10299" s="289">
        <f t="shared" si="1196"/>
        <v>46005</v>
      </c>
      <c r="F10299" s="473"/>
      <c r="G10299" s="290" t="s">
        <v>86</v>
      </c>
      <c r="H10299" s="291"/>
      <c r="I10299" s="291"/>
      <c r="J10299" s="292" t="s">
        <v>174</v>
      </c>
      <c r="K10299" s="293"/>
      <c r="L10299" s="293">
        <f>K10298</f>
        <v>2765.4757142857147</v>
      </c>
    </row>
    <row r="10300" spans="1:14" ht="11.25" customHeight="1" x14ac:dyDescent="0.2">
      <c r="A10300" s="280">
        <v>2025</v>
      </c>
      <c r="B10300" s="280">
        <v>12</v>
      </c>
      <c r="C10300" s="280">
        <v>14</v>
      </c>
      <c r="D10300" s="281">
        <f t="shared" si="1193"/>
        <v>46005</v>
      </c>
      <c r="E10300" s="282">
        <f t="shared" si="1196"/>
        <v>46005</v>
      </c>
      <c r="F10300" s="472" t="s">
        <v>1584</v>
      </c>
      <c r="G10300" s="283" t="s">
        <v>86</v>
      </c>
      <c r="H10300" s="284"/>
      <c r="I10300" s="284"/>
      <c r="J10300" s="285" t="s">
        <v>131</v>
      </c>
      <c r="K10300" s="286">
        <v>1263.7357142857143</v>
      </c>
      <c r="L10300" s="286"/>
      <c r="M10300" s="401"/>
    </row>
    <row r="10301" spans="1:14" ht="11.25" customHeight="1" x14ac:dyDescent="0.2">
      <c r="A10301" s="287">
        <v>2025</v>
      </c>
      <c r="B10301" s="287">
        <v>12</v>
      </c>
      <c r="C10301" s="287">
        <v>14</v>
      </c>
      <c r="D10301" s="288">
        <f t="shared" si="1193"/>
        <v>46005</v>
      </c>
      <c r="E10301" s="289">
        <f t="shared" si="1196"/>
        <v>46005</v>
      </c>
      <c r="F10301" s="473"/>
      <c r="G10301" s="290" t="s">
        <v>86</v>
      </c>
      <c r="H10301" s="291"/>
      <c r="I10301" s="291"/>
      <c r="J10301" s="292" t="s">
        <v>174</v>
      </c>
      <c r="K10301" s="293"/>
      <c r="L10301" s="293">
        <f>K10300</f>
        <v>1263.7357142857143</v>
      </c>
    </row>
    <row r="10302" spans="1:14" ht="11.25" customHeight="1" x14ac:dyDescent="0.2">
      <c r="A10302" s="280">
        <v>2025</v>
      </c>
      <c r="B10302" s="280">
        <v>12</v>
      </c>
      <c r="C10302" s="280">
        <v>14</v>
      </c>
      <c r="D10302" s="281">
        <f t="shared" si="1193"/>
        <v>46005</v>
      </c>
      <c r="E10302" s="282">
        <f t="shared" si="1196"/>
        <v>46005</v>
      </c>
      <c r="F10302" s="472" t="s">
        <v>1955</v>
      </c>
      <c r="G10302" s="283" t="s">
        <v>86</v>
      </c>
      <c r="H10302" s="284"/>
      <c r="I10302" s="284"/>
      <c r="J10302" s="285" t="s">
        <v>1978</v>
      </c>
      <c r="K10302" s="286">
        <v>6185.4395604395604</v>
      </c>
      <c r="L10302" s="286"/>
      <c r="M10302" s="401"/>
    </row>
    <row r="10303" spans="1:14" ht="11.25" customHeight="1" x14ac:dyDescent="0.2">
      <c r="A10303" s="287">
        <v>2025</v>
      </c>
      <c r="B10303" s="287">
        <v>12</v>
      </c>
      <c r="C10303" s="287">
        <v>14</v>
      </c>
      <c r="D10303" s="288">
        <f t="shared" si="1193"/>
        <v>46005</v>
      </c>
      <c r="E10303" s="289">
        <f t="shared" si="1196"/>
        <v>46005</v>
      </c>
      <c r="F10303" s="473"/>
      <c r="G10303" s="290" t="s">
        <v>86</v>
      </c>
      <c r="H10303" s="291"/>
      <c r="I10303" s="291"/>
      <c r="J10303" s="292" t="s">
        <v>1955</v>
      </c>
      <c r="K10303" s="293"/>
      <c r="L10303" s="293">
        <f>K10302</f>
        <v>6185.4395604395604</v>
      </c>
    </row>
    <row r="10304" spans="1:14" ht="11.25" customHeight="1" x14ac:dyDescent="0.2">
      <c r="A10304" s="341">
        <v>2025</v>
      </c>
      <c r="B10304" s="341">
        <v>12</v>
      </c>
      <c r="C10304" s="341">
        <v>14</v>
      </c>
      <c r="D10304" s="328">
        <f t="shared" si="1193"/>
        <v>46005</v>
      </c>
      <c r="E10304" s="329">
        <f t="shared" si="1196"/>
        <v>46005</v>
      </c>
      <c r="F10304" s="474" t="s">
        <v>1767</v>
      </c>
      <c r="G10304" s="330" t="s">
        <v>86</v>
      </c>
      <c r="H10304" s="332"/>
      <c r="I10304" s="332"/>
      <c r="J10304" s="342" t="s">
        <v>67</v>
      </c>
      <c r="K10304" s="343">
        <v>1135.1711299999999</v>
      </c>
      <c r="L10304" s="343"/>
    </row>
    <row r="10305" spans="1:14" ht="11.25" customHeight="1" x14ac:dyDescent="0.2">
      <c r="A10305" s="344">
        <v>2025</v>
      </c>
      <c r="B10305" s="344">
        <v>12</v>
      </c>
      <c r="C10305" s="344">
        <v>14</v>
      </c>
      <c r="D10305" s="337">
        <f t="shared" si="1193"/>
        <v>46005</v>
      </c>
      <c r="E10305" s="338">
        <f t="shared" si="1196"/>
        <v>46005</v>
      </c>
      <c r="F10305" s="475"/>
      <c r="G10305" s="339" t="s">
        <v>86</v>
      </c>
      <c r="H10305" s="340"/>
      <c r="I10305" s="340"/>
      <c r="J10305" s="345" t="s">
        <v>174</v>
      </c>
      <c r="K10305" s="346"/>
      <c r="L10305" s="346">
        <f>K10304</f>
        <v>1135.1711299999999</v>
      </c>
    </row>
    <row r="10306" spans="1:14" ht="11.25" customHeight="1" x14ac:dyDescent="0.2">
      <c r="A10306" s="358">
        <v>2025</v>
      </c>
      <c r="B10306" s="358">
        <v>12</v>
      </c>
      <c r="C10306" s="358">
        <v>14</v>
      </c>
      <c r="D10306" s="312">
        <f t="shared" si="1193"/>
        <v>46005</v>
      </c>
      <c r="E10306" s="313">
        <f>DATE(A10306,B10306,C10306)</f>
        <v>46005</v>
      </c>
      <c r="F10306" s="482" t="s">
        <v>1627</v>
      </c>
      <c r="G10306" s="314" t="s">
        <v>86</v>
      </c>
      <c r="H10306" s="324"/>
      <c r="I10306" s="324"/>
      <c r="J10306" s="364" t="s">
        <v>1613</v>
      </c>
      <c r="K10306" s="365"/>
      <c r="L10306" s="365"/>
      <c r="M10306" s="156">
        <f>BS!$I$12</f>
        <v>0</v>
      </c>
    </row>
    <row r="10307" spans="1:14" ht="11.25" customHeight="1" x14ac:dyDescent="0.2">
      <c r="A10307" s="320">
        <v>2025</v>
      </c>
      <c r="B10307" s="320">
        <v>12</v>
      </c>
      <c r="C10307" s="320">
        <v>14</v>
      </c>
      <c r="D10307" s="323">
        <f t="shared" si="1193"/>
        <v>46005</v>
      </c>
      <c r="E10307" s="321">
        <f t="shared" ref="E10307" si="1197">DATE(A10307,B10307,C10307)</f>
        <v>46005</v>
      </c>
      <c r="F10307" s="483"/>
      <c r="G10307" s="322" t="s">
        <v>86</v>
      </c>
      <c r="H10307" s="325"/>
      <c r="I10307" s="325"/>
      <c r="J10307" s="366" t="s">
        <v>1621</v>
      </c>
      <c r="K10307" s="367"/>
      <c r="L10307" s="367">
        <f>K10306</f>
        <v>0</v>
      </c>
    </row>
    <row r="10308" spans="1:14" ht="11.25" customHeight="1" x14ac:dyDescent="0.2">
      <c r="A10308" s="358">
        <v>2025</v>
      </c>
      <c r="B10308" s="358">
        <v>12</v>
      </c>
      <c r="C10308" s="358">
        <v>14</v>
      </c>
      <c r="D10308" s="312">
        <f t="shared" si="1193"/>
        <v>46005</v>
      </c>
      <c r="E10308" s="313">
        <f>DATE(A10308,B10308,C10308)</f>
        <v>46005</v>
      </c>
      <c r="F10308" s="482" t="s">
        <v>1713</v>
      </c>
      <c r="G10308" s="314" t="s">
        <v>86</v>
      </c>
      <c r="H10308" s="324"/>
      <c r="I10308" s="324"/>
      <c r="J10308" s="364" t="s">
        <v>1622</v>
      </c>
      <c r="K10308" s="365">
        <v>195.93700000015087</v>
      </c>
      <c r="L10308" s="365"/>
      <c r="M10308" s="447">
        <f>BS!$I$15</f>
        <v>0</v>
      </c>
      <c r="N10308" s="166"/>
    </row>
    <row r="10309" spans="1:14" ht="11.25" customHeight="1" x14ac:dyDescent="0.2">
      <c r="A10309" s="320">
        <v>2025</v>
      </c>
      <c r="B10309" s="320">
        <v>12</v>
      </c>
      <c r="C10309" s="320">
        <v>14</v>
      </c>
      <c r="D10309" s="323">
        <f t="shared" si="1193"/>
        <v>46005</v>
      </c>
      <c r="E10309" s="321">
        <f t="shared" ref="E10309:E10319" si="1198">DATE(A10309,B10309,C10309)</f>
        <v>46005</v>
      </c>
      <c r="F10309" s="483"/>
      <c r="G10309" s="322" t="s">
        <v>86</v>
      </c>
      <c r="H10309" s="325"/>
      <c r="I10309" s="325"/>
      <c r="J10309" s="366" t="s">
        <v>1614</v>
      </c>
      <c r="K10309" s="367"/>
      <c r="L10309" s="367">
        <f>K10308</f>
        <v>195.93700000015087</v>
      </c>
    </row>
    <row r="10310" spans="1:14" ht="11.25" customHeight="1" x14ac:dyDescent="0.2">
      <c r="A10310" s="236">
        <v>2025</v>
      </c>
      <c r="B10310" s="236">
        <v>12</v>
      </c>
      <c r="C10310" s="236">
        <v>14</v>
      </c>
      <c r="D10310" s="237">
        <f t="shared" si="1193"/>
        <v>46005</v>
      </c>
      <c r="E10310" s="238">
        <f t="shared" si="1198"/>
        <v>46005</v>
      </c>
      <c r="F10310" s="476" t="s">
        <v>1118</v>
      </c>
      <c r="G10310" s="239" t="s">
        <v>86</v>
      </c>
      <c r="H10310" s="239"/>
      <c r="I10310" s="240"/>
      <c r="J10310" s="241" t="s">
        <v>82</v>
      </c>
      <c r="K10310" s="242">
        <v>737762.27000004053</v>
      </c>
      <c r="L10310" s="242"/>
      <c r="M10310" s="156">
        <f>BS!$I$8</f>
        <v>0</v>
      </c>
    </row>
    <row r="10311" spans="1:14" ht="11.25" customHeight="1" x14ac:dyDescent="0.2">
      <c r="A10311" s="243">
        <v>2025</v>
      </c>
      <c r="B10311" s="243">
        <v>12</v>
      </c>
      <c r="C10311" s="243">
        <v>14</v>
      </c>
      <c r="D10311" s="248">
        <f t="shared" si="1193"/>
        <v>46005</v>
      </c>
      <c r="E10311" s="249">
        <f t="shared" si="1198"/>
        <v>46005</v>
      </c>
      <c r="F10311" s="477"/>
      <c r="G10311" s="244" t="s">
        <v>86</v>
      </c>
      <c r="H10311" s="244"/>
      <c r="I10311" s="245"/>
      <c r="J10311" s="246" t="s">
        <v>98</v>
      </c>
      <c r="K10311" s="247"/>
      <c r="L10311" s="247">
        <f>K10310</f>
        <v>737762.27000004053</v>
      </c>
    </row>
    <row r="10312" spans="1:14" ht="11.25" customHeight="1" x14ac:dyDescent="0.2">
      <c r="A10312" s="236">
        <v>2025</v>
      </c>
      <c r="B10312" s="236">
        <v>12</v>
      </c>
      <c r="C10312" s="236">
        <v>14</v>
      </c>
      <c r="D10312" s="237">
        <f t="shared" si="1193"/>
        <v>46005</v>
      </c>
      <c r="E10312" s="238">
        <f t="shared" si="1198"/>
        <v>46005</v>
      </c>
      <c r="F10312" s="476" t="s">
        <v>1120</v>
      </c>
      <c r="G10312" s="239" t="s">
        <v>86</v>
      </c>
      <c r="H10312" s="239"/>
      <c r="I10312" s="240"/>
      <c r="J10312" s="241" t="s">
        <v>87</v>
      </c>
      <c r="K10312" s="242">
        <v>392.46467817896388</v>
      </c>
      <c r="L10312" s="242"/>
      <c r="M10312" s="401"/>
    </row>
    <row r="10313" spans="1:14" ht="11.25" customHeight="1" x14ac:dyDescent="0.2">
      <c r="A10313" s="243">
        <v>2025</v>
      </c>
      <c r="B10313" s="243">
        <v>12</v>
      </c>
      <c r="C10313" s="243">
        <v>14</v>
      </c>
      <c r="D10313" s="248">
        <f t="shared" ref="D10313:D10376" si="1199">DATE(A10313,B10313,C10313)</f>
        <v>46005</v>
      </c>
      <c r="E10313" s="249">
        <f t="shared" si="1198"/>
        <v>46005</v>
      </c>
      <c r="F10313" s="477"/>
      <c r="G10313" s="244" t="s">
        <v>86</v>
      </c>
      <c r="H10313" s="244"/>
      <c r="I10313" s="245"/>
      <c r="J10313" s="246" t="s">
        <v>64</v>
      </c>
      <c r="K10313" s="247"/>
      <c r="L10313" s="247">
        <f>K10312</f>
        <v>392.46467817896388</v>
      </c>
    </row>
    <row r="10314" spans="1:14" ht="11.25" customHeight="1" x14ac:dyDescent="0.2">
      <c r="A10314" s="236">
        <v>2025</v>
      </c>
      <c r="B10314" s="236">
        <v>12</v>
      </c>
      <c r="C10314" s="236">
        <v>14</v>
      </c>
      <c r="D10314" s="237">
        <f t="shared" si="1199"/>
        <v>46005</v>
      </c>
      <c r="E10314" s="238">
        <f t="shared" si="1198"/>
        <v>46005</v>
      </c>
      <c r="F10314" s="476" t="s">
        <v>1121</v>
      </c>
      <c r="G10314" s="239" t="s">
        <v>86</v>
      </c>
      <c r="H10314" s="239"/>
      <c r="I10314" s="240"/>
      <c r="J10314" s="241" t="s">
        <v>89</v>
      </c>
      <c r="K10314" s="242">
        <f>M10314</f>
        <v>13147.207468200842</v>
      </c>
      <c r="L10314" s="242"/>
      <c r="M10314" s="448">
        <v>13147.207468200842</v>
      </c>
    </row>
    <row r="10315" spans="1:14" ht="11.25" customHeight="1" x14ac:dyDescent="0.2">
      <c r="A10315" s="243">
        <v>2025</v>
      </c>
      <c r="B10315" s="243">
        <v>12</v>
      </c>
      <c r="C10315" s="243">
        <v>14</v>
      </c>
      <c r="D10315" s="248">
        <f t="shared" si="1199"/>
        <v>46005</v>
      </c>
      <c r="E10315" s="249">
        <f t="shared" si="1198"/>
        <v>46005</v>
      </c>
      <c r="F10315" s="477"/>
      <c r="G10315" s="244" t="s">
        <v>86</v>
      </c>
      <c r="H10315" s="244"/>
      <c r="I10315" s="245"/>
      <c r="J10315" s="246" t="s">
        <v>50</v>
      </c>
      <c r="K10315" s="247"/>
      <c r="L10315" s="247">
        <f>K10314</f>
        <v>13147.207468200842</v>
      </c>
      <c r="M10315" s="448">
        <v>623.01971406938276</v>
      </c>
    </row>
    <row r="10316" spans="1:14" ht="11.25" customHeight="1" x14ac:dyDescent="0.2">
      <c r="A10316" s="236">
        <v>2025</v>
      </c>
      <c r="B10316" s="236">
        <v>12</v>
      </c>
      <c r="C10316" s="236">
        <v>14</v>
      </c>
      <c r="D10316" s="237">
        <f t="shared" si="1199"/>
        <v>46005</v>
      </c>
      <c r="E10316" s="238">
        <f t="shared" si="1198"/>
        <v>46005</v>
      </c>
      <c r="F10316" s="476" t="s">
        <v>1122</v>
      </c>
      <c r="G10316" s="239" t="s">
        <v>86</v>
      </c>
      <c r="H10316" s="239"/>
      <c r="I10316" s="240"/>
      <c r="J10316" s="241" t="s">
        <v>91</v>
      </c>
      <c r="K10316" s="242">
        <f>M10315</f>
        <v>623.01971406938276</v>
      </c>
      <c r="L10316" s="242"/>
    </row>
    <row r="10317" spans="1:14" ht="11.25" customHeight="1" x14ac:dyDescent="0.2">
      <c r="A10317" s="243">
        <v>2025</v>
      </c>
      <c r="B10317" s="243">
        <v>12</v>
      </c>
      <c r="C10317" s="243">
        <v>14</v>
      </c>
      <c r="D10317" s="248">
        <f t="shared" si="1199"/>
        <v>46005</v>
      </c>
      <c r="E10317" s="249">
        <f t="shared" si="1198"/>
        <v>46005</v>
      </c>
      <c r="F10317" s="477"/>
      <c r="G10317" s="244" t="s">
        <v>86</v>
      </c>
      <c r="H10317" s="244"/>
      <c r="I10317" s="245"/>
      <c r="J10317" s="246" t="s">
        <v>51</v>
      </c>
      <c r="K10317" s="247"/>
      <c r="L10317" s="247">
        <f>K10316</f>
        <v>623.01971406938276</v>
      </c>
    </row>
    <row r="10318" spans="1:14" ht="11.25" customHeight="1" x14ac:dyDescent="0.2">
      <c r="A10318" s="221">
        <v>2025</v>
      </c>
      <c r="B10318" s="221">
        <v>12</v>
      </c>
      <c r="C10318" s="221">
        <v>15</v>
      </c>
      <c r="D10318" s="231">
        <f t="shared" si="1199"/>
        <v>46006</v>
      </c>
      <c r="E10318" s="233">
        <f t="shared" si="1198"/>
        <v>46006</v>
      </c>
      <c r="F10318" s="478" t="s">
        <v>1889</v>
      </c>
      <c r="G10318" s="222" t="s">
        <v>1111</v>
      </c>
      <c r="H10318" s="223"/>
      <c r="I10318" s="223"/>
      <c r="J10318" s="224" t="s">
        <v>961</v>
      </c>
      <c r="K10318" s="225">
        <v>1666013.46</v>
      </c>
      <c r="L10318" s="225"/>
    </row>
    <row r="10319" spans="1:14" ht="11.25" customHeight="1" x14ac:dyDescent="0.2">
      <c r="A10319" s="226">
        <v>2025</v>
      </c>
      <c r="B10319" s="226">
        <v>12</v>
      </c>
      <c r="C10319" s="226">
        <v>15</v>
      </c>
      <c r="D10319" s="232">
        <f t="shared" si="1199"/>
        <v>46006</v>
      </c>
      <c r="E10319" s="234">
        <f t="shared" si="1198"/>
        <v>46006</v>
      </c>
      <c r="F10319" s="479"/>
      <c r="G10319" s="227" t="s">
        <v>1111</v>
      </c>
      <c r="H10319" s="228"/>
      <c r="I10319" s="228"/>
      <c r="J10319" s="229" t="s">
        <v>55</v>
      </c>
      <c r="K10319" s="230"/>
      <c r="L10319" s="230">
        <f>K10318</f>
        <v>1666013.46</v>
      </c>
    </row>
    <row r="10320" spans="1:14" ht="11.25" customHeight="1" x14ac:dyDescent="0.2">
      <c r="A10320" s="221">
        <v>2025</v>
      </c>
      <c r="B10320" s="221">
        <v>12</v>
      </c>
      <c r="C10320" s="221">
        <v>15</v>
      </c>
      <c r="D10320" s="231">
        <f t="shared" si="1199"/>
        <v>46006</v>
      </c>
      <c r="E10320" s="233">
        <f t="shared" ref="E10320:E10338" si="1200">DATE(A10320,B10320,C10320)</f>
        <v>46006</v>
      </c>
      <c r="F10320" s="478" t="s">
        <v>1889</v>
      </c>
      <c r="G10320" s="222" t="s">
        <v>1111</v>
      </c>
      <c r="H10320" s="223"/>
      <c r="I10320" s="223"/>
      <c r="J10320" s="224" t="s">
        <v>961</v>
      </c>
      <c r="K10320" s="225">
        <v>193878.93</v>
      </c>
      <c r="L10320" s="225"/>
    </row>
    <row r="10321" spans="1:14" ht="11.25" customHeight="1" x14ac:dyDescent="0.2">
      <c r="A10321" s="226">
        <v>2025</v>
      </c>
      <c r="B10321" s="226">
        <v>12</v>
      </c>
      <c r="C10321" s="226">
        <v>15</v>
      </c>
      <c r="D10321" s="232">
        <f t="shared" si="1199"/>
        <v>46006</v>
      </c>
      <c r="E10321" s="234">
        <f t="shared" si="1200"/>
        <v>46006</v>
      </c>
      <c r="F10321" s="479"/>
      <c r="G10321" s="227" t="s">
        <v>1111</v>
      </c>
      <c r="H10321" s="228"/>
      <c r="I10321" s="228"/>
      <c r="J10321" s="229" t="s">
        <v>55</v>
      </c>
      <c r="K10321" s="230"/>
      <c r="L10321" s="230">
        <f>K10320</f>
        <v>193878.93</v>
      </c>
    </row>
    <row r="10322" spans="1:14" ht="11.25" customHeight="1" x14ac:dyDescent="0.2">
      <c r="A10322" s="221">
        <v>2025</v>
      </c>
      <c r="B10322" s="221">
        <v>12</v>
      </c>
      <c r="C10322" s="221">
        <v>15</v>
      </c>
      <c r="D10322" s="231">
        <f t="shared" si="1199"/>
        <v>46006</v>
      </c>
      <c r="E10322" s="233">
        <f t="shared" si="1200"/>
        <v>46006</v>
      </c>
      <c r="F10322" s="478" t="s">
        <v>1670</v>
      </c>
      <c r="G10322" s="222" t="s">
        <v>1111</v>
      </c>
      <c r="H10322" s="223"/>
      <c r="I10322" s="223"/>
      <c r="J10322" s="224" t="s">
        <v>63</v>
      </c>
      <c r="K10322" s="225">
        <v>158</v>
      </c>
      <c r="L10322" s="225"/>
    </row>
    <row r="10323" spans="1:14" ht="11.25" customHeight="1" x14ac:dyDescent="0.2">
      <c r="A10323" s="226">
        <v>2025</v>
      </c>
      <c r="B10323" s="226">
        <v>12</v>
      </c>
      <c r="C10323" s="226">
        <v>15</v>
      </c>
      <c r="D10323" s="232">
        <f t="shared" si="1199"/>
        <v>46006</v>
      </c>
      <c r="E10323" s="234">
        <f t="shared" si="1200"/>
        <v>46006</v>
      </c>
      <c r="F10323" s="479"/>
      <c r="G10323" s="227" t="s">
        <v>1111</v>
      </c>
      <c r="H10323" s="228"/>
      <c r="I10323" s="228"/>
      <c r="J10323" s="229" t="s">
        <v>55</v>
      </c>
      <c r="K10323" s="230"/>
      <c r="L10323" s="230">
        <f>K10322</f>
        <v>158</v>
      </c>
    </row>
    <row r="10324" spans="1:14" ht="11.25" customHeight="1" x14ac:dyDescent="0.2">
      <c r="A10324" s="221">
        <v>2025</v>
      </c>
      <c r="B10324" s="221">
        <v>12</v>
      </c>
      <c r="C10324" s="221">
        <v>15</v>
      </c>
      <c r="D10324" s="221">
        <f t="shared" si="1199"/>
        <v>46006</v>
      </c>
      <c r="E10324" s="233">
        <f t="shared" si="1200"/>
        <v>46006</v>
      </c>
      <c r="F10324" s="478" t="s">
        <v>1886</v>
      </c>
      <c r="G10324" s="222" t="s">
        <v>86</v>
      </c>
      <c r="H10324" s="222"/>
      <c r="I10324" s="223"/>
      <c r="J10324" s="224" t="s">
        <v>80</v>
      </c>
      <c r="K10324" s="225">
        <v>795210.2</v>
      </c>
      <c r="L10324" s="225"/>
      <c r="N10324" s="263"/>
    </row>
    <row r="10325" spans="1:14" ht="11.25" customHeight="1" x14ac:dyDescent="0.2">
      <c r="A10325" s="164">
        <v>2025</v>
      </c>
      <c r="B10325" s="164">
        <v>12</v>
      </c>
      <c r="C10325" s="164">
        <v>15</v>
      </c>
      <c r="D10325" s="164">
        <f t="shared" si="1199"/>
        <v>46006</v>
      </c>
      <c r="E10325" s="235">
        <f t="shared" si="1200"/>
        <v>46006</v>
      </c>
      <c r="F10325" s="480"/>
      <c r="G10325" s="208" t="s">
        <v>86</v>
      </c>
      <c r="H10325" s="208"/>
      <c r="J10325" s="165" t="s">
        <v>960</v>
      </c>
      <c r="K10325" s="205">
        <v>4275.8999999999996</v>
      </c>
      <c r="L10325" s="205"/>
      <c r="M10325" s="263"/>
      <c r="N10325" s="263"/>
    </row>
    <row r="10326" spans="1:14" ht="11.25" customHeight="1" x14ac:dyDescent="0.2">
      <c r="A10326" s="164">
        <v>2025</v>
      </c>
      <c r="B10326" s="164">
        <v>12</v>
      </c>
      <c r="C10326" s="164">
        <v>15</v>
      </c>
      <c r="D10326" s="164">
        <f t="shared" si="1199"/>
        <v>46006</v>
      </c>
      <c r="E10326" s="235">
        <f t="shared" si="1200"/>
        <v>46006</v>
      </c>
      <c r="F10326" s="480"/>
      <c r="G10326" s="208" t="s">
        <v>86</v>
      </c>
      <c r="H10326" s="208"/>
      <c r="J10326" s="165" t="s">
        <v>199</v>
      </c>
      <c r="K10326" s="263">
        <v>780802.7</v>
      </c>
      <c r="L10326" s="205"/>
      <c r="M10326" s="263"/>
      <c r="N10326" s="263"/>
    </row>
    <row r="10327" spans="1:14" ht="11.25" customHeight="1" x14ac:dyDescent="0.2">
      <c r="A10327" s="164">
        <v>2025</v>
      </c>
      <c r="B10327" s="164">
        <v>12</v>
      </c>
      <c r="C10327" s="164">
        <v>15</v>
      </c>
      <c r="D10327" s="164">
        <f t="shared" si="1199"/>
        <v>46006</v>
      </c>
      <c r="E10327" s="235">
        <f t="shared" si="1200"/>
        <v>46006</v>
      </c>
      <c r="F10327" s="480"/>
      <c r="G10327" s="208" t="s">
        <v>86</v>
      </c>
      <c r="H10327" s="208"/>
      <c r="J10327" s="165" t="s">
        <v>200</v>
      </c>
      <c r="K10327" s="205"/>
      <c r="L10327" s="205">
        <v>58942.97</v>
      </c>
      <c r="M10327" s="263"/>
      <c r="N10327" s="263"/>
    </row>
    <row r="10328" spans="1:14" ht="11.25" customHeight="1" x14ac:dyDescent="0.2">
      <c r="A10328" s="226">
        <v>2025</v>
      </c>
      <c r="B10328" s="226">
        <v>12</v>
      </c>
      <c r="C10328" s="226">
        <v>15</v>
      </c>
      <c r="D10328" s="226">
        <f t="shared" si="1199"/>
        <v>46006</v>
      </c>
      <c r="E10328" s="234">
        <f t="shared" si="1200"/>
        <v>46006</v>
      </c>
      <c r="F10328" s="479"/>
      <c r="G10328" s="227" t="s">
        <v>86</v>
      </c>
      <c r="H10328" s="228"/>
      <c r="I10328" s="228"/>
      <c r="J10328" s="229" t="s">
        <v>80</v>
      </c>
      <c r="K10328" s="230"/>
      <c r="L10328" s="230">
        <v>1521345.83</v>
      </c>
      <c r="M10328" s="263"/>
      <c r="N10328" s="263"/>
    </row>
    <row r="10329" spans="1:14" ht="11.25" customHeight="1" x14ac:dyDescent="0.2">
      <c r="A10329" s="221">
        <v>2025</v>
      </c>
      <c r="B10329" s="221">
        <v>12</v>
      </c>
      <c r="C10329" s="221">
        <v>15</v>
      </c>
      <c r="D10329" s="231">
        <f t="shared" si="1199"/>
        <v>46006</v>
      </c>
      <c r="E10329" s="233">
        <f t="shared" si="1200"/>
        <v>46006</v>
      </c>
      <c r="F10329" s="478" t="s">
        <v>1673</v>
      </c>
      <c r="G10329" s="222" t="s">
        <v>1111</v>
      </c>
      <c r="H10329" s="223"/>
      <c r="I10329" s="223"/>
      <c r="J10329" s="224" t="s">
        <v>63</v>
      </c>
      <c r="K10329" s="225">
        <v>115</v>
      </c>
      <c r="L10329" s="225"/>
    </row>
    <row r="10330" spans="1:14" ht="11.25" customHeight="1" x14ac:dyDescent="0.2">
      <c r="A10330" s="226">
        <v>2025</v>
      </c>
      <c r="B10330" s="226">
        <v>12</v>
      </c>
      <c r="C10330" s="226">
        <v>15</v>
      </c>
      <c r="D10330" s="232">
        <f t="shared" si="1199"/>
        <v>46006</v>
      </c>
      <c r="E10330" s="234">
        <f t="shared" si="1200"/>
        <v>46006</v>
      </c>
      <c r="F10330" s="479"/>
      <c r="G10330" s="227" t="s">
        <v>1111</v>
      </c>
      <c r="H10330" s="228"/>
      <c r="I10330" s="228"/>
      <c r="J10330" s="229" t="s">
        <v>55</v>
      </c>
      <c r="K10330" s="230"/>
      <c r="L10330" s="230">
        <f>K10329</f>
        <v>115</v>
      </c>
    </row>
    <row r="10331" spans="1:14" ht="11.25" customHeight="1" x14ac:dyDescent="0.2">
      <c r="A10331" s="280">
        <v>2025</v>
      </c>
      <c r="B10331" s="280">
        <v>12</v>
      </c>
      <c r="C10331" s="280">
        <v>15</v>
      </c>
      <c r="D10331" s="281">
        <f t="shared" si="1199"/>
        <v>46006</v>
      </c>
      <c r="E10331" s="282">
        <f t="shared" si="1200"/>
        <v>46006</v>
      </c>
      <c r="F10331" s="472" t="s">
        <v>1744</v>
      </c>
      <c r="G10331" s="283" t="s">
        <v>86</v>
      </c>
      <c r="H10331" s="284"/>
      <c r="I10331" s="284"/>
      <c r="J10331" s="285" t="s">
        <v>131</v>
      </c>
      <c r="K10331" s="286">
        <v>2765.4757142857147</v>
      </c>
      <c r="L10331" s="286"/>
      <c r="M10331" s="401"/>
    </row>
    <row r="10332" spans="1:14" ht="11.25" customHeight="1" x14ac:dyDescent="0.2">
      <c r="A10332" s="287">
        <v>2025</v>
      </c>
      <c r="B10332" s="287">
        <v>12</v>
      </c>
      <c r="C10332" s="287">
        <v>15</v>
      </c>
      <c r="D10332" s="288">
        <f t="shared" si="1199"/>
        <v>46006</v>
      </c>
      <c r="E10332" s="289">
        <f t="shared" si="1200"/>
        <v>46006</v>
      </c>
      <c r="F10332" s="473"/>
      <c r="G10332" s="290" t="s">
        <v>86</v>
      </c>
      <c r="H10332" s="291"/>
      <c r="I10332" s="291"/>
      <c r="J10332" s="292" t="s">
        <v>174</v>
      </c>
      <c r="K10332" s="293"/>
      <c r="L10332" s="293">
        <f>K10331</f>
        <v>2765.4757142857147</v>
      </c>
    </row>
    <row r="10333" spans="1:14" ht="11.25" customHeight="1" x14ac:dyDescent="0.2">
      <c r="A10333" s="280">
        <v>2025</v>
      </c>
      <c r="B10333" s="280">
        <v>12</v>
      </c>
      <c r="C10333" s="280">
        <v>15</v>
      </c>
      <c r="D10333" s="281">
        <f t="shared" si="1199"/>
        <v>46006</v>
      </c>
      <c r="E10333" s="282">
        <f t="shared" si="1200"/>
        <v>46006</v>
      </c>
      <c r="F10333" s="472" t="s">
        <v>1584</v>
      </c>
      <c r="G10333" s="283" t="s">
        <v>86</v>
      </c>
      <c r="H10333" s="284"/>
      <c r="I10333" s="284"/>
      <c r="J10333" s="285" t="s">
        <v>131</v>
      </c>
      <c r="K10333" s="286">
        <v>1263.7357142857143</v>
      </c>
      <c r="L10333" s="286"/>
      <c r="M10333" s="401"/>
    </row>
    <row r="10334" spans="1:14" ht="11.25" customHeight="1" x14ac:dyDescent="0.2">
      <c r="A10334" s="287">
        <v>2025</v>
      </c>
      <c r="B10334" s="287">
        <v>12</v>
      </c>
      <c r="C10334" s="287">
        <v>15</v>
      </c>
      <c r="D10334" s="288">
        <f t="shared" si="1199"/>
        <v>46006</v>
      </c>
      <c r="E10334" s="289">
        <f t="shared" si="1200"/>
        <v>46006</v>
      </c>
      <c r="F10334" s="473"/>
      <c r="G10334" s="290" t="s">
        <v>86</v>
      </c>
      <c r="H10334" s="291"/>
      <c r="I10334" s="291"/>
      <c r="J10334" s="292" t="s">
        <v>174</v>
      </c>
      <c r="K10334" s="293"/>
      <c r="L10334" s="293">
        <f>K10333</f>
        <v>1263.7357142857143</v>
      </c>
    </row>
    <row r="10335" spans="1:14" ht="11.25" customHeight="1" x14ac:dyDescent="0.2">
      <c r="A10335" s="280">
        <v>2025</v>
      </c>
      <c r="B10335" s="280">
        <v>12</v>
      </c>
      <c r="C10335" s="280">
        <v>15</v>
      </c>
      <c r="D10335" s="281">
        <f t="shared" si="1199"/>
        <v>46006</v>
      </c>
      <c r="E10335" s="282">
        <f t="shared" si="1200"/>
        <v>46006</v>
      </c>
      <c r="F10335" s="472" t="s">
        <v>1955</v>
      </c>
      <c r="G10335" s="283" t="s">
        <v>86</v>
      </c>
      <c r="H10335" s="284"/>
      <c r="I10335" s="284"/>
      <c r="J10335" s="285" t="s">
        <v>1978</v>
      </c>
      <c r="K10335" s="286">
        <v>6185.4395604395604</v>
      </c>
      <c r="L10335" s="286"/>
      <c r="M10335" s="401"/>
    </row>
    <row r="10336" spans="1:14" ht="11.25" customHeight="1" x14ac:dyDescent="0.2">
      <c r="A10336" s="287">
        <v>2025</v>
      </c>
      <c r="B10336" s="287">
        <v>12</v>
      </c>
      <c r="C10336" s="287">
        <v>15</v>
      </c>
      <c r="D10336" s="288">
        <f t="shared" si="1199"/>
        <v>46006</v>
      </c>
      <c r="E10336" s="289">
        <f t="shared" si="1200"/>
        <v>46006</v>
      </c>
      <c r="F10336" s="473"/>
      <c r="G10336" s="290" t="s">
        <v>86</v>
      </c>
      <c r="H10336" s="291"/>
      <c r="I10336" s="291"/>
      <c r="J10336" s="292" t="s">
        <v>1955</v>
      </c>
      <c r="K10336" s="293"/>
      <c r="L10336" s="293">
        <f>K10335</f>
        <v>6185.4395604395604</v>
      </c>
    </row>
    <row r="10337" spans="1:14" ht="11.25" customHeight="1" x14ac:dyDescent="0.2">
      <c r="A10337" s="341">
        <v>2025</v>
      </c>
      <c r="B10337" s="341">
        <v>12</v>
      </c>
      <c r="C10337" s="341">
        <v>15</v>
      </c>
      <c r="D10337" s="328">
        <f t="shared" si="1199"/>
        <v>46006</v>
      </c>
      <c r="E10337" s="329">
        <f t="shared" si="1200"/>
        <v>46006</v>
      </c>
      <c r="F10337" s="474" t="s">
        <v>1767</v>
      </c>
      <c r="G10337" s="330" t="s">
        <v>86</v>
      </c>
      <c r="H10337" s="332"/>
      <c r="I10337" s="332"/>
      <c r="J10337" s="342" t="s">
        <v>67</v>
      </c>
      <c r="K10337" s="343">
        <v>747.66063208333333</v>
      </c>
      <c r="L10337" s="343"/>
    </row>
    <row r="10338" spans="1:14" ht="11.25" customHeight="1" x14ac:dyDescent="0.2">
      <c r="A10338" s="344">
        <v>2025</v>
      </c>
      <c r="B10338" s="344">
        <v>12</v>
      </c>
      <c r="C10338" s="344">
        <v>15</v>
      </c>
      <c r="D10338" s="337">
        <f t="shared" si="1199"/>
        <v>46006</v>
      </c>
      <c r="E10338" s="338">
        <f t="shared" si="1200"/>
        <v>46006</v>
      </c>
      <c r="F10338" s="475"/>
      <c r="G10338" s="339" t="s">
        <v>86</v>
      </c>
      <c r="H10338" s="340"/>
      <c r="I10338" s="340"/>
      <c r="J10338" s="345" t="s">
        <v>174</v>
      </c>
      <c r="K10338" s="346"/>
      <c r="L10338" s="346">
        <f>K10337</f>
        <v>747.66063208333333</v>
      </c>
    </row>
    <row r="10339" spans="1:14" ht="11.25" customHeight="1" x14ac:dyDescent="0.2">
      <c r="A10339" s="358">
        <v>2025</v>
      </c>
      <c r="B10339" s="358">
        <v>12</v>
      </c>
      <c r="C10339" s="358">
        <v>15</v>
      </c>
      <c r="D10339" s="312">
        <f t="shared" si="1199"/>
        <v>46006</v>
      </c>
      <c r="E10339" s="313">
        <f>DATE(A10339,B10339,C10339)</f>
        <v>46006</v>
      </c>
      <c r="F10339" s="482" t="s">
        <v>1627</v>
      </c>
      <c r="G10339" s="314" t="s">
        <v>86</v>
      </c>
      <c r="H10339" s="324"/>
      <c r="I10339" s="324"/>
      <c r="J10339" s="364" t="s">
        <v>1613</v>
      </c>
      <c r="K10339" s="365"/>
      <c r="L10339" s="365"/>
      <c r="M10339" s="156">
        <f>BS!$I$12</f>
        <v>0</v>
      </c>
    </row>
    <row r="10340" spans="1:14" ht="11.25" customHeight="1" x14ac:dyDescent="0.2">
      <c r="A10340" s="320">
        <v>2025</v>
      </c>
      <c r="B10340" s="320">
        <v>12</v>
      </c>
      <c r="C10340" s="320">
        <v>15</v>
      </c>
      <c r="D10340" s="323">
        <f t="shared" si="1199"/>
        <v>46006</v>
      </c>
      <c r="E10340" s="321">
        <f t="shared" ref="E10340" si="1201">DATE(A10340,B10340,C10340)</f>
        <v>46006</v>
      </c>
      <c r="F10340" s="483"/>
      <c r="G10340" s="322" t="s">
        <v>86</v>
      </c>
      <c r="H10340" s="325"/>
      <c r="I10340" s="325"/>
      <c r="J10340" s="366" t="s">
        <v>1621</v>
      </c>
      <c r="K10340" s="367"/>
      <c r="L10340" s="367">
        <f>K10339</f>
        <v>0</v>
      </c>
    </row>
    <row r="10341" spans="1:14" ht="11.25" customHeight="1" x14ac:dyDescent="0.2">
      <c r="A10341" s="358">
        <v>2025</v>
      </c>
      <c r="B10341" s="358">
        <v>12</v>
      </c>
      <c r="C10341" s="358">
        <v>15</v>
      </c>
      <c r="D10341" s="312">
        <f t="shared" si="1199"/>
        <v>46006</v>
      </c>
      <c r="E10341" s="313">
        <f>DATE(A10341,B10341,C10341)</f>
        <v>46006</v>
      </c>
      <c r="F10341" s="482" t="s">
        <v>1713</v>
      </c>
      <c r="G10341" s="314" t="s">
        <v>86</v>
      </c>
      <c r="H10341" s="324"/>
      <c r="I10341" s="324"/>
      <c r="J10341" s="364" t="s">
        <v>1622</v>
      </c>
      <c r="K10341" s="365">
        <v>196.63700000022072</v>
      </c>
      <c r="L10341" s="365"/>
      <c r="M10341" s="447">
        <f>BS!$I$15</f>
        <v>0</v>
      </c>
      <c r="N10341" s="166"/>
    </row>
    <row r="10342" spans="1:14" ht="11.25" customHeight="1" x14ac:dyDescent="0.2">
      <c r="A10342" s="320">
        <v>2025</v>
      </c>
      <c r="B10342" s="320">
        <v>12</v>
      </c>
      <c r="C10342" s="320">
        <v>15</v>
      </c>
      <c r="D10342" s="323">
        <f t="shared" si="1199"/>
        <v>46006</v>
      </c>
      <c r="E10342" s="321">
        <f t="shared" ref="E10342:E10366" si="1202">DATE(A10342,B10342,C10342)</f>
        <v>46006</v>
      </c>
      <c r="F10342" s="483"/>
      <c r="G10342" s="322" t="s">
        <v>86</v>
      </c>
      <c r="H10342" s="325"/>
      <c r="I10342" s="325"/>
      <c r="J10342" s="366" t="s">
        <v>1614</v>
      </c>
      <c r="K10342" s="367"/>
      <c r="L10342" s="367">
        <f>K10341</f>
        <v>196.63700000022072</v>
      </c>
    </row>
    <row r="10343" spans="1:14" ht="11.25" customHeight="1" x14ac:dyDescent="0.2">
      <c r="A10343" s="236">
        <v>2025</v>
      </c>
      <c r="B10343" s="236">
        <v>12</v>
      </c>
      <c r="C10343" s="236">
        <v>15</v>
      </c>
      <c r="D10343" s="237">
        <f t="shared" si="1199"/>
        <v>46006</v>
      </c>
      <c r="E10343" s="238">
        <f t="shared" si="1202"/>
        <v>46006</v>
      </c>
      <c r="F10343" s="476" t="s">
        <v>1118</v>
      </c>
      <c r="G10343" s="239" t="s">
        <v>86</v>
      </c>
      <c r="H10343" s="239"/>
      <c r="I10343" s="240"/>
      <c r="J10343" s="241" t="s">
        <v>82</v>
      </c>
      <c r="K10343" s="242">
        <v>1167012.3699999154</v>
      </c>
      <c r="L10343" s="242"/>
      <c r="M10343" s="156">
        <f>BS!$I$8</f>
        <v>0</v>
      </c>
    </row>
    <row r="10344" spans="1:14" ht="11.25" customHeight="1" x14ac:dyDescent="0.2">
      <c r="A10344" s="243">
        <v>2025</v>
      </c>
      <c r="B10344" s="243">
        <v>12</v>
      </c>
      <c r="C10344" s="243">
        <v>15</v>
      </c>
      <c r="D10344" s="248">
        <f t="shared" si="1199"/>
        <v>46006</v>
      </c>
      <c r="E10344" s="249">
        <f t="shared" si="1202"/>
        <v>46006</v>
      </c>
      <c r="F10344" s="477"/>
      <c r="G10344" s="244" t="s">
        <v>86</v>
      </c>
      <c r="H10344" s="244"/>
      <c r="I10344" s="245"/>
      <c r="J10344" s="246" t="s">
        <v>98</v>
      </c>
      <c r="K10344" s="247"/>
      <c r="L10344" s="247">
        <f>K10343</f>
        <v>1167012.3699999154</v>
      </c>
    </row>
    <row r="10345" spans="1:14" ht="11.25" customHeight="1" x14ac:dyDescent="0.2">
      <c r="A10345" s="236">
        <v>2025</v>
      </c>
      <c r="B10345" s="236">
        <v>12</v>
      </c>
      <c r="C10345" s="236">
        <v>15</v>
      </c>
      <c r="D10345" s="237">
        <f t="shared" si="1199"/>
        <v>46006</v>
      </c>
      <c r="E10345" s="238">
        <f t="shared" si="1202"/>
        <v>46006</v>
      </c>
      <c r="F10345" s="476" t="s">
        <v>1120</v>
      </c>
      <c r="G10345" s="239" t="s">
        <v>86</v>
      </c>
      <c r="H10345" s="239"/>
      <c r="I10345" s="240"/>
      <c r="J10345" s="241" t="s">
        <v>87</v>
      </c>
      <c r="K10345" s="242">
        <v>392.46467817896388</v>
      </c>
      <c r="L10345" s="242"/>
      <c r="M10345" s="401"/>
    </row>
    <row r="10346" spans="1:14" ht="11.25" customHeight="1" x14ac:dyDescent="0.2">
      <c r="A10346" s="243">
        <v>2025</v>
      </c>
      <c r="B10346" s="243">
        <v>12</v>
      </c>
      <c r="C10346" s="243">
        <v>15</v>
      </c>
      <c r="D10346" s="248">
        <f t="shared" si="1199"/>
        <v>46006</v>
      </c>
      <c r="E10346" s="249">
        <f t="shared" si="1202"/>
        <v>46006</v>
      </c>
      <c r="F10346" s="477"/>
      <c r="G10346" s="244" t="s">
        <v>86</v>
      </c>
      <c r="H10346" s="244"/>
      <c r="I10346" s="245"/>
      <c r="J10346" s="246" t="s">
        <v>64</v>
      </c>
      <c r="K10346" s="247"/>
      <c r="L10346" s="247">
        <f>K10345</f>
        <v>392.46467817896388</v>
      </c>
    </row>
    <row r="10347" spans="1:14" ht="11.25" customHeight="1" x14ac:dyDescent="0.2">
      <c r="A10347" s="236">
        <v>2025</v>
      </c>
      <c r="B10347" s="236">
        <v>12</v>
      </c>
      <c r="C10347" s="236">
        <v>15</v>
      </c>
      <c r="D10347" s="237">
        <f t="shared" si="1199"/>
        <v>46006</v>
      </c>
      <c r="E10347" s="238">
        <f t="shared" si="1202"/>
        <v>46006</v>
      </c>
      <c r="F10347" s="476" t="s">
        <v>1121</v>
      </c>
      <c r="G10347" s="239" t="s">
        <v>86</v>
      </c>
      <c r="H10347" s="239"/>
      <c r="I10347" s="240"/>
      <c r="J10347" s="241" t="s">
        <v>89</v>
      </c>
      <c r="K10347" s="242">
        <f>M10347</f>
        <v>13085.915872418465</v>
      </c>
      <c r="L10347" s="242"/>
      <c r="M10347" s="448">
        <v>13085.915872418465</v>
      </c>
    </row>
    <row r="10348" spans="1:14" ht="11.25" customHeight="1" x14ac:dyDescent="0.2">
      <c r="A10348" s="243">
        <v>2025</v>
      </c>
      <c r="B10348" s="243">
        <v>12</v>
      </c>
      <c r="C10348" s="243">
        <v>15</v>
      </c>
      <c r="D10348" s="248">
        <f t="shared" si="1199"/>
        <v>46006</v>
      </c>
      <c r="E10348" s="249">
        <f t="shared" si="1202"/>
        <v>46006</v>
      </c>
      <c r="F10348" s="477"/>
      <c r="G10348" s="244" t="s">
        <v>86</v>
      </c>
      <c r="H10348" s="244"/>
      <c r="I10348" s="245"/>
      <c r="J10348" s="246" t="s">
        <v>50</v>
      </c>
      <c r="K10348" s="247"/>
      <c r="L10348" s="247">
        <f>K10347</f>
        <v>13085.915872418465</v>
      </c>
      <c r="M10348" s="448">
        <v>619.95513428026402</v>
      </c>
    </row>
    <row r="10349" spans="1:14" ht="11.25" customHeight="1" x14ac:dyDescent="0.2">
      <c r="A10349" s="236">
        <v>2025</v>
      </c>
      <c r="B10349" s="236">
        <v>12</v>
      </c>
      <c r="C10349" s="236">
        <v>15</v>
      </c>
      <c r="D10349" s="237">
        <f t="shared" si="1199"/>
        <v>46006</v>
      </c>
      <c r="E10349" s="238">
        <f t="shared" si="1202"/>
        <v>46006</v>
      </c>
      <c r="F10349" s="476" t="s">
        <v>1122</v>
      </c>
      <c r="G10349" s="239" t="s">
        <v>86</v>
      </c>
      <c r="H10349" s="239"/>
      <c r="I10349" s="240"/>
      <c r="J10349" s="241" t="s">
        <v>91</v>
      </c>
      <c r="K10349" s="242">
        <f>M10348</f>
        <v>619.95513428026402</v>
      </c>
      <c r="L10349" s="242"/>
    </row>
    <row r="10350" spans="1:14" ht="11.25" customHeight="1" x14ac:dyDescent="0.2">
      <c r="A10350" s="243">
        <v>2025</v>
      </c>
      <c r="B10350" s="243">
        <v>12</v>
      </c>
      <c r="C10350" s="243">
        <v>15</v>
      </c>
      <c r="D10350" s="248">
        <f t="shared" si="1199"/>
        <v>46006</v>
      </c>
      <c r="E10350" s="249">
        <f t="shared" si="1202"/>
        <v>46006</v>
      </c>
      <c r="F10350" s="477"/>
      <c r="G10350" s="244" t="s">
        <v>86</v>
      </c>
      <c r="H10350" s="244"/>
      <c r="I10350" s="245"/>
      <c r="J10350" s="246" t="s">
        <v>51</v>
      </c>
      <c r="K10350" s="247"/>
      <c r="L10350" s="247">
        <f>K10349</f>
        <v>619.95513428026402</v>
      </c>
    </row>
    <row r="10351" spans="1:14" ht="11.25" customHeight="1" x14ac:dyDescent="0.2">
      <c r="A10351" s="221">
        <v>2025</v>
      </c>
      <c r="B10351" s="221">
        <v>12</v>
      </c>
      <c r="C10351" s="221">
        <v>17</v>
      </c>
      <c r="D10351" s="221">
        <f t="shared" si="1199"/>
        <v>46008</v>
      </c>
      <c r="E10351" s="233">
        <f t="shared" si="1202"/>
        <v>46008</v>
      </c>
      <c r="F10351" s="478" t="s">
        <v>1886</v>
      </c>
      <c r="G10351" s="222" t="s">
        <v>86</v>
      </c>
      <c r="H10351" s="222"/>
      <c r="I10351" s="223"/>
      <c r="J10351" s="224" t="s">
        <v>80</v>
      </c>
      <c r="K10351" s="225">
        <v>1137298.2</v>
      </c>
      <c r="L10351" s="225"/>
      <c r="N10351" s="263"/>
    </row>
    <row r="10352" spans="1:14" ht="11.25" customHeight="1" x14ac:dyDescent="0.2">
      <c r="A10352" s="164">
        <v>2025</v>
      </c>
      <c r="B10352" s="164">
        <v>12</v>
      </c>
      <c r="C10352" s="164">
        <v>17</v>
      </c>
      <c r="D10352" s="164">
        <f t="shared" si="1199"/>
        <v>46008</v>
      </c>
      <c r="E10352" s="235">
        <f t="shared" si="1202"/>
        <v>46008</v>
      </c>
      <c r="F10352" s="480"/>
      <c r="G10352" s="208" t="s">
        <v>86</v>
      </c>
      <c r="H10352" s="208"/>
      <c r="J10352" s="165" t="s">
        <v>960</v>
      </c>
      <c r="K10352" s="205">
        <v>2153.6999999999998</v>
      </c>
      <c r="L10352" s="205"/>
      <c r="M10352" s="263"/>
      <c r="N10352" s="263"/>
    </row>
    <row r="10353" spans="1:14" ht="11.25" customHeight="1" x14ac:dyDescent="0.2">
      <c r="A10353" s="164">
        <v>2025</v>
      </c>
      <c r="B10353" s="164">
        <v>12</v>
      </c>
      <c r="C10353" s="164">
        <v>17</v>
      </c>
      <c r="D10353" s="164">
        <f t="shared" si="1199"/>
        <v>46008</v>
      </c>
      <c r="E10353" s="235">
        <f t="shared" si="1202"/>
        <v>46008</v>
      </c>
      <c r="F10353" s="480"/>
      <c r="G10353" s="208" t="s">
        <v>86</v>
      </c>
      <c r="H10353" s="208"/>
      <c r="J10353" s="165" t="s">
        <v>961</v>
      </c>
      <c r="K10353" s="263"/>
      <c r="L10353" s="205">
        <v>1080251.8999999999</v>
      </c>
      <c r="M10353" s="263"/>
      <c r="N10353" s="263"/>
    </row>
    <row r="10354" spans="1:14" ht="11.25" customHeight="1" x14ac:dyDescent="0.2">
      <c r="A10354" s="164">
        <v>2025</v>
      </c>
      <c r="B10354" s="164">
        <v>12</v>
      </c>
      <c r="C10354" s="164">
        <v>17</v>
      </c>
      <c r="D10354" s="164">
        <f t="shared" si="1199"/>
        <v>46008</v>
      </c>
      <c r="E10354" s="235">
        <f t="shared" si="1202"/>
        <v>46008</v>
      </c>
      <c r="F10354" s="480"/>
      <c r="G10354" s="208" t="s">
        <v>86</v>
      </c>
      <c r="H10354" s="208"/>
      <c r="J10354" s="165" t="s">
        <v>200</v>
      </c>
      <c r="K10354" s="205"/>
      <c r="L10354" s="205">
        <v>4930.83</v>
      </c>
      <c r="M10354" s="263"/>
      <c r="N10354" s="263"/>
    </row>
    <row r="10355" spans="1:14" ht="11.25" customHeight="1" x14ac:dyDescent="0.2">
      <c r="A10355" s="226">
        <v>2025</v>
      </c>
      <c r="B10355" s="226">
        <v>12</v>
      </c>
      <c r="C10355" s="226">
        <v>17</v>
      </c>
      <c r="D10355" s="226">
        <f t="shared" si="1199"/>
        <v>46008</v>
      </c>
      <c r="E10355" s="234">
        <f t="shared" si="1202"/>
        <v>46008</v>
      </c>
      <c r="F10355" s="479"/>
      <c r="G10355" s="227" t="s">
        <v>86</v>
      </c>
      <c r="H10355" s="228"/>
      <c r="I10355" s="228"/>
      <c r="J10355" s="229" t="s">
        <v>80</v>
      </c>
      <c r="K10355" s="230"/>
      <c r="L10355" s="230">
        <v>54269.17</v>
      </c>
      <c r="M10355" s="263"/>
      <c r="N10355" s="263"/>
    </row>
    <row r="10356" spans="1:14" ht="11.25" customHeight="1" x14ac:dyDescent="0.2">
      <c r="A10356" s="221">
        <v>2025</v>
      </c>
      <c r="B10356" s="221">
        <v>12</v>
      </c>
      <c r="C10356" s="221">
        <v>17</v>
      </c>
      <c r="D10356" s="231">
        <f t="shared" si="1199"/>
        <v>46008</v>
      </c>
      <c r="E10356" s="233">
        <f t="shared" si="1202"/>
        <v>46008</v>
      </c>
      <c r="F10356" s="478" t="s">
        <v>802</v>
      </c>
      <c r="G10356" s="222" t="s">
        <v>1111</v>
      </c>
      <c r="H10356" s="223"/>
      <c r="I10356" s="223"/>
      <c r="J10356" s="224" t="s">
        <v>55</v>
      </c>
      <c r="K10356" s="167">
        <v>5000</v>
      </c>
      <c r="L10356" s="225"/>
    </row>
    <row r="10357" spans="1:14" ht="11.25" customHeight="1" x14ac:dyDescent="0.2">
      <c r="A10357" s="164">
        <v>2025</v>
      </c>
      <c r="B10357" s="164">
        <v>12</v>
      </c>
      <c r="C10357" s="164">
        <v>17</v>
      </c>
      <c r="D10357" s="156">
        <f t="shared" si="1199"/>
        <v>46008</v>
      </c>
      <c r="E10357" s="235">
        <f t="shared" si="1202"/>
        <v>46008</v>
      </c>
      <c r="F10357" s="480"/>
      <c r="G10357" s="208" t="s">
        <v>1111</v>
      </c>
      <c r="J10357" s="165" t="s">
        <v>14</v>
      </c>
      <c r="L10357" s="205">
        <v>4200</v>
      </c>
    </row>
    <row r="10358" spans="1:14" ht="11.25" customHeight="1" x14ac:dyDescent="0.2">
      <c r="A10358" s="226">
        <v>2025</v>
      </c>
      <c r="B10358" s="226">
        <v>12</v>
      </c>
      <c r="C10358" s="226">
        <v>17</v>
      </c>
      <c r="D10358" s="232">
        <f t="shared" si="1199"/>
        <v>46008</v>
      </c>
      <c r="E10358" s="234">
        <f t="shared" si="1202"/>
        <v>46008</v>
      </c>
      <c r="F10358" s="479"/>
      <c r="G10358" s="227" t="s">
        <v>1111</v>
      </c>
      <c r="H10358" s="228"/>
      <c r="I10358" s="228"/>
      <c r="J10358" s="229" t="s">
        <v>1112</v>
      </c>
      <c r="K10358" s="230"/>
      <c r="L10358" s="230">
        <v>800</v>
      </c>
    </row>
    <row r="10359" spans="1:14" ht="11.25" customHeight="1" x14ac:dyDescent="0.2">
      <c r="A10359" s="280">
        <v>2025</v>
      </c>
      <c r="B10359" s="280">
        <v>12</v>
      </c>
      <c r="C10359" s="280">
        <v>17</v>
      </c>
      <c r="D10359" s="281">
        <f t="shared" si="1199"/>
        <v>46008</v>
      </c>
      <c r="E10359" s="282">
        <f t="shared" si="1202"/>
        <v>46008</v>
      </c>
      <c r="F10359" s="472" t="s">
        <v>1744</v>
      </c>
      <c r="G10359" s="283" t="s">
        <v>86</v>
      </c>
      <c r="H10359" s="284"/>
      <c r="I10359" s="284"/>
      <c r="J10359" s="285" t="s">
        <v>131</v>
      </c>
      <c r="K10359" s="286">
        <v>5530.9514285714295</v>
      </c>
      <c r="L10359" s="286"/>
      <c r="M10359" s="401"/>
    </row>
    <row r="10360" spans="1:14" ht="11.25" customHeight="1" x14ac:dyDescent="0.2">
      <c r="A10360" s="287">
        <v>2025</v>
      </c>
      <c r="B10360" s="287">
        <v>12</v>
      </c>
      <c r="C10360" s="287">
        <v>17</v>
      </c>
      <c r="D10360" s="288">
        <f t="shared" si="1199"/>
        <v>46008</v>
      </c>
      <c r="E10360" s="289">
        <f t="shared" si="1202"/>
        <v>46008</v>
      </c>
      <c r="F10360" s="473"/>
      <c r="G10360" s="290" t="s">
        <v>86</v>
      </c>
      <c r="H10360" s="291"/>
      <c r="I10360" s="291"/>
      <c r="J10360" s="292" t="s">
        <v>174</v>
      </c>
      <c r="K10360" s="293"/>
      <c r="L10360" s="293">
        <f>K10359</f>
        <v>5530.9514285714295</v>
      </c>
    </row>
    <row r="10361" spans="1:14" ht="11.25" customHeight="1" x14ac:dyDescent="0.2">
      <c r="A10361" s="280">
        <v>2025</v>
      </c>
      <c r="B10361" s="280">
        <v>12</v>
      </c>
      <c r="C10361" s="280">
        <v>17</v>
      </c>
      <c r="D10361" s="281">
        <f t="shared" si="1199"/>
        <v>46008</v>
      </c>
      <c r="E10361" s="282">
        <f t="shared" si="1202"/>
        <v>46008</v>
      </c>
      <c r="F10361" s="472" t="s">
        <v>1584</v>
      </c>
      <c r="G10361" s="283" t="s">
        <v>86</v>
      </c>
      <c r="H10361" s="284"/>
      <c r="I10361" s="284"/>
      <c r="J10361" s="285" t="s">
        <v>131</v>
      </c>
      <c r="K10361" s="286">
        <v>2527.4714285714285</v>
      </c>
      <c r="L10361" s="286"/>
      <c r="M10361" s="401"/>
    </row>
    <row r="10362" spans="1:14" ht="11.25" customHeight="1" x14ac:dyDescent="0.2">
      <c r="A10362" s="287">
        <v>2025</v>
      </c>
      <c r="B10362" s="287">
        <v>12</v>
      </c>
      <c r="C10362" s="287">
        <v>17</v>
      </c>
      <c r="D10362" s="288">
        <f t="shared" si="1199"/>
        <v>46008</v>
      </c>
      <c r="E10362" s="289">
        <f t="shared" si="1202"/>
        <v>46008</v>
      </c>
      <c r="F10362" s="473"/>
      <c r="G10362" s="290" t="s">
        <v>86</v>
      </c>
      <c r="H10362" s="291"/>
      <c r="I10362" s="291"/>
      <c r="J10362" s="292" t="s">
        <v>174</v>
      </c>
      <c r="K10362" s="293"/>
      <c r="L10362" s="293">
        <f>K10361</f>
        <v>2527.4714285714285</v>
      </c>
    </row>
    <row r="10363" spans="1:14" ht="11.25" customHeight="1" x14ac:dyDescent="0.2">
      <c r="A10363" s="280">
        <v>2025</v>
      </c>
      <c r="B10363" s="280">
        <v>12</v>
      </c>
      <c r="C10363" s="280">
        <v>17</v>
      </c>
      <c r="D10363" s="281">
        <f t="shared" si="1199"/>
        <v>46008</v>
      </c>
      <c r="E10363" s="282">
        <f t="shared" si="1202"/>
        <v>46008</v>
      </c>
      <c r="F10363" s="472" t="s">
        <v>1955</v>
      </c>
      <c r="G10363" s="283" t="s">
        <v>86</v>
      </c>
      <c r="H10363" s="284"/>
      <c r="I10363" s="284"/>
      <c r="J10363" s="285" t="s">
        <v>1978</v>
      </c>
      <c r="K10363" s="286">
        <v>12370.879120879121</v>
      </c>
      <c r="L10363" s="286"/>
      <c r="M10363" s="401"/>
    </row>
    <row r="10364" spans="1:14" ht="11.25" customHeight="1" x14ac:dyDescent="0.2">
      <c r="A10364" s="287">
        <v>2025</v>
      </c>
      <c r="B10364" s="287">
        <v>12</v>
      </c>
      <c r="C10364" s="287">
        <v>17</v>
      </c>
      <c r="D10364" s="288">
        <f t="shared" si="1199"/>
        <v>46008</v>
      </c>
      <c r="E10364" s="289">
        <f t="shared" si="1202"/>
        <v>46008</v>
      </c>
      <c r="F10364" s="473"/>
      <c r="G10364" s="290" t="s">
        <v>86</v>
      </c>
      <c r="H10364" s="291"/>
      <c r="I10364" s="291"/>
      <c r="J10364" s="292" t="s">
        <v>1955</v>
      </c>
      <c r="K10364" s="293"/>
      <c r="L10364" s="293">
        <f>K10363</f>
        <v>12370.879120879121</v>
      </c>
    </row>
    <row r="10365" spans="1:14" ht="11.25" customHeight="1" x14ac:dyDescent="0.2">
      <c r="A10365" s="341">
        <v>2025</v>
      </c>
      <c r="B10365" s="341">
        <v>12</v>
      </c>
      <c r="C10365" s="341">
        <v>17</v>
      </c>
      <c r="D10365" s="328">
        <f t="shared" si="1199"/>
        <v>46008</v>
      </c>
      <c r="E10365" s="329">
        <f t="shared" si="1202"/>
        <v>46008</v>
      </c>
      <c r="F10365" s="474" t="s">
        <v>1767</v>
      </c>
      <c r="G10365" s="330" t="s">
        <v>86</v>
      </c>
      <c r="H10365" s="332"/>
      <c r="I10365" s="332"/>
      <c r="J10365" s="342" t="s">
        <v>67</v>
      </c>
      <c r="K10365" s="343">
        <v>1495.32</v>
      </c>
      <c r="L10365" s="343"/>
    </row>
    <row r="10366" spans="1:14" ht="11.25" customHeight="1" x14ac:dyDescent="0.2">
      <c r="A10366" s="344">
        <v>2025</v>
      </c>
      <c r="B10366" s="344">
        <v>12</v>
      </c>
      <c r="C10366" s="344">
        <v>17</v>
      </c>
      <c r="D10366" s="337">
        <f t="shared" si="1199"/>
        <v>46008</v>
      </c>
      <c r="E10366" s="338">
        <f t="shared" si="1202"/>
        <v>46008</v>
      </c>
      <c r="F10366" s="475"/>
      <c r="G10366" s="339" t="s">
        <v>86</v>
      </c>
      <c r="H10366" s="340"/>
      <c r="I10366" s="340"/>
      <c r="J10366" s="345" t="s">
        <v>174</v>
      </c>
      <c r="K10366" s="346"/>
      <c r="L10366" s="346">
        <f>K10365</f>
        <v>1495.32</v>
      </c>
    </row>
    <row r="10367" spans="1:14" ht="11.25" customHeight="1" x14ac:dyDescent="0.2">
      <c r="A10367" s="358">
        <v>2025</v>
      </c>
      <c r="B10367" s="358">
        <v>12</v>
      </c>
      <c r="C10367" s="358">
        <v>17</v>
      </c>
      <c r="D10367" s="312">
        <f t="shared" si="1199"/>
        <v>46008</v>
      </c>
      <c r="E10367" s="313">
        <f>DATE(A10367,B10367,C10367)</f>
        <v>46008</v>
      </c>
      <c r="F10367" s="482" t="s">
        <v>1627</v>
      </c>
      <c r="G10367" s="314" t="s">
        <v>86</v>
      </c>
      <c r="H10367" s="324"/>
      <c r="I10367" s="324"/>
      <c r="J10367" s="364" t="s">
        <v>1613</v>
      </c>
      <c r="K10367" s="365"/>
      <c r="L10367" s="365"/>
      <c r="M10367" s="156">
        <f>BS!$I$12</f>
        <v>0</v>
      </c>
    </row>
    <row r="10368" spans="1:14" ht="11.25" customHeight="1" x14ac:dyDescent="0.2">
      <c r="A10368" s="320">
        <v>2025</v>
      </c>
      <c r="B10368" s="320">
        <v>12</v>
      </c>
      <c r="C10368" s="320">
        <v>17</v>
      </c>
      <c r="D10368" s="323">
        <f t="shared" si="1199"/>
        <v>46008</v>
      </c>
      <c r="E10368" s="321">
        <f t="shared" ref="E10368" si="1203">DATE(A10368,B10368,C10368)</f>
        <v>46008</v>
      </c>
      <c r="F10368" s="483"/>
      <c r="G10368" s="322" t="s">
        <v>86</v>
      </c>
      <c r="H10368" s="325"/>
      <c r="I10368" s="325"/>
      <c r="J10368" s="366" t="s">
        <v>1621</v>
      </c>
      <c r="K10368" s="367"/>
      <c r="L10368" s="367">
        <f>K10367</f>
        <v>0</v>
      </c>
    </row>
    <row r="10369" spans="1:14" ht="11.25" customHeight="1" x14ac:dyDescent="0.2">
      <c r="A10369" s="358">
        <v>2025</v>
      </c>
      <c r="B10369" s="358">
        <v>12</v>
      </c>
      <c r="C10369" s="358">
        <v>17</v>
      </c>
      <c r="D10369" s="312">
        <f t="shared" si="1199"/>
        <v>46008</v>
      </c>
      <c r="E10369" s="313">
        <f>DATE(A10369,B10369,C10369)</f>
        <v>46008</v>
      </c>
      <c r="F10369" s="482" t="s">
        <v>1713</v>
      </c>
      <c r="G10369" s="314" t="s">
        <v>86</v>
      </c>
      <c r="H10369" s="324"/>
      <c r="I10369" s="324"/>
      <c r="J10369" s="364" t="s">
        <v>1622</v>
      </c>
      <c r="K10369" s="365">
        <v>392.57400000002235</v>
      </c>
      <c r="L10369" s="365"/>
      <c r="M10369" s="447">
        <f>BS!$I$15</f>
        <v>0</v>
      </c>
      <c r="N10369" s="166"/>
    </row>
    <row r="10370" spans="1:14" ht="11.25" customHeight="1" x14ac:dyDescent="0.2">
      <c r="A10370" s="320">
        <v>2025</v>
      </c>
      <c r="B10370" s="320">
        <v>12</v>
      </c>
      <c r="C10370" s="320">
        <v>17</v>
      </c>
      <c r="D10370" s="323">
        <f t="shared" si="1199"/>
        <v>46008</v>
      </c>
      <c r="E10370" s="321">
        <f t="shared" ref="E10370:E10405" si="1204">DATE(A10370,B10370,C10370)</f>
        <v>46008</v>
      </c>
      <c r="F10370" s="483"/>
      <c r="G10370" s="322" t="s">
        <v>86</v>
      </c>
      <c r="H10370" s="325"/>
      <c r="I10370" s="325"/>
      <c r="J10370" s="366" t="s">
        <v>1614</v>
      </c>
      <c r="K10370" s="367"/>
      <c r="L10370" s="367">
        <f>K10369</f>
        <v>392.57400000002235</v>
      </c>
    </row>
    <row r="10371" spans="1:14" ht="11.25" customHeight="1" x14ac:dyDescent="0.2">
      <c r="A10371" s="236">
        <v>2025</v>
      </c>
      <c r="B10371" s="236">
        <v>12</v>
      </c>
      <c r="C10371" s="236">
        <v>17</v>
      </c>
      <c r="D10371" s="237">
        <f t="shared" si="1199"/>
        <v>46008</v>
      </c>
      <c r="E10371" s="238">
        <f t="shared" si="1204"/>
        <v>46008</v>
      </c>
      <c r="F10371" s="476" t="s">
        <v>1118</v>
      </c>
      <c r="G10371" s="239" t="s">
        <v>86</v>
      </c>
      <c r="H10371" s="239"/>
      <c r="I10371" s="240"/>
      <c r="J10371" s="241" t="s">
        <v>82</v>
      </c>
      <c r="K10371" s="242">
        <v>892817.85000002384</v>
      </c>
      <c r="L10371" s="242"/>
      <c r="M10371" s="156">
        <f>BS!$I$8</f>
        <v>0</v>
      </c>
    </row>
    <row r="10372" spans="1:14" ht="11.25" customHeight="1" x14ac:dyDescent="0.2">
      <c r="A10372" s="243">
        <v>2025</v>
      </c>
      <c r="B10372" s="243">
        <v>12</v>
      </c>
      <c r="C10372" s="243">
        <v>17</v>
      </c>
      <c r="D10372" s="248">
        <f t="shared" si="1199"/>
        <v>46008</v>
      </c>
      <c r="E10372" s="249">
        <f t="shared" si="1204"/>
        <v>46008</v>
      </c>
      <c r="F10372" s="477"/>
      <c r="G10372" s="244" t="s">
        <v>86</v>
      </c>
      <c r="H10372" s="244"/>
      <c r="I10372" s="245"/>
      <c r="J10372" s="246" t="s">
        <v>98</v>
      </c>
      <c r="K10372" s="247"/>
      <c r="L10372" s="247">
        <f>K10371</f>
        <v>892817.85000002384</v>
      </c>
    </row>
    <row r="10373" spans="1:14" ht="11.25" customHeight="1" x14ac:dyDescent="0.2">
      <c r="A10373" s="236">
        <v>2025</v>
      </c>
      <c r="B10373" s="236">
        <v>12</v>
      </c>
      <c r="C10373" s="236">
        <v>17</v>
      </c>
      <c r="D10373" s="237">
        <f t="shared" si="1199"/>
        <v>46008</v>
      </c>
      <c r="E10373" s="238">
        <f t="shared" si="1204"/>
        <v>46008</v>
      </c>
      <c r="F10373" s="476" t="s">
        <v>1120</v>
      </c>
      <c r="G10373" s="239" t="s">
        <v>86</v>
      </c>
      <c r="H10373" s="239"/>
      <c r="I10373" s="240"/>
      <c r="J10373" s="241" t="s">
        <v>87</v>
      </c>
      <c r="K10373" s="242">
        <v>784.92935635792776</v>
      </c>
      <c r="L10373" s="242"/>
      <c r="M10373" s="401"/>
    </row>
    <row r="10374" spans="1:14" ht="11.25" customHeight="1" x14ac:dyDescent="0.2">
      <c r="A10374" s="243">
        <v>2025</v>
      </c>
      <c r="B10374" s="243">
        <v>12</v>
      </c>
      <c r="C10374" s="243">
        <v>17</v>
      </c>
      <c r="D10374" s="248">
        <f t="shared" si="1199"/>
        <v>46008</v>
      </c>
      <c r="E10374" s="249">
        <f t="shared" si="1204"/>
        <v>46008</v>
      </c>
      <c r="F10374" s="477"/>
      <c r="G10374" s="244" t="s">
        <v>86</v>
      </c>
      <c r="H10374" s="244"/>
      <c r="I10374" s="245"/>
      <c r="J10374" s="246" t="s">
        <v>64</v>
      </c>
      <c r="K10374" s="247"/>
      <c r="L10374" s="247">
        <f>K10373</f>
        <v>784.92935635792776</v>
      </c>
    </row>
    <row r="10375" spans="1:14" ht="11.25" customHeight="1" x14ac:dyDescent="0.2">
      <c r="A10375" s="236">
        <v>2025</v>
      </c>
      <c r="B10375" s="236">
        <v>12</v>
      </c>
      <c r="C10375" s="236">
        <v>17</v>
      </c>
      <c r="D10375" s="237">
        <f t="shared" si="1199"/>
        <v>46008</v>
      </c>
      <c r="E10375" s="238">
        <f t="shared" si="1204"/>
        <v>46008</v>
      </c>
      <c r="F10375" s="476" t="s">
        <v>1121</v>
      </c>
      <c r="G10375" s="239" t="s">
        <v>86</v>
      </c>
      <c r="H10375" s="239"/>
      <c r="I10375" s="240"/>
      <c r="J10375" s="241" t="s">
        <v>89</v>
      </c>
      <c r="K10375" s="242">
        <f>M10375</f>
        <v>26072.256486992894</v>
      </c>
      <c r="L10375" s="242"/>
      <c r="M10375" s="448">
        <v>26072.256486992894</v>
      </c>
    </row>
    <row r="10376" spans="1:14" ht="11.25" customHeight="1" x14ac:dyDescent="0.2">
      <c r="A10376" s="243">
        <v>2025</v>
      </c>
      <c r="B10376" s="243">
        <v>12</v>
      </c>
      <c r="C10376" s="243">
        <v>17</v>
      </c>
      <c r="D10376" s="248">
        <f t="shared" si="1199"/>
        <v>46008</v>
      </c>
      <c r="E10376" s="249">
        <f t="shared" si="1204"/>
        <v>46008</v>
      </c>
      <c r="F10376" s="477"/>
      <c r="G10376" s="244" t="s">
        <v>86</v>
      </c>
      <c r="H10376" s="244"/>
      <c r="I10376" s="245"/>
      <c r="J10376" s="246" t="s">
        <v>50</v>
      </c>
      <c r="K10376" s="247"/>
      <c r="L10376" s="247">
        <f>K10375</f>
        <v>26072.256486992894</v>
      </c>
      <c r="M10376" s="448">
        <v>1234.9315056683261</v>
      </c>
    </row>
    <row r="10377" spans="1:14" ht="11.25" customHeight="1" x14ac:dyDescent="0.2">
      <c r="A10377" s="236">
        <v>2025</v>
      </c>
      <c r="B10377" s="236">
        <v>12</v>
      </c>
      <c r="C10377" s="236">
        <v>17</v>
      </c>
      <c r="D10377" s="237">
        <f t="shared" ref="D10377:D10440" si="1205">DATE(A10377,B10377,C10377)</f>
        <v>46008</v>
      </c>
      <c r="E10377" s="238">
        <f t="shared" si="1204"/>
        <v>46008</v>
      </c>
      <c r="F10377" s="476" t="s">
        <v>1122</v>
      </c>
      <c r="G10377" s="239" t="s">
        <v>86</v>
      </c>
      <c r="H10377" s="239"/>
      <c r="I10377" s="240"/>
      <c r="J10377" s="241" t="s">
        <v>91</v>
      </c>
      <c r="K10377" s="242">
        <f>M10376</f>
        <v>1234.9315056683261</v>
      </c>
      <c r="L10377" s="242"/>
    </row>
    <row r="10378" spans="1:14" ht="11.25" customHeight="1" x14ac:dyDescent="0.2">
      <c r="A10378" s="243">
        <v>2025</v>
      </c>
      <c r="B10378" s="243">
        <v>12</v>
      </c>
      <c r="C10378" s="243">
        <v>17</v>
      </c>
      <c r="D10378" s="248">
        <f t="shared" si="1205"/>
        <v>46008</v>
      </c>
      <c r="E10378" s="249">
        <f t="shared" si="1204"/>
        <v>46008</v>
      </c>
      <c r="F10378" s="477"/>
      <c r="G10378" s="244" t="s">
        <v>86</v>
      </c>
      <c r="H10378" s="244"/>
      <c r="I10378" s="245"/>
      <c r="J10378" s="246" t="s">
        <v>51</v>
      </c>
      <c r="K10378" s="247"/>
      <c r="L10378" s="247">
        <f>K10377</f>
        <v>1234.9315056683261</v>
      </c>
    </row>
    <row r="10379" spans="1:14" ht="11.25" customHeight="1" x14ac:dyDescent="0.2">
      <c r="A10379" s="221">
        <v>2025</v>
      </c>
      <c r="B10379" s="221">
        <v>12</v>
      </c>
      <c r="C10379" s="221">
        <v>18</v>
      </c>
      <c r="D10379" s="231">
        <f t="shared" si="1205"/>
        <v>46009</v>
      </c>
      <c r="E10379" s="233">
        <f t="shared" si="1204"/>
        <v>46009</v>
      </c>
      <c r="F10379" s="478" t="s">
        <v>1115</v>
      </c>
      <c r="G10379" s="222" t="s">
        <v>1111</v>
      </c>
      <c r="H10379" s="223"/>
      <c r="I10379" s="223"/>
      <c r="J10379" s="224" t="s">
        <v>14</v>
      </c>
      <c r="K10379" s="167">
        <v>243530</v>
      </c>
      <c r="L10379" s="225"/>
    </row>
    <row r="10380" spans="1:14" ht="11.25" customHeight="1" x14ac:dyDescent="0.2">
      <c r="A10380" s="164">
        <v>2025</v>
      </c>
      <c r="B10380" s="164">
        <v>12</v>
      </c>
      <c r="C10380" s="164">
        <v>18</v>
      </c>
      <c r="D10380" s="156">
        <f t="shared" si="1205"/>
        <v>46009</v>
      </c>
      <c r="E10380" s="235">
        <f t="shared" si="1204"/>
        <v>46009</v>
      </c>
      <c r="F10380" s="480"/>
      <c r="G10380" s="208" t="s">
        <v>1111</v>
      </c>
      <c r="J10380" s="165" t="s">
        <v>1112</v>
      </c>
      <c r="K10380" s="167">
        <v>49095.650000000023</v>
      </c>
      <c r="L10380" s="205"/>
    </row>
    <row r="10381" spans="1:14" ht="11.25" customHeight="1" x14ac:dyDescent="0.2">
      <c r="A10381" s="226">
        <v>2025</v>
      </c>
      <c r="B10381" s="226">
        <v>12</v>
      </c>
      <c r="C10381" s="226">
        <v>18</v>
      </c>
      <c r="D10381" s="232">
        <f t="shared" si="1205"/>
        <v>46009</v>
      </c>
      <c r="E10381" s="234">
        <f t="shared" si="1204"/>
        <v>46009</v>
      </c>
      <c r="F10381" s="479"/>
      <c r="G10381" s="227" t="s">
        <v>1111</v>
      </c>
      <c r="H10381" s="228"/>
      <c r="I10381" s="228"/>
      <c r="J10381" s="229" t="s">
        <v>55</v>
      </c>
      <c r="K10381" s="230"/>
      <c r="L10381" s="230">
        <v>292625.65000000002</v>
      </c>
    </row>
    <row r="10382" spans="1:14" ht="11.25" customHeight="1" x14ac:dyDescent="0.2">
      <c r="A10382" s="221">
        <v>2025</v>
      </c>
      <c r="B10382" s="221">
        <v>12</v>
      </c>
      <c r="C10382" s="221">
        <v>18</v>
      </c>
      <c r="D10382" s="231">
        <f t="shared" si="1205"/>
        <v>46009</v>
      </c>
      <c r="E10382" s="233">
        <f t="shared" si="1204"/>
        <v>46009</v>
      </c>
      <c r="F10382" s="478" t="s">
        <v>1132</v>
      </c>
      <c r="G10382" s="222" t="s">
        <v>1111</v>
      </c>
      <c r="H10382" s="223"/>
      <c r="I10382" s="223"/>
      <c r="J10382" s="224" t="s">
        <v>55</v>
      </c>
      <c r="K10382" s="167">
        <v>1000</v>
      </c>
      <c r="L10382" s="225"/>
    </row>
    <row r="10383" spans="1:14" ht="11.25" customHeight="1" x14ac:dyDescent="0.2">
      <c r="A10383" s="164">
        <v>2025</v>
      </c>
      <c r="B10383" s="164">
        <v>12</v>
      </c>
      <c r="C10383" s="164">
        <v>18</v>
      </c>
      <c r="D10383" s="156">
        <f t="shared" si="1205"/>
        <v>46009</v>
      </c>
      <c r="E10383" s="235">
        <f t="shared" si="1204"/>
        <v>46009</v>
      </c>
      <c r="F10383" s="480"/>
      <c r="G10383" s="208" t="s">
        <v>1111</v>
      </c>
      <c r="J10383" s="165" t="s">
        <v>14</v>
      </c>
      <c r="L10383" s="205">
        <v>840</v>
      </c>
    </row>
    <row r="10384" spans="1:14" ht="11.25" customHeight="1" x14ac:dyDescent="0.2">
      <c r="A10384" s="226">
        <v>2025</v>
      </c>
      <c r="B10384" s="226">
        <v>12</v>
      </c>
      <c r="C10384" s="226">
        <v>18</v>
      </c>
      <c r="D10384" s="232">
        <f t="shared" si="1205"/>
        <v>46009</v>
      </c>
      <c r="E10384" s="234">
        <f t="shared" si="1204"/>
        <v>46009</v>
      </c>
      <c r="F10384" s="479"/>
      <c r="G10384" s="227" t="s">
        <v>1111</v>
      </c>
      <c r="H10384" s="228"/>
      <c r="I10384" s="228"/>
      <c r="J10384" s="229" t="s">
        <v>1112</v>
      </c>
      <c r="K10384" s="230"/>
      <c r="L10384" s="230">
        <v>160</v>
      </c>
    </row>
    <row r="10385" spans="1:14" ht="11.25" customHeight="1" x14ac:dyDescent="0.2">
      <c r="A10385" s="221">
        <v>2025</v>
      </c>
      <c r="B10385" s="221">
        <v>12</v>
      </c>
      <c r="C10385" s="221">
        <v>18</v>
      </c>
      <c r="D10385" s="231">
        <f t="shared" si="1205"/>
        <v>46009</v>
      </c>
      <c r="E10385" s="233">
        <f t="shared" si="1204"/>
        <v>46009</v>
      </c>
      <c r="F10385" s="478" t="s">
        <v>1670</v>
      </c>
      <c r="G10385" s="222" t="s">
        <v>1111</v>
      </c>
      <c r="H10385" s="223"/>
      <c r="I10385" s="223"/>
      <c r="J10385" s="224" t="s">
        <v>63</v>
      </c>
      <c r="K10385" s="225">
        <v>58</v>
      </c>
      <c r="L10385" s="225"/>
    </row>
    <row r="10386" spans="1:14" ht="11.25" customHeight="1" x14ac:dyDescent="0.2">
      <c r="A10386" s="226">
        <v>2025</v>
      </c>
      <c r="B10386" s="226">
        <v>12</v>
      </c>
      <c r="C10386" s="226">
        <v>18</v>
      </c>
      <c r="D10386" s="232">
        <f t="shared" si="1205"/>
        <v>46009</v>
      </c>
      <c r="E10386" s="234">
        <f t="shared" si="1204"/>
        <v>46009</v>
      </c>
      <c r="F10386" s="479"/>
      <c r="G10386" s="227" t="s">
        <v>1111</v>
      </c>
      <c r="H10386" s="228"/>
      <c r="I10386" s="228"/>
      <c r="J10386" s="229" t="s">
        <v>55</v>
      </c>
      <c r="K10386" s="230"/>
      <c r="L10386" s="230">
        <f>K10385</f>
        <v>58</v>
      </c>
    </row>
    <row r="10387" spans="1:14" ht="11.25" customHeight="1" x14ac:dyDescent="0.2">
      <c r="A10387" s="221">
        <v>2025</v>
      </c>
      <c r="B10387" s="221">
        <v>12</v>
      </c>
      <c r="C10387" s="221">
        <v>18</v>
      </c>
      <c r="D10387" s="221">
        <f t="shared" si="1205"/>
        <v>46009</v>
      </c>
      <c r="E10387" s="233">
        <f t="shared" si="1204"/>
        <v>46009</v>
      </c>
      <c r="F10387" s="478" t="s">
        <v>1886</v>
      </c>
      <c r="G10387" s="222" t="s">
        <v>86</v>
      </c>
      <c r="H10387" s="222"/>
      <c r="I10387" s="223"/>
      <c r="J10387" s="224" t="s">
        <v>80</v>
      </c>
      <c r="K10387" s="225">
        <v>1999612</v>
      </c>
      <c r="L10387" s="225"/>
      <c r="N10387" s="263"/>
    </row>
    <row r="10388" spans="1:14" ht="11.25" customHeight="1" x14ac:dyDescent="0.2">
      <c r="A10388" s="164">
        <v>2025</v>
      </c>
      <c r="B10388" s="164">
        <v>12</v>
      </c>
      <c r="C10388" s="164">
        <v>18</v>
      </c>
      <c r="D10388" s="164">
        <f t="shared" si="1205"/>
        <v>46009</v>
      </c>
      <c r="E10388" s="235">
        <f t="shared" si="1204"/>
        <v>46009</v>
      </c>
      <c r="F10388" s="480"/>
      <c r="G10388" s="208" t="s">
        <v>86</v>
      </c>
      <c r="H10388" s="208"/>
      <c r="J10388" s="165" t="s">
        <v>960</v>
      </c>
      <c r="K10388" s="205">
        <v>4913.03</v>
      </c>
      <c r="L10388" s="205"/>
      <c r="M10388" s="263"/>
      <c r="N10388" s="263"/>
    </row>
    <row r="10389" spans="1:14" ht="11.25" customHeight="1" x14ac:dyDescent="0.2">
      <c r="A10389" s="164">
        <v>2025</v>
      </c>
      <c r="B10389" s="164">
        <v>12</v>
      </c>
      <c r="C10389" s="164">
        <v>18</v>
      </c>
      <c r="D10389" s="164">
        <f t="shared" si="1205"/>
        <v>46009</v>
      </c>
      <c r="E10389" s="235">
        <f t="shared" si="1204"/>
        <v>46009</v>
      </c>
      <c r="F10389" s="480"/>
      <c r="G10389" s="208" t="s">
        <v>86</v>
      </c>
      <c r="H10389" s="208"/>
      <c r="J10389" s="165" t="s">
        <v>961</v>
      </c>
      <c r="K10389" s="263"/>
      <c r="L10389" s="205">
        <v>1274675.03</v>
      </c>
      <c r="M10389" s="263"/>
      <c r="N10389" s="263"/>
    </row>
    <row r="10390" spans="1:14" ht="11.25" customHeight="1" x14ac:dyDescent="0.2">
      <c r="A10390" s="164">
        <v>2025</v>
      </c>
      <c r="B10390" s="164">
        <v>12</v>
      </c>
      <c r="C10390" s="164">
        <v>18</v>
      </c>
      <c r="D10390" s="164">
        <f t="shared" si="1205"/>
        <v>46009</v>
      </c>
      <c r="E10390" s="235">
        <f t="shared" si="1204"/>
        <v>46009</v>
      </c>
      <c r="F10390" s="480"/>
      <c r="G10390" s="208" t="s">
        <v>86</v>
      </c>
      <c r="H10390" s="208"/>
      <c r="J10390" s="165" t="s">
        <v>200</v>
      </c>
      <c r="K10390" s="205">
        <v>10572.84</v>
      </c>
      <c r="L10390" s="205"/>
      <c r="M10390" s="263"/>
      <c r="N10390" s="263"/>
    </row>
    <row r="10391" spans="1:14" ht="11.25" customHeight="1" x14ac:dyDescent="0.2">
      <c r="A10391" s="226">
        <v>2025</v>
      </c>
      <c r="B10391" s="226">
        <v>12</v>
      </c>
      <c r="C10391" s="226">
        <v>18</v>
      </c>
      <c r="D10391" s="226">
        <f t="shared" si="1205"/>
        <v>46009</v>
      </c>
      <c r="E10391" s="234">
        <f t="shared" si="1204"/>
        <v>46009</v>
      </c>
      <c r="F10391" s="479"/>
      <c r="G10391" s="227" t="s">
        <v>86</v>
      </c>
      <c r="H10391" s="228"/>
      <c r="I10391" s="228"/>
      <c r="J10391" s="229" t="s">
        <v>80</v>
      </c>
      <c r="K10391" s="230"/>
      <c r="L10391" s="230">
        <v>740422.84</v>
      </c>
      <c r="M10391" s="263"/>
      <c r="N10391" s="263"/>
    </row>
    <row r="10392" spans="1:14" ht="11.25" customHeight="1" x14ac:dyDescent="0.2">
      <c r="A10392" s="164">
        <v>2025</v>
      </c>
      <c r="B10392" s="221">
        <v>12</v>
      </c>
      <c r="C10392" s="221">
        <v>18</v>
      </c>
      <c r="D10392" s="156">
        <f t="shared" si="1205"/>
        <v>46009</v>
      </c>
      <c r="E10392" s="235">
        <f t="shared" si="1204"/>
        <v>46009</v>
      </c>
      <c r="F10392" s="480" t="s">
        <v>1808</v>
      </c>
      <c r="G10392" s="208" t="s">
        <v>1111</v>
      </c>
      <c r="J10392" s="165" t="s">
        <v>478</v>
      </c>
      <c r="K10392" s="205">
        <v>150000</v>
      </c>
      <c r="L10392" s="205"/>
    </row>
    <row r="10393" spans="1:14" ht="11.25" customHeight="1" x14ac:dyDescent="0.2">
      <c r="A10393" s="164">
        <v>2025</v>
      </c>
      <c r="B10393" s="164">
        <v>12</v>
      </c>
      <c r="C10393" s="164">
        <v>18</v>
      </c>
      <c r="D10393" s="156">
        <f t="shared" si="1205"/>
        <v>46009</v>
      </c>
      <c r="E10393" s="235">
        <f t="shared" si="1204"/>
        <v>46009</v>
      </c>
      <c r="F10393" s="480"/>
      <c r="G10393" s="208" t="s">
        <v>1111</v>
      </c>
      <c r="J10393" s="165" t="s">
        <v>1707</v>
      </c>
      <c r="K10393" s="205">
        <v>75</v>
      </c>
      <c r="L10393" s="205"/>
    </row>
    <row r="10394" spans="1:14" ht="11.25" customHeight="1" x14ac:dyDescent="0.2">
      <c r="A10394" s="164">
        <v>2025</v>
      </c>
      <c r="B10394" s="164">
        <v>12</v>
      </c>
      <c r="C10394" s="164">
        <v>18</v>
      </c>
      <c r="D10394" s="156">
        <f t="shared" si="1205"/>
        <v>46009</v>
      </c>
      <c r="E10394" s="235">
        <f t="shared" si="1204"/>
        <v>46009</v>
      </c>
      <c r="F10394" s="480"/>
      <c r="G10394" s="208" t="s">
        <v>1111</v>
      </c>
      <c r="J10394" s="165" t="s">
        <v>478</v>
      </c>
      <c r="K10394" s="205">
        <v>8419.5444334545882</v>
      </c>
      <c r="L10394" s="205"/>
    </row>
    <row r="10395" spans="1:14" ht="11.25" customHeight="1" x14ac:dyDescent="0.2">
      <c r="A10395" s="226">
        <v>2025</v>
      </c>
      <c r="B10395" s="226">
        <v>12</v>
      </c>
      <c r="C10395" s="226">
        <v>18</v>
      </c>
      <c r="D10395" s="232">
        <f t="shared" si="1205"/>
        <v>46009</v>
      </c>
      <c r="E10395" s="234">
        <f t="shared" si="1204"/>
        <v>46009</v>
      </c>
      <c r="F10395" s="479"/>
      <c r="G10395" s="227" t="s">
        <v>1111</v>
      </c>
      <c r="H10395" s="228"/>
      <c r="I10395" s="228"/>
      <c r="J10395" s="229" t="s">
        <v>55</v>
      </c>
      <c r="K10395" s="230"/>
      <c r="L10395" s="230">
        <v>158494.54</v>
      </c>
    </row>
    <row r="10396" spans="1:14" ht="11.25" customHeight="1" x14ac:dyDescent="0.2">
      <c r="A10396" s="221">
        <v>2025</v>
      </c>
      <c r="B10396" s="221">
        <v>12</v>
      </c>
      <c r="C10396" s="221">
        <v>18</v>
      </c>
      <c r="D10396" s="231">
        <f t="shared" si="1205"/>
        <v>46009</v>
      </c>
      <c r="E10396" s="233">
        <f t="shared" si="1204"/>
        <v>46009</v>
      </c>
      <c r="F10396" s="478" t="s">
        <v>1844</v>
      </c>
      <c r="G10396" s="222" t="s">
        <v>1111</v>
      </c>
      <c r="H10396" s="223"/>
      <c r="I10396" s="223"/>
      <c r="J10396" s="224" t="s">
        <v>55</v>
      </c>
      <c r="K10396" s="225">
        <v>780802.7</v>
      </c>
      <c r="L10396" s="225"/>
    </row>
    <row r="10397" spans="1:14" ht="11.25" customHeight="1" x14ac:dyDescent="0.2">
      <c r="A10397" s="226">
        <v>2025</v>
      </c>
      <c r="B10397" s="226">
        <v>12</v>
      </c>
      <c r="C10397" s="226">
        <v>18</v>
      </c>
      <c r="D10397" s="232">
        <f t="shared" si="1205"/>
        <v>46009</v>
      </c>
      <c r="E10397" s="234">
        <f t="shared" si="1204"/>
        <v>46009</v>
      </c>
      <c r="F10397" s="479"/>
      <c r="G10397" s="227" t="s">
        <v>1111</v>
      </c>
      <c r="H10397" s="228"/>
      <c r="I10397" s="228"/>
      <c r="J10397" s="229" t="s">
        <v>199</v>
      </c>
      <c r="K10397" s="230"/>
      <c r="L10397" s="230">
        <f>K10396</f>
        <v>780802.7</v>
      </c>
    </row>
    <row r="10398" spans="1:14" ht="11.25" customHeight="1" x14ac:dyDescent="0.2">
      <c r="A10398" s="280">
        <v>2025</v>
      </c>
      <c r="B10398" s="280">
        <v>12</v>
      </c>
      <c r="C10398" s="280">
        <v>18</v>
      </c>
      <c r="D10398" s="281">
        <f t="shared" si="1205"/>
        <v>46009</v>
      </c>
      <c r="E10398" s="282">
        <f t="shared" si="1204"/>
        <v>46009</v>
      </c>
      <c r="F10398" s="472" t="s">
        <v>1744</v>
      </c>
      <c r="G10398" s="283" t="s">
        <v>86</v>
      </c>
      <c r="H10398" s="284"/>
      <c r="I10398" s="284"/>
      <c r="J10398" s="285" t="s">
        <v>131</v>
      </c>
      <c r="K10398" s="286">
        <v>2765.4757142857147</v>
      </c>
      <c r="L10398" s="286"/>
      <c r="M10398" s="401"/>
    </row>
    <row r="10399" spans="1:14" ht="11.25" customHeight="1" x14ac:dyDescent="0.2">
      <c r="A10399" s="287">
        <v>2025</v>
      </c>
      <c r="B10399" s="287">
        <v>12</v>
      </c>
      <c r="C10399" s="287">
        <v>18</v>
      </c>
      <c r="D10399" s="288">
        <f t="shared" si="1205"/>
        <v>46009</v>
      </c>
      <c r="E10399" s="289">
        <f t="shared" si="1204"/>
        <v>46009</v>
      </c>
      <c r="F10399" s="473"/>
      <c r="G10399" s="290" t="s">
        <v>86</v>
      </c>
      <c r="H10399" s="291"/>
      <c r="I10399" s="291"/>
      <c r="J10399" s="292" t="s">
        <v>174</v>
      </c>
      <c r="K10399" s="293"/>
      <c r="L10399" s="293">
        <f>K10398</f>
        <v>2765.4757142857147</v>
      </c>
    </row>
    <row r="10400" spans="1:14" ht="11.25" customHeight="1" x14ac:dyDescent="0.2">
      <c r="A10400" s="280">
        <v>2025</v>
      </c>
      <c r="B10400" s="280">
        <v>12</v>
      </c>
      <c r="C10400" s="280">
        <v>18</v>
      </c>
      <c r="D10400" s="281">
        <f t="shared" si="1205"/>
        <v>46009</v>
      </c>
      <c r="E10400" s="282">
        <f t="shared" si="1204"/>
        <v>46009</v>
      </c>
      <c r="F10400" s="472" t="s">
        <v>1584</v>
      </c>
      <c r="G10400" s="283" t="s">
        <v>86</v>
      </c>
      <c r="H10400" s="284"/>
      <c r="I10400" s="284"/>
      <c r="J10400" s="285" t="s">
        <v>131</v>
      </c>
      <c r="K10400" s="286">
        <v>1263.7357142857143</v>
      </c>
      <c r="L10400" s="286"/>
      <c r="M10400" s="401"/>
    </row>
    <row r="10401" spans="1:14" ht="11.25" customHeight="1" x14ac:dyDescent="0.2">
      <c r="A10401" s="287">
        <v>2025</v>
      </c>
      <c r="B10401" s="287">
        <v>12</v>
      </c>
      <c r="C10401" s="287">
        <v>18</v>
      </c>
      <c r="D10401" s="288">
        <f t="shared" si="1205"/>
        <v>46009</v>
      </c>
      <c r="E10401" s="289">
        <f t="shared" si="1204"/>
        <v>46009</v>
      </c>
      <c r="F10401" s="473"/>
      <c r="G10401" s="290" t="s">
        <v>86</v>
      </c>
      <c r="H10401" s="291"/>
      <c r="I10401" s="291"/>
      <c r="J10401" s="292" t="s">
        <v>174</v>
      </c>
      <c r="K10401" s="293"/>
      <c r="L10401" s="293">
        <f>K10400</f>
        <v>1263.7357142857143</v>
      </c>
    </row>
    <row r="10402" spans="1:14" ht="11.25" customHeight="1" x14ac:dyDescent="0.2">
      <c r="A10402" s="280">
        <v>2025</v>
      </c>
      <c r="B10402" s="280">
        <v>12</v>
      </c>
      <c r="C10402" s="280">
        <v>18</v>
      </c>
      <c r="D10402" s="281">
        <f t="shared" si="1205"/>
        <v>46009</v>
      </c>
      <c r="E10402" s="282">
        <f t="shared" si="1204"/>
        <v>46009</v>
      </c>
      <c r="F10402" s="472" t="s">
        <v>1955</v>
      </c>
      <c r="G10402" s="283" t="s">
        <v>86</v>
      </c>
      <c r="H10402" s="284"/>
      <c r="I10402" s="284"/>
      <c r="J10402" s="285" t="s">
        <v>1978</v>
      </c>
      <c r="K10402" s="286">
        <v>6185.4395604395604</v>
      </c>
      <c r="L10402" s="286"/>
      <c r="M10402" s="401"/>
    </row>
    <row r="10403" spans="1:14" ht="11.25" customHeight="1" x14ac:dyDescent="0.2">
      <c r="A10403" s="287">
        <v>2025</v>
      </c>
      <c r="B10403" s="287">
        <v>12</v>
      </c>
      <c r="C10403" s="287">
        <v>18</v>
      </c>
      <c r="D10403" s="288">
        <f t="shared" si="1205"/>
        <v>46009</v>
      </c>
      <c r="E10403" s="289">
        <f t="shared" si="1204"/>
        <v>46009</v>
      </c>
      <c r="F10403" s="473"/>
      <c r="G10403" s="290" t="s">
        <v>86</v>
      </c>
      <c r="H10403" s="291"/>
      <c r="I10403" s="291"/>
      <c r="J10403" s="292" t="s">
        <v>1955</v>
      </c>
      <c r="K10403" s="293"/>
      <c r="L10403" s="293">
        <f>K10402</f>
        <v>6185.4395604395604</v>
      </c>
    </row>
    <row r="10404" spans="1:14" ht="11.25" customHeight="1" x14ac:dyDescent="0.2">
      <c r="A10404" s="341">
        <v>2025</v>
      </c>
      <c r="B10404" s="341">
        <v>12</v>
      </c>
      <c r="C10404" s="341">
        <v>18</v>
      </c>
      <c r="D10404" s="328">
        <f t="shared" si="1205"/>
        <v>46009</v>
      </c>
      <c r="E10404" s="329">
        <f t="shared" si="1204"/>
        <v>46009</v>
      </c>
      <c r="F10404" s="474" t="s">
        <v>1767</v>
      </c>
      <c r="G10404" s="330" t="s">
        <v>86</v>
      </c>
      <c r="H10404" s="332"/>
      <c r="I10404" s="332"/>
      <c r="J10404" s="342" t="s">
        <v>67</v>
      </c>
      <c r="K10404" s="343">
        <v>687.85153833333334</v>
      </c>
      <c r="L10404" s="343"/>
    </row>
    <row r="10405" spans="1:14" ht="11.25" customHeight="1" x14ac:dyDescent="0.2">
      <c r="A10405" s="344">
        <v>2025</v>
      </c>
      <c r="B10405" s="344">
        <v>12</v>
      </c>
      <c r="C10405" s="344">
        <v>18</v>
      </c>
      <c r="D10405" s="337">
        <f t="shared" si="1205"/>
        <v>46009</v>
      </c>
      <c r="E10405" s="338">
        <f t="shared" si="1204"/>
        <v>46009</v>
      </c>
      <c r="F10405" s="475"/>
      <c r="G10405" s="339" t="s">
        <v>86</v>
      </c>
      <c r="H10405" s="340"/>
      <c r="I10405" s="340"/>
      <c r="J10405" s="345" t="s">
        <v>174</v>
      </c>
      <c r="K10405" s="346"/>
      <c r="L10405" s="346">
        <f>K10404</f>
        <v>687.85153833333334</v>
      </c>
    </row>
    <row r="10406" spans="1:14" ht="11.25" customHeight="1" x14ac:dyDescent="0.2">
      <c r="A10406" s="358">
        <v>2025</v>
      </c>
      <c r="B10406" s="358">
        <v>12</v>
      </c>
      <c r="C10406" s="358">
        <v>18</v>
      </c>
      <c r="D10406" s="312">
        <f t="shared" si="1205"/>
        <v>46009</v>
      </c>
      <c r="E10406" s="313">
        <f>DATE(A10406,B10406,C10406)</f>
        <v>46009</v>
      </c>
      <c r="F10406" s="482" t="s">
        <v>1627</v>
      </c>
      <c r="G10406" s="314" t="s">
        <v>86</v>
      </c>
      <c r="H10406" s="324"/>
      <c r="I10406" s="324"/>
      <c r="J10406" s="364" t="s">
        <v>1613</v>
      </c>
      <c r="K10406" s="365"/>
      <c r="L10406" s="365"/>
      <c r="M10406" s="156">
        <f>BS!$I$12</f>
        <v>0</v>
      </c>
    </row>
    <row r="10407" spans="1:14" ht="11.25" customHeight="1" x14ac:dyDescent="0.2">
      <c r="A10407" s="320">
        <v>2025</v>
      </c>
      <c r="B10407" s="320">
        <v>12</v>
      </c>
      <c r="C10407" s="320">
        <v>18</v>
      </c>
      <c r="D10407" s="323">
        <f t="shared" si="1205"/>
        <v>46009</v>
      </c>
      <c r="E10407" s="321">
        <f t="shared" ref="E10407" si="1206">DATE(A10407,B10407,C10407)</f>
        <v>46009</v>
      </c>
      <c r="F10407" s="483"/>
      <c r="G10407" s="322" t="s">
        <v>86</v>
      </c>
      <c r="H10407" s="325"/>
      <c r="I10407" s="325"/>
      <c r="J10407" s="366" t="s">
        <v>1621</v>
      </c>
      <c r="K10407" s="367"/>
      <c r="L10407" s="367">
        <f>K10406</f>
        <v>0</v>
      </c>
    </row>
    <row r="10408" spans="1:14" ht="11.25" customHeight="1" x14ac:dyDescent="0.2">
      <c r="A10408" s="358">
        <v>2025</v>
      </c>
      <c r="B10408" s="358">
        <v>12</v>
      </c>
      <c r="C10408" s="358">
        <v>18</v>
      </c>
      <c r="D10408" s="312">
        <f t="shared" si="1205"/>
        <v>46009</v>
      </c>
      <c r="E10408" s="313">
        <f>DATE(A10408,B10408,C10408)</f>
        <v>46009</v>
      </c>
      <c r="F10408" s="482" t="s">
        <v>1713</v>
      </c>
      <c r="G10408" s="314" t="s">
        <v>86</v>
      </c>
      <c r="H10408" s="324"/>
      <c r="I10408" s="324"/>
      <c r="J10408" s="364" t="s">
        <v>1622</v>
      </c>
      <c r="K10408" s="365">
        <v>196.64399999997113</v>
      </c>
      <c r="L10408" s="365"/>
      <c r="M10408" s="447">
        <f>BS!$I$15</f>
        <v>0</v>
      </c>
      <c r="N10408" s="166"/>
    </row>
    <row r="10409" spans="1:14" ht="11.25" customHeight="1" x14ac:dyDescent="0.2">
      <c r="A10409" s="320">
        <v>2025</v>
      </c>
      <c r="B10409" s="320">
        <v>12</v>
      </c>
      <c r="C10409" s="320">
        <v>18</v>
      </c>
      <c r="D10409" s="323">
        <f t="shared" si="1205"/>
        <v>46009</v>
      </c>
      <c r="E10409" s="321">
        <f t="shared" ref="E10409:E10439" si="1207">DATE(A10409,B10409,C10409)</f>
        <v>46009</v>
      </c>
      <c r="F10409" s="483"/>
      <c r="G10409" s="322" t="s">
        <v>86</v>
      </c>
      <c r="H10409" s="325"/>
      <c r="I10409" s="325"/>
      <c r="J10409" s="366" t="s">
        <v>1614</v>
      </c>
      <c r="K10409" s="367"/>
      <c r="L10409" s="367">
        <f>K10408</f>
        <v>196.64399999997113</v>
      </c>
    </row>
    <row r="10410" spans="1:14" ht="11.25" customHeight="1" x14ac:dyDescent="0.2">
      <c r="A10410" s="236">
        <v>2025</v>
      </c>
      <c r="B10410" s="236">
        <v>12</v>
      </c>
      <c r="C10410" s="236">
        <v>18</v>
      </c>
      <c r="D10410" s="237">
        <f t="shared" si="1205"/>
        <v>46009</v>
      </c>
      <c r="E10410" s="238">
        <f t="shared" si="1207"/>
        <v>46009</v>
      </c>
      <c r="F10410" s="476" t="s">
        <v>1118</v>
      </c>
      <c r="G10410" s="239" t="s">
        <v>86</v>
      </c>
      <c r="H10410" s="239"/>
      <c r="I10410" s="240"/>
      <c r="J10410" s="241" t="s">
        <v>82</v>
      </c>
      <c r="K10410" s="242">
        <v>683138.48000001907</v>
      </c>
      <c r="L10410" s="242"/>
      <c r="M10410" s="156">
        <f>BS!$I$8</f>
        <v>0</v>
      </c>
    </row>
    <row r="10411" spans="1:14" ht="11.25" customHeight="1" x14ac:dyDescent="0.2">
      <c r="A10411" s="243">
        <v>2025</v>
      </c>
      <c r="B10411" s="243">
        <v>12</v>
      </c>
      <c r="C10411" s="243">
        <v>18</v>
      </c>
      <c r="D10411" s="248">
        <f t="shared" si="1205"/>
        <v>46009</v>
      </c>
      <c r="E10411" s="249">
        <f t="shared" si="1207"/>
        <v>46009</v>
      </c>
      <c r="F10411" s="477"/>
      <c r="G10411" s="244" t="s">
        <v>86</v>
      </c>
      <c r="H10411" s="244"/>
      <c r="I10411" s="245"/>
      <c r="J10411" s="246" t="s">
        <v>98</v>
      </c>
      <c r="K10411" s="247"/>
      <c r="L10411" s="247">
        <f>K10410</f>
        <v>683138.48000001907</v>
      </c>
    </row>
    <row r="10412" spans="1:14" ht="11.25" customHeight="1" x14ac:dyDescent="0.2">
      <c r="A10412" s="236">
        <v>2025</v>
      </c>
      <c r="B10412" s="236">
        <v>12</v>
      </c>
      <c r="C10412" s="236">
        <v>18</v>
      </c>
      <c r="D10412" s="237">
        <f t="shared" si="1205"/>
        <v>46009</v>
      </c>
      <c r="E10412" s="238">
        <f t="shared" si="1207"/>
        <v>46009</v>
      </c>
      <c r="F10412" s="476" t="s">
        <v>1120</v>
      </c>
      <c r="G10412" s="239" t="s">
        <v>86</v>
      </c>
      <c r="H10412" s="239"/>
      <c r="I10412" s="240"/>
      <c r="J10412" s="241" t="s">
        <v>87</v>
      </c>
      <c r="K10412" s="242">
        <v>392.46467817896388</v>
      </c>
      <c r="L10412" s="242"/>
      <c r="M10412" s="401"/>
    </row>
    <row r="10413" spans="1:14" ht="11.25" customHeight="1" x14ac:dyDescent="0.2">
      <c r="A10413" s="243">
        <v>2025</v>
      </c>
      <c r="B10413" s="243">
        <v>12</v>
      </c>
      <c r="C10413" s="243">
        <v>18</v>
      </c>
      <c r="D10413" s="248">
        <f t="shared" si="1205"/>
        <v>46009</v>
      </c>
      <c r="E10413" s="249">
        <f t="shared" si="1207"/>
        <v>46009</v>
      </c>
      <c r="F10413" s="477"/>
      <c r="G10413" s="244" t="s">
        <v>86</v>
      </c>
      <c r="H10413" s="244"/>
      <c r="I10413" s="245"/>
      <c r="J10413" s="246" t="s">
        <v>64</v>
      </c>
      <c r="K10413" s="247"/>
      <c r="L10413" s="247">
        <f>K10412</f>
        <v>392.46467817896388</v>
      </c>
    </row>
    <row r="10414" spans="1:14" ht="11.25" customHeight="1" x14ac:dyDescent="0.2">
      <c r="A10414" s="236">
        <v>2025</v>
      </c>
      <c r="B10414" s="236">
        <v>12</v>
      </c>
      <c r="C10414" s="236">
        <v>18</v>
      </c>
      <c r="D10414" s="237">
        <f t="shared" si="1205"/>
        <v>46009</v>
      </c>
      <c r="E10414" s="238">
        <f t="shared" si="1207"/>
        <v>46009</v>
      </c>
      <c r="F10414" s="476" t="s">
        <v>1121</v>
      </c>
      <c r="G10414" s="239" t="s">
        <v>86</v>
      </c>
      <c r="H10414" s="239"/>
      <c r="I10414" s="240"/>
      <c r="J10414" s="241" t="s">
        <v>89</v>
      </c>
      <c r="K10414" s="242">
        <f>M10414</f>
        <v>12981.831395412008</v>
      </c>
      <c r="L10414" s="242"/>
      <c r="M10414" s="448">
        <v>12981.831395412008</v>
      </c>
    </row>
    <row r="10415" spans="1:14" ht="11.25" customHeight="1" x14ac:dyDescent="0.2">
      <c r="A10415" s="243">
        <v>2025</v>
      </c>
      <c r="B10415" s="243">
        <v>12</v>
      </c>
      <c r="C10415" s="243">
        <v>18</v>
      </c>
      <c r="D10415" s="248">
        <f t="shared" si="1205"/>
        <v>46009</v>
      </c>
      <c r="E10415" s="249">
        <f t="shared" si="1207"/>
        <v>46009</v>
      </c>
      <c r="F10415" s="477"/>
      <c r="G10415" s="244" t="s">
        <v>86</v>
      </c>
      <c r="H10415" s="244"/>
      <c r="I10415" s="245"/>
      <c r="J10415" s="246" t="s">
        <v>50</v>
      </c>
      <c r="K10415" s="247"/>
      <c r="L10415" s="247">
        <f>K10414</f>
        <v>12981.831395412008</v>
      </c>
      <c r="M10415" s="448">
        <v>614.75091042994097</v>
      </c>
    </row>
    <row r="10416" spans="1:14" ht="11.25" customHeight="1" x14ac:dyDescent="0.2">
      <c r="A10416" s="236">
        <v>2025</v>
      </c>
      <c r="B10416" s="236">
        <v>12</v>
      </c>
      <c r="C10416" s="236">
        <v>18</v>
      </c>
      <c r="D10416" s="237">
        <f t="shared" si="1205"/>
        <v>46009</v>
      </c>
      <c r="E10416" s="238">
        <f t="shared" si="1207"/>
        <v>46009</v>
      </c>
      <c r="F10416" s="476" t="s">
        <v>1122</v>
      </c>
      <c r="G10416" s="239" t="s">
        <v>86</v>
      </c>
      <c r="H10416" s="239"/>
      <c r="I10416" s="240"/>
      <c r="J10416" s="241" t="s">
        <v>91</v>
      </c>
      <c r="K10416" s="242">
        <f>M10415</f>
        <v>614.75091042994097</v>
      </c>
      <c r="L10416" s="242"/>
    </row>
    <row r="10417" spans="1:14" ht="11.25" customHeight="1" x14ac:dyDescent="0.2">
      <c r="A10417" s="243">
        <v>2025</v>
      </c>
      <c r="B10417" s="243">
        <v>12</v>
      </c>
      <c r="C10417" s="243">
        <v>18</v>
      </c>
      <c r="D10417" s="248">
        <f t="shared" si="1205"/>
        <v>46009</v>
      </c>
      <c r="E10417" s="249">
        <f t="shared" si="1207"/>
        <v>46009</v>
      </c>
      <c r="F10417" s="477"/>
      <c r="G10417" s="244" t="s">
        <v>86</v>
      </c>
      <c r="H10417" s="244"/>
      <c r="I10417" s="245"/>
      <c r="J10417" s="246" t="s">
        <v>51</v>
      </c>
      <c r="K10417" s="247"/>
      <c r="L10417" s="247">
        <f>K10416</f>
        <v>614.75091042994097</v>
      </c>
    </row>
    <row r="10418" spans="1:14" ht="11.25" customHeight="1" x14ac:dyDescent="0.2">
      <c r="A10418" s="221">
        <v>2025</v>
      </c>
      <c r="B10418" s="221">
        <v>12</v>
      </c>
      <c r="C10418" s="221">
        <v>21</v>
      </c>
      <c r="D10418" s="231">
        <f t="shared" si="1205"/>
        <v>46012</v>
      </c>
      <c r="E10418" s="233">
        <f t="shared" si="1207"/>
        <v>46012</v>
      </c>
      <c r="F10418" s="478" t="s">
        <v>1940</v>
      </c>
      <c r="G10418" s="222" t="s">
        <v>1111</v>
      </c>
      <c r="H10418" s="223"/>
      <c r="I10418" s="223"/>
      <c r="J10418" s="224" t="s">
        <v>961</v>
      </c>
      <c r="K10418" s="225">
        <v>1080251.8999999999</v>
      </c>
      <c r="L10418" s="225"/>
    </row>
    <row r="10419" spans="1:14" ht="11.25" customHeight="1" x14ac:dyDescent="0.2">
      <c r="A10419" s="226">
        <v>2025</v>
      </c>
      <c r="B10419" s="226">
        <v>12</v>
      </c>
      <c r="C10419" s="226">
        <v>21</v>
      </c>
      <c r="D10419" s="232">
        <f t="shared" si="1205"/>
        <v>46012</v>
      </c>
      <c r="E10419" s="234">
        <f t="shared" si="1207"/>
        <v>46012</v>
      </c>
      <c r="F10419" s="479"/>
      <c r="G10419" s="227" t="s">
        <v>1111</v>
      </c>
      <c r="H10419" s="228"/>
      <c r="I10419" s="228"/>
      <c r="J10419" s="229" t="s">
        <v>55</v>
      </c>
      <c r="K10419" s="230"/>
      <c r="L10419" s="230">
        <f>K10418</f>
        <v>1080251.8999999999</v>
      </c>
    </row>
    <row r="10420" spans="1:14" ht="11.25" customHeight="1" x14ac:dyDescent="0.2">
      <c r="A10420" s="164">
        <v>2025</v>
      </c>
      <c r="B10420" s="221">
        <v>12</v>
      </c>
      <c r="C10420" s="221">
        <v>21</v>
      </c>
      <c r="D10420" s="156">
        <f t="shared" si="1205"/>
        <v>46012</v>
      </c>
      <c r="E10420" s="235">
        <f t="shared" si="1207"/>
        <v>46012</v>
      </c>
      <c r="F10420" s="480" t="s">
        <v>1808</v>
      </c>
      <c r="G10420" s="208" t="s">
        <v>1111</v>
      </c>
      <c r="J10420" s="165" t="s">
        <v>478</v>
      </c>
      <c r="K10420" s="205">
        <v>607.82700000000011</v>
      </c>
      <c r="L10420" s="205"/>
    </row>
    <row r="10421" spans="1:14" ht="11.25" customHeight="1" x14ac:dyDescent="0.2">
      <c r="A10421" s="226">
        <v>2025</v>
      </c>
      <c r="B10421" s="226">
        <v>12</v>
      </c>
      <c r="C10421" s="226">
        <v>21</v>
      </c>
      <c r="D10421" s="232">
        <f t="shared" si="1205"/>
        <v>46012</v>
      </c>
      <c r="E10421" s="234">
        <f t="shared" si="1207"/>
        <v>46012</v>
      </c>
      <c r="F10421" s="479"/>
      <c r="G10421" s="227" t="s">
        <v>1111</v>
      </c>
      <c r="H10421" s="228"/>
      <c r="I10421" s="228"/>
      <c r="J10421" s="229" t="s">
        <v>55</v>
      </c>
      <c r="K10421" s="230"/>
      <c r="L10421" s="230">
        <v>607.83000000000004</v>
      </c>
    </row>
    <row r="10422" spans="1:14" ht="11.25" customHeight="1" x14ac:dyDescent="0.2">
      <c r="A10422" s="221">
        <v>2025</v>
      </c>
      <c r="B10422" s="221">
        <v>12</v>
      </c>
      <c r="C10422" s="221">
        <v>21</v>
      </c>
      <c r="D10422" s="231">
        <f t="shared" si="1205"/>
        <v>46012</v>
      </c>
      <c r="E10422" s="233">
        <f t="shared" si="1207"/>
        <v>46012</v>
      </c>
      <c r="F10422" s="478" t="s">
        <v>1813</v>
      </c>
      <c r="G10422" s="222" t="s">
        <v>1111</v>
      </c>
      <c r="H10422" s="222"/>
      <c r="I10422" s="223"/>
      <c r="J10422" s="224" t="s">
        <v>55</v>
      </c>
      <c r="K10422" s="225">
        <v>749200.61</v>
      </c>
      <c r="L10422" s="225"/>
    </row>
    <row r="10423" spans="1:14" ht="11.25" customHeight="1" x14ac:dyDescent="0.2">
      <c r="A10423" s="164">
        <v>2025</v>
      </c>
      <c r="B10423" s="164">
        <v>12</v>
      </c>
      <c r="C10423" s="164">
        <v>21</v>
      </c>
      <c r="D10423" s="164">
        <f t="shared" si="1205"/>
        <v>46012</v>
      </c>
      <c r="E10423" s="235">
        <f t="shared" si="1207"/>
        <v>46012</v>
      </c>
      <c r="F10423" s="480"/>
      <c r="G10423" s="208" t="s">
        <v>1111</v>
      </c>
      <c r="H10423" s="208"/>
      <c r="J10423" s="165" t="s">
        <v>1618</v>
      </c>
      <c r="K10423" s="263">
        <v>21870.5</v>
      </c>
      <c r="L10423" s="205"/>
    </row>
    <row r="10424" spans="1:14" ht="11.25" customHeight="1" x14ac:dyDescent="0.2">
      <c r="A10424" s="226">
        <v>2025</v>
      </c>
      <c r="B10424" s="226">
        <v>12</v>
      </c>
      <c r="C10424" s="226">
        <v>21</v>
      </c>
      <c r="D10424" s="226">
        <f t="shared" si="1205"/>
        <v>46012</v>
      </c>
      <c r="E10424" s="234">
        <f t="shared" si="1207"/>
        <v>46012</v>
      </c>
      <c r="F10424" s="479"/>
      <c r="G10424" s="227" t="s">
        <v>1111</v>
      </c>
      <c r="H10424" s="227"/>
      <c r="I10424" s="228"/>
      <c r="J10424" s="229" t="s">
        <v>1615</v>
      </c>
      <c r="K10424" s="294"/>
      <c r="L10424" s="230">
        <v>771071.1100000001</v>
      </c>
    </row>
    <row r="10425" spans="1:14" ht="11.25" customHeight="1" x14ac:dyDescent="0.2">
      <c r="A10425" s="221">
        <v>2025</v>
      </c>
      <c r="B10425" s="221">
        <v>12</v>
      </c>
      <c r="C10425" s="221">
        <v>21</v>
      </c>
      <c r="D10425" s="221">
        <f t="shared" si="1205"/>
        <v>46012</v>
      </c>
      <c r="E10425" s="233">
        <f t="shared" si="1207"/>
        <v>46012</v>
      </c>
      <c r="F10425" s="478" t="s">
        <v>1937</v>
      </c>
      <c r="G10425" s="222" t="s">
        <v>86</v>
      </c>
      <c r="H10425" s="222"/>
      <c r="I10425" s="223"/>
      <c r="J10425" s="224" t="s">
        <v>80</v>
      </c>
      <c r="K10425" s="225">
        <v>3064219.9</v>
      </c>
      <c r="L10425" s="225"/>
      <c r="N10425" s="263"/>
    </row>
    <row r="10426" spans="1:14" ht="11.25" customHeight="1" x14ac:dyDescent="0.2">
      <c r="A10426" s="164">
        <v>2025</v>
      </c>
      <c r="B10426" s="164">
        <v>12</v>
      </c>
      <c r="C10426" s="164">
        <v>21</v>
      </c>
      <c r="D10426" s="164">
        <f t="shared" si="1205"/>
        <v>46012</v>
      </c>
      <c r="E10426" s="235">
        <f t="shared" si="1207"/>
        <v>46012</v>
      </c>
      <c r="F10426" s="480"/>
      <c r="G10426" s="208" t="s">
        <v>86</v>
      </c>
      <c r="H10426" s="208"/>
      <c r="J10426" s="165" t="s">
        <v>960</v>
      </c>
      <c r="K10426" s="205">
        <v>9533.2900000000009</v>
      </c>
      <c r="L10426" s="205"/>
      <c r="M10426" s="263"/>
      <c r="N10426" s="263"/>
    </row>
    <row r="10427" spans="1:14" ht="11.25" customHeight="1" x14ac:dyDescent="0.2">
      <c r="A10427" s="164">
        <v>2025</v>
      </c>
      <c r="B10427" s="164">
        <v>12</v>
      </c>
      <c r="C10427" s="164">
        <v>21</v>
      </c>
      <c r="D10427" s="164">
        <f t="shared" si="1205"/>
        <v>46012</v>
      </c>
      <c r="E10427" s="235">
        <f t="shared" si="1207"/>
        <v>46012</v>
      </c>
      <c r="F10427" s="480"/>
      <c r="G10427" s="208" t="s">
        <v>86</v>
      </c>
      <c r="H10427" s="208"/>
      <c r="J10427" s="165" t="s">
        <v>961</v>
      </c>
      <c r="K10427" s="263"/>
      <c r="L10427" s="205">
        <v>841703.19</v>
      </c>
      <c r="M10427" s="263"/>
      <c r="N10427" s="263"/>
    </row>
    <row r="10428" spans="1:14" ht="11.25" customHeight="1" x14ac:dyDescent="0.2">
      <c r="A10428" s="164">
        <v>2025</v>
      </c>
      <c r="B10428" s="164">
        <v>12</v>
      </c>
      <c r="C10428" s="164">
        <v>21</v>
      </c>
      <c r="D10428" s="164">
        <f t="shared" si="1205"/>
        <v>46012</v>
      </c>
      <c r="E10428" s="235">
        <f t="shared" si="1207"/>
        <v>46012</v>
      </c>
      <c r="F10428" s="480"/>
      <c r="G10428" s="208" t="s">
        <v>86</v>
      </c>
      <c r="H10428" s="208"/>
      <c r="J10428" s="165" t="s">
        <v>200</v>
      </c>
      <c r="K10428" s="205">
        <v>10298.08</v>
      </c>
      <c r="L10428" s="205"/>
      <c r="M10428" s="263"/>
      <c r="N10428" s="263"/>
    </row>
    <row r="10429" spans="1:14" ht="11.25" customHeight="1" x14ac:dyDescent="0.2">
      <c r="A10429" s="226">
        <v>2025</v>
      </c>
      <c r="B10429" s="226">
        <v>12</v>
      </c>
      <c r="C10429" s="226">
        <v>21</v>
      </c>
      <c r="D10429" s="226">
        <f t="shared" si="1205"/>
        <v>46012</v>
      </c>
      <c r="E10429" s="234">
        <f t="shared" si="1207"/>
        <v>46012</v>
      </c>
      <c r="F10429" s="479"/>
      <c r="G10429" s="227" t="s">
        <v>86</v>
      </c>
      <c r="H10429" s="228"/>
      <c r="I10429" s="228"/>
      <c r="J10429" s="229" t="s">
        <v>80</v>
      </c>
      <c r="K10429" s="230"/>
      <c r="L10429" s="230">
        <v>2242348.08</v>
      </c>
      <c r="M10429" s="263"/>
      <c r="N10429" s="263"/>
    </row>
    <row r="10430" spans="1:14" ht="11.25" customHeight="1" x14ac:dyDescent="0.2">
      <c r="A10430" s="221">
        <v>2025</v>
      </c>
      <c r="B10430" s="221">
        <v>12</v>
      </c>
      <c r="C10430" s="221">
        <v>21</v>
      </c>
      <c r="D10430" s="231">
        <f t="shared" si="1205"/>
        <v>46012</v>
      </c>
      <c r="E10430" s="233">
        <f t="shared" si="1207"/>
        <v>46012</v>
      </c>
      <c r="F10430" s="478" t="s">
        <v>1670</v>
      </c>
      <c r="G10430" s="222" t="s">
        <v>1111</v>
      </c>
      <c r="H10430" s="223"/>
      <c r="I10430" s="223"/>
      <c r="J10430" s="224" t="s">
        <v>63</v>
      </c>
      <c r="K10430" s="225">
        <v>100</v>
      </c>
      <c r="L10430" s="225"/>
    </row>
    <row r="10431" spans="1:14" ht="11.25" customHeight="1" x14ac:dyDescent="0.2">
      <c r="A10431" s="226">
        <v>2025</v>
      </c>
      <c r="B10431" s="226">
        <v>12</v>
      </c>
      <c r="C10431" s="226">
        <v>21</v>
      </c>
      <c r="D10431" s="232">
        <f t="shared" si="1205"/>
        <v>46012</v>
      </c>
      <c r="E10431" s="234">
        <f t="shared" si="1207"/>
        <v>46012</v>
      </c>
      <c r="F10431" s="479"/>
      <c r="G10431" s="227" t="s">
        <v>1111</v>
      </c>
      <c r="H10431" s="228"/>
      <c r="I10431" s="228"/>
      <c r="J10431" s="229" t="s">
        <v>55</v>
      </c>
      <c r="K10431" s="230"/>
      <c r="L10431" s="230">
        <f>K10430</f>
        <v>100</v>
      </c>
    </row>
    <row r="10432" spans="1:14" ht="11.25" customHeight="1" x14ac:dyDescent="0.2">
      <c r="A10432" s="280">
        <v>2025</v>
      </c>
      <c r="B10432" s="280">
        <v>12</v>
      </c>
      <c r="C10432" s="280">
        <v>21</v>
      </c>
      <c r="D10432" s="281">
        <f t="shared" si="1205"/>
        <v>46012</v>
      </c>
      <c r="E10432" s="282">
        <f t="shared" si="1207"/>
        <v>46012</v>
      </c>
      <c r="F10432" s="472" t="s">
        <v>1744</v>
      </c>
      <c r="G10432" s="283" t="s">
        <v>86</v>
      </c>
      <c r="H10432" s="284"/>
      <c r="I10432" s="284"/>
      <c r="J10432" s="285" t="s">
        <v>131</v>
      </c>
      <c r="K10432" s="286">
        <v>8296.4271428571446</v>
      </c>
      <c r="L10432" s="286"/>
      <c r="M10432" s="401"/>
    </row>
    <row r="10433" spans="1:14" ht="11.25" customHeight="1" x14ac:dyDescent="0.2">
      <c r="A10433" s="287">
        <v>2025</v>
      </c>
      <c r="B10433" s="287">
        <v>12</v>
      </c>
      <c r="C10433" s="287">
        <v>21</v>
      </c>
      <c r="D10433" s="288">
        <f t="shared" si="1205"/>
        <v>46012</v>
      </c>
      <c r="E10433" s="289">
        <f t="shared" si="1207"/>
        <v>46012</v>
      </c>
      <c r="F10433" s="473"/>
      <c r="G10433" s="290" t="s">
        <v>86</v>
      </c>
      <c r="H10433" s="291"/>
      <c r="I10433" s="291"/>
      <c r="J10433" s="292" t="s">
        <v>174</v>
      </c>
      <c r="K10433" s="293"/>
      <c r="L10433" s="293">
        <f>K10432</f>
        <v>8296.4271428571446</v>
      </c>
    </row>
    <row r="10434" spans="1:14" ht="11.25" customHeight="1" x14ac:dyDescent="0.2">
      <c r="A10434" s="280">
        <v>2025</v>
      </c>
      <c r="B10434" s="280">
        <v>12</v>
      </c>
      <c r="C10434" s="280">
        <v>21</v>
      </c>
      <c r="D10434" s="281">
        <f t="shared" si="1205"/>
        <v>46012</v>
      </c>
      <c r="E10434" s="282">
        <f t="shared" si="1207"/>
        <v>46012</v>
      </c>
      <c r="F10434" s="472" t="s">
        <v>1584</v>
      </c>
      <c r="G10434" s="283" t="s">
        <v>86</v>
      </c>
      <c r="H10434" s="284"/>
      <c r="I10434" s="284"/>
      <c r="J10434" s="285" t="s">
        <v>131</v>
      </c>
      <c r="K10434" s="286">
        <v>3791.2071428571426</v>
      </c>
      <c r="L10434" s="286"/>
      <c r="M10434" s="401"/>
    </row>
    <row r="10435" spans="1:14" ht="11.25" customHeight="1" x14ac:dyDescent="0.2">
      <c r="A10435" s="287">
        <v>2025</v>
      </c>
      <c r="B10435" s="287">
        <v>12</v>
      </c>
      <c r="C10435" s="287">
        <v>21</v>
      </c>
      <c r="D10435" s="288">
        <f t="shared" si="1205"/>
        <v>46012</v>
      </c>
      <c r="E10435" s="289">
        <f t="shared" si="1207"/>
        <v>46012</v>
      </c>
      <c r="F10435" s="473"/>
      <c r="G10435" s="290" t="s">
        <v>86</v>
      </c>
      <c r="H10435" s="291"/>
      <c r="I10435" s="291"/>
      <c r="J10435" s="292" t="s">
        <v>174</v>
      </c>
      <c r="K10435" s="293"/>
      <c r="L10435" s="293">
        <f>K10434</f>
        <v>3791.2071428571426</v>
      </c>
    </row>
    <row r="10436" spans="1:14" ht="11.25" customHeight="1" x14ac:dyDescent="0.2">
      <c r="A10436" s="280">
        <v>2025</v>
      </c>
      <c r="B10436" s="280">
        <v>12</v>
      </c>
      <c r="C10436" s="280">
        <v>21</v>
      </c>
      <c r="D10436" s="281">
        <f t="shared" si="1205"/>
        <v>46012</v>
      </c>
      <c r="E10436" s="282">
        <f t="shared" si="1207"/>
        <v>46012</v>
      </c>
      <c r="F10436" s="472" t="s">
        <v>1955</v>
      </c>
      <c r="G10436" s="283" t="s">
        <v>86</v>
      </c>
      <c r="H10436" s="284"/>
      <c r="I10436" s="284"/>
      <c r="J10436" s="285" t="s">
        <v>1978</v>
      </c>
      <c r="K10436" s="286">
        <v>18556.31868131868</v>
      </c>
      <c r="L10436" s="286"/>
      <c r="M10436" s="401"/>
    </row>
    <row r="10437" spans="1:14" ht="11.25" customHeight="1" x14ac:dyDescent="0.2">
      <c r="A10437" s="287">
        <v>2025</v>
      </c>
      <c r="B10437" s="287">
        <v>12</v>
      </c>
      <c r="C10437" s="287">
        <v>21</v>
      </c>
      <c r="D10437" s="288">
        <f t="shared" si="1205"/>
        <v>46012</v>
      </c>
      <c r="E10437" s="289">
        <f t="shared" si="1207"/>
        <v>46012</v>
      </c>
      <c r="F10437" s="473"/>
      <c r="G10437" s="290" t="s">
        <v>86</v>
      </c>
      <c r="H10437" s="291"/>
      <c r="I10437" s="291"/>
      <c r="J10437" s="292" t="s">
        <v>1955</v>
      </c>
      <c r="K10437" s="293"/>
      <c r="L10437" s="293">
        <f>K10436</f>
        <v>18556.31868131868</v>
      </c>
    </row>
    <row r="10438" spans="1:14" ht="11.25" customHeight="1" x14ac:dyDescent="0.2">
      <c r="A10438" s="341">
        <v>2025</v>
      </c>
      <c r="B10438" s="341">
        <v>12</v>
      </c>
      <c r="C10438" s="341">
        <v>21</v>
      </c>
      <c r="D10438" s="328">
        <f t="shared" si="1205"/>
        <v>46012</v>
      </c>
      <c r="E10438" s="329">
        <f t="shared" si="1207"/>
        <v>46012</v>
      </c>
      <c r="F10438" s="474" t="s">
        <v>1767</v>
      </c>
      <c r="G10438" s="330" t="s">
        <v>86</v>
      </c>
      <c r="H10438" s="332"/>
      <c r="I10438" s="332"/>
      <c r="J10438" s="342" t="s">
        <v>67</v>
      </c>
      <c r="K10438" s="343">
        <v>2227.44</v>
      </c>
      <c r="L10438" s="343"/>
    </row>
    <row r="10439" spans="1:14" ht="11.25" customHeight="1" x14ac:dyDescent="0.2">
      <c r="A10439" s="344">
        <v>2025</v>
      </c>
      <c r="B10439" s="344">
        <v>12</v>
      </c>
      <c r="C10439" s="344">
        <v>21</v>
      </c>
      <c r="D10439" s="337">
        <f t="shared" si="1205"/>
        <v>46012</v>
      </c>
      <c r="E10439" s="338">
        <f t="shared" si="1207"/>
        <v>46012</v>
      </c>
      <c r="F10439" s="475"/>
      <c r="G10439" s="339" t="s">
        <v>86</v>
      </c>
      <c r="H10439" s="340"/>
      <c r="I10439" s="340"/>
      <c r="J10439" s="345" t="s">
        <v>174</v>
      </c>
      <c r="K10439" s="346"/>
      <c r="L10439" s="346">
        <f>K10438</f>
        <v>2227.44</v>
      </c>
    </row>
    <row r="10440" spans="1:14" ht="11.25" customHeight="1" x14ac:dyDescent="0.2">
      <c r="A10440" s="358">
        <v>2025</v>
      </c>
      <c r="B10440" s="358">
        <v>12</v>
      </c>
      <c r="C10440" s="358">
        <v>21</v>
      </c>
      <c r="D10440" s="312">
        <f t="shared" si="1205"/>
        <v>46012</v>
      </c>
      <c r="E10440" s="313">
        <f>DATE(A10440,B10440,C10440)</f>
        <v>46012</v>
      </c>
      <c r="F10440" s="482" t="s">
        <v>1627</v>
      </c>
      <c r="G10440" s="314" t="s">
        <v>86</v>
      </c>
      <c r="H10440" s="324"/>
      <c r="I10440" s="324"/>
      <c r="J10440" s="364" t="s">
        <v>1613</v>
      </c>
      <c r="K10440" s="365"/>
      <c r="L10440" s="365"/>
      <c r="M10440" s="156">
        <f>BS!$I$12</f>
        <v>0</v>
      </c>
    </row>
    <row r="10441" spans="1:14" ht="11.25" customHeight="1" x14ac:dyDescent="0.2">
      <c r="A10441" s="320">
        <v>2025</v>
      </c>
      <c r="B10441" s="320">
        <v>12</v>
      </c>
      <c r="C10441" s="320">
        <v>21</v>
      </c>
      <c r="D10441" s="323">
        <f t="shared" ref="D10441:D10504" si="1208">DATE(A10441,B10441,C10441)</f>
        <v>46012</v>
      </c>
      <c r="E10441" s="321">
        <f t="shared" ref="E10441" si="1209">DATE(A10441,B10441,C10441)</f>
        <v>46012</v>
      </c>
      <c r="F10441" s="483"/>
      <c r="G10441" s="322" t="s">
        <v>86</v>
      </c>
      <c r="H10441" s="325"/>
      <c r="I10441" s="325"/>
      <c r="J10441" s="366" t="s">
        <v>1621</v>
      </c>
      <c r="K10441" s="367"/>
      <c r="L10441" s="367">
        <f>K10440</f>
        <v>0</v>
      </c>
    </row>
    <row r="10442" spans="1:14" ht="11.25" customHeight="1" x14ac:dyDescent="0.2">
      <c r="A10442" s="358">
        <v>2025</v>
      </c>
      <c r="B10442" s="358">
        <v>12</v>
      </c>
      <c r="C10442" s="358">
        <v>21</v>
      </c>
      <c r="D10442" s="312">
        <f t="shared" si="1208"/>
        <v>46012</v>
      </c>
      <c r="E10442" s="313">
        <f>DATE(A10442,B10442,C10442)</f>
        <v>46012</v>
      </c>
      <c r="F10442" s="482" t="s">
        <v>1713</v>
      </c>
      <c r="G10442" s="314" t="s">
        <v>86</v>
      </c>
      <c r="H10442" s="324"/>
      <c r="I10442" s="324"/>
      <c r="J10442" s="364" t="s">
        <v>1614</v>
      </c>
      <c r="K10442" s="365">
        <v>9564.5850000008941</v>
      </c>
      <c r="L10442" s="365"/>
      <c r="M10442" s="447">
        <f>BS!$I$15</f>
        <v>0</v>
      </c>
      <c r="N10442" s="166"/>
    </row>
    <row r="10443" spans="1:14" ht="11.25" customHeight="1" x14ac:dyDescent="0.2">
      <c r="A10443" s="320">
        <v>2025</v>
      </c>
      <c r="B10443" s="320">
        <v>12</v>
      </c>
      <c r="C10443" s="320">
        <v>21</v>
      </c>
      <c r="D10443" s="323">
        <f t="shared" si="1208"/>
        <v>46012</v>
      </c>
      <c r="E10443" s="321">
        <f t="shared" ref="E10443:E10458" si="1210">DATE(A10443,B10443,C10443)</f>
        <v>46012</v>
      </c>
      <c r="F10443" s="483"/>
      <c r="G10443" s="322" t="s">
        <v>86</v>
      </c>
      <c r="H10443" s="325"/>
      <c r="I10443" s="325"/>
      <c r="J10443" s="366" t="s">
        <v>1622</v>
      </c>
      <c r="K10443" s="367"/>
      <c r="L10443" s="367">
        <f>K10442</f>
        <v>9564.5850000008941</v>
      </c>
    </row>
    <row r="10444" spans="1:14" ht="11.25" customHeight="1" x14ac:dyDescent="0.2">
      <c r="A10444" s="236">
        <v>2025</v>
      </c>
      <c r="B10444" s="236">
        <v>12</v>
      </c>
      <c r="C10444" s="236">
        <v>21</v>
      </c>
      <c r="D10444" s="237">
        <f t="shared" si="1208"/>
        <v>46012</v>
      </c>
      <c r="E10444" s="238">
        <f t="shared" si="1210"/>
        <v>46012</v>
      </c>
      <c r="F10444" s="476" t="s">
        <v>1118</v>
      </c>
      <c r="G10444" s="239" t="s">
        <v>86</v>
      </c>
      <c r="H10444" s="239"/>
      <c r="I10444" s="240"/>
      <c r="J10444" s="241" t="s">
        <v>82</v>
      </c>
      <c r="K10444" s="242">
        <v>497665.51999995112</v>
      </c>
      <c r="L10444" s="242"/>
      <c r="M10444" s="156">
        <f>BS!$I$8</f>
        <v>0</v>
      </c>
    </row>
    <row r="10445" spans="1:14" ht="11.25" customHeight="1" x14ac:dyDescent="0.2">
      <c r="A10445" s="243">
        <v>2025</v>
      </c>
      <c r="B10445" s="243">
        <v>12</v>
      </c>
      <c r="C10445" s="243">
        <v>21</v>
      </c>
      <c r="D10445" s="248">
        <f t="shared" si="1208"/>
        <v>46012</v>
      </c>
      <c r="E10445" s="249">
        <f t="shared" si="1210"/>
        <v>46012</v>
      </c>
      <c r="F10445" s="477"/>
      <c r="G10445" s="244" t="s">
        <v>86</v>
      </c>
      <c r="H10445" s="244"/>
      <c r="I10445" s="245"/>
      <c r="J10445" s="246" t="s">
        <v>98</v>
      </c>
      <c r="K10445" s="247"/>
      <c r="L10445" s="247">
        <f>K10444</f>
        <v>497665.51999995112</v>
      </c>
    </row>
    <row r="10446" spans="1:14" ht="11.25" customHeight="1" x14ac:dyDescent="0.2">
      <c r="A10446" s="236">
        <v>2025</v>
      </c>
      <c r="B10446" s="236">
        <v>12</v>
      </c>
      <c r="C10446" s="236">
        <v>21</v>
      </c>
      <c r="D10446" s="237">
        <f t="shared" si="1208"/>
        <v>46012</v>
      </c>
      <c r="E10446" s="238">
        <f t="shared" si="1210"/>
        <v>46012</v>
      </c>
      <c r="F10446" s="476" t="s">
        <v>1120</v>
      </c>
      <c r="G10446" s="239" t="s">
        <v>86</v>
      </c>
      <c r="H10446" s="239"/>
      <c r="I10446" s="240"/>
      <c r="J10446" s="241" t="s">
        <v>87</v>
      </c>
      <c r="K10446" s="242">
        <v>1177.3940345368917</v>
      </c>
      <c r="L10446" s="242"/>
      <c r="M10446" s="401"/>
    </row>
    <row r="10447" spans="1:14" ht="11.25" customHeight="1" x14ac:dyDescent="0.2">
      <c r="A10447" s="243">
        <v>2025</v>
      </c>
      <c r="B10447" s="243">
        <v>12</v>
      </c>
      <c r="C10447" s="243">
        <v>21</v>
      </c>
      <c r="D10447" s="248">
        <f t="shared" si="1208"/>
        <v>46012</v>
      </c>
      <c r="E10447" s="249">
        <f t="shared" si="1210"/>
        <v>46012</v>
      </c>
      <c r="F10447" s="477"/>
      <c r="G10447" s="244" t="s">
        <v>86</v>
      </c>
      <c r="H10447" s="244"/>
      <c r="I10447" s="245"/>
      <c r="J10447" s="246" t="s">
        <v>64</v>
      </c>
      <c r="K10447" s="247"/>
      <c r="L10447" s="247">
        <f>K10446</f>
        <v>1177.3940345368917</v>
      </c>
    </row>
    <row r="10448" spans="1:14" ht="11.25" customHeight="1" x14ac:dyDescent="0.2">
      <c r="A10448" s="236">
        <v>2025</v>
      </c>
      <c r="B10448" s="236">
        <v>12</v>
      </c>
      <c r="C10448" s="236">
        <v>21</v>
      </c>
      <c r="D10448" s="237">
        <f t="shared" si="1208"/>
        <v>46012</v>
      </c>
      <c r="E10448" s="238">
        <f t="shared" si="1210"/>
        <v>46012</v>
      </c>
      <c r="F10448" s="476" t="s">
        <v>1121</v>
      </c>
      <c r="G10448" s="239" t="s">
        <v>86</v>
      </c>
      <c r="H10448" s="239"/>
      <c r="I10448" s="240"/>
      <c r="J10448" s="241" t="s">
        <v>89</v>
      </c>
      <c r="K10448" s="242">
        <f>M10448</f>
        <v>38859.677717985847</v>
      </c>
      <c r="L10448" s="242"/>
      <c r="M10448" s="448">
        <v>38859.677717985847</v>
      </c>
    </row>
    <row r="10449" spans="1:13" ht="11.25" customHeight="1" x14ac:dyDescent="0.2">
      <c r="A10449" s="243">
        <v>2025</v>
      </c>
      <c r="B10449" s="243">
        <v>12</v>
      </c>
      <c r="C10449" s="243">
        <v>21</v>
      </c>
      <c r="D10449" s="248">
        <f t="shared" si="1208"/>
        <v>46012</v>
      </c>
      <c r="E10449" s="249">
        <f t="shared" si="1210"/>
        <v>46012</v>
      </c>
      <c r="F10449" s="477"/>
      <c r="G10449" s="244" t="s">
        <v>86</v>
      </c>
      <c r="H10449" s="244"/>
      <c r="I10449" s="245"/>
      <c r="J10449" s="246" t="s">
        <v>50</v>
      </c>
      <c r="K10449" s="247"/>
      <c r="L10449" s="247">
        <f>K10448</f>
        <v>38859.677717985847</v>
      </c>
      <c r="M10449" s="448">
        <v>1839.9619078773148</v>
      </c>
    </row>
    <row r="10450" spans="1:13" ht="11.25" customHeight="1" x14ac:dyDescent="0.2">
      <c r="A10450" s="236">
        <v>2025</v>
      </c>
      <c r="B10450" s="236">
        <v>12</v>
      </c>
      <c r="C10450" s="236">
        <v>21</v>
      </c>
      <c r="D10450" s="237">
        <f t="shared" si="1208"/>
        <v>46012</v>
      </c>
      <c r="E10450" s="238">
        <f t="shared" si="1210"/>
        <v>46012</v>
      </c>
      <c r="F10450" s="476" t="s">
        <v>1122</v>
      </c>
      <c r="G10450" s="239" t="s">
        <v>86</v>
      </c>
      <c r="H10450" s="239"/>
      <c r="I10450" s="240"/>
      <c r="J10450" s="241" t="s">
        <v>91</v>
      </c>
      <c r="K10450" s="242">
        <f>M10449</f>
        <v>1839.9619078773148</v>
      </c>
      <c r="L10450" s="242"/>
    </row>
    <row r="10451" spans="1:13" ht="11.25" customHeight="1" x14ac:dyDescent="0.2">
      <c r="A10451" s="243">
        <v>2025</v>
      </c>
      <c r="B10451" s="243">
        <v>12</v>
      </c>
      <c r="C10451" s="243">
        <v>21</v>
      </c>
      <c r="D10451" s="248">
        <f t="shared" si="1208"/>
        <v>46012</v>
      </c>
      <c r="E10451" s="249">
        <f t="shared" si="1210"/>
        <v>46012</v>
      </c>
      <c r="F10451" s="477"/>
      <c r="G10451" s="244" t="s">
        <v>86</v>
      </c>
      <c r="H10451" s="244"/>
      <c r="I10451" s="245"/>
      <c r="J10451" s="246" t="s">
        <v>51</v>
      </c>
      <c r="K10451" s="247"/>
      <c r="L10451" s="247">
        <f>K10450</f>
        <v>1839.9619078773148</v>
      </c>
    </row>
    <row r="10452" spans="1:13" ht="11.25" customHeight="1" x14ac:dyDescent="0.2">
      <c r="A10452" s="221">
        <v>2025</v>
      </c>
      <c r="B10452" s="221">
        <v>12</v>
      </c>
      <c r="C10452" s="221">
        <v>22</v>
      </c>
      <c r="D10452" s="231">
        <f t="shared" si="1208"/>
        <v>46013</v>
      </c>
      <c r="E10452" s="233">
        <f t="shared" si="1210"/>
        <v>46013</v>
      </c>
      <c r="F10452" s="478" t="s">
        <v>1968</v>
      </c>
      <c r="G10452" s="222" t="s">
        <v>1111</v>
      </c>
      <c r="H10452" s="223"/>
      <c r="I10452" s="223"/>
      <c r="J10452" s="224" t="s">
        <v>55</v>
      </c>
      <c r="K10452" s="225">
        <v>301250</v>
      </c>
      <c r="L10452" s="225"/>
    </row>
    <row r="10453" spans="1:13" ht="11.25" customHeight="1" x14ac:dyDescent="0.2">
      <c r="A10453" s="226">
        <v>2025</v>
      </c>
      <c r="B10453" s="226">
        <v>12</v>
      </c>
      <c r="C10453" s="226">
        <v>22</v>
      </c>
      <c r="D10453" s="232">
        <f t="shared" si="1208"/>
        <v>46013</v>
      </c>
      <c r="E10453" s="234">
        <f t="shared" si="1210"/>
        <v>46013</v>
      </c>
      <c r="F10453" s="479"/>
      <c r="G10453" s="227" t="s">
        <v>1111</v>
      </c>
      <c r="H10453" s="228"/>
      <c r="I10453" s="228"/>
      <c r="J10453" s="229" t="s">
        <v>192</v>
      </c>
      <c r="K10453" s="230"/>
      <c r="L10453" s="230">
        <f>K10452</f>
        <v>301250</v>
      </c>
    </row>
    <row r="10454" spans="1:13" ht="11.25" customHeight="1" x14ac:dyDescent="0.2">
      <c r="A10454" s="221">
        <v>2025</v>
      </c>
      <c r="B10454" s="221">
        <v>12</v>
      </c>
      <c r="C10454" s="221">
        <v>22</v>
      </c>
      <c r="D10454" s="231">
        <f t="shared" si="1208"/>
        <v>46013</v>
      </c>
      <c r="E10454" s="233">
        <f t="shared" si="1210"/>
        <v>46013</v>
      </c>
      <c r="F10454" s="478" t="s">
        <v>1605</v>
      </c>
      <c r="G10454" s="222" t="s">
        <v>1111</v>
      </c>
      <c r="H10454" s="223"/>
      <c r="I10454" s="223"/>
      <c r="J10454" s="224" t="s">
        <v>55</v>
      </c>
      <c r="K10454" s="167">
        <v>585225</v>
      </c>
      <c r="L10454" s="225"/>
    </row>
    <row r="10455" spans="1:13" ht="11.25" customHeight="1" x14ac:dyDescent="0.2">
      <c r="A10455" s="164">
        <v>2025</v>
      </c>
      <c r="B10455" s="164">
        <v>12</v>
      </c>
      <c r="C10455" s="164">
        <v>22</v>
      </c>
      <c r="D10455" s="156">
        <f t="shared" si="1208"/>
        <v>46013</v>
      </c>
      <c r="E10455" s="235">
        <f t="shared" si="1210"/>
        <v>46013</v>
      </c>
      <c r="F10455" s="480"/>
      <c r="G10455" s="208" t="s">
        <v>1111</v>
      </c>
      <c r="J10455" s="165" t="s">
        <v>14</v>
      </c>
      <c r="L10455" s="205">
        <v>495820</v>
      </c>
    </row>
    <row r="10456" spans="1:13" ht="11.25" customHeight="1" x14ac:dyDescent="0.2">
      <c r="A10456" s="226">
        <v>2025</v>
      </c>
      <c r="B10456" s="226">
        <v>12</v>
      </c>
      <c r="C10456" s="226">
        <v>22</v>
      </c>
      <c r="D10456" s="232">
        <f t="shared" si="1208"/>
        <v>46013</v>
      </c>
      <c r="E10456" s="234">
        <f t="shared" si="1210"/>
        <v>46013</v>
      </c>
      <c r="F10456" s="479"/>
      <c r="G10456" s="227" t="s">
        <v>1111</v>
      </c>
      <c r="H10456" s="228"/>
      <c r="I10456" s="228"/>
      <c r="J10456" s="229" t="s">
        <v>1112</v>
      </c>
      <c r="K10456" s="230"/>
      <c r="L10456" s="230">
        <v>89405</v>
      </c>
    </row>
    <row r="10457" spans="1:13" ht="11.25" customHeight="1" x14ac:dyDescent="0.2">
      <c r="A10457" s="221">
        <v>2025</v>
      </c>
      <c r="B10457" s="221">
        <v>12</v>
      </c>
      <c r="C10457" s="221">
        <v>22</v>
      </c>
      <c r="D10457" s="231">
        <f t="shared" si="1208"/>
        <v>46013</v>
      </c>
      <c r="E10457" s="233">
        <f t="shared" si="1210"/>
        <v>46013</v>
      </c>
      <c r="F10457" s="478" t="s">
        <v>1940</v>
      </c>
      <c r="G10457" s="222" t="s">
        <v>1111</v>
      </c>
      <c r="H10457" s="223"/>
      <c r="I10457" s="223"/>
      <c r="J10457" s="224" t="s">
        <v>961</v>
      </c>
      <c r="K10457" s="225">
        <v>1274675.03</v>
      </c>
      <c r="L10457" s="225"/>
    </row>
    <row r="10458" spans="1:13" ht="11.25" customHeight="1" x14ac:dyDescent="0.2">
      <c r="A10458" s="226">
        <v>2025</v>
      </c>
      <c r="B10458" s="226">
        <v>12</v>
      </c>
      <c r="C10458" s="226">
        <v>22</v>
      </c>
      <c r="D10458" s="232">
        <f t="shared" si="1208"/>
        <v>46013</v>
      </c>
      <c r="E10458" s="234">
        <f t="shared" si="1210"/>
        <v>46013</v>
      </c>
      <c r="F10458" s="479"/>
      <c r="G10458" s="227" t="s">
        <v>1111</v>
      </c>
      <c r="H10458" s="228"/>
      <c r="I10458" s="228"/>
      <c r="J10458" s="229" t="s">
        <v>55</v>
      </c>
      <c r="K10458" s="230"/>
      <c r="L10458" s="230">
        <f>K10457</f>
        <v>1274675.03</v>
      </c>
    </row>
    <row r="10459" spans="1:13" ht="11.25" customHeight="1" x14ac:dyDescent="0.2">
      <c r="A10459" s="221">
        <v>2025</v>
      </c>
      <c r="B10459" s="221">
        <v>12</v>
      </c>
      <c r="C10459" s="221">
        <v>22</v>
      </c>
      <c r="D10459" s="231">
        <f t="shared" si="1208"/>
        <v>46013</v>
      </c>
      <c r="E10459" s="233">
        <f t="shared" ref="E10459:E10462" si="1211">DATE(A10459,B10459,C10459)</f>
        <v>46013</v>
      </c>
      <c r="F10459" s="478" t="s">
        <v>1940</v>
      </c>
      <c r="G10459" s="222" t="s">
        <v>1111</v>
      </c>
      <c r="H10459" s="223"/>
      <c r="I10459" s="223"/>
      <c r="J10459" s="224" t="s">
        <v>961</v>
      </c>
      <c r="K10459" s="225">
        <v>841703.19</v>
      </c>
      <c r="L10459" s="225"/>
    </row>
    <row r="10460" spans="1:13" ht="11.25" customHeight="1" x14ac:dyDescent="0.2">
      <c r="A10460" s="226">
        <v>2025</v>
      </c>
      <c r="B10460" s="226">
        <v>12</v>
      </c>
      <c r="C10460" s="226">
        <v>22</v>
      </c>
      <c r="D10460" s="232">
        <f t="shared" si="1208"/>
        <v>46013</v>
      </c>
      <c r="E10460" s="234">
        <f t="shared" si="1211"/>
        <v>46013</v>
      </c>
      <c r="F10460" s="479"/>
      <c r="G10460" s="227" t="s">
        <v>1111</v>
      </c>
      <c r="H10460" s="228"/>
      <c r="I10460" s="228"/>
      <c r="J10460" s="229" t="s">
        <v>55</v>
      </c>
      <c r="K10460" s="230"/>
      <c r="L10460" s="230">
        <f>K10459</f>
        <v>841703.19</v>
      </c>
    </row>
    <row r="10461" spans="1:13" ht="11.25" customHeight="1" x14ac:dyDescent="0.2">
      <c r="A10461" s="221">
        <v>2025</v>
      </c>
      <c r="B10461" s="221">
        <v>12</v>
      </c>
      <c r="C10461" s="221">
        <v>22</v>
      </c>
      <c r="D10461" s="231">
        <f t="shared" si="1208"/>
        <v>46013</v>
      </c>
      <c r="E10461" s="233">
        <f t="shared" si="1211"/>
        <v>46013</v>
      </c>
      <c r="F10461" s="478" t="s">
        <v>1670</v>
      </c>
      <c r="G10461" s="222" t="s">
        <v>1111</v>
      </c>
      <c r="H10461" s="223"/>
      <c r="I10461" s="223"/>
      <c r="J10461" s="224" t="s">
        <v>63</v>
      </c>
      <c r="K10461" s="225">
        <v>100</v>
      </c>
      <c r="L10461" s="225"/>
    </row>
    <row r="10462" spans="1:13" ht="11.25" customHeight="1" x14ac:dyDescent="0.2">
      <c r="A10462" s="226">
        <v>2025</v>
      </c>
      <c r="B10462" s="226">
        <v>12</v>
      </c>
      <c r="C10462" s="226">
        <v>22</v>
      </c>
      <c r="D10462" s="232">
        <f t="shared" si="1208"/>
        <v>46013</v>
      </c>
      <c r="E10462" s="234">
        <f t="shared" si="1211"/>
        <v>46013</v>
      </c>
      <c r="F10462" s="479"/>
      <c r="G10462" s="227" t="s">
        <v>1111</v>
      </c>
      <c r="H10462" s="228"/>
      <c r="I10462" s="228"/>
      <c r="J10462" s="229" t="s">
        <v>55</v>
      </c>
      <c r="K10462" s="230"/>
      <c r="L10462" s="230">
        <f>K10461</f>
        <v>100</v>
      </c>
    </row>
    <row r="10463" spans="1:13" ht="11.25" customHeight="1" x14ac:dyDescent="0.2">
      <c r="A10463" s="221">
        <v>2025</v>
      </c>
      <c r="B10463" s="221">
        <v>12</v>
      </c>
      <c r="C10463" s="221">
        <v>22</v>
      </c>
      <c r="D10463" s="231">
        <f t="shared" si="1208"/>
        <v>46013</v>
      </c>
      <c r="E10463" s="233">
        <f>DATE(A10463,B10463,C10463)</f>
        <v>46013</v>
      </c>
      <c r="F10463" s="478" t="s">
        <v>1969</v>
      </c>
      <c r="G10463" s="222" t="s">
        <v>1111</v>
      </c>
      <c r="H10463" s="223"/>
      <c r="I10463" s="223"/>
      <c r="J10463" s="224" t="s">
        <v>51</v>
      </c>
      <c r="K10463" s="225">
        <v>84195.444334545871</v>
      </c>
      <c r="L10463" s="225"/>
    </row>
    <row r="10464" spans="1:13" ht="11.25" customHeight="1" x14ac:dyDescent="0.2">
      <c r="A10464" s="164">
        <v>2025</v>
      </c>
      <c r="B10464" s="164">
        <v>12</v>
      </c>
      <c r="C10464" s="164">
        <v>22</v>
      </c>
      <c r="D10464" s="156">
        <f t="shared" si="1208"/>
        <v>46013</v>
      </c>
      <c r="E10464" s="235">
        <f>DATE(A10464,B10464,C10464)</f>
        <v>46013</v>
      </c>
      <c r="F10464" s="480"/>
      <c r="G10464" s="208" t="s">
        <v>1111</v>
      </c>
      <c r="J10464" s="165" t="s">
        <v>478</v>
      </c>
      <c r="K10464" s="205"/>
      <c r="L10464" s="205">
        <v>8419.5444334545882</v>
      </c>
    </row>
    <row r="10465" spans="1:14" ht="11.25" customHeight="1" x14ac:dyDescent="0.2">
      <c r="A10465" s="226">
        <v>2025</v>
      </c>
      <c r="B10465" s="226">
        <v>12</v>
      </c>
      <c r="C10465" s="226">
        <v>22</v>
      </c>
      <c r="D10465" s="232">
        <f t="shared" si="1208"/>
        <v>46013</v>
      </c>
      <c r="E10465" s="234">
        <f>DATE(A10465,B10465,C10465)</f>
        <v>46013</v>
      </c>
      <c r="F10465" s="479"/>
      <c r="G10465" s="227" t="s">
        <v>1111</v>
      </c>
      <c r="H10465" s="228"/>
      <c r="I10465" s="228"/>
      <c r="J10465" s="229" t="s">
        <v>55</v>
      </c>
      <c r="K10465" s="230"/>
      <c r="L10465" s="230">
        <v>75775.899901091281</v>
      </c>
    </row>
    <row r="10466" spans="1:14" ht="11.25" customHeight="1" x14ac:dyDescent="0.2">
      <c r="A10466" s="221">
        <v>2025</v>
      </c>
      <c r="B10466" s="221">
        <v>12</v>
      </c>
      <c r="C10466" s="221">
        <v>22</v>
      </c>
      <c r="D10466" s="231">
        <f t="shared" si="1208"/>
        <v>46013</v>
      </c>
      <c r="E10466" s="233">
        <f t="shared" ref="E10466:E10468" si="1212">DATE(A10466,B10466,C10466)</f>
        <v>46013</v>
      </c>
      <c r="F10466" s="478" t="s">
        <v>1178</v>
      </c>
      <c r="G10466" s="222" t="s">
        <v>1111</v>
      </c>
      <c r="H10466" s="223"/>
      <c r="I10466" s="223"/>
      <c r="J10466" s="224" t="s">
        <v>189</v>
      </c>
      <c r="K10466" s="225">
        <v>5750</v>
      </c>
      <c r="L10466" s="225"/>
    </row>
    <row r="10467" spans="1:14" ht="11.25" customHeight="1" x14ac:dyDescent="0.2">
      <c r="A10467" s="164">
        <v>2025</v>
      </c>
      <c r="B10467" s="164">
        <v>12</v>
      </c>
      <c r="C10467" s="164">
        <v>22</v>
      </c>
      <c r="D10467" s="156">
        <f t="shared" si="1208"/>
        <v>46013</v>
      </c>
      <c r="E10467" s="235">
        <f t="shared" si="1212"/>
        <v>46013</v>
      </c>
      <c r="F10467" s="480"/>
      <c r="G10467" s="208" t="s">
        <v>1111</v>
      </c>
      <c r="J10467" s="165" t="s">
        <v>1708</v>
      </c>
      <c r="K10467" s="205"/>
      <c r="L10467" s="205">
        <v>250</v>
      </c>
    </row>
    <row r="10468" spans="1:14" ht="11.25" customHeight="1" x14ac:dyDescent="0.2">
      <c r="A10468" s="226">
        <v>2025</v>
      </c>
      <c r="B10468" s="226">
        <v>12</v>
      </c>
      <c r="C10468" s="226">
        <v>22</v>
      </c>
      <c r="D10468" s="232">
        <f t="shared" si="1208"/>
        <v>46013</v>
      </c>
      <c r="E10468" s="234">
        <f t="shared" si="1212"/>
        <v>46013</v>
      </c>
      <c r="F10468" s="479"/>
      <c r="G10468" s="227" t="s">
        <v>1111</v>
      </c>
      <c r="H10468" s="228"/>
      <c r="I10468" s="228"/>
      <c r="J10468" s="229" t="s">
        <v>55</v>
      </c>
      <c r="K10468" s="230"/>
      <c r="L10468" s="230">
        <v>5500</v>
      </c>
    </row>
    <row r="10469" spans="1:14" ht="11.25" customHeight="1" x14ac:dyDescent="0.2">
      <c r="A10469" s="221">
        <v>2025</v>
      </c>
      <c r="B10469" s="221">
        <v>12</v>
      </c>
      <c r="C10469" s="221">
        <v>22</v>
      </c>
      <c r="D10469" s="231">
        <f t="shared" si="1208"/>
        <v>46013</v>
      </c>
      <c r="E10469" s="233">
        <f t="shared" ref="E10469:E10484" si="1213">DATE(A10469,B10469,C10469)</f>
        <v>46013</v>
      </c>
      <c r="F10469" s="478" t="s">
        <v>1178</v>
      </c>
      <c r="G10469" s="222" t="s">
        <v>1111</v>
      </c>
      <c r="H10469" s="223"/>
      <c r="I10469" s="223"/>
      <c r="J10469" s="224" t="s">
        <v>189</v>
      </c>
      <c r="K10469" s="225">
        <v>5750</v>
      </c>
      <c r="L10469" s="225"/>
    </row>
    <row r="10470" spans="1:14" ht="11.25" customHeight="1" x14ac:dyDescent="0.2">
      <c r="A10470" s="164">
        <v>2025</v>
      </c>
      <c r="B10470" s="164">
        <v>12</v>
      </c>
      <c r="C10470" s="164">
        <v>22</v>
      </c>
      <c r="D10470" s="156">
        <f t="shared" si="1208"/>
        <v>46013</v>
      </c>
      <c r="E10470" s="235">
        <f t="shared" si="1213"/>
        <v>46013</v>
      </c>
      <c r="F10470" s="480"/>
      <c r="G10470" s="208" t="s">
        <v>1111</v>
      </c>
      <c r="J10470" s="165" t="s">
        <v>1708</v>
      </c>
      <c r="K10470" s="205"/>
      <c r="L10470" s="205">
        <v>250</v>
      </c>
    </row>
    <row r="10471" spans="1:14" ht="11.25" customHeight="1" x14ac:dyDescent="0.2">
      <c r="A10471" s="226">
        <v>2025</v>
      </c>
      <c r="B10471" s="226">
        <v>12</v>
      </c>
      <c r="C10471" s="226">
        <v>22</v>
      </c>
      <c r="D10471" s="232">
        <f t="shared" si="1208"/>
        <v>46013</v>
      </c>
      <c r="E10471" s="234">
        <f t="shared" si="1213"/>
        <v>46013</v>
      </c>
      <c r="F10471" s="479"/>
      <c r="G10471" s="227" t="s">
        <v>1111</v>
      </c>
      <c r="H10471" s="228"/>
      <c r="I10471" s="228"/>
      <c r="J10471" s="229" t="s">
        <v>55</v>
      </c>
      <c r="K10471" s="230"/>
      <c r="L10471" s="230">
        <v>5500</v>
      </c>
    </row>
    <row r="10472" spans="1:14" ht="11.25" customHeight="1" x14ac:dyDescent="0.2">
      <c r="A10472" s="221">
        <v>2025</v>
      </c>
      <c r="B10472" s="221">
        <v>12</v>
      </c>
      <c r="C10472" s="221">
        <v>22</v>
      </c>
      <c r="D10472" s="221">
        <f t="shared" si="1208"/>
        <v>46013</v>
      </c>
      <c r="E10472" s="233">
        <f t="shared" si="1213"/>
        <v>46013</v>
      </c>
      <c r="F10472" s="478" t="s">
        <v>1937</v>
      </c>
      <c r="G10472" s="222" t="s">
        <v>86</v>
      </c>
      <c r="H10472" s="222"/>
      <c r="I10472" s="223"/>
      <c r="J10472" s="224" t="s">
        <v>80</v>
      </c>
      <c r="K10472" s="225">
        <v>2127156.4</v>
      </c>
      <c r="L10472" s="225"/>
      <c r="N10472" s="263"/>
    </row>
    <row r="10473" spans="1:14" ht="11.25" customHeight="1" x14ac:dyDescent="0.2">
      <c r="A10473" s="164">
        <v>2025</v>
      </c>
      <c r="B10473" s="164">
        <v>12</v>
      </c>
      <c r="C10473" s="164">
        <v>22</v>
      </c>
      <c r="D10473" s="164">
        <f t="shared" si="1208"/>
        <v>46013</v>
      </c>
      <c r="E10473" s="235">
        <f t="shared" si="1213"/>
        <v>46013</v>
      </c>
      <c r="F10473" s="480"/>
      <c r="G10473" s="208" t="s">
        <v>86</v>
      </c>
      <c r="H10473" s="208"/>
      <c r="J10473" s="165" t="s">
        <v>960</v>
      </c>
      <c r="K10473" s="205">
        <v>7183.56</v>
      </c>
      <c r="L10473" s="205"/>
      <c r="M10473" s="263"/>
      <c r="N10473" s="263"/>
    </row>
    <row r="10474" spans="1:14" ht="11.25" customHeight="1" x14ac:dyDescent="0.2">
      <c r="A10474" s="164">
        <v>2025</v>
      </c>
      <c r="B10474" s="164">
        <v>12</v>
      </c>
      <c r="C10474" s="164">
        <v>22</v>
      </c>
      <c r="D10474" s="164">
        <f t="shared" si="1208"/>
        <v>46013</v>
      </c>
      <c r="E10474" s="235">
        <f t="shared" si="1213"/>
        <v>46013</v>
      </c>
      <c r="F10474" s="480"/>
      <c r="G10474" s="208" t="s">
        <v>86</v>
      </c>
      <c r="H10474" s="208"/>
      <c r="J10474" s="165" t="s">
        <v>961</v>
      </c>
      <c r="K10474" s="263"/>
      <c r="L10474" s="205">
        <v>270627.96000000002</v>
      </c>
      <c r="M10474" s="263"/>
      <c r="N10474" s="263"/>
    </row>
    <row r="10475" spans="1:14" ht="11.25" customHeight="1" x14ac:dyDescent="0.2">
      <c r="A10475" s="164">
        <v>2025</v>
      </c>
      <c r="B10475" s="164">
        <v>12</v>
      </c>
      <c r="C10475" s="164">
        <v>22</v>
      </c>
      <c r="D10475" s="164">
        <f t="shared" si="1208"/>
        <v>46013</v>
      </c>
      <c r="E10475" s="235">
        <f t="shared" si="1213"/>
        <v>46013</v>
      </c>
      <c r="F10475" s="480"/>
      <c r="G10475" s="208" t="s">
        <v>86</v>
      </c>
      <c r="H10475" s="208"/>
      <c r="J10475" s="165" t="s">
        <v>200</v>
      </c>
      <c r="K10475" s="205">
        <v>38767.89</v>
      </c>
      <c r="L10475" s="205"/>
      <c r="M10475" s="263"/>
      <c r="N10475" s="263"/>
    </row>
    <row r="10476" spans="1:14" ht="11.25" customHeight="1" x14ac:dyDescent="0.2">
      <c r="A10476" s="226">
        <v>2025</v>
      </c>
      <c r="B10476" s="226">
        <v>12</v>
      </c>
      <c r="C10476" s="226">
        <v>22</v>
      </c>
      <c r="D10476" s="226">
        <f t="shared" si="1208"/>
        <v>46013</v>
      </c>
      <c r="E10476" s="234">
        <f t="shared" si="1213"/>
        <v>46013</v>
      </c>
      <c r="F10476" s="479"/>
      <c r="G10476" s="227" t="s">
        <v>86</v>
      </c>
      <c r="H10476" s="228"/>
      <c r="I10476" s="228"/>
      <c r="J10476" s="229" t="s">
        <v>80</v>
      </c>
      <c r="K10476" s="230"/>
      <c r="L10476" s="230">
        <v>1902479.89</v>
      </c>
      <c r="M10476" s="263"/>
      <c r="N10476" s="263"/>
    </row>
    <row r="10477" spans="1:14" ht="11.25" customHeight="1" x14ac:dyDescent="0.2">
      <c r="A10477" s="280">
        <v>2025</v>
      </c>
      <c r="B10477" s="280">
        <v>12</v>
      </c>
      <c r="C10477" s="280">
        <v>22</v>
      </c>
      <c r="D10477" s="281">
        <f t="shared" si="1208"/>
        <v>46013</v>
      </c>
      <c r="E10477" s="282">
        <f t="shared" si="1213"/>
        <v>46013</v>
      </c>
      <c r="F10477" s="472" t="s">
        <v>1744</v>
      </c>
      <c r="G10477" s="283" t="s">
        <v>86</v>
      </c>
      <c r="H10477" s="284"/>
      <c r="I10477" s="284"/>
      <c r="J10477" s="285" t="s">
        <v>131</v>
      </c>
      <c r="K10477" s="286">
        <v>2765.4757142857147</v>
      </c>
      <c r="L10477" s="286"/>
      <c r="M10477" s="401"/>
    </row>
    <row r="10478" spans="1:14" ht="11.25" customHeight="1" x14ac:dyDescent="0.2">
      <c r="A10478" s="287">
        <v>2025</v>
      </c>
      <c r="B10478" s="287">
        <v>12</v>
      </c>
      <c r="C10478" s="287">
        <v>22</v>
      </c>
      <c r="D10478" s="288">
        <f t="shared" si="1208"/>
        <v>46013</v>
      </c>
      <c r="E10478" s="289">
        <f t="shared" si="1213"/>
        <v>46013</v>
      </c>
      <c r="F10478" s="473"/>
      <c r="G10478" s="290" t="s">
        <v>86</v>
      </c>
      <c r="H10478" s="291"/>
      <c r="I10478" s="291"/>
      <c r="J10478" s="292" t="s">
        <v>174</v>
      </c>
      <c r="K10478" s="293"/>
      <c r="L10478" s="293">
        <f>K10477</f>
        <v>2765.4757142857147</v>
      </c>
    </row>
    <row r="10479" spans="1:14" ht="11.25" customHeight="1" x14ac:dyDescent="0.2">
      <c r="A10479" s="280">
        <v>2025</v>
      </c>
      <c r="B10479" s="280">
        <v>12</v>
      </c>
      <c r="C10479" s="280">
        <v>22</v>
      </c>
      <c r="D10479" s="281">
        <f t="shared" si="1208"/>
        <v>46013</v>
      </c>
      <c r="E10479" s="282">
        <f t="shared" si="1213"/>
        <v>46013</v>
      </c>
      <c r="F10479" s="472" t="s">
        <v>1584</v>
      </c>
      <c r="G10479" s="283" t="s">
        <v>86</v>
      </c>
      <c r="H10479" s="284"/>
      <c r="I10479" s="284"/>
      <c r="J10479" s="285" t="s">
        <v>131</v>
      </c>
      <c r="K10479" s="286">
        <v>1263.7357142857143</v>
      </c>
      <c r="L10479" s="286"/>
      <c r="M10479" s="401"/>
    </row>
    <row r="10480" spans="1:14" ht="11.25" customHeight="1" x14ac:dyDescent="0.2">
      <c r="A10480" s="287">
        <v>2025</v>
      </c>
      <c r="B10480" s="287">
        <v>12</v>
      </c>
      <c r="C10480" s="287">
        <v>22</v>
      </c>
      <c r="D10480" s="288">
        <f t="shared" si="1208"/>
        <v>46013</v>
      </c>
      <c r="E10480" s="289">
        <f t="shared" si="1213"/>
        <v>46013</v>
      </c>
      <c r="F10480" s="473"/>
      <c r="G10480" s="290" t="s">
        <v>86</v>
      </c>
      <c r="H10480" s="291"/>
      <c r="I10480" s="291"/>
      <c r="J10480" s="292" t="s">
        <v>174</v>
      </c>
      <c r="K10480" s="293"/>
      <c r="L10480" s="293">
        <f>K10479</f>
        <v>1263.7357142857143</v>
      </c>
    </row>
    <row r="10481" spans="1:14" ht="11.25" customHeight="1" x14ac:dyDescent="0.2">
      <c r="A10481" s="280">
        <v>2025</v>
      </c>
      <c r="B10481" s="280">
        <v>12</v>
      </c>
      <c r="C10481" s="280">
        <v>22</v>
      </c>
      <c r="D10481" s="281">
        <f t="shared" si="1208"/>
        <v>46013</v>
      </c>
      <c r="E10481" s="282">
        <f t="shared" si="1213"/>
        <v>46013</v>
      </c>
      <c r="F10481" s="472" t="s">
        <v>1955</v>
      </c>
      <c r="G10481" s="283" t="s">
        <v>86</v>
      </c>
      <c r="H10481" s="284"/>
      <c r="I10481" s="284"/>
      <c r="J10481" s="285" t="s">
        <v>1978</v>
      </c>
      <c r="K10481" s="286">
        <v>6185.4395604395604</v>
      </c>
      <c r="L10481" s="286"/>
      <c r="M10481" s="401"/>
    </row>
    <row r="10482" spans="1:14" ht="11.25" customHeight="1" x14ac:dyDescent="0.2">
      <c r="A10482" s="287">
        <v>2025</v>
      </c>
      <c r="B10482" s="287">
        <v>12</v>
      </c>
      <c r="C10482" s="287">
        <v>22</v>
      </c>
      <c r="D10482" s="288">
        <f t="shared" si="1208"/>
        <v>46013</v>
      </c>
      <c r="E10482" s="289">
        <f t="shared" si="1213"/>
        <v>46013</v>
      </c>
      <c r="F10482" s="473"/>
      <c r="G10482" s="290" t="s">
        <v>86</v>
      </c>
      <c r="H10482" s="291"/>
      <c r="I10482" s="291"/>
      <c r="J10482" s="292" t="s">
        <v>1955</v>
      </c>
      <c r="K10482" s="293"/>
      <c r="L10482" s="293">
        <f>K10481</f>
        <v>6185.4395604395604</v>
      </c>
    </row>
    <row r="10483" spans="1:14" ht="11.25" customHeight="1" x14ac:dyDescent="0.2">
      <c r="A10483" s="341">
        <v>2025</v>
      </c>
      <c r="B10483" s="341">
        <v>12</v>
      </c>
      <c r="C10483" s="341">
        <v>22</v>
      </c>
      <c r="D10483" s="328">
        <f t="shared" si="1208"/>
        <v>46013</v>
      </c>
      <c r="E10483" s="329">
        <f t="shared" si="1213"/>
        <v>46013</v>
      </c>
      <c r="F10483" s="474" t="s">
        <v>1767</v>
      </c>
      <c r="G10483" s="330" t="s">
        <v>86</v>
      </c>
      <c r="H10483" s="332"/>
      <c r="I10483" s="332"/>
      <c r="J10483" s="342" t="s">
        <v>67</v>
      </c>
      <c r="K10483" s="343">
        <v>414.67860499999995</v>
      </c>
      <c r="L10483" s="343"/>
    </row>
    <row r="10484" spans="1:14" ht="11.25" customHeight="1" x14ac:dyDescent="0.2">
      <c r="A10484" s="344">
        <v>2025</v>
      </c>
      <c r="B10484" s="344">
        <v>12</v>
      </c>
      <c r="C10484" s="344">
        <v>22</v>
      </c>
      <c r="D10484" s="337">
        <f t="shared" si="1208"/>
        <v>46013</v>
      </c>
      <c r="E10484" s="338">
        <f t="shared" si="1213"/>
        <v>46013</v>
      </c>
      <c r="F10484" s="475"/>
      <c r="G10484" s="339" t="s">
        <v>86</v>
      </c>
      <c r="H10484" s="340"/>
      <c r="I10484" s="340"/>
      <c r="J10484" s="345" t="s">
        <v>174</v>
      </c>
      <c r="K10484" s="346"/>
      <c r="L10484" s="346">
        <f>K10483</f>
        <v>414.67860499999995</v>
      </c>
    </row>
    <row r="10485" spans="1:14" ht="11.25" customHeight="1" x14ac:dyDescent="0.2">
      <c r="A10485" s="358">
        <v>2025</v>
      </c>
      <c r="B10485" s="358">
        <v>12</v>
      </c>
      <c r="C10485" s="358">
        <v>22</v>
      </c>
      <c r="D10485" s="312">
        <f t="shared" si="1208"/>
        <v>46013</v>
      </c>
      <c r="E10485" s="313">
        <f>DATE(A10485,B10485,C10485)</f>
        <v>46013</v>
      </c>
      <c r="F10485" s="482" t="s">
        <v>1627</v>
      </c>
      <c r="G10485" s="314" t="s">
        <v>86</v>
      </c>
      <c r="H10485" s="324"/>
      <c r="I10485" s="324"/>
      <c r="J10485" s="364" t="s">
        <v>1613</v>
      </c>
      <c r="K10485" s="365"/>
      <c r="L10485" s="365"/>
      <c r="M10485" s="156">
        <f>BS!$I$12</f>
        <v>0</v>
      </c>
    </row>
    <row r="10486" spans="1:14" ht="11.25" customHeight="1" x14ac:dyDescent="0.2">
      <c r="A10486" s="320">
        <v>2025</v>
      </c>
      <c r="B10486" s="320">
        <v>12</v>
      </c>
      <c r="C10486" s="320">
        <v>22</v>
      </c>
      <c r="D10486" s="323">
        <f t="shared" si="1208"/>
        <v>46013</v>
      </c>
      <c r="E10486" s="321">
        <f t="shared" ref="E10486" si="1214">DATE(A10486,B10486,C10486)</f>
        <v>46013</v>
      </c>
      <c r="F10486" s="483"/>
      <c r="G10486" s="322" t="s">
        <v>86</v>
      </c>
      <c r="H10486" s="325"/>
      <c r="I10486" s="325"/>
      <c r="J10486" s="366" t="s">
        <v>1621</v>
      </c>
      <c r="K10486" s="367"/>
      <c r="L10486" s="367">
        <f>K10485</f>
        <v>0</v>
      </c>
    </row>
    <row r="10487" spans="1:14" ht="11.25" customHeight="1" x14ac:dyDescent="0.2">
      <c r="A10487" s="358">
        <v>2025</v>
      </c>
      <c r="B10487" s="358">
        <v>12</v>
      </c>
      <c r="C10487" s="358">
        <v>22</v>
      </c>
      <c r="D10487" s="312">
        <f t="shared" si="1208"/>
        <v>46013</v>
      </c>
      <c r="E10487" s="313">
        <f>DATE(A10487,B10487,C10487)</f>
        <v>46013</v>
      </c>
      <c r="F10487" s="482" t="s">
        <v>1713</v>
      </c>
      <c r="G10487" s="314" t="s">
        <v>86</v>
      </c>
      <c r="H10487" s="324"/>
      <c r="I10487" s="324"/>
      <c r="J10487" s="364" t="s">
        <v>1622</v>
      </c>
      <c r="K10487" s="365"/>
      <c r="L10487" s="365"/>
      <c r="M10487" s="447">
        <f>BS!$I$15</f>
        <v>0</v>
      </c>
      <c r="N10487" s="166"/>
    </row>
    <row r="10488" spans="1:14" ht="11.25" customHeight="1" x14ac:dyDescent="0.2">
      <c r="A10488" s="320">
        <v>2025</v>
      </c>
      <c r="B10488" s="320">
        <v>12</v>
      </c>
      <c r="C10488" s="320">
        <v>22</v>
      </c>
      <c r="D10488" s="323">
        <f t="shared" si="1208"/>
        <v>46013</v>
      </c>
      <c r="E10488" s="321">
        <f t="shared" ref="E10488:E10496" si="1215">DATE(A10488,B10488,C10488)</f>
        <v>46013</v>
      </c>
      <c r="F10488" s="483"/>
      <c r="G10488" s="322" t="s">
        <v>86</v>
      </c>
      <c r="H10488" s="325"/>
      <c r="I10488" s="325"/>
      <c r="J10488" s="366" t="s">
        <v>1614</v>
      </c>
      <c r="K10488" s="367"/>
      <c r="L10488" s="367">
        <f>K10487</f>
        <v>0</v>
      </c>
    </row>
    <row r="10489" spans="1:14" ht="11.25" customHeight="1" x14ac:dyDescent="0.2">
      <c r="A10489" s="236">
        <v>2025</v>
      </c>
      <c r="B10489" s="236">
        <v>12</v>
      </c>
      <c r="C10489" s="236">
        <v>22</v>
      </c>
      <c r="D10489" s="237">
        <f t="shared" si="1208"/>
        <v>46013</v>
      </c>
      <c r="E10489" s="238">
        <f t="shared" si="1215"/>
        <v>46013</v>
      </c>
      <c r="F10489" s="476" t="s">
        <v>1118</v>
      </c>
      <c r="G10489" s="239" t="s">
        <v>86</v>
      </c>
      <c r="H10489" s="239"/>
      <c r="I10489" s="240"/>
      <c r="J10489" s="241" t="s">
        <v>98</v>
      </c>
      <c r="K10489" s="242">
        <v>1234981.9100000262</v>
      </c>
      <c r="L10489" s="242"/>
      <c r="M10489" s="156">
        <f>BS!$I$8</f>
        <v>0</v>
      </c>
    </row>
    <row r="10490" spans="1:14" ht="11.25" customHeight="1" x14ac:dyDescent="0.2">
      <c r="A10490" s="243">
        <v>2025</v>
      </c>
      <c r="B10490" s="243">
        <v>12</v>
      </c>
      <c r="C10490" s="243">
        <v>22</v>
      </c>
      <c r="D10490" s="248">
        <f t="shared" si="1208"/>
        <v>46013</v>
      </c>
      <c r="E10490" s="249">
        <f t="shared" si="1215"/>
        <v>46013</v>
      </c>
      <c r="F10490" s="477"/>
      <c r="G10490" s="244" t="s">
        <v>86</v>
      </c>
      <c r="H10490" s="244"/>
      <c r="I10490" s="245"/>
      <c r="J10490" s="246" t="s">
        <v>82</v>
      </c>
      <c r="K10490" s="247"/>
      <c r="L10490" s="247">
        <f>K10489</f>
        <v>1234981.9100000262</v>
      </c>
    </row>
    <row r="10491" spans="1:14" ht="11.25" customHeight="1" x14ac:dyDescent="0.2">
      <c r="A10491" s="236">
        <v>2025</v>
      </c>
      <c r="B10491" s="236">
        <v>12</v>
      </c>
      <c r="C10491" s="236">
        <v>22</v>
      </c>
      <c r="D10491" s="237">
        <f t="shared" si="1208"/>
        <v>46013</v>
      </c>
      <c r="E10491" s="238">
        <f t="shared" si="1215"/>
        <v>46013</v>
      </c>
      <c r="F10491" s="476" t="s">
        <v>1120</v>
      </c>
      <c r="G10491" s="239" t="s">
        <v>86</v>
      </c>
      <c r="H10491" s="239"/>
      <c r="I10491" s="240"/>
      <c r="J10491" s="241" t="s">
        <v>87</v>
      </c>
      <c r="K10491" s="242">
        <v>392.46467817896388</v>
      </c>
      <c r="L10491" s="242"/>
      <c r="M10491" s="401"/>
    </row>
    <row r="10492" spans="1:14" ht="11.25" customHeight="1" x14ac:dyDescent="0.2">
      <c r="A10492" s="243">
        <v>2025</v>
      </c>
      <c r="B10492" s="243">
        <v>12</v>
      </c>
      <c r="C10492" s="243">
        <v>22</v>
      </c>
      <c r="D10492" s="248">
        <f t="shared" si="1208"/>
        <v>46013</v>
      </c>
      <c r="E10492" s="249">
        <f t="shared" si="1215"/>
        <v>46013</v>
      </c>
      <c r="F10492" s="477"/>
      <c r="G10492" s="244" t="s">
        <v>86</v>
      </c>
      <c r="H10492" s="244"/>
      <c r="I10492" s="245"/>
      <c r="J10492" s="246" t="s">
        <v>64</v>
      </c>
      <c r="K10492" s="247"/>
      <c r="L10492" s="247">
        <f>K10491</f>
        <v>392.46467817896388</v>
      </c>
    </row>
    <row r="10493" spans="1:14" ht="11.25" customHeight="1" x14ac:dyDescent="0.2">
      <c r="A10493" s="236">
        <v>2025</v>
      </c>
      <c r="B10493" s="236">
        <v>12</v>
      </c>
      <c r="C10493" s="236">
        <v>22</v>
      </c>
      <c r="D10493" s="237">
        <f t="shared" si="1208"/>
        <v>46013</v>
      </c>
      <c r="E10493" s="238">
        <f t="shared" si="1215"/>
        <v>46013</v>
      </c>
      <c r="F10493" s="476" t="s">
        <v>1121</v>
      </c>
      <c r="G10493" s="239" t="s">
        <v>86</v>
      </c>
      <c r="H10493" s="239"/>
      <c r="I10493" s="240"/>
      <c r="J10493" s="241" t="s">
        <v>89</v>
      </c>
      <c r="K10493" s="242">
        <f>M10493</f>
        <v>12897.024195296932</v>
      </c>
      <c r="L10493" s="242"/>
      <c r="M10493" s="448">
        <v>12897.024195296932</v>
      </c>
    </row>
    <row r="10494" spans="1:14" ht="11.25" customHeight="1" x14ac:dyDescent="0.2">
      <c r="A10494" s="243">
        <v>2025</v>
      </c>
      <c r="B10494" s="243">
        <v>12</v>
      </c>
      <c r="C10494" s="243">
        <v>22</v>
      </c>
      <c r="D10494" s="248">
        <f t="shared" si="1208"/>
        <v>46013</v>
      </c>
      <c r="E10494" s="249">
        <f t="shared" si="1215"/>
        <v>46013</v>
      </c>
      <c r="F10494" s="477"/>
      <c r="G10494" s="244" t="s">
        <v>86</v>
      </c>
      <c r="H10494" s="244"/>
      <c r="I10494" s="245"/>
      <c r="J10494" s="246" t="s">
        <v>50</v>
      </c>
      <c r="K10494" s="247"/>
      <c r="L10494" s="247">
        <f>K10493</f>
        <v>12897.024195296932</v>
      </c>
      <c r="M10494" s="448">
        <v>610.51055042418727</v>
      </c>
    </row>
    <row r="10495" spans="1:14" ht="11.25" customHeight="1" x14ac:dyDescent="0.2">
      <c r="A10495" s="236">
        <v>2025</v>
      </c>
      <c r="B10495" s="236">
        <v>12</v>
      </c>
      <c r="C10495" s="236">
        <v>22</v>
      </c>
      <c r="D10495" s="237">
        <f t="shared" si="1208"/>
        <v>46013</v>
      </c>
      <c r="E10495" s="238">
        <f t="shared" si="1215"/>
        <v>46013</v>
      </c>
      <c r="F10495" s="476" t="s">
        <v>1122</v>
      </c>
      <c r="G10495" s="239" t="s">
        <v>86</v>
      </c>
      <c r="H10495" s="239"/>
      <c r="I10495" s="240"/>
      <c r="J10495" s="241" t="s">
        <v>91</v>
      </c>
      <c r="K10495" s="242">
        <f>M10494</f>
        <v>610.51055042418727</v>
      </c>
      <c r="L10495" s="242"/>
    </row>
    <row r="10496" spans="1:14" ht="11.25" customHeight="1" x14ac:dyDescent="0.2">
      <c r="A10496" s="243">
        <v>2025</v>
      </c>
      <c r="B10496" s="243">
        <v>12</v>
      </c>
      <c r="C10496" s="243">
        <v>22</v>
      </c>
      <c r="D10496" s="248">
        <f t="shared" si="1208"/>
        <v>46013</v>
      </c>
      <c r="E10496" s="249">
        <f t="shared" si="1215"/>
        <v>46013</v>
      </c>
      <c r="F10496" s="477"/>
      <c r="G10496" s="244" t="s">
        <v>86</v>
      </c>
      <c r="H10496" s="244"/>
      <c r="I10496" s="245"/>
      <c r="J10496" s="246" t="s">
        <v>51</v>
      </c>
      <c r="K10496" s="247"/>
      <c r="L10496" s="247">
        <f>K10495</f>
        <v>610.51055042418727</v>
      </c>
    </row>
    <row r="10497" spans="1:14" ht="11.25" customHeight="1" x14ac:dyDescent="0.2">
      <c r="A10497" s="221">
        <v>2025</v>
      </c>
      <c r="B10497" s="221">
        <v>12</v>
      </c>
      <c r="C10497" s="221">
        <v>23</v>
      </c>
      <c r="D10497" s="231">
        <f t="shared" si="1208"/>
        <v>46014</v>
      </c>
      <c r="E10497" s="233">
        <f>DATE(A10497,B10497,C10497)</f>
        <v>46014</v>
      </c>
      <c r="F10497" s="478" t="s">
        <v>1142</v>
      </c>
      <c r="G10497" s="222" t="s">
        <v>1111</v>
      </c>
      <c r="H10497" s="223"/>
      <c r="I10497" s="223"/>
      <c r="J10497" s="224" t="s">
        <v>189</v>
      </c>
      <c r="K10497" s="225">
        <v>1575</v>
      </c>
      <c r="L10497" s="225"/>
    </row>
    <row r="10498" spans="1:14" ht="11.25" customHeight="1" x14ac:dyDescent="0.2">
      <c r="A10498" s="164">
        <v>2025</v>
      </c>
      <c r="B10498" s="164">
        <v>12</v>
      </c>
      <c r="C10498" s="164">
        <v>23</v>
      </c>
      <c r="D10498" s="156">
        <f t="shared" si="1208"/>
        <v>46014</v>
      </c>
      <c r="E10498" s="235">
        <f>DATE(A10498,B10498,C10498)</f>
        <v>46014</v>
      </c>
      <c r="F10498" s="480"/>
      <c r="G10498" s="208" t="s">
        <v>1111</v>
      </c>
      <c r="J10498" s="165" t="s">
        <v>1707</v>
      </c>
      <c r="K10498" s="205"/>
      <c r="L10498" s="205">
        <v>75</v>
      </c>
    </row>
    <row r="10499" spans="1:14" ht="11.25" customHeight="1" x14ac:dyDescent="0.2">
      <c r="A10499" s="226">
        <v>2025</v>
      </c>
      <c r="B10499" s="226">
        <v>12</v>
      </c>
      <c r="C10499" s="226">
        <v>23</v>
      </c>
      <c r="D10499" s="232">
        <f t="shared" si="1208"/>
        <v>46014</v>
      </c>
      <c r="E10499" s="234">
        <f>DATE(A10499,B10499,C10499)</f>
        <v>46014</v>
      </c>
      <c r="F10499" s="479"/>
      <c r="G10499" s="227" t="s">
        <v>1111</v>
      </c>
      <c r="H10499" s="228"/>
      <c r="I10499" s="228"/>
      <c r="J10499" s="229" t="s">
        <v>55</v>
      </c>
      <c r="K10499" s="230"/>
      <c r="L10499" s="230">
        <v>1500</v>
      </c>
    </row>
    <row r="10500" spans="1:14" ht="11.25" customHeight="1" x14ac:dyDescent="0.2">
      <c r="A10500" s="221">
        <v>2025</v>
      </c>
      <c r="B10500" s="221">
        <v>12</v>
      </c>
      <c r="C10500" s="221">
        <v>23</v>
      </c>
      <c r="D10500" s="231">
        <f t="shared" si="1208"/>
        <v>46014</v>
      </c>
      <c r="E10500" s="233">
        <f t="shared" ref="E10500:E10519" si="1216">DATE(A10500,B10500,C10500)</f>
        <v>46014</v>
      </c>
      <c r="F10500" s="478" t="s">
        <v>1605</v>
      </c>
      <c r="G10500" s="222" t="s">
        <v>1111</v>
      </c>
      <c r="H10500" s="223"/>
      <c r="I10500" s="223"/>
      <c r="J10500" s="224" t="s">
        <v>55</v>
      </c>
      <c r="K10500" s="167">
        <v>1028909</v>
      </c>
      <c r="L10500" s="225"/>
    </row>
    <row r="10501" spans="1:14" ht="11.25" customHeight="1" x14ac:dyDescent="0.2">
      <c r="A10501" s="164">
        <v>2025</v>
      </c>
      <c r="B10501" s="164">
        <v>12</v>
      </c>
      <c r="C10501" s="164">
        <v>23</v>
      </c>
      <c r="D10501" s="156">
        <f t="shared" si="1208"/>
        <v>46014</v>
      </c>
      <c r="E10501" s="235">
        <f t="shared" si="1216"/>
        <v>46014</v>
      </c>
      <c r="F10501" s="480"/>
      <c r="G10501" s="208" t="s">
        <v>1111</v>
      </c>
      <c r="J10501" s="165" t="s">
        <v>14</v>
      </c>
      <c r="L10501" s="205">
        <v>867180</v>
      </c>
    </row>
    <row r="10502" spans="1:14" ht="11.25" customHeight="1" x14ac:dyDescent="0.2">
      <c r="A10502" s="226">
        <v>2025</v>
      </c>
      <c r="B10502" s="226">
        <v>12</v>
      </c>
      <c r="C10502" s="226">
        <v>23</v>
      </c>
      <c r="D10502" s="232">
        <f t="shared" si="1208"/>
        <v>46014</v>
      </c>
      <c r="E10502" s="234">
        <f t="shared" si="1216"/>
        <v>46014</v>
      </c>
      <c r="F10502" s="479"/>
      <c r="G10502" s="227" t="s">
        <v>1111</v>
      </c>
      <c r="H10502" s="228"/>
      <c r="I10502" s="228"/>
      <c r="J10502" s="229" t="s">
        <v>1112</v>
      </c>
      <c r="K10502" s="230"/>
      <c r="L10502" s="230">
        <v>161729</v>
      </c>
    </row>
    <row r="10503" spans="1:14" ht="11.25" customHeight="1" x14ac:dyDescent="0.2">
      <c r="A10503" s="221">
        <v>2025</v>
      </c>
      <c r="B10503" s="221">
        <v>12</v>
      </c>
      <c r="C10503" s="221">
        <v>23</v>
      </c>
      <c r="D10503" s="221">
        <f t="shared" si="1208"/>
        <v>46014</v>
      </c>
      <c r="E10503" s="233">
        <f t="shared" si="1216"/>
        <v>46014</v>
      </c>
      <c r="F10503" s="478" t="s">
        <v>1937</v>
      </c>
      <c r="G10503" s="222" t="s">
        <v>86</v>
      </c>
      <c r="H10503" s="222"/>
      <c r="I10503" s="223"/>
      <c r="J10503" s="224" t="s">
        <v>80</v>
      </c>
      <c r="K10503" s="225">
        <v>1846910</v>
      </c>
      <c r="L10503" s="225"/>
      <c r="N10503" s="263"/>
    </row>
    <row r="10504" spans="1:14" ht="11.25" customHeight="1" x14ac:dyDescent="0.2">
      <c r="A10504" s="164">
        <v>2025</v>
      </c>
      <c r="B10504" s="164">
        <v>12</v>
      </c>
      <c r="C10504" s="164">
        <v>23</v>
      </c>
      <c r="D10504" s="164">
        <f t="shared" si="1208"/>
        <v>46014</v>
      </c>
      <c r="E10504" s="235">
        <f t="shared" si="1216"/>
        <v>46014</v>
      </c>
      <c r="F10504" s="480"/>
      <c r="G10504" s="208" t="s">
        <v>86</v>
      </c>
      <c r="H10504" s="208"/>
      <c r="J10504" s="165" t="s">
        <v>960</v>
      </c>
      <c r="K10504" s="205">
        <v>6168.82</v>
      </c>
      <c r="L10504" s="205"/>
      <c r="M10504" s="263"/>
      <c r="N10504" s="263"/>
    </row>
    <row r="10505" spans="1:14" ht="11.25" customHeight="1" x14ac:dyDescent="0.2">
      <c r="A10505" s="164">
        <v>2025</v>
      </c>
      <c r="B10505" s="164">
        <v>12</v>
      </c>
      <c r="C10505" s="164">
        <v>23</v>
      </c>
      <c r="D10505" s="164">
        <f t="shared" ref="D10505:D10568" si="1217">DATE(A10505,B10505,C10505)</f>
        <v>46014</v>
      </c>
      <c r="E10505" s="235">
        <f t="shared" si="1216"/>
        <v>46014</v>
      </c>
      <c r="F10505" s="480"/>
      <c r="G10505" s="208" t="s">
        <v>86</v>
      </c>
      <c r="H10505" s="208"/>
      <c r="J10505" s="165" t="s">
        <v>961</v>
      </c>
      <c r="K10505" s="263"/>
      <c r="L10505" s="205">
        <v>272866.12</v>
      </c>
      <c r="M10505" s="263"/>
      <c r="N10505" s="263"/>
    </row>
    <row r="10506" spans="1:14" ht="11.25" customHeight="1" x14ac:dyDescent="0.2">
      <c r="A10506" s="164">
        <v>2025</v>
      </c>
      <c r="B10506" s="164">
        <v>12</v>
      </c>
      <c r="C10506" s="164">
        <v>23</v>
      </c>
      <c r="D10506" s="164">
        <f t="shared" si="1217"/>
        <v>46014</v>
      </c>
      <c r="E10506" s="235">
        <f t="shared" si="1216"/>
        <v>46014</v>
      </c>
      <c r="F10506" s="480"/>
      <c r="G10506" s="208" t="s">
        <v>86</v>
      </c>
      <c r="H10506" s="208"/>
      <c r="J10506" s="165" t="s">
        <v>200</v>
      </c>
      <c r="K10506" s="205"/>
      <c r="L10506" s="205">
        <v>18744.849999999999</v>
      </c>
      <c r="M10506" s="263"/>
      <c r="N10506" s="263"/>
    </row>
    <row r="10507" spans="1:14" ht="11.25" customHeight="1" x14ac:dyDescent="0.2">
      <c r="A10507" s="226">
        <v>2025</v>
      </c>
      <c r="B10507" s="226">
        <v>12</v>
      </c>
      <c r="C10507" s="226">
        <v>23</v>
      </c>
      <c r="D10507" s="226">
        <f t="shared" si="1217"/>
        <v>46014</v>
      </c>
      <c r="E10507" s="234">
        <f t="shared" si="1216"/>
        <v>46014</v>
      </c>
      <c r="F10507" s="479"/>
      <c r="G10507" s="227" t="s">
        <v>86</v>
      </c>
      <c r="H10507" s="228"/>
      <c r="I10507" s="228"/>
      <c r="J10507" s="229" t="s">
        <v>80</v>
      </c>
      <c r="K10507" s="230"/>
      <c r="L10507" s="230">
        <v>1561467.85</v>
      </c>
      <c r="M10507" s="263"/>
      <c r="N10507" s="263"/>
    </row>
    <row r="10508" spans="1:14" ht="11.25" customHeight="1" x14ac:dyDescent="0.2">
      <c r="A10508" s="221">
        <v>2025</v>
      </c>
      <c r="B10508" s="221">
        <v>12</v>
      </c>
      <c r="C10508" s="221">
        <v>23</v>
      </c>
      <c r="D10508" s="231">
        <f t="shared" si="1217"/>
        <v>46014</v>
      </c>
      <c r="E10508" s="233">
        <f t="shared" si="1216"/>
        <v>46014</v>
      </c>
      <c r="F10508" s="478" t="s">
        <v>1670</v>
      </c>
      <c r="G10508" s="222" t="s">
        <v>1111</v>
      </c>
      <c r="H10508" s="223"/>
      <c r="I10508" s="223"/>
      <c r="J10508" s="224" t="s">
        <v>63</v>
      </c>
      <c r="K10508" s="225">
        <v>10</v>
      </c>
      <c r="L10508" s="225"/>
    </row>
    <row r="10509" spans="1:14" ht="11.25" customHeight="1" x14ac:dyDescent="0.2">
      <c r="A10509" s="226">
        <v>2025</v>
      </c>
      <c r="B10509" s="226">
        <v>12</v>
      </c>
      <c r="C10509" s="226">
        <v>23</v>
      </c>
      <c r="D10509" s="232">
        <f t="shared" si="1217"/>
        <v>46014</v>
      </c>
      <c r="E10509" s="234">
        <f t="shared" si="1216"/>
        <v>46014</v>
      </c>
      <c r="F10509" s="479"/>
      <c r="G10509" s="227" t="s">
        <v>1111</v>
      </c>
      <c r="H10509" s="228"/>
      <c r="I10509" s="228"/>
      <c r="J10509" s="229" t="s">
        <v>55</v>
      </c>
      <c r="K10509" s="230"/>
      <c r="L10509" s="230">
        <f>K10508</f>
        <v>10</v>
      </c>
    </row>
    <row r="10510" spans="1:14" ht="11.25" customHeight="1" x14ac:dyDescent="0.2">
      <c r="A10510" s="221">
        <v>2025</v>
      </c>
      <c r="B10510" s="221">
        <v>12</v>
      </c>
      <c r="C10510" s="221">
        <v>23</v>
      </c>
      <c r="D10510" s="231">
        <f t="shared" si="1217"/>
        <v>46014</v>
      </c>
      <c r="E10510" s="233">
        <f t="shared" si="1216"/>
        <v>46014</v>
      </c>
      <c r="F10510" s="478" t="s">
        <v>1753</v>
      </c>
      <c r="G10510" s="222" t="s">
        <v>1111</v>
      </c>
      <c r="H10510" s="223"/>
      <c r="I10510" s="223"/>
      <c r="J10510" s="224" t="s">
        <v>63</v>
      </c>
      <c r="K10510" s="225">
        <v>345</v>
      </c>
      <c r="L10510" s="225"/>
    </row>
    <row r="10511" spans="1:14" ht="11.25" customHeight="1" x14ac:dyDescent="0.2">
      <c r="A10511" s="226">
        <v>2025</v>
      </c>
      <c r="B10511" s="226">
        <v>12</v>
      </c>
      <c r="C10511" s="226">
        <v>23</v>
      </c>
      <c r="D10511" s="232">
        <f t="shared" si="1217"/>
        <v>46014</v>
      </c>
      <c r="E10511" s="234">
        <f t="shared" si="1216"/>
        <v>46014</v>
      </c>
      <c r="F10511" s="479"/>
      <c r="G10511" s="227" t="s">
        <v>1111</v>
      </c>
      <c r="H10511" s="228"/>
      <c r="I10511" s="228"/>
      <c r="J10511" s="229" t="s">
        <v>55</v>
      </c>
      <c r="K10511" s="230"/>
      <c r="L10511" s="230">
        <f>K10510</f>
        <v>345</v>
      </c>
    </row>
    <row r="10512" spans="1:14" ht="11.25" customHeight="1" x14ac:dyDescent="0.2">
      <c r="A10512" s="280">
        <v>2025</v>
      </c>
      <c r="B10512" s="280">
        <v>12</v>
      </c>
      <c r="C10512" s="280">
        <v>23</v>
      </c>
      <c r="D10512" s="281">
        <f t="shared" si="1217"/>
        <v>46014</v>
      </c>
      <c r="E10512" s="282">
        <f t="shared" si="1216"/>
        <v>46014</v>
      </c>
      <c r="F10512" s="472" t="s">
        <v>1744</v>
      </c>
      <c r="G10512" s="283" t="s">
        <v>86</v>
      </c>
      <c r="H10512" s="284"/>
      <c r="I10512" s="284"/>
      <c r="J10512" s="285" t="s">
        <v>131</v>
      </c>
      <c r="K10512" s="286">
        <v>2765.4757142857147</v>
      </c>
      <c r="L10512" s="286"/>
      <c r="M10512" s="401"/>
    </row>
    <row r="10513" spans="1:14" ht="11.25" customHeight="1" x14ac:dyDescent="0.2">
      <c r="A10513" s="287">
        <v>2025</v>
      </c>
      <c r="B10513" s="287">
        <v>12</v>
      </c>
      <c r="C10513" s="287">
        <v>23</v>
      </c>
      <c r="D10513" s="288">
        <f t="shared" si="1217"/>
        <v>46014</v>
      </c>
      <c r="E10513" s="289">
        <f t="shared" si="1216"/>
        <v>46014</v>
      </c>
      <c r="F10513" s="473"/>
      <c r="G10513" s="290" t="s">
        <v>86</v>
      </c>
      <c r="H10513" s="291"/>
      <c r="I10513" s="291"/>
      <c r="J10513" s="292" t="s">
        <v>174</v>
      </c>
      <c r="K10513" s="293"/>
      <c r="L10513" s="293">
        <f>K10512</f>
        <v>2765.4757142857147</v>
      </c>
    </row>
    <row r="10514" spans="1:14" ht="11.25" customHeight="1" x14ac:dyDescent="0.2">
      <c r="A10514" s="280">
        <v>2025</v>
      </c>
      <c r="B10514" s="280">
        <v>12</v>
      </c>
      <c r="C10514" s="280">
        <v>23</v>
      </c>
      <c r="D10514" s="281">
        <f t="shared" si="1217"/>
        <v>46014</v>
      </c>
      <c r="E10514" s="282">
        <f t="shared" si="1216"/>
        <v>46014</v>
      </c>
      <c r="F10514" s="472" t="s">
        <v>1584</v>
      </c>
      <c r="G10514" s="283" t="s">
        <v>86</v>
      </c>
      <c r="H10514" s="284"/>
      <c r="I10514" s="284"/>
      <c r="J10514" s="285" t="s">
        <v>131</v>
      </c>
      <c r="K10514" s="286">
        <v>1263.7357142857143</v>
      </c>
      <c r="L10514" s="286"/>
      <c r="M10514" s="401"/>
    </row>
    <row r="10515" spans="1:14" ht="11.25" customHeight="1" x14ac:dyDescent="0.2">
      <c r="A10515" s="287">
        <v>2025</v>
      </c>
      <c r="B10515" s="287">
        <v>12</v>
      </c>
      <c r="C10515" s="287">
        <v>23</v>
      </c>
      <c r="D10515" s="288">
        <f t="shared" si="1217"/>
        <v>46014</v>
      </c>
      <c r="E10515" s="289">
        <f t="shared" si="1216"/>
        <v>46014</v>
      </c>
      <c r="F10515" s="473"/>
      <c r="G10515" s="290" t="s">
        <v>86</v>
      </c>
      <c r="H10515" s="291"/>
      <c r="I10515" s="291"/>
      <c r="J10515" s="292" t="s">
        <v>174</v>
      </c>
      <c r="K10515" s="293"/>
      <c r="L10515" s="293">
        <f>K10514</f>
        <v>1263.7357142857143</v>
      </c>
    </row>
    <row r="10516" spans="1:14" ht="11.25" customHeight="1" x14ac:dyDescent="0.2">
      <c r="A10516" s="280">
        <v>2025</v>
      </c>
      <c r="B10516" s="280">
        <v>12</v>
      </c>
      <c r="C10516" s="280">
        <v>23</v>
      </c>
      <c r="D10516" s="281">
        <f t="shared" si="1217"/>
        <v>46014</v>
      </c>
      <c r="E10516" s="282">
        <f t="shared" si="1216"/>
        <v>46014</v>
      </c>
      <c r="F10516" s="472" t="s">
        <v>1955</v>
      </c>
      <c r="G10516" s="283" t="s">
        <v>86</v>
      </c>
      <c r="H10516" s="284"/>
      <c r="I10516" s="284"/>
      <c r="J10516" s="285" t="s">
        <v>1978</v>
      </c>
      <c r="K10516" s="286">
        <v>6185.4395604395604</v>
      </c>
      <c r="L10516" s="286"/>
      <c r="M10516" s="401"/>
    </row>
    <row r="10517" spans="1:14" ht="11.25" customHeight="1" x14ac:dyDescent="0.2">
      <c r="A10517" s="287">
        <v>2025</v>
      </c>
      <c r="B10517" s="287">
        <v>12</v>
      </c>
      <c r="C10517" s="287">
        <v>23</v>
      </c>
      <c r="D10517" s="288">
        <f t="shared" si="1217"/>
        <v>46014</v>
      </c>
      <c r="E10517" s="289">
        <f t="shared" si="1216"/>
        <v>46014</v>
      </c>
      <c r="F10517" s="473"/>
      <c r="G10517" s="290" t="s">
        <v>86</v>
      </c>
      <c r="H10517" s="291"/>
      <c r="I10517" s="291"/>
      <c r="J10517" s="292" t="s">
        <v>1955</v>
      </c>
      <c r="K10517" s="293"/>
      <c r="L10517" s="293">
        <f>K10516</f>
        <v>6185.4395604395604</v>
      </c>
    </row>
    <row r="10518" spans="1:14" ht="11.25" customHeight="1" x14ac:dyDescent="0.2">
      <c r="A10518" s="341">
        <v>2025</v>
      </c>
      <c r="B10518" s="341">
        <v>12</v>
      </c>
      <c r="C10518" s="341">
        <v>23</v>
      </c>
      <c r="D10518" s="328">
        <f t="shared" si="1217"/>
        <v>46014</v>
      </c>
      <c r="E10518" s="329">
        <f t="shared" si="1216"/>
        <v>46014</v>
      </c>
      <c r="F10518" s="474" t="s">
        <v>1767</v>
      </c>
      <c r="G10518" s="330" t="s">
        <v>86</v>
      </c>
      <c r="H10518" s="332"/>
      <c r="I10518" s="332"/>
      <c r="J10518" s="342" t="s">
        <v>67</v>
      </c>
      <c r="K10518" s="343">
        <v>669.65964666666673</v>
      </c>
      <c r="L10518" s="343"/>
    </row>
    <row r="10519" spans="1:14" ht="11.25" customHeight="1" x14ac:dyDescent="0.2">
      <c r="A10519" s="344">
        <v>2025</v>
      </c>
      <c r="B10519" s="344">
        <v>12</v>
      </c>
      <c r="C10519" s="344">
        <v>23</v>
      </c>
      <c r="D10519" s="337">
        <f t="shared" si="1217"/>
        <v>46014</v>
      </c>
      <c r="E10519" s="338">
        <f t="shared" si="1216"/>
        <v>46014</v>
      </c>
      <c r="F10519" s="475"/>
      <c r="G10519" s="339" t="s">
        <v>86</v>
      </c>
      <c r="H10519" s="340"/>
      <c r="I10519" s="340"/>
      <c r="J10519" s="345" t="s">
        <v>174</v>
      </c>
      <c r="K10519" s="346"/>
      <c r="L10519" s="346">
        <f>K10518</f>
        <v>669.65964666666673</v>
      </c>
    </row>
    <row r="10520" spans="1:14" ht="11.25" customHeight="1" x14ac:dyDescent="0.2">
      <c r="A10520" s="358">
        <v>2025</v>
      </c>
      <c r="B10520" s="358">
        <v>12</v>
      </c>
      <c r="C10520" s="358">
        <v>23</v>
      </c>
      <c r="D10520" s="312">
        <f t="shared" si="1217"/>
        <v>46014</v>
      </c>
      <c r="E10520" s="313">
        <f>DATE(A10520,B10520,C10520)</f>
        <v>46014</v>
      </c>
      <c r="F10520" s="482" t="s">
        <v>1627</v>
      </c>
      <c r="G10520" s="314" t="s">
        <v>86</v>
      </c>
      <c r="H10520" s="324"/>
      <c r="I10520" s="324"/>
      <c r="J10520" s="364" t="s">
        <v>1613</v>
      </c>
      <c r="K10520" s="365"/>
      <c r="L10520" s="365"/>
      <c r="M10520" s="156">
        <f>BS!$I$12</f>
        <v>0</v>
      </c>
    </row>
    <row r="10521" spans="1:14" ht="11.25" customHeight="1" x14ac:dyDescent="0.2">
      <c r="A10521" s="320">
        <v>2025</v>
      </c>
      <c r="B10521" s="320">
        <v>12</v>
      </c>
      <c r="C10521" s="320">
        <v>23</v>
      </c>
      <c r="D10521" s="323">
        <f t="shared" si="1217"/>
        <v>46014</v>
      </c>
      <c r="E10521" s="321">
        <f t="shared" ref="E10521" si="1218">DATE(A10521,B10521,C10521)</f>
        <v>46014</v>
      </c>
      <c r="F10521" s="483"/>
      <c r="G10521" s="322" t="s">
        <v>86</v>
      </c>
      <c r="H10521" s="325"/>
      <c r="I10521" s="325"/>
      <c r="J10521" s="366" t="s">
        <v>1621</v>
      </c>
      <c r="K10521" s="367"/>
      <c r="L10521" s="367">
        <f>K10520</f>
        <v>0</v>
      </c>
    </row>
    <row r="10522" spans="1:14" ht="11.25" customHeight="1" x14ac:dyDescent="0.2">
      <c r="A10522" s="358">
        <v>2025</v>
      </c>
      <c r="B10522" s="358">
        <v>12</v>
      </c>
      <c r="C10522" s="358">
        <v>23</v>
      </c>
      <c r="D10522" s="312">
        <f t="shared" si="1217"/>
        <v>46014</v>
      </c>
      <c r="E10522" s="313">
        <f>DATE(A10522,B10522,C10522)</f>
        <v>46014</v>
      </c>
      <c r="F10522" s="482" t="s">
        <v>1713</v>
      </c>
      <c r="G10522" s="314" t="s">
        <v>86</v>
      </c>
      <c r="H10522" s="324"/>
      <c r="I10522" s="324"/>
      <c r="J10522" s="364" t="s">
        <v>1622</v>
      </c>
      <c r="K10522" s="365"/>
      <c r="L10522" s="365"/>
      <c r="M10522" s="447">
        <f>BS!$I$15</f>
        <v>0</v>
      </c>
      <c r="N10522" s="166"/>
    </row>
    <row r="10523" spans="1:14" ht="11.25" customHeight="1" x14ac:dyDescent="0.2">
      <c r="A10523" s="320">
        <v>2025</v>
      </c>
      <c r="B10523" s="320">
        <v>12</v>
      </c>
      <c r="C10523" s="320">
        <v>23</v>
      </c>
      <c r="D10523" s="323">
        <f t="shared" si="1217"/>
        <v>46014</v>
      </c>
      <c r="E10523" s="321">
        <f t="shared" ref="E10523:E10547" si="1219">DATE(A10523,B10523,C10523)</f>
        <v>46014</v>
      </c>
      <c r="F10523" s="483"/>
      <c r="G10523" s="322" t="s">
        <v>86</v>
      </c>
      <c r="H10523" s="325"/>
      <c r="I10523" s="325"/>
      <c r="J10523" s="366" t="s">
        <v>1614</v>
      </c>
      <c r="K10523" s="367"/>
      <c r="L10523" s="367">
        <f>K10522</f>
        <v>0</v>
      </c>
    </row>
    <row r="10524" spans="1:14" ht="11.25" customHeight="1" x14ac:dyDescent="0.2">
      <c r="A10524" s="236">
        <v>2025</v>
      </c>
      <c r="B10524" s="236">
        <v>12</v>
      </c>
      <c r="C10524" s="236">
        <v>23</v>
      </c>
      <c r="D10524" s="237">
        <f t="shared" si="1217"/>
        <v>46014</v>
      </c>
      <c r="E10524" s="238">
        <f t="shared" si="1219"/>
        <v>46014</v>
      </c>
      <c r="F10524" s="476" t="s">
        <v>1118</v>
      </c>
      <c r="G10524" s="239" t="s">
        <v>86</v>
      </c>
      <c r="H10524" s="239"/>
      <c r="I10524" s="240"/>
      <c r="J10524" s="241" t="s">
        <v>98</v>
      </c>
      <c r="K10524" s="242">
        <v>470242.70999994874</v>
      </c>
      <c r="L10524" s="242"/>
      <c r="M10524" s="156">
        <f>BS!$I$8</f>
        <v>0</v>
      </c>
    </row>
    <row r="10525" spans="1:14" ht="11.25" customHeight="1" x14ac:dyDescent="0.2">
      <c r="A10525" s="243">
        <v>2025</v>
      </c>
      <c r="B10525" s="243">
        <v>12</v>
      </c>
      <c r="C10525" s="243">
        <v>23</v>
      </c>
      <c r="D10525" s="248">
        <f t="shared" si="1217"/>
        <v>46014</v>
      </c>
      <c r="E10525" s="249">
        <f t="shared" si="1219"/>
        <v>46014</v>
      </c>
      <c r="F10525" s="477"/>
      <c r="G10525" s="244" t="s">
        <v>86</v>
      </c>
      <c r="H10525" s="244"/>
      <c r="I10525" s="245"/>
      <c r="J10525" s="246" t="s">
        <v>82</v>
      </c>
      <c r="K10525" s="247"/>
      <c r="L10525" s="247">
        <f>K10524</f>
        <v>470242.70999994874</v>
      </c>
    </row>
    <row r="10526" spans="1:14" ht="11.25" customHeight="1" x14ac:dyDescent="0.2">
      <c r="A10526" s="236">
        <v>2025</v>
      </c>
      <c r="B10526" s="236">
        <v>12</v>
      </c>
      <c r="C10526" s="236">
        <v>23</v>
      </c>
      <c r="D10526" s="237">
        <f t="shared" si="1217"/>
        <v>46014</v>
      </c>
      <c r="E10526" s="238">
        <f t="shared" si="1219"/>
        <v>46014</v>
      </c>
      <c r="F10526" s="476" t="s">
        <v>1120</v>
      </c>
      <c r="G10526" s="239" t="s">
        <v>86</v>
      </c>
      <c r="H10526" s="239"/>
      <c r="I10526" s="240"/>
      <c r="J10526" s="241" t="s">
        <v>87</v>
      </c>
      <c r="K10526" s="242">
        <v>392.46467817896388</v>
      </c>
      <c r="L10526" s="242"/>
      <c r="M10526" s="401"/>
    </row>
    <row r="10527" spans="1:14" ht="11.25" customHeight="1" x14ac:dyDescent="0.2">
      <c r="A10527" s="243">
        <v>2025</v>
      </c>
      <c r="B10527" s="243">
        <v>12</v>
      </c>
      <c r="C10527" s="243">
        <v>23</v>
      </c>
      <c r="D10527" s="248">
        <f t="shared" si="1217"/>
        <v>46014</v>
      </c>
      <c r="E10527" s="249">
        <f t="shared" si="1219"/>
        <v>46014</v>
      </c>
      <c r="F10527" s="477"/>
      <c r="G10527" s="244" t="s">
        <v>86</v>
      </c>
      <c r="H10527" s="244"/>
      <c r="I10527" s="245"/>
      <c r="J10527" s="246" t="s">
        <v>64</v>
      </c>
      <c r="K10527" s="247"/>
      <c r="L10527" s="247">
        <f>K10526</f>
        <v>392.46467817896388</v>
      </c>
    </row>
    <row r="10528" spans="1:14" ht="11.25" customHeight="1" x14ac:dyDescent="0.2">
      <c r="A10528" s="236">
        <v>2025</v>
      </c>
      <c r="B10528" s="236">
        <v>12</v>
      </c>
      <c r="C10528" s="236">
        <v>23</v>
      </c>
      <c r="D10528" s="237">
        <f t="shared" si="1217"/>
        <v>46014</v>
      </c>
      <c r="E10528" s="238">
        <f t="shared" si="1219"/>
        <v>46014</v>
      </c>
      <c r="F10528" s="476" t="s">
        <v>1121</v>
      </c>
      <c r="G10528" s="239" t="s">
        <v>86</v>
      </c>
      <c r="H10528" s="239"/>
      <c r="I10528" s="240"/>
      <c r="J10528" s="241" t="s">
        <v>89</v>
      </c>
      <c r="K10528" s="242">
        <f>M10528</f>
        <v>13126.342924484388</v>
      </c>
      <c r="L10528" s="242"/>
      <c r="M10528" s="448">
        <v>13126.342924484388</v>
      </c>
    </row>
    <row r="10529" spans="1:14" ht="11.25" customHeight="1" x14ac:dyDescent="0.2">
      <c r="A10529" s="243">
        <v>2025</v>
      </c>
      <c r="B10529" s="243">
        <v>12</v>
      </c>
      <c r="C10529" s="243">
        <v>23</v>
      </c>
      <c r="D10529" s="248">
        <f t="shared" si="1217"/>
        <v>46014</v>
      </c>
      <c r="E10529" s="249">
        <f t="shared" si="1219"/>
        <v>46014</v>
      </c>
      <c r="F10529" s="477"/>
      <c r="G10529" s="244" t="s">
        <v>86</v>
      </c>
      <c r="H10529" s="244"/>
      <c r="I10529" s="245"/>
      <c r="J10529" s="246" t="s">
        <v>50</v>
      </c>
      <c r="K10529" s="247"/>
      <c r="L10529" s="247">
        <f>K10528</f>
        <v>13126.342924484388</v>
      </c>
      <c r="M10529" s="448">
        <v>621.97648688356014</v>
      </c>
    </row>
    <row r="10530" spans="1:14" ht="11.25" customHeight="1" x14ac:dyDescent="0.2">
      <c r="A10530" s="236">
        <v>2025</v>
      </c>
      <c r="B10530" s="236">
        <v>12</v>
      </c>
      <c r="C10530" s="236">
        <v>23</v>
      </c>
      <c r="D10530" s="237">
        <f t="shared" si="1217"/>
        <v>46014</v>
      </c>
      <c r="E10530" s="238">
        <f t="shared" si="1219"/>
        <v>46014</v>
      </c>
      <c r="F10530" s="476" t="s">
        <v>1122</v>
      </c>
      <c r="G10530" s="239" t="s">
        <v>86</v>
      </c>
      <c r="H10530" s="239"/>
      <c r="I10530" s="240"/>
      <c r="J10530" s="241" t="s">
        <v>91</v>
      </c>
      <c r="K10530" s="242">
        <f>M10529</f>
        <v>621.97648688356014</v>
      </c>
      <c r="L10530" s="242"/>
    </row>
    <row r="10531" spans="1:14" ht="11.25" customHeight="1" x14ac:dyDescent="0.2">
      <c r="A10531" s="243">
        <v>2025</v>
      </c>
      <c r="B10531" s="243">
        <v>12</v>
      </c>
      <c r="C10531" s="243">
        <v>23</v>
      </c>
      <c r="D10531" s="248">
        <f t="shared" si="1217"/>
        <v>46014</v>
      </c>
      <c r="E10531" s="249">
        <f t="shared" si="1219"/>
        <v>46014</v>
      </c>
      <c r="F10531" s="477"/>
      <c r="G10531" s="244" t="s">
        <v>86</v>
      </c>
      <c r="H10531" s="244"/>
      <c r="I10531" s="245"/>
      <c r="J10531" s="246" t="s">
        <v>51</v>
      </c>
      <c r="K10531" s="247"/>
      <c r="L10531" s="247">
        <f>K10530</f>
        <v>621.97648688356014</v>
      </c>
    </row>
    <row r="10532" spans="1:14" ht="11.25" customHeight="1" x14ac:dyDescent="0.2">
      <c r="A10532" s="221">
        <v>2025</v>
      </c>
      <c r="B10532" s="221">
        <v>12</v>
      </c>
      <c r="C10532" s="221">
        <v>24</v>
      </c>
      <c r="D10532" s="221">
        <f t="shared" si="1217"/>
        <v>46015</v>
      </c>
      <c r="E10532" s="233">
        <f t="shared" si="1219"/>
        <v>46015</v>
      </c>
      <c r="F10532" s="478" t="s">
        <v>1937</v>
      </c>
      <c r="G10532" s="222" t="s">
        <v>86</v>
      </c>
      <c r="H10532" s="222"/>
      <c r="I10532" s="223"/>
      <c r="J10532" s="224" t="s">
        <v>80</v>
      </c>
      <c r="K10532" s="225">
        <v>1607757.9</v>
      </c>
      <c r="L10532" s="225"/>
      <c r="N10532" s="263"/>
    </row>
    <row r="10533" spans="1:14" ht="11.25" customHeight="1" x14ac:dyDescent="0.2">
      <c r="A10533" s="164">
        <v>2025</v>
      </c>
      <c r="B10533" s="164">
        <v>12</v>
      </c>
      <c r="C10533" s="164">
        <v>24</v>
      </c>
      <c r="D10533" s="164">
        <f t="shared" si="1217"/>
        <v>46015</v>
      </c>
      <c r="E10533" s="235">
        <f t="shared" si="1219"/>
        <v>46015</v>
      </c>
      <c r="F10533" s="480"/>
      <c r="G10533" s="208" t="s">
        <v>86</v>
      </c>
      <c r="H10533" s="208"/>
      <c r="J10533" s="165" t="s">
        <v>960</v>
      </c>
      <c r="K10533" s="205">
        <v>4011.85</v>
      </c>
      <c r="L10533" s="205"/>
      <c r="M10533" s="263"/>
      <c r="N10533" s="263"/>
    </row>
    <row r="10534" spans="1:14" ht="11.25" customHeight="1" x14ac:dyDescent="0.2">
      <c r="A10534" s="164">
        <v>2025</v>
      </c>
      <c r="B10534" s="164">
        <v>12</v>
      </c>
      <c r="C10534" s="164">
        <v>24</v>
      </c>
      <c r="D10534" s="164">
        <f t="shared" si="1217"/>
        <v>46015</v>
      </c>
      <c r="E10534" s="235">
        <f t="shared" si="1219"/>
        <v>46015</v>
      </c>
      <c r="F10534" s="480"/>
      <c r="G10534" s="208" t="s">
        <v>86</v>
      </c>
      <c r="H10534" s="208"/>
      <c r="J10534" s="165" t="s">
        <v>961</v>
      </c>
      <c r="K10534" s="263"/>
      <c r="L10534" s="205">
        <v>990719.75</v>
      </c>
      <c r="M10534" s="263"/>
      <c r="N10534" s="263"/>
    </row>
    <row r="10535" spans="1:14" ht="11.25" customHeight="1" x14ac:dyDescent="0.2">
      <c r="A10535" s="164">
        <v>2025</v>
      </c>
      <c r="B10535" s="164">
        <v>12</v>
      </c>
      <c r="C10535" s="164">
        <v>24</v>
      </c>
      <c r="D10535" s="164">
        <f t="shared" si="1217"/>
        <v>46015</v>
      </c>
      <c r="E10535" s="235">
        <f t="shared" si="1219"/>
        <v>46015</v>
      </c>
      <c r="F10535" s="480"/>
      <c r="G10535" s="208" t="s">
        <v>86</v>
      </c>
      <c r="H10535" s="208"/>
      <c r="J10535" s="165" t="s">
        <v>200</v>
      </c>
      <c r="K10535" s="205"/>
      <c r="L10535" s="205">
        <v>2758.84</v>
      </c>
      <c r="M10535" s="263"/>
      <c r="N10535" s="263"/>
    </row>
    <row r="10536" spans="1:14" ht="11.25" customHeight="1" x14ac:dyDescent="0.2">
      <c r="A10536" s="226">
        <v>2025</v>
      </c>
      <c r="B10536" s="226">
        <v>12</v>
      </c>
      <c r="C10536" s="226">
        <v>24</v>
      </c>
      <c r="D10536" s="226">
        <f t="shared" si="1217"/>
        <v>46015</v>
      </c>
      <c r="E10536" s="234">
        <f t="shared" si="1219"/>
        <v>46015</v>
      </c>
      <c r="F10536" s="479"/>
      <c r="G10536" s="227" t="s">
        <v>86</v>
      </c>
      <c r="H10536" s="228"/>
      <c r="I10536" s="228"/>
      <c r="J10536" s="229" t="s">
        <v>80</v>
      </c>
      <c r="K10536" s="230"/>
      <c r="L10536" s="230">
        <v>618291.16</v>
      </c>
      <c r="M10536" s="263"/>
      <c r="N10536" s="263"/>
    </row>
    <row r="10537" spans="1:14" ht="11.25" customHeight="1" x14ac:dyDescent="0.2">
      <c r="A10537" s="221">
        <v>2025</v>
      </c>
      <c r="B10537" s="221">
        <v>12</v>
      </c>
      <c r="C10537" s="221">
        <v>24</v>
      </c>
      <c r="D10537" s="231">
        <f t="shared" si="1217"/>
        <v>46015</v>
      </c>
      <c r="E10537" s="233">
        <f t="shared" si="1219"/>
        <v>46015</v>
      </c>
      <c r="F10537" s="478" t="s">
        <v>1196</v>
      </c>
      <c r="G10537" s="222" t="s">
        <v>1111</v>
      </c>
      <c r="H10537" s="223"/>
      <c r="I10537" s="223"/>
      <c r="J10537" s="224" t="s">
        <v>95</v>
      </c>
      <c r="K10537" s="225">
        <v>6078.27</v>
      </c>
      <c r="L10537" s="225"/>
      <c r="M10537" s="166"/>
    </row>
    <row r="10538" spans="1:14" ht="11.25" customHeight="1" x14ac:dyDescent="0.2">
      <c r="A10538" s="164">
        <v>2025</v>
      </c>
      <c r="B10538" s="164">
        <v>12</v>
      </c>
      <c r="C10538" s="164">
        <v>24</v>
      </c>
      <c r="D10538" s="156">
        <f t="shared" si="1217"/>
        <v>46015</v>
      </c>
      <c r="E10538" s="235">
        <f t="shared" si="1219"/>
        <v>46015</v>
      </c>
      <c r="F10538" s="480"/>
      <c r="G10538" s="208" t="s">
        <v>1111</v>
      </c>
      <c r="J10538" s="165" t="s">
        <v>478</v>
      </c>
      <c r="K10538" s="205"/>
      <c r="L10538" s="205">
        <v>607.82700000000011</v>
      </c>
    </row>
    <row r="10539" spans="1:14" ht="11.25" customHeight="1" x14ac:dyDescent="0.2">
      <c r="A10539" s="226">
        <v>2025</v>
      </c>
      <c r="B10539" s="226">
        <v>12</v>
      </c>
      <c r="C10539" s="226">
        <v>24</v>
      </c>
      <c r="D10539" s="232">
        <f t="shared" si="1217"/>
        <v>46015</v>
      </c>
      <c r="E10539" s="234">
        <f t="shared" si="1219"/>
        <v>46015</v>
      </c>
      <c r="F10539" s="479"/>
      <c r="G10539" s="227" t="s">
        <v>1111</v>
      </c>
      <c r="H10539" s="228"/>
      <c r="I10539" s="228"/>
      <c r="J10539" s="229" t="s">
        <v>55</v>
      </c>
      <c r="K10539" s="230"/>
      <c r="L10539" s="230">
        <v>5470.44</v>
      </c>
    </row>
    <row r="10540" spans="1:14" ht="11.25" customHeight="1" x14ac:dyDescent="0.2">
      <c r="A10540" s="280">
        <v>2025</v>
      </c>
      <c r="B10540" s="280">
        <v>12</v>
      </c>
      <c r="C10540" s="280">
        <v>24</v>
      </c>
      <c r="D10540" s="281">
        <f t="shared" si="1217"/>
        <v>46015</v>
      </c>
      <c r="E10540" s="282">
        <f t="shared" si="1219"/>
        <v>46015</v>
      </c>
      <c r="F10540" s="472" t="s">
        <v>1744</v>
      </c>
      <c r="G10540" s="283" t="s">
        <v>86</v>
      </c>
      <c r="H10540" s="284"/>
      <c r="I10540" s="284"/>
      <c r="J10540" s="285" t="s">
        <v>131</v>
      </c>
      <c r="K10540" s="286">
        <v>2765.4757142857147</v>
      </c>
      <c r="L10540" s="286"/>
      <c r="M10540" s="401"/>
    </row>
    <row r="10541" spans="1:14" ht="11.25" customHeight="1" x14ac:dyDescent="0.2">
      <c r="A10541" s="287">
        <v>2025</v>
      </c>
      <c r="B10541" s="287">
        <v>12</v>
      </c>
      <c r="C10541" s="287">
        <v>24</v>
      </c>
      <c r="D10541" s="288">
        <f t="shared" si="1217"/>
        <v>46015</v>
      </c>
      <c r="E10541" s="289">
        <f t="shared" si="1219"/>
        <v>46015</v>
      </c>
      <c r="F10541" s="473"/>
      <c r="G10541" s="290" t="s">
        <v>86</v>
      </c>
      <c r="H10541" s="291"/>
      <c r="I10541" s="291"/>
      <c r="J10541" s="292" t="s">
        <v>174</v>
      </c>
      <c r="K10541" s="293"/>
      <c r="L10541" s="293">
        <f>K10540</f>
        <v>2765.4757142857147</v>
      </c>
    </row>
    <row r="10542" spans="1:14" ht="11.25" customHeight="1" x14ac:dyDescent="0.2">
      <c r="A10542" s="280">
        <v>2025</v>
      </c>
      <c r="B10542" s="280">
        <v>12</v>
      </c>
      <c r="C10542" s="280">
        <v>24</v>
      </c>
      <c r="D10542" s="281">
        <f t="shared" si="1217"/>
        <v>46015</v>
      </c>
      <c r="E10542" s="282">
        <f t="shared" si="1219"/>
        <v>46015</v>
      </c>
      <c r="F10542" s="472" t="s">
        <v>1584</v>
      </c>
      <c r="G10542" s="283" t="s">
        <v>86</v>
      </c>
      <c r="H10542" s="284"/>
      <c r="I10542" s="284"/>
      <c r="J10542" s="285" t="s">
        <v>131</v>
      </c>
      <c r="K10542" s="286">
        <v>1263.7357142857143</v>
      </c>
      <c r="L10542" s="286"/>
      <c r="M10542" s="401"/>
    </row>
    <row r="10543" spans="1:14" ht="11.25" customHeight="1" x14ac:dyDescent="0.2">
      <c r="A10543" s="287">
        <v>2025</v>
      </c>
      <c r="B10543" s="287">
        <v>12</v>
      </c>
      <c r="C10543" s="287">
        <v>24</v>
      </c>
      <c r="D10543" s="288">
        <f t="shared" si="1217"/>
        <v>46015</v>
      </c>
      <c r="E10543" s="289">
        <f t="shared" si="1219"/>
        <v>46015</v>
      </c>
      <c r="F10543" s="473"/>
      <c r="G10543" s="290" t="s">
        <v>86</v>
      </c>
      <c r="H10543" s="291"/>
      <c r="I10543" s="291"/>
      <c r="J10543" s="292" t="s">
        <v>174</v>
      </c>
      <c r="K10543" s="293"/>
      <c r="L10543" s="293">
        <f>K10542</f>
        <v>1263.7357142857143</v>
      </c>
    </row>
    <row r="10544" spans="1:14" ht="11.25" customHeight="1" x14ac:dyDescent="0.2">
      <c r="A10544" s="280">
        <v>2025</v>
      </c>
      <c r="B10544" s="280">
        <v>12</v>
      </c>
      <c r="C10544" s="280">
        <v>24</v>
      </c>
      <c r="D10544" s="281">
        <f t="shared" si="1217"/>
        <v>46015</v>
      </c>
      <c r="E10544" s="282">
        <f t="shared" si="1219"/>
        <v>46015</v>
      </c>
      <c r="F10544" s="472" t="s">
        <v>1955</v>
      </c>
      <c r="G10544" s="283" t="s">
        <v>86</v>
      </c>
      <c r="H10544" s="284"/>
      <c r="I10544" s="284"/>
      <c r="J10544" s="285" t="s">
        <v>1978</v>
      </c>
      <c r="K10544" s="286">
        <v>6185.4395604395604</v>
      </c>
      <c r="L10544" s="286"/>
      <c r="M10544" s="401"/>
    </row>
    <row r="10545" spans="1:14" ht="11.25" customHeight="1" x14ac:dyDescent="0.2">
      <c r="A10545" s="287">
        <v>2025</v>
      </c>
      <c r="B10545" s="287">
        <v>12</v>
      </c>
      <c r="C10545" s="287">
        <v>24</v>
      </c>
      <c r="D10545" s="288">
        <f t="shared" si="1217"/>
        <v>46015</v>
      </c>
      <c r="E10545" s="289">
        <f t="shared" si="1219"/>
        <v>46015</v>
      </c>
      <c r="F10545" s="473"/>
      <c r="G10545" s="290" t="s">
        <v>86</v>
      </c>
      <c r="H10545" s="291"/>
      <c r="I10545" s="291"/>
      <c r="J10545" s="292" t="s">
        <v>1955</v>
      </c>
      <c r="K10545" s="293"/>
      <c r="L10545" s="293">
        <f>K10544</f>
        <v>6185.4395604395604</v>
      </c>
    </row>
    <row r="10546" spans="1:14" ht="11.25" customHeight="1" x14ac:dyDescent="0.2">
      <c r="A10546" s="341">
        <v>2025</v>
      </c>
      <c r="B10546" s="341">
        <v>12</v>
      </c>
      <c r="C10546" s="341">
        <v>24</v>
      </c>
      <c r="D10546" s="328">
        <f t="shared" si="1217"/>
        <v>46015</v>
      </c>
      <c r="E10546" s="329">
        <f t="shared" si="1219"/>
        <v>46015</v>
      </c>
      <c r="F10546" s="474" t="s">
        <v>1767</v>
      </c>
      <c r="G10546" s="330" t="s">
        <v>86</v>
      </c>
      <c r="H10546" s="332"/>
      <c r="I10546" s="332"/>
      <c r="J10546" s="342" t="s">
        <v>67</v>
      </c>
      <c r="K10546" s="343">
        <v>688.09506333333331</v>
      </c>
      <c r="L10546" s="343"/>
    </row>
    <row r="10547" spans="1:14" ht="11.25" customHeight="1" x14ac:dyDescent="0.2">
      <c r="A10547" s="344">
        <v>2025</v>
      </c>
      <c r="B10547" s="344">
        <v>12</v>
      </c>
      <c r="C10547" s="344">
        <v>24</v>
      </c>
      <c r="D10547" s="337">
        <f t="shared" si="1217"/>
        <v>46015</v>
      </c>
      <c r="E10547" s="338">
        <f t="shared" si="1219"/>
        <v>46015</v>
      </c>
      <c r="F10547" s="475"/>
      <c r="G10547" s="339" t="s">
        <v>86</v>
      </c>
      <c r="H10547" s="340"/>
      <c r="I10547" s="340"/>
      <c r="J10547" s="345" t="s">
        <v>174</v>
      </c>
      <c r="K10547" s="346"/>
      <c r="L10547" s="346">
        <f>K10546</f>
        <v>688.09506333333331</v>
      </c>
    </row>
    <row r="10548" spans="1:14" ht="11.25" customHeight="1" x14ac:dyDescent="0.2">
      <c r="A10548" s="358">
        <v>2025</v>
      </c>
      <c r="B10548" s="358">
        <v>12</v>
      </c>
      <c r="C10548" s="358">
        <v>24</v>
      </c>
      <c r="D10548" s="312">
        <f t="shared" si="1217"/>
        <v>46015</v>
      </c>
      <c r="E10548" s="313">
        <f>DATE(A10548,B10548,C10548)</f>
        <v>46015</v>
      </c>
      <c r="F10548" s="482" t="s">
        <v>1627</v>
      </c>
      <c r="G10548" s="314" t="s">
        <v>86</v>
      </c>
      <c r="H10548" s="324"/>
      <c r="I10548" s="324"/>
      <c r="J10548" s="364" t="s">
        <v>1613</v>
      </c>
      <c r="K10548" s="365"/>
      <c r="L10548" s="365"/>
      <c r="M10548" s="156">
        <f>BS!$I$12</f>
        <v>0</v>
      </c>
    </row>
    <row r="10549" spans="1:14" ht="11.25" customHeight="1" x14ac:dyDescent="0.2">
      <c r="A10549" s="320">
        <v>2025</v>
      </c>
      <c r="B10549" s="320">
        <v>12</v>
      </c>
      <c r="C10549" s="320">
        <v>24</v>
      </c>
      <c r="D10549" s="323">
        <f t="shared" si="1217"/>
        <v>46015</v>
      </c>
      <c r="E10549" s="321">
        <f t="shared" ref="E10549" si="1220">DATE(A10549,B10549,C10549)</f>
        <v>46015</v>
      </c>
      <c r="F10549" s="483"/>
      <c r="G10549" s="322" t="s">
        <v>86</v>
      </c>
      <c r="H10549" s="325"/>
      <c r="I10549" s="325"/>
      <c r="J10549" s="366" t="s">
        <v>1621</v>
      </c>
      <c r="K10549" s="367"/>
      <c r="L10549" s="367">
        <f>K10548</f>
        <v>0</v>
      </c>
    </row>
    <row r="10550" spans="1:14" ht="11.25" customHeight="1" x14ac:dyDescent="0.2">
      <c r="A10550" s="358">
        <v>2025</v>
      </c>
      <c r="B10550" s="358">
        <v>12</v>
      </c>
      <c r="C10550" s="358">
        <v>24</v>
      </c>
      <c r="D10550" s="312">
        <f t="shared" si="1217"/>
        <v>46015</v>
      </c>
      <c r="E10550" s="313">
        <f>DATE(A10550,B10550,C10550)</f>
        <v>46015</v>
      </c>
      <c r="F10550" s="482" t="s">
        <v>1713</v>
      </c>
      <c r="G10550" s="314" t="s">
        <v>86</v>
      </c>
      <c r="H10550" s="324"/>
      <c r="I10550" s="324"/>
      <c r="J10550" s="364" t="s">
        <v>1622</v>
      </c>
      <c r="K10550" s="365"/>
      <c r="L10550" s="365"/>
      <c r="M10550" s="447">
        <f>BS!$I$15</f>
        <v>0</v>
      </c>
      <c r="N10550" s="166"/>
    </row>
    <row r="10551" spans="1:14" ht="11.25" customHeight="1" x14ac:dyDescent="0.2">
      <c r="A10551" s="320">
        <v>2025</v>
      </c>
      <c r="B10551" s="320">
        <v>12</v>
      </c>
      <c r="C10551" s="320">
        <v>24</v>
      </c>
      <c r="D10551" s="323">
        <f t="shared" si="1217"/>
        <v>46015</v>
      </c>
      <c r="E10551" s="321">
        <f t="shared" ref="E10551:E10562" si="1221">DATE(A10551,B10551,C10551)</f>
        <v>46015</v>
      </c>
      <c r="F10551" s="483"/>
      <c r="G10551" s="322" t="s">
        <v>86</v>
      </c>
      <c r="H10551" s="325"/>
      <c r="I10551" s="325"/>
      <c r="J10551" s="366" t="s">
        <v>1614</v>
      </c>
      <c r="K10551" s="367"/>
      <c r="L10551" s="367">
        <f>K10550</f>
        <v>0</v>
      </c>
    </row>
    <row r="10552" spans="1:14" ht="11.25" customHeight="1" x14ac:dyDescent="0.2">
      <c r="A10552" s="236">
        <v>2025</v>
      </c>
      <c r="B10552" s="236">
        <v>12</v>
      </c>
      <c r="C10552" s="236">
        <v>24</v>
      </c>
      <c r="D10552" s="237">
        <f t="shared" si="1217"/>
        <v>46015</v>
      </c>
      <c r="E10552" s="238">
        <f t="shared" si="1221"/>
        <v>46015</v>
      </c>
      <c r="F10552" s="476" t="s">
        <v>1118</v>
      </c>
      <c r="G10552" s="239" t="s">
        <v>86</v>
      </c>
      <c r="H10552" s="239"/>
      <c r="I10552" s="240"/>
      <c r="J10552" s="241" t="s">
        <v>98</v>
      </c>
      <c r="K10552" s="242">
        <v>784594.76000002027</v>
      </c>
      <c r="L10552" s="242"/>
      <c r="M10552" s="156">
        <f>BS!$I$8</f>
        <v>0</v>
      </c>
    </row>
    <row r="10553" spans="1:14" ht="11.25" customHeight="1" x14ac:dyDescent="0.2">
      <c r="A10553" s="243">
        <v>2025</v>
      </c>
      <c r="B10553" s="243">
        <v>12</v>
      </c>
      <c r="C10553" s="243">
        <v>24</v>
      </c>
      <c r="D10553" s="248">
        <f t="shared" si="1217"/>
        <v>46015</v>
      </c>
      <c r="E10553" s="249">
        <f t="shared" si="1221"/>
        <v>46015</v>
      </c>
      <c r="F10553" s="477"/>
      <c r="G10553" s="244" t="s">
        <v>86</v>
      </c>
      <c r="H10553" s="244"/>
      <c r="I10553" s="245"/>
      <c r="J10553" s="246" t="s">
        <v>82</v>
      </c>
      <c r="K10553" s="247"/>
      <c r="L10553" s="247">
        <f>K10552</f>
        <v>784594.76000002027</v>
      </c>
    </row>
    <row r="10554" spans="1:14" ht="11.25" customHeight="1" x14ac:dyDescent="0.2">
      <c r="A10554" s="236">
        <v>2025</v>
      </c>
      <c r="B10554" s="236">
        <v>12</v>
      </c>
      <c r="C10554" s="236">
        <v>24</v>
      </c>
      <c r="D10554" s="237">
        <f t="shared" si="1217"/>
        <v>46015</v>
      </c>
      <c r="E10554" s="238">
        <f t="shared" si="1221"/>
        <v>46015</v>
      </c>
      <c r="F10554" s="476" t="s">
        <v>1120</v>
      </c>
      <c r="G10554" s="239" t="s">
        <v>86</v>
      </c>
      <c r="H10554" s="239"/>
      <c r="I10554" s="240"/>
      <c r="J10554" s="241" t="s">
        <v>87</v>
      </c>
      <c r="K10554" s="242">
        <v>392.46467817896388</v>
      </c>
      <c r="L10554" s="242"/>
      <c r="M10554" s="401"/>
    </row>
    <row r="10555" spans="1:14" ht="11.25" customHeight="1" x14ac:dyDescent="0.2">
      <c r="A10555" s="243">
        <v>2025</v>
      </c>
      <c r="B10555" s="243">
        <v>12</v>
      </c>
      <c r="C10555" s="243">
        <v>24</v>
      </c>
      <c r="D10555" s="248">
        <f t="shared" si="1217"/>
        <v>46015</v>
      </c>
      <c r="E10555" s="249">
        <f t="shared" si="1221"/>
        <v>46015</v>
      </c>
      <c r="F10555" s="477"/>
      <c r="G10555" s="244" t="s">
        <v>86</v>
      </c>
      <c r="H10555" s="244"/>
      <c r="I10555" s="245"/>
      <c r="J10555" s="246" t="s">
        <v>64</v>
      </c>
      <c r="K10555" s="247"/>
      <c r="L10555" s="247">
        <f>K10554</f>
        <v>392.46467817896388</v>
      </c>
    </row>
    <row r="10556" spans="1:14" ht="11.25" customHeight="1" x14ac:dyDescent="0.2">
      <c r="A10556" s="236">
        <v>2025</v>
      </c>
      <c r="B10556" s="236">
        <v>12</v>
      </c>
      <c r="C10556" s="236">
        <v>24</v>
      </c>
      <c r="D10556" s="237">
        <f t="shared" si="1217"/>
        <v>46015</v>
      </c>
      <c r="E10556" s="238">
        <f t="shared" si="1221"/>
        <v>46015</v>
      </c>
      <c r="F10556" s="476" t="s">
        <v>1121</v>
      </c>
      <c r="G10556" s="239" t="s">
        <v>86</v>
      </c>
      <c r="H10556" s="239"/>
      <c r="I10556" s="240"/>
      <c r="J10556" s="241" t="s">
        <v>89</v>
      </c>
      <c r="K10556" s="242">
        <f>M10556</f>
        <v>13174.067853713117</v>
      </c>
      <c r="L10556" s="242"/>
      <c r="M10556" s="448">
        <v>13174.067853713117</v>
      </c>
    </row>
    <row r="10557" spans="1:14" ht="11.25" customHeight="1" x14ac:dyDescent="0.2">
      <c r="A10557" s="243">
        <v>2025</v>
      </c>
      <c r="B10557" s="243">
        <v>12</v>
      </c>
      <c r="C10557" s="243">
        <v>24</v>
      </c>
      <c r="D10557" s="248">
        <f t="shared" si="1217"/>
        <v>46015</v>
      </c>
      <c r="E10557" s="249">
        <f t="shared" si="1221"/>
        <v>46015</v>
      </c>
      <c r="F10557" s="477"/>
      <c r="G10557" s="244" t="s">
        <v>86</v>
      </c>
      <c r="H10557" s="244"/>
      <c r="I10557" s="245"/>
      <c r="J10557" s="246" t="s">
        <v>50</v>
      </c>
      <c r="K10557" s="247"/>
      <c r="L10557" s="247">
        <f>K10556</f>
        <v>13174.067853713117</v>
      </c>
      <c r="M10557" s="448">
        <v>624.36273334499663</v>
      </c>
    </row>
    <row r="10558" spans="1:14" ht="11.25" customHeight="1" x14ac:dyDescent="0.2">
      <c r="A10558" s="236">
        <v>2025</v>
      </c>
      <c r="B10558" s="236">
        <v>12</v>
      </c>
      <c r="C10558" s="236">
        <v>24</v>
      </c>
      <c r="D10558" s="237">
        <f t="shared" si="1217"/>
        <v>46015</v>
      </c>
      <c r="E10558" s="238">
        <f t="shared" si="1221"/>
        <v>46015</v>
      </c>
      <c r="F10558" s="476" t="s">
        <v>1122</v>
      </c>
      <c r="G10558" s="239" t="s">
        <v>86</v>
      </c>
      <c r="H10558" s="239"/>
      <c r="I10558" s="240"/>
      <c r="J10558" s="241" t="s">
        <v>91</v>
      </c>
      <c r="K10558" s="242">
        <f>M10557</f>
        <v>624.36273334499663</v>
      </c>
      <c r="L10558" s="242"/>
    </row>
    <row r="10559" spans="1:14" ht="11.25" customHeight="1" x14ac:dyDescent="0.2">
      <c r="A10559" s="243">
        <v>2025</v>
      </c>
      <c r="B10559" s="243">
        <v>12</v>
      </c>
      <c r="C10559" s="243">
        <v>24</v>
      </c>
      <c r="D10559" s="248">
        <f t="shared" si="1217"/>
        <v>46015</v>
      </c>
      <c r="E10559" s="249">
        <f t="shared" si="1221"/>
        <v>46015</v>
      </c>
      <c r="F10559" s="477"/>
      <c r="G10559" s="244" t="s">
        <v>86</v>
      </c>
      <c r="H10559" s="244"/>
      <c r="I10559" s="245"/>
      <c r="J10559" s="246" t="s">
        <v>51</v>
      </c>
      <c r="K10559" s="247"/>
      <c r="L10559" s="247">
        <f>K10558</f>
        <v>624.36273334499663</v>
      </c>
    </row>
    <row r="10560" spans="1:14" ht="11.25" customHeight="1" x14ac:dyDescent="0.2">
      <c r="A10560" s="221">
        <v>2025</v>
      </c>
      <c r="B10560" s="221">
        <v>12</v>
      </c>
      <c r="C10560" s="221">
        <v>28</v>
      </c>
      <c r="D10560" s="231">
        <f t="shared" si="1217"/>
        <v>46019</v>
      </c>
      <c r="E10560" s="233">
        <f t="shared" si="1221"/>
        <v>46019</v>
      </c>
      <c r="F10560" s="478" t="s">
        <v>1132</v>
      </c>
      <c r="G10560" s="222" t="s">
        <v>1111</v>
      </c>
      <c r="H10560" s="223"/>
      <c r="I10560" s="223"/>
      <c r="J10560" s="224" t="s">
        <v>55</v>
      </c>
      <c r="K10560" s="167">
        <v>17000</v>
      </c>
      <c r="L10560" s="225"/>
    </row>
    <row r="10561" spans="1:14" ht="11.25" customHeight="1" x14ac:dyDescent="0.2">
      <c r="A10561" s="164">
        <v>2025</v>
      </c>
      <c r="B10561" s="164">
        <v>12</v>
      </c>
      <c r="C10561" s="164">
        <v>28</v>
      </c>
      <c r="D10561" s="156">
        <f t="shared" si="1217"/>
        <v>46019</v>
      </c>
      <c r="E10561" s="235">
        <f t="shared" si="1221"/>
        <v>46019</v>
      </c>
      <c r="F10561" s="480"/>
      <c r="G10561" s="208" t="s">
        <v>1111</v>
      </c>
      <c r="J10561" s="165" t="s">
        <v>14</v>
      </c>
      <c r="L10561" s="205">
        <v>14250</v>
      </c>
    </row>
    <row r="10562" spans="1:14" ht="11.25" customHeight="1" x14ac:dyDescent="0.2">
      <c r="A10562" s="226">
        <v>2025</v>
      </c>
      <c r="B10562" s="226">
        <v>12</v>
      </c>
      <c r="C10562" s="226">
        <v>28</v>
      </c>
      <c r="D10562" s="232">
        <f t="shared" si="1217"/>
        <v>46019</v>
      </c>
      <c r="E10562" s="234">
        <f t="shared" si="1221"/>
        <v>46019</v>
      </c>
      <c r="F10562" s="479"/>
      <c r="G10562" s="227" t="s">
        <v>1111</v>
      </c>
      <c r="H10562" s="228"/>
      <c r="I10562" s="228"/>
      <c r="J10562" s="229" t="s">
        <v>1112</v>
      </c>
      <c r="K10562" s="230"/>
      <c r="L10562" s="230">
        <v>2750</v>
      </c>
    </row>
    <row r="10563" spans="1:14" ht="11.25" customHeight="1" x14ac:dyDescent="0.2">
      <c r="A10563" s="221">
        <v>2025</v>
      </c>
      <c r="B10563" s="221">
        <v>12</v>
      </c>
      <c r="C10563" s="221">
        <v>28</v>
      </c>
      <c r="D10563" s="231">
        <f t="shared" si="1217"/>
        <v>46019</v>
      </c>
      <c r="E10563" s="233">
        <f t="shared" ref="E10563:E10580" si="1222">DATE(A10563,B10563,C10563)</f>
        <v>46019</v>
      </c>
      <c r="F10563" s="478" t="s">
        <v>1605</v>
      </c>
      <c r="G10563" s="222" t="s">
        <v>1111</v>
      </c>
      <c r="H10563" s="223"/>
      <c r="I10563" s="223"/>
      <c r="J10563" s="224" t="s">
        <v>55</v>
      </c>
      <c r="K10563" s="167">
        <v>119310</v>
      </c>
      <c r="L10563" s="225"/>
    </row>
    <row r="10564" spans="1:14" ht="11.25" customHeight="1" x14ac:dyDescent="0.2">
      <c r="A10564" s="164">
        <v>2025</v>
      </c>
      <c r="B10564" s="164">
        <v>12</v>
      </c>
      <c r="C10564" s="164">
        <v>28</v>
      </c>
      <c r="D10564" s="156">
        <f t="shared" si="1217"/>
        <v>46019</v>
      </c>
      <c r="E10564" s="235">
        <f t="shared" si="1222"/>
        <v>46019</v>
      </c>
      <c r="F10564" s="480"/>
      <c r="G10564" s="208" t="s">
        <v>1111</v>
      </c>
      <c r="J10564" s="165" t="s">
        <v>14</v>
      </c>
      <c r="L10564" s="205">
        <v>100000</v>
      </c>
    </row>
    <row r="10565" spans="1:14" ht="11.25" customHeight="1" x14ac:dyDescent="0.2">
      <c r="A10565" s="226">
        <v>2025</v>
      </c>
      <c r="B10565" s="226">
        <v>12</v>
      </c>
      <c r="C10565" s="226">
        <v>28</v>
      </c>
      <c r="D10565" s="232">
        <f t="shared" si="1217"/>
        <v>46019</v>
      </c>
      <c r="E10565" s="234">
        <f t="shared" si="1222"/>
        <v>46019</v>
      </c>
      <c r="F10565" s="479"/>
      <c r="G10565" s="227" t="s">
        <v>1111</v>
      </c>
      <c r="H10565" s="228"/>
      <c r="I10565" s="228"/>
      <c r="J10565" s="229" t="s">
        <v>1112</v>
      </c>
      <c r="K10565" s="230"/>
      <c r="L10565" s="230">
        <v>19310</v>
      </c>
    </row>
    <row r="10566" spans="1:14" ht="11.25" customHeight="1" x14ac:dyDescent="0.2">
      <c r="A10566" s="221">
        <v>2025</v>
      </c>
      <c r="B10566" s="221">
        <v>12</v>
      </c>
      <c r="C10566" s="221">
        <v>28</v>
      </c>
      <c r="D10566" s="231">
        <f t="shared" si="1217"/>
        <v>46019</v>
      </c>
      <c r="E10566" s="233">
        <f t="shared" si="1222"/>
        <v>46019</v>
      </c>
      <c r="F10566" s="478" t="s">
        <v>1940</v>
      </c>
      <c r="G10566" s="222" t="s">
        <v>1111</v>
      </c>
      <c r="H10566" s="223"/>
      <c r="I10566" s="223"/>
      <c r="J10566" s="224" t="s">
        <v>961</v>
      </c>
      <c r="K10566" s="225">
        <v>270627.96000000002</v>
      </c>
      <c r="L10566" s="225"/>
    </row>
    <row r="10567" spans="1:14" ht="11.25" customHeight="1" x14ac:dyDescent="0.2">
      <c r="A10567" s="226">
        <v>2025</v>
      </c>
      <c r="B10567" s="226">
        <v>12</v>
      </c>
      <c r="C10567" s="226">
        <v>28</v>
      </c>
      <c r="D10567" s="232">
        <f t="shared" si="1217"/>
        <v>46019</v>
      </c>
      <c r="E10567" s="234">
        <f t="shared" si="1222"/>
        <v>46019</v>
      </c>
      <c r="F10567" s="479"/>
      <c r="G10567" s="227" t="s">
        <v>1111</v>
      </c>
      <c r="H10567" s="228"/>
      <c r="I10567" s="228"/>
      <c r="J10567" s="229" t="s">
        <v>55</v>
      </c>
      <c r="K10567" s="230"/>
      <c r="L10567" s="230">
        <f>K10566</f>
        <v>270627.96000000002</v>
      </c>
    </row>
    <row r="10568" spans="1:14" ht="11.25" customHeight="1" x14ac:dyDescent="0.2">
      <c r="A10568" s="221">
        <v>2025</v>
      </c>
      <c r="B10568" s="221">
        <v>12</v>
      </c>
      <c r="C10568" s="221">
        <v>28</v>
      </c>
      <c r="D10568" s="221">
        <f t="shared" si="1217"/>
        <v>46019</v>
      </c>
      <c r="E10568" s="233">
        <f t="shared" si="1222"/>
        <v>46019</v>
      </c>
      <c r="F10568" s="478" t="s">
        <v>1937</v>
      </c>
      <c r="G10568" s="222" t="s">
        <v>86</v>
      </c>
      <c r="H10568" s="222"/>
      <c r="I10568" s="223"/>
      <c r="J10568" s="224" t="s">
        <v>80</v>
      </c>
      <c r="K10568" s="225">
        <v>1856567.7</v>
      </c>
      <c r="L10568" s="225"/>
      <c r="N10568" s="263"/>
    </row>
    <row r="10569" spans="1:14" ht="11.25" customHeight="1" x14ac:dyDescent="0.2">
      <c r="A10569" s="164">
        <v>2025</v>
      </c>
      <c r="B10569" s="164">
        <v>12</v>
      </c>
      <c r="C10569" s="164">
        <v>28</v>
      </c>
      <c r="D10569" s="164">
        <f t="shared" ref="D10569:D10632" si="1223">DATE(A10569,B10569,C10569)</f>
        <v>46019</v>
      </c>
      <c r="E10569" s="235">
        <f t="shared" si="1222"/>
        <v>46019</v>
      </c>
      <c r="F10569" s="480"/>
      <c r="G10569" s="208" t="s">
        <v>86</v>
      </c>
      <c r="H10569" s="208"/>
      <c r="J10569" s="165" t="s">
        <v>960</v>
      </c>
      <c r="K10569" s="205">
        <v>6014.45</v>
      </c>
      <c r="L10569" s="205"/>
      <c r="M10569" s="263"/>
      <c r="N10569" s="263"/>
    </row>
    <row r="10570" spans="1:14" ht="11.25" customHeight="1" x14ac:dyDescent="0.2">
      <c r="A10570" s="164">
        <v>2025</v>
      </c>
      <c r="B10570" s="164">
        <v>12</v>
      </c>
      <c r="C10570" s="164">
        <v>28</v>
      </c>
      <c r="D10570" s="164">
        <f t="shared" si="1223"/>
        <v>46019</v>
      </c>
      <c r="E10570" s="235">
        <f t="shared" si="1222"/>
        <v>46019</v>
      </c>
      <c r="F10570" s="480"/>
      <c r="G10570" s="208" t="s">
        <v>86</v>
      </c>
      <c r="H10570" s="208"/>
      <c r="J10570" s="165" t="s">
        <v>961</v>
      </c>
      <c r="K10570" s="263"/>
      <c r="L10570" s="205">
        <v>377790.15</v>
      </c>
      <c r="M10570" s="263"/>
      <c r="N10570" s="263"/>
    </row>
    <row r="10571" spans="1:14" ht="11.25" customHeight="1" x14ac:dyDescent="0.2">
      <c r="A10571" s="164">
        <v>2025</v>
      </c>
      <c r="B10571" s="164">
        <v>12</v>
      </c>
      <c r="C10571" s="164">
        <v>28</v>
      </c>
      <c r="D10571" s="164">
        <f t="shared" si="1223"/>
        <v>46019</v>
      </c>
      <c r="E10571" s="235">
        <f t="shared" si="1222"/>
        <v>46019</v>
      </c>
      <c r="F10571" s="480"/>
      <c r="G10571" s="208" t="s">
        <v>86</v>
      </c>
      <c r="H10571" s="208"/>
      <c r="J10571" s="165" t="s">
        <v>200</v>
      </c>
      <c r="K10571" s="205"/>
      <c r="L10571" s="205">
        <v>13849.85</v>
      </c>
      <c r="M10571" s="263"/>
      <c r="N10571" s="263"/>
    </row>
    <row r="10572" spans="1:14" ht="11.25" customHeight="1" x14ac:dyDescent="0.2">
      <c r="A10572" s="226">
        <v>2025</v>
      </c>
      <c r="B10572" s="226">
        <v>12</v>
      </c>
      <c r="C10572" s="226">
        <v>28</v>
      </c>
      <c r="D10572" s="226">
        <f t="shared" si="1223"/>
        <v>46019</v>
      </c>
      <c r="E10572" s="234">
        <f t="shared" si="1222"/>
        <v>46019</v>
      </c>
      <c r="F10572" s="479"/>
      <c r="G10572" s="227" t="s">
        <v>86</v>
      </c>
      <c r="H10572" s="228"/>
      <c r="I10572" s="228"/>
      <c r="J10572" s="229" t="s">
        <v>80</v>
      </c>
      <c r="K10572" s="230"/>
      <c r="L10572" s="230">
        <v>1470942.15</v>
      </c>
      <c r="M10572" s="263"/>
      <c r="N10572" s="263"/>
    </row>
    <row r="10573" spans="1:14" ht="11.25" customHeight="1" x14ac:dyDescent="0.2">
      <c r="A10573" s="280">
        <v>2025</v>
      </c>
      <c r="B10573" s="280">
        <v>12</v>
      </c>
      <c r="C10573" s="280">
        <v>28</v>
      </c>
      <c r="D10573" s="281">
        <f t="shared" si="1223"/>
        <v>46019</v>
      </c>
      <c r="E10573" s="282">
        <f t="shared" si="1222"/>
        <v>46019</v>
      </c>
      <c r="F10573" s="472" t="s">
        <v>1744</v>
      </c>
      <c r="G10573" s="283" t="s">
        <v>86</v>
      </c>
      <c r="H10573" s="284"/>
      <c r="I10573" s="284"/>
      <c r="J10573" s="285" t="s">
        <v>131</v>
      </c>
      <c r="K10573" s="286">
        <v>11061.902857142859</v>
      </c>
      <c r="L10573" s="286"/>
      <c r="M10573" s="401"/>
    </row>
    <row r="10574" spans="1:14" ht="11.25" customHeight="1" x14ac:dyDescent="0.2">
      <c r="A10574" s="287">
        <v>2025</v>
      </c>
      <c r="B10574" s="287">
        <v>12</v>
      </c>
      <c r="C10574" s="287">
        <v>28</v>
      </c>
      <c r="D10574" s="288">
        <f t="shared" si="1223"/>
        <v>46019</v>
      </c>
      <c r="E10574" s="289">
        <f t="shared" si="1222"/>
        <v>46019</v>
      </c>
      <c r="F10574" s="473"/>
      <c r="G10574" s="290" t="s">
        <v>86</v>
      </c>
      <c r="H10574" s="291"/>
      <c r="I10574" s="291"/>
      <c r="J10574" s="292" t="s">
        <v>174</v>
      </c>
      <c r="K10574" s="293"/>
      <c r="L10574" s="293">
        <f>K10573</f>
        <v>11061.902857142859</v>
      </c>
    </row>
    <row r="10575" spans="1:14" ht="11.25" customHeight="1" x14ac:dyDescent="0.2">
      <c r="A10575" s="280">
        <v>2025</v>
      </c>
      <c r="B10575" s="280">
        <v>12</v>
      </c>
      <c r="C10575" s="280">
        <v>28</v>
      </c>
      <c r="D10575" s="281">
        <f t="shared" si="1223"/>
        <v>46019</v>
      </c>
      <c r="E10575" s="282">
        <f t="shared" si="1222"/>
        <v>46019</v>
      </c>
      <c r="F10575" s="472" t="s">
        <v>1584</v>
      </c>
      <c r="G10575" s="283" t="s">
        <v>86</v>
      </c>
      <c r="H10575" s="284"/>
      <c r="I10575" s="284"/>
      <c r="J10575" s="285" t="s">
        <v>131</v>
      </c>
      <c r="K10575" s="286">
        <v>5054.9428571428571</v>
      </c>
      <c r="L10575" s="286"/>
      <c r="M10575" s="401"/>
    </row>
    <row r="10576" spans="1:14" ht="11.25" customHeight="1" x14ac:dyDescent="0.2">
      <c r="A10576" s="287">
        <v>2025</v>
      </c>
      <c r="B10576" s="287">
        <v>12</v>
      </c>
      <c r="C10576" s="287">
        <v>28</v>
      </c>
      <c r="D10576" s="288">
        <f t="shared" si="1223"/>
        <v>46019</v>
      </c>
      <c r="E10576" s="289">
        <f t="shared" si="1222"/>
        <v>46019</v>
      </c>
      <c r="F10576" s="473"/>
      <c r="G10576" s="290" t="s">
        <v>86</v>
      </c>
      <c r="H10576" s="291"/>
      <c r="I10576" s="291"/>
      <c r="J10576" s="292" t="s">
        <v>174</v>
      </c>
      <c r="K10576" s="293"/>
      <c r="L10576" s="293">
        <f>K10575</f>
        <v>5054.9428571428571</v>
      </c>
    </row>
    <row r="10577" spans="1:14" ht="11.25" customHeight="1" x14ac:dyDescent="0.2">
      <c r="A10577" s="280">
        <v>2025</v>
      </c>
      <c r="B10577" s="280">
        <v>12</v>
      </c>
      <c r="C10577" s="280">
        <v>28</v>
      </c>
      <c r="D10577" s="281">
        <f t="shared" si="1223"/>
        <v>46019</v>
      </c>
      <c r="E10577" s="282">
        <f t="shared" si="1222"/>
        <v>46019</v>
      </c>
      <c r="F10577" s="472" t="s">
        <v>1955</v>
      </c>
      <c r="G10577" s="283" t="s">
        <v>86</v>
      </c>
      <c r="H10577" s="284"/>
      <c r="I10577" s="284"/>
      <c r="J10577" s="285" t="s">
        <v>1978</v>
      </c>
      <c r="K10577" s="286">
        <v>24741.758241758242</v>
      </c>
      <c r="L10577" s="286"/>
      <c r="M10577" s="401"/>
    </row>
    <row r="10578" spans="1:14" ht="11.25" customHeight="1" x14ac:dyDescent="0.2">
      <c r="A10578" s="287">
        <v>2025</v>
      </c>
      <c r="B10578" s="287">
        <v>12</v>
      </c>
      <c r="C10578" s="287">
        <v>28</v>
      </c>
      <c r="D10578" s="288">
        <f t="shared" si="1223"/>
        <v>46019</v>
      </c>
      <c r="E10578" s="289">
        <f t="shared" si="1222"/>
        <v>46019</v>
      </c>
      <c r="F10578" s="473"/>
      <c r="G10578" s="290" t="s">
        <v>86</v>
      </c>
      <c r="H10578" s="291"/>
      <c r="I10578" s="291"/>
      <c r="J10578" s="292" t="s">
        <v>1955</v>
      </c>
      <c r="K10578" s="293"/>
      <c r="L10578" s="293">
        <f>K10577</f>
        <v>24741.758241758242</v>
      </c>
    </row>
    <row r="10579" spans="1:14" ht="11.25" customHeight="1" x14ac:dyDescent="0.2">
      <c r="A10579" s="341">
        <v>2025</v>
      </c>
      <c r="B10579" s="341">
        <v>12</v>
      </c>
      <c r="C10579" s="341">
        <v>28</v>
      </c>
      <c r="D10579" s="328">
        <f t="shared" si="1223"/>
        <v>46019</v>
      </c>
      <c r="E10579" s="329">
        <f t="shared" si="1222"/>
        <v>46019</v>
      </c>
      <c r="F10579" s="474" t="s">
        <v>1767</v>
      </c>
      <c r="G10579" s="330" t="s">
        <v>86</v>
      </c>
      <c r="H10579" s="332"/>
      <c r="I10579" s="332"/>
      <c r="J10579" s="342" t="s">
        <v>67</v>
      </c>
      <c r="K10579" s="343">
        <v>2713.04</v>
      </c>
      <c r="L10579" s="343"/>
    </row>
    <row r="10580" spans="1:14" ht="11.25" customHeight="1" x14ac:dyDescent="0.2">
      <c r="A10580" s="344">
        <v>2025</v>
      </c>
      <c r="B10580" s="344">
        <v>12</v>
      </c>
      <c r="C10580" s="344">
        <v>28</v>
      </c>
      <c r="D10580" s="337">
        <f t="shared" si="1223"/>
        <v>46019</v>
      </c>
      <c r="E10580" s="338">
        <f t="shared" si="1222"/>
        <v>46019</v>
      </c>
      <c r="F10580" s="475"/>
      <c r="G10580" s="339" t="s">
        <v>86</v>
      </c>
      <c r="H10580" s="340"/>
      <c r="I10580" s="340"/>
      <c r="J10580" s="345" t="s">
        <v>174</v>
      </c>
      <c r="K10580" s="346"/>
      <c r="L10580" s="346">
        <f>K10579</f>
        <v>2713.04</v>
      </c>
    </row>
    <row r="10581" spans="1:14" ht="11.25" customHeight="1" x14ac:dyDescent="0.2">
      <c r="A10581" s="236">
        <v>2025</v>
      </c>
      <c r="B10581" s="236">
        <v>12</v>
      </c>
      <c r="C10581" s="236">
        <v>28</v>
      </c>
      <c r="D10581" s="237">
        <f t="shared" si="1223"/>
        <v>46019</v>
      </c>
      <c r="E10581" s="238">
        <f t="shared" ref="E10581:E10612" si="1224">DATE(A10581,B10581,C10581)</f>
        <v>46019</v>
      </c>
      <c r="F10581" s="476" t="s">
        <v>1118</v>
      </c>
      <c r="G10581" s="239" t="s">
        <v>86</v>
      </c>
      <c r="H10581" s="239"/>
      <c r="I10581" s="240"/>
      <c r="J10581" s="241" t="s">
        <v>82</v>
      </c>
      <c r="K10581" s="242">
        <v>643055.26999995112</v>
      </c>
      <c r="L10581" s="242"/>
      <c r="M10581" s="156">
        <f>BS!$I$8</f>
        <v>0</v>
      </c>
    </row>
    <row r="10582" spans="1:14" ht="11.25" customHeight="1" x14ac:dyDescent="0.2">
      <c r="A10582" s="243">
        <v>2025</v>
      </c>
      <c r="B10582" s="243">
        <v>12</v>
      </c>
      <c r="C10582" s="243">
        <v>28</v>
      </c>
      <c r="D10582" s="248">
        <f t="shared" si="1223"/>
        <v>46019</v>
      </c>
      <c r="E10582" s="249">
        <f t="shared" si="1224"/>
        <v>46019</v>
      </c>
      <c r="F10582" s="477"/>
      <c r="G10582" s="244" t="s">
        <v>86</v>
      </c>
      <c r="H10582" s="244"/>
      <c r="I10582" s="245"/>
      <c r="J10582" s="246" t="s">
        <v>98</v>
      </c>
      <c r="K10582" s="247"/>
      <c r="L10582" s="247">
        <f>K10581</f>
        <v>643055.26999995112</v>
      </c>
    </row>
    <row r="10583" spans="1:14" ht="11.25" customHeight="1" x14ac:dyDescent="0.2">
      <c r="A10583" s="236">
        <v>2025</v>
      </c>
      <c r="B10583" s="236">
        <v>12</v>
      </c>
      <c r="C10583" s="236">
        <v>28</v>
      </c>
      <c r="D10583" s="237">
        <f t="shared" si="1223"/>
        <v>46019</v>
      </c>
      <c r="E10583" s="238">
        <f t="shared" si="1224"/>
        <v>46019</v>
      </c>
      <c r="F10583" s="476" t="s">
        <v>1120</v>
      </c>
      <c r="G10583" s="239" t="s">
        <v>86</v>
      </c>
      <c r="H10583" s="239"/>
      <c r="I10583" s="240"/>
      <c r="J10583" s="241" t="s">
        <v>87</v>
      </c>
      <c r="K10583" s="242">
        <v>1569.8587127158555</v>
      </c>
      <c r="L10583" s="242"/>
      <c r="M10583" s="401"/>
    </row>
    <row r="10584" spans="1:14" ht="11.25" customHeight="1" x14ac:dyDescent="0.2">
      <c r="A10584" s="243">
        <v>2025</v>
      </c>
      <c r="B10584" s="243">
        <v>12</v>
      </c>
      <c r="C10584" s="243">
        <v>28</v>
      </c>
      <c r="D10584" s="248">
        <f t="shared" si="1223"/>
        <v>46019</v>
      </c>
      <c r="E10584" s="249">
        <f t="shared" si="1224"/>
        <v>46019</v>
      </c>
      <c r="F10584" s="477"/>
      <c r="G10584" s="244" t="s">
        <v>86</v>
      </c>
      <c r="H10584" s="244"/>
      <c r="I10584" s="245"/>
      <c r="J10584" s="246" t="s">
        <v>64</v>
      </c>
      <c r="K10584" s="247"/>
      <c r="L10584" s="247">
        <f>K10583</f>
        <v>1569.8587127158555</v>
      </c>
    </row>
    <row r="10585" spans="1:14" ht="11.25" customHeight="1" x14ac:dyDescent="0.2">
      <c r="A10585" s="236">
        <v>2025</v>
      </c>
      <c r="B10585" s="236">
        <v>12</v>
      </c>
      <c r="C10585" s="236">
        <v>28</v>
      </c>
      <c r="D10585" s="237">
        <f t="shared" si="1223"/>
        <v>46019</v>
      </c>
      <c r="E10585" s="238">
        <f t="shared" si="1224"/>
        <v>46019</v>
      </c>
      <c r="F10585" s="476" t="s">
        <v>1121</v>
      </c>
      <c r="G10585" s="239" t="s">
        <v>86</v>
      </c>
      <c r="H10585" s="239"/>
      <c r="I10585" s="240"/>
      <c r="J10585" s="241" t="s">
        <v>89</v>
      </c>
      <c r="K10585" s="242">
        <f>M10585</f>
        <v>52591.420363128585</v>
      </c>
      <c r="L10585" s="242"/>
      <c r="M10585" s="448">
        <v>52591.420363128585</v>
      </c>
    </row>
    <row r="10586" spans="1:14" ht="11.25" customHeight="1" x14ac:dyDescent="0.2">
      <c r="A10586" s="243">
        <v>2025</v>
      </c>
      <c r="B10586" s="243">
        <v>12</v>
      </c>
      <c r="C10586" s="243">
        <v>28</v>
      </c>
      <c r="D10586" s="248">
        <f t="shared" si="1223"/>
        <v>46019</v>
      </c>
      <c r="E10586" s="249">
        <f t="shared" si="1224"/>
        <v>46019</v>
      </c>
      <c r="F10586" s="477"/>
      <c r="G10586" s="244" t="s">
        <v>86</v>
      </c>
      <c r="H10586" s="244"/>
      <c r="I10586" s="245"/>
      <c r="J10586" s="246" t="s">
        <v>50</v>
      </c>
      <c r="K10586" s="247"/>
      <c r="L10586" s="247">
        <f>K10585</f>
        <v>52591.420363128585</v>
      </c>
      <c r="M10586" s="448">
        <v>2492.208380793792</v>
      </c>
    </row>
    <row r="10587" spans="1:14" ht="11.25" customHeight="1" x14ac:dyDescent="0.2">
      <c r="A10587" s="236">
        <v>2025</v>
      </c>
      <c r="B10587" s="236">
        <v>12</v>
      </c>
      <c r="C10587" s="236">
        <v>28</v>
      </c>
      <c r="D10587" s="237">
        <f t="shared" si="1223"/>
        <v>46019</v>
      </c>
      <c r="E10587" s="238">
        <f t="shared" si="1224"/>
        <v>46019</v>
      </c>
      <c r="F10587" s="476" t="s">
        <v>1122</v>
      </c>
      <c r="G10587" s="239" t="s">
        <v>86</v>
      </c>
      <c r="H10587" s="239"/>
      <c r="I10587" s="240"/>
      <c r="J10587" s="241" t="s">
        <v>91</v>
      </c>
      <c r="K10587" s="242">
        <f>M10586</f>
        <v>2492.208380793792</v>
      </c>
      <c r="L10587" s="242"/>
    </row>
    <row r="10588" spans="1:14" ht="11.25" customHeight="1" x14ac:dyDescent="0.2">
      <c r="A10588" s="243">
        <v>2025</v>
      </c>
      <c r="B10588" s="243">
        <v>12</v>
      </c>
      <c r="C10588" s="243">
        <v>28</v>
      </c>
      <c r="D10588" s="248">
        <f t="shared" si="1223"/>
        <v>46019</v>
      </c>
      <c r="E10588" s="249">
        <f t="shared" si="1224"/>
        <v>46019</v>
      </c>
      <c r="F10588" s="477"/>
      <c r="G10588" s="244" t="s">
        <v>86</v>
      </c>
      <c r="H10588" s="244"/>
      <c r="I10588" s="245"/>
      <c r="J10588" s="246" t="s">
        <v>51</v>
      </c>
      <c r="K10588" s="247"/>
      <c r="L10588" s="247">
        <f>K10587</f>
        <v>2492.208380793792</v>
      </c>
    </row>
    <row r="10589" spans="1:14" ht="11.25" customHeight="1" x14ac:dyDescent="0.2">
      <c r="A10589" s="221">
        <v>2025</v>
      </c>
      <c r="B10589" s="221">
        <v>12</v>
      </c>
      <c r="C10589" s="221">
        <v>29</v>
      </c>
      <c r="D10589" s="231">
        <f t="shared" si="1223"/>
        <v>46020</v>
      </c>
      <c r="E10589" s="233">
        <f t="shared" si="1224"/>
        <v>46020</v>
      </c>
      <c r="F10589" s="478" t="s">
        <v>1115</v>
      </c>
      <c r="G10589" s="222" t="s">
        <v>1111</v>
      </c>
      <c r="H10589" s="223"/>
      <c r="I10589" s="223"/>
      <c r="J10589" s="224" t="s">
        <v>14</v>
      </c>
      <c r="K10589" s="167">
        <v>1362850</v>
      </c>
      <c r="L10589" s="225"/>
    </row>
    <row r="10590" spans="1:14" ht="11.25" customHeight="1" x14ac:dyDescent="0.2">
      <c r="A10590" s="164">
        <v>2025</v>
      </c>
      <c r="B10590" s="164">
        <v>12</v>
      </c>
      <c r="C10590" s="164">
        <v>29</v>
      </c>
      <c r="D10590" s="156">
        <f t="shared" si="1223"/>
        <v>46020</v>
      </c>
      <c r="E10590" s="235">
        <f t="shared" si="1224"/>
        <v>46020</v>
      </c>
      <c r="F10590" s="480"/>
      <c r="G10590" s="208" t="s">
        <v>1111</v>
      </c>
      <c r="J10590" s="165" t="s">
        <v>1112</v>
      </c>
      <c r="K10590" s="167">
        <v>259633.82</v>
      </c>
      <c r="L10590" s="205"/>
    </row>
    <row r="10591" spans="1:14" ht="11.25" customHeight="1" x14ac:dyDescent="0.2">
      <c r="A10591" s="226">
        <v>2025</v>
      </c>
      <c r="B10591" s="226">
        <v>12</v>
      </c>
      <c r="C10591" s="226">
        <v>29</v>
      </c>
      <c r="D10591" s="232">
        <f t="shared" si="1223"/>
        <v>46020</v>
      </c>
      <c r="E10591" s="234">
        <f t="shared" si="1224"/>
        <v>46020</v>
      </c>
      <c r="F10591" s="479"/>
      <c r="G10591" s="227" t="s">
        <v>1111</v>
      </c>
      <c r="H10591" s="228"/>
      <c r="I10591" s="228"/>
      <c r="J10591" s="229" t="s">
        <v>55</v>
      </c>
      <c r="K10591" s="230"/>
      <c r="L10591" s="230">
        <v>1622483.82</v>
      </c>
    </row>
    <row r="10592" spans="1:14" ht="11.25" customHeight="1" x14ac:dyDescent="0.2">
      <c r="A10592" s="221">
        <v>2025</v>
      </c>
      <c r="B10592" s="221">
        <v>12</v>
      </c>
      <c r="C10592" s="221">
        <v>29</v>
      </c>
      <c r="D10592" s="221">
        <f t="shared" si="1223"/>
        <v>46020</v>
      </c>
      <c r="E10592" s="233">
        <f t="shared" si="1224"/>
        <v>46020</v>
      </c>
      <c r="F10592" s="478" t="s">
        <v>1937</v>
      </c>
      <c r="G10592" s="222" t="s">
        <v>86</v>
      </c>
      <c r="H10592" s="222"/>
      <c r="I10592" s="223"/>
      <c r="J10592" s="224" t="s">
        <v>80</v>
      </c>
      <c r="K10592" s="225">
        <v>2003005.5</v>
      </c>
      <c r="L10592" s="225"/>
      <c r="N10592" s="263"/>
    </row>
    <row r="10593" spans="1:14" ht="11.25" customHeight="1" x14ac:dyDescent="0.2">
      <c r="A10593" s="164">
        <v>2025</v>
      </c>
      <c r="B10593" s="164">
        <v>12</v>
      </c>
      <c r="C10593" s="164">
        <v>29</v>
      </c>
      <c r="D10593" s="164">
        <f t="shared" si="1223"/>
        <v>46020</v>
      </c>
      <c r="E10593" s="235">
        <f t="shared" si="1224"/>
        <v>46020</v>
      </c>
      <c r="F10593" s="480"/>
      <c r="G10593" s="208" t="s">
        <v>86</v>
      </c>
      <c r="H10593" s="208"/>
      <c r="J10593" s="165" t="s">
        <v>960</v>
      </c>
      <c r="K10593" s="205">
        <v>8308.67</v>
      </c>
      <c r="L10593" s="205"/>
      <c r="M10593" s="263"/>
      <c r="N10593" s="263"/>
    </row>
    <row r="10594" spans="1:14" ht="11.25" customHeight="1" x14ac:dyDescent="0.2">
      <c r="A10594" s="164">
        <v>2025</v>
      </c>
      <c r="B10594" s="164">
        <v>12</v>
      </c>
      <c r="C10594" s="164">
        <v>29</v>
      </c>
      <c r="D10594" s="164">
        <f t="shared" si="1223"/>
        <v>46020</v>
      </c>
      <c r="E10594" s="235">
        <f t="shared" si="1224"/>
        <v>46020</v>
      </c>
      <c r="F10594" s="480"/>
      <c r="G10594" s="208" t="s">
        <v>86</v>
      </c>
      <c r="H10594" s="208"/>
      <c r="J10594" s="165" t="s">
        <v>199</v>
      </c>
      <c r="K10594" s="263">
        <v>601610.63</v>
      </c>
      <c r="L10594" s="205"/>
      <c r="M10594" s="263"/>
      <c r="N10594" s="263"/>
    </row>
    <row r="10595" spans="1:14" ht="11.25" customHeight="1" x14ac:dyDescent="0.2">
      <c r="A10595" s="164">
        <v>2025</v>
      </c>
      <c r="B10595" s="164">
        <v>12</v>
      </c>
      <c r="C10595" s="164">
        <v>29</v>
      </c>
      <c r="D10595" s="164">
        <f t="shared" si="1223"/>
        <v>46020</v>
      </c>
      <c r="E10595" s="235">
        <f t="shared" si="1224"/>
        <v>46020</v>
      </c>
      <c r="F10595" s="480"/>
      <c r="G10595" s="208" t="s">
        <v>86</v>
      </c>
      <c r="H10595" s="208"/>
      <c r="J10595" s="165" t="s">
        <v>200</v>
      </c>
      <c r="K10595" s="205">
        <v>64210.99</v>
      </c>
      <c r="L10595" s="205"/>
      <c r="M10595" s="263"/>
      <c r="N10595" s="263"/>
    </row>
    <row r="10596" spans="1:14" ht="11.25" customHeight="1" x14ac:dyDescent="0.2">
      <c r="A10596" s="226">
        <v>2025</v>
      </c>
      <c r="B10596" s="226">
        <v>12</v>
      </c>
      <c r="C10596" s="226">
        <v>29</v>
      </c>
      <c r="D10596" s="226">
        <f t="shared" si="1223"/>
        <v>46020</v>
      </c>
      <c r="E10596" s="234">
        <f t="shared" si="1224"/>
        <v>46020</v>
      </c>
      <c r="F10596" s="479"/>
      <c r="G10596" s="227" t="s">
        <v>86</v>
      </c>
      <c r="H10596" s="228"/>
      <c r="I10596" s="228"/>
      <c r="J10596" s="229" t="s">
        <v>80</v>
      </c>
      <c r="K10596" s="230"/>
      <c r="L10596" s="230">
        <v>2677135.79</v>
      </c>
      <c r="M10596" s="263"/>
      <c r="N10596" s="263"/>
    </row>
    <row r="10597" spans="1:14" ht="11.25" customHeight="1" x14ac:dyDescent="0.2">
      <c r="A10597" s="221">
        <v>2025</v>
      </c>
      <c r="B10597" s="221">
        <v>12</v>
      </c>
      <c r="C10597" s="221">
        <v>29</v>
      </c>
      <c r="D10597" s="231">
        <f t="shared" si="1223"/>
        <v>46020</v>
      </c>
      <c r="E10597" s="233">
        <f t="shared" si="1224"/>
        <v>46020</v>
      </c>
      <c r="F10597" s="478" t="s">
        <v>1940</v>
      </c>
      <c r="G10597" s="222" t="s">
        <v>1111</v>
      </c>
      <c r="H10597" s="223"/>
      <c r="I10597" s="223"/>
      <c r="J10597" s="224" t="s">
        <v>961</v>
      </c>
      <c r="K10597" s="225">
        <v>272866.12</v>
      </c>
      <c r="L10597" s="225"/>
    </row>
    <row r="10598" spans="1:14" ht="11.25" customHeight="1" x14ac:dyDescent="0.2">
      <c r="A10598" s="226">
        <v>2025</v>
      </c>
      <c r="B10598" s="226">
        <v>12</v>
      </c>
      <c r="C10598" s="226">
        <v>29</v>
      </c>
      <c r="D10598" s="232">
        <f t="shared" si="1223"/>
        <v>46020</v>
      </c>
      <c r="E10598" s="234">
        <f t="shared" si="1224"/>
        <v>46020</v>
      </c>
      <c r="F10598" s="479"/>
      <c r="G10598" s="227" t="s">
        <v>1111</v>
      </c>
      <c r="H10598" s="228"/>
      <c r="I10598" s="228"/>
      <c r="J10598" s="229" t="s">
        <v>55</v>
      </c>
      <c r="K10598" s="230"/>
      <c r="L10598" s="230">
        <f>K10597</f>
        <v>272866.12</v>
      </c>
    </row>
    <row r="10599" spans="1:14" ht="11.25" customHeight="1" x14ac:dyDescent="0.2">
      <c r="A10599" s="221">
        <v>2025</v>
      </c>
      <c r="B10599" s="221">
        <v>12</v>
      </c>
      <c r="C10599" s="221">
        <v>29</v>
      </c>
      <c r="D10599" s="231">
        <f t="shared" si="1223"/>
        <v>46020</v>
      </c>
      <c r="E10599" s="233">
        <f t="shared" si="1224"/>
        <v>46020</v>
      </c>
      <c r="F10599" s="478" t="s">
        <v>1670</v>
      </c>
      <c r="G10599" s="222" t="s">
        <v>1111</v>
      </c>
      <c r="H10599" s="223"/>
      <c r="I10599" s="223"/>
      <c r="J10599" s="224" t="s">
        <v>63</v>
      </c>
      <c r="K10599" s="225">
        <v>110</v>
      </c>
      <c r="L10599" s="225"/>
    </row>
    <row r="10600" spans="1:14" ht="11.25" customHeight="1" x14ac:dyDescent="0.2">
      <c r="A10600" s="226">
        <v>2025</v>
      </c>
      <c r="B10600" s="226">
        <v>12</v>
      </c>
      <c r="C10600" s="226">
        <v>29</v>
      </c>
      <c r="D10600" s="232">
        <f t="shared" si="1223"/>
        <v>46020</v>
      </c>
      <c r="E10600" s="234">
        <f t="shared" si="1224"/>
        <v>46020</v>
      </c>
      <c r="F10600" s="479"/>
      <c r="G10600" s="227" t="s">
        <v>1111</v>
      </c>
      <c r="H10600" s="228"/>
      <c r="I10600" s="228"/>
      <c r="J10600" s="229" t="s">
        <v>55</v>
      </c>
      <c r="K10600" s="230"/>
      <c r="L10600" s="230">
        <f>K10599</f>
        <v>110</v>
      </c>
    </row>
    <row r="10601" spans="1:14" ht="11.25" customHeight="1" x14ac:dyDescent="0.2">
      <c r="A10601" s="221">
        <v>2025</v>
      </c>
      <c r="B10601" s="221">
        <v>12</v>
      </c>
      <c r="C10601" s="221">
        <v>29</v>
      </c>
      <c r="D10601" s="231">
        <f t="shared" si="1223"/>
        <v>46020</v>
      </c>
      <c r="E10601" s="233">
        <f t="shared" si="1224"/>
        <v>46020</v>
      </c>
      <c r="F10601" s="478" t="s">
        <v>1753</v>
      </c>
      <c r="G10601" s="222" t="s">
        <v>1111</v>
      </c>
      <c r="H10601" s="223"/>
      <c r="I10601" s="223"/>
      <c r="J10601" s="224" t="s">
        <v>63</v>
      </c>
      <c r="K10601" s="225">
        <v>100</v>
      </c>
      <c r="L10601" s="225"/>
    </row>
    <row r="10602" spans="1:14" ht="11.25" customHeight="1" x14ac:dyDescent="0.2">
      <c r="A10602" s="226">
        <v>2025</v>
      </c>
      <c r="B10602" s="226">
        <v>12</v>
      </c>
      <c r="C10602" s="226">
        <v>29</v>
      </c>
      <c r="D10602" s="232">
        <f t="shared" si="1223"/>
        <v>46020</v>
      </c>
      <c r="E10602" s="234">
        <f t="shared" si="1224"/>
        <v>46020</v>
      </c>
      <c r="F10602" s="479"/>
      <c r="G10602" s="227" t="s">
        <v>1111</v>
      </c>
      <c r="H10602" s="228"/>
      <c r="I10602" s="228"/>
      <c r="J10602" s="229" t="s">
        <v>55</v>
      </c>
      <c r="K10602" s="230"/>
      <c r="L10602" s="230">
        <f>K10601</f>
        <v>100</v>
      </c>
    </row>
    <row r="10603" spans="1:14" ht="11.25" customHeight="1" x14ac:dyDescent="0.2">
      <c r="A10603" s="221">
        <v>2025</v>
      </c>
      <c r="B10603" s="221">
        <v>12</v>
      </c>
      <c r="C10603" s="221">
        <v>29</v>
      </c>
      <c r="D10603" s="231">
        <f t="shared" si="1223"/>
        <v>46020</v>
      </c>
      <c r="E10603" s="233">
        <f t="shared" ref="E10603:E10604" si="1225">DATE(A10603,B10603,C10603)</f>
        <v>46020</v>
      </c>
      <c r="F10603" s="478" t="s">
        <v>1677</v>
      </c>
      <c r="G10603" s="222" t="s">
        <v>1111</v>
      </c>
      <c r="H10603" s="223"/>
      <c r="I10603" s="223"/>
      <c r="J10603" s="224" t="s">
        <v>63</v>
      </c>
      <c r="K10603" s="225">
        <v>805</v>
      </c>
      <c r="L10603" s="225"/>
    </row>
    <row r="10604" spans="1:14" ht="11.25" customHeight="1" x14ac:dyDescent="0.2">
      <c r="A10604" s="226">
        <v>2025</v>
      </c>
      <c r="B10604" s="226">
        <v>12</v>
      </c>
      <c r="C10604" s="226">
        <v>29</v>
      </c>
      <c r="D10604" s="232">
        <f t="shared" si="1223"/>
        <v>46020</v>
      </c>
      <c r="E10604" s="234">
        <f t="shared" si="1225"/>
        <v>46020</v>
      </c>
      <c r="F10604" s="479"/>
      <c r="G10604" s="227" t="s">
        <v>1111</v>
      </c>
      <c r="H10604" s="228"/>
      <c r="I10604" s="228"/>
      <c r="J10604" s="229" t="s">
        <v>55</v>
      </c>
      <c r="K10604" s="230"/>
      <c r="L10604" s="230">
        <f>K10603</f>
        <v>805</v>
      </c>
    </row>
    <row r="10605" spans="1:14" ht="11.25" customHeight="1" x14ac:dyDescent="0.2">
      <c r="A10605" s="280">
        <v>2025</v>
      </c>
      <c r="B10605" s="280">
        <v>12</v>
      </c>
      <c r="C10605" s="280">
        <v>29</v>
      </c>
      <c r="D10605" s="281">
        <f t="shared" si="1223"/>
        <v>46020</v>
      </c>
      <c r="E10605" s="282">
        <f t="shared" si="1224"/>
        <v>46020</v>
      </c>
      <c r="F10605" s="472" t="s">
        <v>1744</v>
      </c>
      <c r="G10605" s="283" t="s">
        <v>86</v>
      </c>
      <c r="H10605" s="284"/>
      <c r="I10605" s="284"/>
      <c r="J10605" s="285" t="s">
        <v>131</v>
      </c>
      <c r="K10605" s="286">
        <v>2765.4757142857147</v>
      </c>
      <c r="L10605" s="286"/>
      <c r="M10605" s="401"/>
    </row>
    <row r="10606" spans="1:14" ht="11.25" customHeight="1" x14ac:dyDescent="0.2">
      <c r="A10606" s="287">
        <v>2025</v>
      </c>
      <c r="B10606" s="287">
        <v>12</v>
      </c>
      <c r="C10606" s="287">
        <v>29</v>
      </c>
      <c r="D10606" s="288">
        <f t="shared" si="1223"/>
        <v>46020</v>
      </c>
      <c r="E10606" s="289">
        <f t="shared" si="1224"/>
        <v>46020</v>
      </c>
      <c r="F10606" s="473"/>
      <c r="G10606" s="290" t="s">
        <v>86</v>
      </c>
      <c r="H10606" s="291"/>
      <c r="I10606" s="291"/>
      <c r="J10606" s="292" t="s">
        <v>174</v>
      </c>
      <c r="K10606" s="293"/>
      <c r="L10606" s="293">
        <f>K10605</f>
        <v>2765.4757142857147</v>
      </c>
    </row>
    <row r="10607" spans="1:14" ht="11.25" customHeight="1" x14ac:dyDescent="0.2">
      <c r="A10607" s="280">
        <v>2025</v>
      </c>
      <c r="B10607" s="280">
        <v>12</v>
      </c>
      <c r="C10607" s="280">
        <v>29</v>
      </c>
      <c r="D10607" s="281">
        <f t="shared" si="1223"/>
        <v>46020</v>
      </c>
      <c r="E10607" s="282">
        <f t="shared" si="1224"/>
        <v>46020</v>
      </c>
      <c r="F10607" s="472" t="s">
        <v>1584</v>
      </c>
      <c r="G10607" s="283" t="s">
        <v>86</v>
      </c>
      <c r="H10607" s="284"/>
      <c r="I10607" s="284"/>
      <c r="J10607" s="285" t="s">
        <v>131</v>
      </c>
      <c r="K10607" s="286">
        <v>1263.7357142857143</v>
      </c>
      <c r="L10607" s="286"/>
      <c r="M10607" s="401"/>
    </row>
    <row r="10608" spans="1:14" ht="11.25" customHeight="1" x14ac:dyDescent="0.2">
      <c r="A10608" s="287">
        <v>2025</v>
      </c>
      <c r="B10608" s="287">
        <v>12</v>
      </c>
      <c r="C10608" s="287">
        <v>29</v>
      </c>
      <c r="D10608" s="288">
        <f t="shared" si="1223"/>
        <v>46020</v>
      </c>
      <c r="E10608" s="289">
        <f t="shared" si="1224"/>
        <v>46020</v>
      </c>
      <c r="F10608" s="473"/>
      <c r="G10608" s="290" t="s">
        <v>86</v>
      </c>
      <c r="H10608" s="291"/>
      <c r="I10608" s="291"/>
      <c r="J10608" s="292" t="s">
        <v>174</v>
      </c>
      <c r="K10608" s="293"/>
      <c r="L10608" s="293">
        <f>K10607</f>
        <v>1263.7357142857143</v>
      </c>
    </row>
    <row r="10609" spans="1:13" ht="11.25" customHeight="1" x14ac:dyDescent="0.2">
      <c r="A10609" s="280">
        <v>2025</v>
      </c>
      <c r="B10609" s="280">
        <v>12</v>
      </c>
      <c r="C10609" s="280">
        <v>29</v>
      </c>
      <c r="D10609" s="281">
        <f t="shared" si="1223"/>
        <v>46020</v>
      </c>
      <c r="E10609" s="282">
        <f t="shared" si="1224"/>
        <v>46020</v>
      </c>
      <c r="F10609" s="472" t="s">
        <v>1955</v>
      </c>
      <c r="G10609" s="283" t="s">
        <v>86</v>
      </c>
      <c r="H10609" s="284"/>
      <c r="I10609" s="284"/>
      <c r="J10609" s="285" t="s">
        <v>1978</v>
      </c>
      <c r="K10609" s="286">
        <v>6185.4395604395604</v>
      </c>
      <c r="L10609" s="286"/>
      <c r="M10609" s="401"/>
    </row>
    <row r="10610" spans="1:13" ht="11.25" customHeight="1" x14ac:dyDescent="0.2">
      <c r="A10610" s="287">
        <v>2025</v>
      </c>
      <c r="B10610" s="287">
        <v>12</v>
      </c>
      <c r="C10610" s="287">
        <v>29</v>
      </c>
      <c r="D10610" s="288">
        <f t="shared" si="1223"/>
        <v>46020</v>
      </c>
      <c r="E10610" s="289">
        <f t="shared" si="1224"/>
        <v>46020</v>
      </c>
      <c r="F10610" s="473"/>
      <c r="G10610" s="290" t="s">
        <v>86</v>
      </c>
      <c r="H10610" s="291"/>
      <c r="I10610" s="291"/>
      <c r="J10610" s="292" t="s">
        <v>1955</v>
      </c>
      <c r="K10610" s="293"/>
      <c r="L10610" s="293">
        <f>K10609</f>
        <v>6185.4395604395604</v>
      </c>
    </row>
    <row r="10611" spans="1:13" ht="11.25" customHeight="1" x14ac:dyDescent="0.2">
      <c r="A10611" s="341">
        <v>2025</v>
      </c>
      <c r="B10611" s="341">
        <v>12</v>
      </c>
      <c r="C10611" s="341">
        <v>29</v>
      </c>
      <c r="D10611" s="328">
        <f t="shared" si="1223"/>
        <v>46020</v>
      </c>
      <c r="E10611" s="329">
        <f t="shared" si="1224"/>
        <v>46020</v>
      </c>
      <c r="F10611" s="474" t="s">
        <v>1767</v>
      </c>
      <c r="G10611" s="330" t="s">
        <v>86</v>
      </c>
      <c r="H10611" s="332"/>
      <c r="I10611" s="332"/>
      <c r="J10611" s="342" t="s">
        <v>67</v>
      </c>
      <c r="K10611" s="343">
        <v>383.03300083333329</v>
      </c>
      <c r="L10611" s="343"/>
    </row>
    <row r="10612" spans="1:13" ht="11.25" customHeight="1" x14ac:dyDescent="0.2">
      <c r="A10612" s="344">
        <v>2025</v>
      </c>
      <c r="B10612" s="344">
        <v>12</v>
      </c>
      <c r="C10612" s="344">
        <v>29</v>
      </c>
      <c r="D10612" s="337">
        <f t="shared" si="1223"/>
        <v>46020</v>
      </c>
      <c r="E10612" s="338">
        <f t="shared" si="1224"/>
        <v>46020</v>
      </c>
      <c r="F10612" s="475"/>
      <c r="G10612" s="339" t="s">
        <v>86</v>
      </c>
      <c r="H10612" s="340"/>
      <c r="I10612" s="340"/>
      <c r="J10612" s="345" t="s">
        <v>174</v>
      </c>
      <c r="K10612" s="346"/>
      <c r="L10612" s="346">
        <f>K10611</f>
        <v>383.03300083333329</v>
      </c>
    </row>
    <row r="10613" spans="1:13" ht="11.25" customHeight="1" x14ac:dyDescent="0.2">
      <c r="A10613" s="236">
        <v>2025</v>
      </c>
      <c r="B10613" s="236">
        <v>12</v>
      </c>
      <c r="C10613" s="236">
        <v>29</v>
      </c>
      <c r="D10613" s="237">
        <f t="shared" si="1223"/>
        <v>46020</v>
      </c>
      <c r="E10613" s="238">
        <f t="shared" ref="E10613:E10672" si="1226">DATE(A10613,B10613,C10613)</f>
        <v>46020</v>
      </c>
      <c r="F10613" s="476" t="s">
        <v>1118</v>
      </c>
      <c r="G10613" s="239" t="s">
        <v>86</v>
      </c>
      <c r="H10613" s="239"/>
      <c r="I10613" s="240"/>
      <c r="J10613" s="241" t="s">
        <v>82</v>
      </c>
      <c r="K10613" s="242">
        <v>519326.51000002027</v>
      </c>
      <c r="L10613" s="242"/>
      <c r="M10613" s="156">
        <f>BS!$I$8</f>
        <v>0</v>
      </c>
    </row>
    <row r="10614" spans="1:13" ht="11.25" customHeight="1" x14ac:dyDescent="0.2">
      <c r="A10614" s="243">
        <v>2025</v>
      </c>
      <c r="B10614" s="243">
        <v>12</v>
      </c>
      <c r="C10614" s="243">
        <v>29</v>
      </c>
      <c r="D10614" s="248">
        <f t="shared" si="1223"/>
        <v>46020</v>
      </c>
      <c r="E10614" s="249">
        <f t="shared" si="1226"/>
        <v>46020</v>
      </c>
      <c r="F10614" s="477"/>
      <c r="G10614" s="244" t="s">
        <v>86</v>
      </c>
      <c r="H10614" s="244"/>
      <c r="I10614" s="245"/>
      <c r="J10614" s="246" t="s">
        <v>98</v>
      </c>
      <c r="K10614" s="247"/>
      <c r="L10614" s="247">
        <f>K10613</f>
        <v>519326.51000002027</v>
      </c>
    </row>
    <row r="10615" spans="1:13" ht="11.25" customHeight="1" x14ac:dyDescent="0.2">
      <c r="A10615" s="236">
        <v>2025</v>
      </c>
      <c r="B10615" s="236">
        <v>12</v>
      </c>
      <c r="C10615" s="236">
        <v>29</v>
      </c>
      <c r="D10615" s="237">
        <f t="shared" si="1223"/>
        <v>46020</v>
      </c>
      <c r="E10615" s="238">
        <f t="shared" si="1226"/>
        <v>46020</v>
      </c>
      <c r="F10615" s="476" t="s">
        <v>1120</v>
      </c>
      <c r="G10615" s="239" t="s">
        <v>86</v>
      </c>
      <c r="H10615" s="239"/>
      <c r="I10615" s="240"/>
      <c r="J10615" s="241" t="s">
        <v>87</v>
      </c>
      <c r="K10615" s="242">
        <v>392.46467817896388</v>
      </c>
      <c r="L10615" s="242"/>
      <c r="M10615" s="401"/>
    </row>
    <row r="10616" spans="1:13" ht="11.25" customHeight="1" x14ac:dyDescent="0.2">
      <c r="A10616" s="243">
        <v>2025</v>
      </c>
      <c r="B10616" s="243">
        <v>12</v>
      </c>
      <c r="C10616" s="243">
        <v>29</v>
      </c>
      <c r="D10616" s="248">
        <f t="shared" si="1223"/>
        <v>46020</v>
      </c>
      <c r="E10616" s="249">
        <f t="shared" si="1226"/>
        <v>46020</v>
      </c>
      <c r="F10616" s="477"/>
      <c r="G10616" s="244" t="s">
        <v>86</v>
      </c>
      <c r="H10616" s="244"/>
      <c r="I10616" s="245"/>
      <c r="J10616" s="246" t="s">
        <v>64</v>
      </c>
      <c r="K10616" s="247"/>
      <c r="L10616" s="247">
        <f>K10615</f>
        <v>392.46467817896388</v>
      </c>
    </row>
    <row r="10617" spans="1:13" ht="11.25" customHeight="1" x14ac:dyDescent="0.2">
      <c r="A10617" s="236">
        <v>2025</v>
      </c>
      <c r="B10617" s="236">
        <v>12</v>
      </c>
      <c r="C10617" s="236">
        <v>29</v>
      </c>
      <c r="D10617" s="237">
        <f t="shared" si="1223"/>
        <v>46020</v>
      </c>
      <c r="E10617" s="238">
        <f t="shared" si="1226"/>
        <v>46020</v>
      </c>
      <c r="F10617" s="476" t="s">
        <v>1121</v>
      </c>
      <c r="G10617" s="239" t="s">
        <v>86</v>
      </c>
      <c r="H10617" s="239"/>
      <c r="I10617" s="240"/>
      <c r="J10617" s="241" t="s">
        <v>89</v>
      </c>
      <c r="K10617" s="242">
        <f>M10617</f>
        <v>13023.733478838752</v>
      </c>
      <c r="L10617" s="242"/>
      <c r="M10617" s="448">
        <v>13023.733478838752</v>
      </c>
    </row>
    <row r="10618" spans="1:13" ht="11.25" customHeight="1" x14ac:dyDescent="0.2">
      <c r="A10618" s="243">
        <v>2025</v>
      </c>
      <c r="B10618" s="243">
        <v>12</v>
      </c>
      <c r="C10618" s="243">
        <v>29</v>
      </c>
      <c r="D10618" s="248">
        <f t="shared" si="1223"/>
        <v>46020</v>
      </c>
      <c r="E10618" s="249">
        <f t="shared" si="1226"/>
        <v>46020</v>
      </c>
      <c r="F10618" s="477"/>
      <c r="G10618" s="244" t="s">
        <v>86</v>
      </c>
      <c r="H10618" s="244"/>
      <c r="I10618" s="245"/>
      <c r="J10618" s="246" t="s">
        <v>50</v>
      </c>
      <c r="K10618" s="247"/>
      <c r="L10618" s="247">
        <f>K10617</f>
        <v>13023.733478838752</v>
      </c>
      <c r="M10618" s="448">
        <v>616.84601460127828</v>
      </c>
    </row>
    <row r="10619" spans="1:13" ht="11.25" customHeight="1" x14ac:dyDescent="0.2">
      <c r="A10619" s="236">
        <v>2025</v>
      </c>
      <c r="B10619" s="236">
        <v>12</v>
      </c>
      <c r="C10619" s="236">
        <v>29</v>
      </c>
      <c r="D10619" s="237">
        <f t="shared" si="1223"/>
        <v>46020</v>
      </c>
      <c r="E10619" s="238">
        <f t="shared" si="1226"/>
        <v>46020</v>
      </c>
      <c r="F10619" s="476" t="s">
        <v>1122</v>
      </c>
      <c r="G10619" s="239" t="s">
        <v>86</v>
      </c>
      <c r="H10619" s="239"/>
      <c r="I10619" s="240"/>
      <c r="J10619" s="241" t="s">
        <v>91</v>
      </c>
      <c r="K10619" s="242">
        <f>M10618</f>
        <v>616.84601460127828</v>
      </c>
      <c r="L10619" s="242"/>
    </row>
    <row r="10620" spans="1:13" ht="11.25" customHeight="1" x14ac:dyDescent="0.2">
      <c r="A10620" s="243">
        <v>2025</v>
      </c>
      <c r="B10620" s="243">
        <v>12</v>
      </c>
      <c r="C10620" s="243">
        <v>29</v>
      </c>
      <c r="D10620" s="248">
        <f t="shared" si="1223"/>
        <v>46020</v>
      </c>
      <c r="E10620" s="249">
        <f t="shared" si="1226"/>
        <v>46020</v>
      </c>
      <c r="F10620" s="477"/>
      <c r="G10620" s="244" t="s">
        <v>86</v>
      </c>
      <c r="H10620" s="244"/>
      <c r="I10620" s="245"/>
      <c r="J10620" s="246" t="s">
        <v>51</v>
      </c>
      <c r="K10620" s="247"/>
      <c r="L10620" s="247">
        <f>K10619</f>
        <v>616.84601460127828</v>
      </c>
    </row>
    <row r="10621" spans="1:13" ht="11.25" customHeight="1" x14ac:dyDescent="0.2">
      <c r="A10621" s="221">
        <v>2025</v>
      </c>
      <c r="B10621" s="221">
        <v>12</v>
      </c>
      <c r="C10621" s="221">
        <v>30</v>
      </c>
      <c r="D10621" s="231">
        <f t="shared" si="1223"/>
        <v>46021</v>
      </c>
      <c r="E10621" s="233">
        <f t="shared" si="1226"/>
        <v>46021</v>
      </c>
      <c r="F10621" s="478" t="s">
        <v>1605</v>
      </c>
      <c r="G10621" s="222" t="s">
        <v>1111</v>
      </c>
      <c r="H10621" s="223"/>
      <c r="I10621" s="223"/>
      <c r="J10621" s="224" t="s">
        <v>55</v>
      </c>
      <c r="K10621" s="167">
        <v>256000</v>
      </c>
      <c r="L10621" s="225"/>
    </row>
    <row r="10622" spans="1:13" ht="11.25" customHeight="1" x14ac:dyDescent="0.2">
      <c r="A10622" s="164">
        <v>2025</v>
      </c>
      <c r="B10622" s="164">
        <v>12</v>
      </c>
      <c r="C10622" s="164">
        <v>30</v>
      </c>
      <c r="D10622" s="156">
        <f t="shared" si="1223"/>
        <v>46021</v>
      </c>
      <c r="E10622" s="235">
        <f t="shared" si="1226"/>
        <v>46021</v>
      </c>
      <c r="F10622" s="480"/>
      <c r="G10622" s="208" t="s">
        <v>1111</v>
      </c>
      <c r="J10622" s="165" t="s">
        <v>14</v>
      </c>
      <c r="L10622" s="205">
        <v>215760</v>
      </c>
    </row>
    <row r="10623" spans="1:13" ht="11.25" customHeight="1" x14ac:dyDescent="0.2">
      <c r="A10623" s="226">
        <v>2025</v>
      </c>
      <c r="B10623" s="226">
        <v>12</v>
      </c>
      <c r="C10623" s="226">
        <v>30</v>
      </c>
      <c r="D10623" s="232">
        <f t="shared" si="1223"/>
        <v>46021</v>
      </c>
      <c r="E10623" s="234">
        <f t="shared" si="1226"/>
        <v>46021</v>
      </c>
      <c r="F10623" s="479"/>
      <c r="G10623" s="227" t="s">
        <v>1111</v>
      </c>
      <c r="H10623" s="228"/>
      <c r="I10623" s="228"/>
      <c r="J10623" s="229" t="s">
        <v>1112</v>
      </c>
      <c r="K10623" s="230"/>
      <c r="L10623" s="230">
        <v>40240</v>
      </c>
    </row>
    <row r="10624" spans="1:13" ht="11.25" customHeight="1" x14ac:dyDescent="0.2">
      <c r="A10624" s="221">
        <v>2025</v>
      </c>
      <c r="B10624" s="221">
        <v>12</v>
      </c>
      <c r="C10624" s="221">
        <v>30</v>
      </c>
      <c r="D10624" s="231">
        <f t="shared" si="1223"/>
        <v>46021</v>
      </c>
      <c r="E10624" s="233">
        <f t="shared" si="1226"/>
        <v>46021</v>
      </c>
      <c r="F10624" s="478" t="s">
        <v>1115</v>
      </c>
      <c r="G10624" s="222" t="s">
        <v>1111</v>
      </c>
      <c r="H10624" s="223"/>
      <c r="I10624" s="223"/>
      <c r="J10624" s="224" t="s">
        <v>14</v>
      </c>
      <c r="K10624" s="167">
        <v>500000</v>
      </c>
      <c r="L10624" s="225"/>
    </row>
    <row r="10625" spans="1:14" ht="11.25" customHeight="1" x14ac:dyDescent="0.2">
      <c r="A10625" s="164">
        <v>2025</v>
      </c>
      <c r="B10625" s="164">
        <v>12</v>
      </c>
      <c r="C10625" s="164">
        <v>30</v>
      </c>
      <c r="D10625" s="156">
        <f t="shared" si="1223"/>
        <v>46021</v>
      </c>
      <c r="E10625" s="235">
        <f t="shared" si="1226"/>
        <v>46021</v>
      </c>
      <c r="F10625" s="480"/>
      <c r="G10625" s="208" t="s">
        <v>1111</v>
      </c>
      <c r="J10625" s="165" t="s">
        <v>1112</v>
      </c>
      <c r="K10625" s="167">
        <v>93250</v>
      </c>
      <c r="L10625" s="205"/>
    </row>
    <row r="10626" spans="1:14" ht="11.25" customHeight="1" x14ac:dyDescent="0.2">
      <c r="A10626" s="226">
        <v>2025</v>
      </c>
      <c r="B10626" s="226">
        <v>12</v>
      </c>
      <c r="C10626" s="226">
        <v>30</v>
      </c>
      <c r="D10626" s="232">
        <f t="shared" si="1223"/>
        <v>46021</v>
      </c>
      <c r="E10626" s="234">
        <f t="shared" si="1226"/>
        <v>46021</v>
      </c>
      <c r="F10626" s="479"/>
      <c r="G10626" s="227" t="s">
        <v>1111</v>
      </c>
      <c r="H10626" s="228"/>
      <c r="I10626" s="228"/>
      <c r="J10626" s="229" t="s">
        <v>55</v>
      </c>
      <c r="K10626" s="230"/>
      <c r="L10626" s="230">
        <v>593250</v>
      </c>
    </row>
    <row r="10627" spans="1:14" ht="11.25" customHeight="1" x14ac:dyDescent="0.2">
      <c r="A10627" s="221">
        <v>2025</v>
      </c>
      <c r="B10627" s="221">
        <v>12</v>
      </c>
      <c r="C10627" s="221">
        <v>30</v>
      </c>
      <c r="D10627" s="231">
        <f t="shared" si="1223"/>
        <v>46021</v>
      </c>
      <c r="E10627" s="233">
        <f t="shared" si="1226"/>
        <v>46021</v>
      </c>
      <c r="F10627" s="478" t="s">
        <v>1670</v>
      </c>
      <c r="G10627" s="222" t="s">
        <v>1111</v>
      </c>
      <c r="H10627" s="223"/>
      <c r="I10627" s="223"/>
      <c r="J10627" s="224" t="s">
        <v>63</v>
      </c>
      <c r="K10627" s="225">
        <v>100</v>
      </c>
      <c r="L10627" s="225"/>
    </row>
    <row r="10628" spans="1:14" ht="11.25" customHeight="1" x14ac:dyDescent="0.2">
      <c r="A10628" s="226">
        <v>2025</v>
      </c>
      <c r="B10628" s="226">
        <v>12</v>
      </c>
      <c r="C10628" s="226">
        <v>30</v>
      </c>
      <c r="D10628" s="232">
        <f t="shared" si="1223"/>
        <v>46021</v>
      </c>
      <c r="E10628" s="234">
        <f t="shared" si="1226"/>
        <v>46021</v>
      </c>
      <c r="F10628" s="479"/>
      <c r="G10628" s="227" t="s">
        <v>1111</v>
      </c>
      <c r="H10628" s="228"/>
      <c r="I10628" s="228"/>
      <c r="J10628" s="229" t="s">
        <v>55</v>
      </c>
      <c r="K10628" s="230"/>
      <c r="L10628" s="230">
        <f>K10627</f>
        <v>100</v>
      </c>
    </row>
    <row r="10629" spans="1:14" ht="11.25" customHeight="1" x14ac:dyDescent="0.2">
      <c r="A10629" s="221">
        <v>2025</v>
      </c>
      <c r="B10629" s="221">
        <v>12</v>
      </c>
      <c r="C10629" s="221">
        <v>30</v>
      </c>
      <c r="D10629" s="231">
        <f t="shared" si="1223"/>
        <v>46021</v>
      </c>
      <c r="E10629" s="233">
        <f t="shared" si="1226"/>
        <v>46021</v>
      </c>
      <c r="F10629" s="478" t="s">
        <v>1940</v>
      </c>
      <c r="G10629" s="222" t="s">
        <v>1111</v>
      </c>
      <c r="H10629" s="223"/>
      <c r="I10629" s="223"/>
      <c r="J10629" s="224" t="s">
        <v>961</v>
      </c>
      <c r="K10629" s="225">
        <v>990719.75</v>
      </c>
      <c r="L10629" s="225"/>
    </row>
    <row r="10630" spans="1:14" ht="11.25" customHeight="1" x14ac:dyDescent="0.2">
      <c r="A10630" s="226">
        <v>2025</v>
      </c>
      <c r="B10630" s="226">
        <v>12</v>
      </c>
      <c r="C10630" s="226">
        <v>30</v>
      </c>
      <c r="D10630" s="232">
        <f t="shared" si="1223"/>
        <v>46021</v>
      </c>
      <c r="E10630" s="234">
        <f t="shared" si="1226"/>
        <v>46021</v>
      </c>
      <c r="F10630" s="479"/>
      <c r="G10630" s="227" t="s">
        <v>1111</v>
      </c>
      <c r="H10630" s="228"/>
      <c r="I10630" s="228"/>
      <c r="J10630" s="229" t="s">
        <v>55</v>
      </c>
      <c r="K10630" s="230"/>
      <c r="L10630" s="230">
        <f>K10629</f>
        <v>990719.75</v>
      </c>
    </row>
    <row r="10631" spans="1:14" ht="11.25" customHeight="1" x14ac:dyDescent="0.2">
      <c r="A10631" s="221">
        <v>2025</v>
      </c>
      <c r="B10631" s="221">
        <v>12</v>
      </c>
      <c r="C10631" s="221">
        <v>30</v>
      </c>
      <c r="D10631" s="221">
        <f t="shared" si="1223"/>
        <v>46021</v>
      </c>
      <c r="E10631" s="233">
        <f t="shared" si="1226"/>
        <v>46021</v>
      </c>
      <c r="F10631" s="478" t="s">
        <v>1937</v>
      </c>
      <c r="G10631" s="222" t="s">
        <v>86</v>
      </c>
      <c r="H10631" s="222"/>
      <c r="I10631" s="223"/>
      <c r="J10631" s="224" t="s">
        <v>80</v>
      </c>
      <c r="K10631" s="225">
        <v>821406.9</v>
      </c>
      <c r="L10631" s="225"/>
      <c r="N10631" s="263"/>
    </row>
    <row r="10632" spans="1:14" ht="11.25" customHeight="1" x14ac:dyDescent="0.2">
      <c r="A10632" s="164">
        <v>2025</v>
      </c>
      <c r="B10632" s="164">
        <v>12</v>
      </c>
      <c r="C10632" s="164">
        <v>30</v>
      </c>
      <c r="D10632" s="164">
        <f t="shared" si="1223"/>
        <v>46021</v>
      </c>
      <c r="E10632" s="235">
        <f t="shared" si="1226"/>
        <v>46021</v>
      </c>
      <c r="F10632" s="480"/>
      <c r="G10632" s="208" t="s">
        <v>86</v>
      </c>
      <c r="H10632" s="208"/>
      <c r="J10632" s="165" t="s">
        <v>960</v>
      </c>
      <c r="K10632" s="205">
        <v>4325.84</v>
      </c>
      <c r="L10632" s="205"/>
      <c r="M10632" s="263"/>
      <c r="N10632" s="263"/>
    </row>
    <row r="10633" spans="1:14" ht="11.25" customHeight="1" x14ac:dyDescent="0.2">
      <c r="A10633" s="164">
        <v>2025</v>
      </c>
      <c r="B10633" s="164">
        <v>12</v>
      </c>
      <c r="C10633" s="164">
        <v>30</v>
      </c>
      <c r="D10633" s="164">
        <f t="shared" ref="D10633:D10696" si="1227">DATE(A10633,B10633,C10633)</f>
        <v>46021</v>
      </c>
      <c r="E10633" s="235">
        <f t="shared" si="1226"/>
        <v>46021</v>
      </c>
      <c r="F10633" s="480"/>
      <c r="G10633" s="208" t="s">
        <v>86</v>
      </c>
      <c r="H10633" s="208"/>
      <c r="J10633" s="165" t="s">
        <v>199</v>
      </c>
      <c r="K10633" s="263">
        <v>756110.15</v>
      </c>
      <c r="L10633" s="205"/>
      <c r="M10633" s="263"/>
      <c r="N10633" s="263"/>
    </row>
    <row r="10634" spans="1:14" ht="11.25" customHeight="1" x14ac:dyDescent="0.2">
      <c r="A10634" s="164">
        <v>2025</v>
      </c>
      <c r="B10634" s="164">
        <v>12</v>
      </c>
      <c r="C10634" s="164">
        <v>30</v>
      </c>
      <c r="D10634" s="164">
        <f t="shared" si="1227"/>
        <v>46021</v>
      </c>
      <c r="E10634" s="235">
        <f t="shared" si="1226"/>
        <v>46021</v>
      </c>
      <c r="F10634" s="480"/>
      <c r="G10634" s="208" t="s">
        <v>86</v>
      </c>
      <c r="H10634" s="208"/>
      <c r="J10634" s="165" t="s">
        <v>200</v>
      </c>
      <c r="K10634" s="205">
        <v>13106.1</v>
      </c>
      <c r="L10634" s="205"/>
      <c r="M10634" s="263"/>
      <c r="N10634" s="263"/>
    </row>
    <row r="10635" spans="1:14" ht="11.25" customHeight="1" x14ac:dyDescent="0.2">
      <c r="A10635" s="226">
        <v>2025</v>
      </c>
      <c r="B10635" s="226">
        <v>12</v>
      </c>
      <c r="C10635" s="226">
        <v>30</v>
      </c>
      <c r="D10635" s="226">
        <f t="shared" si="1227"/>
        <v>46021</v>
      </c>
      <c r="E10635" s="234">
        <f t="shared" si="1226"/>
        <v>46021</v>
      </c>
      <c r="F10635" s="479"/>
      <c r="G10635" s="227" t="s">
        <v>86</v>
      </c>
      <c r="H10635" s="228"/>
      <c r="I10635" s="228"/>
      <c r="J10635" s="229" t="s">
        <v>80</v>
      </c>
      <c r="K10635" s="230"/>
      <c r="L10635" s="230">
        <v>1594949</v>
      </c>
      <c r="M10635" s="263"/>
      <c r="N10635" s="263"/>
    </row>
    <row r="10636" spans="1:14" ht="11.25" customHeight="1" x14ac:dyDescent="0.2">
      <c r="A10636" s="221">
        <v>2025</v>
      </c>
      <c r="B10636" s="221">
        <v>12</v>
      </c>
      <c r="C10636" s="221">
        <v>30</v>
      </c>
      <c r="D10636" s="231">
        <f t="shared" si="1227"/>
        <v>46021</v>
      </c>
      <c r="E10636" s="233">
        <f t="shared" si="1226"/>
        <v>46021</v>
      </c>
      <c r="F10636" s="478" t="s">
        <v>1747</v>
      </c>
      <c r="G10636" s="222" t="s">
        <v>1111</v>
      </c>
      <c r="H10636" s="223"/>
      <c r="I10636" s="223"/>
      <c r="J10636" s="224" t="s">
        <v>55</v>
      </c>
      <c r="K10636" s="225">
        <v>22192</v>
      </c>
      <c r="L10636" s="225"/>
    </row>
    <row r="10637" spans="1:14" ht="11.25" customHeight="1" x14ac:dyDescent="0.2">
      <c r="A10637" s="164">
        <v>2025</v>
      </c>
      <c r="B10637" s="164">
        <v>12</v>
      </c>
      <c r="C10637" s="164">
        <v>30</v>
      </c>
      <c r="D10637" s="156">
        <f t="shared" si="1227"/>
        <v>46021</v>
      </c>
      <c r="E10637" s="235">
        <f t="shared" si="1226"/>
        <v>46021</v>
      </c>
      <c r="F10637" s="480"/>
      <c r="G10637" s="208" t="s">
        <v>1111</v>
      </c>
      <c r="J10637" s="165" t="s">
        <v>174</v>
      </c>
      <c r="K10637" s="205">
        <v>727.88</v>
      </c>
      <c r="L10637" s="205"/>
    </row>
    <row r="10638" spans="1:14" ht="11.25" customHeight="1" x14ac:dyDescent="0.2">
      <c r="A10638" s="226">
        <v>2025</v>
      </c>
      <c r="B10638" s="226">
        <v>12</v>
      </c>
      <c r="C10638" s="226">
        <v>30</v>
      </c>
      <c r="D10638" s="232">
        <f t="shared" si="1227"/>
        <v>46021</v>
      </c>
      <c r="E10638" s="234">
        <f t="shared" si="1226"/>
        <v>46021</v>
      </c>
      <c r="F10638" s="479"/>
      <c r="G10638" s="227" t="s">
        <v>1111</v>
      </c>
      <c r="H10638" s="228"/>
      <c r="I10638" s="228"/>
      <c r="J10638" s="229" t="s">
        <v>67</v>
      </c>
      <c r="K10638" s="230"/>
      <c r="L10638" s="230">
        <v>22919.879916666647</v>
      </c>
    </row>
    <row r="10639" spans="1:14" ht="11.25" customHeight="1" x14ac:dyDescent="0.2">
      <c r="A10639" s="221">
        <v>2025</v>
      </c>
      <c r="B10639" s="221">
        <v>12</v>
      </c>
      <c r="C10639" s="221">
        <v>30</v>
      </c>
      <c r="D10639" s="231">
        <f t="shared" si="1227"/>
        <v>46021</v>
      </c>
      <c r="E10639" s="233">
        <f t="shared" si="1226"/>
        <v>46021</v>
      </c>
      <c r="F10639" s="478" t="s">
        <v>1670</v>
      </c>
      <c r="G10639" s="222" t="s">
        <v>1111</v>
      </c>
      <c r="H10639" s="223"/>
      <c r="I10639" s="223"/>
      <c r="J10639" s="224" t="s">
        <v>63</v>
      </c>
      <c r="K10639" s="225">
        <v>10345</v>
      </c>
      <c r="L10639" s="225"/>
    </row>
    <row r="10640" spans="1:14" ht="11.25" customHeight="1" x14ac:dyDescent="0.2">
      <c r="A10640" s="226">
        <v>2025</v>
      </c>
      <c r="B10640" s="226">
        <v>12</v>
      </c>
      <c r="C10640" s="226">
        <v>30</v>
      </c>
      <c r="D10640" s="232">
        <f t="shared" si="1227"/>
        <v>46021</v>
      </c>
      <c r="E10640" s="234">
        <f t="shared" si="1226"/>
        <v>46021</v>
      </c>
      <c r="F10640" s="479"/>
      <c r="G10640" s="227" t="s">
        <v>1111</v>
      </c>
      <c r="H10640" s="228"/>
      <c r="I10640" s="228"/>
      <c r="J10640" s="229" t="s">
        <v>55</v>
      </c>
      <c r="K10640" s="230"/>
      <c r="L10640" s="230">
        <f>K10639</f>
        <v>10345</v>
      </c>
    </row>
    <row r="10641" spans="1:12" ht="11.25" customHeight="1" x14ac:dyDescent="0.2">
      <c r="A10641" s="221">
        <v>2025</v>
      </c>
      <c r="B10641" s="221">
        <v>12</v>
      </c>
      <c r="C10641" s="221">
        <v>30</v>
      </c>
      <c r="D10641" s="231">
        <f t="shared" si="1227"/>
        <v>46021</v>
      </c>
      <c r="E10641" s="233">
        <f t="shared" ref="E10641:E10645" si="1228">DATE(A10641,B10641,C10641)</f>
        <v>46021</v>
      </c>
      <c r="F10641" s="478" t="s">
        <v>1747</v>
      </c>
      <c r="G10641" s="222" t="s">
        <v>1111</v>
      </c>
      <c r="H10641" s="223"/>
      <c r="I10641" s="223"/>
      <c r="J10641" s="224" t="s">
        <v>55</v>
      </c>
      <c r="K10641" s="225">
        <v>157091</v>
      </c>
      <c r="L10641" s="225"/>
    </row>
    <row r="10642" spans="1:12" ht="11.25" customHeight="1" x14ac:dyDescent="0.2">
      <c r="A10642" s="164">
        <v>2025</v>
      </c>
      <c r="B10642" s="164">
        <v>12</v>
      </c>
      <c r="C10642" s="164">
        <v>30</v>
      </c>
      <c r="D10642" s="156">
        <f t="shared" si="1227"/>
        <v>46021</v>
      </c>
      <c r="E10642" s="235">
        <f t="shared" si="1228"/>
        <v>46021</v>
      </c>
      <c r="F10642" s="480"/>
      <c r="G10642" s="208" t="s">
        <v>1111</v>
      </c>
      <c r="J10642" s="165" t="s">
        <v>174</v>
      </c>
      <c r="K10642" s="205">
        <v>545.87</v>
      </c>
      <c r="L10642" s="205"/>
    </row>
    <row r="10643" spans="1:12" ht="11.25" customHeight="1" x14ac:dyDescent="0.2">
      <c r="A10643" s="226">
        <v>2025</v>
      </c>
      <c r="B10643" s="226">
        <v>12</v>
      </c>
      <c r="C10643" s="226">
        <v>30</v>
      </c>
      <c r="D10643" s="232">
        <f t="shared" si="1227"/>
        <v>46021</v>
      </c>
      <c r="E10643" s="234">
        <f t="shared" si="1228"/>
        <v>46021</v>
      </c>
      <c r="F10643" s="479"/>
      <c r="G10643" s="227" t="s">
        <v>1111</v>
      </c>
      <c r="H10643" s="228"/>
      <c r="I10643" s="228"/>
      <c r="J10643" s="229" t="s">
        <v>67</v>
      </c>
      <c r="K10643" s="230"/>
      <c r="L10643" s="230">
        <v>157636.86485416663</v>
      </c>
    </row>
    <row r="10644" spans="1:12" ht="11.25" customHeight="1" x14ac:dyDescent="0.2">
      <c r="A10644" s="221">
        <v>2025</v>
      </c>
      <c r="B10644" s="221">
        <v>12</v>
      </c>
      <c r="C10644" s="221">
        <v>30</v>
      </c>
      <c r="D10644" s="231">
        <f t="shared" si="1227"/>
        <v>46021</v>
      </c>
      <c r="E10644" s="233">
        <f t="shared" si="1228"/>
        <v>46021</v>
      </c>
      <c r="F10644" s="478" t="s">
        <v>1670</v>
      </c>
      <c r="G10644" s="222" t="s">
        <v>1111</v>
      </c>
      <c r="H10644" s="223"/>
      <c r="I10644" s="223"/>
      <c r="J10644" s="224" t="s">
        <v>63</v>
      </c>
      <c r="K10644" s="225">
        <v>20575</v>
      </c>
      <c r="L10644" s="225"/>
    </row>
    <row r="10645" spans="1:12" ht="11.25" customHeight="1" x14ac:dyDescent="0.2">
      <c r="A10645" s="226">
        <v>2025</v>
      </c>
      <c r="B10645" s="226">
        <v>12</v>
      </c>
      <c r="C10645" s="226">
        <v>30</v>
      </c>
      <c r="D10645" s="232">
        <f t="shared" si="1227"/>
        <v>46021</v>
      </c>
      <c r="E10645" s="234">
        <f t="shared" si="1228"/>
        <v>46021</v>
      </c>
      <c r="F10645" s="479"/>
      <c r="G10645" s="227" t="s">
        <v>1111</v>
      </c>
      <c r="H10645" s="228"/>
      <c r="I10645" s="228"/>
      <c r="J10645" s="229" t="s">
        <v>55</v>
      </c>
      <c r="K10645" s="230"/>
      <c r="L10645" s="230">
        <f>K10644</f>
        <v>20575</v>
      </c>
    </row>
    <row r="10646" spans="1:12" ht="11.25" customHeight="1" x14ac:dyDescent="0.2">
      <c r="A10646" s="221">
        <v>2025</v>
      </c>
      <c r="B10646" s="221">
        <v>12</v>
      </c>
      <c r="C10646" s="221">
        <v>30</v>
      </c>
      <c r="D10646" s="231">
        <f t="shared" si="1227"/>
        <v>46021</v>
      </c>
      <c r="E10646" s="233">
        <f t="shared" ref="E10646:E10662" si="1229">DATE(A10646,B10646,C10646)</f>
        <v>46021</v>
      </c>
      <c r="F10646" s="478" t="s">
        <v>1754</v>
      </c>
      <c r="G10646" s="222" t="s">
        <v>1111</v>
      </c>
      <c r="H10646" s="223"/>
      <c r="I10646" s="223"/>
      <c r="J10646" s="224" t="s">
        <v>55</v>
      </c>
      <c r="K10646" s="225">
        <v>20053.54</v>
      </c>
      <c r="L10646" s="225"/>
    </row>
    <row r="10647" spans="1:12" ht="11.25" customHeight="1" x14ac:dyDescent="0.2">
      <c r="A10647" s="164">
        <v>2025</v>
      </c>
      <c r="B10647" s="164">
        <v>12</v>
      </c>
      <c r="C10647" s="164">
        <v>30</v>
      </c>
      <c r="D10647" s="156">
        <f t="shared" si="1227"/>
        <v>46021</v>
      </c>
      <c r="E10647" s="235">
        <f t="shared" si="1229"/>
        <v>46021</v>
      </c>
      <c r="F10647" s="480"/>
      <c r="G10647" s="208" t="s">
        <v>1111</v>
      </c>
      <c r="J10647" s="165" t="s">
        <v>174</v>
      </c>
      <c r="K10647" s="205"/>
      <c r="L10647" s="205">
        <v>8529.0300000000007</v>
      </c>
    </row>
    <row r="10648" spans="1:12" ht="11.25" customHeight="1" x14ac:dyDescent="0.2">
      <c r="A10648" s="226">
        <v>2025</v>
      </c>
      <c r="B10648" s="226">
        <v>12</v>
      </c>
      <c r="C10648" s="226">
        <v>30</v>
      </c>
      <c r="D10648" s="232">
        <f t="shared" si="1227"/>
        <v>46021</v>
      </c>
      <c r="E10648" s="234">
        <f t="shared" si="1229"/>
        <v>46021</v>
      </c>
      <c r="F10648" s="479"/>
      <c r="G10648" s="227" t="s">
        <v>1111</v>
      </c>
      <c r="H10648" s="228"/>
      <c r="I10648" s="228"/>
      <c r="J10648" s="229" t="s">
        <v>67</v>
      </c>
      <c r="K10648" s="230"/>
      <c r="L10648" s="230">
        <v>11524.514515555527</v>
      </c>
    </row>
    <row r="10649" spans="1:12" ht="11.25" customHeight="1" x14ac:dyDescent="0.2">
      <c r="A10649" s="221">
        <v>2025</v>
      </c>
      <c r="B10649" s="221">
        <v>12</v>
      </c>
      <c r="C10649" s="221">
        <v>30</v>
      </c>
      <c r="D10649" s="231">
        <f t="shared" si="1227"/>
        <v>46021</v>
      </c>
      <c r="E10649" s="233">
        <f t="shared" si="1229"/>
        <v>46021</v>
      </c>
      <c r="F10649" s="478" t="s">
        <v>1753</v>
      </c>
      <c r="G10649" s="222" t="s">
        <v>1111</v>
      </c>
      <c r="H10649" s="223"/>
      <c r="I10649" s="223"/>
      <c r="J10649" s="224" t="s">
        <v>63</v>
      </c>
      <c r="K10649" s="225">
        <v>5000</v>
      </c>
      <c r="L10649" s="225"/>
    </row>
    <row r="10650" spans="1:12" ht="11.25" customHeight="1" x14ac:dyDescent="0.2">
      <c r="A10650" s="226">
        <v>2025</v>
      </c>
      <c r="B10650" s="226">
        <v>12</v>
      </c>
      <c r="C10650" s="226">
        <v>30</v>
      </c>
      <c r="D10650" s="232">
        <f t="shared" si="1227"/>
        <v>46021</v>
      </c>
      <c r="E10650" s="234">
        <f t="shared" si="1229"/>
        <v>46021</v>
      </c>
      <c r="F10650" s="479"/>
      <c r="G10650" s="227" t="s">
        <v>1111</v>
      </c>
      <c r="H10650" s="228"/>
      <c r="I10650" s="228"/>
      <c r="J10650" s="229" t="s">
        <v>55</v>
      </c>
      <c r="K10650" s="230"/>
      <c r="L10650" s="230">
        <f>K10649</f>
        <v>5000</v>
      </c>
    </row>
    <row r="10651" spans="1:12" ht="11.25" customHeight="1" x14ac:dyDescent="0.2">
      <c r="A10651" s="221">
        <v>2025</v>
      </c>
      <c r="B10651" s="221">
        <v>12</v>
      </c>
      <c r="C10651" s="221">
        <v>30</v>
      </c>
      <c r="D10651" s="231">
        <f t="shared" si="1227"/>
        <v>46021</v>
      </c>
      <c r="E10651" s="233">
        <f t="shared" ref="E10651:E10655" si="1230">DATE(A10651,B10651,C10651)</f>
        <v>46021</v>
      </c>
      <c r="F10651" s="478" t="s">
        <v>1749</v>
      </c>
      <c r="G10651" s="222" t="s">
        <v>1111</v>
      </c>
      <c r="H10651" s="223"/>
      <c r="I10651" s="223"/>
      <c r="J10651" s="224" t="s">
        <v>55</v>
      </c>
      <c r="K10651" s="225">
        <v>27</v>
      </c>
      <c r="L10651" s="225"/>
    </row>
    <row r="10652" spans="1:12" ht="11.25" customHeight="1" x14ac:dyDescent="0.2">
      <c r="A10652" s="164">
        <v>2025</v>
      </c>
      <c r="B10652" s="164">
        <v>12</v>
      </c>
      <c r="C10652" s="164">
        <v>30</v>
      </c>
      <c r="D10652" s="156">
        <f t="shared" si="1227"/>
        <v>46021</v>
      </c>
      <c r="E10652" s="235">
        <f t="shared" si="1230"/>
        <v>46021</v>
      </c>
      <c r="F10652" s="480"/>
      <c r="G10652" s="208" t="s">
        <v>1111</v>
      </c>
      <c r="J10652" s="165" t="s">
        <v>174</v>
      </c>
      <c r="K10652" s="205">
        <v>7.22</v>
      </c>
      <c r="L10652" s="205"/>
    </row>
    <row r="10653" spans="1:12" ht="11.25" customHeight="1" x14ac:dyDescent="0.2">
      <c r="A10653" s="226">
        <v>2025</v>
      </c>
      <c r="B10653" s="226">
        <v>12</v>
      </c>
      <c r="C10653" s="226">
        <v>30</v>
      </c>
      <c r="D10653" s="232">
        <f t="shared" si="1227"/>
        <v>46021</v>
      </c>
      <c r="E10653" s="234">
        <f t="shared" si="1230"/>
        <v>46021</v>
      </c>
      <c r="F10653" s="479"/>
      <c r="G10653" s="227" t="s">
        <v>1111</v>
      </c>
      <c r="H10653" s="228"/>
      <c r="I10653" s="228"/>
      <c r="J10653" s="229" t="s">
        <v>67</v>
      </c>
      <c r="K10653" s="230"/>
      <c r="L10653" s="230">
        <v>34.213236805555695</v>
      </c>
    </row>
    <row r="10654" spans="1:12" ht="11.25" customHeight="1" x14ac:dyDescent="0.2">
      <c r="A10654" s="221">
        <v>2025</v>
      </c>
      <c r="B10654" s="221">
        <v>12</v>
      </c>
      <c r="C10654" s="221">
        <v>30</v>
      </c>
      <c r="D10654" s="231">
        <f t="shared" si="1227"/>
        <v>46021</v>
      </c>
      <c r="E10654" s="233">
        <f t="shared" si="1230"/>
        <v>46021</v>
      </c>
      <c r="F10654" s="478" t="s">
        <v>1676</v>
      </c>
      <c r="G10654" s="222" t="s">
        <v>1111</v>
      </c>
      <c r="H10654" s="223"/>
      <c r="I10654" s="223"/>
      <c r="J10654" s="224" t="s">
        <v>63</v>
      </c>
      <c r="K10654" s="225">
        <v>8.1</v>
      </c>
      <c r="L10654" s="225"/>
    </row>
    <row r="10655" spans="1:12" ht="11.25" customHeight="1" x14ac:dyDescent="0.2">
      <c r="A10655" s="226">
        <v>2025</v>
      </c>
      <c r="B10655" s="226">
        <v>12</v>
      </c>
      <c r="C10655" s="226">
        <v>30</v>
      </c>
      <c r="D10655" s="232">
        <f t="shared" si="1227"/>
        <v>46021</v>
      </c>
      <c r="E10655" s="234">
        <f t="shared" si="1230"/>
        <v>46021</v>
      </c>
      <c r="F10655" s="479"/>
      <c r="G10655" s="227" t="s">
        <v>1111</v>
      </c>
      <c r="H10655" s="228"/>
      <c r="I10655" s="228"/>
      <c r="J10655" s="229" t="s">
        <v>55</v>
      </c>
      <c r="K10655" s="230"/>
      <c r="L10655" s="230">
        <f>K10654</f>
        <v>8.1</v>
      </c>
    </row>
    <row r="10656" spans="1:12" ht="11.25" customHeight="1" x14ac:dyDescent="0.2">
      <c r="A10656" s="221">
        <v>2025</v>
      </c>
      <c r="B10656" s="221">
        <v>12</v>
      </c>
      <c r="C10656" s="221">
        <v>30</v>
      </c>
      <c r="D10656" s="231">
        <f t="shared" si="1227"/>
        <v>46021</v>
      </c>
      <c r="E10656" s="233">
        <f t="shared" ref="E10656:E10657" si="1231">DATE(A10656,B10656,C10656)</f>
        <v>46021</v>
      </c>
      <c r="F10656" s="478" t="s">
        <v>1673</v>
      </c>
      <c r="G10656" s="222" t="s">
        <v>1111</v>
      </c>
      <c r="H10656" s="223"/>
      <c r="I10656" s="223"/>
      <c r="J10656" s="224" t="s">
        <v>63</v>
      </c>
      <c r="K10656" s="225">
        <v>345</v>
      </c>
      <c r="L10656" s="225"/>
    </row>
    <row r="10657" spans="1:13" ht="11.25" customHeight="1" x14ac:dyDescent="0.2">
      <c r="A10657" s="226">
        <v>2025</v>
      </c>
      <c r="B10657" s="226">
        <v>12</v>
      </c>
      <c r="C10657" s="226">
        <v>30</v>
      </c>
      <c r="D10657" s="232">
        <f t="shared" si="1227"/>
        <v>46021</v>
      </c>
      <c r="E10657" s="234">
        <f t="shared" si="1231"/>
        <v>46021</v>
      </c>
      <c r="F10657" s="479"/>
      <c r="G10657" s="227" t="s">
        <v>1111</v>
      </c>
      <c r="H10657" s="228"/>
      <c r="I10657" s="228"/>
      <c r="J10657" s="229" t="s">
        <v>55</v>
      </c>
      <c r="K10657" s="230"/>
      <c r="L10657" s="230">
        <f>K10656</f>
        <v>345</v>
      </c>
    </row>
    <row r="10658" spans="1:13" ht="11.25" customHeight="1" x14ac:dyDescent="0.2">
      <c r="A10658" s="221">
        <v>2025</v>
      </c>
      <c r="B10658" s="221">
        <v>12</v>
      </c>
      <c r="C10658" s="221">
        <v>31</v>
      </c>
      <c r="D10658" s="231">
        <f t="shared" si="1227"/>
        <v>46022</v>
      </c>
      <c r="E10658" s="233">
        <f t="shared" si="1229"/>
        <v>46022</v>
      </c>
      <c r="F10658" s="478" t="s">
        <v>1750</v>
      </c>
      <c r="G10658" s="222" t="s">
        <v>1111</v>
      </c>
      <c r="H10658" s="223"/>
      <c r="I10658" s="223"/>
      <c r="J10658" s="224" t="s">
        <v>55</v>
      </c>
      <c r="K10658" s="225">
        <v>555.6</v>
      </c>
      <c r="L10658" s="225"/>
    </row>
    <row r="10659" spans="1:13" ht="11.25" customHeight="1" x14ac:dyDescent="0.2">
      <c r="A10659" s="164">
        <v>2025</v>
      </c>
      <c r="B10659" s="164">
        <v>12</v>
      </c>
      <c r="C10659" s="164">
        <v>31</v>
      </c>
      <c r="D10659" s="156">
        <f t="shared" si="1227"/>
        <v>46022</v>
      </c>
      <c r="E10659" s="235">
        <f t="shared" si="1229"/>
        <v>46022</v>
      </c>
      <c r="F10659" s="480"/>
      <c r="G10659" s="208" t="s">
        <v>1111</v>
      </c>
      <c r="J10659" s="165" t="s">
        <v>174</v>
      </c>
      <c r="K10659" s="205">
        <v>2388.2399999999998</v>
      </c>
      <c r="L10659" s="205"/>
    </row>
    <row r="10660" spans="1:13" ht="11.25" customHeight="1" x14ac:dyDescent="0.2">
      <c r="A10660" s="226">
        <v>2025</v>
      </c>
      <c r="B10660" s="226">
        <v>12</v>
      </c>
      <c r="C10660" s="226">
        <v>31</v>
      </c>
      <c r="D10660" s="232">
        <f t="shared" si="1227"/>
        <v>46022</v>
      </c>
      <c r="E10660" s="234">
        <f t="shared" si="1229"/>
        <v>46022</v>
      </c>
      <c r="F10660" s="479"/>
      <c r="G10660" s="227" t="s">
        <v>1111</v>
      </c>
      <c r="H10660" s="228"/>
      <c r="I10660" s="228"/>
      <c r="J10660" s="229" t="s">
        <v>67</v>
      </c>
      <c r="K10660" s="230"/>
      <c r="L10660" s="230">
        <v>2943.8364673611163</v>
      </c>
    </row>
    <row r="10661" spans="1:13" ht="11.25" customHeight="1" x14ac:dyDescent="0.2">
      <c r="A10661" s="221">
        <v>2025</v>
      </c>
      <c r="B10661" s="221">
        <v>12</v>
      </c>
      <c r="C10661" s="221">
        <v>31</v>
      </c>
      <c r="D10661" s="231">
        <f t="shared" si="1227"/>
        <v>46022</v>
      </c>
      <c r="E10661" s="233">
        <f t="shared" si="1229"/>
        <v>46022</v>
      </c>
      <c r="F10661" s="478" t="s">
        <v>1677</v>
      </c>
      <c r="G10661" s="222" t="s">
        <v>1111</v>
      </c>
      <c r="H10661" s="223"/>
      <c r="I10661" s="223"/>
      <c r="J10661" s="224" t="s">
        <v>63</v>
      </c>
      <c r="K10661" s="225">
        <v>167</v>
      </c>
      <c r="L10661" s="225"/>
    </row>
    <row r="10662" spans="1:13" ht="11.25" customHeight="1" x14ac:dyDescent="0.2">
      <c r="A10662" s="226">
        <v>2025</v>
      </c>
      <c r="B10662" s="226">
        <v>12</v>
      </c>
      <c r="C10662" s="226">
        <v>31</v>
      </c>
      <c r="D10662" s="232">
        <f t="shared" si="1227"/>
        <v>46022</v>
      </c>
      <c r="E10662" s="234">
        <f t="shared" si="1229"/>
        <v>46022</v>
      </c>
      <c r="F10662" s="479"/>
      <c r="G10662" s="227" t="s">
        <v>1111</v>
      </c>
      <c r="H10662" s="228"/>
      <c r="I10662" s="228"/>
      <c r="J10662" s="229" t="s">
        <v>55</v>
      </c>
      <c r="K10662" s="230"/>
      <c r="L10662" s="230">
        <f>K10661</f>
        <v>167</v>
      </c>
    </row>
    <row r="10663" spans="1:13" ht="11.25" customHeight="1" x14ac:dyDescent="0.2">
      <c r="A10663" s="221">
        <v>2025</v>
      </c>
      <c r="B10663" s="221">
        <v>12</v>
      </c>
      <c r="C10663" s="221">
        <v>30</v>
      </c>
      <c r="D10663" s="231">
        <f t="shared" si="1227"/>
        <v>46021</v>
      </c>
      <c r="E10663" s="233">
        <f>DATE(A10663,B10663,C10663)</f>
        <v>46021</v>
      </c>
      <c r="F10663" s="478" t="s">
        <v>1390</v>
      </c>
      <c r="G10663" s="222" t="s">
        <v>86</v>
      </c>
      <c r="H10663" s="223"/>
      <c r="I10663" s="223"/>
      <c r="J10663" s="224" t="s">
        <v>128</v>
      </c>
      <c r="K10663" s="225">
        <v>57500</v>
      </c>
      <c r="L10663" s="225"/>
    </row>
    <row r="10664" spans="1:13" ht="11.25" customHeight="1" x14ac:dyDescent="0.2">
      <c r="A10664" s="226">
        <v>2025</v>
      </c>
      <c r="B10664" s="226">
        <v>12</v>
      </c>
      <c r="C10664" s="226">
        <v>30</v>
      </c>
      <c r="D10664" s="232">
        <f t="shared" si="1227"/>
        <v>46021</v>
      </c>
      <c r="E10664" s="234">
        <f>DATE(A10664,B10664,C10664)</f>
        <v>46021</v>
      </c>
      <c r="F10664" s="479"/>
      <c r="G10664" s="227" t="s">
        <v>86</v>
      </c>
      <c r="H10664" s="228"/>
      <c r="I10664" s="228"/>
      <c r="J10664" s="229" t="s">
        <v>53</v>
      </c>
      <c r="K10664" s="230"/>
      <c r="L10664" s="230">
        <f>K10663</f>
        <v>57500</v>
      </c>
    </row>
    <row r="10665" spans="1:13" ht="11.25" customHeight="1" x14ac:dyDescent="0.2">
      <c r="A10665" s="280">
        <v>2025</v>
      </c>
      <c r="B10665" s="280">
        <v>12</v>
      </c>
      <c r="C10665" s="280">
        <v>30</v>
      </c>
      <c r="D10665" s="281">
        <f t="shared" si="1227"/>
        <v>46021</v>
      </c>
      <c r="E10665" s="282">
        <f t="shared" si="1226"/>
        <v>46021</v>
      </c>
      <c r="F10665" s="472" t="s">
        <v>1744</v>
      </c>
      <c r="G10665" s="283" t="s">
        <v>86</v>
      </c>
      <c r="H10665" s="284"/>
      <c r="I10665" s="284"/>
      <c r="J10665" s="285" t="s">
        <v>131</v>
      </c>
      <c r="K10665" s="286">
        <v>2765.4757142857147</v>
      </c>
      <c r="L10665" s="286"/>
      <c r="M10665" s="401"/>
    </row>
    <row r="10666" spans="1:13" ht="11.25" customHeight="1" x14ac:dyDescent="0.2">
      <c r="A10666" s="287">
        <v>2025</v>
      </c>
      <c r="B10666" s="287">
        <v>12</v>
      </c>
      <c r="C10666" s="287">
        <v>30</v>
      </c>
      <c r="D10666" s="288">
        <f t="shared" si="1227"/>
        <v>46021</v>
      </c>
      <c r="E10666" s="289">
        <f t="shared" si="1226"/>
        <v>46021</v>
      </c>
      <c r="F10666" s="473"/>
      <c r="G10666" s="290" t="s">
        <v>86</v>
      </c>
      <c r="H10666" s="291"/>
      <c r="I10666" s="291"/>
      <c r="J10666" s="292" t="s">
        <v>174</v>
      </c>
      <c r="K10666" s="293"/>
      <c r="L10666" s="293">
        <f>K10665</f>
        <v>2765.4757142857147</v>
      </c>
    </row>
    <row r="10667" spans="1:13" ht="11.25" customHeight="1" x14ac:dyDescent="0.2">
      <c r="A10667" s="280">
        <v>2025</v>
      </c>
      <c r="B10667" s="280">
        <v>12</v>
      </c>
      <c r="C10667" s="280">
        <v>30</v>
      </c>
      <c r="D10667" s="281">
        <f t="shared" si="1227"/>
        <v>46021</v>
      </c>
      <c r="E10667" s="282">
        <f t="shared" si="1226"/>
        <v>46021</v>
      </c>
      <c r="F10667" s="472" t="s">
        <v>1584</v>
      </c>
      <c r="G10667" s="283" t="s">
        <v>86</v>
      </c>
      <c r="H10667" s="284"/>
      <c r="I10667" s="284"/>
      <c r="J10667" s="285" t="s">
        <v>131</v>
      </c>
      <c r="K10667" s="286">
        <v>1263.7357142857143</v>
      </c>
      <c r="L10667" s="286"/>
      <c r="M10667" s="401"/>
    </row>
    <row r="10668" spans="1:13" ht="11.25" customHeight="1" x14ac:dyDescent="0.2">
      <c r="A10668" s="287">
        <v>2025</v>
      </c>
      <c r="B10668" s="287">
        <v>12</v>
      </c>
      <c r="C10668" s="287">
        <v>30</v>
      </c>
      <c r="D10668" s="288">
        <f t="shared" si="1227"/>
        <v>46021</v>
      </c>
      <c r="E10668" s="289">
        <f t="shared" si="1226"/>
        <v>46021</v>
      </c>
      <c r="F10668" s="473"/>
      <c r="G10668" s="290" t="s">
        <v>86</v>
      </c>
      <c r="H10668" s="291"/>
      <c r="I10668" s="291"/>
      <c r="J10668" s="292" t="s">
        <v>174</v>
      </c>
      <c r="K10668" s="293"/>
      <c r="L10668" s="293">
        <f>K10667</f>
        <v>1263.7357142857143</v>
      </c>
    </row>
    <row r="10669" spans="1:13" ht="11.25" customHeight="1" x14ac:dyDescent="0.2">
      <c r="A10669" s="280">
        <v>2025</v>
      </c>
      <c r="B10669" s="280">
        <v>12</v>
      </c>
      <c r="C10669" s="280">
        <v>30</v>
      </c>
      <c r="D10669" s="281">
        <f t="shared" si="1227"/>
        <v>46021</v>
      </c>
      <c r="E10669" s="282">
        <f t="shared" si="1226"/>
        <v>46021</v>
      </c>
      <c r="F10669" s="472" t="s">
        <v>1955</v>
      </c>
      <c r="G10669" s="283" t="s">
        <v>86</v>
      </c>
      <c r="H10669" s="284"/>
      <c r="I10669" s="284"/>
      <c r="J10669" s="285" t="s">
        <v>1978</v>
      </c>
      <c r="K10669" s="286"/>
      <c r="L10669" s="286"/>
      <c r="M10669" s="401"/>
    </row>
    <row r="10670" spans="1:13" ht="11.25" customHeight="1" x14ac:dyDescent="0.2">
      <c r="A10670" s="287">
        <v>2025</v>
      </c>
      <c r="B10670" s="287">
        <v>12</v>
      </c>
      <c r="C10670" s="287">
        <v>30</v>
      </c>
      <c r="D10670" s="288">
        <f t="shared" si="1227"/>
        <v>46021</v>
      </c>
      <c r="E10670" s="289">
        <f t="shared" si="1226"/>
        <v>46021</v>
      </c>
      <c r="F10670" s="473"/>
      <c r="G10670" s="290" t="s">
        <v>86</v>
      </c>
      <c r="H10670" s="291"/>
      <c r="I10670" s="291"/>
      <c r="J10670" s="292" t="s">
        <v>1955</v>
      </c>
      <c r="K10670" s="293"/>
      <c r="L10670" s="293">
        <f>K10669</f>
        <v>0</v>
      </c>
    </row>
    <row r="10671" spans="1:13" ht="11.25" customHeight="1" x14ac:dyDescent="0.2">
      <c r="A10671" s="341">
        <v>2025</v>
      </c>
      <c r="B10671" s="341">
        <v>12</v>
      </c>
      <c r="C10671" s="341">
        <v>30</v>
      </c>
      <c r="D10671" s="328">
        <f t="shared" si="1227"/>
        <v>46021</v>
      </c>
      <c r="E10671" s="329">
        <f t="shared" si="1226"/>
        <v>46021</v>
      </c>
      <c r="F10671" s="474" t="s">
        <v>1767</v>
      </c>
      <c r="G10671" s="330" t="s">
        <v>86</v>
      </c>
      <c r="H10671" s="332"/>
      <c r="I10671" s="332"/>
      <c r="J10671" s="342" t="s">
        <v>67</v>
      </c>
      <c r="K10671" s="343">
        <v>145.94999999999999</v>
      </c>
      <c r="L10671" s="343"/>
    </row>
    <row r="10672" spans="1:13" ht="11.25" customHeight="1" x14ac:dyDescent="0.2">
      <c r="A10672" s="344">
        <v>2025</v>
      </c>
      <c r="B10672" s="344">
        <v>12</v>
      </c>
      <c r="C10672" s="344">
        <v>30</v>
      </c>
      <c r="D10672" s="337">
        <f t="shared" si="1227"/>
        <v>46021</v>
      </c>
      <c r="E10672" s="338">
        <f t="shared" si="1226"/>
        <v>46021</v>
      </c>
      <c r="F10672" s="475"/>
      <c r="G10672" s="339" t="s">
        <v>86</v>
      </c>
      <c r="H10672" s="340"/>
      <c r="I10672" s="340"/>
      <c r="J10672" s="345" t="s">
        <v>174</v>
      </c>
      <c r="K10672" s="346"/>
      <c r="L10672" s="346">
        <f>K10671</f>
        <v>145.94999999999999</v>
      </c>
    </row>
    <row r="10673" spans="1:13" ht="11.25" customHeight="1" x14ac:dyDescent="0.2">
      <c r="A10673" s="236">
        <v>2025</v>
      </c>
      <c r="B10673" s="236">
        <v>12</v>
      </c>
      <c r="C10673" s="236">
        <v>30</v>
      </c>
      <c r="D10673" s="237">
        <f t="shared" si="1227"/>
        <v>46021</v>
      </c>
      <c r="E10673" s="238">
        <f t="shared" ref="E10673:E10688" si="1232">DATE(A10673,B10673,C10673)</f>
        <v>46021</v>
      </c>
      <c r="F10673" s="476" t="s">
        <v>1118</v>
      </c>
      <c r="G10673" s="239" t="s">
        <v>86</v>
      </c>
      <c r="H10673" s="239"/>
      <c r="I10673" s="240"/>
      <c r="J10673" s="241" t="s">
        <v>82</v>
      </c>
      <c r="K10673" s="242">
        <v>297630.79999998212</v>
      </c>
      <c r="L10673" s="242"/>
      <c r="M10673" s="156">
        <f>BS!$I$8</f>
        <v>0</v>
      </c>
    </row>
    <row r="10674" spans="1:13" ht="11.25" customHeight="1" x14ac:dyDescent="0.2">
      <c r="A10674" s="243">
        <v>2025</v>
      </c>
      <c r="B10674" s="243">
        <v>12</v>
      </c>
      <c r="C10674" s="243">
        <v>30</v>
      </c>
      <c r="D10674" s="248">
        <f t="shared" si="1227"/>
        <v>46021</v>
      </c>
      <c r="E10674" s="249">
        <f t="shared" si="1232"/>
        <v>46021</v>
      </c>
      <c r="F10674" s="477"/>
      <c r="G10674" s="244" t="s">
        <v>86</v>
      </c>
      <c r="H10674" s="244"/>
      <c r="I10674" s="245"/>
      <c r="J10674" s="246" t="s">
        <v>98</v>
      </c>
      <c r="K10674" s="247"/>
      <c r="L10674" s="247">
        <f>K10673</f>
        <v>297630.79999998212</v>
      </c>
    </row>
    <row r="10675" spans="1:13" ht="11.25" customHeight="1" x14ac:dyDescent="0.2">
      <c r="A10675" s="236">
        <v>2025</v>
      </c>
      <c r="B10675" s="236">
        <v>12</v>
      </c>
      <c r="C10675" s="236">
        <v>30</v>
      </c>
      <c r="D10675" s="237">
        <f t="shared" si="1227"/>
        <v>46021</v>
      </c>
      <c r="E10675" s="238">
        <f t="shared" si="1232"/>
        <v>46021</v>
      </c>
      <c r="F10675" s="476" t="s">
        <v>1120</v>
      </c>
      <c r="G10675" s="239" t="s">
        <v>86</v>
      </c>
      <c r="H10675" s="239"/>
      <c r="I10675" s="240"/>
      <c r="J10675" s="241" t="s">
        <v>87</v>
      </c>
      <c r="K10675" s="242">
        <v>392.46467817896388</v>
      </c>
      <c r="L10675" s="242"/>
      <c r="M10675" s="401"/>
    </row>
    <row r="10676" spans="1:13" ht="11.25" customHeight="1" x14ac:dyDescent="0.2">
      <c r="A10676" s="243">
        <v>2025</v>
      </c>
      <c r="B10676" s="243">
        <v>12</v>
      </c>
      <c r="C10676" s="243">
        <v>30</v>
      </c>
      <c r="D10676" s="248">
        <f t="shared" si="1227"/>
        <v>46021</v>
      </c>
      <c r="E10676" s="249">
        <f t="shared" si="1232"/>
        <v>46021</v>
      </c>
      <c r="F10676" s="477"/>
      <c r="G10676" s="244" t="s">
        <v>86</v>
      </c>
      <c r="H10676" s="244"/>
      <c r="I10676" s="245"/>
      <c r="J10676" s="246" t="s">
        <v>64</v>
      </c>
      <c r="K10676" s="247"/>
      <c r="L10676" s="247">
        <f>K10675</f>
        <v>392.46467817896388</v>
      </c>
    </row>
    <row r="10677" spans="1:13" ht="11.25" customHeight="1" x14ac:dyDescent="0.2">
      <c r="A10677" s="236">
        <v>2025</v>
      </c>
      <c r="B10677" s="236">
        <v>12</v>
      </c>
      <c r="C10677" s="236">
        <v>30</v>
      </c>
      <c r="D10677" s="237">
        <f t="shared" si="1227"/>
        <v>46021</v>
      </c>
      <c r="E10677" s="238">
        <f t="shared" si="1232"/>
        <v>46021</v>
      </c>
      <c r="F10677" s="476" t="s">
        <v>1121</v>
      </c>
      <c r="G10677" s="239" t="s">
        <v>86</v>
      </c>
      <c r="H10677" s="239"/>
      <c r="I10677" s="240"/>
      <c r="J10677" s="241" t="s">
        <v>89</v>
      </c>
      <c r="K10677" s="242">
        <f>M10677</f>
        <v>12988.13688272471</v>
      </c>
      <c r="L10677" s="242"/>
      <c r="M10677" s="448">
        <v>12988.13688272471</v>
      </c>
    </row>
    <row r="10678" spans="1:13" ht="11.25" customHeight="1" x14ac:dyDescent="0.2">
      <c r="A10678" s="243">
        <v>2025</v>
      </c>
      <c r="B10678" s="243">
        <v>12</v>
      </c>
      <c r="C10678" s="243">
        <v>30</v>
      </c>
      <c r="D10678" s="248">
        <f t="shared" si="1227"/>
        <v>46021</v>
      </c>
      <c r="E10678" s="249">
        <f t="shared" si="1232"/>
        <v>46021</v>
      </c>
      <c r="F10678" s="477"/>
      <c r="G10678" s="244" t="s">
        <v>86</v>
      </c>
      <c r="H10678" s="244"/>
      <c r="I10678" s="245"/>
      <c r="J10678" s="246" t="s">
        <v>50</v>
      </c>
      <c r="K10678" s="247"/>
      <c r="L10678" s="247">
        <f>K10677</f>
        <v>12988.13688272471</v>
      </c>
      <c r="M10678" s="448">
        <v>615.06618479557631</v>
      </c>
    </row>
    <row r="10679" spans="1:13" ht="11.25" customHeight="1" x14ac:dyDescent="0.2">
      <c r="A10679" s="236">
        <v>2025</v>
      </c>
      <c r="B10679" s="236">
        <v>12</v>
      </c>
      <c r="C10679" s="236">
        <v>30</v>
      </c>
      <c r="D10679" s="237">
        <f t="shared" si="1227"/>
        <v>46021</v>
      </c>
      <c r="E10679" s="238">
        <f t="shared" si="1232"/>
        <v>46021</v>
      </c>
      <c r="F10679" s="476" t="s">
        <v>1122</v>
      </c>
      <c r="G10679" s="239" t="s">
        <v>86</v>
      </c>
      <c r="H10679" s="239"/>
      <c r="I10679" s="240"/>
      <c r="J10679" s="241" t="s">
        <v>91</v>
      </c>
      <c r="K10679" s="242">
        <f>M10678</f>
        <v>615.06618479557631</v>
      </c>
      <c r="L10679" s="242"/>
    </row>
    <row r="10680" spans="1:13" ht="11.25" customHeight="1" x14ac:dyDescent="0.2">
      <c r="A10680" s="243">
        <v>2025</v>
      </c>
      <c r="B10680" s="243">
        <v>12</v>
      </c>
      <c r="C10680" s="243">
        <v>30</v>
      </c>
      <c r="D10680" s="248">
        <f t="shared" si="1227"/>
        <v>46021</v>
      </c>
      <c r="E10680" s="249">
        <f t="shared" si="1232"/>
        <v>46021</v>
      </c>
      <c r="F10680" s="477"/>
      <c r="G10680" s="244" t="s">
        <v>86</v>
      </c>
      <c r="H10680" s="244"/>
      <c r="I10680" s="245"/>
      <c r="J10680" s="246" t="s">
        <v>51</v>
      </c>
      <c r="K10680" s="247"/>
      <c r="L10680" s="247">
        <f>K10679</f>
        <v>615.06618479557631</v>
      </c>
    </row>
    <row r="10681" spans="1:13" ht="11.25" customHeight="1" x14ac:dyDescent="0.2">
      <c r="A10681" s="280">
        <v>2025</v>
      </c>
      <c r="B10681" s="280">
        <v>12</v>
      </c>
      <c r="C10681" s="280">
        <v>31</v>
      </c>
      <c r="D10681" s="281">
        <f t="shared" si="1227"/>
        <v>46022</v>
      </c>
      <c r="E10681" s="282">
        <f t="shared" ref="E10681:E10682" si="1233">DATE(A10681,B10681,C10681)</f>
        <v>46022</v>
      </c>
      <c r="F10681" s="472" t="s">
        <v>1973</v>
      </c>
      <c r="G10681" s="283" t="s">
        <v>86</v>
      </c>
      <c r="H10681" s="284"/>
      <c r="I10681" s="284"/>
      <c r="J10681" s="285" t="s">
        <v>131</v>
      </c>
      <c r="K10681" s="286">
        <v>118620.2629303647</v>
      </c>
      <c r="L10681" s="286"/>
      <c r="M10681" s="401"/>
    </row>
    <row r="10682" spans="1:13" ht="11.25" customHeight="1" x14ac:dyDescent="0.2">
      <c r="A10682" s="287">
        <v>2025</v>
      </c>
      <c r="B10682" s="287">
        <v>12</v>
      </c>
      <c r="C10682" s="287">
        <v>31</v>
      </c>
      <c r="D10682" s="288">
        <f t="shared" si="1227"/>
        <v>46022</v>
      </c>
      <c r="E10682" s="289">
        <f t="shared" si="1233"/>
        <v>46022</v>
      </c>
      <c r="F10682" s="473"/>
      <c r="G10682" s="290" t="s">
        <v>86</v>
      </c>
      <c r="H10682" s="291"/>
      <c r="I10682" s="291"/>
      <c r="J10682" s="292" t="s">
        <v>174</v>
      </c>
      <c r="K10682" s="293"/>
      <c r="L10682" s="293">
        <f>K10681</f>
        <v>118620.2629303647</v>
      </c>
    </row>
    <row r="10683" spans="1:13" ht="11.25" customHeight="1" x14ac:dyDescent="0.2">
      <c r="A10683" s="280">
        <v>2025</v>
      </c>
      <c r="B10683" s="280">
        <v>12</v>
      </c>
      <c r="C10683" s="280">
        <v>31</v>
      </c>
      <c r="D10683" s="281">
        <f t="shared" si="1227"/>
        <v>46022</v>
      </c>
      <c r="E10683" s="282">
        <f t="shared" si="1232"/>
        <v>46022</v>
      </c>
      <c r="F10683" s="472" t="s">
        <v>1744</v>
      </c>
      <c r="G10683" s="283" t="s">
        <v>86</v>
      </c>
      <c r="H10683" s="284"/>
      <c r="I10683" s="284"/>
      <c r="J10683" s="285" t="s">
        <v>131</v>
      </c>
      <c r="K10683" s="286">
        <v>2765.4757142857147</v>
      </c>
      <c r="L10683" s="286"/>
      <c r="M10683" s="401"/>
    </row>
    <row r="10684" spans="1:13" ht="11.25" customHeight="1" x14ac:dyDescent="0.2">
      <c r="A10684" s="287">
        <v>2025</v>
      </c>
      <c r="B10684" s="287">
        <v>12</v>
      </c>
      <c r="C10684" s="287">
        <v>31</v>
      </c>
      <c r="D10684" s="288">
        <f t="shared" si="1227"/>
        <v>46022</v>
      </c>
      <c r="E10684" s="289">
        <f t="shared" si="1232"/>
        <v>46022</v>
      </c>
      <c r="F10684" s="473"/>
      <c r="G10684" s="290" t="s">
        <v>86</v>
      </c>
      <c r="H10684" s="291"/>
      <c r="I10684" s="291"/>
      <c r="J10684" s="292" t="s">
        <v>174</v>
      </c>
      <c r="K10684" s="293"/>
      <c r="L10684" s="293">
        <f>K10683</f>
        <v>2765.4757142857147</v>
      </c>
    </row>
    <row r="10685" spans="1:13" ht="11.25" customHeight="1" x14ac:dyDescent="0.2">
      <c r="A10685" s="280">
        <v>2025</v>
      </c>
      <c r="B10685" s="280">
        <v>12</v>
      </c>
      <c r="C10685" s="280">
        <v>31</v>
      </c>
      <c r="D10685" s="281">
        <f t="shared" si="1227"/>
        <v>46022</v>
      </c>
      <c r="E10685" s="282">
        <f t="shared" si="1232"/>
        <v>46022</v>
      </c>
      <c r="F10685" s="472" t="s">
        <v>1584</v>
      </c>
      <c r="G10685" s="283" t="s">
        <v>86</v>
      </c>
      <c r="H10685" s="284"/>
      <c r="I10685" s="284"/>
      <c r="J10685" s="285" t="s">
        <v>131</v>
      </c>
      <c r="K10685" s="286">
        <v>1263.7357142857143</v>
      </c>
      <c r="L10685" s="286"/>
      <c r="M10685" s="401"/>
    </row>
    <row r="10686" spans="1:13" ht="11.25" customHeight="1" x14ac:dyDescent="0.2">
      <c r="A10686" s="287">
        <v>2025</v>
      </c>
      <c r="B10686" s="287">
        <v>12</v>
      </c>
      <c r="C10686" s="287">
        <v>31</v>
      </c>
      <c r="D10686" s="288">
        <f t="shared" si="1227"/>
        <v>46022</v>
      </c>
      <c r="E10686" s="289">
        <f t="shared" si="1232"/>
        <v>46022</v>
      </c>
      <c r="F10686" s="473"/>
      <c r="G10686" s="290" t="s">
        <v>86</v>
      </c>
      <c r="H10686" s="291"/>
      <c r="I10686" s="291"/>
      <c r="J10686" s="292" t="s">
        <v>174</v>
      </c>
      <c r="K10686" s="293"/>
      <c r="L10686" s="293">
        <f>K10685</f>
        <v>1263.7357142857143</v>
      </c>
    </row>
    <row r="10687" spans="1:13" ht="11.25" customHeight="1" x14ac:dyDescent="0.2">
      <c r="A10687" s="280">
        <v>2025</v>
      </c>
      <c r="B10687" s="280">
        <v>12</v>
      </c>
      <c r="C10687" s="280">
        <v>31</v>
      </c>
      <c r="D10687" s="281">
        <f t="shared" si="1227"/>
        <v>46022</v>
      </c>
      <c r="E10687" s="282">
        <f t="shared" si="1232"/>
        <v>46022</v>
      </c>
      <c r="F10687" s="472" t="s">
        <v>1955</v>
      </c>
      <c r="G10687" s="283" t="s">
        <v>86</v>
      </c>
      <c r="H10687" s="284"/>
      <c r="I10687" s="284"/>
      <c r="J10687" s="285" t="s">
        <v>1978</v>
      </c>
      <c r="K10687" s="286"/>
      <c r="L10687" s="286"/>
      <c r="M10687" s="401"/>
    </row>
    <row r="10688" spans="1:13" ht="11.25" customHeight="1" x14ac:dyDescent="0.2">
      <c r="A10688" s="287">
        <v>2025</v>
      </c>
      <c r="B10688" s="287">
        <v>12</v>
      </c>
      <c r="C10688" s="287">
        <v>31</v>
      </c>
      <c r="D10688" s="288">
        <f t="shared" si="1227"/>
        <v>46022</v>
      </c>
      <c r="E10688" s="289">
        <f t="shared" si="1232"/>
        <v>46022</v>
      </c>
      <c r="F10688" s="473"/>
      <c r="G10688" s="290" t="s">
        <v>86</v>
      </c>
      <c r="H10688" s="291"/>
      <c r="I10688" s="291"/>
      <c r="J10688" s="292" t="s">
        <v>1955</v>
      </c>
      <c r="K10688" s="293"/>
      <c r="L10688" s="293">
        <f>K10687</f>
        <v>0</v>
      </c>
    </row>
    <row r="10689" spans="1:21" ht="11.25" customHeight="1" x14ac:dyDescent="0.2">
      <c r="A10689" s="236">
        <v>2025</v>
      </c>
      <c r="B10689" s="236">
        <v>12</v>
      </c>
      <c r="C10689" s="236">
        <v>31</v>
      </c>
      <c r="D10689" s="237">
        <f t="shared" si="1227"/>
        <v>46022</v>
      </c>
      <c r="E10689" s="238">
        <f t="shared" ref="E10689:E10754" si="1234">DATE(A10689,B10689,C10689)</f>
        <v>46022</v>
      </c>
      <c r="F10689" s="476" t="s">
        <v>1999</v>
      </c>
      <c r="G10689" s="239" t="s">
        <v>86</v>
      </c>
      <c r="H10689" s="239"/>
      <c r="I10689" s="240"/>
      <c r="J10689" s="241" t="s">
        <v>87</v>
      </c>
      <c r="K10689" s="242">
        <v>392.46467817896388</v>
      </c>
      <c r="L10689" s="242"/>
      <c r="M10689" s="401"/>
    </row>
    <row r="10690" spans="1:21" ht="11.25" customHeight="1" x14ac:dyDescent="0.2">
      <c r="A10690" s="243">
        <v>2025</v>
      </c>
      <c r="B10690" s="243">
        <v>12</v>
      </c>
      <c r="C10690" s="243">
        <v>31</v>
      </c>
      <c r="D10690" s="248">
        <f t="shared" si="1227"/>
        <v>46022</v>
      </c>
      <c r="E10690" s="249">
        <f t="shared" si="1234"/>
        <v>46022</v>
      </c>
      <c r="F10690" s="477"/>
      <c r="G10690" s="244" t="s">
        <v>86</v>
      </c>
      <c r="H10690" s="244"/>
      <c r="I10690" s="245"/>
      <c r="J10690" s="246" t="s">
        <v>64</v>
      </c>
      <c r="K10690" s="247"/>
      <c r="L10690" s="247">
        <f>K10689</f>
        <v>392.46467817896388</v>
      </c>
    </row>
    <row r="10691" spans="1:21" ht="11.25" customHeight="1" x14ac:dyDescent="0.2">
      <c r="A10691" s="236">
        <v>2025</v>
      </c>
      <c r="B10691" s="236">
        <v>12</v>
      </c>
      <c r="C10691" s="236">
        <v>31</v>
      </c>
      <c r="D10691" s="237">
        <f t="shared" si="1227"/>
        <v>46022</v>
      </c>
      <c r="E10691" s="238">
        <f t="shared" si="1234"/>
        <v>46022</v>
      </c>
      <c r="F10691" s="476" t="s">
        <v>2000</v>
      </c>
      <c r="G10691" s="239" t="s">
        <v>86</v>
      </c>
      <c r="H10691" s="239"/>
      <c r="I10691" s="240"/>
      <c r="J10691" s="241" t="s">
        <v>89</v>
      </c>
      <c r="K10691" s="242">
        <f>M10691</f>
        <v>12983.436567518303</v>
      </c>
      <c r="L10691" s="242"/>
      <c r="M10691" s="448">
        <v>12983.436567518303</v>
      </c>
    </row>
    <row r="10692" spans="1:21" ht="11.25" customHeight="1" x14ac:dyDescent="0.2">
      <c r="A10692" s="243">
        <v>2025</v>
      </c>
      <c r="B10692" s="243">
        <v>12</v>
      </c>
      <c r="C10692" s="243">
        <v>31</v>
      </c>
      <c r="D10692" s="248">
        <f t="shared" si="1227"/>
        <v>46022</v>
      </c>
      <c r="E10692" s="249">
        <f t="shared" si="1234"/>
        <v>46022</v>
      </c>
      <c r="F10692" s="477"/>
      <c r="G10692" s="244" t="s">
        <v>86</v>
      </c>
      <c r="H10692" s="244"/>
      <c r="I10692" s="245"/>
      <c r="J10692" s="246" t="s">
        <v>50</v>
      </c>
      <c r="K10692" s="247"/>
      <c r="L10692" s="247">
        <f>K10691</f>
        <v>12983.436567518303</v>
      </c>
      <c r="M10692" s="448">
        <v>614.8311690352557</v>
      </c>
    </row>
    <row r="10693" spans="1:21" ht="11.25" customHeight="1" x14ac:dyDescent="0.2">
      <c r="A10693" s="236">
        <v>2025</v>
      </c>
      <c r="B10693" s="236">
        <v>12</v>
      </c>
      <c r="C10693" s="236">
        <v>31</v>
      </c>
      <c r="D10693" s="237">
        <f t="shared" si="1227"/>
        <v>46022</v>
      </c>
      <c r="E10693" s="238">
        <f t="shared" si="1234"/>
        <v>46022</v>
      </c>
      <c r="F10693" s="476" t="s">
        <v>2001</v>
      </c>
      <c r="G10693" s="239" t="s">
        <v>86</v>
      </c>
      <c r="H10693" s="239"/>
      <c r="I10693" s="240"/>
      <c r="J10693" s="241" t="s">
        <v>91</v>
      </c>
      <c r="K10693" s="242">
        <f>M10692</f>
        <v>614.8311690352557</v>
      </c>
      <c r="L10693" s="242"/>
    </row>
    <row r="10694" spans="1:21" ht="11.25" customHeight="1" x14ac:dyDescent="0.2">
      <c r="A10694" s="243">
        <v>2025</v>
      </c>
      <c r="B10694" s="243">
        <v>12</v>
      </c>
      <c r="C10694" s="243">
        <v>31</v>
      </c>
      <c r="D10694" s="248">
        <f t="shared" si="1227"/>
        <v>46022</v>
      </c>
      <c r="E10694" s="249">
        <f t="shared" si="1234"/>
        <v>46022</v>
      </c>
      <c r="F10694" s="477"/>
      <c r="G10694" s="244" t="s">
        <v>86</v>
      </c>
      <c r="H10694" s="244"/>
      <c r="I10694" s="245"/>
      <c r="J10694" s="246" t="s">
        <v>51</v>
      </c>
      <c r="K10694" s="247"/>
      <c r="L10694" s="247">
        <f>K10693</f>
        <v>614.8311690352557</v>
      </c>
    </row>
    <row r="10695" spans="1:21" ht="11.25" customHeight="1" x14ac:dyDescent="0.2">
      <c r="A10695" s="221">
        <v>2026</v>
      </c>
      <c r="B10695" s="221">
        <v>1</v>
      </c>
      <c r="C10695" s="221">
        <v>1</v>
      </c>
      <c r="D10695" s="231">
        <f t="shared" si="1227"/>
        <v>46023</v>
      </c>
      <c r="E10695" s="233">
        <f t="shared" si="1234"/>
        <v>46023</v>
      </c>
      <c r="F10695" s="478" t="s">
        <v>1991</v>
      </c>
      <c r="G10695" s="222" t="s">
        <v>1111</v>
      </c>
      <c r="H10695" s="223"/>
      <c r="I10695" s="223"/>
      <c r="J10695" s="224" t="s">
        <v>317</v>
      </c>
      <c r="K10695" s="225">
        <v>6612758.9499999993</v>
      </c>
      <c r="L10695" s="225"/>
      <c r="U10695" s="166"/>
    </row>
    <row r="10696" spans="1:21" ht="11.25" customHeight="1" x14ac:dyDescent="0.2">
      <c r="A10696" s="226">
        <v>2026</v>
      </c>
      <c r="B10696" s="226">
        <v>1</v>
      </c>
      <c r="C10696" s="226">
        <v>1</v>
      </c>
      <c r="D10696" s="232">
        <f t="shared" si="1227"/>
        <v>46023</v>
      </c>
      <c r="E10696" s="234">
        <f t="shared" si="1234"/>
        <v>46023</v>
      </c>
      <c r="F10696" s="479"/>
      <c r="G10696" s="227" t="s">
        <v>1111</v>
      </c>
      <c r="H10696" s="228"/>
      <c r="I10696" s="228"/>
      <c r="J10696" s="229" t="s">
        <v>316</v>
      </c>
      <c r="K10696" s="230"/>
      <c r="L10696" s="230">
        <v>6612758.9499999993</v>
      </c>
      <c r="U10696" s="166"/>
    </row>
    <row r="10697" spans="1:21" ht="11.25" customHeight="1" x14ac:dyDescent="0.2">
      <c r="A10697" s="221">
        <v>2026</v>
      </c>
      <c r="B10697" s="221">
        <v>1</v>
      </c>
      <c r="C10697" s="221">
        <v>1</v>
      </c>
      <c r="D10697" s="231">
        <f t="shared" ref="D10697:D10760" si="1235">DATE(A10697,B10697,C10697)</f>
        <v>46023</v>
      </c>
      <c r="E10697" s="233">
        <f t="shared" si="1234"/>
        <v>46023</v>
      </c>
      <c r="F10697" s="478" t="s">
        <v>1945</v>
      </c>
      <c r="G10697" s="222" t="s">
        <v>1111</v>
      </c>
      <c r="H10697" s="223"/>
      <c r="I10697" s="223"/>
      <c r="J10697" s="224" t="s">
        <v>55</v>
      </c>
      <c r="K10697" s="225">
        <v>220973.16</v>
      </c>
      <c r="L10697" s="225"/>
    </row>
    <row r="10698" spans="1:21" ht="11.25" customHeight="1" x14ac:dyDescent="0.2">
      <c r="A10698" s="226">
        <v>2026</v>
      </c>
      <c r="B10698" s="226">
        <v>1</v>
      </c>
      <c r="C10698" s="226">
        <v>1</v>
      </c>
      <c r="D10698" s="232">
        <f t="shared" si="1235"/>
        <v>46023</v>
      </c>
      <c r="E10698" s="234">
        <f t="shared" si="1234"/>
        <v>46023</v>
      </c>
      <c r="F10698" s="479"/>
      <c r="G10698" s="227" t="s">
        <v>1111</v>
      </c>
      <c r="H10698" s="228"/>
      <c r="I10698" s="228"/>
      <c r="J10698" s="229" t="s">
        <v>199</v>
      </c>
      <c r="K10698" s="230"/>
      <c r="L10698" s="230">
        <f>K10697</f>
        <v>220973.16</v>
      </c>
    </row>
    <row r="10699" spans="1:21" ht="11.25" customHeight="1" x14ac:dyDescent="0.2">
      <c r="A10699" s="221">
        <v>2026</v>
      </c>
      <c r="B10699" s="221">
        <v>1</v>
      </c>
      <c r="C10699" s="221">
        <v>1</v>
      </c>
      <c r="D10699" s="231">
        <f t="shared" si="1235"/>
        <v>46023</v>
      </c>
      <c r="E10699" s="233">
        <f t="shared" si="1234"/>
        <v>46023</v>
      </c>
      <c r="F10699" s="478" t="s">
        <v>1975</v>
      </c>
      <c r="G10699" s="222" t="s">
        <v>1111</v>
      </c>
      <c r="H10699" s="223"/>
      <c r="I10699" s="223"/>
      <c r="J10699" s="224" t="s">
        <v>63</v>
      </c>
      <c r="K10699" s="225">
        <v>3345</v>
      </c>
      <c r="L10699" s="225"/>
    </row>
    <row r="10700" spans="1:21" ht="11.25" customHeight="1" x14ac:dyDescent="0.2">
      <c r="A10700" s="226">
        <v>2026</v>
      </c>
      <c r="B10700" s="226">
        <v>1</v>
      </c>
      <c r="C10700" s="226">
        <v>1</v>
      </c>
      <c r="D10700" s="232">
        <f t="shared" si="1235"/>
        <v>46023</v>
      </c>
      <c r="E10700" s="234">
        <f t="shared" si="1234"/>
        <v>46023</v>
      </c>
      <c r="F10700" s="479"/>
      <c r="G10700" s="227" t="s">
        <v>1111</v>
      </c>
      <c r="H10700" s="228"/>
      <c r="I10700" s="228"/>
      <c r="J10700" s="229" t="s">
        <v>55</v>
      </c>
      <c r="K10700" s="230"/>
      <c r="L10700" s="230">
        <f>K10699</f>
        <v>3345</v>
      </c>
    </row>
    <row r="10701" spans="1:21" ht="11.25" customHeight="1" x14ac:dyDescent="0.2">
      <c r="A10701" s="221">
        <v>2026</v>
      </c>
      <c r="B10701" s="221">
        <v>1</v>
      </c>
      <c r="C10701" s="221">
        <v>1</v>
      </c>
      <c r="D10701" s="231">
        <f t="shared" si="1235"/>
        <v>46023</v>
      </c>
      <c r="E10701" s="233">
        <f t="shared" si="1234"/>
        <v>46023</v>
      </c>
      <c r="F10701" s="478" t="s">
        <v>1975</v>
      </c>
      <c r="G10701" s="222" t="s">
        <v>1111</v>
      </c>
      <c r="H10701" s="223"/>
      <c r="I10701" s="223"/>
      <c r="J10701" s="224" t="s">
        <v>63</v>
      </c>
      <c r="K10701" s="225">
        <v>355</v>
      </c>
      <c r="L10701" s="225"/>
    </row>
    <row r="10702" spans="1:21" ht="11.25" customHeight="1" x14ac:dyDescent="0.2">
      <c r="A10702" s="226">
        <v>2026</v>
      </c>
      <c r="B10702" s="226">
        <v>1</v>
      </c>
      <c r="C10702" s="226">
        <v>1</v>
      </c>
      <c r="D10702" s="232">
        <f t="shared" si="1235"/>
        <v>46023</v>
      </c>
      <c r="E10702" s="234">
        <f t="shared" si="1234"/>
        <v>46023</v>
      </c>
      <c r="F10702" s="479"/>
      <c r="G10702" s="227" t="s">
        <v>1111</v>
      </c>
      <c r="H10702" s="228"/>
      <c r="I10702" s="228"/>
      <c r="J10702" s="229" t="s">
        <v>55</v>
      </c>
      <c r="K10702" s="230"/>
      <c r="L10702" s="230">
        <f>K10701</f>
        <v>355</v>
      </c>
    </row>
    <row r="10703" spans="1:21" ht="11.25" customHeight="1" x14ac:dyDescent="0.2">
      <c r="A10703" s="221">
        <v>2026</v>
      </c>
      <c r="B10703" s="221">
        <v>1</v>
      </c>
      <c r="C10703" s="221">
        <v>1</v>
      </c>
      <c r="D10703" s="231">
        <f t="shared" si="1235"/>
        <v>46023</v>
      </c>
      <c r="E10703" s="233">
        <f t="shared" si="1234"/>
        <v>46023</v>
      </c>
      <c r="F10703" s="478" t="s">
        <v>1803</v>
      </c>
      <c r="G10703" s="222" t="s">
        <v>1111</v>
      </c>
      <c r="H10703" s="223"/>
      <c r="I10703" s="223"/>
      <c r="J10703" s="165" t="s">
        <v>55</v>
      </c>
      <c r="K10703" s="225">
        <v>115000</v>
      </c>
      <c r="L10703" s="225"/>
    </row>
    <row r="10704" spans="1:21" ht="11.25" customHeight="1" x14ac:dyDescent="0.2">
      <c r="A10704" s="226">
        <v>2026</v>
      </c>
      <c r="B10704" s="226">
        <v>1</v>
      </c>
      <c r="C10704" s="226">
        <v>1</v>
      </c>
      <c r="D10704" s="232">
        <f t="shared" si="1235"/>
        <v>46023</v>
      </c>
      <c r="E10704" s="234">
        <f t="shared" si="1234"/>
        <v>46023</v>
      </c>
      <c r="F10704" s="479"/>
      <c r="G10704" s="227" t="s">
        <v>1111</v>
      </c>
      <c r="H10704" s="228"/>
      <c r="I10704" s="228"/>
      <c r="J10704" s="229" t="s">
        <v>131</v>
      </c>
      <c r="K10704" s="230"/>
      <c r="L10704" s="230">
        <v>115000</v>
      </c>
    </row>
    <row r="10705" spans="1:14" ht="11.25" customHeight="1" x14ac:dyDescent="0.2">
      <c r="A10705" s="221">
        <v>2026</v>
      </c>
      <c r="B10705" s="221">
        <v>1</v>
      </c>
      <c r="C10705" s="221">
        <v>1</v>
      </c>
      <c r="D10705" s="231">
        <f t="shared" si="1235"/>
        <v>46023</v>
      </c>
      <c r="E10705" s="233">
        <f t="shared" si="1234"/>
        <v>46023</v>
      </c>
      <c r="F10705" s="478" t="s">
        <v>1132</v>
      </c>
      <c r="G10705" s="222" t="s">
        <v>1111</v>
      </c>
      <c r="H10705" s="223"/>
      <c r="I10705" s="223"/>
      <c r="J10705" s="224" t="s">
        <v>55</v>
      </c>
      <c r="K10705" s="167">
        <v>50000</v>
      </c>
      <c r="L10705" s="225"/>
    </row>
    <row r="10706" spans="1:14" ht="11.25" customHeight="1" x14ac:dyDescent="0.2">
      <c r="A10706" s="164">
        <v>2026</v>
      </c>
      <c r="B10706" s="164">
        <v>1</v>
      </c>
      <c r="C10706" s="164">
        <v>1</v>
      </c>
      <c r="D10706" s="156">
        <f t="shared" si="1235"/>
        <v>46023</v>
      </c>
      <c r="E10706" s="235">
        <f t="shared" si="1234"/>
        <v>46023</v>
      </c>
      <c r="F10706" s="480"/>
      <c r="G10706" s="208" t="s">
        <v>1111</v>
      </c>
      <c r="J10706" s="165" t="s">
        <v>14</v>
      </c>
      <c r="L10706" s="205">
        <v>42200</v>
      </c>
    </row>
    <row r="10707" spans="1:14" ht="11.25" customHeight="1" x14ac:dyDescent="0.2">
      <c r="A10707" s="226">
        <v>2026</v>
      </c>
      <c r="B10707" s="226">
        <v>1</v>
      </c>
      <c r="C10707" s="226">
        <v>1</v>
      </c>
      <c r="D10707" s="232">
        <f t="shared" si="1235"/>
        <v>46023</v>
      </c>
      <c r="E10707" s="234">
        <f t="shared" si="1234"/>
        <v>46023</v>
      </c>
      <c r="F10707" s="479"/>
      <c r="G10707" s="227" t="s">
        <v>1111</v>
      </c>
      <c r="H10707" s="228"/>
      <c r="I10707" s="228"/>
      <c r="J10707" s="229" t="s">
        <v>1112</v>
      </c>
      <c r="K10707" s="230"/>
      <c r="L10707" s="230">
        <v>7800</v>
      </c>
    </row>
    <row r="10708" spans="1:14" ht="11.25" customHeight="1" x14ac:dyDescent="0.2">
      <c r="A10708" s="221">
        <v>2026</v>
      </c>
      <c r="B10708" s="221">
        <v>1</v>
      </c>
      <c r="C10708" s="221">
        <v>1</v>
      </c>
      <c r="D10708" s="221">
        <f t="shared" si="1235"/>
        <v>46023</v>
      </c>
      <c r="E10708" s="233">
        <f t="shared" si="1234"/>
        <v>46023</v>
      </c>
      <c r="F10708" s="478" t="s">
        <v>1937</v>
      </c>
      <c r="G10708" s="222" t="s">
        <v>86</v>
      </c>
      <c r="H10708" s="222"/>
      <c r="I10708" s="223"/>
      <c r="J10708" s="224" t="s">
        <v>80</v>
      </c>
      <c r="K10708" s="225">
        <v>739309.5</v>
      </c>
      <c r="L10708" s="225"/>
      <c r="N10708" s="263"/>
    </row>
    <row r="10709" spans="1:14" ht="11.25" customHeight="1" x14ac:dyDescent="0.2">
      <c r="A10709" s="164">
        <v>2026</v>
      </c>
      <c r="B10709" s="164">
        <v>1</v>
      </c>
      <c r="C10709" s="164">
        <v>1</v>
      </c>
      <c r="D10709" s="164">
        <f t="shared" si="1235"/>
        <v>46023</v>
      </c>
      <c r="E10709" s="235">
        <f t="shared" si="1234"/>
        <v>46023</v>
      </c>
      <c r="F10709" s="480"/>
      <c r="G10709" s="208" t="s">
        <v>86</v>
      </c>
      <c r="H10709" s="208"/>
      <c r="J10709" s="165" t="s">
        <v>960</v>
      </c>
      <c r="K10709" s="205">
        <v>3761.66</v>
      </c>
      <c r="L10709" s="205"/>
      <c r="M10709" s="263"/>
      <c r="N10709" s="263"/>
    </row>
    <row r="10710" spans="1:14" ht="11.25" customHeight="1" x14ac:dyDescent="0.2">
      <c r="A10710" s="164">
        <v>2026</v>
      </c>
      <c r="B10710" s="164">
        <v>1</v>
      </c>
      <c r="C10710" s="164">
        <v>1</v>
      </c>
      <c r="D10710" s="164">
        <f t="shared" si="1235"/>
        <v>46023</v>
      </c>
      <c r="E10710" s="235">
        <f t="shared" si="1234"/>
        <v>46023</v>
      </c>
      <c r="F10710" s="480"/>
      <c r="G10710" s="208" t="s">
        <v>86</v>
      </c>
      <c r="H10710" s="208"/>
      <c r="J10710" s="165" t="s">
        <v>199</v>
      </c>
      <c r="K10710" s="263">
        <v>607428.84</v>
      </c>
      <c r="L10710" s="205"/>
      <c r="M10710" s="263"/>
      <c r="N10710" s="263"/>
    </row>
    <row r="10711" spans="1:14" ht="11.25" customHeight="1" x14ac:dyDescent="0.2">
      <c r="A10711" s="164">
        <v>2026</v>
      </c>
      <c r="B10711" s="164">
        <v>1</v>
      </c>
      <c r="C10711" s="164">
        <v>1</v>
      </c>
      <c r="D10711" s="164">
        <f t="shared" si="1235"/>
        <v>46023</v>
      </c>
      <c r="E10711" s="235">
        <f t="shared" si="1234"/>
        <v>46023</v>
      </c>
      <c r="F10711" s="480"/>
      <c r="G10711" s="208" t="s">
        <v>86</v>
      </c>
      <c r="H10711" s="208"/>
      <c r="J10711" s="165" t="s">
        <v>200</v>
      </c>
      <c r="K10711" s="205"/>
      <c r="L10711" s="205">
        <v>82970.23</v>
      </c>
      <c r="M10711" s="263"/>
      <c r="N10711" s="263"/>
    </row>
    <row r="10712" spans="1:14" ht="11.25" customHeight="1" x14ac:dyDescent="0.2">
      <c r="A10712" s="226">
        <v>2026</v>
      </c>
      <c r="B10712" s="226">
        <v>1</v>
      </c>
      <c r="C10712" s="226">
        <v>1</v>
      </c>
      <c r="D10712" s="226">
        <f t="shared" si="1235"/>
        <v>46023</v>
      </c>
      <c r="E10712" s="234">
        <f t="shared" si="1234"/>
        <v>46023</v>
      </c>
      <c r="F10712" s="479"/>
      <c r="G10712" s="227" t="s">
        <v>86</v>
      </c>
      <c r="H10712" s="228"/>
      <c r="I10712" s="228"/>
      <c r="J10712" s="229" t="s">
        <v>80</v>
      </c>
      <c r="K10712" s="230"/>
      <c r="L10712" s="230">
        <v>1267529.77</v>
      </c>
      <c r="M10712" s="263"/>
      <c r="N10712" s="263"/>
    </row>
    <row r="10713" spans="1:14" ht="11.25" customHeight="1" x14ac:dyDescent="0.2">
      <c r="A10713" s="280">
        <v>2026</v>
      </c>
      <c r="B10713" s="280">
        <v>1</v>
      </c>
      <c r="C10713" s="280">
        <v>1</v>
      </c>
      <c r="D10713" s="281">
        <f t="shared" si="1235"/>
        <v>46023</v>
      </c>
      <c r="E10713" s="282">
        <f t="shared" si="1234"/>
        <v>46023</v>
      </c>
      <c r="F10713" s="472" t="s">
        <v>1744</v>
      </c>
      <c r="G10713" s="283" t="s">
        <v>86</v>
      </c>
      <c r="H10713" s="284"/>
      <c r="I10713" s="284"/>
      <c r="J10713" s="285" t="s">
        <v>131</v>
      </c>
      <c r="K10713" s="286">
        <v>2875</v>
      </c>
      <c r="L10713" s="286"/>
      <c r="M10713" s="401"/>
    </row>
    <row r="10714" spans="1:14" ht="11.25" customHeight="1" x14ac:dyDescent="0.2">
      <c r="A10714" s="287">
        <v>2026</v>
      </c>
      <c r="B10714" s="287">
        <v>1</v>
      </c>
      <c r="C10714" s="287">
        <v>1</v>
      </c>
      <c r="D10714" s="288">
        <f t="shared" si="1235"/>
        <v>46023</v>
      </c>
      <c r="E10714" s="289">
        <f t="shared" si="1234"/>
        <v>46023</v>
      </c>
      <c r="F10714" s="473"/>
      <c r="G10714" s="290" t="s">
        <v>86</v>
      </c>
      <c r="H10714" s="291"/>
      <c r="I10714" s="291"/>
      <c r="J10714" s="292" t="s">
        <v>1469</v>
      </c>
      <c r="K10714" s="293"/>
      <c r="L10714" s="293">
        <f>K10713</f>
        <v>2875</v>
      </c>
    </row>
    <row r="10715" spans="1:14" ht="11.25" customHeight="1" x14ac:dyDescent="0.2">
      <c r="A10715" s="280">
        <v>2026</v>
      </c>
      <c r="B10715" s="280">
        <v>1</v>
      </c>
      <c r="C10715" s="280">
        <v>1</v>
      </c>
      <c r="D10715" s="281">
        <f t="shared" si="1235"/>
        <v>46023</v>
      </c>
      <c r="E10715" s="282">
        <f t="shared" si="1234"/>
        <v>46023</v>
      </c>
      <c r="F10715" s="472" t="s">
        <v>1584</v>
      </c>
      <c r="G10715" s="283" t="s">
        <v>86</v>
      </c>
      <c r="H10715" s="284"/>
      <c r="I10715" s="284"/>
      <c r="J10715" s="285" t="s">
        <v>131</v>
      </c>
      <c r="K10715" s="286">
        <v>1277.7777777777778</v>
      </c>
      <c r="L10715" s="286"/>
      <c r="M10715" s="401"/>
    </row>
    <row r="10716" spans="1:14" ht="11.25" customHeight="1" x14ac:dyDescent="0.2">
      <c r="A10716" s="287">
        <v>2026</v>
      </c>
      <c r="B10716" s="287">
        <v>1</v>
      </c>
      <c r="C10716" s="287">
        <v>1</v>
      </c>
      <c r="D10716" s="288">
        <f t="shared" si="1235"/>
        <v>46023</v>
      </c>
      <c r="E10716" s="289">
        <f t="shared" si="1234"/>
        <v>46023</v>
      </c>
      <c r="F10716" s="473"/>
      <c r="G10716" s="290" t="s">
        <v>86</v>
      </c>
      <c r="H10716" s="291"/>
      <c r="I10716" s="291"/>
      <c r="J10716" s="292" t="s">
        <v>1469</v>
      </c>
      <c r="K10716" s="293"/>
      <c r="L10716" s="293">
        <f>K10715</f>
        <v>1277.7777777777778</v>
      </c>
    </row>
    <row r="10717" spans="1:14" ht="11.25" customHeight="1" x14ac:dyDescent="0.2">
      <c r="A10717" s="280">
        <v>2026</v>
      </c>
      <c r="B10717" s="280">
        <v>1</v>
      </c>
      <c r="C10717" s="280">
        <v>1</v>
      </c>
      <c r="D10717" s="281">
        <f t="shared" si="1235"/>
        <v>46023</v>
      </c>
      <c r="E10717" s="282">
        <f t="shared" si="1234"/>
        <v>46023</v>
      </c>
      <c r="F10717" s="472" t="s">
        <v>1955</v>
      </c>
      <c r="G10717" s="283" t="s">
        <v>86</v>
      </c>
      <c r="H10717" s="284"/>
      <c r="I10717" s="284"/>
      <c r="J10717" s="285" t="s">
        <v>1978</v>
      </c>
      <c r="K10717" s="286">
        <v>6185.4395604395604</v>
      </c>
      <c r="L10717" s="286"/>
      <c r="M10717" s="401"/>
    </row>
    <row r="10718" spans="1:14" ht="11.25" customHeight="1" x14ac:dyDescent="0.2">
      <c r="A10718" s="287">
        <v>2026</v>
      </c>
      <c r="B10718" s="287">
        <v>1</v>
      </c>
      <c r="C10718" s="287">
        <v>1</v>
      </c>
      <c r="D10718" s="288">
        <f t="shared" si="1235"/>
        <v>46023</v>
      </c>
      <c r="E10718" s="289">
        <f t="shared" si="1234"/>
        <v>46023</v>
      </c>
      <c r="F10718" s="473"/>
      <c r="G10718" s="290" t="s">
        <v>86</v>
      </c>
      <c r="H10718" s="291"/>
      <c r="I10718" s="291"/>
      <c r="J10718" s="292" t="s">
        <v>1955</v>
      </c>
      <c r="K10718" s="293"/>
      <c r="L10718" s="293">
        <f>K10717</f>
        <v>6185.4395604395604</v>
      </c>
    </row>
    <row r="10719" spans="1:14" ht="11.25" customHeight="1" x14ac:dyDescent="0.2">
      <c r="A10719" s="341">
        <v>2026</v>
      </c>
      <c r="B10719" s="341">
        <v>1</v>
      </c>
      <c r="C10719" s="341">
        <v>1</v>
      </c>
      <c r="D10719" s="328">
        <f t="shared" si="1235"/>
        <v>46023</v>
      </c>
      <c r="E10719" s="329">
        <f t="shared" si="1234"/>
        <v>46023</v>
      </c>
      <c r="F10719" s="474" t="s">
        <v>1767</v>
      </c>
      <c r="G10719" s="330" t="s">
        <v>86</v>
      </c>
      <c r="H10719" s="332"/>
      <c r="I10719" s="332"/>
      <c r="J10719" s="342" t="s">
        <v>67</v>
      </c>
      <c r="K10719" s="343">
        <v>188.62644888888889</v>
      </c>
      <c r="L10719" s="343"/>
    </row>
    <row r="10720" spans="1:14" ht="11.25" customHeight="1" x14ac:dyDescent="0.2">
      <c r="A10720" s="344">
        <v>2026</v>
      </c>
      <c r="B10720" s="344">
        <v>1</v>
      </c>
      <c r="C10720" s="344">
        <v>1</v>
      </c>
      <c r="D10720" s="337">
        <f t="shared" si="1235"/>
        <v>46023</v>
      </c>
      <c r="E10720" s="338">
        <f t="shared" si="1234"/>
        <v>46023</v>
      </c>
      <c r="F10720" s="475"/>
      <c r="G10720" s="339" t="s">
        <v>86</v>
      </c>
      <c r="H10720" s="340"/>
      <c r="I10720" s="340"/>
      <c r="J10720" s="345" t="s">
        <v>1974</v>
      </c>
      <c r="K10720" s="346"/>
      <c r="L10720" s="346">
        <f>K10719</f>
        <v>188.62644888888889</v>
      </c>
    </row>
    <row r="10721" spans="1:14" ht="11.25" customHeight="1" x14ac:dyDescent="0.2">
      <c r="A10721" s="236">
        <v>2026</v>
      </c>
      <c r="B10721" s="236">
        <v>1</v>
      </c>
      <c r="C10721" s="236">
        <v>1</v>
      </c>
      <c r="D10721" s="237">
        <f t="shared" si="1235"/>
        <v>46023</v>
      </c>
      <c r="E10721" s="238">
        <f t="shared" si="1234"/>
        <v>46023</v>
      </c>
      <c r="F10721" s="476" t="s">
        <v>1118</v>
      </c>
      <c r="G10721" s="239" t="s">
        <v>86</v>
      </c>
      <c r="H10721" s="239"/>
      <c r="I10721" s="240"/>
      <c r="J10721" s="241" t="s">
        <v>98</v>
      </c>
      <c r="K10721" s="242">
        <v>1928906.8300000131</v>
      </c>
      <c r="L10721" s="242"/>
    </row>
    <row r="10722" spans="1:14" ht="11.25" customHeight="1" x14ac:dyDescent="0.2">
      <c r="A10722" s="243">
        <v>2026</v>
      </c>
      <c r="B10722" s="243">
        <v>1</v>
      </c>
      <c r="C10722" s="243">
        <v>1</v>
      </c>
      <c r="D10722" s="248">
        <f t="shared" si="1235"/>
        <v>46023</v>
      </c>
      <c r="E10722" s="249">
        <f t="shared" si="1234"/>
        <v>46023</v>
      </c>
      <c r="F10722" s="477"/>
      <c r="G10722" s="244" t="s">
        <v>86</v>
      </c>
      <c r="H10722" s="244"/>
      <c r="I10722" s="245"/>
      <c r="J10722" s="246" t="s">
        <v>82</v>
      </c>
      <c r="K10722" s="247"/>
      <c r="L10722" s="247">
        <f>K10721</f>
        <v>1928906.8300000131</v>
      </c>
    </row>
    <row r="10723" spans="1:14" ht="11.25" customHeight="1" x14ac:dyDescent="0.2">
      <c r="A10723" s="236">
        <v>2026</v>
      </c>
      <c r="B10723" s="236">
        <v>1</v>
      </c>
      <c r="C10723" s="236">
        <v>1</v>
      </c>
      <c r="D10723" s="237">
        <f t="shared" si="1235"/>
        <v>46023</v>
      </c>
      <c r="E10723" s="238">
        <f t="shared" si="1234"/>
        <v>46023</v>
      </c>
      <c r="F10723" s="476" t="s">
        <v>1999</v>
      </c>
      <c r="G10723" s="239" t="s">
        <v>86</v>
      </c>
      <c r="H10723" s="239"/>
      <c r="I10723" s="240"/>
      <c r="J10723" s="241" t="s">
        <v>87</v>
      </c>
      <c r="K10723" s="242">
        <v>392.46467817896388</v>
      </c>
      <c r="L10723" s="242"/>
      <c r="M10723" s="401"/>
    </row>
    <row r="10724" spans="1:14" ht="11.25" customHeight="1" x14ac:dyDescent="0.2">
      <c r="A10724" s="243">
        <v>2026</v>
      </c>
      <c r="B10724" s="243">
        <v>1</v>
      </c>
      <c r="C10724" s="243">
        <v>1</v>
      </c>
      <c r="D10724" s="248">
        <f t="shared" si="1235"/>
        <v>46023</v>
      </c>
      <c r="E10724" s="249">
        <f t="shared" si="1234"/>
        <v>46023</v>
      </c>
      <c r="F10724" s="477"/>
      <c r="G10724" s="244" t="s">
        <v>86</v>
      </c>
      <c r="H10724" s="244"/>
      <c r="I10724" s="245"/>
      <c r="J10724" s="246" t="s">
        <v>64</v>
      </c>
      <c r="K10724" s="247"/>
      <c r="L10724" s="247">
        <f>K10723</f>
        <v>392.46467817896388</v>
      </c>
    </row>
    <row r="10725" spans="1:14" ht="11.25" customHeight="1" x14ac:dyDescent="0.2">
      <c r="A10725" s="236">
        <v>2026</v>
      </c>
      <c r="B10725" s="236">
        <v>1</v>
      </c>
      <c r="C10725" s="236">
        <v>1</v>
      </c>
      <c r="D10725" s="237">
        <f t="shared" si="1235"/>
        <v>46023</v>
      </c>
      <c r="E10725" s="238">
        <f t="shared" si="1234"/>
        <v>46023</v>
      </c>
      <c r="F10725" s="476" t="s">
        <v>2000</v>
      </c>
      <c r="G10725" s="239" t="s">
        <v>86</v>
      </c>
      <c r="H10725" s="239"/>
      <c r="I10725" s="240"/>
      <c r="J10725" s="241" t="s">
        <v>89</v>
      </c>
      <c r="K10725" s="242">
        <f>M10725</f>
        <v>13099.509337686406</v>
      </c>
      <c r="L10725" s="242"/>
      <c r="M10725" s="448">
        <v>13099.509337686406</v>
      </c>
    </row>
    <row r="10726" spans="1:14" ht="11.25" customHeight="1" x14ac:dyDescent="0.2">
      <c r="A10726" s="243">
        <v>2026</v>
      </c>
      <c r="B10726" s="243">
        <v>1</v>
      </c>
      <c r="C10726" s="243">
        <v>1</v>
      </c>
      <c r="D10726" s="248">
        <f t="shared" si="1235"/>
        <v>46023</v>
      </c>
      <c r="E10726" s="249">
        <f t="shared" si="1234"/>
        <v>46023</v>
      </c>
      <c r="F10726" s="477"/>
      <c r="G10726" s="244" t="s">
        <v>86</v>
      </c>
      <c r="H10726" s="244"/>
      <c r="I10726" s="245"/>
      <c r="J10726" s="246" t="s">
        <v>50</v>
      </c>
      <c r="K10726" s="247"/>
      <c r="L10726" s="247">
        <f>K10725</f>
        <v>13099.509337686406</v>
      </c>
      <c r="M10726" s="448">
        <v>620.63480754366094</v>
      </c>
    </row>
    <row r="10727" spans="1:14" ht="11.25" customHeight="1" x14ac:dyDescent="0.2">
      <c r="A10727" s="236">
        <v>2026</v>
      </c>
      <c r="B10727" s="236">
        <v>1</v>
      </c>
      <c r="C10727" s="236">
        <v>1</v>
      </c>
      <c r="D10727" s="237">
        <f t="shared" si="1235"/>
        <v>46023</v>
      </c>
      <c r="E10727" s="238">
        <f t="shared" si="1234"/>
        <v>46023</v>
      </c>
      <c r="F10727" s="476" t="s">
        <v>2001</v>
      </c>
      <c r="G10727" s="239" t="s">
        <v>86</v>
      </c>
      <c r="H10727" s="239"/>
      <c r="I10727" s="240"/>
      <c r="J10727" s="241" t="s">
        <v>91</v>
      </c>
      <c r="K10727" s="242">
        <f>M10726</f>
        <v>620.63480754366094</v>
      </c>
      <c r="L10727" s="242"/>
    </row>
    <row r="10728" spans="1:14" ht="11.25" customHeight="1" x14ac:dyDescent="0.2">
      <c r="A10728" s="243">
        <v>2026</v>
      </c>
      <c r="B10728" s="243">
        <v>1</v>
      </c>
      <c r="C10728" s="243">
        <v>1</v>
      </c>
      <c r="D10728" s="248">
        <f t="shared" si="1235"/>
        <v>46023</v>
      </c>
      <c r="E10728" s="249">
        <f t="shared" si="1234"/>
        <v>46023</v>
      </c>
      <c r="F10728" s="477"/>
      <c r="G10728" s="244" t="s">
        <v>86</v>
      </c>
      <c r="H10728" s="244"/>
      <c r="I10728" s="245"/>
      <c r="J10728" s="246" t="s">
        <v>51</v>
      </c>
      <c r="K10728" s="247"/>
      <c r="L10728" s="247">
        <f>K10727</f>
        <v>620.63480754366094</v>
      </c>
    </row>
    <row r="10729" spans="1:14" ht="11.25" customHeight="1" x14ac:dyDescent="0.2">
      <c r="A10729" s="221">
        <v>2026</v>
      </c>
      <c r="B10729" s="221">
        <v>1</v>
      </c>
      <c r="C10729" s="221">
        <v>4</v>
      </c>
      <c r="D10729" s="231">
        <f t="shared" si="1235"/>
        <v>46026</v>
      </c>
      <c r="E10729" s="233">
        <f t="shared" si="1234"/>
        <v>46026</v>
      </c>
      <c r="F10729" s="478" t="s">
        <v>1940</v>
      </c>
      <c r="G10729" s="222" t="s">
        <v>1111</v>
      </c>
      <c r="H10729" s="223"/>
      <c r="I10729" s="223"/>
      <c r="J10729" s="224" t="s">
        <v>961</v>
      </c>
      <c r="K10729" s="225">
        <v>377790.15</v>
      </c>
      <c r="L10729" s="225"/>
    </row>
    <row r="10730" spans="1:14" ht="11.25" customHeight="1" x14ac:dyDescent="0.2">
      <c r="A10730" s="226">
        <v>2026</v>
      </c>
      <c r="B10730" s="226">
        <v>1</v>
      </c>
      <c r="C10730" s="226">
        <v>4</v>
      </c>
      <c r="D10730" s="232">
        <f t="shared" si="1235"/>
        <v>46026</v>
      </c>
      <c r="E10730" s="234">
        <f t="shared" si="1234"/>
        <v>46026</v>
      </c>
      <c r="F10730" s="479"/>
      <c r="G10730" s="227" t="s">
        <v>1111</v>
      </c>
      <c r="H10730" s="228"/>
      <c r="I10730" s="228"/>
      <c r="J10730" s="229" t="s">
        <v>55</v>
      </c>
      <c r="K10730" s="230"/>
      <c r="L10730" s="230">
        <f>K10729</f>
        <v>377790.15</v>
      </c>
    </row>
    <row r="10731" spans="1:14" ht="11.25" customHeight="1" x14ac:dyDescent="0.2">
      <c r="A10731" s="221">
        <v>2026</v>
      </c>
      <c r="B10731" s="221">
        <v>1</v>
      </c>
      <c r="C10731" s="221">
        <v>4</v>
      </c>
      <c r="D10731" s="231">
        <f t="shared" si="1235"/>
        <v>46026</v>
      </c>
      <c r="E10731" s="233">
        <f t="shared" si="1234"/>
        <v>46026</v>
      </c>
      <c r="F10731" s="478" t="s">
        <v>1945</v>
      </c>
      <c r="G10731" s="222" t="s">
        <v>1111</v>
      </c>
      <c r="H10731" s="223"/>
      <c r="I10731" s="223"/>
      <c r="J10731" s="224" t="s">
        <v>55</v>
      </c>
      <c r="K10731" s="225">
        <v>756526.57</v>
      </c>
      <c r="L10731" s="225"/>
    </row>
    <row r="10732" spans="1:14" ht="11.25" customHeight="1" x14ac:dyDescent="0.2">
      <c r="A10732" s="226">
        <v>2026</v>
      </c>
      <c r="B10732" s="226">
        <v>1</v>
      </c>
      <c r="C10732" s="226">
        <v>4</v>
      </c>
      <c r="D10732" s="232">
        <f t="shared" si="1235"/>
        <v>46026</v>
      </c>
      <c r="E10732" s="234">
        <f t="shared" si="1234"/>
        <v>46026</v>
      </c>
      <c r="F10732" s="479"/>
      <c r="G10732" s="227" t="s">
        <v>1111</v>
      </c>
      <c r="H10732" s="228"/>
      <c r="I10732" s="228"/>
      <c r="J10732" s="229" t="s">
        <v>199</v>
      </c>
      <c r="K10732" s="230"/>
      <c r="L10732" s="230">
        <f>K10731</f>
        <v>756526.57</v>
      </c>
    </row>
    <row r="10733" spans="1:14" ht="11.25" customHeight="1" x14ac:dyDescent="0.2">
      <c r="A10733" s="221">
        <v>2026</v>
      </c>
      <c r="B10733" s="221">
        <v>1</v>
      </c>
      <c r="C10733" s="221">
        <v>4</v>
      </c>
      <c r="D10733" s="231">
        <f t="shared" si="1235"/>
        <v>46026</v>
      </c>
      <c r="E10733" s="233">
        <f t="shared" si="1234"/>
        <v>46026</v>
      </c>
      <c r="F10733" s="478" t="s">
        <v>1605</v>
      </c>
      <c r="G10733" s="222" t="s">
        <v>1111</v>
      </c>
      <c r="H10733" s="223"/>
      <c r="I10733" s="223"/>
      <c r="J10733" s="224" t="s">
        <v>55</v>
      </c>
      <c r="K10733" s="167">
        <v>100000</v>
      </c>
      <c r="L10733" s="225"/>
    </row>
    <row r="10734" spans="1:14" ht="11.25" customHeight="1" x14ac:dyDescent="0.2">
      <c r="A10734" s="164">
        <v>2026</v>
      </c>
      <c r="B10734" s="164">
        <v>1</v>
      </c>
      <c r="C10734" s="164">
        <v>4</v>
      </c>
      <c r="D10734" s="156">
        <f t="shared" si="1235"/>
        <v>46026</v>
      </c>
      <c r="E10734" s="235">
        <f t="shared" si="1234"/>
        <v>46026</v>
      </c>
      <c r="F10734" s="480"/>
      <c r="G10734" s="208" t="s">
        <v>1111</v>
      </c>
      <c r="J10734" s="165" t="s">
        <v>14</v>
      </c>
      <c r="L10734" s="205">
        <v>86170</v>
      </c>
    </row>
    <row r="10735" spans="1:14" ht="11.25" customHeight="1" x14ac:dyDescent="0.2">
      <c r="A10735" s="226">
        <v>2026</v>
      </c>
      <c r="B10735" s="226">
        <v>1</v>
      </c>
      <c r="C10735" s="226">
        <v>4</v>
      </c>
      <c r="D10735" s="232">
        <f t="shared" si="1235"/>
        <v>46026</v>
      </c>
      <c r="E10735" s="234">
        <f t="shared" si="1234"/>
        <v>46026</v>
      </c>
      <c r="F10735" s="479"/>
      <c r="G10735" s="227" t="s">
        <v>1111</v>
      </c>
      <c r="H10735" s="228"/>
      <c r="I10735" s="228"/>
      <c r="J10735" s="229" t="s">
        <v>1112</v>
      </c>
      <c r="K10735" s="230"/>
      <c r="L10735" s="230">
        <v>13830</v>
      </c>
    </row>
    <row r="10736" spans="1:14" ht="11.25" customHeight="1" x14ac:dyDescent="0.2">
      <c r="A10736" s="221">
        <v>2026</v>
      </c>
      <c r="B10736" s="221">
        <v>1</v>
      </c>
      <c r="C10736" s="221">
        <v>4</v>
      </c>
      <c r="D10736" s="221">
        <f t="shared" si="1235"/>
        <v>46026</v>
      </c>
      <c r="E10736" s="233">
        <f t="shared" si="1234"/>
        <v>46026</v>
      </c>
      <c r="F10736" s="478" t="s">
        <v>1937</v>
      </c>
      <c r="G10736" s="222" t="s">
        <v>86</v>
      </c>
      <c r="H10736" s="222"/>
      <c r="I10736" s="223"/>
      <c r="J10736" s="224" t="s">
        <v>80</v>
      </c>
      <c r="K10736" s="225">
        <v>3623677</v>
      </c>
      <c r="L10736" s="225"/>
      <c r="N10736" s="263"/>
    </row>
    <row r="10737" spans="1:14" ht="11.25" customHeight="1" x14ac:dyDescent="0.2">
      <c r="A10737" s="164">
        <v>2026</v>
      </c>
      <c r="B10737" s="164">
        <v>1</v>
      </c>
      <c r="C10737" s="164">
        <v>4</v>
      </c>
      <c r="D10737" s="164">
        <f t="shared" si="1235"/>
        <v>46026</v>
      </c>
      <c r="E10737" s="235">
        <f t="shared" si="1234"/>
        <v>46026</v>
      </c>
      <c r="F10737" s="480"/>
      <c r="G10737" s="208" t="s">
        <v>86</v>
      </c>
      <c r="H10737" s="208"/>
      <c r="J10737" s="165" t="s">
        <v>960</v>
      </c>
      <c r="K10737" s="205">
        <v>12690.65</v>
      </c>
      <c r="L10737" s="205"/>
      <c r="M10737" s="263"/>
      <c r="N10737" s="263"/>
    </row>
    <row r="10738" spans="1:14" ht="11.25" customHeight="1" x14ac:dyDescent="0.2">
      <c r="A10738" s="164">
        <v>2026</v>
      </c>
      <c r="B10738" s="164">
        <v>1</v>
      </c>
      <c r="C10738" s="164">
        <v>4</v>
      </c>
      <c r="D10738" s="164">
        <f t="shared" si="1235"/>
        <v>46026</v>
      </c>
      <c r="E10738" s="235">
        <f t="shared" si="1234"/>
        <v>46026</v>
      </c>
      <c r="F10738" s="480"/>
      <c r="G10738" s="208" t="s">
        <v>86</v>
      </c>
      <c r="H10738" s="208"/>
      <c r="J10738" s="165" t="s">
        <v>961</v>
      </c>
      <c r="K10738" s="263"/>
      <c r="L10738" s="205">
        <v>209681.05</v>
      </c>
      <c r="M10738" s="263"/>
      <c r="N10738" s="263"/>
    </row>
    <row r="10739" spans="1:14" ht="11.25" customHeight="1" x14ac:dyDescent="0.2">
      <c r="A10739" s="164">
        <v>2026</v>
      </c>
      <c r="B10739" s="164">
        <v>1</v>
      </c>
      <c r="C10739" s="164">
        <v>4</v>
      </c>
      <c r="D10739" s="164">
        <f t="shared" si="1235"/>
        <v>46026</v>
      </c>
      <c r="E10739" s="235">
        <f t="shared" si="1234"/>
        <v>46026</v>
      </c>
      <c r="F10739" s="480"/>
      <c r="G10739" s="208" t="s">
        <v>86</v>
      </c>
      <c r="H10739" s="208"/>
      <c r="J10739" s="165" t="s">
        <v>200</v>
      </c>
      <c r="K10739" s="205"/>
      <c r="L10739" s="205">
        <v>282143.21000000002</v>
      </c>
      <c r="M10739" s="263"/>
      <c r="N10739" s="263"/>
    </row>
    <row r="10740" spans="1:14" ht="11.25" customHeight="1" x14ac:dyDescent="0.2">
      <c r="A10740" s="226">
        <v>2026</v>
      </c>
      <c r="B10740" s="226">
        <v>1</v>
      </c>
      <c r="C10740" s="226">
        <v>4</v>
      </c>
      <c r="D10740" s="226">
        <f t="shared" si="1235"/>
        <v>46026</v>
      </c>
      <c r="E10740" s="234">
        <f t="shared" si="1234"/>
        <v>46026</v>
      </c>
      <c r="F10740" s="479"/>
      <c r="G10740" s="227" t="s">
        <v>86</v>
      </c>
      <c r="H10740" s="228"/>
      <c r="I10740" s="228"/>
      <c r="J10740" s="229" t="s">
        <v>80</v>
      </c>
      <c r="K10740" s="230"/>
      <c r="L10740" s="230">
        <v>3144543.39</v>
      </c>
      <c r="M10740" s="263"/>
      <c r="N10740" s="263"/>
    </row>
    <row r="10741" spans="1:14" ht="11.25" customHeight="1" x14ac:dyDescent="0.2">
      <c r="A10741" s="280">
        <v>2026</v>
      </c>
      <c r="B10741" s="280">
        <v>1</v>
      </c>
      <c r="C10741" s="280">
        <v>4</v>
      </c>
      <c r="D10741" s="281">
        <f t="shared" si="1235"/>
        <v>46026</v>
      </c>
      <c r="E10741" s="282">
        <f t="shared" si="1234"/>
        <v>46026</v>
      </c>
      <c r="F10741" s="472" t="s">
        <v>1744</v>
      </c>
      <c r="G10741" s="283" t="s">
        <v>86</v>
      </c>
      <c r="H10741" s="284"/>
      <c r="I10741" s="284"/>
      <c r="J10741" s="285" t="s">
        <v>131</v>
      </c>
      <c r="K10741" s="286">
        <v>8625</v>
      </c>
      <c r="L10741" s="286"/>
      <c r="M10741" s="401"/>
    </row>
    <row r="10742" spans="1:14" ht="11.25" customHeight="1" x14ac:dyDescent="0.2">
      <c r="A10742" s="287">
        <v>2026</v>
      </c>
      <c r="B10742" s="287">
        <v>1</v>
      </c>
      <c r="C10742" s="287">
        <v>4</v>
      </c>
      <c r="D10742" s="288">
        <f t="shared" si="1235"/>
        <v>46026</v>
      </c>
      <c r="E10742" s="289">
        <f t="shared" si="1234"/>
        <v>46026</v>
      </c>
      <c r="F10742" s="473"/>
      <c r="G10742" s="290" t="s">
        <v>86</v>
      </c>
      <c r="H10742" s="291"/>
      <c r="I10742" s="291"/>
      <c r="J10742" s="292" t="s">
        <v>1469</v>
      </c>
      <c r="K10742" s="293"/>
      <c r="L10742" s="293">
        <f>K10741</f>
        <v>8625</v>
      </c>
    </row>
    <row r="10743" spans="1:14" ht="11.25" customHeight="1" x14ac:dyDescent="0.2">
      <c r="A10743" s="280">
        <v>2026</v>
      </c>
      <c r="B10743" s="280">
        <v>1</v>
      </c>
      <c r="C10743" s="280">
        <v>4</v>
      </c>
      <c r="D10743" s="281">
        <f t="shared" si="1235"/>
        <v>46026</v>
      </c>
      <c r="E10743" s="282">
        <f t="shared" si="1234"/>
        <v>46026</v>
      </c>
      <c r="F10743" s="472" t="s">
        <v>1584</v>
      </c>
      <c r="G10743" s="283" t="s">
        <v>86</v>
      </c>
      <c r="H10743" s="284"/>
      <c r="I10743" s="284"/>
      <c r="J10743" s="285" t="s">
        <v>131</v>
      </c>
      <c r="K10743" s="286">
        <v>3833.3333333333335</v>
      </c>
      <c r="L10743" s="286"/>
      <c r="M10743" s="401"/>
    </row>
    <row r="10744" spans="1:14" ht="11.25" customHeight="1" x14ac:dyDescent="0.2">
      <c r="A10744" s="287">
        <v>2026</v>
      </c>
      <c r="B10744" s="287">
        <v>1</v>
      </c>
      <c r="C10744" s="287">
        <v>4</v>
      </c>
      <c r="D10744" s="288">
        <f t="shared" si="1235"/>
        <v>46026</v>
      </c>
      <c r="E10744" s="289">
        <f t="shared" si="1234"/>
        <v>46026</v>
      </c>
      <c r="F10744" s="473"/>
      <c r="G10744" s="290" t="s">
        <v>86</v>
      </c>
      <c r="H10744" s="291"/>
      <c r="I10744" s="291"/>
      <c r="J10744" s="292" t="s">
        <v>1469</v>
      </c>
      <c r="K10744" s="293"/>
      <c r="L10744" s="293">
        <f>K10743</f>
        <v>3833.3333333333335</v>
      </c>
    </row>
    <row r="10745" spans="1:14" ht="11.25" customHeight="1" x14ac:dyDescent="0.2">
      <c r="A10745" s="280">
        <v>2026</v>
      </c>
      <c r="B10745" s="280">
        <v>1</v>
      </c>
      <c r="C10745" s="280">
        <v>4</v>
      </c>
      <c r="D10745" s="281">
        <f t="shared" si="1235"/>
        <v>46026</v>
      </c>
      <c r="E10745" s="282">
        <f t="shared" si="1234"/>
        <v>46026</v>
      </c>
      <c r="F10745" s="472" t="s">
        <v>1955</v>
      </c>
      <c r="G10745" s="283" t="s">
        <v>86</v>
      </c>
      <c r="H10745" s="284"/>
      <c r="I10745" s="284"/>
      <c r="J10745" s="285" t="s">
        <v>1978</v>
      </c>
      <c r="K10745" s="286">
        <v>18556.31868131868</v>
      </c>
      <c r="L10745" s="286"/>
      <c r="M10745" s="401"/>
    </row>
    <row r="10746" spans="1:14" ht="11.25" customHeight="1" x14ac:dyDescent="0.2">
      <c r="A10746" s="287">
        <v>2026</v>
      </c>
      <c r="B10746" s="287">
        <v>1</v>
      </c>
      <c r="C10746" s="287">
        <v>4</v>
      </c>
      <c r="D10746" s="288">
        <f t="shared" si="1235"/>
        <v>46026</v>
      </c>
      <c r="E10746" s="289">
        <f t="shared" si="1234"/>
        <v>46026</v>
      </c>
      <c r="F10746" s="473"/>
      <c r="G10746" s="290" t="s">
        <v>86</v>
      </c>
      <c r="H10746" s="291"/>
      <c r="I10746" s="291"/>
      <c r="J10746" s="292" t="s">
        <v>1955</v>
      </c>
      <c r="K10746" s="293"/>
      <c r="L10746" s="293">
        <f>K10745</f>
        <v>18556.31868131868</v>
      </c>
    </row>
    <row r="10747" spans="1:14" ht="11.25" customHeight="1" x14ac:dyDescent="0.2">
      <c r="A10747" s="341">
        <v>2026</v>
      </c>
      <c r="B10747" s="341">
        <v>1</v>
      </c>
      <c r="C10747" s="341">
        <v>4</v>
      </c>
      <c r="D10747" s="328">
        <f t="shared" si="1235"/>
        <v>46026</v>
      </c>
      <c r="E10747" s="329">
        <f t="shared" si="1234"/>
        <v>46026</v>
      </c>
      <c r="F10747" s="474" t="s">
        <v>1767</v>
      </c>
      <c r="G10747" s="330" t="s">
        <v>86</v>
      </c>
      <c r="H10747" s="332"/>
      <c r="I10747" s="332"/>
      <c r="J10747" s="342" t="s">
        <v>67</v>
      </c>
      <c r="K10747" s="343">
        <v>665.62</v>
      </c>
      <c r="L10747" s="343"/>
    </row>
    <row r="10748" spans="1:14" ht="11.25" customHeight="1" x14ac:dyDescent="0.2">
      <c r="A10748" s="344">
        <v>2026</v>
      </c>
      <c r="B10748" s="344">
        <v>1</v>
      </c>
      <c r="C10748" s="344">
        <v>4</v>
      </c>
      <c r="D10748" s="337">
        <f t="shared" si="1235"/>
        <v>46026</v>
      </c>
      <c r="E10748" s="338">
        <f t="shared" si="1234"/>
        <v>46026</v>
      </c>
      <c r="F10748" s="475"/>
      <c r="G10748" s="339" t="s">
        <v>86</v>
      </c>
      <c r="H10748" s="340"/>
      <c r="I10748" s="340"/>
      <c r="J10748" s="345" t="s">
        <v>1974</v>
      </c>
      <c r="K10748" s="346"/>
      <c r="L10748" s="346">
        <f>K10747</f>
        <v>665.62</v>
      </c>
    </row>
    <row r="10749" spans="1:14" ht="11.25" customHeight="1" x14ac:dyDescent="0.2">
      <c r="A10749" s="236">
        <v>2026</v>
      </c>
      <c r="B10749" s="236">
        <v>1</v>
      </c>
      <c r="C10749" s="236">
        <v>4</v>
      </c>
      <c r="D10749" s="237">
        <f t="shared" si="1235"/>
        <v>46026</v>
      </c>
      <c r="E10749" s="238">
        <f t="shared" si="1234"/>
        <v>46026</v>
      </c>
      <c r="F10749" s="476" t="s">
        <v>1118</v>
      </c>
      <c r="G10749" s="239" t="s">
        <v>86</v>
      </c>
      <c r="H10749" s="239"/>
      <c r="I10749" s="240"/>
      <c r="J10749" s="241" t="s">
        <v>98</v>
      </c>
      <c r="K10749" s="242">
        <v>3032481.2899999917</v>
      </c>
      <c r="L10749" s="242"/>
      <c r="M10749" s="166"/>
    </row>
    <row r="10750" spans="1:14" ht="11.25" customHeight="1" x14ac:dyDescent="0.2">
      <c r="A10750" s="243">
        <v>2026</v>
      </c>
      <c r="B10750" s="243">
        <v>1</v>
      </c>
      <c r="C10750" s="243">
        <v>4</v>
      </c>
      <c r="D10750" s="248">
        <f t="shared" si="1235"/>
        <v>46026</v>
      </c>
      <c r="E10750" s="249">
        <f t="shared" si="1234"/>
        <v>46026</v>
      </c>
      <c r="F10750" s="477"/>
      <c r="G10750" s="244" t="s">
        <v>86</v>
      </c>
      <c r="H10750" s="244"/>
      <c r="I10750" s="245"/>
      <c r="J10750" s="246" t="s">
        <v>82</v>
      </c>
      <c r="K10750" s="247"/>
      <c r="L10750" s="247">
        <f>K10749</f>
        <v>3032481.2899999917</v>
      </c>
    </row>
    <row r="10751" spans="1:14" ht="11.25" customHeight="1" x14ac:dyDescent="0.2">
      <c r="A10751" s="236">
        <v>2026</v>
      </c>
      <c r="B10751" s="236">
        <v>1</v>
      </c>
      <c r="C10751" s="236">
        <v>4</v>
      </c>
      <c r="D10751" s="237">
        <f t="shared" si="1235"/>
        <v>46026</v>
      </c>
      <c r="E10751" s="238">
        <f t="shared" si="1234"/>
        <v>46026</v>
      </c>
      <c r="F10751" s="476" t="s">
        <v>1999</v>
      </c>
      <c r="G10751" s="239" t="s">
        <v>86</v>
      </c>
      <c r="H10751" s="239"/>
      <c r="I10751" s="240"/>
      <c r="J10751" s="241" t="s">
        <v>87</v>
      </c>
      <c r="K10751" s="242">
        <v>1177.3940345368917</v>
      </c>
      <c r="L10751" s="242"/>
      <c r="M10751" s="401"/>
    </row>
    <row r="10752" spans="1:14" ht="11.25" customHeight="1" x14ac:dyDescent="0.2">
      <c r="A10752" s="243">
        <v>2026</v>
      </c>
      <c r="B10752" s="243">
        <v>1</v>
      </c>
      <c r="C10752" s="243">
        <v>4</v>
      </c>
      <c r="D10752" s="248">
        <f t="shared" si="1235"/>
        <v>46026</v>
      </c>
      <c r="E10752" s="249">
        <f t="shared" si="1234"/>
        <v>46026</v>
      </c>
      <c r="F10752" s="477"/>
      <c r="G10752" s="244" t="s">
        <v>86</v>
      </c>
      <c r="H10752" s="244"/>
      <c r="I10752" s="245"/>
      <c r="J10752" s="246" t="s">
        <v>64</v>
      </c>
      <c r="K10752" s="247"/>
      <c r="L10752" s="247">
        <f>K10751</f>
        <v>1177.3940345368917</v>
      </c>
    </row>
    <row r="10753" spans="1:14" ht="11.25" customHeight="1" x14ac:dyDescent="0.2">
      <c r="A10753" s="236">
        <v>2026</v>
      </c>
      <c r="B10753" s="236">
        <v>1</v>
      </c>
      <c r="C10753" s="236">
        <v>4</v>
      </c>
      <c r="D10753" s="237">
        <f t="shared" si="1235"/>
        <v>46026</v>
      </c>
      <c r="E10753" s="238">
        <f t="shared" si="1234"/>
        <v>46026</v>
      </c>
      <c r="F10753" s="476" t="s">
        <v>2000</v>
      </c>
      <c r="G10753" s="239" t="s">
        <v>86</v>
      </c>
      <c r="H10753" s="239"/>
      <c r="I10753" s="240"/>
      <c r="J10753" s="241" t="s">
        <v>89</v>
      </c>
      <c r="K10753" s="242">
        <f>M10753</f>
        <v>39858.573314424146</v>
      </c>
      <c r="L10753" s="242"/>
      <c r="M10753" s="448">
        <v>39858.573314424146</v>
      </c>
    </row>
    <row r="10754" spans="1:14" ht="11.25" customHeight="1" x14ac:dyDescent="0.2">
      <c r="A10754" s="243">
        <v>2026</v>
      </c>
      <c r="B10754" s="243">
        <v>1</v>
      </c>
      <c r="C10754" s="243">
        <v>4</v>
      </c>
      <c r="D10754" s="248">
        <f t="shared" si="1235"/>
        <v>46026</v>
      </c>
      <c r="E10754" s="249">
        <f t="shared" si="1234"/>
        <v>46026</v>
      </c>
      <c r="F10754" s="477"/>
      <c r="G10754" s="244" t="s">
        <v>86</v>
      </c>
      <c r="H10754" s="244"/>
      <c r="I10754" s="245"/>
      <c r="J10754" s="246" t="s">
        <v>50</v>
      </c>
      <c r="K10754" s="247"/>
      <c r="L10754" s="247">
        <f>K10753</f>
        <v>39858.573314424146</v>
      </c>
      <c r="M10754" s="448">
        <v>1889.9066876992297</v>
      </c>
    </row>
    <row r="10755" spans="1:14" ht="11.25" customHeight="1" x14ac:dyDescent="0.2">
      <c r="A10755" s="236">
        <v>2026</v>
      </c>
      <c r="B10755" s="236">
        <v>1</v>
      </c>
      <c r="C10755" s="236">
        <v>4</v>
      </c>
      <c r="D10755" s="237">
        <f t="shared" si="1235"/>
        <v>46026</v>
      </c>
      <c r="E10755" s="238">
        <f t="shared" ref="E10755:E10818" si="1236">DATE(A10755,B10755,C10755)</f>
        <v>46026</v>
      </c>
      <c r="F10755" s="476" t="s">
        <v>2001</v>
      </c>
      <c r="G10755" s="239" t="s">
        <v>86</v>
      </c>
      <c r="H10755" s="239"/>
      <c r="I10755" s="240"/>
      <c r="J10755" s="241" t="s">
        <v>91</v>
      </c>
      <c r="K10755" s="242">
        <f>M10754</f>
        <v>1889.9066876992297</v>
      </c>
      <c r="L10755" s="242"/>
    </row>
    <row r="10756" spans="1:14" ht="11.25" customHeight="1" x14ac:dyDescent="0.2">
      <c r="A10756" s="243">
        <v>2026</v>
      </c>
      <c r="B10756" s="243">
        <v>1</v>
      </c>
      <c r="C10756" s="243">
        <v>4</v>
      </c>
      <c r="D10756" s="248">
        <f t="shared" si="1235"/>
        <v>46026</v>
      </c>
      <c r="E10756" s="249">
        <f t="shared" si="1236"/>
        <v>46026</v>
      </c>
      <c r="F10756" s="477"/>
      <c r="G10756" s="244" t="s">
        <v>86</v>
      </c>
      <c r="H10756" s="244"/>
      <c r="I10756" s="245"/>
      <c r="J10756" s="246" t="s">
        <v>51</v>
      </c>
      <c r="K10756" s="247"/>
      <c r="L10756" s="247">
        <f>K10755</f>
        <v>1889.9066876992297</v>
      </c>
    </row>
    <row r="10757" spans="1:14" ht="11.25" customHeight="1" x14ac:dyDescent="0.2">
      <c r="A10757" s="221">
        <v>2026</v>
      </c>
      <c r="B10757" s="221">
        <v>1</v>
      </c>
      <c r="C10757" s="221">
        <v>5</v>
      </c>
      <c r="D10757" s="231">
        <f t="shared" si="1235"/>
        <v>46027</v>
      </c>
      <c r="E10757" s="233">
        <f t="shared" si="1236"/>
        <v>46027</v>
      </c>
      <c r="F10757" s="478" t="s">
        <v>1605</v>
      </c>
      <c r="G10757" s="222" t="s">
        <v>1111</v>
      </c>
      <c r="H10757" s="223"/>
      <c r="I10757" s="223"/>
      <c r="J10757" s="224" t="s">
        <v>55</v>
      </c>
      <c r="K10757" s="167">
        <v>70000</v>
      </c>
      <c r="L10757" s="225"/>
    </row>
    <row r="10758" spans="1:14" ht="11.25" customHeight="1" x14ac:dyDescent="0.2">
      <c r="A10758" s="164">
        <v>2026</v>
      </c>
      <c r="B10758" s="164">
        <v>1</v>
      </c>
      <c r="C10758" s="164">
        <v>5</v>
      </c>
      <c r="D10758" s="156">
        <f t="shared" si="1235"/>
        <v>46027</v>
      </c>
      <c r="E10758" s="235">
        <f t="shared" si="1236"/>
        <v>46027</v>
      </c>
      <c r="F10758" s="480"/>
      <c r="G10758" s="208" t="s">
        <v>1111</v>
      </c>
      <c r="J10758" s="165" t="s">
        <v>14</v>
      </c>
      <c r="L10758" s="205">
        <v>60320</v>
      </c>
    </row>
    <row r="10759" spans="1:14" ht="11.25" customHeight="1" x14ac:dyDescent="0.2">
      <c r="A10759" s="226">
        <v>2026</v>
      </c>
      <c r="B10759" s="226">
        <v>1</v>
      </c>
      <c r="C10759" s="226">
        <v>5</v>
      </c>
      <c r="D10759" s="232">
        <f t="shared" si="1235"/>
        <v>46027</v>
      </c>
      <c r="E10759" s="234">
        <f t="shared" si="1236"/>
        <v>46027</v>
      </c>
      <c r="F10759" s="479"/>
      <c r="G10759" s="227" t="s">
        <v>1111</v>
      </c>
      <c r="H10759" s="228"/>
      <c r="I10759" s="228"/>
      <c r="J10759" s="229" t="s">
        <v>1112</v>
      </c>
      <c r="K10759" s="230"/>
      <c r="L10759" s="230">
        <v>9680</v>
      </c>
    </row>
    <row r="10760" spans="1:14" ht="11.25" customHeight="1" x14ac:dyDescent="0.2">
      <c r="A10760" s="221">
        <v>2026</v>
      </c>
      <c r="B10760" s="221">
        <v>1</v>
      </c>
      <c r="C10760" s="221">
        <v>5</v>
      </c>
      <c r="D10760" s="231">
        <f t="shared" si="1235"/>
        <v>46027</v>
      </c>
      <c r="E10760" s="233">
        <f t="shared" si="1236"/>
        <v>46027</v>
      </c>
      <c r="F10760" s="478" t="s">
        <v>1132</v>
      </c>
      <c r="G10760" s="222" t="s">
        <v>1111</v>
      </c>
      <c r="H10760" s="223"/>
      <c r="I10760" s="223"/>
      <c r="J10760" s="224" t="s">
        <v>55</v>
      </c>
      <c r="K10760" s="167">
        <v>38000</v>
      </c>
      <c r="L10760" s="225"/>
    </row>
    <row r="10761" spans="1:14" ht="11.25" customHeight="1" x14ac:dyDescent="0.2">
      <c r="A10761" s="164">
        <v>2026</v>
      </c>
      <c r="B10761" s="164">
        <v>1</v>
      </c>
      <c r="C10761" s="164">
        <v>5</v>
      </c>
      <c r="D10761" s="156">
        <f t="shared" ref="D10761:D10824" si="1237">DATE(A10761,B10761,C10761)</f>
        <v>46027</v>
      </c>
      <c r="E10761" s="235">
        <f t="shared" si="1236"/>
        <v>46027</v>
      </c>
      <c r="F10761" s="480"/>
      <c r="G10761" s="208" t="s">
        <v>1111</v>
      </c>
      <c r="J10761" s="165" t="s">
        <v>14</v>
      </c>
      <c r="L10761" s="205">
        <v>32260</v>
      </c>
    </row>
    <row r="10762" spans="1:14" ht="11.25" customHeight="1" x14ac:dyDescent="0.2">
      <c r="A10762" s="226">
        <v>2026</v>
      </c>
      <c r="B10762" s="226">
        <v>1</v>
      </c>
      <c r="C10762" s="226">
        <v>5</v>
      </c>
      <c r="D10762" s="232">
        <f t="shared" si="1237"/>
        <v>46027</v>
      </c>
      <c r="E10762" s="234">
        <f t="shared" si="1236"/>
        <v>46027</v>
      </c>
      <c r="F10762" s="479"/>
      <c r="G10762" s="227" t="s">
        <v>1111</v>
      </c>
      <c r="H10762" s="228"/>
      <c r="I10762" s="228"/>
      <c r="J10762" s="229" t="s">
        <v>1112</v>
      </c>
      <c r="K10762" s="230"/>
      <c r="L10762" s="230">
        <v>5740</v>
      </c>
    </row>
    <row r="10763" spans="1:14" ht="11.25" customHeight="1" x14ac:dyDescent="0.2">
      <c r="A10763" s="221">
        <v>2026</v>
      </c>
      <c r="B10763" s="221">
        <v>1</v>
      </c>
      <c r="C10763" s="221">
        <v>5</v>
      </c>
      <c r="D10763" s="231">
        <f t="shared" si="1237"/>
        <v>46027</v>
      </c>
      <c r="E10763" s="233">
        <f t="shared" si="1236"/>
        <v>46027</v>
      </c>
      <c r="F10763" s="478" t="s">
        <v>1945</v>
      </c>
      <c r="G10763" s="222" t="s">
        <v>1111</v>
      </c>
      <c r="H10763" s="223"/>
      <c r="I10763" s="223"/>
      <c r="J10763" s="224" t="s">
        <v>55</v>
      </c>
      <c r="K10763" s="225">
        <v>777968.84</v>
      </c>
      <c r="L10763" s="225"/>
    </row>
    <row r="10764" spans="1:14" ht="11.25" customHeight="1" x14ac:dyDescent="0.2">
      <c r="A10764" s="226">
        <v>2026</v>
      </c>
      <c r="B10764" s="226">
        <v>1</v>
      </c>
      <c r="C10764" s="226">
        <v>5</v>
      </c>
      <c r="D10764" s="232">
        <f t="shared" si="1237"/>
        <v>46027</v>
      </c>
      <c r="E10764" s="234">
        <f t="shared" si="1236"/>
        <v>46027</v>
      </c>
      <c r="F10764" s="479"/>
      <c r="G10764" s="227" t="s">
        <v>1111</v>
      </c>
      <c r="H10764" s="228"/>
      <c r="I10764" s="228"/>
      <c r="J10764" s="229" t="s">
        <v>199</v>
      </c>
      <c r="K10764" s="230"/>
      <c r="L10764" s="230">
        <f>K10763</f>
        <v>777968.84</v>
      </c>
    </row>
    <row r="10765" spans="1:14" ht="11.25" customHeight="1" x14ac:dyDescent="0.2">
      <c r="A10765" s="221">
        <v>2026</v>
      </c>
      <c r="B10765" s="221">
        <v>1</v>
      </c>
      <c r="C10765" s="221">
        <v>5</v>
      </c>
      <c r="D10765" s="231">
        <f t="shared" si="1237"/>
        <v>46027</v>
      </c>
      <c r="E10765" s="233">
        <f t="shared" si="1236"/>
        <v>46027</v>
      </c>
      <c r="F10765" s="478" t="s">
        <v>1976</v>
      </c>
      <c r="G10765" s="222" t="s">
        <v>1111</v>
      </c>
      <c r="H10765" s="223"/>
      <c r="I10765" s="223"/>
      <c r="J10765" s="224" t="s">
        <v>55</v>
      </c>
      <c r="K10765" s="225">
        <v>51</v>
      </c>
      <c r="L10765" s="225"/>
    </row>
    <row r="10766" spans="1:14" ht="11.25" customHeight="1" x14ac:dyDescent="0.2">
      <c r="A10766" s="226">
        <v>2026</v>
      </c>
      <c r="B10766" s="226">
        <v>1</v>
      </c>
      <c r="C10766" s="226">
        <v>5</v>
      </c>
      <c r="D10766" s="232">
        <f t="shared" si="1237"/>
        <v>46027</v>
      </c>
      <c r="E10766" s="234">
        <f t="shared" si="1236"/>
        <v>46027</v>
      </c>
      <c r="F10766" s="479"/>
      <c r="G10766" s="227" t="s">
        <v>1111</v>
      </c>
      <c r="H10766" s="228"/>
      <c r="I10766" s="228"/>
      <c r="J10766" s="229" t="s">
        <v>192</v>
      </c>
      <c r="K10766" s="230"/>
      <c r="L10766" s="230">
        <f>K10765</f>
        <v>51</v>
      </c>
    </row>
    <row r="10767" spans="1:14" ht="11.25" customHeight="1" x14ac:dyDescent="0.2">
      <c r="A10767" s="221">
        <v>2026</v>
      </c>
      <c r="B10767" s="221">
        <v>1</v>
      </c>
      <c r="C10767" s="221">
        <v>5</v>
      </c>
      <c r="D10767" s="221">
        <f t="shared" si="1237"/>
        <v>46027</v>
      </c>
      <c r="E10767" s="233">
        <f t="shared" si="1236"/>
        <v>46027</v>
      </c>
      <c r="F10767" s="478" t="s">
        <v>1937</v>
      </c>
      <c r="G10767" s="222" t="s">
        <v>86</v>
      </c>
      <c r="H10767" s="222"/>
      <c r="I10767" s="223"/>
      <c r="J10767" s="224" t="s">
        <v>80</v>
      </c>
      <c r="K10767" s="225">
        <v>689572.8</v>
      </c>
      <c r="L10767" s="225"/>
      <c r="N10767" s="263"/>
    </row>
    <row r="10768" spans="1:14" ht="11.25" customHeight="1" x14ac:dyDescent="0.2">
      <c r="A10768" s="164">
        <v>2026</v>
      </c>
      <c r="B10768" s="164">
        <v>1</v>
      </c>
      <c r="C10768" s="164">
        <v>5</v>
      </c>
      <c r="D10768" s="164">
        <f t="shared" si="1237"/>
        <v>46027</v>
      </c>
      <c r="E10768" s="235">
        <f t="shared" si="1236"/>
        <v>46027</v>
      </c>
      <c r="F10768" s="480"/>
      <c r="G10768" s="208" t="s">
        <v>86</v>
      </c>
      <c r="H10768" s="208"/>
      <c r="J10768" s="165" t="s">
        <v>960</v>
      </c>
      <c r="K10768" s="205">
        <v>4304.91</v>
      </c>
      <c r="L10768" s="205"/>
      <c r="M10768" s="263"/>
      <c r="N10768" s="263"/>
    </row>
    <row r="10769" spans="1:14" ht="11.25" customHeight="1" x14ac:dyDescent="0.2">
      <c r="A10769" s="164">
        <v>2026</v>
      </c>
      <c r="B10769" s="164">
        <v>1</v>
      </c>
      <c r="C10769" s="164">
        <v>5</v>
      </c>
      <c r="D10769" s="164">
        <f t="shared" si="1237"/>
        <v>46027</v>
      </c>
      <c r="E10769" s="235">
        <f t="shared" si="1236"/>
        <v>46027</v>
      </c>
      <c r="F10769" s="480"/>
      <c r="G10769" s="208" t="s">
        <v>86</v>
      </c>
      <c r="H10769" s="208"/>
      <c r="J10769" s="165" t="s">
        <v>199</v>
      </c>
      <c r="K10769" s="263">
        <v>1008165.29</v>
      </c>
      <c r="L10769" s="205"/>
      <c r="M10769" s="263"/>
      <c r="N10769" s="263"/>
    </row>
    <row r="10770" spans="1:14" ht="11.25" customHeight="1" x14ac:dyDescent="0.2">
      <c r="A10770" s="164">
        <v>2026</v>
      </c>
      <c r="B10770" s="164">
        <v>1</v>
      </c>
      <c r="C10770" s="164">
        <v>5</v>
      </c>
      <c r="D10770" s="164">
        <f t="shared" si="1237"/>
        <v>46027</v>
      </c>
      <c r="E10770" s="235">
        <f t="shared" si="1236"/>
        <v>46027</v>
      </c>
      <c r="F10770" s="480"/>
      <c r="G10770" s="208" t="s">
        <v>86</v>
      </c>
      <c r="H10770" s="208"/>
      <c r="J10770" s="165" t="s">
        <v>200</v>
      </c>
      <c r="K10770" s="205"/>
      <c r="L10770" s="205">
        <v>99886</v>
      </c>
      <c r="M10770" s="263"/>
      <c r="N10770" s="263"/>
    </row>
    <row r="10771" spans="1:14" ht="11.25" customHeight="1" x14ac:dyDescent="0.2">
      <c r="A10771" s="226">
        <v>2026</v>
      </c>
      <c r="B10771" s="226">
        <v>1</v>
      </c>
      <c r="C10771" s="226">
        <v>5</v>
      </c>
      <c r="D10771" s="226">
        <f t="shared" si="1237"/>
        <v>46027</v>
      </c>
      <c r="E10771" s="234">
        <f t="shared" si="1236"/>
        <v>46027</v>
      </c>
      <c r="F10771" s="479"/>
      <c r="G10771" s="227" t="s">
        <v>86</v>
      </c>
      <c r="H10771" s="228"/>
      <c r="I10771" s="228"/>
      <c r="J10771" s="229" t="s">
        <v>80</v>
      </c>
      <c r="K10771" s="230"/>
      <c r="L10771" s="230">
        <v>1602157</v>
      </c>
      <c r="M10771" s="263"/>
      <c r="N10771" s="263"/>
    </row>
    <row r="10772" spans="1:14" ht="11.25" customHeight="1" x14ac:dyDescent="0.2">
      <c r="A10772" s="280">
        <v>2026</v>
      </c>
      <c r="B10772" s="280">
        <v>1</v>
      </c>
      <c r="C10772" s="280">
        <v>5</v>
      </c>
      <c r="D10772" s="281">
        <f t="shared" si="1237"/>
        <v>46027</v>
      </c>
      <c r="E10772" s="282">
        <f t="shared" si="1236"/>
        <v>46027</v>
      </c>
      <c r="F10772" s="472" t="s">
        <v>1744</v>
      </c>
      <c r="G10772" s="283" t="s">
        <v>86</v>
      </c>
      <c r="H10772" s="284"/>
      <c r="I10772" s="284"/>
      <c r="J10772" s="285" t="s">
        <v>131</v>
      </c>
      <c r="K10772" s="286">
        <v>2875</v>
      </c>
      <c r="L10772" s="286"/>
      <c r="M10772" s="401"/>
    </row>
    <row r="10773" spans="1:14" ht="11.25" customHeight="1" x14ac:dyDescent="0.2">
      <c r="A10773" s="287">
        <v>2026</v>
      </c>
      <c r="B10773" s="287">
        <v>1</v>
      </c>
      <c r="C10773" s="287">
        <v>5</v>
      </c>
      <c r="D10773" s="288">
        <f t="shared" si="1237"/>
        <v>46027</v>
      </c>
      <c r="E10773" s="289">
        <f t="shared" si="1236"/>
        <v>46027</v>
      </c>
      <c r="F10773" s="473"/>
      <c r="G10773" s="290" t="s">
        <v>86</v>
      </c>
      <c r="H10773" s="291"/>
      <c r="I10773" s="291"/>
      <c r="J10773" s="292" t="s">
        <v>1469</v>
      </c>
      <c r="K10773" s="293"/>
      <c r="L10773" s="293">
        <f>K10772</f>
        <v>2875</v>
      </c>
    </row>
    <row r="10774" spans="1:14" ht="11.25" customHeight="1" x14ac:dyDescent="0.2">
      <c r="A10774" s="280">
        <v>2026</v>
      </c>
      <c r="B10774" s="280">
        <v>1</v>
      </c>
      <c r="C10774" s="280">
        <v>5</v>
      </c>
      <c r="D10774" s="281">
        <f t="shared" si="1237"/>
        <v>46027</v>
      </c>
      <c r="E10774" s="282">
        <f t="shared" si="1236"/>
        <v>46027</v>
      </c>
      <c r="F10774" s="472" t="s">
        <v>1584</v>
      </c>
      <c r="G10774" s="283" t="s">
        <v>86</v>
      </c>
      <c r="H10774" s="284"/>
      <c r="I10774" s="284"/>
      <c r="J10774" s="285" t="s">
        <v>131</v>
      </c>
      <c r="K10774" s="286">
        <v>1277.7777777777778</v>
      </c>
      <c r="L10774" s="286"/>
      <c r="M10774" s="401"/>
    </row>
    <row r="10775" spans="1:14" ht="11.25" customHeight="1" x14ac:dyDescent="0.2">
      <c r="A10775" s="287">
        <v>2026</v>
      </c>
      <c r="B10775" s="287">
        <v>1</v>
      </c>
      <c r="C10775" s="287">
        <v>5</v>
      </c>
      <c r="D10775" s="288">
        <f t="shared" si="1237"/>
        <v>46027</v>
      </c>
      <c r="E10775" s="289">
        <f t="shared" si="1236"/>
        <v>46027</v>
      </c>
      <c r="F10775" s="473"/>
      <c r="G10775" s="290" t="s">
        <v>86</v>
      </c>
      <c r="H10775" s="291"/>
      <c r="I10775" s="291"/>
      <c r="J10775" s="292" t="s">
        <v>1469</v>
      </c>
      <c r="K10775" s="293"/>
      <c r="L10775" s="293">
        <f>K10774</f>
        <v>1277.7777777777778</v>
      </c>
    </row>
    <row r="10776" spans="1:14" ht="11.25" customHeight="1" x14ac:dyDescent="0.2">
      <c r="A10776" s="280">
        <v>2026</v>
      </c>
      <c r="B10776" s="280">
        <v>1</v>
      </c>
      <c r="C10776" s="280">
        <v>5</v>
      </c>
      <c r="D10776" s="281">
        <f t="shared" si="1237"/>
        <v>46027</v>
      </c>
      <c r="E10776" s="282">
        <f t="shared" si="1236"/>
        <v>46027</v>
      </c>
      <c r="F10776" s="472" t="s">
        <v>1955</v>
      </c>
      <c r="G10776" s="283" t="s">
        <v>86</v>
      </c>
      <c r="H10776" s="284"/>
      <c r="I10776" s="284"/>
      <c r="J10776" s="285" t="s">
        <v>1978</v>
      </c>
      <c r="K10776" s="286">
        <v>6185.4395604395604</v>
      </c>
      <c r="L10776" s="286"/>
      <c r="M10776" s="401"/>
    </row>
    <row r="10777" spans="1:14" ht="11.25" customHeight="1" x14ac:dyDescent="0.2">
      <c r="A10777" s="287">
        <v>2026</v>
      </c>
      <c r="B10777" s="287">
        <v>1</v>
      </c>
      <c r="C10777" s="287">
        <v>5</v>
      </c>
      <c r="D10777" s="288">
        <f t="shared" si="1237"/>
        <v>46027</v>
      </c>
      <c r="E10777" s="289">
        <f t="shared" si="1236"/>
        <v>46027</v>
      </c>
      <c r="F10777" s="473"/>
      <c r="G10777" s="290" t="s">
        <v>86</v>
      </c>
      <c r="H10777" s="291"/>
      <c r="I10777" s="291"/>
      <c r="J10777" s="292" t="s">
        <v>1955</v>
      </c>
      <c r="K10777" s="293"/>
      <c r="L10777" s="293">
        <f>K10776</f>
        <v>6185.4395604395604</v>
      </c>
    </row>
    <row r="10778" spans="1:14" ht="11.25" customHeight="1" x14ac:dyDescent="0.2">
      <c r="A10778" s="341">
        <v>2026</v>
      </c>
      <c r="B10778" s="341">
        <v>1</v>
      </c>
      <c r="C10778" s="341">
        <v>5</v>
      </c>
      <c r="D10778" s="328">
        <f t="shared" si="1237"/>
        <v>46027</v>
      </c>
      <c r="E10778" s="329">
        <f t="shared" si="1236"/>
        <v>46027</v>
      </c>
      <c r="F10778" s="474" t="s">
        <v>1767</v>
      </c>
      <c r="G10778" s="330" t="s">
        <v>86</v>
      </c>
      <c r="H10778" s="332"/>
      <c r="I10778" s="332"/>
      <c r="J10778" s="342" t="s">
        <v>67</v>
      </c>
      <c r="K10778" s="343">
        <v>463.05386763888879</v>
      </c>
      <c r="L10778" s="343"/>
    </row>
    <row r="10779" spans="1:14" ht="11.25" customHeight="1" x14ac:dyDescent="0.2">
      <c r="A10779" s="344">
        <v>2026</v>
      </c>
      <c r="B10779" s="344">
        <v>1</v>
      </c>
      <c r="C10779" s="344">
        <v>5</v>
      </c>
      <c r="D10779" s="337">
        <f t="shared" si="1237"/>
        <v>46027</v>
      </c>
      <c r="E10779" s="338">
        <f t="shared" si="1236"/>
        <v>46027</v>
      </c>
      <c r="F10779" s="475"/>
      <c r="G10779" s="339" t="s">
        <v>86</v>
      </c>
      <c r="H10779" s="340"/>
      <c r="I10779" s="340"/>
      <c r="J10779" s="345" t="s">
        <v>1974</v>
      </c>
      <c r="K10779" s="346"/>
      <c r="L10779" s="346">
        <f>K10778</f>
        <v>463.05386763888879</v>
      </c>
    </row>
    <row r="10780" spans="1:14" ht="11.25" customHeight="1" x14ac:dyDescent="0.2">
      <c r="A10780" s="236">
        <v>2026</v>
      </c>
      <c r="B10780" s="236">
        <v>1</v>
      </c>
      <c r="C10780" s="236">
        <v>5</v>
      </c>
      <c r="D10780" s="237">
        <f t="shared" si="1237"/>
        <v>46027</v>
      </c>
      <c r="E10780" s="238">
        <f t="shared" si="1236"/>
        <v>46027</v>
      </c>
      <c r="F10780" s="476" t="s">
        <v>1118</v>
      </c>
      <c r="G10780" s="239" t="s">
        <v>86</v>
      </c>
      <c r="H10780" s="239"/>
      <c r="I10780" s="240"/>
      <c r="J10780" s="241" t="s">
        <v>82</v>
      </c>
      <c r="K10780" s="242">
        <v>832690</v>
      </c>
      <c r="L10780" s="242"/>
    </row>
    <row r="10781" spans="1:14" ht="11.25" customHeight="1" x14ac:dyDescent="0.2">
      <c r="A10781" s="243">
        <v>2026</v>
      </c>
      <c r="B10781" s="243">
        <v>1</v>
      </c>
      <c r="C10781" s="243">
        <v>5</v>
      </c>
      <c r="D10781" s="248">
        <f t="shared" si="1237"/>
        <v>46027</v>
      </c>
      <c r="E10781" s="249">
        <f t="shared" si="1236"/>
        <v>46027</v>
      </c>
      <c r="F10781" s="477"/>
      <c r="G10781" s="244" t="s">
        <v>86</v>
      </c>
      <c r="H10781" s="244"/>
      <c r="I10781" s="245"/>
      <c r="J10781" s="246" t="s">
        <v>98</v>
      </c>
      <c r="K10781" s="247"/>
      <c r="L10781" s="247">
        <f>K10780</f>
        <v>832690</v>
      </c>
    </row>
    <row r="10782" spans="1:14" ht="11.25" customHeight="1" x14ac:dyDescent="0.2">
      <c r="A10782" s="236">
        <v>2026</v>
      </c>
      <c r="B10782" s="236">
        <v>1</v>
      </c>
      <c r="C10782" s="236">
        <v>5</v>
      </c>
      <c r="D10782" s="237">
        <f t="shared" si="1237"/>
        <v>46027</v>
      </c>
      <c r="E10782" s="238">
        <f t="shared" si="1236"/>
        <v>46027</v>
      </c>
      <c r="F10782" s="476" t="s">
        <v>1999</v>
      </c>
      <c r="G10782" s="239" t="s">
        <v>86</v>
      </c>
      <c r="H10782" s="239"/>
      <c r="I10782" s="240"/>
      <c r="J10782" s="241" t="s">
        <v>87</v>
      </c>
      <c r="K10782" s="242">
        <v>392.46467817896388</v>
      </c>
      <c r="L10782" s="242"/>
      <c r="M10782" s="401"/>
    </row>
    <row r="10783" spans="1:14" ht="11.25" customHeight="1" x14ac:dyDescent="0.2">
      <c r="A10783" s="243">
        <v>2026</v>
      </c>
      <c r="B10783" s="243">
        <v>1</v>
      </c>
      <c r="C10783" s="243">
        <v>5</v>
      </c>
      <c r="D10783" s="248">
        <f t="shared" si="1237"/>
        <v>46027</v>
      </c>
      <c r="E10783" s="249">
        <f t="shared" si="1236"/>
        <v>46027</v>
      </c>
      <c r="F10783" s="477"/>
      <c r="G10783" s="244" t="s">
        <v>86</v>
      </c>
      <c r="H10783" s="244"/>
      <c r="I10783" s="245"/>
      <c r="J10783" s="246" t="s">
        <v>64</v>
      </c>
      <c r="K10783" s="247"/>
      <c r="L10783" s="247">
        <f>K10782</f>
        <v>392.46467817896388</v>
      </c>
    </row>
    <row r="10784" spans="1:14" ht="11.25" customHeight="1" x14ac:dyDescent="0.2">
      <c r="A10784" s="236">
        <v>2026</v>
      </c>
      <c r="B10784" s="236">
        <v>1</v>
      </c>
      <c r="C10784" s="236">
        <v>5</v>
      </c>
      <c r="D10784" s="237">
        <f t="shared" si="1237"/>
        <v>46027</v>
      </c>
      <c r="E10784" s="238">
        <f t="shared" si="1236"/>
        <v>46027</v>
      </c>
      <c r="F10784" s="476" t="s">
        <v>2000</v>
      </c>
      <c r="G10784" s="239" t="s">
        <v>86</v>
      </c>
      <c r="H10784" s="239"/>
      <c r="I10784" s="240"/>
      <c r="J10784" s="241" t="s">
        <v>89</v>
      </c>
      <c r="K10784" s="242">
        <f>M10784</f>
        <v>13247.855030461573</v>
      </c>
      <c r="L10784" s="242"/>
      <c r="M10784" s="448">
        <v>13247.855030461573</v>
      </c>
    </row>
    <row r="10785" spans="1:14" ht="11.25" customHeight="1" x14ac:dyDescent="0.2">
      <c r="A10785" s="243">
        <v>2026</v>
      </c>
      <c r="B10785" s="243">
        <v>1</v>
      </c>
      <c r="C10785" s="243">
        <v>5</v>
      </c>
      <c r="D10785" s="248">
        <f t="shared" si="1237"/>
        <v>46027</v>
      </c>
      <c r="E10785" s="249">
        <f t="shared" si="1236"/>
        <v>46027</v>
      </c>
      <c r="F10785" s="477"/>
      <c r="G10785" s="244" t="s">
        <v>86</v>
      </c>
      <c r="H10785" s="244"/>
      <c r="I10785" s="245"/>
      <c r="J10785" s="246" t="s">
        <v>50</v>
      </c>
      <c r="K10785" s="247"/>
      <c r="L10785" s="247">
        <f>K10784</f>
        <v>13247.855030461573</v>
      </c>
      <c r="M10785" s="448">
        <v>628.0520921824193</v>
      </c>
    </row>
    <row r="10786" spans="1:14" ht="11.25" customHeight="1" x14ac:dyDescent="0.2">
      <c r="A10786" s="236">
        <v>2026</v>
      </c>
      <c r="B10786" s="236">
        <v>1</v>
      </c>
      <c r="C10786" s="236">
        <v>5</v>
      </c>
      <c r="D10786" s="237">
        <f t="shared" si="1237"/>
        <v>46027</v>
      </c>
      <c r="E10786" s="238">
        <f t="shared" si="1236"/>
        <v>46027</v>
      </c>
      <c r="F10786" s="476" t="s">
        <v>2001</v>
      </c>
      <c r="G10786" s="239" t="s">
        <v>86</v>
      </c>
      <c r="H10786" s="239"/>
      <c r="I10786" s="240"/>
      <c r="J10786" s="241" t="s">
        <v>91</v>
      </c>
      <c r="K10786" s="242">
        <f>M10785</f>
        <v>628.0520921824193</v>
      </c>
      <c r="L10786" s="242"/>
    </row>
    <row r="10787" spans="1:14" ht="11.25" customHeight="1" x14ac:dyDescent="0.2">
      <c r="A10787" s="243">
        <v>2026</v>
      </c>
      <c r="B10787" s="243">
        <v>1</v>
      </c>
      <c r="C10787" s="243">
        <v>5</v>
      </c>
      <c r="D10787" s="248">
        <f t="shared" si="1237"/>
        <v>46027</v>
      </c>
      <c r="E10787" s="249">
        <f t="shared" si="1236"/>
        <v>46027</v>
      </c>
      <c r="F10787" s="477"/>
      <c r="G10787" s="244" t="s">
        <v>86</v>
      </c>
      <c r="H10787" s="244"/>
      <c r="I10787" s="245"/>
      <c r="J10787" s="246" t="s">
        <v>51</v>
      </c>
      <c r="K10787" s="247"/>
      <c r="L10787" s="247">
        <f>K10786</f>
        <v>628.0520921824193</v>
      </c>
    </row>
    <row r="10788" spans="1:14" ht="11.25" customHeight="1" x14ac:dyDescent="0.2">
      <c r="A10788" s="221">
        <v>2026</v>
      </c>
      <c r="B10788" s="221">
        <v>1</v>
      </c>
      <c r="C10788" s="221">
        <v>6</v>
      </c>
      <c r="D10788" s="231">
        <f t="shared" si="1237"/>
        <v>46028</v>
      </c>
      <c r="E10788" s="233">
        <f t="shared" si="1236"/>
        <v>46028</v>
      </c>
      <c r="F10788" s="478" t="s">
        <v>1940</v>
      </c>
      <c r="G10788" s="222" t="s">
        <v>1111</v>
      </c>
      <c r="H10788" s="223"/>
      <c r="I10788" s="223"/>
      <c r="J10788" s="224" t="s">
        <v>961</v>
      </c>
      <c r="K10788" s="225">
        <v>209681.05</v>
      </c>
      <c r="L10788" s="225"/>
    </row>
    <row r="10789" spans="1:14" ht="11.25" customHeight="1" x14ac:dyDescent="0.2">
      <c r="A10789" s="226">
        <v>2026</v>
      </c>
      <c r="B10789" s="226">
        <v>1</v>
      </c>
      <c r="C10789" s="226">
        <v>6</v>
      </c>
      <c r="D10789" s="232">
        <f t="shared" si="1237"/>
        <v>46028</v>
      </c>
      <c r="E10789" s="234">
        <f t="shared" si="1236"/>
        <v>46028</v>
      </c>
      <c r="F10789" s="479"/>
      <c r="G10789" s="227" t="s">
        <v>1111</v>
      </c>
      <c r="H10789" s="228"/>
      <c r="I10789" s="228"/>
      <c r="J10789" s="229" t="s">
        <v>55</v>
      </c>
      <c r="K10789" s="230"/>
      <c r="L10789" s="230">
        <f>K10788</f>
        <v>209681.05</v>
      </c>
    </row>
    <row r="10790" spans="1:14" ht="11.25" customHeight="1" x14ac:dyDescent="0.2">
      <c r="A10790" s="221">
        <v>2026</v>
      </c>
      <c r="B10790" s="221">
        <v>1</v>
      </c>
      <c r="C10790" s="221">
        <v>6</v>
      </c>
      <c r="D10790" s="221">
        <f t="shared" si="1237"/>
        <v>46028</v>
      </c>
      <c r="E10790" s="233">
        <f t="shared" si="1236"/>
        <v>46028</v>
      </c>
      <c r="F10790" s="478" t="s">
        <v>1937</v>
      </c>
      <c r="G10790" s="222" t="s">
        <v>86</v>
      </c>
      <c r="H10790" s="222"/>
      <c r="I10790" s="223"/>
      <c r="J10790" s="224" t="s">
        <v>80</v>
      </c>
      <c r="K10790" s="225">
        <v>2100042.5</v>
      </c>
      <c r="L10790" s="225"/>
      <c r="N10790" s="263"/>
    </row>
    <row r="10791" spans="1:14" ht="11.25" customHeight="1" x14ac:dyDescent="0.2">
      <c r="A10791" s="164">
        <v>2026</v>
      </c>
      <c r="B10791" s="164">
        <v>1</v>
      </c>
      <c r="C10791" s="164">
        <v>6</v>
      </c>
      <c r="D10791" s="164">
        <f t="shared" si="1237"/>
        <v>46028</v>
      </c>
      <c r="E10791" s="235">
        <f t="shared" si="1236"/>
        <v>46028</v>
      </c>
      <c r="F10791" s="480"/>
      <c r="G10791" s="208" t="s">
        <v>86</v>
      </c>
      <c r="H10791" s="208"/>
      <c r="J10791" s="165" t="s">
        <v>960</v>
      </c>
      <c r="K10791" s="205">
        <v>6963.15</v>
      </c>
      <c r="L10791" s="205"/>
      <c r="M10791" s="263"/>
      <c r="N10791" s="263"/>
    </row>
    <row r="10792" spans="1:14" ht="11.25" customHeight="1" x14ac:dyDescent="0.2">
      <c r="A10792" s="164">
        <v>2026</v>
      </c>
      <c r="B10792" s="164">
        <v>1</v>
      </c>
      <c r="C10792" s="164">
        <v>6</v>
      </c>
      <c r="D10792" s="164">
        <f t="shared" si="1237"/>
        <v>46028</v>
      </c>
      <c r="E10792" s="235">
        <f t="shared" si="1236"/>
        <v>46028</v>
      </c>
      <c r="F10792" s="480"/>
      <c r="G10792" s="208" t="s">
        <v>86</v>
      </c>
      <c r="H10792" s="208"/>
      <c r="J10792" s="165" t="s">
        <v>961</v>
      </c>
      <c r="K10792" s="263"/>
      <c r="L10792" s="205">
        <v>338630.65</v>
      </c>
      <c r="M10792" s="263"/>
      <c r="N10792" s="263"/>
    </row>
    <row r="10793" spans="1:14" ht="11.25" customHeight="1" x14ac:dyDescent="0.2">
      <c r="A10793" s="164">
        <v>2026</v>
      </c>
      <c r="B10793" s="164">
        <v>1</v>
      </c>
      <c r="C10793" s="164">
        <v>6</v>
      </c>
      <c r="D10793" s="164">
        <f t="shared" si="1237"/>
        <v>46028</v>
      </c>
      <c r="E10793" s="235">
        <f t="shared" si="1236"/>
        <v>46028</v>
      </c>
      <c r="F10793" s="480"/>
      <c r="G10793" s="208" t="s">
        <v>86</v>
      </c>
      <c r="H10793" s="208"/>
      <c r="J10793" s="165" t="s">
        <v>200</v>
      </c>
      <c r="K10793" s="205"/>
      <c r="L10793" s="205">
        <v>102632.12</v>
      </c>
      <c r="M10793" s="263"/>
      <c r="N10793" s="263"/>
    </row>
    <row r="10794" spans="1:14" ht="11.25" customHeight="1" x14ac:dyDescent="0.2">
      <c r="A10794" s="226">
        <v>2026</v>
      </c>
      <c r="B10794" s="226">
        <v>1</v>
      </c>
      <c r="C10794" s="226">
        <v>6</v>
      </c>
      <c r="D10794" s="226">
        <f t="shared" si="1237"/>
        <v>46028</v>
      </c>
      <c r="E10794" s="234">
        <f t="shared" si="1236"/>
        <v>46028</v>
      </c>
      <c r="F10794" s="479"/>
      <c r="G10794" s="227" t="s">
        <v>86</v>
      </c>
      <c r="H10794" s="228"/>
      <c r="I10794" s="228"/>
      <c r="J10794" s="229" t="s">
        <v>80</v>
      </c>
      <c r="K10794" s="230"/>
      <c r="L10794" s="230">
        <v>1665742.88</v>
      </c>
      <c r="M10794" s="263"/>
      <c r="N10794" s="263"/>
    </row>
    <row r="10795" spans="1:14" ht="11.25" customHeight="1" x14ac:dyDescent="0.2">
      <c r="A10795" s="221">
        <v>2026</v>
      </c>
      <c r="B10795" s="221">
        <v>1</v>
      </c>
      <c r="C10795" s="221">
        <v>6</v>
      </c>
      <c r="D10795" s="231">
        <f t="shared" si="1237"/>
        <v>46028</v>
      </c>
      <c r="E10795" s="233">
        <f t="shared" si="1236"/>
        <v>46028</v>
      </c>
      <c r="F10795" s="478" t="s">
        <v>1605</v>
      </c>
      <c r="G10795" s="222" t="s">
        <v>1111</v>
      </c>
      <c r="H10795" s="223"/>
      <c r="I10795" s="223"/>
      <c r="J10795" s="224" t="s">
        <v>55</v>
      </c>
      <c r="K10795" s="167">
        <v>700000</v>
      </c>
      <c r="L10795" s="225"/>
    </row>
    <row r="10796" spans="1:14" ht="11.25" customHeight="1" x14ac:dyDescent="0.2">
      <c r="A10796" s="164">
        <v>2026</v>
      </c>
      <c r="B10796" s="164">
        <v>1</v>
      </c>
      <c r="C10796" s="164">
        <v>6</v>
      </c>
      <c r="D10796" s="156">
        <f t="shared" si="1237"/>
        <v>46028</v>
      </c>
      <c r="E10796" s="235">
        <f t="shared" si="1236"/>
        <v>46028</v>
      </c>
      <c r="F10796" s="480"/>
      <c r="G10796" s="208" t="s">
        <v>1111</v>
      </c>
      <c r="J10796" s="165" t="s">
        <v>14</v>
      </c>
      <c r="L10796" s="205">
        <v>596250</v>
      </c>
    </row>
    <row r="10797" spans="1:14" ht="11.25" customHeight="1" x14ac:dyDescent="0.2">
      <c r="A10797" s="226">
        <v>2026</v>
      </c>
      <c r="B10797" s="226">
        <v>1</v>
      </c>
      <c r="C10797" s="226">
        <v>6</v>
      </c>
      <c r="D10797" s="232">
        <f t="shared" si="1237"/>
        <v>46028</v>
      </c>
      <c r="E10797" s="234">
        <f t="shared" si="1236"/>
        <v>46028</v>
      </c>
      <c r="F10797" s="479"/>
      <c r="G10797" s="227" t="s">
        <v>1111</v>
      </c>
      <c r="H10797" s="228"/>
      <c r="I10797" s="228"/>
      <c r="J10797" s="229" t="s">
        <v>1112</v>
      </c>
      <c r="K10797" s="230"/>
      <c r="L10797" s="230">
        <v>103750</v>
      </c>
    </row>
    <row r="10798" spans="1:14" ht="11.25" customHeight="1" x14ac:dyDescent="0.2">
      <c r="A10798" s="221">
        <v>2026</v>
      </c>
      <c r="B10798" s="221">
        <v>1</v>
      </c>
      <c r="C10798" s="221">
        <v>6</v>
      </c>
      <c r="D10798" s="231">
        <f t="shared" si="1237"/>
        <v>46028</v>
      </c>
      <c r="E10798" s="233">
        <f t="shared" si="1236"/>
        <v>46028</v>
      </c>
      <c r="F10798" s="478" t="s">
        <v>1670</v>
      </c>
      <c r="G10798" s="222" t="s">
        <v>1111</v>
      </c>
      <c r="H10798" s="223"/>
      <c r="I10798" s="223"/>
      <c r="J10798" s="224" t="s">
        <v>63</v>
      </c>
      <c r="K10798" s="225">
        <v>83</v>
      </c>
      <c r="L10798" s="225"/>
    </row>
    <row r="10799" spans="1:14" ht="11.25" customHeight="1" x14ac:dyDescent="0.2">
      <c r="A10799" s="226">
        <v>2026</v>
      </c>
      <c r="B10799" s="226">
        <v>1</v>
      </c>
      <c r="C10799" s="226">
        <v>6</v>
      </c>
      <c r="D10799" s="232">
        <f t="shared" si="1237"/>
        <v>46028</v>
      </c>
      <c r="E10799" s="234">
        <f t="shared" si="1236"/>
        <v>46028</v>
      </c>
      <c r="F10799" s="479"/>
      <c r="G10799" s="227" t="s">
        <v>1111</v>
      </c>
      <c r="H10799" s="228"/>
      <c r="I10799" s="228"/>
      <c r="J10799" s="229" t="s">
        <v>55</v>
      </c>
      <c r="K10799" s="230"/>
      <c r="L10799" s="230">
        <f>K10798</f>
        <v>83</v>
      </c>
    </row>
    <row r="10800" spans="1:14" ht="11.25" customHeight="1" x14ac:dyDescent="0.2">
      <c r="A10800" s="280">
        <v>2026</v>
      </c>
      <c r="B10800" s="280">
        <v>1</v>
      </c>
      <c r="C10800" s="280">
        <v>6</v>
      </c>
      <c r="D10800" s="281">
        <f t="shared" si="1237"/>
        <v>46028</v>
      </c>
      <c r="E10800" s="282">
        <f t="shared" si="1236"/>
        <v>46028</v>
      </c>
      <c r="F10800" s="472" t="s">
        <v>1744</v>
      </c>
      <c r="G10800" s="283" t="s">
        <v>86</v>
      </c>
      <c r="H10800" s="284"/>
      <c r="I10800" s="284"/>
      <c r="J10800" s="285" t="s">
        <v>131</v>
      </c>
      <c r="K10800" s="286">
        <v>2875</v>
      </c>
      <c r="L10800" s="286"/>
      <c r="M10800" s="401"/>
    </row>
    <row r="10801" spans="1:13" ht="11.25" customHeight="1" x14ac:dyDescent="0.2">
      <c r="A10801" s="287">
        <v>2026</v>
      </c>
      <c r="B10801" s="287">
        <v>1</v>
      </c>
      <c r="C10801" s="287">
        <v>6</v>
      </c>
      <c r="D10801" s="288">
        <f t="shared" si="1237"/>
        <v>46028</v>
      </c>
      <c r="E10801" s="289">
        <f t="shared" si="1236"/>
        <v>46028</v>
      </c>
      <c r="F10801" s="473"/>
      <c r="G10801" s="290" t="s">
        <v>86</v>
      </c>
      <c r="H10801" s="291"/>
      <c r="I10801" s="291"/>
      <c r="J10801" s="292" t="s">
        <v>1469</v>
      </c>
      <c r="K10801" s="293"/>
      <c r="L10801" s="293">
        <f>K10800</f>
        <v>2875</v>
      </c>
    </row>
    <row r="10802" spans="1:13" ht="11.25" customHeight="1" x14ac:dyDescent="0.2">
      <c r="A10802" s="280">
        <v>2026</v>
      </c>
      <c r="B10802" s="280">
        <v>1</v>
      </c>
      <c r="C10802" s="280">
        <v>6</v>
      </c>
      <c r="D10802" s="281">
        <f t="shared" si="1237"/>
        <v>46028</v>
      </c>
      <c r="E10802" s="282">
        <f t="shared" si="1236"/>
        <v>46028</v>
      </c>
      <c r="F10802" s="472" t="s">
        <v>1584</v>
      </c>
      <c r="G10802" s="283" t="s">
        <v>86</v>
      </c>
      <c r="H10802" s="284"/>
      <c r="I10802" s="284"/>
      <c r="J10802" s="285" t="s">
        <v>131</v>
      </c>
      <c r="K10802" s="286">
        <v>1277.7777777777778</v>
      </c>
      <c r="L10802" s="286"/>
      <c r="M10802" s="401"/>
    </row>
    <row r="10803" spans="1:13" ht="11.25" customHeight="1" x14ac:dyDescent="0.2">
      <c r="A10803" s="287">
        <v>2026</v>
      </c>
      <c r="B10803" s="287">
        <v>1</v>
      </c>
      <c r="C10803" s="287">
        <v>6</v>
      </c>
      <c r="D10803" s="288">
        <f t="shared" si="1237"/>
        <v>46028</v>
      </c>
      <c r="E10803" s="289">
        <f t="shared" si="1236"/>
        <v>46028</v>
      </c>
      <c r="F10803" s="473"/>
      <c r="G10803" s="290" t="s">
        <v>86</v>
      </c>
      <c r="H10803" s="291"/>
      <c r="I10803" s="291"/>
      <c r="J10803" s="292" t="s">
        <v>1469</v>
      </c>
      <c r="K10803" s="293"/>
      <c r="L10803" s="293">
        <f>K10802</f>
        <v>1277.7777777777778</v>
      </c>
    </row>
    <row r="10804" spans="1:13" ht="11.25" customHeight="1" x14ac:dyDescent="0.2">
      <c r="A10804" s="280">
        <v>2026</v>
      </c>
      <c r="B10804" s="280">
        <v>1</v>
      </c>
      <c r="C10804" s="280">
        <v>6</v>
      </c>
      <c r="D10804" s="281">
        <f t="shared" si="1237"/>
        <v>46028</v>
      </c>
      <c r="E10804" s="282">
        <f t="shared" si="1236"/>
        <v>46028</v>
      </c>
      <c r="F10804" s="472" t="s">
        <v>1955</v>
      </c>
      <c r="G10804" s="283" t="s">
        <v>86</v>
      </c>
      <c r="H10804" s="284"/>
      <c r="I10804" s="284"/>
      <c r="J10804" s="285" t="s">
        <v>1978</v>
      </c>
      <c r="K10804" s="286">
        <v>6185.4395604395604</v>
      </c>
      <c r="L10804" s="286"/>
      <c r="M10804" s="401"/>
    </row>
    <row r="10805" spans="1:13" ht="11.25" customHeight="1" x14ac:dyDescent="0.2">
      <c r="A10805" s="287">
        <v>2026</v>
      </c>
      <c r="B10805" s="287">
        <v>1</v>
      </c>
      <c r="C10805" s="287">
        <v>6</v>
      </c>
      <c r="D10805" s="288">
        <f t="shared" si="1237"/>
        <v>46028</v>
      </c>
      <c r="E10805" s="289">
        <f t="shared" si="1236"/>
        <v>46028</v>
      </c>
      <c r="F10805" s="473"/>
      <c r="G10805" s="290" t="s">
        <v>86</v>
      </c>
      <c r="H10805" s="291"/>
      <c r="I10805" s="291"/>
      <c r="J10805" s="292" t="s">
        <v>1955</v>
      </c>
      <c r="K10805" s="293"/>
      <c r="L10805" s="293">
        <f>K10804</f>
        <v>6185.4395604395604</v>
      </c>
    </row>
    <row r="10806" spans="1:13" ht="11.25" customHeight="1" x14ac:dyDescent="0.2">
      <c r="A10806" s="341">
        <v>2026</v>
      </c>
      <c r="B10806" s="341">
        <v>1</v>
      </c>
      <c r="C10806" s="341">
        <v>6</v>
      </c>
      <c r="D10806" s="328">
        <f t="shared" si="1237"/>
        <v>46028</v>
      </c>
      <c r="E10806" s="329">
        <f t="shared" si="1236"/>
        <v>46028</v>
      </c>
      <c r="F10806" s="474" t="s">
        <v>1767</v>
      </c>
      <c r="G10806" s="330" t="s">
        <v>86</v>
      </c>
      <c r="H10806" s="332"/>
      <c r="I10806" s="332"/>
      <c r="J10806" s="342" t="s">
        <v>67</v>
      </c>
      <c r="K10806" s="343">
        <v>398.52489888888886</v>
      </c>
      <c r="L10806" s="343"/>
    </row>
    <row r="10807" spans="1:13" ht="11.25" customHeight="1" x14ac:dyDescent="0.2">
      <c r="A10807" s="344">
        <v>2026</v>
      </c>
      <c r="B10807" s="344">
        <v>1</v>
      </c>
      <c r="C10807" s="344">
        <v>6</v>
      </c>
      <c r="D10807" s="337">
        <f t="shared" si="1237"/>
        <v>46028</v>
      </c>
      <c r="E10807" s="338">
        <f t="shared" si="1236"/>
        <v>46028</v>
      </c>
      <c r="F10807" s="475"/>
      <c r="G10807" s="339" t="s">
        <v>86</v>
      </c>
      <c r="H10807" s="340"/>
      <c r="I10807" s="340"/>
      <c r="J10807" s="345" t="s">
        <v>1974</v>
      </c>
      <c r="K10807" s="346"/>
      <c r="L10807" s="346">
        <f>K10806</f>
        <v>398.52489888888886</v>
      </c>
    </row>
    <row r="10808" spans="1:13" ht="11.25" customHeight="1" x14ac:dyDescent="0.2">
      <c r="A10808" s="236">
        <v>2026</v>
      </c>
      <c r="B10808" s="236">
        <v>1</v>
      </c>
      <c r="C10808" s="236">
        <v>6</v>
      </c>
      <c r="D10808" s="237">
        <f t="shared" si="1237"/>
        <v>46028</v>
      </c>
      <c r="E10808" s="238">
        <f t="shared" si="1236"/>
        <v>46028</v>
      </c>
      <c r="F10808" s="476" t="s">
        <v>1118</v>
      </c>
      <c r="G10808" s="239" t="s">
        <v>86</v>
      </c>
      <c r="H10808" s="239"/>
      <c r="I10808" s="240"/>
      <c r="J10808" s="241" t="s">
        <v>98</v>
      </c>
      <c r="K10808" s="242">
        <v>1355995.7800000012</v>
      </c>
      <c r="L10808" s="242"/>
    </row>
    <row r="10809" spans="1:13" ht="11.25" customHeight="1" x14ac:dyDescent="0.2">
      <c r="A10809" s="243">
        <v>2026</v>
      </c>
      <c r="B10809" s="243">
        <v>1</v>
      </c>
      <c r="C10809" s="243">
        <v>6</v>
      </c>
      <c r="D10809" s="248">
        <f t="shared" si="1237"/>
        <v>46028</v>
      </c>
      <c r="E10809" s="249">
        <f t="shared" si="1236"/>
        <v>46028</v>
      </c>
      <c r="F10809" s="477"/>
      <c r="G10809" s="244" t="s">
        <v>86</v>
      </c>
      <c r="H10809" s="244"/>
      <c r="I10809" s="245"/>
      <c r="J10809" s="246" t="s">
        <v>82</v>
      </c>
      <c r="K10809" s="247"/>
      <c r="L10809" s="247">
        <f>K10808</f>
        <v>1355995.7800000012</v>
      </c>
    </row>
    <row r="10810" spans="1:13" ht="11.25" customHeight="1" x14ac:dyDescent="0.2">
      <c r="A10810" s="236">
        <v>2026</v>
      </c>
      <c r="B10810" s="236">
        <v>1</v>
      </c>
      <c r="C10810" s="236">
        <v>6</v>
      </c>
      <c r="D10810" s="237">
        <f t="shared" si="1237"/>
        <v>46028</v>
      </c>
      <c r="E10810" s="238">
        <f t="shared" si="1236"/>
        <v>46028</v>
      </c>
      <c r="F10810" s="476" t="s">
        <v>1999</v>
      </c>
      <c r="G10810" s="239" t="s">
        <v>86</v>
      </c>
      <c r="H10810" s="239"/>
      <c r="I10810" s="240"/>
      <c r="J10810" s="241" t="s">
        <v>87</v>
      </c>
      <c r="K10810" s="242">
        <v>392.46467817896388</v>
      </c>
      <c r="L10810" s="242"/>
      <c r="M10810" s="401"/>
    </row>
    <row r="10811" spans="1:13" ht="11.25" customHeight="1" x14ac:dyDescent="0.2">
      <c r="A10811" s="243">
        <v>2026</v>
      </c>
      <c r="B10811" s="243">
        <v>1</v>
      </c>
      <c r="C10811" s="243">
        <v>6</v>
      </c>
      <c r="D10811" s="248">
        <f t="shared" si="1237"/>
        <v>46028</v>
      </c>
      <c r="E10811" s="249">
        <f t="shared" si="1236"/>
        <v>46028</v>
      </c>
      <c r="F10811" s="477"/>
      <c r="G10811" s="244" t="s">
        <v>86</v>
      </c>
      <c r="H10811" s="244"/>
      <c r="I10811" s="245"/>
      <c r="J10811" s="246" t="s">
        <v>64</v>
      </c>
      <c r="K10811" s="247"/>
      <c r="L10811" s="247">
        <f>K10810</f>
        <v>392.46467817896388</v>
      </c>
    </row>
    <row r="10812" spans="1:13" ht="11.25" customHeight="1" x14ac:dyDescent="0.2">
      <c r="A10812" s="236">
        <v>2026</v>
      </c>
      <c r="B10812" s="236">
        <v>1</v>
      </c>
      <c r="C10812" s="236">
        <v>6</v>
      </c>
      <c r="D10812" s="237">
        <f t="shared" si="1237"/>
        <v>46028</v>
      </c>
      <c r="E10812" s="238">
        <f t="shared" si="1236"/>
        <v>46028</v>
      </c>
      <c r="F10812" s="476" t="s">
        <v>2000</v>
      </c>
      <c r="G10812" s="239" t="s">
        <v>86</v>
      </c>
      <c r="H10812" s="239"/>
      <c r="I10812" s="240"/>
      <c r="J10812" s="241" t="s">
        <v>89</v>
      </c>
      <c r="K10812" s="242">
        <f>M10812</f>
        <v>13327.417179956346</v>
      </c>
      <c r="L10812" s="242"/>
      <c r="M10812" s="448">
        <v>13327.417179956346</v>
      </c>
    </row>
    <row r="10813" spans="1:13" ht="11.25" customHeight="1" x14ac:dyDescent="0.2">
      <c r="A10813" s="243">
        <v>2026</v>
      </c>
      <c r="B10813" s="243">
        <v>1</v>
      </c>
      <c r="C10813" s="243">
        <v>6</v>
      </c>
      <c r="D10813" s="248">
        <f t="shared" si="1237"/>
        <v>46028</v>
      </c>
      <c r="E10813" s="249">
        <f t="shared" si="1236"/>
        <v>46028</v>
      </c>
      <c r="F10813" s="477"/>
      <c r="G10813" s="244" t="s">
        <v>86</v>
      </c>
      <c r="H10813" s="244"/>
      <c r="I10813" s="245"/>
      <c r="J10813" s="246" t="s">
        <v>50</v>
      </c>
      <c r="K10813" s="247"/>
      <c r="L10813" s="247">
        <f>K10812</f>
        <v>13327.417179956346</v>
      </c>
      <c r="M10813" s="448">
        <v>632.03019965715782</v>
      </c>
    </row>
    <row r="10814" spans="1:13" ht="11.25" customHeight="1" x14ac:dyDescent="0.2">
      <c r="A10814" s="236">
        <v>2026</v>
      </c>
      <c r="B10814" s="236">
        <v>1</v>
      </c>
      <c r="C10814" s="236">
        <v>6</v>
      </c>
      <c r="D10814" s="237">
        <f t="shared" si="1237"/>
        <v>46028</v>
      </c>
      <c r="E10814" s="238">
        <f t="shared" si="1236"/>
        <v>46028</v>
      </c>
      <c r="F10814" s="476" t="s">
        <v>2001</v>
      </c>
      <c r="G10814" s="239" t="s">
        <v>86</v>
      </c>
      <c r="H10814" s="239"/>
      <c r="I10814" s="240"/>
      <c r="J10814" s="241" t="s">
        <v>91</v>
      </c>
      <c r="K10814" s="242">
        <f>M10813</f>
        <v>632.03019965715782</v>
      </c>
      <c r="L10814" s="242"/>
    </row>
    <row r="10815" spans="1:13" ht="11.25" customHeight="1" x14ac:dyDescent="0.2">
      <c r="A10815" s="243">
        <v>2026</v>
      </c>
      <c r="B10815" s="243">
        <v>1</v>
      </c>
      <c r="C10815" s="243">
        <v>6</v>
      </c>
      <c r="D10815" s="248">
        <f t="shared" si="1237"/>
        <v>46028</v>
      </c>
      <c r="E10815" s="249">
        <f t="shared" si="1236"/>
        <v>46028</v>
      </c>
      <c r="F10815" s="477"/>
      <c r="G10815" s="244" t="s">
        <v>86</v>
      </c>
      <c r="H10815" s="244"/>
      <c r="I10815" s="245"/>
      <c r="J10815" s="246" t="s">
        <v>51</v>
      </c>
      <c r="K10815" s="247"/>
      <c r="L10815" s="247">
        <f>K10814</f>
        <v>632.03019965715782</v>
      </c>
    </row>
    <row r="10816" spans="1:13" ht="11.25" customHeight="1" x14ac:dyDescent="0.2">
      <c r="A10816" s="221">
        <v>2026</v>
      </c>
      <c r="B10816" s="221">
        <v>1</v>
      </c>
      <c r="C10816" s="221">
        <v>7</v>
      </c>
      <c r="D10816" s="231">
        <f t="shared" si="1237"/>
        <v>46029</v>
      </c>
      <c r="E10816" s="233">
        <f t="shared" si="1236"/>
        <v>46029</v>
      </c>
      <c r="F10816" s="478" t="s">
        <v>1945</v>
      </c>
      <c r="G10816" s="222" t="s">
        <v>1111</v>
      </c>
      <c r="H10816" s="223"/>
      <c r="I10816" s="223"/>
      <c r="J10816" s="224" t="s">
        <v>55</v>
      </c>
      <c r="K10816" s="225">
        <v>669534.64</v>
      </c>
      <c r="L10816" s="225"/>
    </row>
    <row r="10817" spans="1:14" ht="11.25" customHeight="1" x14ac:dyDescent="0.2">
      <c r="A10817" s="226">
        <v>2026</v>
      </c>
      <c r="B10817" s="226">
        <v>1</v>
      </c>
      <c r="C10817" s="226">
        <v>7</v>
      </c>
      <c r="D10817" s="232">
        <f t="shared" si="1237"/>
        <v>46029</v>
      </c>
      <c r="E10817" s="234">
        <f t="shared" si="1236"/>
        <v>46029</v>
      </c>
      <c r="F10817" s="479"/>
      <c r="G10817" s="227" t="s">
        <v>1111</v>
      </c>
      <c r="H10817" s="228"/>
      <c r="I10817" s="228"/>
      <c r="J10817" s="229" t="s">
        <v>199</v>
      </c>
      <c r="K10817" s="230"/>
      <c r="L10817" s="230">
        <f>K10816</f>
        <v>669534.64</v>
      </c>
    </row>
    <row r="10818" spans="1:14" ht="11.25" customHeight="1" x14ac:dyDescent="0.2">
      <c r="A10818" s="221">
        <v>2026</v>
      </c>
      <c r="B10818" s="221">
        <v>1</v>
      </c>
      <c r="C10818" s="221">
        <v>7</v>
      </c>
      <c r="D10818" s="221">
        <f t="shared" si="1237"/>
        <v>46029</v>
      </c>
      <c r="E10818" s="233">
        <f t="shared" si="1236"/>
        <v>46029</v>
      </c>
      <c r="F10818" s="478" t="s">
        <v>1937</v>
      </c>
      <c r="G10818" s="222" t="s">
        <v>86</v>
      </c>
      <c r="H10818" s="222"/>
      <c r="I10818" s="223"/>
      <c r="J10818" s="224" t="s">
        <v>80</v>
      </c>
      <c r="K10818" s="225">
        <v>3853666</v>
      </c>
      <c r="L10818" s="225"/>
      <c r="N10818" s="263"/>
    </row>
    <row r="10819" spans="1:14" ht="11.25" customHeight="1" x14ac:dyDescent="0.2">
      <c r="A10819" s="164">
        <v>2026</v>
      </c>
      <c r="B10819" s="164">
        <v>1</v>
      </c>
      <c r="C10819" s="164">
        <v>7</v>
      </c>
      <c r="D10819" s="164">
        <f t="shared" si="1237"/>
        <v>46029</v>
      </c>
      <c r="E10819" s="235">
        <f t="shared" ref="E10819:E10882" si="1238">DATE(A10819,B10819,C10819)</f>
        <v>46029</v>
      </c>
      <c r="F10819" s="480"/>
      <c r="G10819" s="208" t="s">
        <v>86</v>
      </c>
      <c r="H10819" s="208"/>
      <c r="J10819" s="165" t="s">
        <v>960</v>
      </c>
      <c r="K10819" s="205">
        <v>12532.8</v>
      </c>
      <c r="L10819" s="205"/>
      <c r="M10819" s="263"/>
      <c r="N10819" s="263"/>
    </row>
    <row r="10820" spans="1:14" ht="11.25" customHeight="1" x14ac:dyDescent="0.2">
      <c r="A10820" s="164">
        <v>2026</v>
      </c>
      <c r="B10820" s="164">
        <v>1</v>
      </c>
      <c r="C10820" s="164">
        <v>7</v>
      </c>
      <c r="D10820" s="164">
        <f t="shared" si="1237"/>
        <v>46029</v>
      </c>
      <c r="E10820" s="235">
        <f t="shared" si="1238"/>
        <v>46029</v>
      </c>
      <c r="F10820" s="480"/>
      <c r="G10820" s="208" t="s">
        <v>86</v>
      </c>
      <c r="H10820" s="208"/>
      <c r="J10820" s="165" t="s">
        <v>961</v>
      </c>
      <c r="K10820" s="263"/>
      <c r="L10820" s="205">
        <v>757198.8</v>
      </c>
      <c r="M10820" s="263"/>
      <c r="N10820" s="263"/>
    </row>
    <row r="10821" spans="1:14" ht="11.25" customHeight="1" x14ac:dyDescent="0.2">
      <c r="A10821" s="164">
        <v>2026</v>
      </c>
      <c r="B10821" s="164">
        <v>1</v>
      </c>
      <c r="C10821" s="164">
        <v>7</v>
      </c>
      <c r="D10821" s="164">
        <f t="shared" si="1237"/>
        <v>46029</v>
      </c>
      <c r="E10821" s="235">
        <f t="shared" si="1238"/>
        <v>46029</v>
      </c>
      <c r="F10821" s="480"/>
      <c r="G10821" s="208" t="s">
        <v>86</v>
      </c>
      <c r="H10821" s="208"/>
      <c r="J10821" s="165" t="s">
        <v>200</v>
      </c>
      <c r="K10821" s="205"/>
      <c r="L10821" s="205">
        <v>282408.46999999997</v>
      </c>
      <c r="M10821" s="263"/>
      <c r="N10821" s="263"/>
    </row>
    <row r="10822" spans="1:14" ht="11.25" customHeight="1" x14ac:dyDescent="0.2">
      <c r="A10822" s="226">
        <v>2026</v>
      </c>
      <c r="B10822" s="226">
        <v>1</v>
      </c>
      <c r="C10822" s="226">
        <v>7</v>
      </c>
      <c r="D10822" s="226">
        <f t="shared" si="1237"/>
        <v>46029</v>
      </c>
      <c r="E10822" s="234">
        <f t="shared" si="1238"/>
        <v>46029</v>
      </c>
      <c r="F10822" s="479"/>
      <c r="G10822" s="227" t="s">
        <v>86</v>
      </c>
      <c r="H10822" s="228"/>
      <c r="I10822" s="228"/>
      <c r="J10822" s="229" t="s">
        <v>80</v>
      </c>
      <c r="K10822" s="230"/>
      <c r="L10822" s="230">
        <v>2826591.53</v>
      </c>
      <c r="M10822" s="263"/>
      <c r="N10822" s="263"/>
    </row>
    <row r="10823" spans="1:14" ht="11.25" customHeight="1" x14ac:dyDescent="0.2">
      <c r="A10823" s="280">
        <v>2026</v>
      </c>
      <c r="B10823" s="280">
        <v>1</v>
      </c>
      <c r="C10823" s="280">
        <v>7</v>
      </c>
      <c r="D10823" s="281">
        <f t="shared" si="1237"/>
        <v>46029</v>
      </c>
      <c r="E10823" s="282">
        <f t="shared" si="1238"/>
        <v>46029</v>
      </c>
      <c r="F10823" s="472" t="s">
        <v>1744</v>
      </c>
      <c r="G10823" s="283" t="s">
        <v>86</v>
      </c>
      <c r="H10823" s="284"/>
      <c r="I10823" s="284"/>
      <c r="J10823" s="285" t="s">
        <v>131</v>
      </c>
      <c r="K10823" s="286">
        <v>2875</v>
      </c>
      <c r="L10823" s="286"/>
      <c r="M10823" s="401"/>
    </row>
    <row r="10824" spans="1:14" ht="11.25" customHeight="1" x14ac:dyDescent="0.2">
      <c r="A10824" s="287">
        <v>2026</v>
      </c>
      <c r="B10824" s="287">
        <v>1</v>
      </c>
      <c r="C10824" s="287">
        <v>7</v>
      </c>
      <c r="D10824" s="288">
        <f t="shared" si="1237"/>
        <v>46029</v>
      </c>
      <c r="E10824" s="289">
        <f t="shared" si="1238"/>
        <v>46029</v>
      </c>
      <c r="F10824" s="473"/>
      <c r="G10824" s="290" t="s">
        <v>86</v>
      </c>
      <c r="H10824" s="291"/>
      <c r="I10824" s="291"/>
      <c r="J10824" s="292" t="s">
        <v>1469</v>
      </c>
      <c r="K10824" s="293"/>
      <c r="L10824" s="293">
        <f>K10823</f>
        <v>2875</v>
      </c>
    </row>
    <row r="10825" spans="1:14" ht="11.25" customHeight="1" x14ac:dyDescent="0.2">
      <c r="A10825" s="280">
        <v>2026</v>
      </c>
      <c r="B10825" s="280">
        <v>1</v>
      </c>
      <c r="C10825" s="280">
        <v>7</v>
      </c>
      <c r="D10825" s="281">
        <f t="shared" ref="D10825:D10888" si="1239">DATE(A10825,B10825,C10825)</f>
        <v>46029</v>
      </c>
      <c r="E10825" s="282">
        <f t="shared" si="1238"/>
        <v>46029</v>
      </c>
      <c r="F10825" s="472" t="s">
        <v>1584</v>
      </c>
      <c r="G10825" s="283" t="s">
        <v>86</v>
      </c>
      <c r="H10825" s="284"/>
      <c r="I10825" s="284"/>
      <c r="J10825" s="285" t="s">
        <v>131</v>
      </c>
      <c r="K10825" s="286">
        <v>1277.7777777777778</v>
      </c>
      <c r="L10825" s="286"/>
      <c r="M10825" s="401"/>
    </row>
    <row r="10826" spans="1:14" ht="11.25" customHeight="1" x14ac:dyDescent="0.2">
      <c r="A10826" s="287">
        <v>2026</v>
      </c>
      <c r="B10826" s="287">
        <v>1</v>
      </c>
      <c r="C10826" s="287">
        <v>7</v>
      </c>
      <c r="D10826" s="288">
        <f t="shared" si="1239"/>
        <v>46029</v>
      </c>
      <c r="E10826" s="289">
        <f t="shared" si="1238"/>
        <v>46029</v>
      </c>
      <c r="F10826" s="473"/>
      <c r="G10826" s="290" t="s">
        <v>86</v>
      </c>
      <c r="H10826" s="291"/>
      <c r="I10826" s="291"/>
      <c r="J10826" s="292" t="s">
        <v>1469</v>
      </c>
      <c r="K10826" s="293"/>
      <c r="L10826" s="293">
        <f>K10825</f>
        <v>1277.7777777777778</v>
      </c>
    </row>
    <row r="10827" spans="1:14" ht="11.25" customHeight="1" x14ac:dyDescent="0.2">
      <c r="A10827" s="280">
        <v>2026</v>
      </c>
      <c r="B10827" s="280">
        <v>1</v>
      </c>
      <c r="C10827" s="280">
        <v>7</v>
      </c>
      <c r="D10827" s="281">
        <f t="shared" si="1239"/>
        <v>46029</v>
      </c>
      <c r="E10827" s="282">
        <f t="shared" si="1238"/>
        <v>46029</v>
      </c>
      <c r="F10827" s="472" t="s">
        <v>1955</v>
      </c>
      <c r="G10827" s="283" t="s">
        <v>86</v>
      </c>
      <c r="H10827" s="284"/>
      <c r="I10827" s="284"/>
      <c r="J10827" s="285" t="s">
        <v>1978</v>
      </c>
      <c r="K10827" s="286">
        <v>6185.4395604395604</v>
      </c>
      <c r="L10827" s="286"/>
      <c r="M10827" s="401"/>
    </row>
    <row r="10828" spans="1:14" ht="11.25" customHeight="1" x14ac:dyDescent="0.2">
      <c r="A10828" s="287">
        <v>2026</v>
      </c>
      <c r="B10828" s="287">
        <v>1</v>
      </c>
      <c r="C10828" s="287">
        <v>7</v>
      </c>
      <c r="D10828" s="288">
        <f t="shared" si="1239"/>
        <v>46029</v>
      </c>
      <c r="E10828" s="289">
        <f t="shared" si="1238"/>
        <v>46029</v>
      </c>
      <c r="F10828" s="473"/>
      <c r="G10828" s="290" t="s">
        <v>86</v>
      </c>
      <c r="H10828" s="291"/>
      <c r="I10828" s="291"/>
      <c r="J10828" s="292" t="s">
        <v>1955</v>
      </c>
      <c r="K10828" s="293"/>
      <c r="L10828" s="293">
        <f>K10827</f>
        <v>6185.4395604395604</v>
      </c>
    </row>
    <row r="10829" spans="1:14" ht="11.25" customHeight="1" x14ac:dyDescent="0.2">
      <c r="A10829" s="341">
        <v>2026</v>
      </c>
      <c r="B10829" s="341">
        <v>1</v>
      </c>
      <c r="C10829" s="341">
        <v>7</v>
      </c>
      <c r="D10829" s="328">
        <f t="shared" si="1239"/>
        <v>46029</v>
      </c>
      <c r="E10829" s="329">
        <f t="shared" si="1238"/>
        <v>46029</v>
      </c>
      <c r="F10829" s="474" t="s">
        <v>1767</v>
      </c>
      <c r="G10829" s="330" t="s">
        <v>86</v>
      </c>
      <c r="H10829" s="332"/>
      <c r="I10829" s="332"/>
      <c r="J10829" s="342" t="s">
        <v>67</v>
      </c>
      <c r="K10829" s="343">
        <v>683.83940722222223</v>
      </c>
      <c r="L10829" s="343"/>
      <c r="M10829" s="166"/>
    </row>
    <row r="10830" spans="1:14" ht="11.25" customHeight="1" x14ac:dyDescent="0.2">
      <c r="A10830" s="344">
        <v>2026</v>
      </c>
      <c r="B10830" s="344">
        <v>1</v>
      </c>
      <c r="C10830" s="344">
        <v>7</v>
      </c>
      <c r="D10830" s="337">
        <f t="shared" si="1239"/>
        <v>46029</v>
      </c>
      <c r="E10830" s="338">
        <f t="shared" si="1238"/>
        <v>46029</v>
      </c>
      <c r="F10830" s="475"/>
      <c r="G10830" s="339" t="s">
        <v>86</v>
      </c>
      <c r="H10830" s="340"/>
      <c r="I10830" s="340"/>
      <c r="J10830" s="345" t="s">
        <v>1974</v>
      </c>
      <c r="K10830" s="346"/>
      <c r="L10830" s="346">
        <f>K10829</f>
        <v>683.83940722222223</v>
      </c>
    </row>
    <row r="10831" spans="1:14" ht="11.25" customHeight="1" x14ac:dyDescent="0.2">
      <c r="A10831" s="236">
        <v>2026</v>
      </c>
      <c r="B10831" s="236">
        <v>1</v>
      </c>
      <c r="C10831" s="236">
        <v>7</v>
      </c>
      <c r="D10831" s="237">
        <f t="shared" si="1239"/>
        <v>46029</v>
      </c>
      <c r="E10831" s="238">
        <f t="shared" si="1238"/>
        <v>46029</v>
      </c>
      <c r="F10831" s="476" t="s">
        <v>1118</v>
      </c>
      <c r="G10831" s="239" t="s">
        <v>86</v>
      </c>
      <c r="H10831" s="239"/>
      <c r="I10831" s="240"/>
      <c r="J10831" s="241" t="s">
        <v>98</v>
      </c>
      <c r="K10831" s="242">
        <v>2114725.469999969</v>
      </c>
      <c r="L10831" s="242"/>
      <c r="M10831" s="166"/>
    </row>
    <row r="10832" spans="1:14" ht="11.25" customHeight="1" x14ac:dyDescent="0.2">
      <c r="A10832" s="243">
        <v>2026</v>
      </c>
      <c r="B10832" s="243">
        <v>1</v>
      </c>
      <c r="C10832" s="243">
        <v>7</v>
      </c>
      <c r="D10832" s="248">
        <f t="shared" si="1239"/>
        <v>46029</v>
      </c>
      <c r="E10832" s="249">
        <f t="shared" si="1238"/>
        <v>46029</v>
      </c>
      <c r="F10832" s="477"/>
      <c r="G10832" s="244" t="s">
        <v>86</v>
      </c>
      <c r="H10832" s="244"/>
      <c r="I10832" s="245"/>
      <c r="J10832" s="246" t="s">
        <v>82</v>
      </c>
      <c r="K10832" s="247"/>
      <c r="L10832" s="247">
        <f>K10831</f>
        <v>2114725.469999969</v>
      </c>
    </row>
    <row r="10833" spans="1:14" ht="11.25" customHeight="1" x14ac:dyDescent="0.2">
      <c r="A10833" s="236">
        <v>2026</v>
      </c>
      <c r="B10833" s="236">
        <v>1</v>
      </c>
      <c r="C10833" s="236">
        <v>7</v>
      </c>
      <c r="D10833" s="237">
        <f t="shared" si="1239"/>
        <v>46029</v>
      </c>
      <c r="E10833" s="238">
        <f t="shared" si="1238"/>
        <v>46029</v>
      </c>
      <c r="F10833" s="476" t="s">
        <v>1999</v>
      </c>
      <c r="G10833" s="239" t="s">
        <v>86</v>
      </c>
      <c r="H10833" s="239"/>
      <c r="I10833" s="240"/>
      <c r="J10833" s="241" t="s">
        <v>87</v>
      </c>
      <c r="K10833" s="242">
        <v>392.46467817896388</v>
      </c>
      <c r="L10833" s="242"/>
      <c r="M10833" s="401"/>
    </row>
    <row r="10834" spans="1:14" ht="11.25" customHeight="1" x14ac:dyDescent="0.2">
      <c r="A10834" s="243">
        <v>2026</v>
      </c>
      <c r="B10834" s="243">
        <v>1</v>
      </c>
      <c r="C10834" s="243">
        <v>7</v>
      </c>
      <c r="D10834" s="248">
        <f t="shared" si="1239"/>
        <v>46029</v>
      </c>
      <c r="E10834" s="249">
        <f t="shared" si="1238"/>
        <v>46029</v>
      </c>
      <c r="F10834" s="477"/>
      <c r="G10834" s="244" t="s">
        <v>86</v>
      </c>
      <c r="H10834" s="244"/>
      <c r="I10834" s="245"/>
      <c r="J10834" s="246" t="s">
        <v>64</v>
      </c>
      <c r="K10834" s="247"/>
      <c r="L10834" s="247">
        <f>K10833</f>
        <v>392.46467817896388</v>
      </c>
    </row>
    <row r="10835" spans="1:14" ht="11.25" customHeight="1" x14ac:dyDescent="0.2">
      <c r="A10835" s="236">
        <v>2026</v>
      </c>
      <c r="B10835" s="236">
        <v>1</v>
      </c>
      <c r="C10835" s="236">
        <v>7</v>
      </c>
      <c r="D10835" s="237">
        <f t="shared" si="1239"/>
        <v>46029</v>
      </c>
      <c r="E10835" s="238">
        <f t="shared" si="1238"/>
        <v>46029</v>
      </c>
      <c r="F10835" s="476" t="s">
        <v>2000</v>
      </c>
      <c r="G10835" s="239" t="s">
        <v>86</v>
      </c>
      <c r="H10835" s="239"/>
      <c r="I10835" s="240"/>
      <c r="J10835" s="241" t="s">
        <v>89</v>
      </c>
      <c r="K10835" s="242">
        <f>M10835</f>
        <v>13489.82963830991</v>
      </c>
      <c r="L10835" s="242"/>
      <c r="M10835" s="448">
        <v>13489.82963830991</v>
      </c>
    </row>
    <row r="10836" spans="1:14" ht="11.25" customHeight="1" x14ac:dyDescent="0.2">
      <c r="A10836" s="243">
        <v>2026</v>
      </c>
      <c r="B10836" s="243">
        <v>1</v>
      </c>
      <c r="C10836" s="243">
        <v>7</v>
      </c>
      <c r="D10836" s="248">
        <f t="shared" si="1239"/>
        <v>46029</v>
      </c>
      <c r="E10836" s="249">
        <f t="shared" si="1238"/>
        <v>46029</v>
      </c>
      <c r="F10836" s="477"/>
      <c r="G10836" s="244" t="s">
        <v>86</v>
      </c>
      <c r="H10836" s="244"/>
      <c r="I10836" s="245"/>
      <c r="J10836" s="246" t="s">
        <v>50</v>
      </c>
      <c r="K10836" s="247"/>
      <c r="L10836" s="247">
        <f>K10835</f>
        <v>13489.82963830991</v>
      </c>
      <c r="M10836" s="448">
        <v>640.1508225748363</v>
      </c>
    </row>
    <row r="10837" spans="1:14" ht="11.25" customHeight="1" x14ac:dyDescent="0.2">
      <c r="A10837" s="236">
        <v>2026</v>
      </c>
      <c r="B10837" s="236">
        <v>1</v>
      </c>
      <c r="C10837" s="236">
        <v>7</v>
      </c>
      <c r="D10837" s="237">
        <f t="shared" si="1239"/>
        <v>46029</v>
      </c>
      <c r="E10837" s="238">
        <f t="shared" si="1238"/>
        <v>46029</v>
      </c>
      <c r="F10837" s="476" t="s">
        <v>2001</v>
      </c>
      <c r="G10837" s="239" t="s">
        <v>86</v>
      </c>
      <c r="H10837" s="239"/>
      <c r="I10837" s="240"/>
      <c r="J10837" s="241" t="s">
        <v>91</v>
      </c>
      <c r="K10837" s="242">
        <f>M10836</f>
        <v>640.1508225748363</v>
      </c>
      <c r="L10837" s="242"/>
    </row>
    <row r="10838" spans="1:14" ht="11.25" customHeight="1" x14ac:dyDescent="0.2">
      <c r="A10838" s="243">
        <v>2026</v>
      </c>
      <c r="B10838" s="243">
        <v>1</v>
      </c>
      <c r="C10838" s="243">
        <v>7</v>
      </c>
      <c r="D10838" s="248">
        <f t="shared" si="1239"/>
        <v>46029</v>
      </c>
      <c r="E10838" s="249">
        <f t="shared" si="1238"/>
        <v>46029</v>
      </c>
      <c r="F10838" s="477"/>
      <c r="G10838" s="244" t="s">
        <v>86</v>
      </c>
      <c r="H10838" s="244"/>
      <c r="I10838" s="245"/>
      <c r="J10838" s="246" t="s">
        <v>51</v>
      </c>
      <c r="K10838" s="247"/>
      <c r="L10838" s="247">
        <f>K10837</f>
        <v>640.1508225748363</v>
      </c>
    </row>
    <row r="10839" spans="1:14" ht="11.25" customHeight="1" x14ac:dyDescent="0.2">
      <c r="A10839" s="221">
        <v>2026</v>
      </c>
      <c r="B10839" s="221">
        <v>1</v>
      </c>
      <c r="C10839" s="221">
        <v>8</v>
      </c>
      <c r="D10839" s="231">
        <f t="shared" si="1239"/>
        <v>46030</v>
      </c>
      <c r="E10839" s="233">
        <f t="shared" si="1238"/>
        <v>46030</v>
      </c>
      <c r="F10839" s="478" t="s">
        <v>1977</v>
      </c>
      <c r="G10839" s="222" t="s">
        <v>1111</v>
      </c>
      <c r="H10839" s="223"/>
      <c r="I10839" s="223"/>
      <c r="J10839" s="224" t="s">
        <v>55</v>
      </c>
      <c r="K10839" s="225">
        <v>871260</v>
      </c>
      <c r="L10839" s="225"/>
    </row>
    <row r="10840" spans="1:14" ht="11.25" customHeight="1" x14ac:dyDescent="0.2">
      <c r="A10840" s="226">
        <v>2026</v>
      </c>
      <c r="B10840" s="226">
        <v>1</v>
      </c>
      <c r="C10840" s="226">
        <v>8</v>
      </c>
      <c r="D10840" s="232">
        <f t="shared" si="1239"/>
        <v>46030</v>
      </c>
      <c r="E10840" s="234">
        <f t="shared" si="1238"/>
        <v>46030</v>
      </c>
      <c r="F10840" s="479"/>
      <c r="G10840" s="227" t="s">
        <v>1111</v>
      </c>
      <c r="H10840" s="228"/>
      <c r="I10840" s="228"/>
      <c r="J10840" s="229" t="s">
        <v>192</v>
      </c>
      <c r="K10840" s="230"/>
      <c r="L10840" s="230">
        <f>K10839</f>
        <v>871260</v>
      </c>
    </row>
    <row r="10841" spans="1:14" ht="11.25" customHeight="1" x14ac:dyDescent="0.2">
      <c r="A10841" s="221">
        <v>2026</v>
      </c>
      <c r="B10841" s="221">
        <v>1</v>
      </c>
      <c r="C10841" s="221">
        <v>8</v>
      </c>
      <c r="D10841" s="231">
        <f t="shared" si="1239"/>
        <v>46030</v>
      </c>
      <c r="E10841" s="233">
        <f t="shared" si="1238"/>
        <v>46030</v>
      </c>
      <c r="F10841" s="478" t="s">
        <v>1940</v>
      </c>
      <c r="G10841" s="222" t="s">
        <v>1111</v>
      </c>
      <c r="H10841" s="223"/>
      <c r="I10841" s="223"/>
      <c r="J10841" s="224" t="s">
        <v>961</v>
      </c>
      <c r="K10841" s="225">
        <v>338630.65</v>
      </c>
      <c r="L10841" s="225"/>
    </row>
    <row r="10842" spans="1:14" ht="11.25" customHeight="1" x14ac:dyDescent="0.2">
      <c r="A10842" s="226">
        <v>2026</v>
      </c>
      <c r="B10842" s="226">
        <v>1</v>
      </c>
      <c r="C10842" s="226">
        <v>8</v>
      </c>
      <c r="D10842" s="232">
        <f t="shared" si="1239"/>
        <v>46030</v>
      </c>
      <c r="E10842" s="234">
        <f t="shared" si="1238"/>
        <v>46030</v>
      </c>
      <c r="F10842" s="479"/>
      <c r="G10842" s="227" t="s">
        <v>1111</v>
      </c>
      <c r="H10842" s="228"/>
      <c r="I10842" s="228"/>
      <c r="J10842" s="229" t="s">
        <v>55</v>
      </c>
      <c r="K10842" s="230"/>
      <c r="L10842" s="230">
        <f>K10841</f>
        <v>338630.65</v>
      </c>
    </row>
    <row r="10843" spans="1:14" ht="11.25" customHeight="1" x14ac:dyDescent="0.2">
      <c r="A10843" s="221">
        <v>2026</v>
      </c>
      <c r="B10843" s="221">
        <v>1</v>
      </c>
      <c r="C10843" s="221">
        <v>8</v>
      </c>
      <c r="D10843" s="231">
        <f t="shared" si="1239"/>
        <v>46030</v>
      </c>
      <c r="E10843" s="233">
        <f t="shared" si="1238"/>
        <v>46030</v>
      </c>
      <c r="F10843" s="478" t="s">
        <v>1940</v>
      </c>
      <c r="G10843" s="222" t="s">
        <v>1111</v>
      </c>
      <c r="H10843" s="223"/>
      <c r="I10843" s="223"/>
      <c r="J10843" s="224" t="s">
        <v>961</v>
      </c>
      <c r="K10843" s="225">
        <v>757198.8</v>
      </c>
      <c r="L10843" s="225"/>
    </row>
    <row r="10844" spans="1:14" ht="11.25" customHeight="1" x14ac:dyDescent="0.2">
      <c r="A10844" s="226">
        <v>2026</v>
      </c>
      <c r="B10844" s="226">
        <v>1</v>
      </c>
      <c r="C10844" s="226">
        <v>8</v>
      </c>
      <c r="D10844" s="232">
        <f t="shared" si="1239"/>
        <v>46030</v>
      </c>
      <c r="E10844" s="234">
        <f t="shared" si="1238"/>
        <v>46030</v>
      </c>
      <c r="F10844" s="479"/>
      <c r="G10844" s="227" t="s">
        <v>1111</v>
      </c>
      <c r="H10844" s="228"/>
      <c r="I10844" s="228"/>
      <c r="J10844" s="229" t="s">
        <v>55</v>
      </c>
      <c r="K10844" s="230"/>
      <c r="L10844" s="230">
        <f>K10843</f>
        <v>757198.8</v>
      </c>
    </row>
    <row r="10845" spans="1:14" ht="11.25" customHeight="1" x14ac:dyDescent="0.2">
      <c r="A10845" s="221">
        <v>2026</v>
      </c>
      <c r="B10845" s="221">
        <v>1</v>
      </c>
      <c r="C10845" s="221">
        <v>8</v>
      </c>
      <c r="D10845" s="231">
        <f t="shared" si="1239"/>
        <v>46030</v>
      </c>
      <c r="E10845" s="233">
        <f t="shared" si="1238"/>
        <v>46030</v>
      </c>
      <c r="F10845" s="478" t="s">
        <v>1670</v>
      </c>
      <c r="G10845" s="222" t="s">
        <v>1111</v>
      </c>
      <c r="H10845" s="223"/>
      <c r="I10845" s="223"/>
      <c r="J10845" s="224" t="s">
        <v>63</v>
      </c>
      <c r="K10845" s="225">
        <v>100</v>
      </c>
      <c r="L10845" s="225"/>
    </row>
    <row r="10846" spans="1:14" ht="11.25" customHeight="1" x14ac:dyDescent="0.2">
      <c r="A10846" s="226">
        <v>2026</v>
      </c>
      <c r="B10846" s="226">
        <v>1</v>
      </c>
      <c r="C10846" s="226">
        <v>8</v>
      </c>
      <c r="D10846" s="232">
        <f t="shared" si="1239"/>
        <v>46030</v>
      </c>
      <c r="E10846" s="234">
        <f t="shared" si="1238"/>
        <v>46030</v>
      </c>
      <c r="F10846" s="479"/>
      <c r="G10846" s="227" t="s">
        <v>1111</v>
      </c>
      <c r="H10846" s="228"/>
      <c r="I10846" s="228"/>
      <c r="J10846" s="229" t="s">
        <v>55</v>
      </c>
      <c r="K10846" s="230"/>
      <c r="L10846" s="230">
        <f>K10845</f>
        <v>100</v>
      </c>
    </row>
    <row r="10847" spans="1:14" ht="11.25" customHeight="1" x14ac:dyDescent="0.2">
      <c r="A10847" s="221">
        <v>2026</v>
      </c>
      <c r="B10847" s="221">
        <v>1</v>
      </c>
      <c r="C10847" s="221">
        <v>8</v>
      </c>
      <c r="D10847" s="221">
        <f t="shared" si="1239"/>
        <v>46030</v>
      </c>
      <c r="E10847" s="233">
        <f t="shared" si="1238"/>
        <v>46030</v>
      </c>
      <c r="F10847" s="478" t="s">
        <v>1937</v>
      </c>
      <c r="G10847" s="222" t="s">
        <v>86</v>
      </c>
      <c r="H10847" s="222"/>
      <c r="I10847" s="223"/>
      <c r="J10847" s="224" t="s">
        <v>80</v>
      </c>
      <c r="K10847" s="225">
        <v>1787749.8</v>
      </c>
      <c r="L10847" s="225"/>
      <c r="N10847" s="263"/>
    </row>
    <row r="10848" spans="1:14" ht="11.25" customHeight="1" x14ac:dyDescent="0.2">
      <c r="A10848" s="164">
        <v>2026</v>
      </c>
      <c r="B10848" s="164">
        <v>1</v>
      </c>
      <c r="C10848" s="164">
        <v>8</v>
      </c>
      <c r="D10848" s="164">
        <f t="shared" si="1239"/>
        <v>46030</v>
      </c>
      <c r="E10848" s="235">
        <f t="shared" si="1238"/>
        <v>46030</v>
      </c>
      <c r="F10848" s="480"/>
      <c r="G10848" s="208" t="s">
        <v>86</v>
      </c>
      <c r="H10848" s="208"/>
      <c r="J10848" s="165" t="s">
        <v>960</v>
      </c>
      <c r="K10848" s="205">
        <v>3496.05</v>
      </c>
      <c r="L10848" s="205"/>
      <c r="M10848" s="263"/>
      <c r="N10848" s="263"/>
    </row>
    <row r="10849" spans="1:14" ht="11.25" customHeight="1" x14ac:dyDescent="0.2">
      <c r="A10849" s="164">
        <v>2026</v>
      </c>
      <c r="B10849" s="164">
        <v>1</v>
      </c>
      <c r="C10849" s="164">
        <v>8</v>
      </c>
      <c r="D10849" s="164">
        <f t="shared" si="1239"/>
        <v>46030</v>
      </c>
      <c r="E10849" s="235">
        <f t="shared" si="1238"/>
        <v>46030</v>
      </c>
      <c r="F10849" s="480"/>
      <c r="G10849" s="208" t="s">
        <v>86</v>
      </c>
      <c r="H10849" s="208"/>
      <c r="J10849" s="165" t="s">
        <v>961</v>
      </c>
      <c r="K10849" s="263"/>
      <c r="L10849" s="205">
        <v>1636745.85</v>
      </c>
      <c r="M10849" s="263"/>
      <c r="N10849" s="263"/>
    </row>
    <row r="10850" spans="1:14" ht="11.25" customHeight="1" x14ac:dyDescent="0.2">
      <c r="A10850" s="164">
        <v>2026</v>
      </c>
      <c r="B10850" s="164">
        <v>1</v>
      </c>
      <c r="C10850" s="164">
        <v>8</v>
      </c>
      <c r="D10850" s="164">
        <f t="shared" si="1239"/>
        <v>46030</v>
      </c>
      <c r="E10850" s="235">
        <f t="shared" si="1238"/>
        <v>46030</v>
      </c>
      <c r="F10850" s="480"/>
      <c r="G10850" s="208" t="s">
        <v>86</v>
      </c>
      <c r="H10850" s="208"/>
      <c r="J10850" s="165" t="s">
        <v>200</v>
      </c>
      <c r="K10850" s="205"/>
      <c r="L10850" s="205">
        <v>18379.11</v>
      </c>
      <c r="M10850" s="263"/>
      <c r="N10850" s="263"/>
    </row>
    <row r="10851" spans="1:14" ht="11.25" customHeight="1" x14ac:dyDescent="0.2">
      <c r="A10851" s="226">
        <v>2026</v>
      </c>
      <c r="B10851" s="226">
        <v>1</v>
      </c>
      <c r="C10851" s="226">
        <v>8</v>
      </c>
      <c r="D10851" s="226">
        <f t="shared" si="1239"/>
        <v>46030</v>
      </c>
      <c r="E10851" s="234">
        <f t="shared" si="1238"/>
        <v>46030</v>
      </c>
      <c r="F10851" s="479"/>
      <c r="G10851" s="227" t="s">
        <v>86</v>
      </c>
      <c r="H10851" s="228"/>
      <c r="I10851" s="228"/>
      <c r="J10851" s="229" t="s">
        <v>80</v>
      </c>
      <c r="K10851" s="230"/>
      <c r="L10851" s="230">
        <v>136120.89000000001</v>
      </c>
      <c r="M10851" s="263"/>
      <c r="N10851" s="263"/>
    </row>
    <row r="10852" spans="1:14" ht="11.25" customHeight="1" x14ac:dyDescent="0.2">
      <c r="A10852" s="280">
        <v>2026</v>
      </c>
      <c r="B10852" s="280">
        <v>1</v>
      </c>
      <c r="C10852" s="280">
        <v>8</v>
      </c>
      <c r="D10852" s="281">
        <f t="shared" si="1239"/>
        <v>46030</v>
      </c>
      <c r="E10852" s="282">
        <f t="shared" si="1238"/>
        <v>46030</v>
      </c>
      <c r="F10852" s="472" t="s">
        <v>1744</v>
      </c>
      <c r="G10852" s="283" t="s">
        <v>86</v>
      </c>
      <c r="H10852" s="284"/>
      <c r="I10852" s="284"/>
      <c r="J10852" s="285" t="s">
        <v>131</v>
      </c>
      <c r="K10852" s="286">
        <v>2875</v>
      </c>
      <c r="L10852" s="286"/>
      <c r="M10852" s="401"/>
    </row>
    <row r="10853" spans="1:14" ht="11.25" customHeight="1" x14ac:dyDescent="0.2">
      <c r="A10853" s="287">
        <v>2026</v>
      </c>
      <c r="B10853" s="287">
        <v>1</v>
      </c>
      <c r="C10853" s="287">
        <v>8</v>
      </c>
      <c r="D10853" s="288">
        <f t="shared" si="1239"/>
        <v>46030</v>
      </c>
      <c r="E10853" s="289">
        <f t="shared" si="1238"/>
        <v>46030</v>
      </c>
      <c r="F10853" s="473"/>
      <c r="G10853" s="290" t="s">
        <v>86</v>
      </c>
      <c r="H10853" s="291"/>
      <c r="I10853" s="291"/>
      <c r="J10853" s="292" t="s">
        <v>1469</v>
      </c>
      <c r="K10853" s="293"/>
      <c r="L10853" s="293">
        <f>K10852</f>
        <v>2875</v>
      </c>
    </row>
    <row r="10854" spans="1:14" ht="11.25" customHeight="1" x14ac:dyDescent="0.2">
      <c r="A10854" s="280">
        <v>2026</v>
      </c>
      <c r="B10854" s="280">
        <v>1</v>
      </c>
      <c r="C10854" s="280">
        <v>8</v>
      </c>
      <c r="D10854" s="281">
        <f t="shared" si="1239"/>
        <v>46030</v>
      </c>
      <c r="E10854" s="282">
        <f t="shared" si="1238"/>
        <v>46030</v>
      </c>
      <c r="F10854" s="472" t="s">
        <v>1584</v>
      </c>
      <c r="G10854" s="283" t="s">
        <v>86</v>
      </c>
      <c r="H10854" s="284"/>
      <c r="I10854" s="284"/>
      <c r="J10854" s="285" t="s">
        <v>131</v>
      </c>
      <c r="K10854" s="286">
        <v>1277.7777777777778</v>
      </c>
      <c r="L10854" s="286"/>
      <c r="M10854" s="401"/>
    </row>
    <row r="10855" spans="1:14" ht="11.25" customHeight="1" x14ac:dyDescent="0.2">
      <c r="A10855" s="287">
        <v>2026</v>
      </c>
      <c r="B10855" s="287">
        <v>1</v>
      </c>
      <c r="C10855" s="287">
        <v>8</v>
      </c>
      <c r="D10855" s="288">
        <f t="shared" si="1239"/>
        <v>46030</v>
      </c>
      <c r="E10855" s="289">
        <f t="shared" si="1238"/>
        <v>46030</v>
      </c>
      <c r="F10855" s="473"/>
      <c r="G10855" s="290" t="s">
        <v>86</v>
      </c>
      <c r="H10855" s="291"/>
      <c r="I10855" s="291"/>
      <c r="J10855" s="292" t="s">
        <v>1469</v>
      </c>
      <c r="K10855" s="293"/>
      <c r="L10855" s="293">
        <f>K10854</f>
        <v>1277.7777777777778</v>
      </c>
    </row>
    <row r="10856" spans="1:14" ht="11.25" customHeight="1" x14ac:dyDescent="0.2">
      <c r="A10856" s="280">
        <v>2026</v>
      </c>
      <c r="B10856" s="280">
        <v>1</v>
      </c>
      <c r="C10856" s="280">
        <v>8</v>
      </c>
      <c r="D10856" s="281">
        <f t="shared" si="1239"/>
        <v>46030</v>
      </c>
      <c r="E10856" s="282">
        <f t="shared" si="1238"/>
        <v>46030</v>
      </c>
      <c r="F10856" s="472" t="s">
        <v>1955</v>
      </c>
      <c r="G10856" s="283" t="s">
        <v>86</v>
      </c>
      <c r="H10856" s="284"/>
      <c r="I10856" s="284"/>
      <c r="J10856" s="285" t="s">
        <v>1978</v>
      </c>
      <c r="K10856" s="286">
        <v>6185.4395604395604</v>
      </c>
      <c r="L10856" s="286"/>
      <c r="M10856" s="401"/>
    </row>
    <row r="10857" spans="1:14" ht="11.25" customHeight="1" x14ac:dyDescent="0.2">
      <c r="A10857" s="287">
        <v>2026</v>
      </c>
      <c r="B10857" s="287">
        <v>1</v>
      </c>
      <c r="C10857" s="287">
        <v>8</v>
      </c>
      <c r="D10857" s="288">
        <f t="shared" si="1239"/>
        <v>46030</v>
      </c>
      <c r="E10857" s="289">
        <f t="shared" si="1238"/>
        <v>46030</v>
      </c>
      <c r="F10857" s="473"/>
      <c r="G10857" s="290" t="s">
        <v>86</v>
      </c>
      <c r="H10857" s="291"/>
      <c r="I10857" s="291"/>
      <c r="J10857" s="292" t="s">
        <v>1955</v>
      </c>
      <c r="K10857" s="293"/>
      <c r="L10857" s="293">
        <f>K10856</f>
        <v>6185.4395604395604</v>
      </c>
    </row>
    <row r="10858" spans="1:14" ht="11.25" customHeight="1" x14ac:dyDescent="0.2">
      <c r="A10858" s="341">
        <v>2026</v>
      </c>
      <c r="B10858" s="341">
        <v>1</v>
      </c>
      <c r="C10858" s="341">
        <v>8</v>
      </c>
      <c r="D10858" s="328">
        <f t="shared" si="1239"/>
        <v>46030</v>
      </c>
      <c r="E10858" s="329">
        <f t="shared" si="1238"/>
        <v>46030</v>
      </c>
      <c r="F10858" s="474" t="s">
        <v>1767</v>
      </c>
      <c r="G10858" s="330" t="s">
        <v>86</v>
      </c>
      <c r="H10858" s="332"/>
      <c r="I10858" s="332"/>
      <c r="J10858" s="342" t="s">
        <v>67</v>
      </c>
      <c r="K10858" s="343">
        <v>637.03327180555561</v>
      </c>
      <c r="L10858" s="343"/>
      <c r="M10858" s="166"/>
    </row>
    <row r="10859" spans="1:14" ht="11.25" customHeight="1" x14ac:dyDescent="0.2">
      <c r="A10859" s="344">
        <v>2026</v>
      </c>
      <c r="B10859" s="344">
        <v>1</v>
      </c>
      <c r="C10859" s="344">
        <v>8</v>
      </c>
      <c r="D10859" s="337">
        <f t="shared" si="1239"/>
        <v>46030</v>
      </c>
      <c r="E10859" s="338">
        <f t="shared" si="1238"/>
        <v>46030</v>
      </c>
      <c r="F10859" s="475"/>
      <c r="G10859" s="339" t="s">
        <v>86</v>
      </c>
      <c r="H10859" s="340"/>
      <c r="I10859" s="340"/>
      <c r="J10859" s="345" t="s">
        <v>1974</v>
      </c>
      <c r="K10859" s="346"/>
      <c r="L10859" s="346">
        <f>K10858</f>
        <v>637.03327180555561</v>
      </c>
    </row>
    <row r="10860" spans="1:14" ht="11.25" customHeight="1" x14ac:dyDescent="0.2">
      <c r="A10860" s="236">
        <v>2026</v>
      </c>
      <c r="B10860" s="236">
        <v>1</v>
      </c>
      <c r="C10860" s="236">
        <v>8</v>
      </c>
      <c r="D10860" s="237">
        <f t="shared" si="1239"/>
        <v>46030</v>
      </c>
      <c r="E10860" s="238">
        <f t="shared" si="1238"/>
        <v>46030</v>
      </c>
      <c r="F10860" s="476" t="s">
        <v>1118</v>
      </c>
      <c r="G10860" s="239" t="s">
        <v>86</v>
      </c>
      <c r="H10860" s="239"/>
      <c r="I10860" s="240"/>
      <c r="J10860" s="241" t="s">
        <v>98</v>
      </c>
      <c r="K10860" s="242">
        <v>666670.8900000155</v>
      </c>
      <c r="L10860" s="242"/>
      <c r="M10860" s="166"/>
    </row>
    <row r="10861" spans="1:14" ht="11.25" customHeight="1" x14ac:dyDescent="0.2">
      <c r="A10861" s="243">
        <v>2026</v>
      </c>
      <c r="B10861" s="243">
        <v>1</v>
      </c>
      <c r="C10861" s="243">
        <v>8</v>
      </c>
      <c r="D10861" s="248">
        <f t="shared" si="1239"/>
        <v>46030</v>
      </c>
      <c r="E10861" s="249">
        <f t="shared" si="1238"/>
        <v>46030</v>
      </c>
      <c r="F10861" s="477"/>
      <c r="G10861" s="244" t="s">
        <v>86</v>
      </c>
      <c r="H10861" s="244"/>
      <c r="I10861" s="245"/>
      <c r="J10861" s="246" t="s">
        <v>82</v>
      </c>
      <c r="K10861" s="247"/>
      <c r="L10861" s="247">
        <f>K10860</f>
        <v>666670.8900000155</v>
      </c>
    </row>
    <row r="10862" spans="1:14" ht="11.25" customHeight="1" x14ac:dyDescent="0.2">
      <c r="A10862" s="236">
        <v>2026</v>
      </c>
      <c r="B10862" s="236">
        <v>1</v>
      </c>
      <c r="C10862" s="236">
        <v>8</v>
      </c>
      <c r="D10862" s="237">
        <f t="shared" si="1239"/>
        <v>46030</v>
      </c>
      <c r="E10862" s="238">
        <f t="shared" si="1238"/>
        <v>46030</v>
      </c>
      <c r="F10862" s="476" t="s">
        <v>1999</v>
      </c>
      <c r="G10862" s="239" t="s">
        <v>86</v>
      </c>
      <c r="H10862" s="239"/>
      <c r="I10862" s="240"/>
      <c r="J10862" s="241" t="s">
        <v>87</v>
      </c>
      <c r="K10862" s="242">
        <v>392.46467817896388</v>
      </c>
      <c r="L10862" s="242"/>
      <c r="M10862" s="401"/>
    </row>
    <row r="10863" spans="1:14" ht="11.25" customHeight="1" x14ac:dyDescent="0.2">
      <c r="A10863" s="243">
        <v>2026</v>
      </c>
      <c r="B10863" s="243">
        <v>1</v>
      </c>
      <c r="C10863" s="243">
        <v>8</v>
      </c>
      <c r="D10863" s="248">
        <f t="shared" si="1239"/>
        <v>46030</v>
      </c>
      <c r="E10863" s="249">
        <f t="shared" si="1238"/>
        <v>46030</v>
      </c>
      <c r="F10863" s="477"/>
      <c r="G10863" s="244" t="s">
        <v>86</v>
      </c>
      <c r="H10863" s="244"/>
      <c r="I10863" s="245"/>
      <c r="J10863" s="246" t="s">
        <v>64</v>
      </c>
      <c r="K10863" s="247"/>
      <c r="L10863" s="247">
        <f>K10862</f>
        <v>392.46467817896388</v>
      </c>
    </row>
    <row r="10864" spans="1:14" ht="11.25" customHeight="1" x14ac:dyDescent="0.2">
      <c r="A10864" s="236">
        <v>2026</v>
      </c>
      <c r="B10864" s="236">
        <v>1</v>
      </c>
      <c r="C10864" s="236">
        <v>8</v>
      </c>
      <c r="D10864" s="237">
        <f t="shared" si="1239"/>
        <v>46030</v>
      </c>
      <c r="E10864" s="238">
        <f t="shared" si="1238"/>
        <v>46030</v>
      </c>
      <c r="F10864" s="476" t="s">
        <v>2000</v>
      </c>
      <c r="G10864" s="239" t="s">
        <v>86</v>
      </c>
      <c r="H10864" s="239"/>
      <c r="I10864" s="240"/>
      <c r="J10864" s="241" t="s">
        <v>89</v>
      </c>
      <c r="K10864" s="242">
        <f>M10864</f>
        <v>13527.075503420845</v>
      </c>
      <c r="L10864" s="242"/>
      <c r="M10864" s="448">
        <v>13527.075503420845</v>
      </c>
    </row>
    <row r="10865" spans="1:14" ht="11.25" customHeight="1" x14ac:dyDescent="0.2">
      <c r="A10865" s="243">
        <v>2026</v>
      </c>
      <c r="B10865" s="243">
        <v>1</v>
      </c>
      <c r="C10865" s="243">
        <v>8</v>
      </c>
      <c r="D10865" s="248">
        <f t="shared" si="1239"/>
        <v>46030</v>
      </c>
      <c r="E10865" s="249">
        <f t="shared" si="1238"/>
        <v>46030</v>
      </c>
      <c r="F10865" s="477"/>
      <c r="G10865" s="244" t="s">
        <v>86</v>
      </c>
      <c r="H10865" s="244"/>
      <c r="I10865" s="245"/>
      <c r="J10865" s="246" t="s">
        <v>50</v>
      </c>
      <c r="K10865" s="247"/>
      <c r="L10865" s="247">
        <f>K10864</f>
        <v>13527.075503420845</v>
      </c>
      <c r="M10865" s="448">
        <v>642.01311583038296</v>
      </c>
    </row>
    <row r="10866" spans="1:14" ht="11.25" customHeight="1" x14ac:dyDescent="0.2">
      <c r="A10866" s="236">
        <v>2026</v>
      </c>
      <c r="B10866" s="236">
        <v>1</v>
      </c>
      <c r="C10866" s="236">
        <v>8</v>
      </c>
      <c r="D10866" s="237">
        <f t="shared" si="1239"/>
        <v>46030</v>
      </c>
      <c r="E10866" s="238">
        <f t="shared" si="1238"/>
        <v>46030</v>
      </c>
      <c r="F10866" s="476" t="s">
        <v>2001</v>
      </c>
      <c r="G10866" s="239" t="s">
        <v>86</v>
      </c>
      <c r="H10866" s="239"/>
      <c r="I10866" s="240"/>
      <c r="J10866" s="241" t="s">
        <v>91</v>
      </c>
      <c r="K10866" s="242">
        <f>M10865</f>
        <v>642.01311583038296</v>
      </c>
      <c r="L10866" s="242"/>
    </row>
    <row r="10867" spans="1:14" ht="11.25" customHeight="1" x14ac:dyDescent="0.2">
      <c r="A10867" s="243">
        <v>2026</v>
      </c>
      <c r="B10867" s="243">
        <v>1</v>
      </c>
      <c r="C10867" s="243">
        <v>8</v>
      </c>
      <c r="D10867" s="248">
        <f t="shared" si="1239"/>
        <v>46030</v>
      </c>
      <c r="E10867" s="249">
        <f t="shared" si="1238"/>
        <v>46030</v>
      </c>
      <c r="F10867" s="477"/>
      <c r="G10867" s="244" t="s">
        <v>86</v>
      </c>
      <c r="H10867" s="244"/>
      <c r="I10867" s="245"/>
      <c r="J10867" s="246" t="s">
        <v>51</v>
      </c>
      <c r="K10867" s="247"/>
      <c r="L10867" s="247">
        <f>K10866</f>
        <v>642.01311583038296</v>
      </c>
    </row>
    <row r="10868" spans="1:14" ht="11.25" customHeight="1" x14ac:dyDescent="0.2">
      <c r="A10868" s="221">
        <v>2026</v>
      </c>
      <c r="B10868" s="221">
        <v>1</v>
      </c>
      <c r="C10868" s="221">
        <v>11</v>
      </c>
      <c r="D10868" s="231">
        <f t="shared" si="1239"/>
        <v>46033</v>
      </c>
      <c r="E10868" s="233">
        <f t="shared" si="1238"/>
        <v>46033</v>
      </c>
      <c r="F10868" s="478" t="s">
        <v>1132</v>
      </c>
      <c r="G10868" s="222" t="s">
        <v>1111</v>
      </c>
      <c r="H10868" s="223"/>
      <c r="I10868" s="223"/>
      <c r="J10868" s="224" t="s">
        <v>55</v>
      </c>
      <c r="K10868" s="167">
        <v>5000</v>
      </c>
      <c r="L10868" s="225"/>
    </row>
    <row r="10869" spans="1:14" ht="11.25" customHeight="1" x14ac:dyDescent="0.2">
      <c r="A10869" s="164">
        <v>2026</v>
      </c>
      <c r="B10869" s="164">
        <v>1</v>
      </c>
      <c r="C10869" s="164">
        <v>11</v>
      </c>
      <c r="D10869" s="156">
        <f t="shared" si="1239"/>
        <v>46033</v>
      </c>
      <c r="E10869" s="235">
        <f t="shared" si="1238"/>
        <v>46033</v>
      </c>
      <c r="F10869" s="480"/>
      <c r="G10869" s="208" t="s">
        <v>1111</v>
      </c>
      <c r="J10869" s="165" t="s">
        <v>14</v>
      </c>
      <c r="L10869" s="205">
        <v>4170</v>
      </c>
    </row>
    <row r="10870" spans="1:14" ht="11.25" customHeight="1" x14ac:dyDescent="0.2">
      <c r="A10870" s="226">
        <v>2026</v>
      </c>
      <c r="B10870" s="226">
        <v>1</v>
      </c>
      <c r="C10870" s="226">
        <v>11</v>
      </c>
      <c r="D10870" s="232">
        <f t="shared" si="1239"/>
        <v>46033</v>
      </c>
      <c r="E10870" s="234">
        <f t="shared" si="1238"/>
        <v>46033</v>
      </c>
      <c r="F10870" s="479"/>
      <c r="G10870" s="227" t="s">
        <v>1111</v>
      </c>
      <c r="H10870" s="228"/>
      <c r="I10870" s="228"/>
      <c r="J10870" s="229" t="s">
        <v>1112</v>
      </c>
      <c r="K10870" s="230"/>
      <c r="L10870" s="230">
        <v>830</v>
      </c>
    </row>
    <row r="10871" spans="1:14" ht="11.25" customHeight="1" x14ac:dyDescent="0.2">
      <c r="A10871" s="221">
        <v>2026</v>
      </c>
      <c r="B10871" s="221">
        <v>1</v>
      </c>
      <c r="C10871" s="221">
        <v>11</v>
      </c>
      <c r="D10871" s="231">
        <f t="shared" si="1239"/>
        <v>46033</v>
      </c>
      <c r="E10871" s="233">
        <f t="shared" si="1238"/>
        <v>46033</v>
      </c>
      <c r="F10871" s="478" t="s">
        <v>1605</v>
      </c>
      <c r="G10871" s="222" t="s">
        <v>1111</v>
      </c>
      <c r="H10871" s="223"/>
      <c r="I10871" s="223"/>
      <c r="J10871" s="224" t="s">
        <v>55</v>
      </c>
      <c r="K10871" s="167">
        <v>2500000</v>
      </c>
      <c r="L10871" s="225"/>
    </row>
    <row r="10872" spans="1:14" ht="11.25" customHeight="1" x14ac:dyDescent="0.2">
      <c r="A10872" s="164">
        <v>2026</v>
      </c>
      <c r="B10872" s="164">
        <v>1</v>
      </c>
      <c r="C10872" s="164">
        <v>11</v>
      </c>
      <c r="D10872" s="156">
        <f t="shared" si="1239"/>
        <v>46033</v>
      </c>
      <c r="E10872" s="235">
        <f t="shared" si="1238"/>
        <v>46033</v>
      </c>
      <c r="F10872" s="480"/>
      <c r="G10872" s="208" t="s">
        <v>1111</v>
      </c>
      <c r="J10872" s="165" t="s">
        <v>14</v>
      </c>
      <c r="L10872" s="205">
        <v>2122420</v>
      </c>
    </row>
    <row r="10873" spans="1:14" ht="11.25" customHeight="1" x14ac:dyDescent="0.2">
      <c r="A10873" s="226">
        <v>2026</v>
      </c>
      <c r="B10873" s="226">
        <v>1</v>
      </c>
      <c r="C10873" s="226">
        <v>11</v>
      </c>
      <c r="D10873" s="232">
        <f t="shared" si="1239"/>
        <v>46033</v>
      </c>
      <c r="E10873" s="234">
        <f t="shared" si="1238"/>
        <v>46033</v>
      </c>
      <c r="F10873" s="479"/>
      <c r="G10873" s="227" t="s">
        <v>1111</v>
      </c>
      <c r="H10873" s="228"/>
      <c r="I10873" s="228"/>
      <c r="J10873" s="229" t="s">
        <v>1112</v>
      </c>
      <c r="K10873" s="230"/>
      <c r="L10873" s="230">
        <v>377580</v>
      </c>
    </row>
    <row r="10874" spans="1:14" ht="11.25" customHeight="1" x14ac:dyDescent="0.2">
      <c r="A10874" s="221">
        <v>2026</v>
      </c>
      <c r="B10874" s="221">
        <v>1</v>
      </c>
      <c r="C10874" s="221">
        <v>11</v>
      </c>
      <c r="D10874" s="231">
        <f t="shared" si="1239"/>
        <v>46033</v>
      </c>
      <c r="E10874" s="233">
        <f t="shared" si="1238"/>
        <v>46033</v>
      </c>
      <c r="F10874" s="478" t="s">
        <v>1719</v>
      </c>
      <c r="G10874" s="222" t="s">
        <v>1111</v>
      </c>
      <c r="H10874" s="223"/>
      <c r="I10874" s="223"/>
      <c r="J10874" s="224" t="s">
        <v>63</v>
      </c>
      <c r="K10874" s="225">
        <v>180</v>
      </c>
      <c r="L10874" s="225"/>
    </row>
    <row r="10875" spans="1:14" ht="11.25" customHeight="1" x14ac:dyDescent="0.2">
      <c r="A10875" s="226">
        <v>2026</v>
      </c>
      <c r="B10875" s="226">
        <v>1</v>
      </c>
      <c r="C10875" s="226">
        <v>11</v>
      </c>
      <c r="D10875" s="232">
        <f t="shared" si="1239"/>
        <v>46033</v>
      </c>
      <c r="E10875" s="234">
        <f t="shared" si="1238"/>
        <v>46033</v>
      </c>
      <c r="F10875" s="479"/>
      <c r="G10875" s="227" t="s">
        <v>1111</v>
      </c>
      <c r="H10875" s="228"/>
      <c r="I10875" s="228"/>
      <c r="J10875" s="229" t="s">
        <v>55</v>
      </c>
      <c r="K10875" s="230"/>
      <c r="L10875" s="230">
        <f>K10874</f>
        <v>180</v>
      </c>
    </row>
    <row r="10876" spans="1:14" ht="11.25" customHeight="1" x14ac:dyDescent="0.2">
      <c r="A10876" s="221">
        <v>2026</v>
      </c>
      <c r="B10876" s="221">
        <v>1</v>
      </c>
      <c r="C10876" s="221">
        <v>11</v>
      </c>
      <c r="D10876" s="231">
        <f t="shared" si="1239"/>
        <v>46033</v>
      </c>
      <c r="E10876" s="233">
        <f t="shared" si="1238"/>
        <v>46033</v>
      </c>
      <c r="F10876" s="478" t="s">
        <v>1940</v>
      </c>
      <c r="G10876" s="222" t="s">
        <v>1111</v>
      </c>
      <c r="H10876" s="223"/>
      <c r="I10876" s="223"/>
      <c r="J10876" s="224" t="s">
        <v>961</v>
      </c>
      <c r="K10876" s="225">
        <v>1636745.85</v>
      </c>
      <c r="L10876" s="225"/>
    </row>
    <row r="10877" spans="1:14" ht="11.25" customHeight="1" x14ac:dyDescent="0.2">
      <c r="A10877" s="226">
        <v>2026</v>
      </c>
      <c r="B10877" s="226">
        <v>1</v>
      </c>
      <c r="C10877" s="226">
        <v>11</v>
      </c>
      <c r="D10877" s="232">
        <f t="shared" si="1239"/>
        <v>46033</v>
      </c>
      <c r="E10877" s="234">
        <f t="shared" si="1238"/>
        <v>46033</v>
      </c>
      <c r="F10877" s="479"/>
      <c r="G10877" s="227" t="s">
        <v>1111</v>
      </c>
      <c r="H10877" s="228"/>
      <c r="I10877" s="228"/>
      <c r="J10877" s="229" t="s">
        <v>55</v>
      </c>
      <c r="K10877" s="230"/>
      <c r="L10877" s="230">
        <f>K10876</f>
        <v>1636745.85</v>
      </c>
    </row>
    <row r="10878" spans="1:14" ht="11.25" customHeight="1" x14ac:dyDescent="0.2">
      <c r="A10878" s="221">
        <v>2026</v>
      </c>
      <c r="B10878" s="221">
        <v>1</v>
      </c>
      <c r="C10878" s="221">
        <v>11</v>
      </c>
      <c r="D10878" s="221">
        <f t="shared" si="1239"/>
        <v>46033</v>
      </c>
      <c r="E10878" s="233">
        <f t="shared" si="1238"/>
        <v>46033</v>
      </c>
      <c r="F10878" s="478" t="s">
        <v>1937</v>
      </c>
      <c r="G10878" s="222" t="s">
        <v>86</v>
      </c>
      <c r="H10878" s="222"/>
      <c r="I10878" s="223"/>
      <c r="J10878" s="224" t="s">
        <v>80</v>
      </c>
      <c r="K10878" s="225">
        <v>1611820</v>
      </c>
      <c r="L10878" s="225"/>
      <c r="N10878" s="263"/>
    </row>
    <row r="10879" spans="1:14" ht="11.25" customHeight="1" x14ac:dyDescent="0.2">
      <c r="A10879" s="164">
        <v>2026</v>
      </c>
      <c r="B10879" s="164">
        <v>1</v>
      </c>
      <c r="C10879" s="164">
        <v>11</v>
      </c>
      <c r="D10879" s="164">
        <f t="shared" si="1239"/>
        <v>46033</v>
      </c>
      <c r="E10879" s="235">
        <f t="shared" si="1238"/>
        <v>46033</v>
      </c>
      <c r="F10879" s="480"/>
      <c r="G10879" s="208" t="s">
        <v>86</v>
      </c>
      <c r="H10879" s="208"/>
      <c r="J10879" s="165" t="s">
        <v>960</v>
      </c>
      <c r="K10879" s="205">
        <v>4602.5600000000004</v>
      </c>
      <c r="L10879" s="205"/>
      <c r="M10879" s="263"/>
      <c r="N10879" s="263"/>
    </row>
    <row r="10880" spans="1:14" ht="11.25" customHeight="1" x14ac:dyDescent="0.2">
      <c r="A10880" s="164">
        <v>2026</v>
      </c>
      <c r="B10880" s="164">
        <v>1</v>
      </c>
      <c r="C10880" s="164">
        <v>11</v>
      </c>
      <c r="D10880" s="164">
        <f t="shared" si="1239"/>
        <v>46033</v>
      </c>
      <c r="E10880" s="235">
        <f t="shared" si="1238"/>
        <v>46033</v>
      </c>
      <c r="F10880" s="480"/>
      <c r="G10880" s="208" t="s">
        <v>86</v>
      </c>
      <c r="H10880" s="208"/>
      <c r="J10880" s="165" t="s">
        <v>961</v>
      </c>
      <c r="K10880" s="263"/>
      <c r="L10880" s="205">
        <v>671266.46</v>
      </c>
      <c r="M10880" s="263"/>
      <c r="N10880" s="263"/>
    </row>
    <row r="10881" spans="1:14" ht="11.25" customHeight="1" x14ac:dyDescent="0.2">
      <c r="A10881" s="164">
        <v>2026</v>
      </c>
      <c r="B10881" s="164">
        <v>1</v>
      </c>
      <c r="C10881" s="164">
        <v>11</v>
      </c>
      <c r="D10881" s="164">
        <f t="shared" si="1239"/>
        <v>46033</v>
      </c>
      <c r="E10881" s="235">
        <f t="shared" si="1238"/>
        <v>46033</v>
      </c>
      <c r="F10881" s="480"/>
      <c r="G10881" s="208" t="s">
        <v>86</v>
      </c>
      <c r="H10881" s="208"/>
      <c r="J10881" s="165" t="s">
        <v>200</v>
      </c>
      <c r="K10881" s="205"/>
      <c r="L10881" s="205">
        <v>48522.01</v>
      </c>
      <c r="M10881" s="263"/>
      <c r="N10881" s="263"/>
    </row>
    <row r="10882" spans="1:14" ht="11.25" customHeight="1" x14ac:dyDescent="0.2">
      <c r="A10882" s="226">
        <v>2026</v>
      </c>
      <c r="B10882" s="226">
        <v>1</v>
      </c>
      <c r="C10882" s="226">
        <v>11</v>
      </c>
      <c r="D10882" s="226">
        <f t="shared" si="1239"/>
        <v>46033</v>
      </c>
      <c r="E10882" s="234">
        <f t="shared" si="1238"/>
        <v>46033</v>
      </c>
      <c r="F10882" s="479"/>
      <c r="G10882" s="227" t="s">
        <v>86</v>
      </c>
      <c r="H10882" s="228"/>
      <c r="I10882" s="228"/>
      <c r="J10882" s="229" t="s">
        <v>80</v>
      </c>
      <c r="K10882" s="230"/>
      <c r="L10882" s="230">
        <v>896634.09</v>
      </c>
      <c r="M10882" s="263"/>
      <c r="N10882" s="263"/>
    </row>
    <row r="10883" spans="1:14" ht="11.25" customHeight="1" x14ac:dyDescent="0.2">
      <c r="A10883" s="280">
        <v>2026</v>
      </c>
      <c r="B10883" s="280">
        <v>1</v>
      </c>
      <c r="C10883" s="280">
        <v>11</v>
      </c>
      <c r="D10883" s="281">
        <f t="shared" si="1239"/>
        <v>46033</v>
      </c>
      <c r="E10883" s="282">
        <f t="shared" ref="E10883:E10946" si="1240">DATE(A10883,B10883,C10883)</f>
        <v>46033</v>
      </c>
      <c r="F10883" s="472" t="s">
        <v>1744</v>
      </c>
      <c r="G10883" s="283" t="s">
        <v>86</v>
      </c>
      <c r="H10883" s="284"/>
      <c r="I10883" s="284"/>
      <c r="J10883" s="285" t="s">
        <v>131</v>
      </c>
      <c r="K10883" s="286">
        <v>8625</v>
      </c>
      <c r="L10883" s="286"/>
      <c r="M10883" s="401"/>
    </row>
    <row r="10884" spans="1:14" ht="11.25" customHeight="1" x14ac:dyDescent="0.2">
      <c r="A10884" s="287">
        <v>2026</v>
      </c>
      <c r="B10884" s="287">
        <v>1</v>
      </c>
      <c r="C10884" s="287">
        <v>11</v>
      </c>
      <c r="D10884" s="288">
        <f t="shared" si="1239"/>
        <v>46033</v>
      </c>
      <c r="E10884" s="289">
        <f t="shared" si="1240"/>
        <v>46033</v>
      </c>
      <c r="F10884" s="473"/>
      <c r="G10884" s="290" t="s">
        <v>86</v>
      </c>
      <c r="H10884" s="291"/>
      <c r="I10884" s="291"/>
      <c r="J10884" s="292" t="s">
        <v>1469</v>
      </c>
      <c r="K10884" s="293"/>
      <c r="L10884" s="293">
        <f>K10883</f>
        <v>8625</v>
      </c>
    </row>
    <row r="10885" spans="1:14" ht="11.25" customHeight="1" x14ac:dyDescent="0.2">
      <c r="A10885" s="280">
        <v>2026</v>
      </c>
      <c r="B10885" s="280">
        <v>1</v>
      </c>
      <c r="C10885" s="280">
        <v>11</v>
      </c>
      <c r="D10885" s="281">
        <f t="shared" si="1239"/>
        <v>46033</v>
      </c>
      <c r="E10885" s="282">
        <f t="shared" si="1240"/>
        <v>46033</v>
      </c>
      <c r="F10885" s="472" t="s">
        <v>1584</v>
      </c>
      <c r="G10885" s="283" t="s">
        <v>86</v>
      </c>
      <c r="H10885" s="284"/>
      <c r="I10885" s="284"/>
      <c r="J10885" s="285" t="s">
        <v>131</v>
      </c>
      <c r="K10885" s="286">
        <v>3833.3333333333335</v>
      </c>
      <c r="L10885" s="286"/>
      <c r="M10885" s="401"/>
    </row>
    <row r="10886" spans="1:14" ht="11.25" customHeight="1" x14ac:dyDescent="0.2">
      <c r="A10886" s="287">
        <v>2026</v>
      </c>
      <c r="B10886" s="287">
        <v>1</v>
      </c>
      <c r="C10886" s="287">
        <v>11</v>
      </c>
      <c r="D10886" s="288">
        <f t="shared" si="1239"/>
        <v>46033</v>
      </c>
      <c r="E10886" s="289">
        <f t="shared" si="1240"/>
        <v>46033</v>
      </c>
      <c r="F10886" s="473"/>
      <c r="G10886" s="290" t="s">
        <v>86</v>
      </c>
      <c r="H10886" s="291"/>
      <c r="I10886" s="291"/>
      <c r="J10886" s="292" t="s">
        <v>1469</v>
      </c>
      <c r="K10886" s="293"/>
      <c r="L10886" s="293">
        <f>K10885</f>
        <v>3833.3333333333335</v>
      </c>
    </row>
    <row r="10887" spans="1:14" ht="11.25" customHeight="1" x14ac:dyDescent="0.2">
      <c r="A10887" s="280">
        <v>2026</v>
      </c>
      <c r="B10887" s="280">
        <v>1</v>
      </c>
      <c r="C10887" s="280">
        <v>11</v>
      </c>
      <c r="D10887" s="281">
        <f t="shared" si="1239"/>
        <v>46033</v>
      </c>
      <c r="E10887" s="282">
        <f t="shared" si="1240"/>
        <v>46033</v>
      </c>
      <c r="F10887" s="472" t="s">
        <v>1955</v>
      </c>
      <c r="G10887" s="283" t="s">
        <v>86</v>
      </c>
      <c r="H10887" s="284"/>
      <c r="I10887" s="284"/>
      <c r="J10887" s="285" t="s">
        <v>1978</v>
      </c>
      <c r="K10887" s="286">
        <v>18556.31868131868</v>
      </c>
      <c r="L10887" s="286"/>
      <c r="M10887" s="401"/>
    </row>
    <row r="10888" spans="1:14" ht="11.25" customHeight="1" x14ac:dyDescent="0.2">
      <c r="A10888" s="287">
        <v>2026</v>
      </c>
      <c r="B10888" s="287">
        <v>1</v>
      </c>
      <c r="C10888" s="287">
        <v>11</v>
      </c>
      <c r="D10888" s="288">
        <f t="shared" si="1239"/>
        <v>46033</v>
      </c>
      <c r="E10888" s="289">
        <f t="shared" si="1240"/>
        <v>46033</v>
      </c>
      <c r="F10888" s="473"/>
      <c r="G10888" s="290" t="s">
        <v>86</v>
      </c>
      <c r="H10888" s="291"/>
      <c r="I10888" s="291"/>
      <c r="J10888" s="292" t="s">
        <v>1955</v>
      </c>
      <c r="K10888" s="293"/>
      <c r="L10888" s="293">
        <f>K10887</f>
        <v>18556.31868131868</v>
      </c>
    </row>
    <row r="10889" spans="1:14" ht="11.25" customHeight="1" x14ac:dyDescent="0.2">
      <c r="A10889" s="341">
        <v>2026</v>
      </c>
      <c r="B10889" s="341">
        <v>1</v>
      </c>
      <c r="C10889" s="341">
        <v>11</v>
      </c>
      <c r="D10889" s="328">
        <f t="shared" ref="D10889:D10952" si="1241">DATE(A10889,B10889,C10889)</f>
        <v>46033</v>
      </c>
      <c r="E10889" s="329">
        <f t="shared" si="1240"/>
        <v>46033</v>
      </c>
      <c r="F10889" s="474" t="s">
        <v>1767</v>
      </c>
      <c r="G10889" s="330" t="s">
        <v>86</v>
      </c>
      <c r="H10889" s="332"/>
      <c r="I10889" s="332"/>
      <c r="J10889" s="342" t="s">
        <v>67</v>
      </c>
      <c r="K10889" s="343">
        <v>1764.89</v>
      </c>
      <c r="L10889" s="343"/>
    </row>
    <row r="10890" spans="1:14" ht="11.25" customHeight="1" x14ac:dyDescent="0.2">
      <c r="A10890" s="344">
        <v>2026</v>
      </c>
      <c r="B10890" s="344">
        <v>1</v>
      </c>
      <c r="C10890" s="344">
        <v>11</v>
      </c>
      <c r="D10890" s="337">
        <f t="shared" si="1241"/>
        <v>46033</v>
      </c>
      <c r="E10890" s="338">
        <f t="shared" si="1240"/>
        <v>46033</v>
      </c>
      <c r="F10890" s="475"/>
      <c r="G10890" s="339" t="s">
        <v>86</v>
      </c>
      <c r="H10890" s="340"/>
      <c r="I10890" s="340"/>
      <c r="J10890" s="345" t="s">
        <v>1974</v>
      </c>
      <c r="K10890" s="346"/>
      <c r="L10890" s="346">
        <f>K10889</f>
        <v>1764.89</v>
      </c>
    </row>
    <row r="10891" spans="1:14" ht="11.25" customHeight="1" x14ac:dyDescent="0.2">
      <c r="A10891" s="236">
        <v>2026</v>
      </c>
      <c r="B10891" s="236">
        <v>1</v>
      </c>
      <c r="C10891" s="236">
        <v>11</v>
      </c>
      <c r="D10891" s="237">
        <f t="shared" si="1241"/>
        <v>46033</v>
      </c>
      <c r="E10891" s="238">
        <f t="shared" si="1240"/>
        <v>46033</v>
      </c>
      <c r="F10891" s="476" t="s">
        <v>1118</v>
      </c>
      <c r="G10891" s="239" t="s">
        <v>86</v>
      </c>
      <c r="H10891" s="239"/>
      <c r="I10891" s="240"/>
      <c r="J10891" s="241" t="s">
        <v>82</v>
      </c>
      <c r="K10891" s="242">
        <v>1512612.430000037</v>
      </c>
      <c r="L10891" s="242"/>
      <c r="M10891" s="166"/>
    </row>
    <row r="10892" spans="1:14" ht="11.25" customHeight="1" x14ac:dyDescent="0.2">
      <c r="A10892" s="243">
        <v>2026</v>
      </c>
      <c r="B10892" s="243">
        <v>1</v>
      </c>
      <c r="C10892" s="243">
        <v>11</v>
      </c>
      <c r="D10892" s="248">
        <f t="shared" si="1241"/>
        <v>46033</v>
      </c>
      <c r="E10892" s="249">
        <f t="shared" si="1240"/>
        <v>46033</v>
      </c>
      <c r="F10892" s="477"/>
      <c r="G10892" s="244" t="s">
        <v>86</v>
      </c>
      <c r="H10892" s="244"/>
      <c r="I10892" s="245"/>
      <c r="J10892" s="246" t="s">
        <v>98</v>
      </c>
      <c r="K10892" s="247"/>
      <c r="L10892" s="247">
        <f>K10891</f>
        <v>1512612.430000037</v>
      </c>
    </row>
    <row r="10893" spans="1:14" ht="11.25" customHeight="1" x14ac:dyDescent="0.2">
      <c r="A10893" s="236">
        <v>2026</v>
      </c>
      <c r="B10893" s="236">
        <v>1</v>
      </c>
      <c r="C10893" s="236">
        <v>11</v>
      </c>
      <c r="D10893" s="237">
        <f t="shared" si="1241"/>
        <v>46033</v>
      </c>
      <c r="E10893" s="238">
        <f t="shared" si="1240"/>
        <v>46033</v>
      </c>
      <c r="F10893" s="476" t="s">
        <v>1999</v>
      </c>
      <c r="G10893" s="239" t="s">
        <v>86</v>
      </c>
      <c r="H10893" s="239"/>
      <c r="I10893" s="240"/>
      <c r="J10893" s="241" t="s">
        <v>87</v>
      </c>
      <c r="K10893" s="242">
        <v>1177.3940345368917</v>
      </c>
      <c r="L10893" s="242"/>
      <c r="M10893" s="401"/>
    </row>
    <row r="10894" spans="1:14" ht="11.25" customHeight="1" x14ac:dyDescent="0.2">
      <c r="A10894" s="243">
        <v>2026</v>
      </c>
      <c r="B10894" s="243">
        <v>1</v>
      </c>
      <c r="C10894" s="243">
        <v>11</v>
      </c>
      <c r="D10894" s="248">
        <f t="shared" si="1241"/>
        <v>46033</v>
      </c>
      <c r="E10894" s="249">
        <f t="shared" si="1240"/>
        <v>46033</v>
      </c>
      <c r="F10894" s="477"/>
      <c r="G10894" s="244" t="s">
        <v>86</v>
      </c>
      <c r="H10894" s="244"/>
      <c r="I10894" s="245"/>
      <c r="J10894" s="246" t="s">
        <v>64</v>
      </c>
      <c r="K10894" s="247"/>
      <c r="L10894" s="247">
        <f>K10893</f>
        <v>1177.3940345368917</v>
      </c>
    </row>
    <row r="10895" spans="1:14" ht="11.25" customHeight="1" x14ac:dyDescent="0.2">
      <c r="A10895" s="236">
        <v>2026</v>
      </c>
      <c r="B10895" s="236">
        <v>1</v>
      </c>
      <c r="C10895" s="236">
        <v>11</v>
      </c>
      <c r="D10895" s="237">
        <f t="shared" si="1241"/>
        <v>46033</v>
      </c>
      <c r="E10895" s="238">
        <f t="shared" si="1240"/>
        <v>46033</v>
      </c>
      <c r="F10895" s="476" t="s">
        <v>2000</v>
      </c>
      <c r="G10895" s="239" t="s">
        <v>86</v>
      </c>
      <c r="H10895" s="239"/>
      <c r="I10895" s="240"/>
      <c r="J10895" s="241" t="s">
        <v>89</v>
      </c>
      <c r="K10895" s="242">
        <f>M10895</f>
        <v>40771.308496577898</v>
      </c>
      <c r="L10895" s="242"/>
      <c r="M10895" s="448">
        <v>40771.308496577898</v>
      </c>
    </row>
    <row r="10896" spans="1:14" ht="11.25" customHeight="1" x14ac:dyDescent="0.2">
      <c r="A10896" s="243">
        <v>2026</v>
      </c>
      <c r="B10896" s="243">
        <v>1</v>
      </c>
      <c r="C10896" s="243">
        <v>11</v>
      </c>
      <c r="D10896" s="248">
        <f t="shared" si="1241"/>
        <v>46033</v>
      </c>
      <c r="E10896" s="249">
        <f t="shared" si="1240"/>
        <v>46033</v>
      </c>
      <c r="F10896" s="477"/>
      <c r="G10896" s="244" t="s">
        <v>86</v>
      </c>
      <c r="H10896" s="244"/>
      <c r="I10896" s="245"/>
      <c r="J10896" s="246" t="s">
        <v>50</v>
      </c>
      <c r="K10896" s="247"/>
      <c r="L10896" s="247">
        <f>K10895</f>
        <v>40771.308496577898</v>
      </c>
      <c r="M10896" s="448">
        <v>1935.5434468069168</v>
      </c>
    </row>
    <row r="10897" spans="1:14" ht="11.25" customHeight="1" x14ac:dyDescent="0.2">
      <c r="A10897" s="236">
        <v>2026</v>
      </c>
      <c r="B10897" s="236">
        <v>1</v>
      </c>
      <c r="C10897" s="236">
        <v>11</v>
      </c>
      <c r="D10897" s="237">
        <f t="shared" si="1241"/>
        <v>46033</v>
      </c>
      <c r="E10897" s="238">
        <f t="shared" si="1240"/>
        <v>46033</v>
      </c>
      <c r="F10897" s="476" t="s">
        <v>2001</v>
      </c>
      <c r="G10897" s="239" t="s">
        <v>86</v>
      </c>
      <c r="H10897" s="239"/>
      <c r="I10897" s="240"/>
      <c r="J10897" s="241" t="s">
        <v>91</v>
      </c>
      <c r="K10897" s="242">
        <f>M10896</f>
        <v>1935.5434468069168</v>
      </c>
      <c r="L10897" s="242"/>
    </row>
    <row r="10898" spans="1:14" ht="11.25" customHeight="1" x14ac:dyDescent="0.2">
      <c r="A10898" s="243">
        <v>2026</v>
      </c>
      <c r="B10898" s="243">
        <v>1</v>
      </c>
      <c r="C10898" s="243">
        <v>11</v>
      </c>
      <c r="D10898" s="248">
        <f t="shared" si="1241"/>
        <v>46033</v>
      </c>
      <c r="E10898" s="249">
        <f t="shared" si="1240"/>
        <v>46033</v>
      </c>
      <c r="F10898" s="477"/>
      <c r="G10898" s="244" t="s">
        <v>86</v>
      </c>
      <c r="H10898" s="244"/>
      <c r="I10898" s="245"/>
      <c r="J10898" s="246" t="s">
        <v>51</v>
      </c>
      <c r="K10898" s="247"/>
      <c r="L10898" s="247">
        <f>K10897</f>
        <v>1935.5434468069168</v>
      </c>
    </row>
    <row r="10899" spans="1:14" ht="11.25" customHeight="1" x14ac:dyDescent="0.2">
      <c r="A10899" s="221">
        <v>2026</v>
      </c>
      <c r="B10899" s="221">
        <v>1</v>
      </c>
      <c r="C10899" s="221">
        <v>12</v>
      </c>
      <c r="D10899" s="231">
        <f t="shared" si="1241"/>
        <v>46034</v>
      </c>
      <c r="E10899" s="233">
        <f t="shared" si="1240"/>
        <v>46034</v>
      </c>
      <c r="F10899" s="478" t="s">
        <v>1940</v>
      </c>
      <c r="G10899" s="222" t="s">
        <v>1111</v>
      </c>
      <c r="H10899" s="223"/>
      <c r="I10899" s="223"/>
      <c r="J10899" s="224" t="s">
        <v>961</v>
      </c>
      <c r="K10899" s="225">
        <v>671266.46</v>
      </c>
      <c r="L10899" s="225"/>
    </row>
    <row r="10900" spans="1:14" ht="11.25" customHeight="1" x14ac:dyDescent="0.2">
      <c r="A10900" s="226">
        <v>2026</v>
      </c>
      <c r="B10900" s="226">
        <v>1</v>
      </c>
      <c r="C10900" s="226">
        <v>12</v>
      </c>
      <c r="D10900" s="232">
        <f t="shared" si="1241"/>
        <v>46034</v>
      </c>
      <c r="E10900" s="234">
        <f t="shared" si="1240"/>
        <v>46034</v>
      </c>
      <c r="F10900" s="479"/>
      <c r="G10900" s="227" t="s">
        <v>1111</v>
      </c>
      <c r="H10900" s="228"/>
      <c r="I10900" s="228"/>
      <c r="J10900" s="229" t="s">
        <v>55</v>
      </c>
      <c r="K10900" s="230"/>
      <c r="L10900" s="230">
        <f>K10899</f>
        <v>671266.46</v>
      </c>
    </row>
    <row r="10901" spans="1:14" ht="11.25" customHeight="1" x14ac:dyDescent="0.2">
      <c r="A10901" s="221">
        <v>2026</v>
      </c>
      <c r="B10901" s="221">
        <v>1</v>
      </c>
      <c r="C10901" s="221">
        <v>12</v>
      </c>
      <c r="D10901" s="231">
        <f t="shared" si="1241"/>
        <v>46034</v>
      </c>
      <c r="E10901" s="233">
        <f t="shared" si="1240"/>
        <v>46034</v>
      </c>
      <c r="F10901" s="478" t="s">
        <v>1670</v>
      </c>
      <c r="G10901" s="222" t="s">
        <v>1111</v>
      </c>
      <c r="H10901" s="223"/>
      <c r="I10901" s="223"/>
      <c r="J10901" s="224" t="s">
        <v>63</v>
      </c>
      <c r="K10901" s="225">
        <v>100</v>
      </c>
      <c r="L10901" s="225"/>
    </row>
    <row r="10902" spans="1:14" ht="11.25" customHeight="1" x14ac:dyDescent="0.2">
      <c r="A10902" s="226">
        <v>2026</v>
      </c>
      <c r="B10902" s="226">
        <v>1</v>
      </c>
      <c r="C10902" s="226">
        <v>12</v>
      </c>
      <c r="D10902" s="232">
        <f t="shared" si="1241"/>
        <v>46034</v>
      </c>
      <c r="E10902" s="234">
        <f t="shared" si="1240"/>
        <v>46034</v>
      </c>
      <c r="F10902" s="479"/>
      <c r="G10902" s="227" t="s">
        <v>1111</v>
      </c>
      <c r="H10902" s="228"/>
      <c r="I10902" s="228"/>
      <c r="J10902" s="229" t="s">
        <v>55</v>
      </c>
      <c r="K10902" s="230"/>
      <c r="L10902" s="230">
        <f>K10901</f>
        <v>100</v>
      </c>
    </row>
    <row r="10903" spans="1:14" ht="11.25" customHeight="1" x14ac:dyDescent="0.2">
      <c r="A10903" s="221">
        <v>2026</v>
      </c>
      <c r="B10903" s="221">
        <v>1</v>
      </c>
      <c r="C10903" s="221">
        <v>12</v>
      </c>
      <c r="D10903" s="221">
        <f t="shared" si="1241"/>
        <v>46034</v>
      </c>
      <c r="E10903" s="233">
        <f t="shared" si="1240"/>
        <v>46034</v>
      </c>
      <c r="F10903" s="478" t="s">
        <v>1937</v>
      </c>
      <c r="G10903" s="222" t="s">
        <v>86</v>
      </c>
      <c r="H10903" s="222"/>
      <c r="I10903" s="223"/>
      <c r="J10903" s="224" t="s">
        <v>80</v>
      </c>
      <c r="K10903" s="225">
        <v>1967206.8</v>
      </c>
      <c r="L10903" s="225"/>
      <c r="N10903" s="263"/>
    </row>
    <row r="10904" spans="1:14" ht="11.25" customHeight="1" x14ac:dyDescent="0.2">
      <c r="A10904" s="164">
        <v>2026</v>
      </c>
      <c r="B10904" s="164">
        <v>1</v>
      </c>
      <c r="C10904" s="164">
        <v>12</v>
      </c>
      <c r="D10904" s="164">
        <f t="shared" si="1241"/>
        <v>46034</v>
      </c>
      <c r="E10904" s="235">
        <f t="shared" si="1240"/>
        <v>46034</v>
      </c>
      <c r="F10904" s="480"/>
      <c r="G10904" s="208" t="s">
        <v>86</v>
      </c>
      <c r="H10904" s="208"/>
      <c r="J10904" s="165" t="s">
        <v>960</v>
      </c>
      <c r="K10904" s="205">
        <v>4677.04</v>
      </c>
      <c r="L10904" s="205"/>
      <c r="M10904" s="263"/>
      <c r="N10904" s="263"/>
    </row>
    <row r="10905" spans="1:14" ht="11.25" customHeight="1" x14ac:dyDescent="0.2">
      <c r="A10905" s="164">
        <v>2026</v>
      </c>
      <c r="B10905" s="164">
        <v>1</v>
      </c>
      <c r="C10905" s="164">
        <v>12</v>
      </c>
      <c r="D10905" s="164">
        <f t="shared" si="1241"/>
        <v>46034</v>
      </c>
      <c r="E10905" s="235">
        <f t="shared" si="1240"/>
        <v>46034</v>
      </c>
      <c r="F10905" s="480"/>
      <c r="G10905" s="208" t="s">
        <v>86</v>
      </c>
      <c r="H10905" s="208"/>
      <c r="J10905" s="165" t="s">
        <v>961</v>
      </c>
      <c r="K10905" s="263"/>
      <c r="L10905" s="205">
        <v>1340737.8400000001</v>
      </c>
      <c r="M10905" s="263"/>
      <c r="N10905" s="263"/>
    </row>
    <row r="10906" spans="1:14" ht="11.25" customHeight="1" x14ac:dyDescent="0.2">
      <c r="A10906" s="164">
        <v>2026</v>
      </c>
      <c r="B10906" s="164">
        <v>1</v>
      </c>
      <c r="C10906" s="164">
        <v>12</v>
      </c>
      <c r="D10906" s="164">
        <f t="shared" si="1241"/>
        <v>46034</v>
      </c>
      <c r="E10906" s="235">
        <f t="shared" si="1240"/>
        <v>46034</v>
      </c>
      <c r="F10906" s="480"/>
      <c r="G10906" s="208" t="s">
        <v>86</v>
      </c>
      <c r="H10906" s="208"/>
      <c r="J10906" s="165" t="s">
        <v>200</v>
      </c>
      <c r="K10906" s="205"/>
      <c r="L10906" s="205">
        <v>35199.160000000003</v>
      </c>
      <c r="M10906" s="263"/>
      <c r="N10906" s="263"/>
    </row>
    <row r="10907" spans="1:14" ht="11.25" customHeight="1" x14ac:dyDescent="0.2">
      <c r="A10907" s="226">
        <v>2026</v>
      </c>
      <c r="B10907" s="226">
        <v>1</v>
      </c>
      <c r="C10907" s="226">
        <v>12</v>
      </c>
      <c r="D10907" s="226">
        <f t="shared" si="1241"/>
        <v>46034</v>
      </c>
      <c r="E10907" s="234">
        <f t="shared" si="1240"/>
        <v>46034</v>
      </c>
      <c r="F10907" s="479"/>
      <c r="G10907" s="227" t="s">
        <v>86</v>
      </c>
      <c r="H10907" s="228"/>
      <c r="I10907" s="228"/>
      <c r="J10907" s="229" t="s">
        <v>80</v>
      </c>
      <c r="K10907" s="230"/>
      <c r="L10907" s="230">
        <v>595946.84</v>
      </c>
      <c r="M10907" s="263"/>
      <c r="N10907" s="263"/>
    </row>
    <row r="10908" spans="1:14" ht="11.25" customHeight="1" x14ac:dyDescent="0.2">
      <c r="A10908" s="280">
        <v>2026</v>
      </c>
      <c r="B10908" s="280">
        <v>1</v>
      </c>
      <c r="C10908" s="280">
        <v>12</v>
      </c>
      <c r="D10908" s="281">
        <f t="shared" si="1241"/>
        <v>46034</v>
      </c>
      <c r="E10908" s="282">
        <f t="shared" si="1240"/>
        <v>46034</v>
      </c>
      <c r="F10908" s="472" t="s">
        <v>1744</v>
      </c>
      <c r="G10908" s="283" t="s">
        <v>86</v>
      </c>
      <c r="H10908" s="284"/>
      <c r="I10908" s="284"/>
      <c r="J10908" s="285" t="s">
        <v>131</v>
      </c>
      <c r="K10908" s="286">
        <v>2875</v>
      </c>
      <c r="L10908" s="286"/>
      <c r="M10908" s="401"/>
    </row>
    <row r="10909" spans="1:14" ht="11.25" customHeight="1" x14ac:dyDescent="0.2">
      <c r="A10909" s="287">
        <v>2026</v>
      </c>
      <c r="B10909" s="287">
        <v>1</v>
      </c>
      <c r="C10909" s="287">
        <v>12</v>
      </c>
      <c r="D10909" s="288">
        <f t="shared" si="1241"/>
        <v>46034</v>
      </c>
      <c r="E10909" s="289">
        <f t="shared" si="1240"/>
        <v>46034</v>
      </c>
      <c r="F10909" s="473"/>
      <c r="G10909" s="290" t="s">
        <v>86</v>
      </c>
      <c r="H10909" s="291"/>
      <c r="I10909" s="291"/>
      <c r="J10909" s="292" t="s">
        <v>1469</v>
      </c>
      <c r="K10909" s="293"/>
      <c r="L10909" s="293">
        <f>K10908</f>
        <v>2875</v>
      </c>
    </row>
    <row r="10910" spans="1:14" ht="11.25" customHeight="1" x14ac:dyDescent="0.2">
      <c r="A10910" s="280">
        <v>2026</v>
      </c>
      <c r="B10910" s="280">
        <v>1</v>
      </c>
      <c r="C10910" s="280">
        <v>12</v>
      </c>
      <c r="D10910" s="281">
        <f t="shared" si="1241"/>
        <v>46034</v>
      </c>
      <c r="E10910" s="282">
        <f t="shared" si="1240"/>
        <v>46034</v>
      </c>
      <c r="F10910" s="472" t="s">
        <v>1584</v>
      </c>
      <c r="G10910" s="283" t="s">
        <v>86</v>
      </c>
      <c r="H10910" s="284"/>
      <c r="I10910" s="284"/>
      <c r="J10910" s="285" t="s">
        <v>131</v>
      </c>
      <c r="K10910" s="286">
        <v>1277.7777777777778</v>
      </c>
      <c r="L10910" s="286"/>
      <c r="M10910" s="401"/>
    </row>
    <row r="10911" spans="1:14" ht="11.25" customHeight="1" x14ac:dyDescent="0.2">
      <c r="A10911" s="287">
        <v>2026</v>
      </c>
      <c r="B10911" s="287">
        <v>1</v>
      </c>
      <c r="C10911" s="287">
        <v>12</v>
      </c>
      <c r="D10911" s="288">
        <f t="shared" si="1241"/>
        <v>46034</v>
      </c>
      <c r="E10911" s="289">
        <f t="shared" si="1240"/>
        <v>46034</v>
      </c>
      <c r="F10911" s="473"/>
      <c r="G10911" s="290" t="s">
        <v>86</v>
      </c>
      <c r="H10911" s="291"/>
      <c r="I10911" s="291"/>
      <c r="J10911" s="292" t="s">
        <v>1469</v>
      </c>
      <c r="K10911" s="293"/>
      <c r="L10911" s="293">
        <f>K10910</f>
        <v>1277.7777777777778</v>
      </c>
    </row>
    <row r="10912" spans="1:14" ht="11.25" customHeight="1" x14ac:dyDescent="0.2">
      <c r="A10912" s="280">
        <v>2026</v>
      </c>
      <c r="B10912" s="280">
        <v>1</v>
      </c>
      <c r="C10912" s="280">
        <v>12</v>
      </c>
      <c r="D10912" s="281">
        <f t="shared" si="1241"/>
        <v>46034</v>
      </c>
      <c r="E10912" s="282">
        <f t="shared" si="1240"/>
        <v>46034</v>
      </c>
      <c r="F10912" s="472" t="s">
        <v>1955</v>
      </c>
      <c r="G10912" s="283" t="s">
        <v>86</v>
      </c>
      <c r="H10912" s="284"/>
      <c r="I10912" s="284"/>
      <c r="J10912" s="285" t="s">
        <v>1978</v>
      </c>
      <c r="K10912" s="286">
        <v>6185.4395604395604</v>
      </c>
      <c r="L10912" s="286"/>
      <c r="M10912" s="401"/>
    </row>
    <row r="10913" spans="1:14" ht="11.25" customHeight="1" x14ac:dyDescent="0.2">
      <c r="A10913" s="287">
        <v>2026</v>
      </c>
      <c r="B10913" s="287">
        <v>1</v>
      </c>
      <c r="C10913" s="287">
        <v>12</v>
      </c>
      <c r="D10913" s="288">
        <f t="shared" si="1241"/>
        <v>46034</v>
      </c>
      <c r="E10913" s="289">
        <f t="shared" si="1240"/>
        <v>46034</v>
      </c>
      <c r="F10913" s="473"/>
      <c r="G10913" s="290" t="s">
        <v>86</v>
      </c>
      <c r="H10913" s="291"/>
      <c r="I10913" s="291"/>
      <c r="J10913" s="292" t="s">
        <v>1955</v>
      </c>
      <c r="K10913" s="293"/>
      <c r="L10913" s="293">
        <f>K10912</f>
        <v>6185.4395604395604</v>
      </c>
    </row>
    <row r="10914" spans="1:14" ht="11.25" customHeight="1" x14ac:dyDescent="0.2">
      <c r="A10914" s="341">
        <v>2026</v>
      </c>
      <c r="B10914" s="341">
        <v>1</v>
      </c>
      <c r="C10914" s="341">
        <v>12</v>
      </c>
      <c r="D10914" s="328">
        <f t="shared" si="1241"/>
        <v>46034</v>
      </c>
      <c r="E10914" s="329">
        <f t="shared" si="1240"/>
        <v>46034</v>
      </c>
      <c r="F10914" s="474" t="s">
        <v>1767</v>
      </c>
      <c r="G10914" s="330" t="s">
        <v>86</v>
      </c>
      <c r="H10914" s="332"/>
      <c r="I10914" s="332"/>
      <c r="J10914" s="342" t="s">
        <v>67</v>
      </c>
      <c r="K10914" s="343">
        <v>350.9557072222222</v>
      </c>
      <c r="L10914" s="343"/>
      <c r="M10914" s="166"/>
    </row>
    <row r="10915" spans="1:14" ht="11.25" customHeight="1" x14ac:dyDescent="0.2">
      <c r="A10915" s="344">
        <v>2026</v>
      </c>
      <c r="B10915" s="344">
        <v>1</v>
      </c>
      <c r="C10915" s="344">
        <v>12</v>
      </c>
      <c r="D10915" s="337">
        <f t="shared" si="1241"/>
        <v>46034</v>
      </c>
      <c r="E10915" s="338">
        <f t="shared" si="1240"/>
        <v>46034</v>
      </c>
      <c r="F10915" s="475"/>
      <c r="G10915" s="339" t="s">
        <v>86</v>
      </c>
      <c r="H10915" s="340"/>
      <c r="I10915" s="340"/>
      <c r="J10915" s="345" t="s">
        <v>1974</v>
      </c>
      <c r="K10915" s="346"/>
      <c r="L10915" s="346">
        <f>K10914</f>
        <v>350.9557072222222</v>
      </c>
    </row>
    <row r="10916" spans="1:14" ht="11.25" customHeight="1" x14ac:dyDescent="0.2">
      <c r="A10916" s="236">
        <v>2026</v>
      </c>
      <c r="B10916" s="236">
        <v>1</v>
      </c>
      <c r="C10916" s="236">
        <v>12</v>
      </c>
      <c r="D10916" s="237">
        <f t="shared" si="1241"/>
        <v>46034</v>
      </c>
      <c r="E10916" s="238">
        <f t="shared" si="1240"/>
        <v>46034</v>
      </c>
      <c r="F10916" s="476" t="s">
        <v>1118</v>
      </c>
      <c r="G10916" s="239" t="s">
        <v>86</v>
      </c>
      <c r="H10916" s="239"/>
      <c r="I10916" s="240"/>
      <c r="J10916" s="241" t="s">
        <v>98</v>
      </c>
      <c r="K10916" s="242">
        <v>28173.939999997616</v>
      </c>
      <c r="L10916" s="242"/>
      <c r="M10916" s="166"/>
    </row>
    <row r="10917" spans="1:14" ht="11.25" customHeight="1" x14ac:dyDescent="0.2">
      <c r="A10917" s="243">
        <v>2026</v>
      </c>
      <c r="B10917" s="243">
        <v>1</v>
      </c>
      <c r="C10917" s="243">
        <v>12</v>
      </c>
      <c r="D10917" s="248">
        <f t="shared" si="1241"/>
        <v>46034</v>
      </c>
      <c r="E10917" s="249">
        <f t="shared" si="1240"/>
        <v>46034</v>
      </c>
      <c r="F10917" s="477"/>
      <c r="G10917" s="244" t="s">
        <v>86</v>
      </c>
      <c r="H10917" s="244"/>
      <c r="I10917" s="245"/>
      <c r="J10917" s="246" t="s">
        <v>82</v>
      </c>
      <c r="K10917" s="247"/>
      <c r="L10917" s="247">
        <f>K10916</f>
        <v>28173.939999997616</v>
      </c>
    </row>
    <row r="10918" spans="1:14" ht="11.25" customHeight="1" x14ac:dyDescent="0.2">
      <c r="A10918" s="236">
        <v>2026</v>
      </c>
      <c r="B10918" s="236">
        <v>1</v>
      </c>
      <c r="C10918" s="236">
        <v>12</v>
      </c>
      <c r="D10918" s="237">
        <f t="shared" si="1241"/>
        <v>46034</v>
      </c>
      <c r="E10918" s="238">
        <f t="shared" si="1240"/>
        <v>46034</v>
      </c>
      <c r="F10918" s="476" t="s">
        <v>1999</v>
      </c>
      <c r="G10918" s="239" t="s">
        <v>86</v>
      </c>
      <c r="H10918" s="239"/>
      <c r="I10918" s="240"/>
      <c r="J10918" s="241" t="s">
        <v>87</v>
      </c>
      <c r="K10918" s="242">
        <v>392.46467817896388</v>
      </c>
      <c r="L10918" s="242"/>
      <c r="M10918" s="401"/>
    </row>
    <row r="10919" spans="1:14" ht="11.25" customHeight="1" x14ac:dyDescent="0.2">
      <c r="A10919" s="243">
        <v>2026</v>
      </c>
      <c r="B10919" s="243">
        <v>1</v>
      </c>
      <c r="C10919" s="243">
        <v>12</v>
      </c>
      <c r="D10919" s="248">
        <f t="shared" si="1241"/>
        <v>46034</v>
      </c>
      <c r="E10919" s="249">
        <f t="shared" si="1240"/>
        <v>46034</v>
      </c>
      <c r="F10919" s="477"/>
      <c r="G10919" s="244" t="s">
        <v>86</v>
      </c>
      <c r="H10919" s="244"/>
      <c r="I10919" s="245"/>
      <c r="J10919" s="246" t="s">
        <v>64</v>
      </c>
      <c r="K10919" s="247"/>
      <c r="L10919" s="247">
        <f>K10918</f>
        <v>392.46467817896388</v>
      </c>
    </row>
    <row r="10920" spans="1:14" ht="11.25" customHeight="1" x14ac:dyDescent="0.2">
      <c r="A10920" s="236">
        <v>2026</v>
      </c>
      <c r="B10920" s="236">
        <v>1</v>
      </c>
      <c r="C10920" s="236">
        <v>12</v>
      </c>
      <c r="D10920" s="237">
        <f t="shared" si="1241"/>
        <v>46034</v>
      </c>
      <c r="E10920" s="238">
        <f t="shared" si="1240"/>
        <v>46034</v>
      </c>
      <c r="F10920" s="476" t="s">
        <v>2000</v>
      </c>
      <c r="G10920" s="239" t="s">
        <v>86</v>
      </c>
      <c r="H10920" s="239"/>
      <c r="I10920" s="240"/>
      <c r="J10920" s="241" t="s">
        <v>89</v>
      </c>
      <c r="K10920" s="242">
        <f>M10920</f>
        <v>13591.875383876755</v>
      </c>
      <c r="L10920" s="242"/>
      <c r="M10920" s="448">
        <v>13591.875383876755</v>
      </c>
    </row>
    <row r="10921" spans="1:14" ht="11.25" customHeight="1" x14ac:dyDescent="0.2">
      <c r="A10921" s="243">
        <v>2026</v>
      </c>
      <c r="B10921" s="243">
        <v>1</v>
      </c>
      <c r="C10921" s="243">
        <v>12</v>
      </c>
      <c r="D10921" s="248">
        <f t="shared" si="1241"/>
        <v>46034</v>
      </c>
      <c r="E10921" s="249">
        <f t="shared" si="1240"/>
        <v>46034</v>
      </c>
      <c r="F10921" s="477"/>
      <c r="G10921" s="244" t="s">
        <v>86</v>
      </c>
      <c r="H10921" s="244"/>
      <c r="I10921" s="245"/>
      <c r="J10921" s="246" t="s">
        <v>50</v>
      </c>
      <c r="K10921" s="247"/>
      <c r="L10921" s="247">
        <f>K10920</f>
        <v>13591.875383876755</v>
      </c>
      <c r="M10921" s="448">
        <v>645.25310985317844</v>
      </c>
    </row>
    <row r="10922" spans="1:14" ht="11.25" customHeight="1" x14ac:dyDescent="0.2">
      <c r="A10922" s="236">
        <v>2026</v>
      </c>
      <c r="B10922" s="236">
        <v>1</v>
      </c>
      <c r="C10922" s="236">
        <v>12</v>
      </c>
      <c r="D10922" s="237">
        <f t="shared" si="1241"/>
        <v>46034</v>
      </c>
      <c r="E10922" s="238">
        <f t="shared" si="1240"/>
        <v>46034</v>
      </c>
      <c r="F10922" s="476" t="s">
        <v>2001</v>
      </c>
      <c r="G10922" s="239" t="s">
        <v>86</v>
      </c>
      <c r="H10922" s="239"/>
      <c r="I10922" s="240"/>
      <c r="J10922" s="241" t="s">
        <v>91</v>
      </c>
      <c r="K10922" s="242">
        <f>M10921</f>
        <v>645.25310985317844</v>
      </c>
      <c r="L10922" s="242"/>
    </row>
    <row r="10923" spans="1:14" ht="11.25" customHeight="1" x14ac:dyDescent="0.2">
      <c r="A10923" s="243">
        <v>2026</v>
      </c>
      <c r="B10923" s="243">
        <v>1</v>
      </c>
      <c r="C10923" s="243">
        <v>12</v>
      </c>
      <c r="D10923" s="248">
        <f t="shared" si="1241"/>
        <v>46034</v>
      </c>
      <c r="E10923" s="249">
        <f t="shared" si="1240"/>
        <v>46034</v>
      </c>
      <c r="F10923" s="477"/>
      <c r="G10923" s="244" t="s">
        <v>86</v>
      </c>
      <c r="H10923" s="244"/>
      <c r="I10923" s="245"/>
      <c r="J10923" s="246" t="s">
        <v>51</v>
      </c>
      <c r="K10923" s="247"/>
      <c r="L10923" s="247">
        <f>K10922</f>
        <v>645.25310985317844</v>
      </c>
    </row>
    <row r="10924" spans="1:14" ht="11.25" customHeight="1" x14ac:dyDescent="0.2">
      <c r="A10924" s="221">
        <v>2026</v>
      </c>
      <c r="B10924" s="221">
        <v>1</v>
      </c>
      <c r="C10924" s="221">
        <v>13</v>
      </c>
      <c r="D10924" s="221">
        <f t="shared" si="1241"/>
        <v>46035</v>
      </c>
      <c r="E10924" s="233">
        <f t="shared" si="1240"/>
        <v>46035</v>
      </c>
      <c r="F10924" s="478" t="s">
        <v>1937</v>
      </c>
      <c r="G10924" s="222" t="s">
        <v>86</v>
      </c>
      <c r="H10924" s="222"/>
      <c r="I10924" s="223"/>
      <c r="J10924" s="224" t="s">
        <v>80</v>
      </c>
      <c r="K10924" s="225">
        <v>717227.5</v>
      </c>
      <c r="L10924" s="225"/>
      <c r="N10924" s="263"/>
    </row>
    <row r="10925" spans="1:14" ht="11.25" customHeight="1" x14ac:dyDescent="0.2">
      <c r="A10925" s="164">
        <v>2026</v>
      </c>
      <c r="B10925" s="164">
        <v>1</v>
      </c>
      <c r="C10925" s="164">
        <v>13</v>
      </c>
      <c r="D10925" s="164">
        <f t="shared" si="1241"/>
        <v>46035</v>
      </c>
      <c r="E10925" s="235">
        <f t="shared" si="1240"/>
        <v>46035</v>
      </c>
      <c r="F10925" s="480"/>
      <c r="G10925" s="208" t="s">
        <v>86</v>
      </c>
      <c r="H10925" s="208"/>
      <c r="J10925" s="165" t="s">
        <v>960</v>
      </c>
      <c r="K10925" s="205">
        <v>1875.75</v>
      </c>
      <c r="L10925" s="205"/>
      <c r="M10925" s="263"/>
      <c r="N10925" s="263"/>
    </row>
    <row r="10926" spans="1:14" ht="11.25" customHeight="1" x14ac:dyDescent="0.2">
      <c r="A10926" s="164">
        <v>2026</v>
      </c>
      <c r="B10926" s="164">
        <v>1</v>
      </c>
      <c r="C10926" s="164">
        <v>13</v>
      </c>
      <c r="D10926" s="164">
        <f t="shared" si="1241"/>
        <v>46035</v>
      </c>
      <c r="E10926" s="235">
        <f t="shared" si="1240"/>
        <v>46035</v>
      </c>
      <c r="F10926" s="480"/>
      <c r="G10926" s="208" t="s">
        <v>86</v>
      </c>
      <c r="H10926" s="208"/>
      <c r="J10926" s="165" t="s">
        <v>961</v>
      </c>
      <c r="K10926" s="263"/>
      <c r="L10926" s="205">
        <v>394245.65</v>
      </c>
      <c r="M10926" s="263"/>
      <c r="N10926" s="263"/>
    </row>
    <row r="10927" spans="1:14" ht="11.25" customHeight="1" x14ac:dyDescent="0.2">
      <c r="A10927" s="164">
        <v>2026</v>
      </c>
      <c r="B10927" s="164">
        <v>1</v>
      </c>
      <c r="C10927" s="164">
        <v>13</v>
      </c>
      <c r="D10927" s="164">
        <f t="shared" si="1241"/>
        <v>46035</v>
      </c>
      <c r="E10927" s="235">
        <f t="shared" si="1240"/>
        <v>46035</v>
      </c>
      <c r="F10927" s="480"/>
      <c r="G10927" s="208" t="s">
        <v>86</v>
      </c>
      <c r="H10927" s="208"/>
      <c r="J10927" s="165" t="s">
        <v>200</v>
      </c>
      <c r="K10927" s="205"/>
      <c r="L10927" s="205">
        <v>37186.879999999997</v>
      </c>
      <c r="M10927" s="263"/>
      <c r="N10927" s="263"/>
    </row>
    <row r="10928" spans="1:14" ht="11.25" customHeight="1" x14ac:dyDescent="0.2">
      <c r="A10928" s="226">
        <v>2026</v>
      </c>
      <c r="B10928" s="226">
        <v>1</v>
      </c>
      <c r="C10928" s="226">
        <v>13</v>
      </c>
      <c r="D10928" s="226">
        <f t="shared" si="1241"/>
        <v>46035</v>
      </c>
      <c r="E10928" s="234">
        <f t="shared" si="1240"/>
        <v>46035</v>
      </c>
      <c r="F10928" s="479"/>
      <c r="G10928" s="227" t="s">
        <v>86</v>
      </c>
      <c r="H10928" s="228"/>
      <c r="I10928" s="228"/>
      <c r="J10928" s="229" t="s">
        <v>80</v>
      </c>
      <c r="K10928" s="230"/>
      <c r="L10928" s="230">
        <v>287670.71999999997</v>
      </c>
      <c r="M10928" s="263"/>
      <c r="N10928" s="263"/>
    </row>
    <row r="10929" spans="1:13" ht="11.25" customHeight="1" x14ac:dyDescent="0.2">
      <c r="A10929" s="280">
        <v>2026</v>
      </c>
      <c r="B10929" s="280">
        <v>1</v>
      </c>
      <c r="C10929" s="280">
        <v>13</v>
      </c>
      <c r="D10929" s="281">
        <f t="shared" si="1241"/>
        <v>46035</v>
      </c>
      <c r="E10929" s="282">
        <f t="shared" si="1240"/>
        <v>46035</v>
      </c>
      <c r="F10929" s="472" t="s">
        <v>1744</v>
      </c>
      <c r="G10929" s="283" t="s">
        <v>86</v>
      </c>
      <c r="H10929" s="284"/>
      <c r="I10929" s="284"/>
      <c r="J10929" s="285" t="s">
        <v>131</v>
      </c>
      <c r="K10929" s="286">
        <v>2875</v>
      </c>
      <c r="L10929" s="286"/>
      <c r="M10929" s="401"/>
    </row>
    <row r="10930" spans="1:13" ht="11.25" customHeight="1" x14ac:dyDescent="0.2">
      <c r="A10930" s="287">
        <v>2026</v>
      </c>
      <c r="B10930" s="287">
        <v>1</v>
      </c>
      <c r="C10930" s="287">
        <v>13</v>
      </c>
      <c r="D10930" s="288">
        <f t="shared" si="1241"/>
        <v>46035</v>
      </c>
      <c r="E10930" s="289">
        <f t="shared" si="1240"/>
        <v>46035</v>
      </c>
      <c r="F10930" s="473"/>
      <c r="G10930" s="290" t="s">
        <v>86</v>
      </c>
      <c r="H10930" s="291"/>
      <c r="I10930" s="291"/>
      <c r="J10930" s="292" t="s">
        <v>1469</v>
      </c>
      <c r="K10930" s="293"/>
      <c r="L10930" s="293">
        <f>K10929</f>
        <v>2875</v>
      </c>
    </row>
    <row r="10931" spans="1:13" ht="11.25" customHeight="1" x14ac:dyDescent="0.2">
      <c r="A10931" s="280">
        <v>2026</v>
      </c>
      <c r="B10931" s="280">
        <v>1</v>
      </c>
      <c r="C10931" s="280">
        <v>13</v>
      </c>
      <c r="D10931" s="281">
        <f t="shared" si="1241"/>
        <v>46035</v>
      </c>
      <c r="E10931" s="282">
        <f t="shared" si="1240"/>
        <v>46035</v>
      </c>
      <c r="F10931" s="472" t="s">
        <v>1584</v>
      </c>
      <c r="G10931" s="283" t="s">
        <v>86</v>
      </c>
      <c r="H10931" s="284"/>
      <c r="I10931" s="284"/>
      <c r="J10931" s="285" t="s">
        <v>131</v>
      </c>
      <c r="K10931" s="286">
        <v>1277.7777777777778</v>
      </c>
      <c r="L10931" s="286"/>
      <c r="M10931" s="401"/>
    </row>
    <row r="10932" spans="1:13" ht="11.25" customHeight="1" x14ac:dyDescent="0.2">
      <c r="A10932" s="287">
        <v>2026</v>
      </c>
      <c r="B10932" s="287">
        <v>1</v>
      </c>
      <c r="C10932" s="287">
        <v>13</v>
      </c>
      <c r="D10932" s="288">
        <f t="shared" si="1241"/>
        <v>46035</v>
      </c>
      <c r="E10932" s="289">
        <f t="shared" si="1240"/>
        <v>46035</v>
      </c>
      <c r="F10932" s="473"/>
      <c r="G10932" s="290" t="s">
        <v>86</v>
      </c>
      <c r="H10932" s="291"/>
      <c r="I10932" s="291"/>
      <c r="J10932" s="292" t="s">
        <v>1469</v>
      </c>
      <c r="K10932" s="293"/>
      <c r="L10932" s="293">
        <f>K10931</f>
        <v>1277.7777777777778</v>
      </c>
    </row>
    <row r="10933" spans="1:13" ht="11.25" customHeight="1" x14ac:dyDescent="0.2">
      <c r="A10933" s="280">
        <v>2026</v>
      </c>
      <c r="B10933" s="280">
        <v>1</v>
      </c>
      <c r="C10933" s="280">
        <v>13</v>
      </c>
      <c r="D10933" s="281">
        <f t="shared" si="1241"/>
        <v>46035</v>
      </c>
      <c r="E10933" s="282">
        <f t="shared" si="1240"/>
        <v>46035</v>
      </c>
      <c r="F10933" s="472" t="s">
        <v>1955</v>
      </c>
      <c r="G10933" s="283" t="s">
        <v>86</v>
      </c>
      <c r="H10933" s="284"/>
      <c r="I10933" s="284"/>
      <c r="J10933" s="285" t="s">
        <v>1978</v>
      </c>
      <c r="K10933" s="286">
        <v>6185.4395604395604</v>
      </c>
      <c r="L10933" s="286"/>
      <c r="M10933" s="401"/>
    </row>
    <row r="10934" spans="1:13" ht="11.25" customHeight="1" x14ac:dyDescent="0.2">
      <c r="A10934" s="287">
        <v>2026</v>
      </c>
      <c r="B10934" s="287">
        <v>1</v>
      </c>
      <c r="C10934" s="287">
        <v>13</v>
      </c>
      <c r="D10934" s="288">
        <f t="shared" si="1241"/>
        <v>46035</v>
      </c>
      <c r="E10934" s="289">
        <f t="shared" si="1240"/>
        <v>46035</v>
      </c>
      <c r="F10934" s="473"/>
      <c r="G10934" s="290" t="s">
        <v>86</v>
      </c>
      <c r="H10934" s="291"/>
      <c r="I10934" s="291"/>
      <c r="J10934" s="292" t="s">
        <v>1955</v>
      </c>
      <c r="K10934" s="293"/>
      <c r="L10934" s="293">
        <f>K10933</f>
        <v>6185.4395604395604</v>
      </c>
    </row>
    <row r="10935" spans="1:13" ht="11.25" customHeight="1" x14ac:dyDescent="0.2">
      <c r="A10935" s="341">
        <v>2026</v>
      </c>
      <c r="B10935" s="341">
        <v>1</v>
      </c>
      <c r="C10935" s="341">
        <v>13</v>
      </c>
      <c r="D10935" s="328">
        <f t="shared" si="1241"/>
        <v>46035</v>
      </c>
      <c r="E10935" s="329">
        <f t="shared" si="1240"/>
        <v>46035</v>
      </c>
      <c r="F10935" s="474" t="s">
        <v>1767</v>
      </c>
      <c r="G10935" s="330" t="s">
        <v>86</v>
      </c>
      <c r="H10935" s="332"/>
      <c r="I10935" s="332"/>
      <c r="J10935" s="342" t="s">
        <v>67</v>
      </c>
      <c r="K10935" s="343">
        <v>660.1405258333333</v>
      </c>
      <c r="L10935" s="343"/>
      <c r="M10935" s="166"/>
    </row>
    <row r="10936" spans="1:13" ht="11.25" customHeight="1" x14ac:dyDescent="0.2">
      <c r="A10936" s="344">
        <v>2026</v>
      </c>
      <c r="B10936" s="344">
        <v>1</v>
      </c>
      <c r="C10936" s="344">
        <v>13</v>
      </c>
      <c r="D10936" s="337">
        <f t="shared" si="1241"/>
        <v>46035</v>
      </c>
      <c r="E10936" s="338">
        <f t="shared" si="1240"/>
        <v>46035</v>
      </c>
      <c r="F10936" s="475"/>
      <c r="G10936" s="339" t="s">
        <v>86</v>
      </c>
      <c r="H10936" s="340"/>
      <c r="I10936" s="340"/>
      <c r="J10936" s="345" t="s">
        <v>1974</v>
      </c>
      <c r="K10936" s="346"/>
      <c r="L10936" s="346">
        <f>K10935</f>
        <v>660.1405258333333</v>
      </c>
    </row>
    <row r="10937" spans="1:13" ht="11.25" customHeight="1" x14ac:dyDescent="0.2">
      <c r="A10937" s="236">
        <v>2026</v>
      </c>
      <c r="B10937" s="236">
        <v>1</v>
      </c>
      <c r="C10937" s="236">
        <v>13</v>
      </c>
      <c r="D10937" s="237">
        <f t="shared" si="1241"/>
        <v>46035</v>
      </c>
      <c r="E10937" s="238">
        <f t="shared" si="1240"/>
        <v>46035</v>
      </c>
      <c r="F10937" s="476" t="s">
        <v>1118</v>
      </c>
      <c r="G10937" s="239" t="s">
        <v>86</v>
      </c>
      <c r="H10937" s="239"/>
      <c r="I10937" s="240"/>
      <c r="J10937" s="241" t="s">
        <v>82</v>
      </c>
      <c r="K10937" s="242">
        <v>202796.23999997973</v>
      </c>
      <c r="L10937" s="242"/>
      <c r="M10937" s="166"/>
    </row>
    <row r="10938" spans="1:13" ht="11.25" customHeight="1" x14ac:dyDescent="0.2">
      <c r="A10938" s="243">
        <v>2026</v>
      </c>
      <c r="B10938" s="243">
        <v>1</v>
      </c>
      <c r="C10938" s="243">
        <v>13</v>
      </c>
      <c r="D10938" s="248">
        <f t="shared" si="1241"/>
        <v>46035</v>
      </c>
      <c r="E10938" s="249">
        <f t="shared" si="1240"/>
        <v>46035</v>
      </c>
      <c r="F10938" s="477"/>
      <c r="G10938" s="244" t="s">
        <v>86</v>
      </c>
      <c r="H10938" s="244"/>
      <c r="I10938" s="245"/>
      <c r="J10938" s="246" t="s">
        <v>98</v>
      </c>
      <c r="K10938" s="247"/>
      <c r="L10938" s="247">
        <f>K10937</f>
        <v>202796.23999997973</v>
      </c>
    </row>
    <row r="10939" spans="1:13" ht="11.25" customHeight="1" x14ac:dyDescent="0.2">
      <c r="A10939" s="236">
        <v>2026</v>
      </c>
      <c r="B10939" s="236">
        <v>1</v>
      </c>
      <c r="C10939" s="236">
        <v>13</v>
      </c>
      <c r="D10939" s="237">
        <f t="shared" si="1241"/>
        <v>46035</v>
      </c>
      <c r="E10939" s="238">
        <f t="shared" si="1240"/>
        <v>46035</v>
      </c>
      <c r="F10939" s="476" t="s">
        <v>1999</v>
      </c>
      <c r="G10939" s="239" t="s">
        <v>86</v>
      </c>
      <c r="H10939" s="239"/>
      <c r="I10939" s="240"/>
      <c r="J10939" s="241" t="s">
        <v>87</v>
      </c>
      <c r="K10939" s="242">
        <v>392.46467817896388</v>
      </c>
      <c r="L10939" s="242"/>
      <c r="M10939" s="401"/>
    </row>
    <row r="10940" spans="1:13" ht="11.25" customHeight="1" x14ac:dyDescent="0.2">
      <c r="A10940" s="243">
        <v>2026</v>
      </c>
      <c r="B10940" s="243">
        <v>1</v>
      </c>
      <c r="C10940" s="243">
        <v>13</v>
      </c>
      <c r="D10940" s="248">
        <f t="shared" si="1241"/>
        <v>46035</v>
      </c>
      <c r="E10940" s="249">
        <f t="shared" si="1240"/>
        <v>46035</v>
      </c>
      <c r="F10940" s="477"/>
      <c r="G10940" s="244" t="s">
        <v>86</v>
      </c>
      <c r="H10940" s="244"/>
      <c r="I10940" s="245"/>
      <c r="J10940" s="246" t="s">
        <v>64</v>
      </c>
      <c r="K10940" s="247"/>
      <c r="L10940" s="247">
        <f>K10939</f>
        <v>392.46467817896388</v>
      </c>
    </row>
    <row r="10941" spans="1:13" ht="11.25" customHeight="1" x14ac:dyDescent="0.2">
      <c r="A10941" s="236">
        <v>2026</v>
      </c>
      <c r="B10941" s="236">
        <v>1</v>
      </c>
      <c r="C10941" s="236">
        <v>13</v>
      </c>
      <c r="D10941" s="237">
        <f t="shared" si="1241"/>
        <v>46035</v>
      </c>
      <c r="E10941" s="238">
        <f t="shared" si="1240"/>
        <v>46035</v>
      </c>
      <c r="F10941" s="476" t="s">
        <v>2000</v>
      </c>
      <c r="G10941" s="239" t="s">
        <v>86</v>
      </c>
      <c r="H10941" s="239"/>
      <c r="I10941" s="240"/>
      <c r="J10941" s="241" t="s">
        <v>89</v>
      </c>
      <c r="K10941" s="242">
        <f>M10941</f>
        <v>13582.458912466342</v>
      </c>
      <c r="L10941" s="242"/>
      <c r="M10941" s="448">
        <v>13582.458912466342</v>
      </c>
    </row>
    <row r="10942" spans="1:13" ht="11.25" customHeight="1" x14ac:dyDescent="0.2">
      <c r="A10942" s="243">
        <v>2026</v>
      </c>
      <c r="B10942" s="243">
        <v>1</v>
      </c>
      <c r="C10942" s="243">
        <v>13</v>
      </c>
      <c r="D10942" s="248">
        <f t="shared" si="1241"/>
        <v>46035</v>
      </c>
      <c r="E10942" s="249">
        <f t="shared" si="1240"/>
        <v>46035</v>
      </c>
      <c r="F10942" s="477"/>
      <c r="G10942" s="244" t="s">
        <v>86</v>
      </c>
      <c r="H10942" s="244"/>
      <c r="I10942" s="245"/>
      <c r="J10942" s="246" t="s">
        <v>50</v>
      </c>
      <c r="K10942" s="247"/>
      <c r="L10942" s="247">
        <f>K10941</f>
        <v>13582.458912466342</v>
      </c>
      <c r="M10942" s="448">
        <v>644.78228628265776</v>
      </c>
    </row>
    <row r="10943" spans="1:13" ht="11.25" customHeight="1" x14ac:dyDescent="0.2">
      <c r="A10943" s="236">
        <v>2026</v>
      </c>
      <c r="B10943" s="236">
        <v>1</v>
      </c>
      <c r="C10943" s="236">
        <v>13</v>
      </c>
      <c r="D10943" s="237">
        <f t="shared" si="1241"/>
        <v>46035</v>
      </c>
      <c r="E10943" s="238">
        <f t="shared" si="1240"/>
        <v>46035</v>
      </c>
      <c r="F10943" s="476" t="s">
        <v>2001</v>
      </c>
      <c r="G10943" s="239" t="s">
        <v>86</v>
      </c>
      <c r="H10943" s="239"/>
      <c r="I10943" s="240"/>
      <c r="J10943" s="241" t="s">
        <v>91</v>
      </c>
      <c r="K10943" s="242">
        <f>M10942</f>
        <v>644.78228628265776</v>
      </c>
      <c r="L10943" s="242"/>
    </row>
    <row r="10944" spans="1:13" ht="11.25" customHeight="1" x14ac:dyDescent="0.2">
      <c r="A10944" s="243">
        <v>2026</v>
      </c>
      <c r="B10944" s="243">
        <v>1</v>
      </c>
      <c r="C10944" s="243">
        <v>13</v>
      </c>
      <c r="D10944" s="248">
        <f t="shared" si="1241"/>
        <v>46035</v>
      </c>
      <c r="E10944" s="249">
        <f t="shared" si="1240"/>
        <v>46035</v>
      </c>
      <c r="F10944" s="477"/>
      <c r="G10944" s="244" t="s">
        <v>86</v>
      </c>
      <c r="H10944" s="244"/>
      <c r="I10944" s="245"/>
      <c r="J10944" s="246" t="s">
        <v>51</v>
      </c>
      <c r="K10944" s="247"/>
      <c r="L10944" s="247">
        <f>K10943</f>
        <v>644.78228628265776</v>
      </c>
    </row>
    <row r="10945" spans="1:14" ht="11.25" customHeight="1" x14ac:dyDescent="0.2">
      <c r="A10945" s="221">
        <v>2026</v>
      </c>
      <c r="B10945" s="221">
        <v>1</v>
      </c>
      <c r="C10945" s="221">
        <v>14</v>
      </c>
      <c r="D10945" s="231">
        <f t="shared" si="1241"/>
        <v>46036</v>
      </c>
      <c r="E10945" s="233">
        <f t="shared" si="1240"/>
        <v>46036</v>
      </c>
      <c r="F10945" s="478" t="s">
        <v>1132</v>
      </c>
      <c r="G10945" s="222" t="s">
        <v>1111</v>
      </c>
      <c r="H10945" s="223"/>
      <c r="I10945" s="223"/>
      <c r="J10945" s="224" t="s">
        <v>55</v>
      </c>
      <c r="K10945" s="167">
        <v>1000</v>
      </c>
      <c r="L10945" s="225"/>
    </row>
    <row r="10946" spans="1:14" ht="11.25" customHeight="1" x14ac:dyDescent="0.2">
      <c r="A10946" s="164">
        <v>2026</v>
      </c>
      <c r="B10946" s="164">
        <v>1</v>
      </c>
      <c r="C10946" s="164">
        <v>14</v>
      </c>
      <c r="D10946" s="156">
        <f t="shared" si="1241"/>
        <v>46036</v>
      </c>
      <c r="E10946" s="235">
        <f t="shared" si="1240"/>
        <v>46036</v>
      </c>
      <c r="F10946" s="480"/>
      <c r="G10946" s="208" t="s">
        <v>1111</v>
      </c>
      <c r="J10946" s="165" t="s">
        <v>14</v>
      </c>
      <c r="L10946" s="205">
        <v>840</v>
      </c>
    </row>
    <row r="10947" spans="1:14" ht="11.25" customHeight="1" x14ac:dyDescent="0.2">
      <c r="A10947" s="226">
        <v>2026</v>
      </c>
      <c r="B10947" s="226">
        <v>1</v>
      </c>
      <c r="C10947" s="226">
        <v>14</v>
      </c>
      <c r="D10947" s="232">
        <f t="shared" si="1241"/>
        <v>46036</v>
      </c>
      <c r="E10947" s="234">
        <f t="shared" ref="E10947:E10977" si="1242">DATE(A10947,B10947,C10947)</f>
        <v>46036</v>
      </c>
      <c r="F10947" s="479"/>
      <c r="G10947" s="227" t="s">
        <v>1111</v>
      </c>
      <c r="H10947" s="228"/>
      <c r="I10947" s="228"/>
      <c r="J10947" s="229" t="s">
        <v>1112</v>
      </c>
      <c r="K10947" s="230"/>
      <c r="L10947" s="230">
        <v>160</v>
      </c>
    </row>
    <row r="10948" spans="1:14" ht="11.25" customHeight="1" x14ac:dyDescent="0.2">
      <c r="A10948" s="221">
        <v>2026</v>
      </c>
      <c r="B10948" s="221">
        <v>1</v>
      </c>
      <c r="C10948" s="221">
        <v>14</v>
      </c>
      <c r="D10948" s="231">
        <f t="shared" si="1241"/>
        <v>46036</v>
      </c>
      <c r="E10948" s="233">
        <f t="shared" si="1242"/>
        <v>46036</v>
      </c>
      <c r="F10948" s="478" t="s">
        <v>1605</v>
      </c>
      <c r="G10948" s="222" t="s">
        <v>1111</v>
      </c>
      <c r="H10948" s="223"/>
      <c r="I10948" s="223"/>
      <c r="J10948" s="224" t="s">
        <v>55</v>
      </c>
      <c r="K10948" s="167">
        <v>300000</v>
      </c>
      <c r="L10948" s="225"/>
    </row>
    <row r="10949" spans="1:14" ht="11.25" customHeight="1" x14ac:dyDescent="0.2">
      <c r="A10949" s="164">
        <v>2026</v>
      </c>
      <c r="B10949" s="164">
        <v>1</v>
      </c>
      <c r="C10949" s="164">
        <v>14</v>
      </c>
      <c r="D10949" s="156">
        <f t="shared" si="1241"/>
        <v>46036</v>
      </c>
      <c r="E10949" s="235">
        <f t="shared" si="1242"/>
        <v>46036</v>
      </c>
      <c r="F10949" s="480"/>
      <c r="G10949" s="208" t="s">
        <v>1111</v>
      </c>
      <c r="J10949" s="165" t="s">
        <v>14</v>
      </c>
      <c r="L10949" s="205">
        <v>252270</v>
      </c>
    </row>
    <row r="10950" spans="1:14" ht="11.25" customHeight="1" x14ac:dyDescent="0.2">
      <c r="A10950" s="226">
        <v>2026</v>
      </c>
      <c r="B10950" s="226">
        <v>1</v>
      </c>
      <c r="C10950" s="226">
        <v>14</v>
      </c>
      <c r="D10950" s="232">
        <f t="shared" si="1241"/>
        <v>46036</v>
      </c>
      <c r="E10950" s="234">
        <f t="shared" si="1242"/>
        <v>46036</v>
      </c>
      <c r="F10950" s="479"/>
      <c r="G10950" s="227" t="s">
        <v>1111</v>
      </c>
      <c r="H10950" s="228"/>
      <c r="I10950" s="228"/>
      <c r="J10950" s="229" t="s">
        <v>1112</v>
      </c>
      <c r="K10950" s="230"/>
      <c r="L10950" s="230">
        <v>47730</v>
      </c>
    </row>
    <row r="10951" spans="1:14" ht="11.25" customHeight="1" x14ac:dyDescent="0.2">
      <c r="A10951" s="221">
        <v>2026</v>
      </c>
      <c r="B10951" s="221">
        <v>1</v>
      </c>
      <c r="C10951" s="221">
        <v>14</v>
      </c>
      <c r="D10951" s="221">
        <f t="shared" si="1241"/>
        <v>46036</v>
      </c>
      <c r="E10951" s="233">
        <f t="shared" si="1242"/>
        <v>46036</v>
      </c>
      <c r="F10951" s="478" t="s">
        <v>1937</v>
      </c>
      <c r="G10951" s="222" t="s">
        <v>86</v>
      </c>
      <c r="H10951" s="222"/>
      <c r="I10951" s="223"/>
      <c r="J10951" s="224" t="s">
        <v>80</v>
      </c>
      <c r="K10951" s="225">
        <v>1073770</v>
      </c>
      <c r="L10951" s="225"/>
      <c r="N10951" s="263"/>
    </row>
    <row r="10952" spans="1:14" ht="11.25" customHeight="1" x14ac:dyDescent="0.2">
      <c r="A10952" s="164">
        <v>2026</v>
      </c>
      <c r="B10952" s="164">
        <v>1</v>
      </c>
      <c r="C10952" s="164">
        <v>14</v>
      </c>
      <c r="D10952" s="164">
        <f t="shared" si="1241"/>
        <v>46036</v>
      </c>
      <c r="E10952" s="235">
        <f t="shared" si="1242"/>
        <v>46036</v>
      </c>
      <c r="F10952" s="480"/>
      <c r="G10952" s="208" t="s">
        <v>86</v>
      </c>
      <c r="H10952" s="208"/>
      <c r="J10952" s="165" t="s">
        <v>960</v>
      </c>
      <c r="K10952" s="205">
        <v>2565.1799999999998</v>
      </c>
      <c r="L10952" s="205"/>
      <c r="M10952" s="263"/>
      <c r="N10952" s="263"/>
    </row>
    <row r="10953" spans="1:14" ht="11.25" customHeight="1" x14ac:dyDescent="0.2">
      <c r="A10953" s="164">
        <v>2026</v>
      </c>
      <c r="B10953" s="164">
        <v>1</v>
      </c>
      <c r="C10953" s="164">
        <v>14</v>
      </c>
      <c r="D10953" s="164">
        <f t="shared" ref="D10953:D11016" si="1243">DATE(A10953,B10953,C10953)</f>
        <v>46036</v>
      </c>
      <c r="E10953" s="235">
        <f t="shared" si="1242"/>
        <v>46036</v>
      </c>
      <c r="F10953" s="480"/>
      <c r="G10953" s="208" t="s">
        <v>86</v>
      </c>
      <c r="H10953" s="208"/>
      <c r="J10953" s="165" t="s">
        <v>961</v>
      </c>
      <c r="K10953" s="263"/>
      <c r="L10953" s="205">
        <v>725004.18</v>
      </c>
      <c r="M10953" s="263"/>
      <c r="N10953" s="263"/>
    </row>
    <row r="10954" spans="1:14" ht="11.25" customHeight="1" x14ac:dyDescent="0.2">
      <c r="A10954" s="164">
        <v>2026</v>
      </c>
      <c r="B10954" s="164">
        <v>1</v>
      </c>
      <c r="C10954" s="164">
        <v>14</v>
      </c>
      <c r="D10954" s="164">
        <f t="shared" si="1243"/>
        <v>46036</v>
      </c>
      <c r="E10954" s="235">
        <f t="shared" si="1242"/>
        <v>46036</v>
      </c>
      <c r="F10954" s="480"/>
      <c r="G10954" s="208" t="s">
        <v>86</v>
      </c>
      <c r="H10954" s="208"/>
      <c r="J10954" s="165" t="s">
        <v>200</v>
      </c>
      <c r="K10954" s="205"/>
      <c r="L10954" s="205">
        <v>23655.41</v>
      </c>
      <c r="M10954" s="263"/>
      <c r="N10954" s="263"/>
    </row>
    <row r="10955" spans="1:14" ht="11.25" customHeight="1" x14ac:dyDescent="0.2">
      <c r="A10955" s="226">
        <v>2026</v>
      </c>
      <c r="B10955" s="226">
        <v>1</v>
      </c>
      <c r="C10955" s="226">
        <v>14</v>
      </c>
      <c r="D10955" s="226">
        <f t="shared" si="1243"/>
        <v>46036</v>
      </c>
      <c r="E10955" s="234">
        <f t="shared" si="1242"/>
        <v>46036</v>
      </c>
      <c r="F10955" s="479"/>
      <c r="G10955" s="227" t="s">
        <v>86</v>
      </c>
      <c r="H10955" s="228"/>
      <c r="I10955" s="228"/>
      <c r="J10955" s="229" t="s">
        <v>80</v>
      </c>
      <c r="K10955" s="230"/>
      <c r="L10955" s="230">
        <v>327675.59000000003</v>
      </c>
      <c r="M10955" s="263"/>
      <c r="N10955" s="263"/>
    </row>
    <row r="10956" spans="1:14" ht="11.25" customHeight="1" x14ac:dyDescent="0.2">
      <c r="A10956" s="221">
        <v>2026</v>
      </c>
      <c r="B10956" s="221">
        <v>1</v>
      </c>
      <c r="C10956" s="221">
        <v>14</v>
      </c>
      <c r="D10956" s="231">
        <f t="shared" si="1243"/>
        <v>46036</v>
      </c>
      <c r="E10956" s="233">
        <f t="shared" si="1242"/>
        <v>46036</v>
      </c>
      <c r="F10956" s="478" t="s">
        <v>1979</v>
      </c>
      <c r="G10956" s="222" t="s">
        <v>1111</v>
      </c>
      <c r="H10956" s="223"/>
      <c r="I10956" s="223"/>
      <c r="J10956" s="224" t="s">
        <v>55</v>
      </c>
      <c r="K10956" s="225">
        <v>857.5</v>
      </c>
      <c r="L10956" s="225"/>
    </row>
    <row r="10957" spans="1:14" ht="11.25" customHeight="1" x14ac:dyDescent="0.2">
      <c r="A10957" s="226">
        <v>2026</v>
      </c>
      <c r="B10957" s="226">
        <v>1</v>
      </c>
      <c r="C10957" s="226">
        <v>14</v>
      </c>
      <c r="D10957" s="232">
        <f t="shared" si="1243"/>
        <v>46036</v>
      </c>
      <c r="E10957" s="234">
        <f t="shared" si="1242"/>
        <v>46036</v>
      </c>
      <c r="F10957" s="479"/>
      <c r="G10957" s="227" t="s">
        <v>1111</v>
      </c>
      <c r="H10957" s="228"/>
      <c r="I10957" s="228"/>
      <c r="J10957" s="229" t="s">
        <v>192</v>
      </c>
      <c r="K10957" s="230"/>
      <c r="L10957" s="230">
        <f>K10956</f>
        <v>857.5</v>
      </c>
    </row>
    <row r="10958" spans="1:14" ht="11.25" customHeight="1" x14ac:dyDescent="0.2">
      <c r="A10958" s="221">
        <v>2026</v>
      </c>
      <c r="B10958" s="221">
        <v>1</v>
      </c>
      <c r="C10958" s="221">
        <v>14</v>
      </c>
      <c r="D10958" s="231">
        <f t="shared" si="1243"/>
        <v>46036</v>
      </c>
      <c r="E10958" s="233">
        <f t="shared" si="1242"/>
        <v>46036</v>
      </c>
      <c r="F10958" s="478" t="s">
        <v>1719</v>
      </c>
      <c r="G10958" s="222" t="s">
        <v>1111</v>
      </c>
      <c r="H10958" s="223"/>
      <c r="I10958" s="223"/>
      <c r="J10958" s="224" t="s">
        <v>63</v>
      </c>
      <c r="K10958" s="225">
        <v>10</v>
      </c>
      <c r="L10958" s="225"/>
    </row>
    <row r="10959" spans="1:14" ht="11.25" customHeight="1" x14ac:dyDescent="0.2">
      <c r="A10959" s="226">
        <v>2026</v>
      </c>
      <c r="B10959" s="226">
        <v>1</v>
      </c>
      <c r="C10959" s="226">
        <v>14</v>
      </c>
      <c r="D10959" s="232">
        <f t="shared" si="1243"/>
        <v>46036</v>
      </c>
      <c r="E10959" s="234">
        <f t="shared" si="1242"/>
        <v>46036</v>
      </c>
      <c r="F10959" s="479"/>
      <c r="G10959" s="227" t="s">
        <v>1111</v>
      </c>
      <c r="H10959" s="228"/>
      <c r="I10959" s="228"/>
      <c r="J10959" s="229" t="s">
        <v>55</v>
      </c>
      <c r="K10959" s="230"/>
      <c r="L10959" s="230">
        <f>K10958</f>
        <v>10</v>
      </c>
    </row>
    <row r="10960" spans="1:14" ht="11.25" customHeight="1" x14ac:dyDescent="0.2">
      <c r="A10960" s="280">
        <v>2026</v>
      </c>
      <c r="B10960" s="280">
        <v>1</v>
      </c>
      <c r="C10960" s="280">
        <v>14</v>
      </c>
      <c r="D10960" s="281">
        <f t="shared" si="1243"/>
        <v>46036</v>
      </c>
      <c r="E10960" s="282">
        <f t="shared" si="1242"/>
        <v>46036</v>
      </c>
      <c r="F10960" s="472" t="s">
        <v>1744</v>
      </c>
      <c r="G10960" s="283" t="s">
        <v>86</v>
      </c>
      <c r="H10960" s="284"/>
      <c r="I10960" s="284"/>
      <c r="J10960" s="285" t="s">
        <v>131</v>
      </c>
      <c r="K10960" s="286">
        <v>2875</v>
      </c>
      <c r="L10960" s="286"/>
      <c r="M10960" s="401"/>
    </row>
    <row r="10961" spans="1:13" ht="11.25" customHeight="1" x14ac:dyDescent="0.2">
      <c r="A10961" s="287">
        <v>2026</v>
      </c>
      <c r="B10961" s="287">
        <v>1</v>
      </c>
      <c r="C10961" s="287">
        <v>14</v>
      </c>
      <c r="D10961" s="288">
        <f t="shared" si="1243"/>
        <v>46036</v>
      </c>
      <c r="E10961" s="289">
        <f t="shared" si="1242"/>
        <v>46036</v>
      </c>
      <c r="F10961" s="473"/>
      <c r="G10961" s="290" t="s">
        <v>86</v>
      </c>
      <c r="H10961" s="291"/>
      <c r="I10961" s="291"/>
      <c r="J10961" s="292" t="s">
        <v>1469</v>
      </c>
      <c r="K10961" s="293"/>
      <c r="L10961" s="293">
        <f>K10960</f>
        <v>2875</v>
      </c>
    </row>
    <row r="10962" spans="1:13" ht="11.25" customHeight="1" x14ac:dyDescent="0.2">
      <c r="A10962" s="280">
        <v>2026</v>
      </c>
      <c r="B10962" s="280">
        <v>1</v>
      </c>
      <c r="C10962" s="280">
        <v>14</v>
      </c>
      <c r="D10962" s="281">
        <f t="shared" si="1243"/>
        <v>46036</v>
      </c>
      <c r="E10962" s="282">
        <f t="shared" si="1242"/>
        <v>46036</v>
      </c>
      <c r="F10962" s="472" t="s">
        <v>1584</v>
      </c>
      <c r="G10962" s="283" t="s">
        <v>86</v>
      </c>
      <c r="H10962" s="284"/>
      <c r="I10962" s="284"/>
      <c r="J10962" s="285" t="s">
        <v>131</v>
      </c>
      <c r="K10962" s="286">
        <v>1277.7777777777778</v>
      </c>
      <c r="L10962" s="286"/>
      <c r="M10962" s="401"/>
    </row>
    <row r="10963" spans="1:13" ht="11.25" customHeight="1" x14ac:dyDescent="0.2">
      <c r="A10963" s="287">
        <v>2026</v>
      </c>
      <c r="B10963" s="287">
        <v>1</v>
      </c>
      <c r="C10963" s="287">
        <v>14</v>
      </c>
      <c r="D10963" s="288">
        <f t="shared" si="1243"/>
        <v>46036</v>
      </c>
      <c r="E10963" s="289">
        <f t="shared" si="1242"/>
        <v>46036</v>
      </c>
      <c r="F10963" s="473"/>
      <c r="G10963" s="290" t="s">
        <v>86</v>
      </c>
      <c r="H10963" s="291"/>
      <c r="I10963" s="291"/>
      <c r="J10963" s="292" t="s">
        <v>1469</v>
      </c>
      <c r="K10963" s="293"/>
      <c r="L10963" s="293">
        <f>K10962</f>
        <v>1277.7777777777778</v>
      </c>
    </row>
    <row r="10964" spans="1:13" ht="11.25" customHeight="1" x14ac:dyDescent="0.2">
      <c r="A10964" s="280">
        <v>2026</v>
      </c>
      <c r="B10964" s="280">
        <v>1</v>
      </c>
      <c r="C10964" s="280">
        <v>14</v>
      </c>
      <c r="D10964" s="281">
        <f t="shared" si="1243"/>
        <v>46036</v>
      </c>
      <c r="E10964" s="282">
        <f t="shared" si="1242"/>
        <v>46036</v>
      </c>
      <c r="F10964" s="472" t="s">
        <v>1955</v>
      </c>
      <c r="G10964" s="283" t="s">
        <v>86</v>
      </c>
      <c r="H10964" s="284"/>
      <c r="I10964" s="284"/>
      <c r="J10964" s="285" t="s">
        <v>1978</v>
      </c>
      <c r="K10964" s="286">
        <v>6185.4395604395604</v>
      </c>
      <c r="L10964" s="286"/>
      <c r="M10964" s="401"/>
    </row>
    <row r="10965" spans="1:13" ht="11.25" customHeight="1" x14ac:dyDescent="0.2">
      <c r="A10965" s="287">
        <v>2026</v>
      </c>
      <c r="B10965" s="287">
        <v>1</v>
      </c>
      <c r="C10965" s="287">
        <v>14</v>
      </c>
      <c r="D10965" s="288">
        <f t="shared" si="1243"/>
        <v>46036</v>
      </c>
      <c r="E10965" s="289">
        <f t="shared" si="1242"/>
        <v>46036</v>
      </c>
      <c r="F10965" s="473"/>
      <c r="G10965" s="290" t="s">
        <v>86</v>
      </c>
      <c r="H10965" s="291"/>
      <c r="I10965" s="291"/>
      <c r="J10965" s="292" t="s">
        <v>1955</v>
      </c>
      <c r="K10965" s="293"/>
      <c r="L10965" s="293">
        <f>K10964</f>
        <v>6185.4395604395604</v>
      </c>
    </row>
    <row r="10966" spans="1:13" ht="11.25" customHeight="1" x14ac:dyDescent="0.2">
      <c r="A10966" s="341">
        <v>2026</v>
      </c>
      <c r="B10966" s="341">
        <v>1</v>
      </c>
      <c r="C10966" s="341">
        <v>14</v>
      </c>
      <c r="D10966" s="328">
        <f t="shared" si="1243"/>
        <v>46036</v>
      </c>
      <c r="E10966" s="329">
        <f t="shared" si="1242"/>
        <v>46036</v>
      </c>
      <c r="F10966" s="474" t="s">
        <v>1767</v>
      </c>
      <c r="G10966" s="330" t="s">
        <v>86</v>
      </c>
      <c r="H10966" s="332"/>
      <c r="I10966" s="332"/>
      <c r="J10966" s="342" t="s">
        <v>67</v>
      </c>
      <c r="K10966" s="343">
        <v>681.04260916666669</v>
      </c>
      <c r="L10966" s="343"/>
      <c r="M10966" s="166"/>
    </row>
    <row r="10967" spans="1:13" ht="11.25" customHeight="1" x14ac:dyDescent="0.2">
      <c r="A10967" s="344">
        <v>2026</v>
      </c>
      <c r="B10967" s="344">
        <v>1</v>
      </c>
      <c r="C10967" s="344">
        <v>14</v>
      </c>
      <c r="D10967" s="337">
        <f t="shared" si="1243"/>
        <v>46036</v>
      </c>
      <c r="E10967" s="338">
        <f t="shared" si="1242"/>
        <v>46036</v>
      </c>
      <c r="F10967" s="475"/>
      <c r="G10967" s="339" t="s">
        <v>86</v>
      </c>
      <c r="H10967" s="340"/>
      <c r="I10967" s="340"/>
      <c r="J10967" s="345" t="s">
        <v>1974</v>
      </c>
      <c r="K10967" s="346"/>
      <c r="L10967" s="346">
        <f>K10966</f>
        <v>681.04260916666669</v>
      </c>
    </row>
    <row r="10968" spans="1:13" ht="11.25" customHeight="1" x14ac:dyDescent="0.2">
      <c r="A10968" s="236">
        <v>2026</v>
      </c>
      <c r="B10968" s="236">
        <v>1</v>
      </c>
      <c r="C10968" s="236">
        <v>14</v>
      </c>
      <c r="D10968" s="237">
        <f t="shared" si="1243"/>
        <v>46036</v>
      </c>
      <c r="E10968" s="238">
        <f t="shared" si="1242"/>
        <v>46036</v>
      </c>
      <c r="F10968" s="476" t="s">
        <v>1118</v>
      </c>
      <c r="G10968" s="239" t="s">
        <v>86</v>
      </c>
      <c r="H10968" s="239"/>
      <c r="I10968" s="240"/>
      <c r="J10968" s="241" t="s">
        <v>98</v>
      </c>
      <c r="K10968" s="242">
        <v>575857.10999949276</v>
      </c>
      <c r="L10968" s="242"/>
      <c r="M10968" s="166"/>
    </row>
    <row r="10969" spans="1:13" ht="11.25" customHeight="1" x14ac:dyDescent="0.2">
      <c r="A10969" s="243">
        <v>2026</v>
      </c>
      <c r="B10969" s="243">
        <v>1</v>
      </c>
      <c r="C10969" s="243">
        <v>14</v>
      </c>
      <c r="D10969" s="248">
        <f t="shared" si="1243"/>
        <v>46036</v>
      </c>
      <c r="E10969" s="249">
        <f t="shared" si="1242"/>
        <v>46036</v>
      </c>
      <c r="F10969" s="477"/>
      <c r="G10969" s="244" t="s">
        <v>86</v>
      </c>
      <c r="H10969" s="244"/>
      <c r="I10969" s="245"/>
      <c r="J10969" s="246" t="s">
        <v>82</v>
      </c>
      <c r="K10969" s="247"/>
      <c r="L10969" s="247">
        <f>K10968</f>
        <v>575857.10999949276</v>
      </c>
    </row>
    <row r="10970" spans="1:13" ht="11.25" customHeight="1" x14ac:dyDescent="0.2">
      <c r="A10970" s="236">
        <v>2026</v>
      </c>
      <c r="B10970" s="236">
        <v>1</v>
      </c>
      <c r="C10970" s="236">
        <v>14</v>
      </c>
      <c r="D10970" s="237">
        <f t="shared" si="1243"/>
        <v>46036</v>
      </c>
      <c r="E10970" s="238">
        <f t="shared" si="1242"/>
        <v>46036</v>
      </c>
      <c r="F10970" s="476" t="s">
        <v>1999</v>
      </c>
      <c r="G10970" s="239" t="s">
        <v>86</v>
      </c>
      <c r="H10970" s="239"/>
      <c r="I10970" s="240"/>
      <c r="J10970" s="241" t="s">
        <v>87</v>
      </c>
      <c r="K10970" s="242">
        <v>392.46467817896388</v>
      </c>
      <c r="L10970" s="242"/>
      <c r="M10970" s="401"/>
    </row>
    <row r="10971" spans="1:13" ht="11.25" customHeight="1" x14ac:dyDescent="0.2">
      <c r="A10971" s="243">
        <v>2026</v>
      </c>
      <c r="B10971" s="243">
        <v>1</v>
      </c>
      <c r="C10971" s="243">
        <v>14</v>
      </c>
      <c r="D10971" s="248">
        <f t="shared" si="1243"/>
        <v>46036</v>
      </c>
      <c r="E10971" s="249">
        <f t="shared" si="1242"/>
        <v>46036</v>
      </c>
      <c r="F10971" s="477"/>
      <c r="G10971" s="244" t="s">
        <v>86</v>
      </c>
      <c r="H10971" s="244"/>
      <c r="I10971" s="245"/>
      <c r="J10971" s="246" t="s">
        <v>64</v>
      </c>
      <c r="K10971" s="247"/>
      <c r="L10971" s="247">
        <f>K10970</f>
        <v>392.46467817896388</v>
      </c>
    </row>
    <row r="10972" spans="1:13" ht="11.25" customHeight="1" x14ac:dyDescent="0.2">
      <c r="A10972" s="236">
        <v>2026</v>
      </c>
      <c r="B10972" s="236">
        <v>1</v>
      </c>
      <c r="C10972" s="236">
        <v>14</v>
      </c>
      <c r="D10972" s="237">
        <f t="shared" si="1243"/>
        <v>46036</v>
      </c>
      <c r="E10972" s="238">
        <f t="shared" si="1242"/>
        <v>46036</v>
      </c>
      <c r="F10972" s="476" t="s">
        <v>2000</v>
      </c>
      <c r="G10972" s="239" t="s">
        <v>86</v>
      </c>
      <c r="H10972" s="239"/>
      <c r="I10972" s="240"/>
      <c r="J10972" s="241" t="s">
        <v>89</v>
      </c>
      <c r="K10972" s="242">
        <f>M10972</f>
        <v>13574.520997447715</v>
      </c>
      <c r="L10972" s="242"/>
      <c r="M10972" s="448">
        <v>13574.520997447715</v>
      </c>
    </row>
    <row r="10973" spans="1:13" ht="11.25" customHeight="1" x14ac:dyDescent="0.2">
      <c r="A10973" s="243">
        <v>2026</v>
      </c>
      <c r="B10973" s="243">
        <v>1</v>
      </c>
      <c r="C10973" s="243">
        <v>14</v>
      </c>
      <c r="D10973" s="248">
        <f t="shared" si="1243"/>
        <v>46036</v>
      </c>
      <c r="E10973" s="249">
        <f t="shared" si="1242"/>
        <v>46036</v>
      </c>
      <c r="F10973" s="477"/>
      <c r="G10973" s="244" t="s">
        <v>86</v>
      </c>
      <c r="H10973" s="244"/>
      <c r="I10973" s="245"/>
      <c r="J10973" s="246" t="s">
        <v>50</v>
      </c>
      <c r="K10973" s="247"/>
      <c r="L10973" s="247">
        <f>K10972</f>
        <v>13574.520997447715</v>
      </c>
      <c r="M10973" s="448">
        <v>644.38539053172644</v>
      </c>
    </row>
    <row r="10974" spans="1:13" ht="11.25" customHeight="1" x14ac:dyDescent="0.2">
      <c r="A10974" s="236">
        <v>2026</v>
      </c>
      <c r="B10974" s="236">
        <v>1</v>
      </c>
      <c r="C10974" s="236">
        <v>14</v>
      </c>
      <c r="D10974" s="237">
        <f t="shared" si="1243"/>
        <v>46036</v>
      </c>
      <c r="E10974" s="238">
        <f t="shared" si="1242"/>
        <v>46036</v>
      </c>
      <c r="F10974" s="476" t="s">
        <v>2001</v>
      </c>
      <c r="G10974" s="239" t="s">
        <v>86</v>
      </c>
      <c r="H10974" s="239"/>
      <c r="I10974" s="240"/>
      <c r="J10974" s="241" t="s">
        <v>91</v>
      </c>
      <c r="K10974" s="242">
        <f>M10973</f>
        <v>644.38539053172644</v>
      </c>
      <c r="L10974" s="242"/>
    </row>
    <row r="10975" spans="1:13" ht="11.25" customHeight="1" x14ac:dyDescent="0.2">
      <c r="A10975" s="243">
        <v>2026</v>
      </c>
      <c r="B10975" s="243">
        <v>1</v>
      </c>
      <c r="C10975" s="243">
        <v>14</v>
      </c>
      <c r="D10975" s="248">
        <f t="shared" si="1243"/>
        <v>46036</v>
      </c>
      <c r="E10975" s="249">
        <f t="shared" si="1242"/>
        <v>46036</v>
      </c>
      <c r="F10975" s="477"/>
      <c r="G10975" s="244" t="s">
        <v>86</v>
      </c>
      <c r="H10975" s="244"/>
      <c r="I10975" s="245"/>
      <c r="J10975" s="246" t="s">
        <v>51</v>
      </c>
      <c r="K10975" s="247"/>
      <c r="L10975" s="247">
        <f>K10974</f>
        <v>644.38539053172644</v>
      </c>
    </row>
    <row r="10976" spans="1:13" ht="11.25" customHeight="1" x14ac:dyDescent="0.2">
      <c r="A10976" s="221">
        <v>2026</v>
      </c>
      <c r="B10976" s="221">
        <v>1</v>
      </c>
      <c r="C10976" s="221">
        <v>15</v>
      </c>
      <c r="D10976" s="231">
        <f t="shared" si="1243"/>
        <v>46037</v>
      </c>
      <c r="E10976" s="233">
        <f t="shared" si="1242"/>
        <v>46037</v>
      </c>
      <c r="F10976" s="478" t="s">
        <v>1132</v>
      </c>
      <c r="G10976" s="222" t="s">
        <v>1111</v>
      </c>
      <c r="H10976" s="223"/>
      <c r="I10976" s="223"/>
      <c r="J10976" s="224" t="s">
        <v>55</v>
      </c>
      <c r="K10976" s="167">
        <v>1000</v>
      </c>
      <c r="L10976" s="225"/>
    </row>
    <row r="10977" spans="1:14" ht="11.25" customHeight="1" x14ac:dyDescent="0.2">
      <c r="A10977" s="164">
        <v>2026</v>
      </c>
      <c r="B10977" s="164">
        <v>1</v>
      </c>
      <c r="C10977" s="164">
        <v>15</v>
      </c>
      <c r="D10977" s="156">
        <f t="shared" si="1243"/>
        <v>46037</v>
      </c>
      <c r="E10977" s="235">
        <f t="shared" si="1242"/>
        <v>46037</v>
      </c>
      <c r="F10977" s="480"/>
      <c r="G10977" s="208" t="s">
        <v>1111</v>
      </c>
      <c r="J10977" s="165" t="s">
        <v>14</v>
      </c>
      <c r="L10977" s="205">
        <v>840</v>
      </c>
    </row>
    <row r="10978" spans="1:14" ht="11.25" customHeight="1" x14ac:dyDescent="0.2">
      <c r="A10978" s="226">
        <v>2026</v>
      </c>
      <c r="B10978" s="226">
        <v>1</v>
      </c>
      <c r="C10978" s="226">
        <v>15</v>
      </c>
      <c r="D10978" s="232">
        <f t="shared" si="1243"/>
        <v>46037</v>
      </c>
      <c r="E10978" s="234">
        <f t="shared" ref="E10978:E11003" si="1244">DATE(A10978,B10978,C10978)</f>
        <v>46037</v>
      </c>
      <c r="F10978" s="479"/>
      <c r="G10978" s="227" t="s">
        <v>1111</v>
      </c>
      <c r="H10978" s="228"/>
      <c r="I10978" s="228"/>
      <c r="J10978" s="229" t="s">
        <v>1112</v>
      </c>
      <c r="K10978" s="230"/>
      <c r="L10978" s="230">
        <v>160</v>
      </c>
    </row>
    <row r="10979" spans="1:14" ht="11.25" customHeight="1" x14ac:dyDescent="0.2">
      <c r="A10979" s="221">
        <v>2026</v>
      </c>
      <c r="B10979" s="221">
        <v>1</v>
      </c>
      <c r="C10979" s="221">
        <v>15</v>
      </c>
      <c r="D10979" s="221">
        <f t="shared" si="1243"/>
        <v>46037</v>
      </c>
      <c r="E10979" s="233">
        <f t="shared" si="1244"/>
        <v>46037</v>
      </c>
      <c r="F10979" s="478" t="s">
        <v>1937</v>
      </c>
      <c r="G10979" s="222" t="s">
        <v>86</v>
      </c>
      <c r="H10979" s="222"/>
      <c r="I10979" s="223"/>
      <c r="J10979" s="224" t="s">
        <v>80</v>
      </c>
      <c r="K10979" s="225">
        <v>950318.1</v>
      </c>
      <c r="L10979" s="225"/>
      <c r="N10979" s="263"/>
    </row>
    <row r="10980" spans="1:14" ht="11.25" customHeight="1" x14ac:dyDescent="0.2">
      <c r="A10980" s="164">
        <v>2026</v>
      </c>
      <c r="B10980" s="164">
        <v>1</v>
      </c>
      <c r="C10980" s="164">
        <v>15</v>
      </c>
      <c r="D10980" s="164">
        <f t="shared" si="1243"/>
        <v>46037</v>
      </c>
      <c r="E10980" s="235">
        <f t="shared" si="1244"/>
        <v>46037</v>
      </c>
      <c r="F10980" s="480"/>
      <c r="G10980" s="208" t="s">
        <v>86</v>
      </c>
      <c r="H10980" s="208"/>
      <c r="J10980" s="165" t="s">
        <v>960</v>
      </c>
      <c r="K10980" s="205">
        <v>2032.95</v>
      </c>
      <c r="L10980" s="205"/>
      <c r="M10980" s="263"/>
      <c r="N10980" s="263"/>
    </row>
    <row r="10981" spans="1:14" ht="11.25" customHeight="1" x14ac:dyDescent="0.2">
      <c r="A10981" s="164">
        <v>2026</v>
      </c>
      <c r="B10981" s="164">
        <v>1</v>
      </c>
      <c r="C10981" s="164">
        <v>15</v>
      </c>
      <c r="D10981" s="164">
        <f t="shared" si="1243"/>
        <v>46037</v>
      </c>
      <c r="E10981" s="235">
        <f t="shared" si="1244"/>
        <v>46037</v>
      </c>
      <c r="F10981" s="480"/>
      <c r="G10981" s="208" t="s">
        <v>86</v>
      </c>
      <c r="H10981" s="208"/>
      <c r="J10981" s="165" t="s">
        <v>961</v>
      </c>
      <c r="K10981" s="263"/>
      <c r="L10981" s="205">
        <v>773251.05</v>
      </c>
      <c r="M10981" s="263"/>
      <c r="N10981" s="263"/>
    </row>
    <row r="10982" spans="1:14" ht="11.25" customHeight="1" x14ac:dyDescent="0.2">
      <c r="A10982" s="164">
        <v>2026</v>
      </c>
      <c r="B10982" s="164">
        <v>1</v>
      </c>
      <c r="C10982" s="164">
        <v>15</v>
      </c>
      <c r="D10982" s="164">
        <f t="shared" si="1243"/>
        <v>46037</v>
      </c>
      <c r="E10982" s="235">
        <f t="shared" si="1244"/>
        <v>46037</v>
      </c>
      <c r="F10982" s="480"/>
      <c r="G10982" s="208" t="s">
        <v>86</v>
      </c>
      <c r="H10982" s="208"/>
      <c r="J10982" s="165" t="s">
        <v>200</v>
      </c>
      <c r="K10982" s="205"/>
      <c r="L10982" s="205">
        <v>14651.68</v>
      </c>
      <c r="M10982" s="263"/>
      <c r="N10982" s="263"/>
    </row>
    <row r="10983" spans="1:14" ht="11.25" customHeight="1" x14ac:dyDescent="0.2">
      <c r="A10983" s="226">
        <v>2026</v>
      </c>
      <c r="B10983" s="226">
        <v>1</v>
      </c>
      <c r="C10983" s="226">
        <v>15</v>
      </c>
      <c r="D10983" s="226">
        <f t="shared" si="1243"/>
        <v>46037</v>
      </c>
      <c r="E10983" s="234">
        <f t="shared" si="1244"/>
        <v>46037</v>
      </c>
      <c r="F10983" s="479"/>
      <c r="G10983" s="227" t="s">
        <v>86</v>
      </c>
      <c r="H10983" s="228"/>
      <c r="I10983" s="228"/>
      <c r="J10983" s="229" t="s">
        <v>80</v>
      </c>
      <c r="K10983" s="230"/>
      <c r="L10983" s="230">
        <v>164448.32000000001</v>
      </c>
      <c r="M10983" s="263"/>
      <c r="N10983" s="263"/>
    </row>
    <row r="10984" spans="1:14" ht="11.25" customHeight="1" x14ac:dyDescent="0.2">
      <c r="A10984" s="221">
        <v>2026</v>
      </c>
      <c r="B10984" s="221">
        <v>1</v>
      </c>
      <c r="C10984" s="221">
        <v>15</v>
      </c>
      <c r="D10984" s="231">
        <f t="shared" si="1243"/>
        <v>46037</v>
      </c>
      <c r="E10984" s="233">
        <f t="shared" si="1244"/>
        <v>46037</v>
      </c>
      <c r="F10984" s="478" t="s">
        <v>1980</v>
      </c>
      <c r="G10984" s="222" t="s">
        <v>1111</v>
      </c>
      <c r="H10984" s="223"/>
      <c r="I10984" s="223"/>
      <c r="J10984" s="224" t="s">
        <v>55</v>
      </c>
      <c r="K10984" s="225">
        <v>27.5</v>
      </c>
      <c r="L10984" s="225"/>
    </row>
    <row r="10985" spans="1:14" ht="11.25" customHeight="1" x14ac:dyDescent="0.2">
      <c r="A10985" s="226">
        <v>2026</v>
      </c>
      <c r="B10985" s="226">
        <v>1</v>
      </c>
      <c r="C10985" s="226">
        <v>15</v>
      </c>
      <c r="D10985" s="232">
        <f t="shared" si="1243"/>
        <v>46037</v>
      </c>
      <c r="E10985" s="234">
        <f t="shared" si="1244"/>
        <v>46037</v>
      </c>
      <c r="F10985" s="479"/>
      <c r="G10985" s="227" t="s">
        <v>1111</v>
      </c>
      <c r="H10985" s="228"/>
      <c r="I10985" s="228"/>
      <c r="J10985" s="229" t="s">
        <v>192</v>
      </c>
      <c r="K10985" s="230"/>
      <c r="L10985" s="230">
        <f>K10984</f>
        <v>27.5</v>
      </c>
    </row>
    <row r="10986" spans="1:14" ht="11.25" customHeight="1" x14ac:dyDescent="0.2">
      <c r="A10986" s="280">
        <v>2026</v>
      </c>
      <c r="B10986" s="280">
        <v>1</v>
      </c>
      <c r="C10986" s="280">
        <v>15</v>
      </c>
      <c r="D10986" s="281">
        <f t="shared" si="1243"/>
        <v>46037</v>
      </c>
      <c r="E10986" s="282">
        <f t="shared" si="1244"/>
        <v>46037</v>
      </c>
      <c r="F10986" s="472" t="s">
        <v>1744</v>
      </c>
      <c r="G10986" s="283" t="s">
        <v>86</v>
      </c>
      <c r="H10986" s="284"/>
      <c r="I10986" s="284"/>
      <c r="J10986" s="285" t="s">
        <v>131</v>
      </c>
      <c r="K10986" s="286">
        <v>2875</v>
      </c>
      <c r="L10986" s="286"/>
      <c r="M10986" s="401"/>
    </row>
    <row r="10987" spans="1:14" ht="11.25" customHeight="1" x14ac:dyDescent="0.2">
      <c r="A10987" s="287">
        <v>2026</v>
      </c>
      <c r="B10987" s="287">
        <v>1</v>
      </c>
      <c r="C10987" s="287">
        <v>15</v>
      </c>
      <c r="D10987" s="288">
        <f t="shared" si="1243"/>
        <v>46037</v>
      </c>
      <c r="E10987" s="289">
        <f t="shared" si="1244"/>
        <v>46037</v>
      </c>
      <c r="F10987" s="473"/>
      <c r="G10987" s="290" t="s">
        <v>86</v>
      </c>
      <c r="H10987" s="291"/>
      <c r="I10987" s="291"/>
      <c r="J10987" s="292" t="s">
        <v>1469</v>
      </c>
      <c r="K10987" s="293"/>
      <c r="L10987" s="293">
        <f>K10986</f>
        <v>2875</v>
      </c>
    </row>
    <row r="10988" spans="1:14" ht="11.25" customHeight="1" x14ac:dyDescent="0.2">
      <c r="A10988" s="280">
        <v>2026</v>
      </c>
      <c r="B10988" s="280">
        <v>1</v>
      </c>
      <c r="C10988" s="280">
        <v>15</v>
      </c>
      <c r="D10988" s="281">
        <f t="shared" si="1243"/>
        <v>46037</v>
      </c>
      <c r="E10988" s="282">
        <f t="shared" si="1244"/>
        <v>46037</v>
      </c>
      <c r="F10988" s="472" t="s">
        <v>1584</v>
      </c>
      <c r="G10988" s="283" t="s">
        <v>86</v>
      </c>
      <c r="H10988" s="284"/>
      <c r="I10988" s="284"/>
      <c r="J10988" s="285" t="s">
        <v>131</v>
      </c>
      <c r="K10988" s="286">
        <v>1277.7777777777778</v>
      </c>
      <c r="L10988" s="286"/>
      <c r="M10988" s="401"/>
    </row>
    <row r="10989" spans="1:14" ht="11.25" customHeight="1" x14ac:dyDescent="0.2">
      <c r="A10989" s="287">
        <v>2026</v>
      </c>
      <c r="B10989" s="287">
        <v>1</v>
      </c>
      <c r="C10989" s="287">
        <v>15</v>
      </c>
      <c r="D10989" s="288">
        <f t="shared" si="1243"/>
        <v>46037</v>
      </c>
      <c r="E10989" s="289">
        <f t="shared" si="1244"/>
        <v>46037</v>
      </c>
      <c r="F10989" s="473"/>
      <c r="G10989" s="290" t="s">
        <v>86</v>
      </c>
      <c r="H10989" s="291"/>
      <c r="I10989" s="291"/>
      <c r="J10989" s="292" t="s">
        <v>1469</v>
      </c>
      <c r="K10989" s="293"/>
      <c r="L10989" s="293">
        <f>K10988</f>
        <v>1277.7777777777778</v>
      </c>
    </row>
    <row r="10990" spans="1:14" ht="11.25" customHeight="1" x14ac:dyDescent="0.2">
      <c r="A10990" s="280">
        <v>2026</v>
      </c>
      <c r="B10990" s="280">
        <v>1</v>
      </c>
      <c r="C10990" s="280">
        <v>15</v>
      </c>
      <c r="D10990" s="281">
        <f t="shared" si="1243"/>
        <v>46037</v>
      </c>
      <c r="E10990" s="282">
        <f t="shared" si="1244"/>
        <v>46037</v>
      </c>
      <c r="F10990" s="472" t="s">
        <v>1955</v>
      </c>
      <c r="G10990" s="283" t="s">
        <v>86</v>
      </c>
      <c r="H10990" s="284"/>
      <c r="I10990" s="284"/>
      <c r="J10990" s="285" t="s">
        <v>1978</v>
      </c>
      <c r="K10990" s="286">
        <v>6185.4395604395604</v>
      </c>
      <c r="L10990" s="286"/>
      <c r="M10990" s="401"/>
    </row>
    <row r="10991" spans="1:14" ht="11.25" customHeight="1" x14ac:dyDescent="0.2">
      <c r="A10991" s="287">
        <v>2026</v>
      </c>
      <c r="B10991" s="287">
        <v>1</v>
      </c>
      <c r="C10991" s="287">
        <v>15</v>
      </c>
      <c r="D10991" s="288">
        <f t="shared" si="1243"/>
        <v>46037</v>
      </c>
      <c r="E10991" s="289">
        <f t="shared" si="1244"/>
        <v>46037</v>
      </c>
      <c r="F10991" s="473"/>
      <c r="G10991" s="290" t="s">
        <v>86</v>
      </c>
      <c r="H10991" s="291"/>
      <c r="I10991" s="291"/>
      <c r="J10991" s="292" t="s">
        <v>1955</v>
      </c>
      <c r="K10991" s="293"/>
      <c r="L10991" s="293">
        <f>K10990</f>
        <v>6185.4395604395604</v>
      </c>
    </row>
    <row r="10992" spans="1:14" ht="11.25" customHeight="1" x14ac:dyDescent="0.2">
      <c r="A10992" s="341">
        <v>2026</v>
      </c>
      <c r="B10992" s="341">
        <v>1</v>
      </c>
      <c r="C10992" s="341">
        <v>15</v>
      </c>
      <c r="D10992" s="328">
        <f t="shared" si="1243"/>
        <v>46037</v>
      </c>
      <c r="E10992" s="329">
        <f t="shared" si="1244"/>
        <v>46037</v>
      </c>
      <c r="F10992" s="474" t="s">
        <v>1767</v>
      </c>
      <c r="G10992" s="330" t="s">
        <v>86</v>
      </c>
      <c r="H10992" s="332"/>
      <c r="I10992" s="332"/>
      <c r="J10992" s="342" t="s">
        <v>67</v>
      </c>
      <c r="K10992" s="343">
        <v>681.29069944444439</v>
      </c>
      <c r="L10992" s="343"/>
      <c r="M10992" s="166"/>
    </row>
    <row r="10993" spans="1:14" ht="11.25" customHeight="1" x14ac:dyDescent="0.2">
      <c r="A10993" s="344">
        <v>2026</v>
      </c>
      <c r="B10993" s="344">
        <v>1</v>
      </c>
      <c r="C10993" s="344">
        <v>15</v>
      </c>
      <c r="D10993" s="337">
        <f t="shared" si="1243"/>
        <v>46037</v>
      </c>
      <c r="E10993" s="338">
        <f t="shared" si="1244"/>
        <v>46037</v>
      </c>
      <c r="F10993" s="475"/>
      <c r="G10993" s="339" t="s">
        <v>86</v>
      </c>
      <c r="H10993" s="340"/>
      <c r="I10993" s="340"/>
      <c r="J10993" s="345" t="s">
        <v>1974</v>
      </c>
      <c r="K10993" s="346"/>
      <c r="L10993" s="346">
        <f>K10992</f>
        <v>681.29069944444439</v>
      </c>
    </row>
    <row r="10994" spans="1:14" ht="11.25" customHeight="1" x14ac:dyDescent="0.2">
      <c r="A10994" s="236">
        <v>2026</v>
      </c>
      <c r="B10994" s="236">
        <v>1</v>
      </c>
      <c r="C10994" s="236">
        <v>15</v>
      </c>
      <c r="D10994" s="237">
        <f t="shared" si="1243"/>
        <v>46037</v>
      </c>
      <c r="E10994" s="238">
        <f t="shared" si="1244"/>
        <v>46037</v>
      </c>
      <c r="F10994" s="476" t="s">
        <v>1118</v>
      </c>
      <c r="G10994" s="239" t="s">
        <v>86</v>
      </c>
      <c r="H10994" s="239"/>
      <c r="I10994" s="240"/>
      <c r="J10994" s="241" t="s">
        <v>98</v>
      </c>
      <c r="K10994" s="242">
        <v>73085.299999982119</v>
      </c>
      <c r="L10994" s="242"/>
      <c r="M10994" s="166"/>
    </row>
    <row r="10995" spans="1:14" ht="11.25" customHeight="1" x14ac:dyDescent="0.2">
      <c r="A10995" s="243">
        <v>2026</v>
      </c>
      <c r="B10995" s="243">
        <v>1</v>
      </c>
      <c r="C10995" s="243">
        <v>15</v>
      </c>
      <c r="D10995" s="248">
        <f t="shared" si="1243"/>
        <v>46037</v>
      </c>
      <c r="E10995" s="249">
        <f t="shared" si="1244"/>
        <v>46037</v>
      </c>
      <c r="F10995" s="477"/>
      <c r="G10995" s="244" t="s">
        <v>86</v>
      </c>
      <c r="H10995" s="244"/>
      <c r="I10995" s="245"/>
      <c r="J10995" s="246" t="s">
        <v>82</v>
      </c>
      <c r="K10995" s="247"/>
      <c r="L10995" s="247">
        <f>K10994</f>
        <v>73085.299999982119</v>
      </c>
    </row>
    <row r="10996" spans="1:14" ht="11.25" customHeight="1" x14ac:dyDescent="0.2">
      <c r="A10996" s="236">
        <v>2026</v>
      </c>
      <c r="B10996" s="236">
        <v>1</v>
      </c>
      <c r="C10996" s="236">
        <v>15</v>
      </c>
      <c r="D10996" s="237">
        <f t="shared" si="1243"/>
        <v>46037</v>
      </c>
      <c r="E10996" s="238">
        <f t="shared" si="1244"/>
        <v>46037</v>
      </c>
      <c r="F10996" s="476" t="s">
        <v>1999</v>
      </c>
      <c r="G10996" s="239" t="s">
        <v>86</v>
      </c>
      <c r="H10996" s="239"/>
      <c r="I10996" s="240"/>
      <c r="J10996" s="241" t="s">
        <v>87</v>
      </c>
      <c r="K10996" s="242">
        <v>392.46467817896388</v>
      </c>
      <c r="L10996" s="242"/>
      <c r="M10996" s="401"/>
    </row>
    <row r="10997" spans="1:14" ht="11.25" customHeight="1" x14ac:dyDescent="0.2">
      <c r="A10997" s="243">
        <v>2026</v>
      </c>
      <c r="B10997" s="243">
        <v>1</v>
      </c>
      <c r="C10997" s="243">
        <v>15</v>
      </c>
      <c r="D10997" s="248">
        <f t="shared" si="1243"/>
        <v>46037</v>
      </c>
      <c r="E10997" s="249">
        <f t="shared" si="1244"/>
        <v>46037</v>
      </c>
      <c r="F10997" s="477"/>
      <c r="G10997" s="244" t="s">
        <v>86</v>
      </c>
      <c r="H10997" s="244"/>
      <c r="I10997" s="245"/>
      <c r="J10997" s="246" t="s">
        <v>64</v>
      </c>
      <c r="K10997" s="247"/>
      <c r="L10997" s="247">
        <f>K10996</f>
        <v>392.46467817896388</v>
      </c>
    </row>
    <row r="10998" spans="1:14" ht="11.25" customHeight="1" x14ac:dyDescent="0.2">
      <c r="A10998" s="236">
        <v>2026</v>
      </c>
      <c r="B10998" s="236">
        <v>1</v>
      </c>
      <c r="C10998" s="236">
        <v>15</v>
      </c>
      <c r="D10998" s="237">
        <f t="shared" si="1243"/>
        <v>46037</v>
      </c>
      <c r="E10998" s="238">
        <f t="shared" si="1244"/>
        <v>46037</v>
      </c>
      <c r="F10998" s="476" t="s">
        <v>2000</v>
      </c>
      <c r="G10998" s="239" t="s">
        <v>86</v>
      </c>
      <c r="H10998" s="239"/>
      <c r="I10998" s="240"/>
      <c r="J10998" s="241" t="s">
        <v>89</v>
      </c>
      <c r="K10998" s="242">
        <f>M10998</f>
        <v>13642.313656072465</v>
      </c>
      <c r="L10998" s="242"/>
      <c r="M10998" s="448">
        <v>13642.313656072465</v>
      </c>
    </row>
    <row r="10999" spans="1:14" ht="11.25" customHeight="1" x14ac:dyDescent="0.2">
      <c r="A10999" s="243">
        <v>2026</v>
      </c>
      <c r="B10999" s="243">
        <v>1</v>
      </c>
      <c r="C10999" s="243">
        <v>15</v>
      </c>
      <c r="D10999" s="248">
        <f t="shared" si="1243"/>
        <v>46037</v>
      </c>
      <c r="E10999" s="249">
        <f t="shared" si="1244"/>
        <v>46037</v>
      </c>
      <c r="F10999" s="477"/>
      <c r="G10999" s="244" t="s">
        <v>86</v>
      </c>
      <c r="H10999" s="244"/>
      <c r="I10999" s="245"/>
      <c r="J10999" s="246" t="s">
        <v>50</v>
      </c>
      <c r="K10999" s="247"/>
      <c r="L10999" s="247">
        <f>K10998</f>
        <v>13642.313656072465</v>
      </c>
      <c r="M10999" s="448">
        <v>647.77502346296399</v>
      </c>
    </row>
    <row r="11000" spans="1:14" ht="11.25" customHeight="1" x14ac:dyDescent="0.2">
      <c r="A11000" s="236">
        <v>2026</v>
      </c>
      <c r="B11000" s="236">
        <v>1</v>
      </c>
      <c r="C11000" s="236">
        <v>15</v>
      </c>
      <c r="D11000" s="237">
        <f t="shared" si="1243"/>
        <v>46037</v>
      </c>
      <c r="E11000" s="238">
        <f t="shared" si="1244"/>
        <v>46037</v>
      </c>
      <c r="F11000" s="476" t="s">
        <v>2001</v>
      </c>
      <c r="G11000" s="239" t="s">
        <v>86</v>
      </c>
      <c r="H11000" s="239"/>
      <c r="I11000" s="240"/>
      <c r="J11000" s="241" t="s">
        <v>91</v>
      </c>
      <c r="K11000" s="242">
        <f>M10999</f>
        <v>647.77502346296399</v>
      </c>
      <c r="L11000" s="242"/>
    </row>
    <row r="11001" spans="1:14" ht="11.25" customHeight="1" x14ac:dyDescent="0.2">
      <c r="A11001" s="243">
        <v>2026</v>
      </c>
      <c r="B11001" s="243">
        <v>1</v>
      </c>
      <c r="C11001" s="243">
        <v>15</v>
      </c>
      <c r="D11001" s="248">
        <f t="shared" si="1243"/>
        <v>46037</v>
      </c>
      <c r="E11001" s="249">
        <f t="shared" si="1244"/>
        <v>46037</v>
      </c>
      <c r="F11001" s="477"/>
      <c r="G11001" s="244" t="s">
        <v>86</v>
      </c>
      <c r="H11001" s="244"/>
      <c r="I11001" s="245"/>
      <c r="J11001" s="246" t="s">
        <v>51</v>
      </c>
      <c r="K11001" s="247"/>
      <c r="L11001" s="247">
        <f>K11000</f>
        <v>647.77502346296399</v>
      </c>
    </row>
    <row r="11002" spans="1:14" ht="11.25" customHeight="1" x14ac:dyDescent="0.2">
      <c r="A11002" s="221">
        <v>2026</v>
      </c>
      <c r="B11002" s="221">
        <v>1</v>
      </c>
      <c r="C11002" s="221">
        <v>18</v>
      </c>
      <c r="D11002" s="231">
        <f t="shared" si="1243"/>
        <v>46040</v>
      </c>
      <c r="E11002" s="233">
        <f t="shared" si="1244"/>
        <v>46040</v>
      </c>
      <c r="F11002" s="478" t="s">
        <v>1940</v>
      </c>
      <c r="G11002" s="222" t="s">
        <v>1111</v>
      </c>
      <c r="H11002" s="223"/>
      <c r="I11002" s="223"/>
      <c r="J11002" s="224" t="s">
        <v>961</v>
      </c>
      <c r="K11002" s="225">
        <v>394245.65</v>
      </c>
      <c r="L11002" s="225"/>
    </row>
    <row r="11003" spans="1:14" ht="11.25" customHeight="1" x14ac:dyDescent="0.2">
      <c r="A11003" s="226">
        <v>2026</v>
      </c>
      <c r="B11003" s="226">
        <v>1</v>
      </c>
      <c r="C11003" s="226">
        <v>18</v>
      </c>
      <c r="D11003" s="232">
        <f t="shared" si="1243"/>
        <v>46040</v>
      </c>
      <c r="E11003" s="234">
        <f t="shared" si="1244"/>
        <v>46040</v>
      </c>
      <c r="F11003" s="479"/>
      <c r="G11003" s="227" t="s">
        <v>1111</v>
      </c>
      <c r="H11003" s="228"/>
      <c r="I11003" s="228"/>
      <c r="J11003" s="229" t="s">
        <v>55</v>
      </c>
      <c r="K11003" s="230"/>
      <c r="L11003" s="230">
        <f>K11002</f>
        <v>394245.65</v>
      </c>
    </row>
    <row r="11004" spans="1:14" ht="11.25" customHeight="1" x14ac:dyDescent="0.2">
      <c r="A11004" s="221">
        <v>2026</v>
      </c>
      <c r="B11004" s="221">
        <v>1</v>
      </c>
      <c r="C11004" s="221">
        <v>18</v>
      </c>
      <c r="D11004" s="231">
        <f t="shared" si="1243"/>
        <v>46040</v>
      </c>
      <c r="E11004" s="233">
        <f t="shared" ref="E11004:E11031" si="1245">DATE(A11004,B11004,C11004)</f>
        <v>46040</v>
      </c>
      <c r="F11004" s="478" t="s">
        <v>1940</v>
      </c>
      <c r="G11004" s="222" t="s">
        <v>1111</v>
      </c>
      <c r="H11004" s="223"/>
      <c r="I11004" s="223"/>
      <c r="J11004" s="224" t="s">
        <v>961</v>
      </c>
      <c r="K11004" s="225">
        <v>1340737.8400000001</v>
      </c>
      <c r="L11004" s="225"/>
    </row>
    <row r="11005" spans="1:14" ht="11.25" customHeight="1" x14ac:dyDescent="0.2">
      <c r="A11005" s="226">
        <v>2026</v>
      </c>
      <c r="B11005" s="226">
        <v>1</v>
      </c>
      <c r="C11005" s="226">
        <v>18</v>
      </c>
      <c r="D11005" s="232">
        <f t="shared" si="1243"/>
        <v>46040</v>
      </c>
      <c r="E11005" s="234">
        <f t="shared" si="1245"/>
        <v>46040</v>
      </c>
      <c r="F11005" s="479"/>
      <c r="G11005" s="227" t="s">
        <v>1111</v>
      </c>
      <c r="H11005" s="228"/>
      <c r="I11005" s="228"/>
      <c r="J11005" s="229" t="s">
        <v>55</v>
      </c>
      <c r="K11005" s="230"/>
      <c r="L11005" s="230">
        <f>K11004</f>
        <v>1340737.8400000001</v>
      </c>
    </row>
    <row r="11006" spans="1:14" ht="11.25" customHeight="1" x14ac:dyDescent="0.2">
      <c r="A11006" s="221">
        <v>2026</v>
      </c>
      <c r="B11006" s="221">
        <v>1</v>
      </c>
      <c r="C11006" s="221">
        <v>18</v>
      </c>
      <c r="D11006" s="231">
        <f t="shared" si="1243"/>
        <v>46040</v>
      </c>
      <c r="E11006" s="233">
        <f t="shared" si="1245"/>
        <v>46040</v>
      </c>
      <c r="F11006" s="478" t="s">
        <v>1940</v>
      </c>
      <c r="G11006" s="222" t="s">
        <v>1111</v>
      </c>
      <c r="H11006" s="223"/>
      <c r="I11006" s="223"/>
      <c r="J11006" s="224" t="s">
        <v>961</v>
      </c>
      <c r="K11006" s="225">
        <v>725004.18</v>
      </c>
      <c r="L11006" s="225"/>
    </row>
    <row r="11007" spans="1:14" ht="11.25" customHeight="1" x14ac:dyDescent="0.2">
      <c r="A11007" s="226">
        <v>2026</v>
      </c>
      <c r="B11007" s="226">
        <v>1</v>
      </c>
      <c r="C11007" s="226">
        <v>18</v>
      </c>
      <c r="D11007" s="232">
        <f t="shared" si="1243"/>
        <v>46040</v>
      </c>
      <c r="E11007" s="234">
        <f t="shared" si="1245"/>
        <v>46040</v>
      </c>
      <c r="F11007" s="479"/>
      <c r="G11007" s="227" t="s">
        <v>1111</v>
      </c>
      <c r="H11007" s="228"/>
      <c r="I11007" s="228"/>
      <c r="J11007" s="229" t="s">
        <v>55</v>
      </c>
      <c r="K11007" s="230"/>
      <c r="L11007" s="230">
        <f>K11006</f>
        <v>725004.18</v>
      </c>
    </row>
    <row r="11008" spans="1:14" ht="11.25" customHeight="1" x14ac:dyDescent="0.2">
      <c r="A11008" s="221">
        <v>2026</v>
      </c>
      <c r="B11008" s="221">
        <v>1</v>
      </c>
      <c r="C11008" s="221">
        <v>18</v>
      </c>
      <c r="D11008" s="221">
        <f t="shared" si="1243"/>
        <v>46040</v>
      </c>
      <c r="E11008" s="233">
        <f t="shared" si="1245"/>
        <v>46040</v>
      </c>
      <c r="F11008" s="478" t="s">
        <v>1937</v>
      </c>
      <c r="G11008" s="222" t="s">
        <v>86</v>
      </c>
      <c r="H11008" s="222"/>
      <c r="I11008" s="223"/>
      <c r="J11008" s="224" t="s">
        <v>80</v>
      </c>
      <c r="K11008" s="225">
        <v>2052274.2</v>
      </c>
      <c r="L11008" s="225"/>
      <c r="N11008" s="263"/>
    </row>
    <row r="11009" spans="1:14" ht="11.25" customHeight="1" x14ac:dyDescent="0.2">
      <c r="A11009" s="164">
        <v>2026</v>
      </c>
      <c r="B11009" s="164">
        <v>1</v>
      </c>
      <c r="C11009" s="164">
        <v>18</v>
      </c>
      <c r="D11009" s="164">
        <f t="shared" si="1243"/>
        <v>46040</v>
      </c>
      <c r="E11009" s="235">
        <f t="shared" si="1245"/>
        <v>46040</v>
      </c>
      <c r="F11009" s="480"/>
      <c r="G11009" s="208" t="s">
        <v>86</v>
      </c>
      <c r="H11009" s="208"/>
      <c r="J11009" s="165" t="s">
        <v>960</v>
      </c>
      <c r="K11009" s="205">
        <v>6716.41</v>
      </c>
      <c r="L11009" s="205"/>
      <c r="M11009" s="263"/>
      <c r="N11009" s="263"/>
    </row>
    <row r="11010" spans="1:14" ht="11.25" customHeight="1" x14ac:dyDescent="0.2">
      <c r="A11010" s="164">
        <v>2026</v>
      </c>
      <c r="B11010" s="164">
        <v>1</v>
      </c>
      <c r="C11010" s="164">
        <v>18</v>
      </c>
      <c r="D11010" s="164">
        <f t="shared" si="1243"/>
        <v>46040</v>
      </c>
      <c r="E11010" s="235">
        <f t="shared" si="1245"/>
        <v>46040</v>
      </c>
      <c r="F11010" s="480"/>
      <c r="G11010" s="208" t="s">
        <v>86</v>
      </c>
      <c r="H11010" s="208"/>
      <c r="J11010" s="165" t="s">
        <v>961</v>
      </c>
      <c r="K11010" s="263"/>
      <c r="L11010" s="205">
        <v>379927.41</v>
      </c>
      <c r="M11010" s="263"/>
      <c r="N11010" s="263"/>
    </row>
    <row r="11011" spans="1:14" ht="11.25" customHeight="1" x14ac:dyDescent="0.2">
      <c r="A11011" s="164">
        <v>2026</v>
      </c>
      <c r="B11011" s="164">
        <v>1</v>
      </c>
      <c r="C11011" s="164">
        <v>18</v>
      </c>
      <c r="D11011" s="164">
        <f t="shared" si="1243"/>
        <v>46040</v>
      </c>
      <c r="E11011" s="235">
        <f t="shared" si="1245"/>
        <v>46040</v>
      </c>
      <c r="F11011" s="480"/>
      <c r="G11011" s="208" t="s">
        <v>86</v>
      </c>
      <c r="H11011" s="208"/>
      <c r="J11011" s="165" t="s">
        <v>200</v>
      </c>
      <c r="K11011" s="205"/>
      <c r="L11011" s="205">
        <v>130545.82</v>
      </c>
      <c r="M11011" s="263"/>
      <c r="N11011" s="263"/>
    </row>
    <row r="11012" spans="1:14" ht="11.25" customHeight="1" x14ac:dyDescent="0.2">
      <c r="A11012" s="226">
        <v>2026</v>
      </c>
      <c r="B11012" s="226">
        <v>1</v>
      </c>
      <c r="C11012" s="226">
        <v>18</v>
      </c>
      <c r="D11012" s="226">
        <f t="shared" si="1243"/>
        <v>46040</v>
      </c>
      <c r="E11012" s="234">
        <f t="shared" si="1245"/>
        <v>46040</v>
      </c>
      <c r="F11012" s="479"/>
      <c r="G11012" s="227" t="s">
        <v>86</v>
      </c>
      <c r="H11012" s="228"/>
      <c r="I11012" s="228"/>
      <c r="J11012" s="229" t="s">
        <v>80</v>
      </c>
      <c r="K11012" s="230"/>
      <c r="L11012" s="230">
        <v>1548517.38</v>
      </c>
      <c r="M11012" s="263"/>
      <c r="N11012" s="263"/>
    </row>
    <row r="11013" spans="1:14" ht="11.25" customHeight="1" x14ac:dyDescent="0.2">
      <c r="A11013" s="221">
        <v>2026</v>
      </c>
      <c r="B11013" s="221">
        <v>1</v>
      </c>
      <c r="C11013" s="221">
        <v>18</v>
      </c>
      <c r="D11013" s="231">
        <f t="shared" si="1243"/>
        <v>46040</v>
      </c>
      <c r="E11013" s="233">
        <f t="shared" ref="E11013:E11015" si="1246">DATE(A11013,B11013,C11013)</f>
        <v>46040</v>
      </c>
      <c r="F11013" s="478" t="s">
        <v>1605</v>
      </c>
      <c r="G11013" s="222" t="s">
        <v>1111</v>
      </c>
      <c r="H11013" s="223"/>
      <c r="I11013" s="223"/>
      <c r="J11013" s="224" t="s">
        <v>55</v>
      </c>
      <c r="K11013" s="167">
        <v>70000</v>
      </c>
      <c r="L11013" s="225"/>
    </row>
    <row r="11014" spans="1:14" ht="11.25" customHeight="1" x14ac:dyDescent="0.2">
      <c r="A11014" s="164">
        <v>2026</v>
      </c>
      <c r="B11014" s="164">
        <v>1</v>
      </c>
      <c r="C11014" s="164">
        <v>18</v>
      </c>
      <c r="D11014" s="156">
        <f t="shared" si="1243"/>
        <v>46040</v>
      </c>
      <c r="E11014" s="235">
        <f t="shared" si="1246"/>
        <v>46040</v>
      </c>
      <c r="F11014" s="480"/>
      <c r="G11014" s="208" t="s">
        <v>1111</v>
      </c>
      <c r="J11014" s="165" t="s">
        <v>14</v>
      </c>
      <c r="L11014" s="205">
        <v>58690</v>
      </c>
    </row>
    <row r="11015" spans="1:14" ht="11.25" customHeight="1" x14ac:dyDescent="0.2">
      <c r="A11015" s="226">
        <v>2026</v>
      </c>
      <c r="B11015" s="226">
        <v>1</v>
      </c>
      <c r="C11015" s="226">
        <v>18</v>
      </c>
      <c r="D11015" s="232">
        <f t="shared" si="1243"/>
        <v>46040</v>
      </c>
      <c r="E11015" s="234">
        <f t="shared" si="1246"/>
        <v>46040</v>
      </c>
      <c r="F11015" s="479"/>
      <c r="G11015" s="227" t="s">
        <v>1111</v>
      </c>
      <c r="H11015" s="228"/>
      <c r="I11015" s="228"/>
      <c r="J11015" s="229" t="s">
        <v>1112</v>
      </c>
      <c r="K11015" s="230"/>
      <c r="L11015" s="230">
        <v>11310</v>
      </c>
    </row>
    <row r="11016" spans="1:14" ht="11.25" customHeight="1" x14ac:dyDescent="0.2">
      <c r="A11016" s="280">
        <v>2026</v>
      </c>
      <c r="B11016" s="280">
        <v>1</v>
      </c>
      <c r="C11016" s="280">
        <v>18</v>
      </c>
      <c r="D11016" s="281">
        <f t="shared" si="1243"/>
        <v>46040</v>
      </c>
      <c r="E11016" s="282">
        <f t="shared" si="1245"/>
        <v>46040</v>
      </c>
      <c r="F11016" s="472" t="s">
        <v>1744</v>
      </c>
      <c r="G11016" s="283" t="s">
        <v>86</v>
      </c>
      <c r="H11016" s="284"/>
      <c r="I11016" s="284"/>
      <c r="J11016" s="285" t="s">
        <v>131</v>
      </c>
      <c r="K11016" s="286">
        <v>8625</v>
      </c>
      <c r="L11016" s="286"/>
      <c r="M11016" s="401"/>
    </row>
    <row r="11017" spans="1:14" ht="11.25" customHeight="1" x14ac:dyDescent="0.2">
      <c r="A11017" s="287">
        <v>2026</v>
      </c>
      <c r="B11017" s="287">
        <v>1</v>
      </c>
      <c r="C11017" s="287">
        <v>18</v>
      </c>
      <c r="D11017" s="288">
        <f t="shared" ref="D11017:D11080" si="1247">DATE(A11017,B11017,C11017)</f>
        <v>46040</v>
      </c>
      <c r="E11017" s="289">
        <f t="shared" si="1245"/>
        <v>46040</v>
      </c>
      <c r="F11017" s="473"/>
      <c r="G11017" s="290" t="s">
        <v>86</v>
      </c>
      <c r="H11017" s="291"/>
      <c r="I11017" s="291"/>
      <c r="J11017" s="292" t="s">
        <v>1469</v>
      </c>
      <c r="K11017" s="293"/>
      <c r="L11017" s="293">
        <f>K11016</f>
        <v>8625</v>
      </c>
    </row>
    <row r="11018" spans="1:14" ht="11.25" customHeight="1" x14ac:dyDescent="0.2">
      <c r="A11018" s="280">
        <v>2026</v>
      </c>
      <c r="B11018" s="280">
        <v>1</v>
      </c>
      <c r="C11018" s="280">
        <v>18</v>
      </c>
      <c r="D11018" s="281">
        <f t="shared" si="1247"/>
        <v>46040</v>
      </c>
      <c r="E11018" s="282">
        <f t="shared" si="1245"/>
        <v>46040</v>
      </c>
      <c r="F11018" s="472" t="s">
        <v>1584</v>
      </c>
      <c r="G11018" s="283" t="s">
        <v>86</v>
      </c>
      <c r="H11018" s="284"/>
      <c r="I11018" s="284"/>
      <c r="J11018" s="285" t="s">
        <v>131</v>
      </c>
      <c r="K11018" s="286">
        <v>3833.3333333333335</v>
      </c>
      <c r="L11018" s="286"/>
      <c r="M11018" s="401"/>
    </row>
    <row r="11019" spans="1:14" ht="11.25" customHeight="1" x14ac:dyDescent="0.2">
      <c r="A11019" s="287">
        <v>2026</v>
      </c>
      <c r="B11019" s="287">
        <v>1</v>
      </c>
      <c r="C11019" s="287">
        <v>18</v>
      </c>
      <c r="D11019" s="288">
        <f t="shared" si="1247"/>
        <v>46040</v>
      </c>
      <c r="E11019" s="289">
        <f t="shared" si="1245"/>
        <v>46040</v>
      </c>
      <c r="F11019" s="473"/>
      <c r="G11019" s="290" t="s">
        <v>86</v>
      </c>
      <c r="H11019" s="291"/>
      <c r="I11019" s="291"/>
      <c r="J11019" s="292" t="s">
        <v>1469</v>
      </c>
      <c r="K11019" s="293"/>
      <c r="L11019" s="293">
        <f>K11018</f>
        <v>3833.3333333333335</v>
      </c>
    </row>
    <row r="11020" spans="1:14" ht="11.25" customHeight="1" x14ac:dyDescent="0.2">
      <c r="A11020" s="280">
        <v>2026</v>
      </c>
      <c r="B11020" s="280">
        <v>1</v>
      </c>
      <c r="C11020" s="280">
        <v>18</v>
      </c>
      <c r="D11020" s="281">
        <f t="shared" si="1247"/>
        <v>46040</v>
      </c>
      <c r="E11020" s="282">
        <f t="shared" si="1245"/>
        <v>46040</v>
      </c>
      <c r="F11020" s="472" t="s">
        <v>1955</v>
      </c>
      <c r="G11020" s="283" t="s">
        <v>86</v>
      </c>
      <c r="H11020" s="284"/>
      <c r="I11020" s="284"/>
      <c r="J11020" s="285" t="s">
        <v>1978</v>
      </c>
      <c r="K11020" s="286">
        <v>18556.31868131868</v>
      </c>
      <c r="L11020" s="286"/>
      <c r="M11020" s="401"/>
    </row>
    <row r="11021" spans="1:14" ht="11.25" customHeight="1" x14ac:dyDescent="0.2">
      <c r="A11021" s="287">
        <v>2026</v>
      </c>
      <c r="B11021" s="287">
        <v>1</v>
      </c>
      <c r="C11021" s="287">
        <v>18</v>
      </c>
      <c r="D11021" s="288">
        <f t="shared" si="1247"/>
        <v>46040</v>
      </c>
      <c r="E11021" s="289">
        <f t="shared" si="1245"/>
        <v>46040</v>
      </c>
      <c r="F11021" s="473"/>
      <c r="G11021" s="290" t="s">
        <v>86</v>
      </c>
      <c r="H11021" s="291"/>
      <c r="I11021" s="291"/>
      <c r="J11021" s="292" t="s">
        <v>1955</v>
      </c>
      <c r="K11021" s="293"/>
      <c r="L11021" s="293">
        <f>K11020</f>
        <v>18556.31868131868</v>
      </c>
    </row>
    <row r="11022" spans="1:14" ht="11.25" customHeight="1" x14ac:dyDescent="0.2">
      <c r="A11022" s="341">
        <v>2026</v>
      </c>
      <c r="B11022" s="341">
        <v>1</v>
      </c>
      <c r="C11022" s="341">
        <v>18</v>
      </c>
      <c r="D11022" s="328">
        <f t="shared" si="1247"/>
        <v>46040</v>
      </c>
      <c r="E11022" s="329">
        <f t="shared" si="1245"/>
        <v>46040</v>
      </c>
      <c r="F11022" s="474" t="s">
        <v>1767</v>
      </c>
      <c r="G11022" s="330" t="s">
        <v>86</v>
      </c>
      <c r="H11022" s="332"/>
      <c r="I11022" s="332"/>
      <c r="J11022" s="342" t="s">
        <v>67</v>
      </c>
      <c r="K11022" s="343">
        <v>1545.97</v>
      </c>
      <c r="L11022" s="343"/>
      <c r="M11022" s="166"/>
    </row>
    <row r="11023" spans="1:14" ht="11.25" customHeight="1" x14ac:dyDescent="0.2">
      <c r="A11023" s="344">
        <v>2026</v>
      </c>
      <c r="B11023" s="344">
        <v>1</v>
      </c>
      <c r="C11023" s="344">
        <v>18</v>
      </c>
      <c r="D11023" s="337">
        <f t="shared" si="1247"/>
        <v>46040</v>
      </c>
      <c r="E11023" s="338">
        <f t="shared" si="1245"/>
        <v>46040</v>
      </c>
      <c r="F11023" s="475"/>
      <c r="G11023" s="339" t="s">
        <v>86</v>
      </c>
      <c r="H11023" s="340"/>
      <c r="I11023" s="340"/>
      <c r="J11023" s="345" t="s">
        <v>1974</v>
      </c>
      <c r="K11023" s="346"/>
      <c r="L11023" s="346">
        <f>K11022</f>
        <v>1545.97</v>
      </c>
    </row>
    <row r="11024" spans="1:14" ht="11.25" customHeight="1" x14ac:dyDescent="0.2">
      <c r="A11024" s="236">
        <v>2026</v>
      </c>
      <c r="B11024" s="236">
        <v>1</v>
      </c>
      <c r="C11024" s="236">
        <v>18</v>
      </c>
      <c r="D11024" s="237">
        <f t="shared" si="1247"/>
        <v>46040</v>
      </c>
      <c r="E11024" s="238">
        <f t="shared" si="1245"/>
        <v>46040</v>
      </c>
      <c r="F11024" s="476" t="s">
        <v>1118</v>
      </c>
      <c r="G11024" s="239" t="s">
        <v>86</v>
      </c>
      <c r="H11024" s="239"/>
      <c r="I11024" s="240"/>
      <c r="J11024" s="241" t="s">
        <v>98</v>
      </c>
      <c r="K11024" s="242">
        <v>3515052.4000000358</v>
      </c>
      <c r="L11024" s="242"/>
      <c r="M11024" s="166"/>
    </row>
    <row r="11025" spans="1:14" ht="11.25" customHeight="1" x14ac:dyDescent="0.2">
      <c r="A11025" s="243">
        <v>2026</v>
      </c>
      <c r="B11025" s="243">
        <v>1</v>
      </c>
      <c r="C11025" s="243">
        <v>18</v>
      </c>
      <c r="D11025" s="248">
        <f t="shared" si="1247"/>
        <v>46040</v>
      </c>
      <c r="E11025" s="249">
        <f t="shared" si="1245"/>
        <v>46040</v>
      </c>
      <c r="F11025" s="477"/>
      <c r="G11025" s="244" t="s">
        <v>86</v>
      </c>
      <c r="H11025" s="244"/>
      <c r="I11025" s="245"/>
      <c r="J11025" s="246" t="s">
        <v>82</v>
      </c>
      <c r="K11025" s="247"/>
      <c r="L11025" s="247">
        <f>K11024</f>
        <v>3515052.4000000358</v>
      </c>
    </row>
    <row r="11026" spans="1:14" ht="11.25" customHeight="1" x14ac:dyDescent="0.2">
      <c r="A11026" s="236">
        <v>2026</v>
      </c>
      <c r="B11026" s="236">
        <v>1</v>
      </c>
      <c r="C11026" s="236">
        <v>18</v>
      </c>
      <c r="D11026" s="237">
        <f t="shared" si="1247"/>
        <v>46040</v>
      </c>
      <c r="E11026" s="238">
        <f t="shared" si="1245"/>
        <v>46040</v>
      </c>
      <c r="F11026" s="476" t="s">
        <v>1999</v>
      </c>
      <c r="G11026" s="239" t="s">
        <v>86</v>
      </c>
      <c r="H11026" s="239"/>
      <c r="I11026" s="240"/>
      <c r="J11026" s="241" t="s">
        <v>87</v>
      </c>
      <c r="K11026" s="242">
        <v>1177.3940345368917</v>
      </c>
      <c r="L11026" s="242"/>
      <c r="M11026" s="401"/>
    </row>
    <row r="11027" spans="1:14" ht="11.25" customHeight="1" x14ac:dyDescent="0.2">
      <c r="A11027" s="243">
        <v>2026</v>
      </c>
      <c r="B11027" s="243">
        <v>1</v>
      </c>
      <c r="C11027" s="243">
        <v>18</v>
      </c>
      <c r="D11027" s="248">
        <f t="shared" si="1247"/>
        <v>46040</v>
      </c>
      <c r="E11027" s="249">
        <f t="shared" si="1245"/>
        <v>46040</v>
      </c>
      <c r="F11027" s="477"/>
      <c r="G11027" s="244" t="s">
        <v>86</v>
      </c>
      <c r="H11027" s="244"/>
      <c r="I11027" s="245"/>
      <c r="J11027" s="246" t="s">
        <v>64</v>
      </c>
      <c r="K11027" s="247"/>
      <c r="L11027" s="247">
        <f>K11026</f>
        <v>1177.3940345368917</v>
      </c>
    </row>
    <row r="11028" spans="1:14" ht="11.25" customHeight="1" x14ac:dyDescent="0.2">
      <c r="A11028" s="236">
        <v>2026</v>
      </c>
      <c r="B11028" s="236">
        <v>1</v>
      </c>
      <c r="C11028" s="236">
        <v>18</v>
      </c>
      <c r="D11028" s="237">
        <f t="shared" si="1247"/>
        <v>46040</v>
      </c>
      <c r="E11028" s="238">
        <f t="shared" si="1245"/>
        <v>46040</v>
      </c>
      <c r="F11028" s="476" t="s">
        <v>2000</v>
      </c>
      <c r="G11028" s="239" t="s">
        <v>86</v>
      </c>
      <c r="H11028" s="239"/>
      <c r="I11028" s="240"/>
      <c r="J11028" s="241" t="s">
        <v>89</v>
      </c>
      <c r="K11028" s="242">
        <v>41524.78808029111</v>
      </c>
      <c r="L11028" s="242"/>
      <c r="M11028" s="448">
        <v>13841.596026763704</v>
      </c>
    </row>
    <row r="11029" spans="1:14" ht="11.25" customHeight="1" x14ac:dyDescent="0.2">
      <c r="A11029" s="243">
        <v>2026</v>
      </c>
      <c r="B11029" s="243">
        <v>1</v>
      </c>
      <c r="C11029" s="243">
        <v>18</v>
      </c>
      <c r="D11029" s="248">
        <f t="shared" si="1247"/>
        <v>46040</v>
      </c>
      <c r="E11029" s="249">
        <f t="shared" si="1245"/>
        <v>46040</v>
      </c>
      <c r="F11029" s="477"/>
      <c r="G11029" s="244" t="s">
        <v>86</v>
      </c>
      <c r="H11029" s="244"/>
      <c r="I11029" s="245"/>
      <c r="J11029" s="246" t="s">
        <v>50</v>
      </c>
      <c r="K11029" s="247"/>
      <c r="L11029" s="247">
        <f>K11028</f>
        <v>41524.78808029111</v>
      </c>
      <c r="M11029" s="448">
        <v>657.73914199752585</v>
      </c>
    </row>
    <row r="11030" spans="1:14" ht="11.25" customHeight="1" x14ac:dyDescent="0.2">
      <c r="A11030" s="236">
        <v>2026</v>
      </c>
      <c r="B11030" s="236">
        <v>1</v>
      </c>
      <c r="C11030" s="236">
        <v>18</v>
      </c>
      <c r="D11030" s="237">
        <f t="shared" si="1247"/>
        <v>46040</v>
      </c>
      <c r="E11030" s="238">
        <f t="shared" si="1245"/>
        <v>46040</v>
      </c>
      <c r="F11030" s="476" t="s">
        <v>2001</v>
      </c>
      <c r="G11030" s="239" t="s">
        <v>86</v>
      </c>
      <c r="H11030" s="239"/>
      <c r="I11030" s="240"/>
      <c r="J11030" s="241" t="s">
        <v>91</v>
      </c>
      <c r="K11030" s="242">
        <v>1973.2174259925775</v>
      </c>
      <c r="L11030" s="242"/>
    </row>
    <row r="11031" spans="1:14" ht="11.25" customHeight="1" x14ac:dyDescent="0.2">
      <c r="A11031" s="243">
        <v>2026</v>
      </c>
      <c r="B11031" s="243">
        <v>1</v>
      </c>
      <c r="C11031" s="243">
        <v>18</v>
      </c>
      <c r="D11031" s="248">
        <f t="shared" si="1247"/>
        <v>46040</v>
      </c>
      <c r="E11031" s="249">
        <f t="shared" si="1245"/>
        <v>46040</v>
      </c>
      <c r="F11031" s="477"/>
      <c r="G11031" s="244" t="s">
        <v>86</v>
      </c>
      <c r="H11031" s="244"/>
      <c r="I11031" s="245"/>
      <c r="J11031" s="246" t="s">
        <v>51</v>
      </c>
      <c r="K11031" s="247"/>
      <c r="L11031" s="247">
        <f>K11030</f>
        <v>1973.2174259925775</v>
      </c>
    </row>
    <row r="11032" spans="1:14" ht="11.25" customHeight="1" x14ac:dyDescent="0.2">
      <c r="A11032" s="221">
        <v>2026</v>
      </c>
      <c r="B11032" s="221">
        <v>1</v>
      </c>
      <c r="C11032" s="221">
        <v>19</v>
      </c>
      <c r="D11032" s="231">
        <f t="shared" si="1247"/>
        <v>46041</v>
      </c>
      <c r="E11032" s="233">
        <f t="shared" ref="E11032:E11063" si="1248">DATE(A11032,B11032,C11032)</f>
        <v>46041</v>
      </c>
      <c r="F11032" s="478" t="s">
        <v>1940</v>
      </c>
      <c r="G11032" s="222" t="s">
        <v>1111</v>
      </c>
      <c r="H11032" s="223"/>
      <c r="I11032" s="223"/>
      <c r="J11032" s="224" t="s">
        <v>961</v>
      </c>
      <c r="K11032" s="225">
        <v>773251.05</v>
      </c>
      <c r="L11032" s="225"/>
    </row>
    <row r="11033" spans="1:14" ht="11.25" customHeight="1" x14ac:dyDescent="0.2">
      <c r="A11033" s="226">
        <v>2026</v>
      </c>
      <c r="B11033" s="226">
        <v>1</v>
      </c>
      <c r="C11033" s="226">
        <v>19</v>
      </c>
      <c r="D11033" s="232">
        <f t="shared" si="1247"/>
        <v>46041</v>
      </c>
      <c r="E11033" s="234">
        <f t="shared" si="1248"/>
        <v>46041</v>
      </c>
      <c r="F11033" s="479"/>
      <c r="G11033" s="227" t="s">
        <v>1111</v>
      </c>
      <c r="H11033" s="228"/>
      <c r="I11033" s="228"/>
      <c r="J11033" s="229" t="s">
        <v>55</v>
      </c>
      <c r="K11033" s="230"/>
      <c r="L11033" s="230">
        <f>K11032</f>
        <v>773251.05</v>
      </c>
    </row>
    <row r="11034" spans="1:14" ht="11.25" customHeight="1" x14ac:dyDescent="0.2">
      <c r="A11034" s="164">
        <v>2026</v>
      </c>
      <c r="B11034" s="221">
        <v>1</v>
      </c>
      <c r="C11034" s="221">
        <v>19</v>
      </c>
      <c r="D11034" s="156">
        <f t="shared" si="1247"/>
        <v>46041</v>
      </c>
      <c r="E11034" s="235">
        <f t="shared" si="1248"/>
        <v>46041</v>
      </c>
      <c r="F11034" s="480" t="s">
        <v>1808</v>
      </c>
      <c r="G11034" s="208" t="s">
        <v>1111</v>
      </c>
      <c r="J11034" s="165" t="s">
        <v>478</v>
      </c>
      <c r="K11034" s="205">
        <v>557.96</v>
      </c>
      <c r="L11034" s="205"/>
    </row>
    <row r="11035" spans="1:14" ht="11.25" customHeight="1" x14ac:dyDescent="0.2">
      <c r="A11035" s="164">
        <v>2026</v>
      </c>
      <c r="B11035" s="164">
        <v>1</v>
      </c>
      <c r="C11035" s="164">
        <v>19</v>
      </c>
      <c r="D11035" s="156">
        <f t="shared" si="1247"/>
        <v>46041</v>
      </c>
      <c r="E11035" s="235">
        <f t="shared" ref="E11035:E11037" si="1249">DATE(A11035,B11035,C11035)</f>
        <v>46041</v>
      </c>
      <c r="F11035" s="480"/>
      <c r="G11035" s="208" t="s">
        <v>1111</v>
      </c>
      <c r="J11035" s="165" t="s">
        <v>1708</v>
      </c>
      <c r="K11035" s="205">
        <v>250</v>
      </c>
      <c r="L11035" s="205"/>
    </row>
    <row r="11036" spans="1:14" ht="11.25" customHeight="1" x14ac:dyDescent="0.2">
      <c r="A11036" s="164">
        <v>2026</v>
      </c>
      <c r="B11036" s="164">
        <v>1</v>
      </c>
      <c r="C11036" s="164">
        <v>19</v>
      </c>
      <c r="D11036" s="156">
        <f t="shared" si="1247"/>
        <v>46041</v>
      </c>
      <c r="E11036" s="235">
        <f t="shared" si="1249"/>
        <v>46041</v>
      </c>
      <c r="F11036" s="480"/>
      <c r="G11036" s="208" t="s">
        <v>1111</v>
      </c>
      <c r="J11036" s="165" t="s">
        <v>1708</v>
      </c>
      <c r="K11036" s="205">
        <v>250</v>
      </c>
      <c r="L11036" s="205"/>
    </row>
    <row r="11037" spans="1:14" ht="11.25" customHeight="1" x14ac:dyDescent="0.2">
      <c r="A11037" s="164">
        <v>2026</v>
      </c>
      <c r="B11037" s="164">
        <v>1</v>
      </c>
      <c r="C11037" s="164">
        <v>19</v>
      </c>
      <c r="D11037" s="156">
        <f t="shared" si="1247"/>
        <v>46041</v>
      </c>
      <c r="E11037" s="235">
        <f t="shared" si="1249"/>
        <v>46041</v>
      </c>
      <c r="F11037" s="480"/>
      <c r="G11037" s="208" t="s">
        <v>1111</v>
      </c>
      <c r="J11037" s="165" t="s">
        <v>1707</v>
      </c>
      <c r="K11037" s="205">
        <v>75</v>
      </c>
      <c r="L11037" s="205"/>
    </row>
    <row r="11038" spans="1:14" ht="11.25" customHeight="1" x14ac:dyDescent="0.2">
      <c r="A11038" s="226">
        <v>2026</v>
      </c>
      <c r="B11038" s="226">
        <v>1</v>
      </c>
      <c r="C11038" s="226">
        <v>19</v>
      </c>
      <c r="D11038" s="232">
        <f t="shared" si="1247"/>
        <v>46041</v>
      </c>
      <c r="E11038" s="234">
        <f t="shared" si="1248"/>
        <v>46041</v>
      </c>
      <c r="F11038" s="479"/>
      <c r="G11038" s="227" t="s">
        <v>1111</v>
      </c>
      <c r="H11038" s="228"/>
      <c r="I11038" s="228"/>
      <c r="J11038" s="229" t="s">
        <v>55</v>
      </c>
      <c r="K11038" s="230"/>
      <c r="L11038" s="230">
        <v>1132.96</v>
      </c>
    </row>
    <row r="11039" spans="1:14" ht="11.25" customHeight="1" x14ac:dyDescent="0.2">
      <c r="A11039" s="221">
        <v>2026</v>
      </c>
      <c r="B11039" s="221">
        <v>1</v>
      </c>
      <c r="C11039" s="221">
        <v>19</v>
      </c>
      <c r="D11039" s="221">
        <f t="shared" si="1247"/>
        <v>46041</v>
      </c>
      <c r="E11039" s="233">
        <f t="shared" si="1248"/>
        <v>46041</v>
      </c>
      <c r="F11039" s="478" t="s">
        <v>1937</v>
      </c>
      <c r="G11039" s="222" t="s">
        <v>86</v>
      </c>
      <c r="H11039" s="222"/>
      <c r="I11039" s="223"/>
      <c r="J11039" s="224" t="s">
        <v>80</v>
      </c>
      <c r="K11039" s="225">
        <v>825805</v>
      </c>
      <c r="L11039" s="225"/>
      <c r="N11039" s="263"/>
    </row>
    <row r="11040" spans="1:14" ht="11.25" customHeight="1" x14ac:dyDescent="0.2">
      <c r="A11040" s="164">
        <v>2026</v>
      </c>
      <c r="B11040" s="164">
        <v>1</v>
      </c>
      <c r="C11040" s="164">
        <v>19</v>
      </c>
      <c r="D11040" s="164">
        <f t="shared" si="1247"/>
        <v>46041</v>
      </c>
      <c r="E11040" s="235">
        <f t="shared" si="1248"/>
        <v>46041</v>
      </c>
      <c r="F11040" s="480"/>
      <c r="G11040" s="208" t="s">
        <v>86</v>
      </c>
      <c r="H11040" s="208"/>
      <c r="J11040" s="165" t="s">
        <v>960</v>
      </c>
      <c r="K11040" s="205">
        <v>4296.7299999999996</v>
      </c>
      <c r="L11040" s="205"/>
      <c r="M11040" s="263"/>
      <c r="N11040" s="263"/>
    </row>
    <row r="11041" spans="1:14" ht="11.25" customHeight="1" x14ac:dyDescent="0.2">
      <c r="A11041" s="164">
        <v>2026</v>
      </c>
      <c r="B11041" s="164">
        <v>1</v>
      </c>
      <c r="C11041" s="164">
        <v>19</v>
      </c>
      <c r="D11041" s="164">
        <f t="shared" si="1247"/>
        <v>46041</v>
      </c>
      <c r="E11041" s="235">
        <f t="shared" si="1248"/>
        <v>46041</v>
      </c>
      <c r="F11041" s="480"/>
      <c r="G11041" s="208" t="s">
        <v>86</v>
      </c>
      <c r="H11041" s="208"/>
      <c r="J11041" s="165" t="s">
        <v>199</v>
      </c>
      <c r="K11041" s="263">
        <v>731163.27</v>
      </c>
      <c r="L11041" s="205"/>
      <c r="M11041" s="263"/>
      <c r="N11041" s="263"/>
    </row>
    <row r="11042" spans="1:14" ht="11.25" customHeight="1" x14ac:dyDescent="0.2">
      <c r="A11042" s="164">
        <v>2026</v>
      </c>
      <c r="B11042" s="164">
        <v>1</v>
      </c>
      <c r="C11042" s="164">
        <v>19</v>
      </c>
      <c r="D11042" s="164">
        <f t="shared" si="1247"/>
        <v>46041</v>
      </c>
      <c r="E11042" s="235">
        <f t="shared" si="1248"/>
        <v>46041</v>
      </c>
      <c r="F11042" s="480"/>
      <c r="G11042" s="208" t="s">
        <v>86</v>
      </c>
      <c r="H11042" s="208"/>
      <c r="J11042" s="165" t="s">
        <v>200</v>
      </c>
      <c r="K11042" s="205"/>
      <c r="L11042" s="205">
        <v>108079.22</v>
      </c>
      <c r="M11042" s="263"/>
      <c r="N11042" s="263"/>
    </row>
    <row r="11043" spans="1:14" ht="11.25" customHeight="1" x14ac:dyDescent="0.2">
      <c r="A11043" s="226">
        <v>2026</v>
      </c>
      <c r="B11043" s="226">
        <v>1</v>
      </c>
      <c r="C11043" s="226">
        <v>19</v>
      </c>
      <c r="D11043" s="226">
        <f t="shared" si="1247"/>
        <v>46041</v>
      </c>
      <c r="E11043" s="234">
        <f t="shared" si="1248"/>
        <v>46041</v>
      </c>
      <c r="F11043" s="479"/>
      <c r="G11043" s="227" t="s">
        <v>86</v>
      </c>
      <c r="H11043" s="228"/>
      <c r="I11043" s="228"/>
      <c r="J11043" s="229" t="s">
        <v>80</v>
      </c>
      <c r="K11043" s="230"/>
      <c r="L11043" s="230">
        <v>1453185.78</v>
      </c>
      <c r="M11043" s="263"/>
      <c r="N11043" s="263"/>
    </row>
    <row r="11044" spans="1:14" ht="11.25" customHeight="1" x14ac:dyDescent="0.2">
      <c r="A11044" s="221">
        <v>2026</v>
      </c>
      <c r="B11044" s="221">
        <v>1</v>
      </c>
      <c r="C11044" s="221">
        <v>19</v>
      </c>
      <c r="D11044" s="231">
        <f t="shared" si="1247"/>
        <v>46041</v>
      </c>
      <c r="E11044" s="233">
        <f t="shared" si="1248"/>
        <v>46041</v>
      </c>
      <c r="F11044" s="478" t="s">
        <v>1961</v>
      </c>
      <c r="G11044" s="222" t="s">
        <v>1111</v>
      </c>
      <c r="H11044" s="223"/>
      <c r="I11044" s="223"/>
      <c r="J11044" s="224" t="s">
        <v>55</v>
      </c>
      <c r="K11044" s="225">
        <v>200000</v>
      </c>
      <c r="L11044" s="225"/>
    </row>
    <row r="11045" spans="1:14" ht="11.25" customHeight="1" x14ac:dyDescent="0.2">
      <c r="A11045" s="226">
        <v>2026</v>
      </c>
      <c r="B11045" s="226">
        <v>1</v>
      </c>
      <c r="C11045" s="226">
        <v>19</v>
      </c>
      <c r="D11045" s="232">
        <f t="shared" si="1247"/>
        <v>46041</v>
      </c>
      <c r="E11045" s="234">
        <f t="shared" si="1248"/>
        <v>46041</v>
      </c>
      <c r="F11045" s="479"/>
      <c r="G11045" s="227" t="s">
        <v>1111</v>
      </c>
      <c r="H11045" s="228"/>
      <c r="I11045" s="228"/>
      <c r="J11045" s="229" t="s">
        <v>192</v>
      </c>
      <c r="K11045" s="230"/>
      <c r="L11045" s="230">
        <f>K11044</f>
        <v>200000</v>
      </c>
    </row>
    <row r="11046" spans="1:14" ht="11.25" customHeight="1" x14ac:dyDescent="0.2">
      <c r="A11046" s="280">
        <v>2026</v>
      </c>
      <c r="B11046" s="280">
        <v>1</v>
      </c>
      <c r="C11046" s="280">
        <v>19</v>
      </c>
      <c r="D11046" s="281">
        <f t="shared" si="1247"/>
        <v>46041</v>
      </c>
      <c r="E11046" s="282">
        <f t="shared" si="1248"/>
        <v>46041</v>
      </c>
      <c r="F11046" s="472" t="s">
        <v>1744</v>
      </c>
      <c r="G11046" s="283" t="s">
        <v>86</v>
      </c>
      <c r="H11046" s="284"/>
      <c r="I11046" s="284"/>
      <c r="J11046" s="285" t="s">
        <v>131</v>
      </c>
      <c r="K11046" s="286">
        <v>2875</v>
      </c>
      <c r="L11046" s="286"/>
      <c r="M11046" s="401"/>
    </row>
    <row r="11047" spans="1:14" ht="11.25" customHeight="1" x14ac:dyDescent="0.2">
      <c r="A11047" s="287">
        <v>2026</v>
      </c>
      <c r="B11047" s="287">
        <v>1</v>
      </c>
      <c r="C11047" s="287">
        <v>19</v>
      </c>
      <c r="D11047" s="288">
        <f t="shared" si="1247"/>
        <v>46041</v>
      </c>
      <c r="E11047" s="289">
        <f t="shared" si="1248"/>
        <v>46041</v>
      </c>
      <c r="F11047" s="473"/>
      <c r="G11047" s="290" t="s">
        <v>86</v>
      </c>
      <c r="H11047" s="291"/>
      <c r="I11047" s="291"/>
      <c r="J11047" s="292" t="s">
        <v>1469</v>
      </c>
      <c r="K11047" s="293"/>
      <c r="L11047" s="293">
        <f>K11046</f>
        <v>2875</v>
      </c>
    </row>
    <row r="11048" spans="1:14" ht="11.25" customHeight="1" x14ac:dyDescent="0.2">
      <c r="A11048" s="280">
        <v>2026</v>
      </c>
      <c r="B11048" s="280">
        <v>1</v>
      </c>
      <c r="C11048" s="280">
        <v>19</v>
      </c>
      <c r="D11048" s="281">
        <f t="shared" si="1247"/>
        <v>46041</v>
      </c>
      <c r="E11048" s="282">
        <f t="shared" si="1248"/>
        <v>46041</v>
      </c>
      <c r="F11048" s="472" t="s">
        <v>1584</v>
      </c>
      <c r="G11048" s="283" t="s">
        <v>86</v>
      </c>
      <c r="H11048" s="284"/>
      <c r="I11048" s="284"/>
      <c r="J11048" s="285" t="s">
        <v>131</v>
      </c>
      <c r="K11048" s="286">
        <v>1277.7777777777778</v>
      </c>
      <c r="L11048" s="286"/>
      <c r="M11048" s="401"/>
    </row>
    <row r="11049" spans="1:14" ht="11.25" customHeight="1" x14ac:dyDescent="0.2">
      <c r="A11049" s="287">
        <v>2026</v>
      </c>
      <c r="B11049" s="287">
        <v>1</v>
      </c>
      <c r="C11049" s="287">
        <v>19</v>
      </c>
      <c r="D11049" s="288">
        <f t="shared" si="1247"/>
        <v>46041</v>
      </c>
      <c r="E11049" s="289">
        <f t="shared" si="1248"/>
        <v>46041</v>
      </c>
      <c r="F11049" s="473"/>
      <c r="G11049" s="290" t="s">
        <v>86</v>
      </c>
      <c r="H11049" s="291"/>
      <c r="I11049" s="291"/>
      <c r="J11049" s="292" t="s">
        <v>1469</v>
      </c>
      <c r="K11049" s="293"/>
      <c r="L11049" s="293">
        <f>K11048</f>
        <v>1277.7777777777778</v>
      </c>
    </row>
    <row r="11050" spans="1:14" ht="11.25" customHeight="1" x14ac:dyDescent="0.2">
      <c r="A11050" s="280">
        <v>2026</v>
      </c>
      <c r="B11050" s="280">
        <v>1</v>
      </c>
      <c r="C11050" s="280">
        <v>19</v>
      </c>
      <c r="D11050" s="281">
        <f t="shared" si="1247"/>
        <v>46041</v>
      </c>
      <c r="E11050" s="282">
        <f t="shared" si="1248"/>
        <v>46041</v>
      </c>
      <c r="F11050" s="472" t="s">
        <v>1955</v>
      </c>
      <c r="G11050" s="283" t="s">
        <v>86</v>
      </c>
      <c r="H11050" s="284"/>
      <c r="I11050" s="284"/>
      <c r="J11050" s="285" t="s">
        <v>1978</v>
      </c>
      <c r="K11050" s="286">
        <v>6185.4395604395604</v>
      </c>
      <c r="L11050" s="286"/>
      <c r="M11050" s="401"/>
    </row>
    <row r="11051" spans="1:14" ht="11.25" customHeight="1" x14ac:dyDescent="0.2">
      <c r="A11051" s="287">
        <v>2026</v>
      </c>
      <c r="B11051" s="287">
        <v>1</v>
      </c>
      <c r="C11051" s="287">
        <v>19</v>
      </c>
      <c r="D11051" s="288">
        <f t="shared" si="1247"/>
        <v>46041</v>
      </c>
      <c r="E11051" s="289">
        <f t="shared" si="1248"/>
        <v>46041</v>
      </c>
      <c r="F11051" s="473"/>
      <c r="G11051" s="290" t="s">
        <v>86</v>
      </c>
      <c r="H11051" s="291"/>
      <c r="I11051" s="291"/>
      <c r="J11051" s="292" t="s">
        <v>1955</v>
      </c>
      <c r="K11051" s="293"/>
      <c r="L11051" s="293">
        <f>K11050</f>
        <v>6185.4395604395604</v>
      </c>
    </row>
    <row r="11052" spans="1:14" ht="11.25" customHeight="1" x14ac:dyDescent="0.2">
      <c r="A11052" s="341">
        <v>2026</v>
      </c>
      <c r="B11052" s="341">
        <v>1</v>
      </c>
      <c r="C11052" s="341">
        <v>19</v>
      </c>
      <c r="D11052" s="328">
        <f t="shared" si="1247"/>
        <v>46041</v>
      </c>
      <c r="E11052" s="329">
        <f t="shared" si="1248"/>
        <v>46041</v>
      </c>
      <c r="F11052" s="474" t="s">
        <v>1767</v>
      </c>
      <c r="G11052" s="330" t="s">
        <v>86</v>
      </c>
      <c r="H11052" s="332"/>
      <c r="I11052" s="332"/>
      <c r="J11052" s="342" t="s">
        <v>67</v>
      </c>
      <c r="K11052" s="343">
        <v>63.720717500000006</v>
      </c>
      <c r="L11052" s="343"/>
      <c r="M11052" s="166"/>
    </row>
    <row r="11053" spans="1:14" ht="11.25" customHeight="1" x14ac:dyDescent="0.2">
      <c r="A11053" s="344">
        <v>2026</v>
      </c>
      <c r="B11053" s="344">
        <v>1</v>
      </c>
      <c r="C11053" s="344">
        <v>19</v>
      </c>
      <c r="D11053" s="337">
        <f t="shared" si="1247"/>
        <v>46041</v>
      </c>
      <c r="E11053" s="338">
        <f t="shared" si="1248"/>
        <v>46041</v>
      </c>
      <c r="F11053" s="475"/>
      <c r="G11053" s="339" t="s">
        <v>86</v>
      </c>
      <c r="H11053" s="340"/>
      <c r="I11053" s="340"/>
      <c r="J11053" s="345" t="s">
        <v>1974</v>
      </c>
      <c r="K11053" s="346"/>
      <c r="L11053" s="346">
        <f>K11052</f>
        <v>63.720717500000006</v>
      </c>
    </row>
    <row r="11054" spans="1:14" ht="11.25" customHeight="1" x14ac:dyDescent="0.2">
      <c r="A11054" s="236">
        <v>2026</v>
      </c>
      <c r="B11054" s="236">
        <v>1</v>
      </c>
      <c r="C11054" s="236">
        <v>19</v>
      </c>
      <c r="D11054" s="237">
        <f t="shared" si="1247"/>
        <v>46041</v>
      </c>
      <c r="E11054" s="238">
        <f t="shared" si="1248"/>
        <v>46041</v>
      </c>
      <c r="F11054" s="476" t="s">
        <v>1118</v>
      </c>
      <c r="G11054" s="239" t="s">
        <v>86</v>
      </c>
      <c r="H11054" s="239"/>
      <c r="I11054" s="240"/>
      <c r="J11054" s="241" t="s">
        <v>98</v>
      </c>
      <c r="K11054" s="242">
        <v>2264388.2000000179</v>
      </c>
      <c r="L11054" s="242"/>
      <c r="M11054" s="166"/>
    </row>
    <row r="11055" spans="1:14" ht="11.25" customHeight="1" x14ac:dyDescent="0.2">
      <c r="A11055" s="243">
        <v>2026</v>
      </c>
      <c r="B11055" s="243">
        <v>1</v>
      </c>
      <c r="C11055" s="243">
        <v>19</v>
      </c>
      <c r="D11055" s="248">
        <f t="shared" si="1247"/>
        <v>46041</v>
      </c>
      <c r="E11055" s="249">
        <f t="shared" si="1248"/>
        <v>46041</v>
      </c>
      <c r="F11055" s="477"/>
      <c r="G11055" s="244" t="s">
        <v>86</v>
      </c>
      <c r="H11055" s="244"/>
      <c r="I11055" s="245"/>
      <c r="J11055" s="246" t="s">
        <v>82</v>
      </c>
      <c r="K11055" s="247"/>
      <c r="L11055" s="247">
        <f>K11054</f>
        <v>2264388.2000000179</v>
      </c>
    </row>
    <row r="11056" spans="1:14" ht="11.25" customHeight="1" x14ac:dyDescent="0.2">
      <c r="A11056" s="236">
        <v>2026</v>
      </c>
      <c r="B11056" s="236">
        <v>1</v>
      </c>
      <c r="C11056" s="236">
        <v>19</v>
      </c>
      <c r="D11056" s="237">
        <f t="shared" si="1247"/>
        <v>46041</v>
      </c>
      <c r="E11056" s="238">
        <f t="shared" si="1248"/>
        <v>46041</v>
      </c>
      <c r="F11056" s="476" t="s">
        <v>1999</v>
      </c>
      <c r="G11056" s="239" t="s">
        <v>86</v>
      </c>
      <c r="H11056" s="239"/>
      <c r="I11056" s="240"/>
      <c r="J11056" s="241" t="s">
        <v>87</v>
      </c>
      <c r="K11056" s="242">
        <v>392.46467817896388</v>
      </c>
      <c r="L11056" s="242"/>
      <c r="M11056" s="401"/>
    </row>
    <row r="11057" spans="1:14" ht="11.25" customHeight="1" x14ac:dyDescent="0.2">
      <c r="A11057" s="243">
        <v>2026</v>
      </c>
      <c r="B11057" s="243">
        <v>1</v>
      </c>
      <c r="C11057" s="243">
        <v>19</v>
      </c>
      <c r="D11057" s="248">
        <f t="shared" si="1247"/>
        <v>46041</v>
      </c>
      <c r="E11057" s="249">
        <f t="shared" si="1248"/>
        <v>46041</v>
      </c>
      <c r="F11057" s="477"/>
      <c r="G11057" s="244" t="s">
        <v>86</v>
      </c>
      <c r="H11057" s="244"/>
      <c r="I11057" s="245"/>
      <c r="J11057" s="246" t="s">
        <v>64</v>
      </c>
      <c r="K11057" s="247"/>
      <c r="L11057" s="247">
        <f>K11056</f>
        <v>392.46467817896388</v>
      </c>
    </row>
    <row r="11058" spans="1:14" ht="11.25" customHeight="1" x14ac:dyDescent="0.2">
      <c r="A11058" s="236">
        <v>2026</v>
      </c>
      <c r="B11058" s="236">
        <v>1</v>
      </c>
      <c r="C11058" s="236">
        <v>19</v>
      </c>
      <c r="D11058" s="237">
        <f t="shared" si="1247"/>
        <v>46041</v>
      </c>
      <c r="E11058" s="238">
        <f t="shared" si="1248"/>
        <v>46041</v>
      </c>
      <c r="F11058" s="476" t="s">
        <v>2000</v>
      </c>
      <c r="G11058" s="239" t="s">
        <v>86</v>
      </c>
      <c r="H11058" s="239"/>
      <c r="I11058" s="240"/>
      <c r="J11058" s="241" t="s">
        <v>89</v>
      </c>
      <c r="K11058" s="242">
        <v>13976.408932945649</v>
      </c>
      <c r="L11058" s="242"/>
      <c r="M11058" s="448">
        <v>13976.408932945649</v>
      </c>
    </row>
    <row r="11059" spans="1:14" ht="11.25" customHeight="1" x14ac:dyDescent="0.2">
      <c r="A11059" s="243">
        <v>2026</v>
      </c>
      <c r="B11059" s="243">
        <v>1</v>
      </c>
      <c r="C11059" s="243">
        <v>19</v>
      </c>
      <c r="D11059" s="248">
        <f t="shared" si="1247"/>
        <v>46041</v>
      </c>
      <c r="E11059" s="249">
        <f t="shared" si="1248"/>
        <v>46041</v>
      </c>
      <c r="F11059" s="477"/>
      <c r="G11059" s="244" t="s">
        <v>86</v>
      </c>
      <c r="H11059" s="244"/>
      <c r="I11059" s="245"/>
      <c r="J11059" s="246" t="s">
        <v>50</v>
      </c>
      <c r="K11059" s="247"/>
      <c r="L11059" s="247">
        <f>K11058</f>
        <v>13976.408932945649</v>
      </c>
      <c r="M11059" s="448">
        <v>664.47978730662328</v>
      </c>
    </row>
    <row r="11060" spans="1:14" ht="11.25" customHeight="1" x14ac:dyDescent="0.2">
      <c r="A11060" s="236">
        <v>2026</v>
      </c>
      <c r="B11060" s="236">
        <v>1</v>
      </c>
      <c r="C11060" s="236">
        <v>19</v>
      </c>
      <c r="D11060" s="237">
        <f t="shared" si="1247"/>
        <v>46041</v>
      </c>
      <c r="E11060" s="238">
        <f t="shared" si="1248"/>
        <v>46041</v>
      </c>
      <c r="F11060" s="476" t="s">
        <v>2001</v>
      </c>
      <c r="G11060" s="239" t="s">
        <v>86</v>
      </c>
      <c r="H11060" s="239"/>
      <c r="I11060" s="240"/>
      <c r="J11060" s="241" t="s">
        <v>91</v>
      </c>
      <c r="K11060" s="242">
        <v>664.47978730662328</v>
      </c>
      <c r="L11060" s="242"/>
    </row>
    <row r="11061" spans="1:14" ht="11.25" customHeight="1" x14ac:dyDescent="0.2">
      <c r="A11061" s="243">
        <v>2026</v>
      </c>
      <c r="B11061" s="243">
        <v>1</v>
      </c>
      <c r="C11061" s="243">
        <v>19</v>
      </c>
      <c r="D11061" s="248">
        <f t="shared" si="1247"/>
        <v>46041</v>
      </c>
      <c r="E11061" s="249">
        <f t="shared" si="1248"/>
        <v>46041</v>
      </c>
      <c r="F11061" s="477"/>
      <c r="G11061" s="244" t="s">
        <v>86</v>
      </c>
      <c r="H11061" s="244"/>
      <c r="I11061" s="245"/>
      <c r="J11061" s="246" t="s">
        <v>51</v>
      </c>
      <c r="K11061" s="247"/>
      <c r="L11061" s="247">
        <f>K11060</f>
        <v>664.47978730662328</v>
      </c>
    </row>
    <row r="11062" spans="1:14" ht="11.25" customHeight="1" x14ac:dyDescent="0.2">
      <c r="A11062" s="221">
        <v>2026</v>
      </c>
      <c r="B11062" s="221">
        <v>1</v>
      </c>
      <c r="C11062" s="221">
        <v>20</v>
      </c>
      <c r="D11062" s="231">
        <f t="shared" si="1247"/>
        <v>46042</v>
      </c>
      <c r="E11062" s="233">
        <f t="shared" si="1248"/>
        <v>46042</v>
      </c>
      <c r="F11062" s="478" t="s">
        <v>1945</v>
      </c>
      <c r="G11062" s="222" t="s">
        <v>1111</v>
      </c>
      <c r="H11062" s="223"/>
      <c r="I11062" s="223"/>
      <c r="J11062" s="224" t="s">
        <v>55</v>
      </c>
      <c r="K11062" s="225">
        <v>165574.01999999999</v>
      </c>
      <c r="L11062" s="225"/>
    </row>
    <row r="11063" spans="1:14" ht="11.25" customHeight="1" x14ac:dyDescent="0.2">
      <c r="A11063" s="226">
        <v>2026</v>
      </c>
      <c r="B11063" s="226">
        <v>1</v>
      </c>
      <c r="C11063" s="226">
        <v>20</v>
      </c>
      <c r="D11063" s="232">
        <f t="shared" si="1247"/>
        <v>46042</v>
      </c>
      <c r="E11063" s="234">
        <f t="shared" si="1248"/>
        <v>46042</v>
      </c>
      <c r="F11063" s="479"/>
      <c r="G11063" s="227" t="s">
        <v>1111</v>
      </c>
      <c r="H11063" s="228"/>
      <c r="I11063" s="228"/>
      <c r="J11063" s="229" t="s">
        <v>199</v>
      </c>
      <c r="K11063" s="230"/>
      <c r="L11063" s="230">
        <f>K11062</f>
        <v>165574.01999999999</v>
      </c>
    </row>
    <row r="11064" spans="1:14" ht="11.25" customHeight="1" x14ac:dyDescent="0.2">
      <c r="A11064" s="221">
        <v>2026</v>
      </c>
      <c r="B11064" s="221">
        <v>1</v>
      </c>
      <c r="C11064" s="221">
        <v>20</v>
      </c>
      <c r="D11064" s="221">
        <f t="shared" si="1247"/>
        <v>46042</v>
      </c>
      <c r="E11064" s="233">
        <f t="shared" ref="E11064:E11086" si="1250">DATE(A11064,B11064,C11064)</f>
        <v>46042</v>
      </c>
      <c r="F11064" s="478" t="s">
        <v>1937</v>
      </c>
      <c r="G11064" s="222" t="s">
        <v>86</v>
      </c>
      <c r="H11064" s="222"/>
      <c r="I11064" s="223"/>
      <c r="J11064" s="224" t="s">
        <v>80</v>
      </c>
      <c r="K11064" s="225">
        <v>314445.8</v>
      </c>
      <c r="L11064" s="225"/>
      <c r="N11064" s="263"/>
    </row>
    <row r="11065" spans="1:14" ht="11.25" customHeight="1" x14ac:dyDescent="0.2">
      <c r="A11065" s="164">
        <v>2026</v>
      </c>
      <c r="B11065" s="164">
        <v>1</v>
      </c>
      <c r="C11065" s="164">
        <v>20</v>
      </c>
      <c r="D11065" s="164">
        <f t="shared" si="1247"/>
        <v>46042</v>
      </c>
      <c r="E11065" s="235">
        <f t="shared" si="1250"/>
        <v>46042</v>
      </c>
      <c r="F11065" s="480"/>
      <c r="G11065" s="208" t="s">
        <v>86</v>
      </c>
      <c r="H11065" s="208"/>
      <c r="J11065" s="165" t="s">
        <v>960</v>
      </c>
      <c r="K11065" s="205">
        <v>1073.92</v>
      </c>
      <c r="L11065" s="205"/>
      <c r="M11065" s="263"/>
      <c r="N11065" s="263"/>
    </row>
    <row r="11066" spans="1:14" ht="11.25" customHeight="1" x14ac:dyDescent="0.2">
      <c r="A11066" s="164">
        <v>2026</v>
      </c>
      <c r="B11066" s="164">
        <v>1</v>
      </c>
      <c r="C11066" s="164">
        <v>20</v>
      </c>
      <c r="D11066" s="164">
        <f t="shared" si="1247"/>
        <v>46042</v>
      </c>
      <c r="E11066" s="235">
        <f t="shared" si="1250"/>
        <v>46042</v>
      </c>
      <c r="F11066" s="480"/>
      <c r="G11066" s="208" t="s">
        <v>86</v>
      </c>
      <c r="H11066" s="208"/>
      <c r="J11066" s="165" t="s">
        <v>961</v>
      </c>
      <c r="K11066" s="263"/>
      <c r="L11066" s="205">
        <v>33344.720000000001</v>
      </c>
      <c r="M11066" s="263"/>
      <c r="N11066" s="263"/>
    </row>
    <row r="11067" spans="1:14" ht="11.25" customHeight="1" x14ac:dyDescent="0.2">
      <c r="A11067" s="164">
        <v>2026</v>
      </c>
      <c r="B11067" s="164">
        <v>1</v>
      </c>
      <c r="C11067" s="164">
        <v>20</v>
      </c>
      <c r="D11067" s="164">
        <f t="shared" si="1247"/>
        <v>46042</v>
      </c>
      <c r="E11067" s="235">
        <f t="shared" si="1250"/>
        <v>46042</v>
      </c>
      <c r="F11067" s="480"/>
      <c r="G11067" s="208" t="s">
        <v>86</v>
      </c>
      <c r="H11067" s="208"/>
      <c r="J11067" s="165" t="s">
        <v>200</v>
      </c>
      <c r="K11067" s="205"/>
      <c r="L11067" s="205">
        <v>17862.04</v>
      </c>
      <c r="M11067" s="263"/>
      <c r="N11067" s="263"/>
    </row>
    <row r="11068" spans="1:14" ht="11.25" customHeight="1" x14ac:dyDescent="0.2">
      <c r="A11068" s="226">
        <v>2026</v>
      </c>
      <c r="B11068" s="226">
        <v>1</v>
      </c>
      <c r="C11068" s="226">
        <v>20</v>
      </c>
      <c r="D11068" s="226">
        <f t="shared" si="1247"/>
        <v>46042</v>
      </c>
      <c r="E11068" s="234">
        <f t="shared" si="1250"/>
        <v>46042</v>
      </c>
      <c r="F11068" s="479"/>
      <c r="G11068" s="227" t="s">
        <v>86</v>
      </c>
      <c r="H11068" s="228"/>
      <c r="I11068" s="228"/>
      <c r="J11068" s="229" t="s">
        <v>80</v>
      </c>
      <c r="K11068" s="230"/>
      <c r="L11068" s="230">
        <v>264312.96000000002</v>
      </c>
      <c r="M11068" s="263"/>
      <c r="N11068" s="263"/>
    </row>
    <row r="11069" spans="1:14" ht="11.25" customHeight="1" x14ac:dyDescent="0.2">
      <c r="A11069" s="280">
        <v>2026</v>
      </c>
      <c r="B11069" s="280">
        <v>1</v>
      </c>
      <c r="C11069" s="280">
        <v>20</v>
      </c>
      <c r="D11069" s="281">
        <f t="shared" si="1247"/>
        <v>46042</v>
      </c>
      <c r="E11069" s="282">
        <f t="shared" si="1250"/>
        <v>46042</v>
      </c>
      <c r="F11069" s="472" t="s">
        <v>1744</v>
      </c>
      <c r="G11069" s="283" t="s">
        <v>86</v>
      </c>
      <c r="H11069" s="284"/>
      <c r="I11069" s="284"/>
      <c r="J11069" s="285" t="s">
        <v>131</v>
      </c>
      <c r="K11069" s="286">
        <v>2875</v>
      </c>
      <c r="L11069" s="286"/>
      <c r="M11069" s="401"/>
    </row>
    <row r="11070" spans="1:14" ht="11.25" customHeight="1" x14ac:dyDescent="0.2">
      <c r="A11070" s="287">
        <v>2026</v>
      </c>
      <c r="B11070" s="287">
        <v>1</v>
      </c>
      <c r="C11070" s="287">
        <v>20</v>
      </c>
      <c r="D11070" s="288">
        <f t="shared" si="1247"/>
        <v>46042</v>
      </c>
      <c r="E11070" s="289">
        <f t="shared" si="1250"/>
        <v>46042</v>
      </c>
      <c r="F11070" s="473"/>
      <c r="G11070" s="290" t="s">
        <v>86</v>
      </c>
      <c r="H11070" s="291"/>
      <c r="I11070" s="291"/>
      <c r="J11070" s="292" t="s">
        <v>1469</v>
      </c>
      <c r="K11070" s="293"/>
      <c r="L11070" s="293">
        <f>K11069</f>
        <v>2875</v>
      </c>
    </row>
    <row r="11071" spans="1:14" ht="11.25" customHeight="1" x14ac:dyDescent="0.2">
      <c r="A11071" s="280">
        <v>2026</v>
      </c>
      <c r="B11071" s="280">
        <v>1</v>
      </c>
      <c r="C11071" s="280">
        <v>20</v>
      </c>
      <c r="D11071" s="281">
        <f t="shared" si="1247"/>
        <v>46042</v>
      </c>
      <c r="E11071" s="282">
        <f t="shared" si="1250"/>
        <v>46042</v>
      </c>
      <c r="F11071" s="472" t="s">
        <v>1584</v>
      </c>
      <c r="G11071" s="283" t="s">
        <v>86</v>
      </c>
      <c r="H11071" s="284"/>
      <c r="I11071" s="284"/>
      <c r="J11071" s="285" t="s">
        <v>131</v>
      </c>
      <c r="K11071" s="286">
        <v>1277.7777777777778</v>
      </c>
      <c r="L11071" s="286"/>
      <c r="M11071" s="401"/>
    </row>
    <row r="11072" spans="1:14" ht="11.25" customHeight="1" x14ac:dyDescent="0.2">
      <c r="A11072" s="287">
        <v>2026</v>
      </c>
      <c r="B11072" s="287">
        <v>1</v>
      </c>
      <c r="C11072" s="287">
        <v>20</v>
      </c>
      <c r="D11072" s="288">
        <f t="shared" si="1247"/>
        <v>46042</v>
      </c>
      <c r="E11072" s="289">
        <f t="shared" si="1250"/>
        <v>46042</v>
      </c>
      <c r="F11072" s="473"/>
      <c r="G11072" s="290" t="s">
        <v>86</v>
      </c>
      <c r="H11072" s="291"/>
      <c r="I11072" s="291"/>
      <c r="J11072" s="292" t="s">
        <v>1469</v>
      </c>
      <c r="K11072" s="293"/>
      <c r="L11072" s="293">
        <f>K11071</f>
        <v>1277.7777777777778</v>
      </c>
    </row>
    <row r="11073" spans="1:14" ht="11.25" customHeight="1" x14ac:dyDescent="0.2">
      <c r="A11073" s="280">
        <v>2026</v>
      </c>
      <c r="B11073" s="280">
        <v>1</v>
      </c>
      <c r="C11073" s="280">
        <v>20</v>
      </c>
      <c r="D11073" s="281">
        <f t="shared" si="1247"/>
        <v>46042</v>
      </c>
      <c r="E11073" s="282">
        <f t="shared" si="1250"/>
        <v>46042</v>
      </c>
      <c r="F11073" s="472" t="s">
        <v>1955</v>
      </c>
      <c r="G11073" s="283" t="s">
        <v>86</v>
      </c>
      <c r="H11073" s="284"/>
      <c r="I11073" s="284"/>
      <c r="J11073" s="285" t="s">
        <v>1978</v>
      </c>
      <c r="K11073" s="286">
        <v>6185.4395604395604</v>
      </c>
      <c r="L11073" s="286"/>
      <c r="M11073" s="401"/>
    </row>
    <row r="11074" spans="1:14" ht="11.25" customHeight="1" x14ac:dyDescent="0.2">
      <c r="A11074" s="287">
        <v>2026</v>
      </c>
      <c r="B11074" s="287">
        <v>1</v>
      </c>
      <c r="C11074" s="287">
        <v>20</v>
      </c>
      <c r="D11074" s="288">
        <f t="shared" si="1247"/>
        <v>46042</v>
      </c>
      <c r="E11074" s="289">
        <f t="shared" si="1250"/>
        <v>46042</v>
      </c>
      <c r="F11074" s="473"/>
      <c r="G11074" s="290" t="s">
        <v>86</v>
      </c>
      <c r="H11074" s="291"/>
      <c r="I11074" s="291"/>
      <c r="J11074" s="292" t="s">
        <v>1955</v>
      </c>
      <c r="K11074" s="293"/>
      <c r="L11074" s="293">
        <f>K11073</f>
        <v>6185.4395604395604</v>
      </c>
    </row>
    <row r="11075" spans="1:14" ht="11.25" customHeight="1" x14ac:dyDescent="0.2">
      <c r="A11075" s="341">
        <v>2026</v>
      </c>
      <c r="B11075" s="341">
        <v>1</v>
      </c>
      <c r="C11075" s="341">
        <v>20</v>
      </c>
      <c r="D11075" s="328">
        <f t="shared" si="1247"/>
        <v>46042</v>
      </c>
      <c r="E11075" s="329">
        <f t="shared" si="1250"/>
        <v>46042</v>
      </c>
      <c r="F11075" s="474" t="s">
        <v>1767</v>
      </c>
      <c r="G11075" s="330" t="s">
        <v>86</v>
      </c>
      <c r="H11075" s="332"/>
      <c r="I11075" s="332"/>
      <c r="J11075" s="342" t="s">
        <v>67</v>
      </c>
      <c r="K11075" s="343">
        <v>139.88197166666669</v>
      </c>
      <c r="L11075" s="343"/>
      <c r="M11075" s="166"/>
    </row>
    <row r="11076" spans="1:14" ht="11.25" customHeight="1" x14ac:dyDescent="0.2">
      <c r="A11076" s="344">
        <v>2026</v>
      </c>
      <c r="B11076" s="344">
        <v>1</v>
      </c>
      <c r="C11076" s="344">
        <v>20</v>
      </c>
      <c r="D11076" s="337">
        <f t="shared" si="1247"/>
        <v>46042</v>
      </c>
      <c r="E11076" s="338">
        <f t="shared" si="1250"/>
        <v>46042</v>
      </c>
      <c r="F11076" s="475"/>
      <c r="G11076" s="339" t="s">
        <v>86</v>
      </c>
      <c r="H11076" s="340"/>
      <c r="I11076" s="340"/>
      <c r="J11076" s="345" t="s">
        <v>1974</v>
      </c>
      <c r="K11076" s="346"/>
      <c r="L11076" s="346">
        <f>K11075</f>
        <v>139.88197166666669</v>
      </c>
    </row>
    <row r="11077" spans="1:14" ht="11.25" customHeight="1" x14ac:dyDescent="0.2">
      <c r="A11077" s="236">
        <v>2026</v>
      </c>
      <c r="B11077" s="236">
        <v>1</v>
      </c>
      <c r="C11077" s="236">
        <v>20</v>
      </c>
      <c r="D11077" s="237">
        <f t="shared" si="1247"/>
        <v>46042</v>
      </c>
      <c r="E11077" s="238">
        <f t="shared" si="1250"/>
        <v>46042</v>
      </c>
      <c r="F11077" s="476" t="s">
        <v>1118</v>
      </c>
      <c r="G11077" s="239" t="s">
        <v>86</v>
      </c>
      <c r="H11077" s="239"/>
      <c r="I11077" s="240"/>
      <c r="J11077" s="241" t="s">
        <v>98</v>
      </c>
      <c r="K11077" s="242">
        <v>248219.37999993563</v>
      </c>
      <c r="L11077" s="242"/>
      <c r="M11077" s="166"/>
    </row>
    <row r="11078" spans="1:14" ht="11.25" customHeight="1" x14ac:dyDescent="0.2">
      <c r="A11078" s="243">
        <v>2026</v>
      </c>
      <c r="B11078" s="243">
        <v>1</v>
      </c>
      <c r="C11078" s="243">
        <v>20</v>
      </c>
      <c r="D11078" s="248">
        <f t="shared" si="1247"/>
        <v>46042</v>
      </c>
      <c r="E11078" s="249">
        <f t="shared" si="1250"/>
        <v>46042</v>
      </c>
      <c r="F11078" s="477"/>
      <c r="G11078" s="244" t="s">
        <v>86</v>
      </c>
      <c r="H11078" s="244"/>
      <c r="I11078" s="245"/>
      <c r="J11078" s="246" t="s">
        <v>82</v>
      </c>
      <c r="K11078" s="247"/>
      <c r="L11078" s="247">
        <f>K11077</f>
        <v>248219.37999993563</v>
      </c>
    </row>
    <row r="11079" spans="1:14" ht="11.25" customHeight="1" x14ac:dyDescent="0.2">
      <c r="A11079" s="236">
        <v>2026</v>
      </c>
      <c r="B11079" s="236">
        <v>1</v>
      </c>
      <c r="C11079" s="236">
        <v>20</v>
      </c>
      <c r="D11079" s="237">
        <f t="shared" si="1247"/>
        <v>46042</v>
      </c>
      <c r="E11079" s="238">
        <f t="shared" si="1250"/>
        <v>46042</v>
      </c>
      <c r="F11079" s="476" t="s">
        <v>1999</v>
      </c>
      <c r="G11079" s="239" t="s">
        <v>86</v>
      </c>
      <c r="H11079" s="239"/>
      <c r="I11079" s="240"/>
      <c r="J11079" s="241" t="s">
        <v>87</v>
      </c>
      <c r="K11079" s="242">
        <v>392.46467817896388</v>
      </c>
      <c r="L11079" s="242"/>
      <c r="M11079" s="401"/>
    </row>
    <row r="11080" spans="1:14" ht="11.25" customHeight="1" x14ac:dyDescent="0.2">
      <c r="A11080" s="243">
        <v>2026</v>
      </c>
      <c r="B11080" s="243">
        <v>1</v>
      </c>
      <c r="C11080" s="243">
        <v>20</v>
      </c>
      <c r="D11080" s="248">
        <f t="shared" si="1247"/>
        <v>46042</v>
      </c>
      <c r="E11080" s="249">
        <f t="shared" si="1250"/>
        <v>46042</v>
      </c>
      <c r="F11080" s="477"/>
      <c r="G11080" s="244" t="s">
        <v>86</v>
      </c>
      <c r="H11080" s="244"/>
      <c r="I11080" s="245"/>
      <c r="J11080" s="246" t="s">
        <v>64</v>
      </c>
      <c r="K11080" s="247"/>
      <c r="L11080" s="247">
        <f>K11079</f>
        <v>392.46467817896388</v>
      </c>
    </row>
    <row r="11081" spans="1:14" ht="11.25" customHeight="1" x14ac:dyDescent="0.2">
      <c r="A11081" s="236">
        <v>2026</v>
      </c>
      <c r="B11081" s="236">
        <v>1</v>
      </c>
      <c r="C11081" s="236">
        <v>20</v>
      </c>
      <c r="D11081" s="237">
        <f t="shared" ref="D11081:D11144" si="1251">DATE(A11081,B11081,C11081)</f>
        <v>46042</v>
      </c>
      <c r="E11081" s="238">
        <f t="shared" si="1250"/>
        <v>46042</v>
      </c>
      <c r="F11081" s="476" t="s">
        <v>2000</v>
      </c>
      <c r="G11081" s="239" t="s">
        <v>86</v>
      </c>
      <c r="H11081" s="239"/>
      <c r="I11081" s="240"/>
      <c r="J11081" s="241" t="s">
        <v>89</v>
      </c>
      <c r="K11081" s="242">
        <f>M11081</f>
        <v>13989.627357153964</v>
      </c>
      <c r="L11081" s="242"/>
      <c r="M11081" s="448">
        <v>13989.627357153964</v>
      </c>
    </row>
    <row r="11082" spans="1:14" ht="11.25" customHeight="1" x14ac:dyDescent="0.2">
      <c r="A11082" s="243">
        <v>2026</v>
      </c>
      <c r="B11082" s="243">
        <v>1</v>
      </c>
      <c r="C11082" s="243">
        <v>20</v>
      </c>
      <c r="D11082" s="248">
        <f t="shared" si="1251"/>
        <v>46042</v>
      </c>
      <c r="E11082" s="249">
        <f t="shared" si="1250"/>
        <v>46042</v>
      </c>
      <c r="F11082" s="477"/>
      <c r="G11082" s="244" t="s">
        <v>86</v>
      </c>
      <c r="H11082" s="244"/>
      <c r="I11082" s="245"/>
      <c r="J11082" s="246" t="s">
        <v>50</v>
      </c>
      <c r="K11082" s="247"/>
      <c r="L11082" s="247">
        <f>K11081</f>
        <v>13989.627357153964</v>
      </c>
      <c r="M11082" s="448">
        <v>665.14070851703889</v>
      </c>
    </row>
    <row r="11083" spans="1:14" ht="11.25" customHeight="1" x14ac:dyDescent="0.2">
      <c r="A11083" s="236">
        <v>2026</v>
      </c>
      <c r="B11083" s="236">
        <v>1</v>
      </c>
      <c r="C11083" s="236">
        <v>20</v>
      </c>
      <c r="D11083" s="237">
        <f t="shared" si="1251"/>
        <v>46042</v>
      </c>
      <c r="E11083" s="238">
        <f t="shared" si="1250"/>
        <v>46042</v>
      </c>
      <c r="F11083" s="476" t="s">
        <v>2001</v>
      </c>
      <c r="G11083" s="239" t="s">
        <v>86</v>
      </c>
      <c r="H11083" s="239"/>
      <c r="I11083" s="240"/>
      <c r="J11083" s="241" t="s">
        <v>91</v>
      </c>
      <c r="K11083" s="242">
        <f>M11082</f>
        <v>665.14070851703889</v>
      </c>
      <c r="L11083" s="242"/>
    </row>
    <row r="11084" spans="1:14" ht="11.25" customHeight="1" x14ac:dyDescent="0.2">
      <c r="A11084" s="243">
        <v>2026</v>
      </c>
      <c r="B11084" s="243">
        <v>1</v>
      </c>
      <c r="C11084" s="243">
        <v>20</v>
      </c>
      <c r="D11084" s="248">
        <f t="shared" si="1251"/>
        <v>46042</v>
      </c>
      <c r="E11084" s="249">
        <f t="shared" si="1250"/>
        <v>46042</v>
      </c>
      <c r="F11084" s="477"/>
      <c r="G11084" s="244" t="s">
        <v>86</v>
      </c>
      <c r="H11084" s="244"/>
      <c r="I11084" s="245"/>
      <c r="J11084" s="246" t="s">
        <v>51</v>
      </c>
      <c r="K11084" s="247"/>
      <c r="L11084" s="247">
        <f>K11083</f>
        <v>665.14070851703889</v>
      </c>
    </row>
    <row r="11085" spans="1:14" ht="11.25" customHeight="1" x14ac:dyDescent="0.2">
      <c r="A11085" s="221">
        <v>2026</v>
      </c>
      <c r="B11085" s="221">
        <v>1</v>
      </c>
      <c r="C11085" s="221">
        <v>21</v>
      </c>
      <c r="D11085" s="231">
        <f t="shared" si="1251"/>
        <v>46043</v>
      </c>
      <c r="E11085" s="233">
        <f t="shared" si="1250"/>
        <v>46043</v>
      </c>
      <c r="F11085" s="478" t="s">
        <v>1945</v>
      </c>
      <c r="G11085" s="222" t="s">
        <v>1111</v>
      </c>
      <c r="H11085" s="223"/>
      <c r="I11085" s="223"/>
      <c r="J11085" s="224" t="s">
        <v>55</v>
      </c>
      <c r="K11085" s="225">
        <v>700628.83</v>
      </c>
      <c r="L11085" s="225"/>
    </row>
    <row r="11086" spans="1:14" ht="11.25" customHeight="1" x14ac:dyDescent="0.2">
      <c r="A11086" s="226">
        <v>2026</v>
      </c>
      <c r="B11086" s="226">
        <v>1</v>
      </c>
      <c r="C11086" s="226">
        <v>21</v>
      </c>
      <c r="D11086" s="232">
        <f t="shared" si="1251"/>
        <v>46043</v>
      </c>
      <c r="E11086" s="234">
        <f t="shared" si="1250"/>
        <v>46043</v>
      </c>
      <c r="F11086" s="479"/>
      <c r="G11086" s="227" t="s">
        <v>1111</v>
      </c>
      <c r="H11086" s="228"/>
      <c r="I11086" s="228"/>
      <c r="J11086" s="229" t="s">
        <v>199</v>
      </c>
      <c r="K11086" s="230"/>
      <c r="L11086" s="230">
        <f>K11085</f>
        <v>700628.83</v>
      </c>
    </row>
    <row r="11087" spans="1:14" ht="11.25" customHeight="1" x14ac:dyDescent="0.2">
      <c r="A11087" s="221">
        <v>2026</v>
      </c>
      <c r="B11087" s="221">
        <v>1</v>
      </c>
      <c r="C11087" s="221">
        <v>21</v>
      </c>
      <c r="D11087" s="221">
        <f t="shared" si="1251"/>
        <v>46043</v>
      </c>
      <c r="E11087" s="233">
        <f t="shared" ref="E11087:E11091" si="1252">DATE(A11087,B11087,C11087)</f>
        <v>46043</v>
      </c>
      <c r="F11087" s="478" t="s">
        <v>1937</v>
      </c>
      <c r="G11087" s="222" t="s">
        <v>86</v>
      </c>
      <c r="H11087" s="222"/>
      <c r="I11087" s="223"/>
      <c r="J11087" s="224" t="s">
        <v>80</v>
      </c>
      <c r="K11087" s="225">
        <v>4334718.4000000004</v>
      </c>
      <c r="L11087" s="225"/>
      <c r="N11087" s="263"/>
    </row>
    <row r="11088" spans="1:14" ht="11.25" customHeight="1" x14ac:dyDescent="0.2">
      <c r="A11088" s="164">
        <v>2026</v>
      </c>
      <c r="B11088" s="164">
        <v>1</v>
      </c>
      <c r="C11088" s="164">
        <v>21</v>
      </c>
      <c r="D11088" s="164">
        <f t="shared" si="1251"/>
        <v>46043</v>
      </c>
      <c r="E11088" s="235">
        <f t="shared" si="1252"/>
        <v>46043</v>
      </c>
      <c r="F11088" s="480"/>
      <c r="G11088" s="208" t="s">
        <v>86</v>
      </c>
      <c r="H11088" s="208"/>
      <c r="J11088" s="165" t="s">
        <v>960</v>
      </c>
      <c r="K11088" s="205">
        <v>9540.89</v>
      </c>
      <c r="L11088" s="205"/>
      <c r="M11088" s="263"/>
      <c r="N11088" s="263"/>
    </row>
    <row r="11089" spans="1:14" ht="11.25" customHeight="1" x14ac:dyDescent="0.2">
      <c r="A11089" s="164">
        <v>2026</v>
      </c>
      <c r="B11089" s="164">
        <v>1</v>
      </c>
      <c r="C11089" s="164">
        <v>21</v>
      </c>
      <c r="D11089" s="164">
        <f t="shared" si="1251"/>
        <v>46043</v>
      </c>
      <c r="E11089" s="235">
        <f t="shared" si="1252"/>
        <v>46043</v>
      </c>
      <c r="F11089" s="480"/>
      <c r="G11089" s="208" t="s">
        <v>86</v>
      </c>
      <c r="H11089" s="208"/>
      <c r="J11089" s="165" t="s">
        <v>961</v>
      </c>
      <c r="K11089" s="263"/>
      <c r="L11089" s="205">
        <v>3378484.29</v>
      </c>
      <c r="M11089" s="263"/>
      <c r="N11089" s="263"/>
    </row>
    <row r="11090" spans="1:14" ht="11.25" customHeight="1" x14ac:dyDescent="0.2">
      <c r="A11090" s="164">
        <v>2026</v>
      </c>
      <c r="B11090" s="164">
        <v>1</v>
      </c>
      <c r="C11090" s="164">
        <v>21</v>
      </c>
      <c r="D11090" s="164">
        <f t="shared" si="1251"/>
        <v>46043</v>
      </c>
      <c r="E11090" s="235">
        <f t="shared" si="1252"/>
        <v>46043</v>
      </c>
      <c r="F11090" s="480"/>
      <c r="G11090" s="208" t="s">
        <v>86</v>
      </c>
      <c r="H11090" s="208"/>
      <c r="J11090" s="165" t="s">
        <v>200</v>
      </c>
      <c r="K11090" s="205"/>
      <c r="L11090" s="205">
        <v>42082.91</v>
      </c>
      <c r="M11090" s="263"/>
      <c r="N11090" s="263"/>
    </row>
    <row r="11091" spans="1:14" ht="11.25" customHeight="1" x14ac:dyDescent="0.2">
      <c r="A11091" s="226">
        <v>2026</v>
      </c>
      <c r="B11091" s="226">
        <v>1</v>
      </c>
      <c r="C11091" s="226">
        <v>21</v>
      </c>
      <c r="D11091" s="226">
        <f t="shared" si="1251"/>
        <v>46043</v>
      </c>
      <c r="E11091" s="234">
        <f t="shared" si="1252"/>
        <v>46043</v>
      </c>
      <c r="F11091" s="479"/>
      <c r="G11091" s="227" t="s">
        <v>86</v>
      </c>
      <c r="H11091" s="228"/>
      <c r="I11091" s="228"/>
      <c r="J11091" s="229" t="s">
        <v>80</v>
      </c>
      <c r="K11091" s="230"/>
      <c r="L11091" s="230">
        <v>923692.09</v>
      </c>
      <c r="M11091" s="263"/>
      <c r="N11091" s="263"/>
    </row>
    <row r="11092" spans="1:14" ht="11.25" customHeight="1" x14ac:dyDescent="0.2">
      <c r="A11092" s="221">
        <v>2026</v>
      </c>
      <c r="B11092" s="221">
        <v>1</v>
      </c>
      <c r="C11092" s="221">
        <v>21</v>
      </c>
      <c r="D11092" s="231">
        <f t="shared" si="1251"/>
        <v>46043</v>
      </c>
      <c r="E11092" s="233">
        <f t="shared" ref="E11092:E11114" si="1253">DATE(A11092,B11092,C11092)</f>
        <v>46043</v>
      </c>
      <c r="F11092" s="478" t="s">
        <v>1605</v>
      </c>
      <c r="G11092" s="222" t="s">
        <v>1111</v>
      </c>
      <c r="H11092" s="223"/>
      <c r="I11092" s="223"/>
      <c r="J11092" s="224" t="s">
        <v>55</v>
      </c>
      <c r="K11092" s="167">
        <v>10015000</v>
      </c>
      <c r="L11092" s="225"/>
    </row>
    <row r="11093" spans="1:14" ht="11.25" customHeight="1" x14ac:dyDescent="0.2">
      <c r="A11093" s="164">
        <v>2026</v>
      </c>
      <c r="B11093" s="164">
        <v>1</v>
      </c>
      <c r="C11093" s="164">
        <v>21</v>
      </c>
      <c r="D11093" s="156">
        <f t="shared" si="1251"/>
        <v>46043</v>
      </c>
      <c r="E11093" s="235">
        <f t="shared" si="1253"/>
        <v>46043</v>
      </c>
      <c r="F11093" s="480"/>
      <c r="G11093" s="208" t="s">
        <v>1111</v>
      </c>
      <c r="J11093" s="165" t="s">
        <v>14</v>
      </c>
      <c r="L11093" s="205">
        <v>8182840</v>
      </c>
    </row>
    <row r="11094" spans="1:14" ht="11.25" customHeight="1" x14ac:dyDescent="0.2">
      <c r="A11094" s="226">
        <v>2026</v>
      </c>
      <c r="B11094" s="226">
        <v>1</v>
      </c>
      <c r="C11094" s="226">
        <v>21</v>
      </c>
      <c r="D11094" s="232">
        <f t="shared" si="1251"/>
        <v>46043</v>
      </c>
      <c r="E11094" s="234">
        <f t="shared" si="1253"/>
        <v>46043</v>
      </c>
      <c r="F11094" s="479"/>
      <c r="G11094" s="227" t="s">
        <v>1111</v>
      </c>
      <c r="H11094" s="228"/>
      <c r="I11094" s="228"/>
      <c r="J11094" s="229" t="s">
        <v>1112</v>
      </c>
      <c r="K11094" s="230"/>
      <c r="L11094" s="230">
        <v>1832160</v>
      </c>
    </row>
    <row r="11095" spans="1:14" ht="11.25" customHeight="1" x14ac:dyDescent="0.2">
      <c r="A11095" s="221">
        <v>2026</v>
      </c>
      <c r="B11095" s="221">
        <v>1</v>
      </c>
      <c r="C11095" s="221">
        <v>21</v>
      </c>
      <c r="D11095" s="231">
        <f t="shared" si="1251"/>
        <v>46043</v>
      </c>
      <c r="E11095" s="233">
        <f t="shared" si="1253"/>
        <v>46043</v>
      </c>
      <c r="F11095" s="478" t="s">
        <v>1670</v>
      </c>
      <c r="G11095" s="222" t="s">
        <v>1111</v>
      </c>
      <c r="H11095" s="223"/>
      <c r="I11095" s="223"/>
      <c r="J11095" s="224" t="s">
        <v>63</v>
      </c>
      <c r="K11095" s="225">
        <v>25</v>
      </c>
      <c r="L11095" s="225"/>
    </row>
    <row r="11096" spans="1:14" ht="11.25" customHeight="1" x14ac:dyDescent="0.2">
      <c r="A11096" s="226">
        <v>2026</v>
      </c>
      <c r="B11096" s="226">
        <v>1</v>
      </c>
      <c r="C11096" s="226">
        <v>21</v>
      </c>
      <c r="D11096" s="232">
        <f t="shared" si="1251"/>
        <v>46043</v>
      </c>
      <c r="E11096" s="234">
        <f t="shared" si="1253"/>
        <v>46043</v>
      </c>
      <c r="F11096" s="479"/>
      <c r="G11096" s="227" t="s">
        <v>1111</v>
      </c>
      <c r="H11096" s="228"/>
      <c r="I11096" s="228"/>
      <c r="J11096" s="229" t="s">
        <v>55</v>
      </c>
      <c r="K11096" s="230"/>
      <c r="L11096" s="230">
        <f>K11095</f>
        <v>25</v>
      </c>
    </row>
    <row r="11097" spans="1:14" ht="11.25" customHeight="1" x14ac:dyDescent="0.2">
      <c r="A11097" s="221">
        <v>2026</v>
      </c>
      <c r="B11097" s="221">
        <v>1</v>
      </c>
      <c r="C11097" s="221">
        <v>21</v>
      </c>
      <c r="D11097" s="231">
        <f t="shared" si="1251"/>
        <v>46043</v>
      </c>
      <c r="E11097" s="233">
        <f t="shared" si="1253"/>
        <v>46043</v>
      </c>
      <c r="F11097" s="478" t="s">
        <v>1940</v>
      </c>
      <c r="G11097" s="222" t="s">
        <v>1111</v>
      </c>
      <c r="H11097" s="223"/>
      <c r="I11097" s="223"/>
      <c r="J11097" s="224" t="s">
        <v>961</v>
      </c>
      <c r="K11097" s="225">
        <v>33344.720000000001</v>
      </c>
      <c r="L11097" s="225"/>
    </row>
    <row r="11098" spans="1:14" ht="11.25" customHeight="1" x14ac:dyDescent="0.2">
      <c r="A11098" s="226">
        <v>2026</v>
      </c>
      <c r="B11098" s="226">
        <v>1</v>
      </c>
      <c r="C11098" s="226">
        <v>21</v>
      </c>
      <c r="D11098" s="232">
        <f t="shared" si="1251"/>
        <v>46043</v>
      </c>
      <c r="E11098" s="234">
        <f t="shared" si="1253"/>
        <v>46043</v>
      </c>
      <c r="F11098" s="479"/>
      <c r="G11098" s="227" t="s">
        <v>1111</v>
      </c>
      <c r="H11098" s="228"/>
      <c r="I11098" s="228"/>
      <c r="J11098" s="229" t="s">
        <v>55</v>
      </c>
      <c r="K11098" s="230"/>
      <c r="L11098" s="230">
        <f>K11097</f>
        <v>33344.720000000001</v>
      </c>
    </row>
    <row r="11099" spans="1:14" ht="11.25" customHeight="1" x14ac:dyDescent="0.2">
      <c r="A11099" s="280">
        <v>2026</v>
      </c>
      <c r="B11099" s="280">
        <v>1</v>
      </c>
      <c r="C11099" s="280">
        <v>21</v>
      </c>
      <c r="D11099" s="281">
        <f t="shared" si="1251"/>
        <v>46043</v>
      </c>
      <c r="E11099" s="282">
        <f t="shared" si="1253"/>
        <v>46043</v>
      </c>
      <c r="F11099" s="472" t="s">
        <v>1744</v>
      </c>
      <c r="G11099" s="283" t="s">
        <v>86</v>
      </c>
      <c r="H11099" s="284"/>
      <c r="I11099" s="284"/>
      <c r="J11099" s="285" t="s">
        <v>131</v>
      </c>
      <c r="K11099" s="286">
        <v>2875</v>
      </c>
      <c r="L11099" s="286"/>
      <c r="M11099" s="401"/>
    </row>
    <row r="11100" spans="1:14" ht="11.25" customHeight="1" x14ac:dyDescent="0.2">
      <c r="A11100" s="287">
        <v>2026</v>
      </c>
      <c r="B11100" s="287">
        <v>1</v>
      </c>
      <c r="C11100" s="287">
        <v>21</v>
      </c>
      <c r="D11100" s="288">
        <f t="shared" si="1251"/>
        <v>46043</v>
      </c>
      <c r="E11100" s="289">
        <f t="shared" si="1253"/>
        <v>46043</v>
      </c>
      <c r="F11100" s="473"/>
      <c r="G11100" s="290" t="s">
        <v>86</v>
      </c>
      <c r="H11100" s="291"/>
      <c r="I11100" s="291"/>
      <c r="J11100" s="292" t="s">
        <v>1469</v>
      </c>
      <c r="K11100" s="293"/>
      <c r="L11100" s="293">
        <f>K11099</f>
        <v>2875</v>
      </c>
    </row>
    <row r="11101" spans="1:14" ht="11.25" customHeight="1" x14ac:dyDescent="0.2">
      <c r="A11101" s="280">
        <v>2026</v>
      </c>
      <c r="B11101" s="280">
        <v>1</v>
      </c>
      <c r="C11101" s="280">
        <v>21</v>
      </c>
      <c r="D11101" s="281">
        <f t="shared" si="1251"/>
        <v>46043</v>
      </c>
      <c r="E11101" s="282">
        <f t="shared" si="1253"/>
        <v>46043</v>
      </c>
      <c r="F11101" s="472" t="s">
        <v>1584</v>
      </c>
      <c r="G11101" s="283" t="s">
        <v>86</v>
      </c>
      <c r="H11101" s="284"/>
      <c r="I11101" s="284"/>
      <c r="J11101" s="285" t="s">
        <v>131</v>
      </c>
      <c r="K11101" s="286">
        <v>1277.7777777777778</v>
      </c>
      <c r="L11101" s="286"/>
      <c r="M11101" s="401"/>
    </row>
    <row r="11102" spans="1:14" ht="11.25" customHeight="1" x14ac:dyDescent="0.2">
      <c r="A11102" s="287">
        <v>2026</v>
      </c>
      <c r="B11102" s="287">
        <v>1</v>
      </c>
      <c r="C11102" s="287">
        <v>21</v>
      </c>
      <c r="D11102" s="288">
        <f t="shared" si="1251"/>
        <v>46043</v>
      </c>
      <c r="E11102" s="289">
        <f t="shared" si="1253"/>
        <v>46043</v>
      </c>
      <c r="F11102" s="473"/>
      <c r="G11102" s="290" t="s">
        <v>86</v>
      </c>
      <c r="H11102" s="291"/>
      <c r="I11102" s="291"/>
      <c r="J11102" s="292" t="s">
        <v>1469</v>
      </c>
      <c r="K11102" s="293"/>
      <c r="L11102" s="293">
        <f>K11101</f>
        <v>1277.7777777777778</v>
      </c>
    </row>
    <row r="11103" spans="1:14" ht="11.25" customHeight="1" x14ac:dyDescent="0.2">
      <c r="A11103" s="280">
        <v>2026</v>
      </c>
      <c r="B11103" s="280">
        <v>1</v>
      </c>
      <c r="C11103" s="280">
        <v>21</v>
      </c>
      <c r="D11103" s="281">
        <f t="shared" si="1251"/>
        <v>46043</v>
      </c>
      <c r="E11103" s="282">
        <f t="shared" si="1253"/>
        <v>46043</v>
      </c>
      <c r="F11103" s="472" t="s">
        <v>1955</v>
      </c>
      <c r="G11103" s="283" t="s">
        <v>86</v>
      </c>
      <c r="H11103" s="284"/>
      <c r="I11103" s="284"/>
      <c r="J11103" s="285" t="s">
        <v>1978</v>
      </c>
      <c r="K11103" s="286">
        <v>6185.4395604395604</v>
      </c>
      <c r="L11103" s="286"/>
      <c r="M11103" s="401"/>
    </row>
    <row r="11104" spans="1:14" ht="11.25" customHeight="1" x14ac:dyDescent="0.2">
      <c r="A11104" s="287">
        <v>2026</v>
      </c>
      <c r="B11104" s="287">
        <v>1</v>
      </c>
      <c r="C11104" s="287">
        <v>21</v>
      </c>
      <c r="D11104" s="288">
        <f t="shared" si="1251"/>
        <v>46043</v>
      </c>
      <c r="E11104" s="289">
        <f t="shared" si="1253"/>
        <v>46043</v>
      </c>
      <c r="F11104" s="473"/>
      <c r="G11104" s="290" t="s">
        <v>86</v>
      </c>
      <c r="H11104" s="291"/>
      <c r="I11104" s="291"/>
      <c r="J11104" s="292" t="s">
        <v>1955</v>
      </c>
      <c r="K11104" s="293"/>
      <c r="L11104" s="293">
        <f>K11103</f>
        <v>6185.4395604395604</v>
      </c>
    </row>
    <row r="11105" spans="1:13" ht="11.25" customHeight="1" x14ac:dyDescent="0.2">
      <c r="A11105" s="341">
        <v>2026</v>
      </c>
      <c r="B11105" s="341">
        <v>1</v>
      </c>
      <c r="C11105" s="341">
        <v>21</v>
      </c>
      <c r="D11105" s="328">
        <f t="shared" si="1251"/>
        <v>46043</v>
      </c>
      <c r="E11105" s="329">
        <f t="shared" si="1253"/>
        <v>46043</v>
      </c>
      <c r="F11105" s="474" t="s">
        <v>1767</v>
      </c>
      <c r="G11105" s="330" t="s">
        <v>86</v>
      </c>
      <c r="H11105" s="332"/>
      <c r="I11105" s="332"/>
      <c r="J11105" s="342" t="s">
        <v>67</v>
      </c>
      <c r="K11105" s="343">
        <v>2372.3052140277782</v>
      </c>
      <c r="L11105" s="343"/>
      <c r="M11105" s="166"/>
    </row>
    <row r="11106" spans="1:13" ht="11.25" customHeight="1" x14ac:dyDescent="0.2">
      <c r="A11106" s="344">
        <v>2026</v>
      </c>
      <c r="B11106" s="344">
        <v>1</v>
      </c>
      <c r="C11106" s="344">
        <v>21</v>
      </c>
      <c r="D11106" s="337">
        <f t="shared" si="1251"/>
        <v>46043</v>
      </c>
      <c r="E11106" s="338">
        <f t="shared" si="1253"/>
        <v>46043</v>
      </c>
      <c r="F11106" s="475"/>
      <c r="G11106" s="339" t="s">
        <v>86</v>
      </c>
      <c r="H11106" s="340"/>
      <c r="I11106" s="340"/>
      <c r="J11106" s="345" t="s">
        <v>1974</v>
      </c>
      <c r="K11106" s="346"/>
      <c r="L11106" s="346">
        <f>K11105</f>
        <v>2372.3052140277782</v>
      </c>
    </row>
    <row r="11107" spans="1:13" ht="11.25" customHeight="1" x14ac:dyDescent="0.2">
      <c r="A11107" s="236">
        <v>2026</v>
      </c>
      <c r="B11107" s="236">
        <v>1</v>
      </c>
      <c r="C11107" s="236">
        <v>21</v>
      </c>
      <c r="D11107" s="237">
        <f t="shared" si="1251"/>
        <v>46043</v>
      </c>
      <c r="E11107" s="238">
        <f t="shared" si="1253"/>
        <v>46043</v>
      </c>
      <c r="F11107" s="476" t="s">
        <v>1118</v>
      </c>
      <c r="G11107" s="239" t="s">
        <v>86</v>
      </c>
      <c r="H11107" s="239"/>
      <c r="I11107" s="240"/>
      <c r="J11107" s="241" t="s">
        <v>82</v>
      </c>
      <c r="K11107" s="242">
        <v>952851.87000000477</v>
      </c>
      <c r="L11107" s="242"/>
      <c r="M11107" s="166"/>
    </row>
    <row r="11108" spans="1:13" ht="11.25" customHeight="1" x14ac:dyDescent="0.2">
      <c r="A11108" s="243">
        <v>2026</v>
      </c>
      <c r="B11108" s="243">
        <v>1</v>
      </c>
      <c r="C11108" s="243">
        <v>21</v>
      </c>
      <c r="D11108" s="248">
        <f t="shared" si="1251"/>
        <v>46043</v>
      </c>
      <c r="E11108" s="249">
        <f t="shared" si="1253"/>
        <v>46043</v>
      </c>
      <c r="F11108" s="477"/>
      <c r="G11108" s="244" t="s">
        <v>86</v>
      </c>
      <c r="H11108" s="244"/>
      <c r="I11108" s="245"/>
      <c r="J11108" s="246" t="s">
        <v>98</v>
      </c>
      <c r="K11108" s="247"/>
      <c r="L11108" s="247">
        <f>K11107</f>
        <v>952851.87000000477</v>
      </c>
    </row>
    <row r="11109" spans="1:13" ht="11.25" customHeight="1" x14ac:dyDescent="0.2">
      <c r="A11109" s="236">
        <v>2026</v>
      </c>
      <c r="B11109" s="236">
        <v>1</v>
      </c>
      <c r="C11109" s="236">
        <v>21</v>
      </c>
      <c r="D11109" s="237">
        <f t="shared" si="1251"/>
        <v>46043</v>
      </c>
      <c r="E11109" s="238">
        <f t="shared" si="1253"/>
        <v>46043</v>
      </c>
      <c r="F11109" s="476" t="s">
        <v>1999</v>
      </c>
      <c r="G11109" s="239" t="s">
        <v>86</v>
      </c>
      <c r="H11109" s="239"/>
      <c r="I11109" s="240"/>
      <c r="J11109" s="241" t="s">
        <v>87</v>
      </c>
      <c r="K11109" s="242">
        <v>392.46467817896388</v>
      </c>
      <c r="L11109" s="242"/>
      <c r="M11109" s="401"/>
    </row>
    <row r="11110" spans="1:13" ht="11.25" customHeight="1" x14ac:dyDescent="0.2">
      <c r="A11110" s="243">
        <v>2026</v>
      </c>
      <c r="B11110" s="243">
        <v>1</v>
      </c>
      <c r="C11110" s="243">
        <v>21</v>
      </c>
      <c r="D11110" s="248">
        <f t="shared" si="1251"/>
        <v>46043</v>
      </c>
      <c r="E11110" s="249">
        <f t="shared" si="1253"/>
        <v>46043</v>
      </c>
      <c r="F11110" s="477"/>
      <c r="G11110" s="244" t="s">
        <v>86</v>
      </c>
      <c r="H11110" s="244"/>
      <c r="I11110" s="245"/>
      <c r="J11110" s="246" t="s">
        <v>64</v>
      </c>
      <c r="K11110" s="247"/>
      <c r="L11110" s="247">
        <f>K11109</f>
        <v>392.46467817896388</v>
      </c>
    </row>
    <row r="11111" spans="1:13" ht="11.25" customHeight="1" x14ac:dyDescent="0.2">
      <c r="A11111" s="236">
        <v>2026</v>
      </c>
      <c r="B11111" s="236">
        <v>1</v>
      </c>
      <c r="C11111" s="236">
        <v>21</v>
      </c>
      <c r="D11111" s="237">
        <f t="shared" si="1251"/>
        <v>46043</v>
      </c>
      <c r="E11111" s="238">
        <f t="shared" si="1253"/>
        <v>46043</v>
      </c>
      <c r="F11111" s="476" t="s">
        <v>2000</v>
      </c>
      <c r="G11111" s="239" t="s">
        <v>86</v>
      </c>
      <c r="H11111" s="239"/>
      <c r="I11111" s="240"/>
      <c r="J11111" s="241" t="s">
        <v>89</v>
      </c>
      <c r="K11111" s="242">
        <v>14472.674643210599</v>
      </c>
      <c r="L11111" s="242"/>
      <c r="M11111" s="448">
        <v>14472.674643210599</v>
      </c>
    </row>
    <row r="11112" spans="1:13" ht="11.25" customHeight="1" x14ac:dyDescent="0.2">
      <c r="A11112" s="243">
        <v>2026</v>
      </c>
      <c r="B11112" s="243">
        <v>1</v>
      </c>
      <c r="C11112" s="243">
        <v>21</v>
      </c>
      <c r="D11112" s="248">
        <f t="shared" si="1251"/>
        <v>46043</v>
      </c>
      <c r="E11112" s="249">
        <f t="shared" si="1253"/>
        <v>46043</v>
      </c>
      <c r="F11112" s="477"/>
      <c r="G11112" s="244" t="s">
        <v>86</v>
      </c>
      <c r="H11112" s="244"/>
      <c r="I11112" s="245"/>
      <c r="J11112" s="246" t="s">
        <v>50</v>
      </c>
      <c r="K11112" s="247"/>
      <c r="L11112" s="247">
        <f>K11111</f>
        <v>14472.674643210599</v>
      </c>
      <c r="M11112" s="448">
        <v>690.11970148876514</v>
      </c>
    </row>
    <row r="11113" spans="1:13" ht="11.25" customHeight="1" x14ac:dyDescent="0.2">
      <c r="A11113" s="236">
        <v>2026</v>
      </c>
      <c r="B11113" s="236">
        <v>1</v>
      </c>
      <c r="C11113" s="236">
        <v>21</v>
      </c>
      <c r="D11113" s="237">
        <f t="shared" si="1251"/>
        <v>46043</v>
      </c>
      <c r="E11113" s="238">
        <f t="shared" si="1253"/>
        <v>46043</v>
      </c>
      <c r="F11113" s="476" t="s">
        <v>2001</v>
      </c>
      <c r="G11113" s="239" t="s">
        <v>86</v>
      </c>
      <c r="H11113" s="239"/>
      <c r="I11113" s="240"/>
      <c r="J11113" s="241" t="s">
        <v>91</v>
      </c>
      <c r="K11113" s="242">
        <v>690.11970148876514</v>
      </c>
      <c r="L11113" s="242"/>
    </row>
    <row r="11114" spans="1:13" ht="11.25" customHeight="1" x14ac:dyDescent="0.2">
      <c r="A11114" s="243">
        <v>2026</v>
      </c>
      <c r="B11114" s="243">
        <v>1</v>
      </c>
      <c r="C11114" s="243">
        <v>21</v>
      </c>
      <c r="D11114" s="248">
        <f t="shared" si="1251"/>
        <v>46043</v>
      </c>
      <c r="E11114" s="249">
        <f t="shared" si="1253"/>
        <v>46043</v>
      </c>
      <c r="F11114" s="477"/>
      <c r="G11114" s="244" t="s">
        <v>86</v>
      </c>
      <c r="H11114" s="244"/>
      <c r="I11114" s="245"/>
      <c r="J11114" s="246" t="s">
        <v>51</v>
      </c>
      <c r="K11114" s="247"/>
      <c r="L11114" s="247">
        <f>K11113</f>
        <v>690.11970148876514</v>
      </c>
    </row>
    <row r="11115" spans="1:13" ht="11.25" customHeight="1" x14ac:dyDescent="0.2">
      <c r="A11115" s="221">
        <v>2026</v>
      </c>
      <c r="B11115" s="221">
        <v>1</v>
      </c>
      <c r="C11115" s="221">
        <v>22</v>
      </c>
      <c r="D11115" s="231">
        <f t="shared" si="1251"/>
        <v>46044</v>
      </c>
      <c r="E11115" s="233">
        <f t="shared" ref="E11115:E11116" si="1254">DATE(A11115,B11115,C11115)</f>
        <v>46044</v>
      </c>
      <c r="F11115" s="478" t="s">
        <v>1940</v>
      </c>
      <c r="G11115" s="222" t="s">
        <v>1111</v>
      </c>
      <c r="H11115" s="223"/>
      <c r="I11115" s="223"/>
      <c r="J11115" s="224" t="s">
        <v>961</v>
      </c>
      <c r="K11115" s="225">
        <v>379927.41</v>
      </c>
      <c r="L11115" s="225"/>
    </row>
    <row r="11116" spans="1:13" ht="11.25" customHeight="1" x14ac:dyDescent="0.2">
      <c r="A11116" s="226">
        <v>2026</v>
      </c>
      <c r="B11116" s="226">
        <v>1</v>
      </c>
      <c r="C11116" s="226">
        <v>22</v>
      </c>
      <c r="D11116" s="232">
        <f t="shared" si="1251"/>
        <v>46044</v>
      </c>
      <c r="E11116" s="234">
        <f t="shared" si="1254"/>
        <v>46044</v>
      </c>
      <c r="F11116" s="479"/>
      <c r="G11116" s="227" t="s">
        <v>1111</v>
      </c>
      <c r="H11116" s="228"/>
      <c r="I11116" s="228"/>
      <c r="J11116" s="229" t="s">
        <v>55</v>
      </c>
      <c r="K11116" s="230"/>
      <c r="L11116" s="230">
        <f>K11115</f>
        <v>379927.41</v>
      </c>
    </row>
    <row r="11117" spans="1:13" ht="11.25" customHeight="1" x14ac:dyDescent="0.2">
      <c r="A11117" s="221">
        <v>2026</v>
      </c>
      <c r="B11117" s="221">
        <v>1</v>
      </c>
      <c r="C11117" s="221">
        <v>22</v>
      </c>
      <c r="D11117" s="231">
        <f t="shared" si="1251"/>
        <v>46044</v>
      </c>
      <c r="E11117" s="233">
        <f t="shared" ref="E11117:E11139" si="1255">DATE(A11117,B11117,C11117)</f>
        <v>46044</v>
      </c>
      <c r="F11117" s="478" t="s">
        <v>1940</v>
      </c>
      <c r="G11117" s="222" t="s">
        <v>1111</v>
      </c>
      <c r="H11117" s="223"/>
      <c r="I11117" s="223"/>
      <c r="J11117" s="224" t="s">
        <v>961</v>
      </c>
      <c r="K11117" s="225">
        <v>3378484.29</v>
      </c>
      <c r="L11117" s="225"/>
    </row>
    <row r="11118" spans="1:13" ht="11.25" customHeight="1" x14ac:dyDescent="0.2">
      <c r="A11118" s="226">
        <v>2026</v>
      </c>
      <c r="B11118" s="226">
        <v>1</v>
      </c>
      <c r="C11118" s="226">
        <v>22</v>
      </c>
      <c r="D11118" s="232">
        <f t="shared" si="1251"/>
        <v>46044</v>
      </c>
      <c r="E11118" s="234">
        <f t="shared" si="1255"/>
        <v>46044</v>
      </c>
      <c r="F11118" s="479"/>
      <c r="G11118" s="227" t="s">
        <v>1111</v>
      </c>
      <c r="H11118" s="228"/>
      <c r="I11118" s="228"/>
      <c r="J11118" s="229" t="s">
        <v>55</v>
      </c>
      <c r="K11118" s="230"/>
      <c r="L11118" s="230">
        <f>K11117</f>
        <v>3378484.29</v>
      </c>
    </row>
    <row r="11119" spans="1:13" ht="11.25" customHeight="1" x14ac:dyDescent="0.2">
      <c r="A11119" s="221">
        <v>2026</v>
      </c>
      <c r="B11119" s="221">
        <v>1</v>
      </c>
      <c r="C11119" s="221">
        <v>22</v>
      </c>
      <c r="D11119" s="231">
        <f t="shared" si="1251"/>
        <v>46044</v>
      </c>
      <c r="E11119" s="233">
        <f t="shared" si="1255"/>
        <v>46044</v>
      </c>
      <c r="F11119" s="478" t="s">
        <v>1670</v>
      </c>
      <c r="G11119" s="222" t="s">
        <v>1111</v>
      </c>
      <c r="H11119" s="223"/>
      <c r="I11119" s="223"/>
      <c r="J11119" s="224" t="s">
        <v>63</v>
      </c>
      <c r="K11119" s="225">
        <v>100</v>
      </c>
      <c r="L11119" s="225"/>
    </row>
    <row r="11120" spans="1:13" ht="11.25" customHeight="1" x14ac:dyDescent="0.2">
      <c r="A11120" s="226">
        <v>2026</v>
      </c>
      <c r="B11120" s="226">
        <v>1</v>
      </c>
      <c r="C11120" s="226">
        <v>22</v>
      </c>
      <c r="D11120" s="232">
        <f t="shared" si="1251"/>
        <v>46044</v>
      </c>
      <c r="E11120" s="234">
        <f t="shared" si="1255"/>
        <v>46044</v>
      </c>
      <c r="F11120" s="479"/>
      <c r="G11120" s="227" t="s">
        <v>1111</v>
      </c>
      <c r="H11120" s="228"/>
      <c r="I11120" s="228"/>
      <c r="J11120" s="229" t="s">
        <v>55</v>
      </c>
      <c r="K11120" s="230"/>
      <c r="L11120" s="230">
        <f>K11119</f>
        <v>100</v>
      </c>
    </row>
    <row r="11121" spans="1:14" ht="11.25" customHeight="1" x14ac:dyDescent="0.2">
      <c r="A11121" s="221">
        <v>2026</v>
      </c>
      <c r="B11121" s="221">
        <v>1</v>
      </c>
      <c r="C11121" s="221">
        <v>22</v>
      </c>
      <c r="D11121" s="221">
        <f t="shared" si="1251"/>
        <v>46044</v>
      </c>
      <c r="E11121" s="233">
        <f t="shared" si="1255"/>
        <v>46044</v>
      </c>
      <c r="F11121" s="478" t="s">
        <v>1936</v>
      </c>
      <c r="G11121" s="222" t="s">
        <v>86</v>
      </c>
      <c r="H11121" s="222"/>
      <c r="I11121" s="223"/>
      <c r="J11121" s="224" t="s">
        <v>80</v>
      </c>
      <c r="K11121" s="225">
        <v>2138041.7000000002</v>
      </c>
      <c r="L11121" s="225"/>
      <c r="N11121" s="263"/>
    </row>
    <row r="11122" spans="1:14" ht="11.25" customHeight="1" x14ac:dyDescent="0.2">
      <c r="A11122" s="164">
        <v>2026</v>
      </c>
      <c r="B11122" s="164">
        <v>1</v>
      </c>
      <c r="C11122" s="164">
        <v>22</v>
      </c>
      <c r="D11122" s="164">
        <f t="shared" si="1251"/>
        <v>46044</v>
      </c>
      <c r="E11122" s="235">
        <f t="shared" si="1255"/>
        <v>46044</v>
      </c>
      <c r="F11122" s="480"/>
      <c r="G11122" s="208" t="s">
        <v>86</v>
      </c>
      <c r="H11122" s="208"/>
      <c r="J11122" s="165" t="s">
        <v>960</v>
      </c>
      <c r="K11122" s="205">
        <v>3848.48</v>
      </c>
      <c r="L11122" s="205"/>
      <c r="M11122" s="263"/>
      <c r="N11122" s="263"/>
    </row>
    <row r="11123" spans="1:14" ht="11.25" customHeight="1" x14ac:dyDescent="0.2">
      <c r="A11123" s="226">
        <v>2026</v>
      </c>
      <c r="B11123" s="226">
        <v>1</v>
      </c>
      <c r="C11123" s="226">
        <v>22</v>
      </c>
      <c r="D11123" s="226">
        <f t="shared" si="1251"/>
        <v>46044</v>
      </c>
      <c r="E11123" s="234">
        <f t="shared" si="1255"/>
        <v>46044</v>
      </c>
      <c r="F11123" s="479"/>
      <c r="G11123" s="227" t="s">
        <v>86</v>
      </c>
      <c r="H11123" s="227"/>
      <c r="I11123" s="228"/>
      <c r="J11123" s="229" t="s">
        <v>961</v>
      </c>
      <c r="K11123" s="294"/>
      <c r="L11123" s="230">
        <v>2141890.1800000002</v>
      </c>
      <c r="M11123" s="263"/>
      <c r="N11123" s="263"/>
    </row>
    <row r="11124" spans="1:14" ht="11.25" customHeight="1" x14ac:dyDescent="0.2">
      <c r="A11124" s="280">
        <v>2026</v>
      </c>
      <c r="B11124" s="280">
        <v>1</v>
      </c>
      <c r="C11124" s="280">
        <v>22</v>
      </c>
      <c r="D11124" s="281">
        <f t="shared" si="1251"/>
        <v>46044</v>
      </c>
      <c r="E11124" s="282">
        <f t="shared" si="1255"/>
        <v>46044</v>
      </c>
      <c r="F11124" s="472" t="s">
        <v>1744</v>
      </c>
      <c r="G11124" s="283" t="s">
        <v>86</v>
      </c>
      <c r="H11124" s="284"/>
      <c r="I11124" s="284"/>
      <c r="J11124" s="285" t="s">
        <v>131</v>
      </c>
      <c r="K11124" s="286">
        <v>2875</v>
      </c>
      <c r="L11124" s="286"/>
      <c r="M11124" s="401"/>
    </row>
    <row r="11125" spans="1:14" ht="11.25" customHeight="1" x14ac:dyDescent="0.2">
      <c r="A11125" s="287">
        <v>2026</v>
      </c>
      <c r="B11125" s="287">
        <v>1</v>
      </c>
      <c r="C11125" s="287">
        <v>22</v>
      </c>
      <c r="D11125" s="288">
        <f t="shared" si="1251"/>
        <v>46044</v>
      </c>
      <c r="E11125" s="289">
        <f t="shared" si="1255"/>
        <v>46044</v>
      </c>
      <c r="F11125" s="473"/>
      <c r="G11125" s="290" t="s">
        <v>86</v>
      </c>
      <c r="H11125" s="291"/>
      <c r="I11125" s="291"/>
      <c r="J11125" s="292" t="s">
        <v>1469</v>
      </c>
      <c r="K11125" s="293"/>
      <c r="L11125" s="293">
        <f>K11124</f>
        <v>2875</v>
      </c>
    </row>
    <row r="11126" spans="1:14" ht="11.25" customHeight="1" x14ac:dyDescent="0.2">
      <c r="A11126" s="280">
        <v>2026</v>
      </c>
      <c r="B11126" s="280">
        <v>1</v>
      </c>
      <c r="C11126" s="280">
        <v>22</v>
      </c>
      <c r="D11126" s="281">
        <f t="shared" si="1251"/>
        <v>46044</v>
      </c>
      <c r="E11126" s="282">
        <f t="shared" si="1255"/>
        <v>46044</v>
      </c>
      <c r="F11126" s="472" t="s">
        <v>1584</v>
      </c>
      <c r="G11126" s="283" t="s">
        <v>86</v>
      </c>
      <c r="H11126" s="284"/>
      <c r="I11126" s="284"/>
      <c r="J11126" s="285" t="s">
        <v>131</v>
      </c>
      <c r="K11126" s="286">
        <v>1277.7777777777778</v>
      </c>
      <c r="L11126" s="286"/>
      <c r="M11126" s="401"/>
    </row>
    <row r="11127" spans="1:14" ht="11.25" customHeight="1" x14ac:dyDescent="0.2">
      <c r="A11127" s="287">
        <v>2026</v>
      </c>
      <c r="B11127" s="287">
        <v>1</v>
      </c>
      <c r="C11127" s="287">
        <v>22</v>
      </c>
      <c r="D11127" s="288">
        <f t="shared" si="1251"/>
        <v>46044</v>
      </c>
      <c r="E11127" s="289">
        <f t="shared" si="1255"/>
        <v>46044</v>
      </c>
      <c r="F11127" s="473"/>
      <c r="G11127" s="290" t="s">
        <v>86</v>
      </c>
      <c r="H11127" s="291"/>
      <c r="I11127" s="291"/>
      <c r="J11127" s="292" t="s">
        <v>1469</v>
      </c>
      <c r="K11127" s="293"/>
      <c r="L11127" s="293">
        <f>K11126</f>
        <v>1277.7777777777778</v>
      </c>
    </row>
    <row r="11128" spans="1:14" ht="11.25" customHeight="1" x14ac:dyDescent="0.2">
      <c r="A11128" s="280">
        <v>2026</v>
      </c>
      <c r="B11128" s="280">
        <v>1</v>
      </c>
      <c r="C11128" s="280">
        <v>22</v>
      </c>
      <c r="D11128" s="281">
        <f t="shared" si="1251"/>
        <v>46044</v>
      </c>
      <c r="E11128" s="282">
        <f t="shared" si="1255"/>
        <v>46044</v>
      </c>
      <c r="F11128" s="472" t="s">
        <v>1955</v>
      </c>
      <c r="G11128" s="283" t="s">
        <v>86</v>
      </c>
      <c r="H11128" s="284"/>
      <c r="I11128" s="284"/>
      <c r="J11128" s="285" t="s">
        <v>1978</v>
      </c>
      <c r="K11128" s="286">
        <v>6185.4395604395604</v>
      </c>
      <c r="L11128" s="286"/>
      <c r="M11128" s="401"/>
    </row>
    <row r="11129" spans="1:14" ht="11.25" customHeight="1" x14ac:dyDescent="0.2">
      <c r="A11129" s="287">
        <v>2026</v>
      </c>
      <c r="B11129" s="287">
        <v>1</v>
      </c>
      <c r="C11129" s="287">
        <v>22</v>
      </c>
      <c r="D11129" s="288">
        <f t="shared" si="1251"/>
        <v>46044</v>
      </c>
      <c r="E11129" s="289">
        <f t="shared" si="1255"/>
        <v>46044</v>
      </c>
      <c r="F11129" s="473"/>
      <c r="G11129" s="290" t="s">
        <v>86</v>
      </c>
      <c r="H11129" s="291"/>
      <c r="I11129" s="291"/>
      <c r="J11129" s="292" t="s">
        <v>1955</v>
      </c>
      <c r="K11129" s="293"/>
      <c r="L11129" s="293">
        <f>K11128</f>
        <v>6185.4395604395604</v>
      </c>
    </row>
    <row r="11130" spans="1:14" ht="11.25" customHeight="1" x14ac:dyDescent="0.2">
      <c r="A11130" s="341">
        <v>2026</v>
      </c>
      <c r="B11130" s="341">
        <v>1</v>
      </c>
      <c r="C11130" s="341">
        <v>22</v>
      </c>
      <c r="D11130" s="328">
        <f t="shared" si="1251"/>
        <v>46044</v>
      </c>
      <c r="E11130" s="329">
        <f t="shared" si="1255"/>
        <v>46044</v>
      </c>
      <c r="F11130" s="474" t="s">
        <v>1767</v>
      </c>
      <c r="G11130" s="330" t="s">
        <v>86</v>
      </c>
      <c r="H11130" s="332"/>
      <c r="I11130" s="332"/>
      <c r="J11130" s="342" t="s">
        <v>67</v>
      </c>
      <c r="K11130" s="343">
        <v>1582.3299181944442</v>
      </c>
      <c r="L11130" s="343"/>
      <c r="M11130" s="166"/>
    </row>
    <row r="11131" spans="1:14" ht="11.25" customHeight="1" x14ac:dyDescent="0.2">
      <c r="A11131" s="344">
        <v>2026</v>
      </c>
      <c r="B11131" s="344">
        <v>1</v>
      </c>
      <c r="C11131" s="344">
        <v>22</v>
      </c>
      <c r="D11131" s="337">
        <f t="shared" si="1251"/>
        <v>46044</v>
      </c>
      <c r="E11131" s="338">
        <f t="shared" si="1255"/>
        <v>46044</v>
      </c>
      <c r="F11131" s="475"/>
      <c r="G11131" s="339" t="s">
        <v>86</v>
      </c>
      <c r="H11131" s="340"/>
      <c r="I11131" s="340"/>
      <c r="J11131" s="345" t="s">
        <v>1974</v>
      </c>
      <c r="K11131" s="346"/>
      <c r="L11131" s="346">
        <f>K11130</f>
        <v>1582.3299181944442</v>
      </c>
    </row>
    <row r="11132" spans="1:14" ht="11.25" customHeight="1" x14ac:dyDescent="0.2">
      <c r="A11132" s="236">
        <v>2026</v>
      </c>
      <c r="B11132" s="236">
        <v>1</v>
      </c>
      <c r="C11132" s="236">
        <v>22</v>
      </c>
      <c r="D11132" s="237">
        <f t="shared" si="1251"/>
        <v>46044</v>
      </c>
      <c r="E11132" s="238">
        <f t="shared" si="1255"/>
        <v>46044</v>
      </c>
      <c r="F11132" s="476" t="s">
        <v>1118</v>
      </c>
      <c r="G11132" s="239" t="s">
        <v>86</v>
      </c>
      <c r="H11132" s="239"/>
      <c r="I11132" s="240"/>
      <c r="J11132" s="241" t="s">
        <v>82</v>
      </c>
      <c r="K11132" s="242">
        <v>135120.23999997973</v>
      </c>
      <c r="L11132" s="242"/>
      <c r="M11132" s="166"/>
    </row>
    <row r="11133" spans="1:14" ht="11.25" customHeight="1" x14ac:dyDescent="0.2">
      <c r="A11133" s="243">
        <v>2026</v>
      </c>
      <c r="B11133" s="243">
        <v>1</v>
      </c>
      <c r="C11133" s="243">
        <v>22</v>
      </c>
      <c r="D11133" s="248">
        <f t="shared" si="1251"/>
        <v>46044</v>
      </c>
      <c r="E11133" s="249">
        <f t="shared" si="1255"/>
        <v>46044</v>
      </c>
      <c r="F11133" s="477"/>
      <c r="G11133" s="244" t="s">
        <v>86</v>
      </c>
      <c r="H11133" s="244"/>
      <c r="I11133" s="245"/>
      <c r="J11133" s="246" t="s">
        <v>98</v>
      </c>
      <c r="K11133" s="247"/>
      <c r="L11133" s="247">
        <f>K11132</f>
        <v>135120.23999997973</v>
      </c>
    </row>
    <row r="11134" spans="1:14" ht="11.25" customHeight="1" x14ac:dyDescent="0.2">
      <c r="A11134" s="236">
        <v>2026</v>
      </c>
      <c r="B11134" s="236">
        <v>1</v>
      </c>
      <c r="C11134" s="236">
        <v>22</v>
      </c>
      <c r="D11134" s="237">
        <f t="shared" si="1251"/>
        <v>46044</v>
      </c>
      <c r="E11134" s="238">
        <f t="shared" si="1255"/>
        <v>46044</v>
      </c>
      <c r="F11134" s="476" t="s">
        <v>1999</v>
      </c>
      <c r="G11134" s="239" t="s">
        <v>86</v>
      </c>
      <c r="H11134" s="239"/>
      <c r="I11134" s="240"/>
      <c r="J11134" s="241" t="s">
        <v>87</v>
      </c>
      <c r="K11134" s="242">
        <v>392.46467817896388</v>
      </c>
      <c r="L11134" s="242"/>
      <c r="M11134" s="401"/>
    </row>
    <row r="11135" spans="1:14" ht="11.25" customHeight="1" x14ac:dyDescent="0.2">
      <c r="A11135" s="243">
        <v>2026</v>
      </c>
      <c r="B11135" s="243">
        <v>1</v>
      </c>
      <c r="C11135" s="243">
        <v>22</v>
      </c>
      <c r="D11135" s="248">
        <f t="shared" si="1251"/>
        <v>46044</v>
      </c>
      <c r="E11135" s="249">
        <f t="shared" si="1255"/>
        <v>46044</v>
      </c>
      <c r="F11135" s="477"/>
      <c r="G11135" s="244" t="s">
        <v>86</v>
      </c>
      <c r="H11135" s="244"/>
      <c r="I11135" s="245"/>
      <c r="J11135" s="246" t="s">
        <v>64</v>
      </c>
      <c r="K11135" s="247"/>
      <c r="L11135" s="247">
        <f>K11134</f>
        <v>392.46467817896388</v>
      </c>
    </row>
    <row r="11136" spans="1:14" ht="11.25" customHeight="1" x14ac:dyDescent="0.2">
      <c r="A11136" s="236">
        <v>2026</v>
      </c>
      <c r="B11136" s="236">
        <v>1</v>
      </c>
      <c r="C11136" s="236">
        <v>22</v>
      </c>
      <c r="D11136" s="237">
        <f t="shared" si="1251"/>
        <v>46044</v>
      </c>
      <c r="E11136" s="238">
        <f t="shared" si="1255"/>
        <v>46044</v>
      </c>
      <c r="F11136" s="476" t="s">
        <v>2000</v>
      </c>
      <c r="G11136" s="239" t="s">
        <v>86</v>
      </c>
      <c r="H11136" s="239"/>
      <c r="I11136" s="240"/>
      <c r="J11136" s="241" t="s">
        <v>89</v>
      </c>
      <c r="K11136" s="242">
        <v>14466.792977066378</v>
      </c>
      <c r="L11136" s="242"/>
      <c r="M11136" s="448"/>
    </row>
    <row r="11137" spans="1:14" ht="11.25" customHeight="1" x14ac:dyDescent="0.2">
      <c r="A11137" s="243">
        <v>2026</v>
      </c>
      <c r="B11137" s="243">
        <v>1</v>
      </c>
      <c r="C11137" s="243">
        <v>22</v>
      </c>
      <c r="D11137" s="248">
        <f t="shared" si="1251"/>
        <v>46044</v>
      </c>
      <c r="E11137" s="249">
        <f t="shared" si="1255"/>
        <v>46044</v>
      </c>
      <c r="F11137" s="477"/>
      <c r="G11137" s="244" t="s">
        <v>86</v>
      </c>
      <c r="H11137" s="244"/>
      <c r="I11137" s="245"/>
      <c r="J11137" s="246" t="s">
        <v>50</v>
      </c>
      <c r="K11137" s="247"/>
      <c r="L11137" s="247">
        <f>K11136</f>
        <v>14466.792977066378</v>
      </c>
      <c r="M11137" s="448"/>
    </row>
    <row r="11138" spans="1:14" ht="11.25" customHeight="1" x14ac:dyDescent="0.2">
      <c r="A11138" s="236">
        <v>2026</v>
      </c>
      <c r="B11138" s="236">
        <v>1</v>
      </c>
      <c r="C11138" s="236">
        <v>22</v>
      </c>
      <c r="D11138" s="237">
        <f t="shared" si="1251"/>
        <v>46044</v>
      </c>
      <c r="E11138" s="238">
        <f t="shared" si="1255"/>
        <v>46044</v>
      </c>
      <c r="F11138" s="476" t="s">
        <v>2001</v>
      </c>
      <c r="G11138" s="239" t="s">
        <v>86</v>
      </c>
      <c r="H11138" s="239"/>
      <c r="I11138" s="240"/>
      <c r="J11138" s="241" t="s">
        <v>91</v>
      </c>
      <c r="K11138" s="242">
        <v>689.72759041248378</v>
      </c>
      <c r="L11138" s="242"/>
    </row>
    <row r="11139" spans="1:14" ht="11.25" customHeight="1" x14ac:dyDescent="0.2">
      <c r="A11139" s="243">
        <v>2026</v>
      </c>
      <c r="B11139" s="243">
        <v>1</v>
      </c>
      <c r="C11139" s="243">
        <v>22</v>
      </c>
      <c r="D11139" s="248">
        <f t="shared" si="1251"/>
        <v>46044</v>
      </c>
      <c r="E11139" s="249">
        <f t="shared" si="1255"/>
        <v>46044</v>
      </c>
      <c r="F11139" s="477"/>
      <c r="G11139" s="244" t="s">
        <v>86</v>
      </c>
      <c r="H11139" s="244"/>
      <c r="I11139" s="245"/>
      <c r="J11139" s="246" t="s">
        <v>51</v>
      </c>
      <c r="K11139" s="247"/>
      <c r="L11139" s="247">
        <f>K11138</f>
        <v>689.72759041248378</v>
      </c>
    </row>
    <row r="11140" spans="1:14" ht="11.25" customHeight="1" x14ac:dyDescent="0.2">
      <c r="A11140" s="221">
        <v>2026</v>
      </c>
      <c r="B11140" s="221">
        <v>1</v>
      </c>
      <c r="C11140" s="221">
        <v>25</v>
      </c>
      <c r="D11140" s="231">
        <f t="shared" si="1251"/>
        <v>46047</v>
      </c>
      <c r="E11140" s="233">
        <f>DATE(A11140,B11140,C11140)</f>
        <v>46047</v>
      </c>
      <c r="F11140" s="478" t="s">
        <v>1142</v>
      </c>
      <c r="G11140" s="222" t="s">
        <v>1111</v>
      </c>
      <c r="H11140" s="223"/>
      <c r="I11140" s="223"/>
      <c r="J11140" s="224" t="s">
        <v>189</v>
      </c>
      <c r="K11140" s="225">
        <v>1575</v>
      </c>
      <c r="L11140" s="225"/>
    </row>
    <row r="11141" spans="1:14" ht="11.25" customHeight="1" x14ac:dyDescent="0.2">
      <c r="A11141" s="164">
        <v>2026</v>
      </c>
      <c r="B11141" s="164">
        <v>1</v>
      </c>
      <c r="C11141" s="164">
        <v>25</v>
      </c>
      <c r="D11141" s="156">
        <f t="shared" si="1251"/>
        <v>46047</v>
      </c>
      <c r="E11141" s="235">
        <f>DATE(A11141,B11141,C11141)</f>
        <v>46047</v>
      </c>
      <c r="F11141" s="480"/>
      <c r="G11141" s="208" t="s">
        <v>1111</v>
      </c>
      <c r="J11141" s="165" t="s">
        <v>1707</v>
      </c>
      <c r="K11141" s="205"/>
      <c r="L11141" s="205">
        <v>75</v>
      </c>
    </row>
    <row r="11142" spans="1:14" ht="11.25" customHeight="1" x14ac:dyDescent="0.2">
      <c r="A11142" s="226">
        <v>2026</v>
      </c>
      <c r="B11142" s="226">
        <v>1</v>
      </c>
      <c r="C11142" s="226">
        <v>25</v>
      </c>
      <c r="D11142" s="232">
        <f t="shared" si="1251"/>
        <v>46047</v>
      </c>
      <c r="E11142" s="234">
        <f>DATE(A11142,B11142,C11142)</f>
        <v>46047</v>
      </c>
      <c r="F11142" s="479"/>
      <c r="G11142" s="227" t="s">
        <v>1111</v>
      </c>
      <c r="H11142" s="228"/>
      <c r="I11142" s="228"/>
      <c r="J11142" s="229" t="s">
        <v>55</v>
      </c>
      <c r="K11142" s="230"/>
      <c r="L11142" s="230">
        <v>1500</v>
      </c>
    </row>
    <row r="11143" spans="1:14" ht="11.25" customHeight="1" x14ac:dyDescent="0.2">
      <c r="A11143" s="221">
        <v>2026</v>
      </c>
      <c r="B11143" s="221">
        <v>1</v>
      </c>
      <c r="C11143" s="221">
        <v>25</v>
      </c>
      <c r="D11143" s="231">
        <f t="shared" si="1251"/>
        <v>46047</v>
      </c>
      <c r="E11143" s="233">
        <f t="shared" ref="E11143:E11167" si="1256">DATE(A11143,B11143,C11143)</f>
        <v>46047</v>
      </c>
      <c r="F11143" s="478" t="s">
        <v>1940</v>
      </c>
      <c r="G11143" s="222" t="s">
        <v>1111</v>
      </c>
      <c r="H11143" s="223"/>
      <c r="I11143" s="223"/>
      <c r="J11143" s="224" t="s">
        <v>961</v>
      </c>
      <c r="K11143" s="225">
        <v>2141890.1800000002</v>
      </c>
      <c r="L11143" s="225"/>
    </row>
    <row r="11144" spans="1:14" ht="11.25" customHeight="1" x14ac:dyDescent="0.2">
      <c r="A11144" s="226">
        <v>2026</v>
      </c>
      <c r="B11144" s="226">
        <v>1</v>
      </c>
      <c r="C11144" s="226">
        <v>25</v>
      </c>
      <c r="D11144" s="232">
        <f t="shared" si="1251"/>
        <v>46047</v>
      </c>
      <c r="E11144" s="234">
        <f t="shared" si="1256"/>
        <v>46047</v>
      </c>
      <c r="F11144" s="479"/>
      <c r="G11144" s="227" t="s">
        <v>1111</v>
      </c>
      <c r="H11144" s="228"/>
      <c r="I11144" s="228"/>
      <c r="J11144" s="229" t="s">
        <v>55</v>
      </c>
      <c r="K11144" s="230"/>
      <c r="L11144" s="230">
        <f>K11143</f>
        <v>2141890.1800000002</v>
      </c>
    </row>
    <row r="11145" spans="1:14" ht="11.25" customHeight="1" x14ac:dyDescent="0.2">
      <c r="A11145" s="221">
        <v>2026</v>
      </c>
      <c r="B11145" s="221">
        <v>1</v>
      </c>
      <c r="C11145" s="221">
        <v>25</v>
      </c>
      <c r="D11145" s="231">
        <f t="shared" ref="D11145:D11208" si="1257">DATE(A11145,B11145,C11145)</f>
        <v>46047</v>
      </c>
      <c r="E11145" s="233">
        <f t="shared" si="1256"/>
        <v>46047</v>
      </c>
      <c r="F11145" s="478" t="s">
        <v>1670</v>
      </c>
      <c r="G11145" s="222" t="s">
        <v>1111</v>
      </c>
      <c r="H11145" s="223"/>
      <c r="I11145" s="223"/>
      <c r="J11145" s="224" t="s">
        <v>63</v>
      </c>
      <c r="K11145" s="225">
        <v>100</v>
      </c>
      <c r="L11145" s="225"/>
    </row>
    <row r="11146" spans="1:14" ht="11.25" customHeight="1" x14ac:dyDescent="0.2">
      <c r="A11146" s="226">
        <v>2026</v>
      </c>
      <c r="B11146" s="226">
        <v>1</v>
      </c>
      <c r="C11146" s="226">
        <v>25</v>
      </c>
      <c r="D11146" s="232">
        <f t="shared" si="1257"/>
        <v>46047</v>
      </c>
      <c r="E11146" s="234">
        <f t="shared" si="1256"/>
        <v>46047</v>
      </c>
      <c r="F11146" s="479"/>
      <c r="G11146" s="227" t="s">
        <v>1111</v>
      </c>
      <c r="H11146" s="228"/>
      <c r="I11146" s="228"/>
      <c r="J11146" s="229" t="s">
        <v>55</v>
      </c>
      <c r="K11146" s="230"/>
      <c r="L11146" s="230">
        <f>K11145</f>
        <v>100</v>
      </c>
    </row>
    <row r="11147" spans="1:14" ht="11.25" customHeight="1" x14ac:dyDescent="0.2">
      <c r="A11147" s="221">
        <v>2026</v>
      </c>
      <c r="B11147" s="221">
        <v>1</v>
      </c>
      <c r="C11147" s="221">
        <v>25</v>
      </c>
      <c r="D11147" s="221">
        <f t="shared" si="1257"/>
        <v>46047</v>
      </c>
      <c r="E11147" s="233">
        <f t="shared" si="1256"/>
        <v>46047</v>
      </c>
      <c r="F11147" s="478" t="s">
        <v>1937</v>
      </c>
      <c r="G11147" s="222" t="s">
        <v>86</v>
      </c>
      <c r="H11147" s="222"/>
      <c r="I11147" s="223"/>
      <c r="J11147" s="224" t="s">
        <v>80</v>
      </c>
      <c r="K11147" s="225">
        <v>4054797</v>
      </c>
      <c r="L11147" s="225"/>
      <c r="N11147" s="263"/>
    </row>
    <row r="11148" spans="1:14" ht="11.25" customHeight="1" x14ac:dyDescent="0.2">
      <c r="A11148" s="164">
        <v>2026</v>
      </c>
      <c r="B11148" s="164">
        <v>1</v>
      </c>
      <c r="C11148" s="164">
        <v>25</v>
      </c>
      <c r="D11148" s="164">
        <f t="shared" si="1257"/>
        <v>46047</v>
      </c>
      <c r="E11148" s="235">
        <f t="shared" si="1256"/>
        <v>46047</v>
      </c>
      <c r="F11148" s="480"/>
      <c r="G11148" s="208" t="s">
        <v>86</v>
      </c>
      <c r="H11148" s="208"/>
      <c r="J11148" s="165" t="s">
        <v>960</v>
      </c>
      <c r="K11148" s="205">
        <v>13518.51</v>
      </c>
      <c r="L11148" s="205"/>
      <c r="M11148" s="263"/>
      <c r="N11148" s="263"/>
    </row>
    <row r="11149" spans="1:14" ht="11.25" customHeight="1" x14ac:dyDescent="0.2">
      <c r="A11149" s="164">
        <v>2026</v>
      </c>
      <c r="B11149" s="164">
        <v>1</v>
      </c>
      <c r="C11149" s="164">
        <v>25</v>
      </c>
      <c r="D11149" s="164">
        <f t="shared" si="1257"/>
        <v>46047</v>
      </c>
      <c r="E11149" s="235">
        <f t="shared" si="1256"/>
        <v>46047</v>
      </c>
      <c r="F11149" s="480"/>
      <c r="G11149" s="208" t="s">
        <v>86</v>
      </c>
      <c r="H11149" s="208"/>
      <c r="J11149" s="165" t="s">
        <v>961</v>
      </c>
      <c r="K11149" s="263"/>
      <c r="L11149" s="205">
        <v>612827.01</v>
      </c>
      <c r="M11149" s="263"/>
      <c r="N11149" s="263"/>
    </row>
    <row r="11150" spans="1:14" ht="11.25" customHeight="1" x14ac:dyDescent="0.2">
      <c r="A11150" s="164">
        <v>2026</v>
      </c>
      <c r="B11150" s="164">
        <v>1</v>
      </c>
      <c r="C11150" s="164">
        <v>25</v>
      </c>
      <c r="D11150" s="164">
        <f t="shared" si="1257"/>
        <v>46047</v>
      </c>
      <c r="E11150" s="235">
        <f t="shared" si="1256"/>
        <v>46047</v>
      </c>
      <c r="F11150" s="480"/>
      <c r="G11150" s="208" t="s">
        <v>86</v>
      </c>
      <c r="H11150" s="208"/>
      <c r="J11150" s="165" t="s">
        <v>200</v>
      </c>
      <c r="K11150" s="205"/>
      <c r="L11150" s="205">
        <v>199366.1</v>
      </c>
      <c r="M11150" s="263"/>
      <c r="N11150" s="263"/>
    </row>
    <row r="11151" spans="1:14" ht="11.25" customHeight="1" x14ac:dyDescent="0.2">
      <c r="A11151" s="226">
        <v>2026</v>
      </c>
      <c r="B11151" s="226">
        <v>1</v>
      </c>
      <c r="C11151" s="226">
        <v>25</v>
      </c>
      <c r="D11151" s="226">
        <f t="shared" si="1257"/>
        <v>46047</v>
      </c>
      <c r="E11151" s="234">
        <f t="shared" si="1256"/>
        <v>46047</v>
      </c>
      <c r="F11151" s="479"/>
      <c r="G11151" s="227" t="s">
        <v>86</v>
      </c>
      <c r="H11151" s="228"/>
      <c r="I11151" s="228"/>
      <c r="J11151" s="229" t="s">
        <v>80</v>
      </c>
      <c r="K11151" s="230"/>
      <c r="L11151" s="230">
        <v>3256122.4</v>
      </c>
      <c r="M11151" s="263"/>
      <c r="N11151" s="263"/>
    </row>
    <row r="11152" spans="1:14" ht="11.25" customHeight="1" x14ac:dyDescent="0.2">
      <c r="A11152" s="280">
        <v>2026</v>
      </c>
      <c r="B11152" s="280">
        <v>1</v>
      </c>
      <c r="C11152" s="280">
        <v>25</v>
      </c>
      <c r="D11152" s="281">
        <f t="shared" si="1257"/>
        <v>46047</v>
      </c>
      <c r="E11152" s="282">
        <f t="shared" si="1256"/>
        <v>46047</v>
      </c>
      <c r="F11152" s="472" t="s">
        <v>1744</v>
      </c>
      <c r="G11152" s="283" t="s">
        <v>86</v>
      </c>
      <c r="H11152" s="284"/>
      <c r="I11152" s="284"/>
      <c r="J11152" s="285" t="s">
        <v>131</v>
      </c>
      <c r="K11152" s="286">
        <v>8625</v>
      </c>
      <c r="L11152" s="286"/>
      <c r="M11152" s="401"/>
    </row>
    <row r="11153" spans="1:13" ht="11.25" customHeight="1" x14ac:dyDescent="0.2">
      <c r="A11153" s="287">
        <v>2026</v>
      </c>
      <c r="B11153" s="287">
        <v>1</v>
      </c>
      <c r="C11153" s="287">
        <v>25</v>
      </c>
      <c r="D11153" s="288">
        <f t="shared" si="1257"/>
        <v>46047</v>
      </c>
      <c r="E11153" s="289">
        <f t="shared" si="1256"/>
        <v>46047</v>
      </c>
      <c r="F11153" s="473"/>
      <c r="G11153" s="290" t="s">
        <v>86</v>
      </c>
      <c r="H11153" s="291"/>
      <c r="I11153" s="291"/>
      <c r="J11153" s="292" t="s">
        <v>1469</v>
      </c>
      <c r="K11153" s="293"/>
      <c r="L11153" s="293">
        <f>K11152</f>
        <v>8625</v>
      </c>
    </row>
    <row r="11154" spans="1:13" ht="11.25" customHeight="1" x14ac:dyDescent="0.2">
      <c r="A11154" s="280">
        <v>2026</v>
      </c>
      <c r="B11154" s="280">
        <v>1</v>
      </c>
      <c r="C11154" s="280">
        <v>25</v>
      </c>
      <c r="D11154" s="281">
        <f t="shared" si="1257"/>
        <v>46047</v>
      </c>
      <c r="E11154" s="282">
        <f t="shared" si="1256"/>
        <v>46047</v>
      </c>
      <c r="F11154" s="472" t="s">
        <v>1584</v>
      </c>
      <c r="G11154" s="283" t="s">
        <v>86</v>
      </c>
      <c r="H11154" s="284"/>
      <c r="I11154" s="284"/>
      <c r="J11154" s="285" t="s">
        <v>131</v>
      </c>
      <c r="K11154" s="286">
        <v>3833.3333333333335</v>
      </c>
      <c r="L11154" s="286"/>
      <c r="M11154" s="401"/>
    </row>
    <row r="11155" spans="1:13" ht="11.25" customHeight="1" x14ac:dyDescent="0.2">
      <c r="A11155" s="287">
        <v>2026</v>
      </c>
      <c r="B11155" s="287">
        <v>1</v>
      </c>
      <c r="C11155" s="287">
        <v>25</v>
      </c>
      <c r="D11155" s="288">
        <f t="shared" si="1257"/>
        <v>46047</v>
      </c>
      <c r="E11155" s="289">
        <f t="shared" si="1256"/>
        <v>46047</v>
      </c>
      <c r="F11155" s="473"/>
      <c r="G11155" s="290" t="s">
        <v>86</v>
      </c>
      <c r="H11155" s="291"/>
      <c r="I11155" s="291"/>
      <c r="J11155" s="292" t="s">
        <v>1469</v>
      </c>
      <c r="K11155" s="293"/>
      <c r="L11155" s="293">
        <f>K11154</f>
        <v>3833.3333333333335</v>
      </c>
    </row>
    <row r="11156" spans="1:13" ht="11.25" customHeight="1" x14ac:dyDescent="0.2">
      <c r="A11156" s="280">
        <v>2026</v>
      </c>
      <c r="B11156" s="280">
        <v>1</v>
      </c>
      <c r="C11156" s="280">
        <v>25</v>
      </c>
      <c r="D11156" s="281">
        <f t="shared" si="1257"/>
        <v>46047</v>
      </c>
      <c r="E11156" s="282">
        <f t="shared" si="1256"/>
        <v>46047</v>
      </c>
      <c r="F11156" s="472" t="s">
        <v>1955</v>
      </c>
      <c r="G11156" s="283" t="s">
        <v>86</v>
      </c>
      <c r="H11156" s="284"/>
      <c r="I11156" s="284"/>
      <c r="J11156" s="285" t="s">
        <v>1978</v>
      </c>
      <c r="K11156" s="286">
        <v>18556.31868131868</v>
      </c>
      <c r="L11156" s="286"/>
      <c r="M11156" s="401"/>
    </row>
    <row r="11157" spans="1:13" ht="11.25" customHeight="1" x14ac:dyDescent="0.2">
      <c r="A11157" s="287">
        <v>2026</v>
      </c>
      <c r="B11157" s="287">
        <v>1</v>
      </c>
      <c r="C11157" s="287">
        <v>25</v>
      </c>
      <c r="D11157" s="288">
        <f t="shared" si="1257"/>
        <v>46047</v>
      </c>
      <c r="E11157" s="289">
        <f t="shared" si="1256"/>
        <v>46047</v>
      </c>
      <c r="F11157" s="473"/>
      <c r="G11157" s="290" t="s">
        <v>86</v>
      </c>
      <c r="H11157" s="291"/>
      <c r="I11157" s="291"/>
      <c r="J11157" s="292" t="s">
        <v>1955</v>
      </c>
      <c r="K11157" s="293"/>
      <c r="L11157" s="293">
        <f>K11156</f>
        <v>18556.31868131868</v>
      </c>
    </row>
    <row r="11158" spans="1:13" ht="11.25" customHeight="1" x14ac:dyDescent="0.2">
      <c r="A11158" s="341">
        <v>2026</v>
      </c>
      <c r="B11158" s="341">
        <v>1</v>
      </c>
      <c r="C11158" s="341">
        <v>25</v>
      </c>
      <c r="D11158" s="328">
        <f t="shared" si="1257"/>
        <v>46047</v>
      </c>
      <c r="E11158" s="329">
        <f t="shared" si="1256"/>
        <v>46047</v>
      </c>
      <c r="F11158" s="474" t="s">
        <v>1767</v>
      </c>
      <c r="G11158" s="330" t="s">
        <v>86</v>
      </c>
      <c r="H11158" s="332"/>
      <c r="I11158" s="332"/>
      <c r="J11158" s="342" t="s">
        <v>67</v>
      </c>
      <c r="K11158" s="343">
        <v>4300.43</v>
      </c>
      <c r="L11158" s="343"/>
      <c r="M11158" s="166"/>
    </row>
    <row r="11159" spans="1:13" ht="11.25" customHeight="1" x14ac:dyDescent="0.2">
      <c r="A11159" s="344">
        <v>2026</v>
      </c>
      <c r="B11159" s="344">
        <v>1</v>
      </c>
      <c r="C11159" s="344">
        <v>25</v>
      </c>
      <c r="D11159" s="337">
        <f t="shared" si="1257"/>
        <v>46047</v>
      </c>
      <c r="E11159" s="338">
        <f t="shared" si="1256"/>
        <v>46047</v>
      </c>
      <c r="F11159" s="475"/>
      <c r="G11159" s="339" t="s">
        <v>86</v>
      </c>
      <c r="H11159" s="340"/>
      <c r="I11159" s="340"/>
      <c r="J11159" s="345" t="s">
        <v>1974</v>
      </c>
      <c r="K11159" s="346"/>
      <c r="L11159" s="346">
        <f>K11158</f>
        <v>4300.43</v>
      </c>
    </row>
    <row r="11160" spans="1:13" ht="11.25" customHeight="1" x14ac:dyDescent="0.2">
      <c r="A11160" s="236">
        <v>2026</v>
      </c>
      <c r="B11160" s="236">
        <v>1</v>
      </c>
      <c r="C11160" s="236">
        <v>25</v>
      </c>
      <c r="D11160" s="237">
        <f t="shared" si="1257"/>
        <v>46047</v>
      </c>
      <c r="E11160" s="238">
        <f t="shared" si="1256"/>
        <v>46047</v>
      </c>
      <c r="F11160" s="476" t="s">
        <v>1118</v>
      </c>
      <c r="G11160" s="239" t="s">
        <v>86</v>
      </c>
      <c r="H11160" s="239"/>
      <c r="I11160" s="240"/>
      <c r="J11160" s="241" t="s">
        <v>82</v>
      </c>
      <c r="K11160" s="242">
        <v>1512687.5600000024</v>
      </c>
      <c r="L11160" s="242"/>
      <c r="M11160" s="166"/>
    </row>
    <row r="11161" spans="1:13" ht="11.25" customHeight="1" x14ac:dyDescent="0.2">
      <c r="A11161" s="243">
        <v>2026</v>
      </c>
      <c r="B11161" s="243">
        <v>1</v>
      </c>
      <c r="C11161" s="243">
        <v>25</v>
      </c>
      <c r="D11161" s="248">
        <f t="shared" si="1257"/>
        <v>46047</v>
      </c>
      <c r="E11161" s="249">
        <f t="shared" si="1256"/>
        <v>46047</v>
      </c>
      <c r="F11161" s="477"/>
      <c r="G11161" s="244" t="s">
        <v>86</v>
      </c>
      <c r="H11161" s="244"/>
      <c r="I11161" s="245"/>
      <c r="J11161" s="246" t="s">
        <v>98</v>
      </c>
      <c r="K11161" s="247"/>
      <c r="L11161" s="247">
        <f>K11160</f>
        <v>1512687.5600000024</v>
      </c>
    </row>
    <row r="11162" spans="1:13" ht="11.25" customHeight="1" x14ac:dyDescent="0.2">
      <c r="A11162" s="236">
        <v>2026</v>
      </c>
      <c r="B11162" s="236">
        <v>1</v>
      </c>
      <c r="C11162" s="236">
        <v>25</v>
      </c>
      <c r="D11162" s="237">
        <f t="shared" si="1257"/>
        <v>46047</v>
      </c>
      <c r="E11162" s="238">
        <f t="shared" si="1256"/>
        <v>46047</v>
      </c>
      <c r="F11162" s="476" t="s">
        <v>1999</v>
      </c>
      <c r="G11162" s="239" t="s">
        <v>86</v>
      </c>
      <c r="H11162" s="239"/>
      <c r="I11162" s="240"/>
      <c r="J11162" s="241" t="s">
        <v>87</v>
      </c>
      <c r="K11162" s="242">
        <v>1177.3940345368917</v>
      </c>
      <c r="L11162" s="242"/>
      <c r="M11162" s="401"/>
    </row>
    <row r="11163" spans="1:13" ht="11.25" customHeight="1" x14ac:dyDescent="0.2">
      <c r="A11163" s="243">
        <v>2026</v>
      </c>
      <c r="B11163" s="243">
        <v>1</v>
      </c>
      <c r="C11163" s="243">
        <v>25</v>
      </c>
      <c r="D11163" s="248">
        <f t="shared" si="1257"/>
        <v>46047</v>
      </c>
      <c r="E11163" s="249">
        <f t="shared" si="1256"/>
        <v>46047</v>
      </c>
      <c r="F11163" s="477"/>
      <c r="G11163" s="244" t="s">
        <v>86</v>
      </c>
      <c r="H11163" s="244"/>
      <c r="I11163" s="245"/>
      <c r="J11163" s="246" t="s">
        <v>64</v>
      </c>
      <c r="K11163" s="247"/>
      <c r="L11163" s="247">
        <f>K11162</f>
        <v>1177.3940345368917</v>
      </c>
    </row>
    <row r="11164" spans="1:13" ht="11.25" customHeight="1" x14ac:dyDescent="0.2">
      <c r="A11164" s="236">
        <v>2026</v>
      </c>
      <c r="B11164" s="236">
        <v>1</v>
      </c>
      <c r="C11164" s="236">
        <v>25</v>
      </c>
      <c r="D11164" s="237">
        <f t="shared" si="1257"/>
        <v>46047</v>
      </c>
      <c r="E11164" s="238">
        <f t="shared" si="1256"/>
        <v>46047</v>
      </c>
      <c r="F11164" s="476" t="s">
        <v>2000</v>
      </c>
      <c r="G11164" s="239" t="s">
        <v>86</v>
      </c>
      <c r="H11164" s="239"/>
      <c r="I11164" s="240"/>
      <c r="J11164" s="241" t="s">
        <v>89</v>
      </c>
      <c r="K11164" s="242">
        <v>43228.237764322534</v>
      </c>
      <c r="L11164" s="242"/>
      <c r="M11164" s="448"/>
    </row>
    <row r="11165" spans="1:13" ht="11.25" customHeight="1" x14ac:dyDescent="0.2">
      <c r="A11165" s="243">
        <v>2026</v>
      </c>
      <c r="B11165" s="243">
        <v>1</v>
      </c>
      <c r="C11165" s="243">
        <v>25</v>
      </c>
      <c r="D11165" s="248">
        <f t="shared" si="1257"/>
        <v>46047</v>
      </c>
      <c r="E11165" s="249">
        <f t="shared" si="1256"/>
        <v>46047</v>
      </c>
      <c r="F11165" s="477"/>
      <c r="G11165" s="244" t="s">
        <v>86</v>
      </c>
      <c r="H11165" s="244"/>
      <c r="I11165" s="245"/>
      <c r="J11165" s="246" t="s">
        <v>50</v>
      </c>
      <c r="K11165" s="247"/>
      <c r="L11165" s="247">
        <f>K11164</f>
        <v>43228.237764322534</v>
      </c>
      <c r="M11165" s="448"/>
    </row>
    <row r="11166" spans="1:13" ht="11.25" customHeight="1" x14ac:dyDescent="0.2">
      <c r="A11166" s="236">
        <v>2026</v>
      </c>
      <c r="B11166" s="236">
        <v>1</v>
      </c>
      <c r="C11166" s="236">
        <v>25</v>
      </c>
      <c r="D11166" s="237">
        <f t="shared" si="1257"/>
        <v>46047</v>
      </c>
      <c r="E11166" s="238">
        <f t="shared" si="1256"/>
        <v>46047</v>
      </c>
      <c r="F11166" s="476" t="s">
        <v>2001</v>
      </c>
      <c r="G11166" s="239" t="s">
        <v>86</v>
      </c>
      <c r="H11166" s="239"/>
      <c r="I11166" s="240"/>
      <c r="J11166" s="241" t="s">
        <v>91</v>
      </c>
      <c r="K11166" s="242">
        <v>2058.3899101941488</v>
      </c>
      <c r="L11166" s="242"/>
    </row>
    <row r="11167" spans="1:13" ht="11.25" customHeight="1" x14ac:dyDescent="0.2">
      <c r="A11167" s="243">
        <v>2026</v>
      </c>
      <c r="B11167" s="243">
        <v>1</v>
      </c>
      <c r="C11167" s="243">
        <v>25</v>
      </c>
      <c r="D11167" s="248">
        <f t="shared" si="1257"/>
        <v>46047</v>
      </c>
      <c r="E11167" s="249">
        <f t="shared" si="1256"/>
        <v>46047</v>
      </c>
      <c r="F11167" s="477"/>
      <c r="G11167" s="244" t="s">
        <v>86</v>
      </c>
      <c r="H11167" s="244"/>
      <c r="I11167" s="245"/>
      <c r="J11167" s="246" t="s">
        <v>51</v>
      </c>
      <c r="K11167" s="247"/>
      <c r="L11167" s="247">
        <f>K11166</f>
        <v>2058.3899101941488</v>
      </c>
    </row>
    <row r="11168" spans="1:13" ht="11.25" customHeight="1" x14ac:dyDescent="0.2">
      <c r="A11168" s="221">
        <v>2026</v>
      </c>
      <c r="B11168" s="221">
        <v>1</v>
      </c>
      <c r="C11168" s="221">
        <v>26</v>
      </c>
      <c r="D11168" s="231">
        <f t="shared" si="1257"/>
        <v>46048</v>
      </c>
      <c r="E11168" s="233">
        <f t="shared" ref="E11168:E11195" si="1258">DATE(A11168,B11168,C11168)</f>
        <v>46048</v>
      </c>
      <c r="F11168" s="478" t="s">
        <v>1940</v>
      </c>
      <c r="G11168" s="222" t="s">
        <v>1111</v>
      </c>
      <c r="H11168" s="223"/>
      <c r="I11168" s="223"/>
      <c r="J11168" s="224" t="s">
        <v>961</v>
      </c>
      <c r="K11168" s="225">
        <v>612827.01</v>
      </c>
      <c r="L11168" s="225"/>
    </row>
    <row r="11169" spans="1:14" ht="11.25" customHeight="1" x14ac:dyDescent="0.2">
      <c r="A11169" s="226">
        <v>2026</v>
      </c>
      <c r="B11169" s="226">
        <v>1</v>
      </c>
      <c r="C11169" s="226">
        <v>26</v>
      </c>
      <c r="D11169" s="232">
        <f t="shared" si="1257"/>
        <v>46048</v>
      </c>
      <c r="E11169" s="234">
        <f t="shared" si="1258"/>
        <v>46048</v>
      </c>
      <c r="F11169" s="479"/>
      <c r="G11169" s="227" t="s">
        <v>1111</v>
      </c>
      <c r="H11169" s="228"/>
      <c r="I11169" s="228"/>
      <c r="J11169" s="229" t="s">
        <v>55</v>
      </c>
      <c r="K11169" s="230"/>
      <c r="L11169" s="230">
        <f>K11168</f>
        <v>612827.01</v>
      </c>
    </row>
    <row r="11170" spans="1:14" ht="11.25" customHeight="1" x14ac:dyDescent="0.2">
      <c r="A11170" s="221">
        <v>2026</v>
      </c>
      <c r="B11170" s="221">
        <v>1</v>
      </c>
      <c r="C11170" s="221">
        <v>26</v>
      </c>
      <c r="D11170" s="231">
        <f t="shared" si="1257"/>
        <v>46048</v>
      </c>
      <c r="E11170" s="233">
        <f t="shared" si="1258"/>
        <v>46048</v>
      </c>
      <c r="F11170" s="478" t="s">
        <v>1670</v>
      </c>
      <c r="G11170" s="222" t="s">
        <v>1111</v>
      </c>
      <c r="H11170" s="223"/>
      <c r="I11170" s="223"/>
      <c r="J11170" s="224" t="s">
        <v>63</v>
      </c>
      <c r="K11170" s="225">
        <v>100</v>
      </c>
      <c r="L11170" s="225"/>
    </row>
    <row r="11171" spans="1:14" ht="11.25" customHeight="1" x14ac:dyDescent="0.2">
      <c r="A11171" s="226">
        <v>2026</v>
      </c>
      <c r="B11171" s="226">
        <v>1</v>
      </c>
      <c r="C11171" s="226">
        <v>26</v>
      </c>
      <c r="D11171" s="232">
        <f t="shared" si="1257"/>
        <v>46048</v>
      </c>
      <c r="E11171" s="234">
        <f t="shared" si="1258"/>
        <v>46048</v>
      </c>
      <c r="F11171" s="479"/>
      <c r="G11171" s="227" t="s">
        <v>1111</v>
      </c>
      <c r="H11171" s="228"/>
      <c r="I11171" s="228"/>
      <c r="J11171" s="229" t="s">
        <v>55</v>
      </c>
      <c r="K11171" s="230"/>
      <c r="L11171" s="230">
        <f>K11170</f>
        <v>100</v>
      </c>
    </row>
    <row r="11172" spans="1:14" ht="11.25" customHeight="1" x14ac:dyDescent="0.2">
      <c r="A11172" s="221">
        <v>2026</v>
      </c>
      <c r="B11172" s="221">
        <v>1</v>
      </c>
      <c r="C11172" s="221">
        <v>26</v>
      </c>
      <c r="D11172" s="221">
        <f t="shared" si="1257"/>
        <v>46048</v>
      </c>
      <c r="E11172" s="233">
        <f t="shared" si="1258"/>
        <v>46048</v>
      </c>
      <c r="F11172" s="478" t="s">
        <v>1937</v>
      </c>
      <c r="G11172" s="222" t="s">
        <v>86</v>
      </c>
      <c r="H11172" s="222"/>
      <c r="I11172" s="223"/>
      <c r="J11172" s="224" t="s">
        <v>80</v>
      </c>
      <c r="K11172" s="225">
        <v>2139831.4</v>
      </c>
      <c r="L11172" s="225"/>
      <c r="N11172" s="263"/>
    </row>
    <row r="11173" spans="1:14" ht="11.25" customHeight="1" x14ac:dyDescent="0.2">
      <c r="A11173" s="164">
        <v>2026</v>
      </c>
      <c r="B11173" s="164">
        <v>1</v>
      </c>
      <c r="C11173" s="164">
        <v>26</v>
      </c>
      <c r="D11173" s="164">
        <f t="shared" si="1257"/>
        <v>46048</v>
      </c>
      <c r="E11173" s="235">
        <f t="shared" si="1258"/>
        <v>46048</v>
      </c>
      <c r="F11173" s="480"/>
      <c r="G11173" s="208" t="s">
        <v>86</v>
      </c>
      <c r="H11173" s="208"/>
      <c r="J11173" s="165" t="s">
        <v>960</v>
      </c>
      <c r="K11173" s="205">
        <v>6719.07</v>
      </c>
      <c r="L11173" s="205"/>
      <c r="M11173" s="263"/>
      <c r="N11173" s="263"/>
    </row>
    <row r="11174" spans="1:14" ht="11.25" customHeight="1" x14ac:dyDescent="0.2">
      <c r="A11174" s="164">
        <v>2026</v>
      </c>
      <c r="B11174" s="164">
        <v>1</v>
      </c>
      <c r="C11174" s="164">
        <v>26</v>
      </c>
      <c r="D11174" s="164">
        <f t="shared" si="1257"/>
        <v>46048</v>
      </c>
      <c r="E11174" s="235">
        <f t="shared" si="1258"/>
        <v>46048</v>
      </c>
      <c r="F11174" s="480"/>
      <c r="G11174" s="208" t="s">
        <v>86</v>
      </c>
      <c r="H11174" s="208"/>
      <c r="J11174" s="165" t="s">
        <v>961</v>
      </c>
      <c r="K11174" s="263"/>
      <c r="L11174" s="205">
        <v>553566.47</v>
      </c>
      <c r="M11174" s="263"/>
      <c r="N11174" s="263"/>
    </row>
    <row r="11175" spans="1:14" ht="11.25" customHeight="1" x14ac:dyDescent="0.2">
      <c r="A11175" s="164">
        <v>2026</v>
      </c>
      <c r="B11175" s="164">
        <v>1</v>
      </c>
      <c r="C11175" s="164">
        <v>26</v>
      </c>
      <c r="D11175" s="164">
        <f t="shared" si="1257"/>
        <v>46048</v>
      </c>
      <c r="E11175" s="235">
        <f t="shared" si="1258"/>
        <v>46048</v>
      </c>
      <c r="F11175" s="480"/>
      <c r="G11175" s="208" t="s">
        <v>86</v>
      </c>
      <c r="H11175" s="208"/>
      <c r="J11175" s="165" t="s">
        <v>200</v>
      </c>
      <c r="K11175" s="205"/>
      <c r="L11175" s="205">
        <v>83249.31</v>
      </c>
      <c r="M11175" s="263"/>
      <c r="N11175" s="263"/>
    </row>
    <row r="11176" spans="1:14" ht="11.25" customHeight="1" x14ac:dyDescent="0.2">
      <c r="A11176" s="226">
        <v>2026</v>
      </c>
      <c r="B11176" s="226">
        <v>1</v>
      </c>
      <c r="C11176" s="226">
        <v>26</v>
      </c>
      <c r="D11176" s="226">
        <f t="shared" si="1257"/>
        <v>46048</v>
      </c>
      <c r="E11176" s="234">
        <f t="shared" si="1258"/>
        <v>46048</v>
      </c>
      <c r="F11176" s="479"/>
      <c r="G11176" s="227" t="s">
        <v>86</v>
      </c>
      <c r="H11176" s="228"/>
      <c r="I11176" s="228"/>
      <c r="J11176" s="229" t="s">
        <v>80</v>
      </c>
      <c r="K11176" s="230"/>
      <c r="L11176" s="230">
        <v>1509734.69</v>
      </c>
      <c r="M11176" s="263"/>
      <c r="N11176" s="263"/>
    </row>
    <row r="11177" spans="1:14" ht="11.25" customHeight="1" x14ac:dyDescent="0.2">
      <c r="A11177" s="221">
        <v>2026</v>
      </c>
      <c r="B11177" s="221">
        <v>1</v>
      </c>
      <c r="C11177" s="221">
        <v>26</v>
      </c>
      <c r="D11177" s="231">
        <f t="shared" si="1257"/>
        <v>46048</v>
      </c>
      <c r="E11177" s="233">
        <f t="shared" si="1258"/>
        <v>46048</v>
      </c>
      <c r="F11177" s="478" t="s">
        <v>1132</v>
      </c>
      <c r="G11177" s="222" t="s">
        <v>1111</v>
      </c>
      <c r="H11177" s="223"/>
      <c r="I11177" s="223"/>
      <c r="J11177" s="224" t="s">
        <v>55</v>
      </c>
      <c r="K11177" s="167">
        <v>67000</v>
      </c>
      <c r="L11177" s="225"/>
    </row>
    <row r="11178" spans="1:14" ht="11.25" customHeight="1" x14ac:dyDescent="0.2">
      <c r="A11178" s="164">
        <v>2026</v>
      </c>
      <c r="B11178" s="164">
        <v>1</v>
      </c>
      <c r="C11178" s="164">
        <v>26</v>
      </c>
      <c r="D11178" s="156">
        <f t="shared" si="1257"/>
        <v>46048</v>
      </c>
      <c r="E11178" s="235">
        <f t="shared" si="1258"/>
        <v>46048</v>
      </c>
      <c r="F11178" s="480"/>
      <c r="G11178" s="208" t="s">
        <v>1111</v>
      </c>
      <c r="J11178" s="165" t="s">
        <v>14</v>
      </c>
      <c r="L11178" s="205">
        <v>55220</v>
      </c>
    </row>
    <row r="11179" spans="1:14" ht="11.25" customHeight="1" x14ac:dyDescent="0.2">
      <c r="A11179" s="226">
        <v>2026</v>
      </c>
      <c r="B11179" s="226">
        <v>1</v>
      </c>
      <c r="C11179" s="226">
        <v>26</v>
      </c>
      <c r="D11179" s="232">
        <f t="shared" si="1257"/>
        <v>46048</v>
      </c>
      <c r="E11179" s="234">
        <f t="shared" si="1258"/>
        <v>46048</v>
      </c>
      <c r="F11179" s="479"/>
      <c r="G11179" s="227" t="s">
        <v>1111</v>
      </c>
      <c r="H11179" s="228"/>
      <c r="I11179" s="228"/>
      <c r="J11179" s="229" t="s">
        <v>1112</v>
      </c>
      <c r="K11179" s="230"/>
      <c r="L11179" s="230">
        <v>11780</v>
      </c>
    </row>
    <row r="11180" spans="1:14" ht="11.25" customHeight="1" x14ac:dyDescent="0.2">
      <c r="A11180" s="280">
        <v>2026</v>
      </c>
      <c r="B11180" s="280">
        <v>1</v>
      </c>
      <c r="C11180" s="280">
        <v>26</v>
      </c>
      <c r="D11180" s="281">
        <f t="shared" si="1257"/>
        <v>46048</v>
      </c>
      <c r="E11180" s="282">
        <f t="shared" si="1258"/>
        <v>46048</v>
      </c>
      <c r="F11180" s="472" t="s">
        <v>1744</v>
      </c>
      <c r="G11180" s="283" t="s">
        <v>86</v>
      </c>
      <c r="H11180" s="284"/>
      <c r="I11180" s="284"/>
      <c r="J11180" s="285" t="s">
        <v>131</v>
      </c>
      <c r="K11180" s="286">
        <v>2875</v>
      </c>
      <c r="L11180" s="286"/>
      <c r="M11180" s="401"/>
    </row>
    <row r="11181" spans="1:14" ht="11.25" customHeight="1" x14ac:dyDescent="0.2">
      <c r="A11181" s="287">
        <v>2026</v>
      </c>
      <c r="B11181" s="287">
        <v>1</v>
      </c>
      <c r="C11181" s="287">
        <v>26</v>
      </c>
      <c r="D11181" s="288">
        <f t="shared" si="1257"/>
        <v>46048</v>
      </c>
      <c r="E11181" s="289">
        <f t="shared" si="1258"/>
        <v>46048</v>
      </c>
      <c r="F11181" s="473"/>
      <c r="G11181" s="290" t="s">
        <v>86</v>
      </c>
      <c r="H11181" s="291"/>
      <c r="I11181" s="291"/>
      <c r="J11181" s="292" t="s">
        <v>1469</v>
      </c>
      <c r="K11181" s="293"/>
      <c r="L11181" s="293">
        <f>K11180</f>
        <v>2875</v>
      </c>
    </row>
    <row r="11182" spans="1:14" ht="11.25" customHeight="1" x14ac:dyDescent="0.2">
      <c r="A11182" s="280">
        <v>2026</v>
      </c>
      <c r="B11182" s="280">
        <v>1</v>
      </c>
      <c r="C11182" s="280">
        <v>26</v>
      </c>
      <c r="D11182" s="281">
        <f t="shared" si="1257"/>
        <v>46048</v>
      </c>
      <c r="E11182" s="282">
        <f t="shared" si="1258"/>
        <v>46048</v>
      </c>
      <c r="F11182" s="472" t="s">
        <v>1584</v>
      </c>
      <c r="G11182" s="283" t="s">
        <v>86</v>
      </c>
      <c r="H11182" s="284"/>
      <c r="I11182" s="284"/>
      <c r="J11182" s="285" t="s">
        <v>131</v>
      </c>
      <c r="K11182" s="286">
        <v>1277.7777777777778</v>
      </c>
      <c r="L11182" s="286"/>
      <c r="M11182" s="401"/>
    </row>
    <row r="11183" spans="1:14" ht="11.25" customHeight="1" x14ac:dyDescent="0.2">
      <c r="A11183" s="287">
        <v>2026</v>
      </c>
      <c r="B11183" s="287">
        <v>1</v>
      </c>
      <c r="C11183" s="287">
        <v>26</v>
      </c>
      <c r="D11183" s="288">
        <f t="shared" si="1257"/>
        <v>46048</v>
      </c>
      <c r="E11183" s="289">
        <f t="shared" si="1258"/>
        <v>46048</v>
      </c>
      <c r="F11183" s="473"/>
      <c r="G11183" s="290" t="s">
        <v>86</v>
      </c>
      <c r="H11183" s="291"/>
      <c r="I11183" s="291"/>
      <c r="J11183" s="292" t="s">
        <v>1469</v>
      </c>
      <c r="K11183" s="293"/>
      <c r="L11183" s="293">
        <f>K11182</f>
        <v>1277.7777777777778</v>
      </c>
    </row>
    <row r="11184" spans="1:14" ht="11.25" customHeight="1" x14ac:dyDescent="0.2">
      <c r="A11184" s="280">
        <v>2026</v>
      </c>
      <c r="B11184" s="280">
        <v>1</v>
      </c>
      <c r="C11184" s="280">
        <v>26</v>
      </c>
      <c r="D11184" s="281">
        <f t="shared" si="1257"/>
        <v>46048</v>
      </c>
      <c r="E11184" s="282">
        <f t="shared" si="1258"/>
        <v>46048</v>
      </c>
      <c r="F11184" s="472" t="s">
        <v>1955</v>
      </c>
      <c r="G11184" s="283" t="s">
        <v>86</v>
      </c>
      <c r="H11184" s="284"/>
      <c r="I11184" s="284"/>
      <c r="J11184" s="285" t="s">
        <v>1978</v>
      </c>
      <c r="K11184" s="286">
        <v>6185.4395604395604</v>
      </c>
      <c r="L11184" s="286"/>
      <c r="M11184" s="401"/>
    </row>
    <row r="11185" spans="1:14" ht="11.25" customHeight="1" x14ac:dyDescent="0.2">
      <c r="A11185" s="287">
        <v>2026</v>
      </c>
      <c r="B11185" s="287">
        <v>1</v>
      </c>
      <c r="C11185" s="287">
        <v>26</v>
      </c>
      <c r="D11185" s="288">
        <f t="shared" si="1257"/>
        <v>46048</v>
      </c>
      <c r="E11185" s="289">
        <f t="shared" si="1258"/>
        <v>46048</v>
      </c>
      <c r="F11185" s="473"/>
      <c r="G11185" s="290" t="s">
        <v>86</v>
      </c>
      <c r="H11185" s="291"/>
      <c r="I11185" s="291"/>
      <c r="J11185" s="292" t="s">
        <v>1955</v>
      </c>
      <c r="K11185" s="293"/>
      <c r="L11185" s="293">
        <f>K11184</f>
        <v>6185.4395604395604</v>
      </c>
    </row>
    <row r="11186" spans="1:14" ht="11.25" customHeight="1" x14ac:dyDescent="0.2">
      <c r="A11186" s="341">
        <v>2026</v>
      </c>
      <c r="B11186" s="341">
        <v>1</v>
      </c>
      <c r="C11186" s="341">
        <v>26</v>
      </c>
      <c r="D11186" s="328">
        <f t="shared" si="1257"/>
        <v>46048</v>
      </c>
      <c r="E11186" s="329">
        <f t="shared" si="1258"/>
        <v>46048</v>
      </c>
      <c r="F11186" s="474" t="s">
        <v>1767</v>
      </c>
      <c r="G11186" s="330" t="s">
        <v>86</v>
      </c>
      <c r="H11186" s="332"/>
      <c r="I11186" s="332"/>
      <c r="J11186" s="342" t="s">
        <v>67</v>
      </c>
      <c r="K11186" s="343">
        <v>1008.0763369444443</v>
      </c>
      <c r="L11186" s="343"/>
      <c r="M11186" s="166"/>
    </row>
    <row r="11187" spans="1:14" ht="11.25" customHeight="1" x14ac:dyDescent="0.2">
      <c r="A11187" s="344">
        <v>2026</v>
      </c>
      <c r="B11187" s="344">
        <v>1</v>
      </c>
      <c r="C11187" s="344">
        <v>26</v>
      </c>
      <c r="D11187" s="337">
        <f t="shared" si="1257"/>
        <v>46048</v>
      </c>
      <c r="E11187" s="338">
        <f t="shared" si="1258"/>
        <v>46048</v>
      </c>
      <c r="F11187" s="475"/>
      <c r="G11187" s="339" t="s">
        <v>86</v>
      </c>
      <c r="H11187" s="340"/>
      <c r="I11187" s="340"/>
      <c r="J11187" s="345" t="s">
        <v>1974</v>
      </c>
      <c r="K11187" s="346"/>
      <c r="L11187" s="346">
        <f>K11186</f>
        <v>1008.0763369444443</v>
      </c>
    </row>
    <row r="11188" spans="1:14" ht="11.25" customHeight="1" x14ac:dyDescent="0.2">
      <c r="A11188" s="236">
        <v>2026</v>
      </c>
      <c r="B11188" s="236">
        <v>1</v>
      </c>
      <c r="C11188" s="236">
        <v>26</v>
      </c>
      <c r="D11188" s="237">
        <f t="shared" si="1257"/>
        <v>46048</v>
      </c>
      <c r="E11188" s="238">
        <f t="shared" si="1258"/>
        <v>46048</v>
      </c>
      <c r="F11188" s="476" t="s">
        <v>1118</v>
      </c>
      <c r="G11188" s="239" t="s">
        <v>86</v>
      </c>
      <c r="H11188" s="239"/>
      <c r="I11188" s="240"/>
      <c r="J11188" s="241" t="s">
        <v>98</v>
      </c>
      <c r="K11188" s="242">
        <v>252167.77000001073</v>
      </c>
      <c r="L11188" s="242"/>
      <c r="M11188" s="166"/>
    </row>
    <row r="11189" spans="1:14" ht="11.25" customHeight="1" x14ac:dyDescent="0.2">
      <c r="A11189" s="243">
        <v>2026</v>
      </c>
      <c r="B11189" s="243">
        <v>1</v>
      </c>
      <c r="C11189" s="243">
        <v>26</v>
      </c>
      <c r="D11189" s="248">
        <f t="shared" si="1257"/>
        <v>46048</v>
      </c>
      <c r="E11189" s="249">
        <f t="shared" si="1258"/>
        <v>46048</v>
      </c>
      <c r="F11189" s="477"/>
      <c r="G11189" s="244" t="s">
        <v>86</v>
      </c>
      <c r="H11189" s="244"/>
      <c r="I11189" s="245"/>
      <c r="J11189" s="246" t="s">
        <v>82</v>
      </c>
      <c r="K11189" s="247"/>
      <c r="L11189" s="247">
        <f>K11188</f>
        <v>252167.77000001073</v>
      </c>
    </row>
    <row r="11190" spans="1:14" ht="11.25" customHeight="1" x14ac:dyDescent="0.2">
      <c r="A11190" s="236">
        <v>2026</v>
      </c>
      <c r="B11190" s="236">
        <v>1</v>
      </c>
      <c r="C11190" s="236">
        <v>26</v>
      </c>
      <c r="D11190" s="237">
        <f t="shared" si="1257"/>
        <v>46048</v>
      </c>
      <c r="E11190" s="238">
        <f t="shared" si="1258"/>
        <v>46048</v>
      </c>
      <c r="F11190" s="476" t="s">
        <v>1999</v>
      </c>
      <c r="G11190" s="239" t="s">
        <v>86</v>
      </c>
      <c r="H11190" s="239"/>
      <c r="I11190" s="240"/>
      <c r="J11190" s="241" t="s">
        <v>87</v>
      </c>
      <c r="K11190" s="242">
        <v>392.46467817896388</v>
      </c>
      <c r="L11190" s="242"/>
      <c r="M11190" s="401"/>
    </row>
    <row r="11191" spans="1:14" ht="11.25" customHeight="1" x14ac:dyDescent="0.2">
      <c r="A11191" s="243">
        <v>2026</v>
      </c>
      <c r="B11191" s="243">
        <v>1</v>
      </c>
      <c r="C11191" s="243">
        <v>26</v>
      </c>
      <c r="D11191" s="248">
        <f t="shared" si="1257"/>
        <v>46048</v>
      </c>
      <c r="E11191" s="249">
        <f t="shared" si="1258"/>
        <v>46048</v>
      </c>
      <c r="F11191" s="477"/>
      <c r="G11191" s="244" t="s">
        <v>86</v>
      </c>
      <c r="H11191" s="244"/>
      <c r="I11191" s="245"/>
      <c r="J11191" s="246" t="s">
        <v>64</v>
      </c>
      <c r="K11191" s="247"/>
      <c r="L11191" s="247">
        <f>K11190</f>
        <v>392.46467817896388</v>
      </c>
    </row>
    <row r="11192" spans="1:14" ht="11.25" customHeight="1" x14ac:dyDescent="0.2">
      <c r="A11192" s="236">
        <v>2026</v>
      </c>
      <c r="B11192" s="236">
        <v>1</v>
      </c>
      <c r="C11192" s="236">
        <v>26</v>
      </c>
      <c r="D11192" s="237">
        <f t="shared" si="1257"/>
        <v>46048</v>
      </c>
      <c r="E11192" s="238">
        <f t="shared" si="1258"/>
        <v>46048</v>
      </c>
      <c r="F11192" s="476" t="s">
        <v>2000</v>
      </c>
      <c r="G11192" s="239" t="s">
        <v>86</v>
      </c>
      <c r="H11192" s="239"/>
      <c r="I11192" s="240"/>
      <c r="J11192" s="241" t="s">
        <v>89</v>
      </c>
      <c r="K11192" s="242">
        <v>14424.102934718521</v>
      </c>
      <c r="L11192" s="242"/>
      <c r="M11192" s="448">
        <v>14424.102934718521</v>
      </c>
    </row>
    <row r="11193" spans="1:14" ht="11.25" customHeight="1" x14ac:dyDescent="0.2">
      <c r="A11193" s="243">
        <v>2026</v>
      </c>
      <c r="B11193" s="243">
        <v>1</v>
      </c>
      <c r="C11193" s="243">
        <v>26</v>
      </c>
      <c r="D11193" s="248">
        <f t="shared" si="1257"/>
        <v>46048</v>
      </c>
      <c r="E11193" s="249">
        <f t="shared" si="1258"/>
        <v>46048</v>
      </c>
      <c r="F11193" s="477"/>
      <c r="G11193" s="244" t="s">
        <v>86</v>
      </c>
      <c r="H11193" s="244"/>
      <c r="I11193" s="245"/>
      <c r="J11193" s="246" t="s">
        <v>50</v>
      </c>
      <c r="K11193" s="247"/>
      <c r="L11193" s="247">
        <f>K11192</f>
        <v>14424.102934718521</v>
      </c>
      <c r="M11193" s="448">
        <v>686.88158758929342</v>
      </c>
    </row>
    <row r="11194" spans="1:14" ht="11.25" customHeight="1" x14ac:dyDescent="0.2">
      <c r="A11194" s="236">
        <v>2026</v>
      </c>
      <c r="B11194" s="236">
        <v>1</v>
      </c>
      <c r="C11194" s="236">
        <v>26</v>
      </c>
      <c r="D11194" s="237">
        <f t="shared" si="1257"/>
        <v>46048</v>
      </c>
      <c r="E11194" s="238">
        <f t="shared" si="1258"/>
        <v>46048</v>
      </c>
      <c r="F11194" s="476" t="s">
        <v>2001</v>
      </c>
      <c r="G11194" s="239" t="s">
        <v>86</v>
      </c>
      <c r="H11194" s="239"/>
      <c r="I11194" s="240"/>
      <c r="J11194" s="241" t="s">
        <v>91</v>
      </c>
      <c r="K11194" s="242">
        <v>686.88158758929342</v>
      </c>
      <c r="L11194" s="242"/>
    </row>
    <row r="11195" spans="1:14" ht="11.25" customHeight="1" x14ac:dyDescent="0.2">
      <c r="A11195" s="243">
        <v>2026</v>
      </c>
      <c r="B11195" s="243">
        <v>1</v>
      </c>
      <c r="C11195" s="243">
        <v>26</v>
      </c>
      <c r="D11195" s="248">
        <f t="shared" si="1257"/>
        <v>46048</v>
      </c>
      <c r="E11195" s="249">
        <f t="shared" si="1258"/>
        <v>46048</v>
      </c>
      <c r="F11195" s="477"/>
      <c r="G11195" s="244" t="s">
        <v>86</v>
      </c>
      <c r="H11195" s="244"/>
      <c r="I11195" s="245"/>
      <c r="J11195" s="246" t="s">
        <v>51</v>
      </c>
      <c r="K11195" s="247"/>
      <c r="L11195" s="247">
        <f>K11194</f>
        <v>686.88158758929342</v>
      </c>
    </row>
    <row r="11196" spans="1:14" ht="11.25" customHeight="1" x14ac:dyDescent="0.2">
      <c r="A11196" s="221">
        <v>2026</v>
      </c>
      <c r="B11196" s="221">
        <v>1</v>
      </c>
      <c r="C11196" s="221">
        <v>27</v>
      </c>
      <c r="D11196" s="221">
        <f t="shared" si="1257"/>
        <v>46049</v>
      </c>
      <c r="E11196" s="233">
        <f t="shared" ref="E11196:E11228" si="1259">DATE(A11196,B11196,C11196)</f>
        <v>46049</v>
      </c>
      <c r="F11196" s="478" t="s">
        <v>1937</v>
      </c>
      <c r="G11196" s="222" t="s">
        <v>86</v>
      </c>
      <c r="H11196" s="222"/>
      <c r="I11196" s="223"/>
      <c r="J11196" s="224" t="s">
        <v>80</v>
      </c>
      <c r="K11196" s="225">
        <v>1119373</v>
      </c>
      <c r="L11196" s="225"/>
      <c r="N11196" s="263"/>
    </row>
    <row r="11197" spans="1:14" ht="11.25" customHeight="1" x14ac:dyDescent="0.2">
      <c r="A11197" s="164">
        <v>2026</v>
      </c>
      <c r="B11197" s="164">
        <v>1</v>
      </c>
      <c r="C11197" s="164">
        <v>27</v>
      </c>
      <c r="D11197" s="164">
        <f t="shared" si="1257"/>
        <v>46049</v>
      </c>
      <c r="E11197" s="235">
        <f t="shared" si="1259"/>
        <v>46049</v>
      </c>
      <c r="F11197" s="480"/>
      <c r="G11197" s="208" t="s">
        <v>86</v>
      </c>
      <c r="H11197" s="208"/>
      <c r="J11197" s="165" t="s">
        <v>960</v>
      </c>
      <c r="K11197" s="205">
        <v>2416.65</v>
      </c>
      <c r="L11197" s="205"/>
      <c r="M11197" s="263"/>
      <c r="N11197" s="263"/>
    </row>
    <row r="11198" spans="1:14" ht="11.25" customHeight="1" x14ac:dyDescent="0.2">
      <c r="A11198" s="164">
        <v>2026</v>
      </c>
      <c r="B11198" s="164">
        <v>1</v>
      </c>
      <c r="C11198" s="164">
        <v>27</v>
      </c>
      <c r="D11198" s="164">
        <f t="shared" si="1257"/>
        <v>46049</v>
      </c>
      <c r="E11198" s="235">
        <f t="shared" si="1259"/>
        <v>46049</v>
      </c>
      <c r="F11198" s="480"/>
      <c r="G11198" s="208" t="s">
        <v>86</v>
      </c>
      <c r="H11198" s="208"/>
      <c r="J11198" s="165" t="s">
        <v>961</v>
      </c>
      <c r="K11198" s="263"/>
      <c r="L11198" s="205">
        <v>898581.95</v>
      </c>
      <c r="M11198" s="263"/>
      <c r="N11198" s="263"/>
    </row>
    <row r="11199" spans="1:14" ht="11.25" customHeight="1" x14ac:dyDescent="0.2">
      <c r="A11199" s="164">
        <v>2026</v>
      </c>
      <c r="B11199" s="164">
        <v>1</v>
      </c>
      <c r="C11199" s="164">
        <v>27</v>
      </c>
      <c r="D11199" s="164">
        <f t="shared" si="1257"/>
        <v>46049</v>
      </c>
      <c r="E11199" s="235">
        <f t="shared" si="1259"/>
        <v>46049</v>
      </c>
      <c r="F11199" s="480"/>
      <c r="G11199" s="208" t="s">
        <v>86</v>
      </c>
      <c r="H11199" s="208"/>
      <c r="J11199" s="165" t="s">
        <v>200</v>
      </c>
      <c r="K11199" s="205"/>
      <c r="L11199" s="205">
        <v>32438.16</v>
      </c>
      <c r="M11199" s="263"/>
      <c r="N11199" s="263"/>
    </row>
    <row r="11200" spans="1:14" ht="11.25" customHeight="1" x14ac:dyDescent="0.2">
      <c r="A11200" s="226">
        <v>2026</v>
      </c>
      <c r="B11200" s="226">
        <v>1</v>
      </c>
      <c r="C11200" s="226">
        <v>27</v>
      </c>
      <c r="D11200" s="226">
        <f t="shared" si="1257"/>
        <v>46049</v>
      </c>
      <c r="E11200" s="234">
        <f t="shared" si="1259"/>
        <v>46049</v>
      </c>
      <c r="F11200" s="479"/>
      <c r="G11200" s="227" t="s">
        <v>86</v>
      </c>
      <c r="H11200" s="228"/>
      <c r="I11200" s="228"/>
      <c r="J11200" s="229" t="s">
        <v>80</v>
      </c>
      <c r="K11200" s="230"/>
      <c r="L11200" s="230">
        <v>190769.54</v>
      </c>
      <c r="M11200" s="263"/>
      <c r="N11200" s="263"/>
    </row>
    <row r="11201" spans="1:13" ht="11.25" customHeight="1" x14ac:dyDescent="0.2">
      <c r="A11201" s="221">
        <v>2026</v>
      </c>
      <c r="B11201" s="221">
        <v>1</v>
      </c>
      <c r="C11201" s="221">
        <v>27</v>
      </c>
      <c r="D11201" s="231">
        <f t="shared" si="1257"/>
        <v>46049</v>
      </c>
      <c r="E11201" s="233">
        <f t="shared" si="1259"/>
        <v>46049</v>
      </c>
      <c r="F11201" s="478" t="s">
        <v>1346</v>
      </c>
      <c r="G11201" s="222" t="s">
        <v>86</v>
      </c>
      <c r="H11201" s="222" t="str" cm="1">
        <f t="array" ref="H11201">IFERROR(INDEX(INVESTOR_LIST[INVESTOR NAME],MATCH(I11201,INVESTOR_LIST[INVESTOR CODE],0),)," ")</f>
        <v xml:space="preserve"> </v>
      </c>
      <c r="I11201" s="223"/>
      <c r="J11201" s="224" t="s">
        <v>80</v>
      </c>
      <c r="K11201" s="225">
        <v>680600</v>
      </c>
      <c r="L11201" s="225"/>
    </row>
    <row r="11202" spans="1:13" ht="11.25" customHeight="1" x14ac:dyDescent="0.2">
      <c r="A11202" s="164">
        <v>2026</v>
      </c>
      <c r="B11202" s="164">
        <v>1</v>
      </c>
      <c r="C11202" s="164">
        <v>27</v>
      </c>
      <c r="D11202" s="164">
        <f t="shared" si="1257"/>
        <v>46049</v>
      </c>
      <c r="E11202" s="235">
        <f t="shared" si="1259"/>
        <v>46049</v>
      </c>
      <c r="F11202" s="480"/>
      <c r="G11202" s="208" t="s">
        <v>86</v>
      </c>
      <c r="H11202" s="208"/>
      <c r="J11202" s="165" t="s">
        <v>960</v>
      </c>
      <c r="K11202" s="205">
        <v>1225.08</v>
      </c>
      <c r="L11202" s="205"/>
    </row>
    <row r="11203" spans="1:13" ht="11.25" customHeight="1" x14ac:dyDescent="0.2">
      <c r="A11203" s="226">
        <v>2026</v>
      </c>
      <c r="B11203" s="226">
        <v>1</v>
      </c>
      <c r="C11203" s="226">
        <v>27</v>
      </c>
      <c r="D11203" s="226">
        <f t="shared" si="1257"/>
        <v>46049</v>
      </c>
      <c r="E11203" s="234">
        <f t="shared" si="1259"/>
        <v>46049</v>
      </c>
      <c r="F11203" s="479"/>
      <c r="G11203" s="227" t="s">
        <v>86</v>
      </c>
      <c r="H11203" s="227"/>
      <c r="I11203" s="228"/>
      <c r="J11203" s="229" t="s">
        <v>961</v>
      </c>
      <c r="K11203" s="294"/>
      <c r="L11203" s="230">
        <v>681825.08</v>
      </c>
    </row>
    <row r="11204" spans="1:13" ht="11.25" customHeight="1" x14ac:dyDescent="0.2">
      <c r="A11204" s="221">
        <v>2026</v>
      </c>
      <c r="B11204" s="221">
        <v>1</v>
      </c>
      <c r="C11204" s="221">
        <v>27</v>
      </c>
      <c r="D11204" s="231">
        <f t="shared" si="1257"/>
        <v>46049</v>
      </c>
      <c r="E11204" s="233">
        <f t="shared" si="1259"/>
        <v>46049</v>
      </c>
      <c r="F11204" s="478" t="s">
        <v>1940</v>
      </c>
      <c r="G11204" s="222" t="s">
        <v>1111</v>
      </c>
      <c r="H11204" s="223"/>
      <c r="I11204" s="223"/>
      <c r="J11204" s="224" t="s">
        <v>961</v>
      </c>
      <c r="K11204" s="225">
        <v>553566.47</v>
      </c>
      <c r="L11204" s="225"/>
    </row>
    <row r="11205" spans="1:13" ht="11.25" customHeight="1" x14ac:dyDescent="0.2">
      <c r="A11205" s="226">
        <v>2026</v>
      </c>
      <c r="B11205" s="226">
        <v>1</v>
      </c>
      <c r="C11205" s="226">
        <v>27</v>
      </c>
      <c r="D11205" s="232">
        <f t="shared" si="1257"/>
        <v>46049</v>
      </c>
      <c r="E11205" s="234">
        <f t="shared" si="1259"/>
        <v>46049</v>
      </c>
      <c r="F11205" s="479"/>
      <c r="G11205" s="227" t="s">
        <v>1111</v>
      </c>
      <c r="H11205" s="228"/>
      <c r="I11205" s="228"/>
      <c r="J11205" s="229" t="s">
        <v>55</v>
      </c>
      <c r="K11205" s="230"/>
      <c r="L11205" s="230">
        <f>K11204</f>
        <v>553566.47</v>
      </c>
    </row>
    <row r="11206" spans="1:13" ht="11.25" customHeight="1" x14ac:dyDescent="0.2">
      <c r="A11206" s="221">
        <v>2026</v>
      </c>
      <c r="B11206" s="221">
        <v>1</v>
      </c>
      <c r="C11206" s="221">
        <v>27</v>
      </c>
      <c r="D11206" s="231">
        <f t="shared" si="1257"/>
        <v>46049</v>
      </c>
      <c r="E11206" s="233">
        <f t="shared" si="1259"/>
        <v>46049</v>
      </c>
      <c r="F11206" s="478" t="s">
        <v>1670</v>
      </c>
      <c r="G11206" s="222" t="s">
        <v>1111</v>
      </c>
      <c r="H11206" s="223"/>
      <c r="I11206" s="223"/>
      <c r="J11206" s="224" t="s">
        <v>63</v>
      </c>
      <c r="K11206" s="225">
        <v>100</v>
      </c>
      <c r="L11206" s="225"/>
    </row>
    <row r="11207" spans="1:13" ht="11.25" customHeight="1" x14ac:dyDescent="0.2">
      <c r="A11207" s="226">
        <v>2026</v>
      </c>
      <c r="B11207" s="226">
        <v>1</v>
      </c>
      <c r="C11207" s="226">
        <v>27</v>
      </c>
      <c r="D11207" s="232">
        <f t="shared" si="1257"/>
        <v>46049</v>
      </c>
      <c r="E11207" s="234">
        <f t="shared" si="1259"/>
        <v>46049</v>
      </c>
      <c r="F11207" s="479"/>
      <c r="G11207" s="227" t="s">
        <v>1111</v>
      </c>
      <c r="H11207" s="228"/>
      <c r="I11207" s="228"/>
      <c r="J11207" s="229" t="s">
        <v>55</v>
      </c>
      <c r="K11207" s="230"/>
      <c r="L11207" s="230">
        <f>K11206</f>
        <v>100</v>
      </c>
    </row>
    <row r="11208" spans="1:13" ht="11.25" customHeight="1" x14ac:dyDescent="0.2">
      <c r="A11208" s="231">
        <v>2026</v>
      </c>
      <c r="B11208" s="231">
        <v>1</v>
      </c>
      <c r="C11208" s="231">
        <v>27</v>
      </c>
      <c r="D11208" s="221">
        <f t="shared" si="1257"/>
        <v>46049</v>
      </c>
      <c r="E11208" s="271">
        <f t="shared" si="1259"/>
        <v>46049</v>
      </c>
      <c r="F11208" s="478" t="s">
        <v>1981</v>
      </c>
      <c r="G11208" s="208" t="s">
        <v>86</v>
      </c>
      <c r="H11208" s="208" t="str" cm="1">
        <f t="array" ref="H11208">IFERROR(INDEX([3]!INVESTOR_LIST[INVESTOR NAME],MATCH(I11208,[3]!INVESTOR_LIST[INVESTOR CODE],0),)," ")</f>
        <v xml:space="preserve"> </v>
      </c>
      <c r="I11208" s="206" t="s">
        <v>1119</v>
      </c>
      <c r="J11208" s="165" t="s">
        <v>55</v>
      </c>
      <c r="K11208" s="205">
        <v>269610</v>
      </c>
      <c r="L11208" s="205"/>
    </row>
    <row r="11209" spans="1:13" ht="11.25" customHeight="1" x14ac:dyDescent="0.2">
      <c r="A11209" s="156">
        <v>2026</v>
      </c>
      <c r="B11209" s="156">
        <v>1</v>
      </c>
      <c r="C11209" s="156">
        <v>27</v>
      </c>
      <c r="D11209" s="164">
        <f t="shared" ref="D11209:D11272" si="1260">DATE(A11209,B11209,C11209)</f>
        <v>46049</v>
      </c>
      <c r="E11209" s="276">
        <f t="shared" si="1259"/>
        <v>46049</v>
      </c>
      <c r="F11209" s="480"/>
      <c r="G11209" s="227" t="s">
        <v>86</v>
      </c>
      <c r="H11209" s="227" t="str" cm="1">
        <f t="array" ref="H11209">IFERROR(INDEX([3]!INVESTOR_LIST[INVESTOR NAME],MATCH(I11209,[3]!INVESTOR_LIST[INVESTOR CODE],0),)," ")</f>
        <v xml:space="preserve"> </v>
      </c>
      <c r="I11209" s="228" t="s">
        <v>1119</v>
      </c>
      <c r="J11209" s="165" t="s">
        <v>192</v>
      </c>
      <c r="K11209" s="205"/>
      <c r="L11209" s="205">
        <f>K11208</f>
        <v>269610</v>
      </c>
    </row>
    <row r="11210" spans="1:13" ht="11.25" customHeight="1" x14ac:dyDescent="0.2">
      <c r="A11210" s="231">
        <v>2026</v>
      </c>
      <c r="B11210" s="231">
        <v>1</v>
      </c>
      <c r="C11210" s="231">
        <v>27</v>
      </c>
      <c r="D11210" s="221">
        <f t="shared" si="1260"/>
        <v>46049</v>
      </c>
      <c r="E11210" s="271">
        <f t="shared" si="1259"/>
        <v>46049</v>
      </c>
      <c r="F11210" s="478" t="s">
        <v>1982</v>
      </c>
      <c r="G11210" s="222" t="s">
        <v>1111</v>
      </c>
      <c r="H11210" s="223" t="str" cm="1">
        <f t="array" ref="H11210">IFERROR(INDEX([3]!INVESTOR_LIST[INVESTOR NAME],MATCH(I11210,[3]!INVESTOR_LIST[INVESTOR CODE],0),)," ")</f>
        <v xml:space="preserve"> </v>
      </c>
      <c r="I11210" s="223"/>
      <c r="J11210" s="231" t="s">
        <v>55</v>
      </c>
      <c r="K11210" s="225">
        <v>3343050</v>
      </c>
      <c r="L11210" s="225"/>
    </row>
    <row r="11211" spans="1:13" ht="11.25" customHeight="1" x14ac:dyDescent="0.2">
      <c r="A11211" s="156">
        <v>2026</v>
      </c>
      <c r="B11211" s="156">
        <v>1</v>
      </c>
      <c r="C11211" s="156">
        <v>27</v>
      </c>
      <c r="D11211" s="164">
        <f t="shared" si="1260"/>
        <v>46049</v>
      </c>
      <c r="E11211" s="276">
        <f t="shared" si="1259"/>
        <v>46049</v>
      </c>
      <c r="F11211" s="480"/>
      <c r="G11211" s="208" t="s">
        <v>1111</v>
      </c>
      <c r="H11211" s="206" t="str" cm="1">
        <f t="array" ref="H11211">IFERROR(INDEX([3]!INVESTOR_LIST[INVESTOR NAME],MATCH(I11211,[3]!INVESTOR_LIST[INVESTOR CODE],0),)," ")</f>
        <v xml:space="preserve"> </v>
      </c>
      <c r="J11211" s="156" t="s">
        <v>200</v>
      </c>
      <c r="K11211" s="205">
        <v>207830</v>
      </c>
      <c r="L11211" s="205"/>
    </row>
    <row r="11212" spans="1:13" ht="11.25" customHeight="1" x14ac:dyDescent="0.2">
      <c r="A11212" s="156">
        <v>2026</v>
      </c>
      <c r="B11212" s="156">
        <v>1</v>
      </c>
      <c r="C11212" s="156">
        <v>27</v>
      </c>
      <c r="D11212" s="164">
        <f t="shared" si="1260"/>
        <v>46049</v>
      </c>
      <c r="E11212" s="276">
        <f t="shared" si="1259"/>
        <v>46049</v>
      </c>
      <c r="F11212" s="480"/>
      <c r="G11212" s="208" t="s">
        <v>1111</v>
      </c>
      <c r="H11212" s="206" t="str" cm="1">
        <f t="array" ref="H11212">IFERROR(INDEX([3]!INVESTOR_LIST[INVESTOR NAME],MATCH(I11212,[3]!INVESTOR_LIST[INVESTOR CODE],0),)," ")</f>
        <v xml:space="preserve"> </v>
      </c>
      <c r="I11212" s="228"/>
      <c r="J11212" s="232" t="s">
        <v>80</v>
      </c>
      <c r="K11212" s="230"/>
      <c r="L11212" s="230">
        <v>3550880</v>
      </c>
    </row>
    <row r="11213" spans="1:13" ht="11.25" customHeight="1" x14ac:dyDescent="0.2">
      <c r="A11213" s="280">
        <v>2026</v>
      </c>
      <c r="B11213" s="280">
        <v>1</v>
      </c>
      <c r="C11213" s="280">
        <v>27</v>
      </c>
      <c r="D11213" s="281">
        <f t="shared" si="1260"/>
        <v>46049</v>
      </c>
      <c r="E11213" s="282">
        <f t="shared" si="1259"/>
        <v>46049</v>
      </c>
      <c r="F11213" s="472" t="s">
        <v>1744</v>
      </c>
      <c r="G11213" s="283" t="s">
        <v>86</v>
      </c>
      <c r="H11213" s="284"/>
      <c r="I11213" s="284"/>
      <c r="J11213" s="285" t="s">
        <v>131</v>
      </c>
      <c r="K11213" s="286">
        <v>2875</v>
      </c>
      <c r="L11213" s="286"/>
      <c r="M11213" s="401"/>
    </row>
    <row r="11214" spans="1:13" ht="11.25" customHeight="1" x14ac:dyDescent="0.2">
      <c r="A11214" s="287">
        <v>2026</v>
      </c>
      <c r="B11214" s="287">
        <v>1</v>
      </c>
      <c r="C11214" s="287">
        <v>27</v>
      </c>
      <c r="D11214" s="288">
        <f t="shared" si="1260"/>
        <v>46049</v>
      </c>
      <c r="E11214" s="289">
        <f t="shared" si="1259"/>
        <v>46049</v>
      </c>
      <c r="F11214" s="473"/>
      <c r="G11214" s="290" t="s">
        <v>86</v>
      </c>
      <c r="H11214" s="291"/>
      <c r="I11214" s="291"/>
      <c r="J11214" s="292" t="s">
        <v>1469</v>
      </c>
      <c r="K11214" s="293"/>
      <c r="L11214" s="293">
        <f>K11213</f>
        <v>2875</v>
      </c>
    </row>
    <row r="11215" spans="1:13" ht="11.25" customHeight="1" x14ac:dyDescent="0.2">
      <c r="A11215" s="280">
        <v>2026</v>
      </c>
      <c r="B11215" s="280">
        <v>1</v>
      </c>
      <c r="C11215" s="280">
        <v>27</v>
      </c>
      <c r="D11215" s="281">
        <f t="shared" si="1260"/>
        <v>46049</v>
      </c>
      <c r="E11215" s="282">
        <f t="shared" si="1259"/>
        <v>46049</v>
      </c>
      <c r="F11215" s="472" t="s">
        <v>1584</v>
      </c>
      <c r="G11215" s="283" t="s">
        <v>86</v>
      </c>
      <c r="H11215" s="284"/>
      <c r="I11215" s="284"/>
      <c r="J11215" s="285" t="s">
        <v>131</v>
      </c>
      <c r="K11215" s="286">
        <v>1277.7777777777778</v>
      </c>
      <c r="L11215" s="286"/>
      <c r="M11215" s="401"/>
    </row>
    <row r="11216" spans="1:13" ht="11.25" customHeight="1" x14ac:dyDescent="0.2">
      <c r="A11216" s="287">
        <v>2026</v>
      </c>
      <c r="B11216" s="287">
        <v>1</v>
      </c>
      <c r="C11216" s="287">
        <v>27</v>
      </c>
      <c r="D11216" s="288">
        <f t="shared" si="1260"/>
        <v>46049</v>
      </c>
      <c r="E11216" s="289">
        <f t="shared" si="1259"/>
        <v>46049</v>
      </c>
      <c r="F11216" s="473"/>
      <c r="G11216" s="290" t="s">
        <v>86</v>
      </c>
      <c r="H11216" s="291"/>
      <c r="I11216" s="291"/>
      <c r="J11216" s="292" t="s">
        <v>1469</v>
      </c>
      <c r="K11216" s="293"/>
      <c r="L11216" s="293">
        <f>K11215</f>
        <v>1277.7777777777778</v>
      </c>
    </row>
    <row r="11217" spans="1:13" ht="11.25" customHeight="1" x14ac:dyDescent="0.2">
      <c r="A11217" s="280">
        <v>2026</v>
      </c>
      <c r="B11217" s="280">
        <v>1</v>
      </c>
      <c r="C11217" s="280">
        <v>27</v>
      </c>
      <c r="D11217" s="281">
        <f t="shared" si="1260"/>
        <v>46049</v>
      </c>
      <c r="E11217" s="282">
        <f t="shared" si="1259"/>
        <v>46049</v>
      </c>
      <c r="F11217" s="472" t="s">
        <v>1955</v>
      </c>
      <c r="G11217" s="283" t="s">
        <v>86</v>
      </c>
      <c r="H11217" s="284"/>
      <c r="I11217" s="284"/>
      <c r="J11217" s="285" t="s">
        <v>1978</v>
      </c>
      <c r="K11217" s="286">
        <v>6185.4395604395604</v>
      </c>
      <c r="L11217" s="286"/>
      <c r="M11217" s="401"/>
    </row>
    <row r="11218" spans="1:13" ht="11.25" customHeight="1" x14ac:dyDescent="0.2">
      <c r="A11218" s="287">
        <v>2026</v>
      </c>
      <c r="B11218" s="287">
        <v>1</v>
      </c>
      <c r="C11218" s="287">
        <v>27</v>
      </c>
      <c r="D11218" s="288">
        <f t="shared" si="1260"/>
        <v>46049</v>
      </c>
      <c r="E11218" s="289">
        <f t="shared" si="1259"/>
        <v>46049</v>
      </c>
      <c r="F11218" s="473"/>
      <c r="G11218" s="290" t="s">
        <v>86</v>
      </c>
      <c r="H11218" s="291"/>
      <c r="I11218" s="291"/>
      <c r="J11218" s="292" t="s">
        <v>1955</v>
      </c>
      <c r="K11218" s="293"/>
      <c r="L11218" s="293">
        <f>K11217</f>
        <v>6185.4395604395604</v>
      </c>
    </row>
    <row r="11219" spans="1:13" ht="11.25" customHeight="1" x14ac:dyDescent="0.2">
      <c r="A11219" s="341">
        <v>2026</v>
      </c>
      <c r="B11219" s="341">
        <v>1</v>
      </c>
      <c r="C11219" s="341">
        <v>27</v>
      </c>
      <c r="D11219" s="328">
        <f t="shared" si="1260"/>
        <v>46049</v>
      </c>
      <c r="E11219" s="329">
        <f t="shared" si="1259"/>
        <v>46049</v>
      </c>
      <c r="F11219" s="474" t="s">
        <v>1767</v>
      </c>
      <c r="G11219" s="330" t="s">
        <v>86</v>
      </c>
      <c r="H11219" s="332"/>
      <c r="I11219" s="332"/>
      <c r="J11219" s="342" t="s">
        <v>67</v>
      </c>
      <c r="K11219" s="343">
        <v>897.38236402777761</v>
      </c>
      <c r="L11219" s="343"/>
      <c r="M11219" s="166"/>
    </row>
    <row r="11220" spans="1:13" ht="11.25" customHeight="1" x14ac:dyDescent="0.2">
      <c r="A11220" s="344">
        <v>2026</v>
      </c>
      <c r="B11220" s="344">
        <v>1</v>
      </c>
      <c r="C11220" s="344">
        <v>27</v>
      </c>
      <c r="D11220" s="337">
        <f t="shared" si="1260"/>
        <v>46049</v>
      </c>
      <c r="E11220" s="338">
        <f t="shared" si="1259"/>
        <v>46049</v>
      </c>
      <c r="F11220" s="475"/>
      <c r="G11220" s="339" t="s">
        <v>86</v>
      </c>
      <c r="H11220" s="340"/>
      <c r="I11220" s="340"/>
      <c r="J11220" s="345" t="s">
        <v>1974</v>
      </c>
      <c r="K11220" s="346"/>
      <c r="L11220" s="346">
        <f>K11219</f>
        <v>897.38236402777761</v>
      </c>
    </row>
    <row r="11221" spans="1:13" ht="11.25" customHeight="1" x14ac:dyDescent="0.2">
      <c r="A11221" s="236">
        <v>2026</v>
      </c>
      <c r="B11221" s="236">
        <v>1</v>
      </c>
      <c r="C11221" s="236">
        <v>27</v>
      </c>
      <c r="D11221" s="237">
        <f t="shared" si="1260"/>
        <v>46049</v>
      </c>
      <c r="E11221" s="238">
        <f t="shared" si="1259"/>
        <v>46049</v>
      </c>
      <c r="F11221" s="476" t="s">
        <v>1118</v>
      </c>
      <c r="G11221" s="239" t="s">
        <v>86</v>
      </c>
      <c r="H11221" s="239"/>
      <c r="I11221" s="240"/>
      <c r="J11221" s="241" t="s">
        <v>98</v>
      </c>
      <c r="K11221" s="242">
        <v>3163872.7199999988</v>
      </c>
      <c r="L11221" s="242"/>
      <c r="M11221" s="166"/>
    </row>
    <row r="11222" spans="1:13" ht="11.25" customHeight="1" x14ac:dyDescent="0.2">
      <c r="A11222" s="243">
        <v>2026</v>
      </c>
      <c r="B11222" s="243">
        <v>1</v>
      </c>
      <c r="C11222" s="243">
        <v>27</v>
      </c>
      <c r="D11222" s="248">
        <f t="shared" si="1260"/>
        <v>46049</v>
      </c>
      <c r="E11222" s="249">
        <f t="shared" si="1259"/>
        <v>46049</v>
      </c>
      <c r="F11222" s="477"/>
      <c r="G11222" s="244" t="s">
        <v>86</v>
      </c>
      <c r="H11222" s="244"/>
      <c r="I11222" s="245"/>
      <c r="J11222" s="246" t="s">
        <v>82</v>
      </c>
      <c r="K11222" s="247"/>
      <c r="L11222" s="247">
        <f>K11221</f>
        <v>3163872.7199999988</v>
      </c>
    </row>
    <row r="11223" spans="1:13" ht="11.25" customHeight="1" x14ac:dyDescent="0.2">
      <c r="A11223" s="236">
        <v>2026</v>
      </c>
      <c r="B11223" s="236">
        <v>1</v>
      </c>
      <c r="C11223" s="236">
        <v>27</v>
      </c>
      <c r="D11223" s="237">
        <f t="shared" si="1260"/>
        <v>46049</v>
      </c>
      <c r="E11223" s="238">
        <f t="shared" si="1259"/>
        <v>46049</v>
      </c>
      <c r="F11223" s="476" t="s">
        <v>1999</v>
      </c>
      <c r="G11223" s="239" t="s">
        <v>86</v>
      </c>
      <c r="H11223" s="239"/>
      <c r="I11223" s="240"/>
      <c r="J11223" s="241" t="s">
        <v>87</v>
      </c>
      <c r="K11223" s="242">
        <v>392.46467817896388</v>
      </c>
      <c r="L11223" s="242"/>
      <c r="M11223" s="401"/>
    </row>
    <row r="11224" spans="1:13" ht="11.25" customHeight="1" x14ac:dyDescent="0.2">
      <c r="A11224" s="243">
        <v>2026</v>
      </c>
      <c r="B11224" s="243">
        <v>1</v>
      </c>
      <c r="C11224" s="243">
        <v>27</v>
      </c>
      <c r="D11224" s="248">
        <f t="shared" si="1260"/>
        <v>46049</v>
      </c>
      <c r="E11224" s="249">
        <f t="shared" si="1259"/>
        <v>46049</v>
      </c>
      <c r="F11224" s="477"/>
      <c r="G11224" s="244" t="s">
        <v>86</v>
      </c>
      <c r="H11224" s="244"/>
      <c r="I11224" s="245"/>
      <c r="J11224" s="246" t="s">
        <v>64</v>
      </c>
      <c r="K11224" s="247"/>
      <c r="L11224" s="247">
        <f>K11223</f>
        <v>392.46467817896388</v>
      </c>
    </row>
    <row r="11225" spans="1:13" ht="11.25" customHeight="1" x14ac:dyDescent="0.2">
      <c r="A11225" s="236">
        <v>2026</v>
      </c>
      <c r="B11225" s="236">
        <v>1</v>
      </c>
      <c r="C11225" s="236">
        <v>27</v>
      </c>
      <c r="D11225" s="237">
        <f t="shared" si="1260"/>
        <v>46049</v>
      </c>
      <c r="E11225" s="238">
        <f t="shared" si="1259"/>
        <v>46049</v>
      </c>
      <c r="F11225" s="476" t="s">
        <v>2000</v>
      </c>
      <c r="G11225" s="239" t="s">
        <v>86</v>
      </c>
      <c r="H11225" s="239"/>
      <c r="I11225" s="240"/>
      <c r="J11225" s="241" t="s">
        <v>89</v>
      </c>
      <c r="K11225" s="242">
        <v>14559.102017405809</v>
      </c>
      <c r="L11225" s="242"/>
      <c r="M11225" s="448">
        <v>14559.102017405809</v>
      </c>
    </row>
    <row r="11226" spans="1:13" ht="11.25" customHeight="1" x14ac:dyDescent="0.2">
      <c r="A11226" s="243">
        <v>2026</v>
      </c>
      <c r="B11226" s="243">
        <v>1</v>
      </c>
      <c r="C11226" s="243">
        <v>27</v>
      </c>
      <c r="D11226" s="248">
        <f t="shared" si="1260"/>
        <v>46049</v>
      </c>
      <c r="E11226" s="249">
        <f t="shared" si="1259"/>
        <v>46049</v>
      </c>
      <c r="F11226" s="477"/>
      <c r="G11226" s="244" t="s">
        <v>86</v>
      </c>
      <c r="H11226" s="244"/>
      <c r="I11226" s="245"/>
      <c r="J11226" s="246" t="s">
        <v>50</v>
      </c>
      <c r="K11226" s="247"/>
      <c r="L11226" s="247">
        <f>K11225</f>
        <v>14559.102017405809</v>
      </c>
      <c r="M11226" s="448">
        <v>695.88152643511262</v>
      </c>
    </row>
    <row r="11227" spans="1:13" ht="11.25" customHeight="1" x14ac:dyDescent="0.2">
      <c r="A11227" s="236">
        <v>2026</v>
      </c>
      <c r="B11227" s="236">
        <v>1</v>
      </c>
      <c r="C11227" s="236">
        <v>27</v>
      </c>
      <c r="D11227" s="237">
        <f t="shared" si="1260"/>
        <v>46049</v>
      </c>
      <c r="E11227" s="238">
        <f t="shared" si="1259"/>
        <v>46049</v>
      </c>
      <c r="F11227" s="476" t="s">
        <v>2001</v>
      </c>
      <c r="G11227" s="239" t="s">
        <v>86</v>
      </c>
      <c r="H11227" s="239"/>
      <c r="I11227" s="240"/>
      <c r="J11227" s="241" t="s">
        <v>91</v>
      </c>
      <c r="K11227" s="242">
        <v>695.88152643511262</v>
      </c>
      <c r="L11227" s="242"/>
    </row>
    <row r="11228" spans="1:13" ht="11.25" customHeight="1" x14ac:dyDescent="0.2">
      <c r="A11228" s="243">
        <v>2026</v>
      </c>
      <c r="B11228" s="243">
        <v>1</v>
      </c>
      <c r="C11228" s="243">
        <v>27</v>
      </c>
      <c r="D11228" s="248">
        <f t="shared" si="1260"/>
        <v>46049</v>
      </c>
      <c r="E11228" s="249">
        <f t="shared" si="1259"/>
        <v>46049</v>
      </c>
      <c r="F11228" s="477"/>
      <c r="G11228" s="244" t="s">
        <v>86</v>
      </c>
      <c r="H11228" s="244"/>
      <c r="I11228" s="245"/>
      <c r="J11228" s="246" t="s">
        <v>51</v>
      </c>
      <c r="K11228" s="247"/>
      <c r="L11228" s="247">
        <f>K11227</f>
        <v>695.88152643511262</v>
      </c>
    </row>
    <row r="11229" spans="1:13" ht="11.25" customHeight="1" x14ac:dyDescent="0.2">
      <c r="A11229" s="221">
        <v>2026</v>
      </c>
      <c r="B11229" s="221">
        <v>1</v>
      </c>
      <c r="C11229" s="221">
        <v>28</v>
      </c>
      <c r="D11229" s="231">
        <f t="shared" si="1260"/>
        <v>46050</v>
      </c>
      <c r="E11229" s="233">
        <f t="shared" ref="E11229:E11232" si="1261">DATE(A11229,B11229,C11229)</f>
        <v>46050</v>
      </c>
      <c r="F11229" s="478" t="s">
        <v>1940</v>
      </c>
      <c r="G11229" s="222" t="s">
        <v>1111</v>
      </c>
      <c r="H11229" s="223"/>
      <c r="I11229" s="223"/>
      <c r="J11229" s="224" t="s">
        <v>961</v>
      </c>
      <c r="K11229" s="225">
        <v>898581.95</v>
      </c>
      <c r="L11229" s="225"/>
    </row>
    <row r="11230" spans="1:13" ht="11.25" customHeight="1" x14ac:dyDescent="0.2">
      <c r="A11230" s="226">
        <v>2026</v>
      </c>
      <c r="B11230" s="226">
        <v>1</v>
      </c>
      <c r="C11230" s="226">
        <v>28</v>
      </c>
      <c r="D11230" s="232">
        <f t="shared" si="1260"/>
        <v>46050</v>
      </c>
      <c r="E11230" s="234">
        <f t="shared" si="1261"/>
        <v>46050</v>
      </c>
      <c r="F11230" s="479"/>
      <c r="G11230" s="227" t="s">
        <v>1111</v>
      </c>
      <c r="H11230" s="228"/>
      <c r="I11230" s="228"/>
      <c r="J11230" s="229" t="s">
        <v>55</v>
      </c>
      <c r="K11230" s="230"/>
      <c r="L11230" s="230">
        <f>K11229</f>
        <v>898581.95</v>
      </c>
    </row>
    <row r="11231" spans="1:13" ht="11.25" customHeight="1" x14ac:dyDescent="0.2">
      <c r="A11231" s="221">
        <v>2026</v>
      </c>
      <c r="B11231" s="221">
        <v>1</v>
      </c>
      <c r="C11231" s="221">
        <v>28</v>
      </c>
      <c r="D11231" s="231">
        <f t="shared" si="1260"/>
        <v>46050</v>
      </c>
      <c r="E11231" s="233">
        <f t="shared" si="1261"/>
        <v>46050</v>
      </c>
      <c r="F11231" s="478" t="s">
        <v>1670</v>
      </c>
      <c r="G11231" s="222" t="s">
        <v>1111</v>
      </c>
      <c r="H11231" s="223"/>
      <c r="I11231" s="223"/>
      <c r="J11231" s="224" t="s">
        <v>63</v>
      </c>
      <c r="K11231" s="225">
        <v>200</v>
      </c>
      <c r="L11231" s="225"/>
    </row>
    <row r="11232" spans="1:13" ht="11.25" customHeight="1" x14ac:dyDescent="0.2">
      <c r="A11232" s="226">
        <v>2026</v>
      </c>
      <c r="B11232" s="226">
        <v>1</v>
      </c>
      <c r="C11232" s="226">
        <v>28</v>
      </c>
      <c r="D11232" s="232">
        <f t="shared" si="1260"/>
        <v>46050</v>
      </c>
      <c r="E11232" s="234">
        <f t="shared" si="1261"/>
        <v>46050</v>
      </c>
      <c r="F11232" s="479"/>
      <c r="G11232" s="227" t="s">
        <v>1111</v>
      </c>
      <c r="H11232" s="228"/>
      <c r="I11232" s="228"/>
      <c r="J11232" s="229" t="s">
        <v>55</v>
      </c>
      <c r="K11232" s="230"/>
      <c r="L11232" s="230">
        <f>K11231</f>
        <v>200</v>
      </c>
    </row>
    <row r="11233" spans="1:14" ht="11.25" customHeight="1" x14ac:dyDescent="0.2">
      <c r="A11233" s="221">
        <v>2026</v>
      </c>
      <c r="B11233" s="221">
        <v>1</v>
      </c>
      <c r="C11233" s="221">
        <v>28</v>
      </c>
      <c r="D11233" s="231">
        <f t="shared" si="1260"/>
        <v>46050</v>
      </c>
      <c r="E11233" s="233">
        <f>DATE(A11233,B11233,C11233)</f>
        <v>46050</v>
      </c>
      <c r="F11233" s="478" t="s">
        <v>1984</v>
      </c>
      <c r="G11233" s="222" t="s">
        <v>1111</v>
      </c>
      <c r="H11233" s="223" t="str" cm="1">
        <f t="array" ref="H11233">IFERROR(INDEX(INVESTOR_LIST[INVESTOR NAME],MATCH(I11233,INVESTOR_LIST[INVESTOR CODE],0),)," ")</f>
        <v xml:space="preserve"> </v>
      </c>
      <c r="I11233" s="223"/>
      <c r="J11233" s="224" t="s">
        <v>961</v>
      </c>
      <c r="K11233" s="225">
        <v>681825.08</v>
      </c>
      <c r="L11233" s="225"/>
    </row>
    <row r="11234" spans="1:14" ht="11.25" customHeight="1" x14ac:dyDescent="0.2">
      <c r="A11234" s="226">
        <v>2026</v>
      </c>
      <c r="B11234" s="226">
        <v>1</v>
      </c>
      <c r="C11234" s="226">
        <v>28</v>
      </c>
      <c r="D11234" s="232">
        <f t="shared" si="1260"/>
        <v>46050</v>
      </c>
      <c r="E11234" s="234">
        <f>DATE(A11234,B11234,C11234)</f>
        <v>46050</v>
      </c>
      <c r="F11234" s="479"/>
      <c r="G11234" s="227" t="s">
        <v>1111</v>
      </c>
      <c r="H11234" s="228" t="str" cm="1">
        <f t="array" ref="H11234">IFERROR(INDEX(INVESTOR_LIST[INVESTOR NAME],MATCH(I11234,INVESTOR_LIST[INVESTOR CODE],0),)," ")</f>
        <v xml:space="preserve"> </v>
      </c>
      <c r="I11234" s="228"/>
      <c r="J11234" s="229" t="s">
        <v>55</v>
      </c>
      <c r="K11234" s="230"/>
      <c r="L11234" s="230">
        <f>K11233</f>
        <v>681825.08</v>
      </c>
    </row>
    <row r="11235" spans="1:14" ht="11.25" customHeight="1" x14ac:dyDescent="0.2">
      <c r="A11235" s="221">
        <v>2026</v>
      </c>
      <c r="B11235" s="221">
        <v>1</v>
      </c>
      <c r="C11235" s="221">
        <v>28</v>
      </c>
      <c r="D11235" s="221">
        <f t="shared" si="1260"/>
        <v>46050</v>
      </c>
      <c r="E11235" s="233">
        <f t="shared" ref="E11235:E11266" si="1262">DATE(A11235,B11235,C11235)</f>
        <v>46050</v>
      </c>
      <c r="F11235" s="478" t="s">
        <v>1937</v>
      </c>
      <c r="G11235" s="222" t="s">
        <v>86</v>
      </c>
      <c r="H11235" s="222"/>
      <c r="I11235" s="223"/>
      <c r="J11235" s="224" t="s">
        <v>80</v>
      </c>
      <c r="K11235" s="225">
        <v>1905265</v>
      </c>
      <c r="L11235" s="225"/>
      <c r="N11235" s="263"/>
    </row>
    <row r="11236" spans="1:14" ht="11.25" customHeight="1" x14ac:dyDescent="0.2">
      <c r="A11236" s="164">
        <v>2026</v>
      </c>
      <c r="B11236" s="164">
        <v>1</v>
      </c>
      <c r="C11236" s="164">
        <v>28</v>
      </c>
      <c r="D11236" s="164">
        <f t="shared" si="1260"/>
        <v>46050</v>
      </c>
      <c r="E11236" s="235">
        <f t="shared" si="1262"/>
        <v>46050</v>
      </c>
      <c r="F11236" s="480"/>
      <c r="G11236" s="208" t="s">
        <v>86</v>
      </c>
      <c r="H11236" s="208"/>
      <c r="J11236" s="165" t="s">
        <v>960</v>
      </c>
      <c r="K11236" s="205">
        <v>5844.75</v>
      </c>
      <c r="L11236" s="205"/>
      <c r="M11236" s="263"/>
      <c r="N11236" s="263"/>
    </row>
    <row r="11237" spans="1:14" ht="11.25" customHeight="1" x14ac:dyDescent="0.2">
      <c r="A11237" s="164">
        <v>2026</v>
      </c>
      <c r="B11237" s="164">
        <v>1</v>
      </c>
      <c r="C11237" s="164">
        <v>28</v>
      </c>
      <c r="D11237" s="164">
        <f t="shared" si="1260"/>
        <v>46050</v>
      </c>
      <c r="E11237" s="235">
        <f t="shared" si="1262"/>
        <v>46050</v>
      </c>
      <c r="F11237" s="480"/>
      <c r="G11237" s="208" t="s">
        <v>86</v>
      </c>
      <c r="H11237" s="208"/>
      <c r="J11237" s="165" t="s">
        <v>961</v>
      </c>
      <c r="K11237" s="263"/>
      <c r="L11237" s="205">
        <v>569293.75</v>
      </c>
      <c r="M11237" s="263"/>
      <c r="N11237" s="263"/>
    </row>
    <row r="11238" spans="1:14" ht="11.25" customHeight="1" x14ac:dyDescent="0.2">
      <c r="A11238" s="164">
        <v>2026</v>
      </c>
      <c r="B11238" s="164">
        <v>1</v>
      </c>
      <c r="C11238" s="164">
        <v>28</v>
      </c>
      <c r="D11238" s="164">
        <f t="shared" si="1260"/>
        <v>46050</v>
      </c>
      <c r="E11238" s="235">
        <f t="shared" si="1262"/>
        <v>46050</v>
      </c>
      <c r="F11238" s="480"/>
      <c r="G11238" s="208" t="s">
        <v>86</v>
      </c>
      <c r="H11238" s="208"/>
      <c r="J11238" s="165" t="s">
        <v>200</v>
      </c>
      <c r="K11238" s="205"/>
      <c r="L11238" s="205">
        <v>227973.56</v>
      </c>
      <c r="M11238" s="263"/>
      <c r="N11238" s="263"/>
    </row>
    <row r="11239" spans="1:14" ht="11.25" customHeight="1" x14ac:dyDescent="0.2">
      <c r="A11239" s="226">
        <v>2026</v>
      </c>
      <c r="B11239" s="226">
        <v>1</v>
      </c>
      <c r="C11239" s="226">
        <v>28</v>
      </c>
      <c r="D11239" s="226">
        <f t="shared" si="1260"/>
        <v>46050</v>
      </c>
      <c r="E11239" s="234">
        <f t="shared" si="1262"/>
        <v>46050</v>
      </c>
      <c r="F11239" s="479"/>
      <c r="G11239" s="227" t="s">
        <v>86</v>
      </c>
      <c r="H11239" s="228"/>
      <c r="I11239" s="228"/>
      <c r="J11239" s="229" t="s">
        <v>80</v>
      </c>
      <c r="K11239" s="230"/>
      <c r="L11239" s="230">
        <v>1113842.44</v>
      </c>
      <c r="M11239" s="263"/>
      <c r="N11239" s="263"/>
    </row>
    <row r="11240" spans="1:14" ht="11.25" customHeight="1" x14ac:dyDescent="0.2">
      <c r="A11240" s="221">
        <v>2026</v>
      </c>
      <c r="B11240" s="221">
        <v>1</v>
      </c>
      <c r="C11240" s="221">
        <v>28</v>
      </c>
      <c r="D11240" s="221">
        <f t="shared" si="1260"/>
        <v>46050</v>
      </c>
      <c r="E11240" s="233">
        <f t="shared" si="1262"/>
        <v>46050</v>
      </c>
      <c r="F11240" s="478" t="s">
        <v>1983</v>
      </c>
      <c r="G11240" s="222" t="s">
        <v>86</v>
      </c>
      <c r="H11240" s="222"/>
      <c r="I11240" s="223"/>
      <c r="J11240" s="224" t="s">
        <v>80</v>
      </c>
      <c r="K11240" s="225">
        <v>559600</v>
      </c>
      <c r="L11240" s="225"/>
      <c r="N11240" s="263"/>
    </row>
    <row r="11241" spans="1:14" ht="11.25" customHeight="1" x14ac:dyDescent="0.2">
      <c r="A11241" s="164">
        <v>2026</v>
      </c>
      <c r="B11241" s="164">
        <v>1</v>
      </c>
      <c r="C11241" s="164">
        <v>28</v>
      </c>
      <c r="D11241" s="164">
        <f t="shared" si="1260"/>
        <v>46050</v>
      </c>
      <c r="E11241" s="235">
        <f t="shared" si="1262"/>
        <v>46050</v>
      </c>
      <c r="F11241" s="480"/>
      <c r="G11241" s="208" t="s">
        <v>86</v>
      </c>
      <c r="H11241" s="208"/>
      <c r="J11241" s="165" t="s">
        <v>960</v>
      </c>
      <c r="K11241" s="205">
        <v>1669.68</v>
      </c>
      <c r="L11241" s="205"/>
      <c r="M11241" s="263"/>
      <c r="N11241" s="263"/>
    </row>
    <row r="11242" spans="1:14" ht="11.25" customHeight="1" x14ac:dyDescent="0.2">
      <c r="A11242" s="164">
        <v>2026</v>
      </c>
      <c r="B11242" s="164">
        <v>1</v>
      </c>
      <c r="C11242" s="164">
        <v>28</v>
      </c>
      <c r="D11242" s="164">
        <f t="shared" si="1260"/>
        <v>46050</v>
      </c>
      <c r="E11242" s="235">
        <f t="shared" si="1262"/>
        <v>46050</v>
      </c>
      <c r="F11242" s="480"/>
      <c r="G11242" s="208" t="s">
        <v>86</v>
      </c>
      <c r="H11242" s="208"/>
      <c r="J11242" s="165" t="s">
        <v>961</v>
      </c>
      <c r="K11242" s="263"/>
      <c r="L11242" s="205">
        <v>193269.68</v>
      </c>
      <c r="M11242" s="263"/>
      <c r="N11242" s="263"/>
    </row>
    <row r="11243" spans="1:14" ht="11.25" customHeight="1" x14ac:dyDescent="0.2">
      <c r="A11243" s="164">
        <v>2026</v>
      </c>
      <c r="B11243" s="164">
        <v>1</v>
      </c>
      <c r="C11243" s="164">
        <v>28</v>
      </c>
      <c r="D11243" s="164">
        <f t="shared" si="1260"/>
        <v>46050</v>
      </c>
      <c r="E11243" s="235">
        <f t="shared" si="1262"/>
        <v>46050</v>
      </c>
      <c r="F11243" s="480"/>
      <c r="G11243" s="208" t="s">
        <v>86</v>
      </c>
      <c r="H11243" s="208"/>
      <c r="J11243" s="165" t="s">
        <v>200</v>
      </c>
      <c r="K11243" s="205"/>
      <c r="L11243" s="205">
        <v>76077.47</v>
      </c>
      <c r="M11243" s="263"/>
      <c r="N11243" s="263"/>
    </row>
    <row r="11244" spans="1:14" ht="11.25" customHeight="1" x14ac:dyDescent="0.2">
      <c r="A11244" s="226">
        <v>2026</v>
      </c>
      <c r="B11244" s="226">
        <v>1</v>
      </c>
      <c r="C11244" s="226">
        <v>28</v>
      </c>
      <c r="D11244" s="226">
        <f t="shared" si="1260"/>
        <v>46050</v>
      </c>
      <c r="E11244" s="234">
        <f t="shared" si="1262"/>
        <v>46050</v>
      </c>
      <c r="F11244" s="479"/>
      <c r="G11244" s="227" t="s">
        <v>86</v>
      </c>
      <c r="H11244" s="228"/>
      <c r="I11244" s="228"/>
      <c r="J11244" s="229" t="s">
        <v>80</v>
      </c>
      <c r="K11244" s="230"/>
      <c r="L11244" s="230">
        <v>291922.53000000003</v>
      </c>
      <c r="M11244" s="263"/>
      <c r="N11244" s="263"/>
    </row>
    <row r="11245" spans="1:14" ht="11.25" customHeight="1" x14ac:dyDescent="0.2">
      <c r="A11245" s="164">
        <v>2026</v>
      </c>
      <c r="B11245" s="164">
        <v>1</v>
      </c>
      <c r="C11245" s="164">
        <v>28</v>
      </c>
      <c r="D11245" s="231">
        <f t="shared" si="1260"/>
        <v>46050</v>
      </c>
      <c r="E11245" s="233">
        <f t="shared" si="1262"/>
        <v>46050</v>
      </c>
      <c r="F11245" s="478" t="s">
        <v>1196</v>
      </c>
      <c r="G11245" s="222" t="s">
        <v>1111</v>
      </c>
      <c r="H11245" s="223"/>
      <c r="I11245" s="223"/>
      <c r="J11245" s="224" t="s">
        <v>95</v>
      </c>
      <c r="K11245" s="225">
        <f>L11247/0.9</f>
        <v>5579.6</v>
      </c>
      <c r="L11245" s="225"/>
      <c r="M11245" s="166"/>
    </row>
    <row r="11246" spans="1:14" ht="11.25" customHeight="1" x14ac:dyDescent="0.2">
      <c r="A11246" s="164">
        <v>2026</v>
      </c>
      <c r="B11246" s="164">
        <v>1</v>
      </c>
      <c r="C11246" s="164">
        <v>28</v>
      </c>
      <c r="D11246" s="156">
        <f t="shared" si="1260"/>
        <v>46050</v>
      </c>
      <c r="E11246" s="235">
        <f t="shared" si="1262"/>
        <v>46050</v>
      </c>
      <c r="F11246" s="480"/>
      <c r="G11246" s="208" t="s">
        <v>1111</v>
      </c>
      <c r="J11246" s="165" t="s">
        <v>478</v>
      </c>
      <c r="K11246" s="205"/>
      <c r="L11246" s="205">
        <f>K11245-L11247</f>
        <v>557.96</v>
      </c>
    </row>
    <row r="11247" spans="1:14" ht="11.25" customHeight="1" x14ac:dyDescent="0.2">
      <c r="A11247" s="164">
        <v>2026</v>
      </c>
      <c r="B11247" s="164">
        <v>1</v>
      </c>
      <c r="C11247" s="164">
        <v>28</v>
      </c>
      <c r="D11247" s="232">
        <f t="shared" si="1260"/>
        <v>46050</v>
      </c>
      <c r="E11247" s="234">
        <f t="shared" si="1262"/>
        <v>46050</v>
      </c>
      <c r="F11247" s="479"/>
      <c r="G11247" s="208" t="s">
        <v>1111</v>
      </c>
      <c r="J11247" s="165" t="s">
        <v>55</v>
      </c>
      <c r="K11247" s="230"/>
      <c r="L11247" s="230">
        <v>5021.6400000000003</v>
      </c>
    </row>
    <row r="11248" spans="1:14" ht="11.25" customHeight="1" x14ac:dyDescent="0.2">
      <c r="A11248" s="221">
        <v>2026</v>
      </c>
      <c r="B11248" s="221">
        <v>1</v>
      </c>
      <c r="C11248" s="221">
        <v>28</v>
      </c>
      <c r="D11248" s="231">
        <f t="shared" si="1260"/>
        <v>46050</v>
      </c>
      <c r="E11248" s="233">
        <f t="shared" si="1262"/>
        <v>46050</v>
      </c>
      <c r="F11248" s="478" t="s">
        <v>1323</v>
      </c>
      <c r="G11248" s="222" t="s">
        <v>1111</v>
      </c>
      <c r="H11248" s="223" t="str" cm="1">
        <f t="array" ref="H11248">IFERROR(INDEX(INVESTOR_LIST[INVESTOR NAME],MATCH(I11248,INVESTOR_LIST[INVESTOR CODE],0),)," ")</f>
        <v>SRIJON GHOSH</v>
      </c>
      <c r="I11248" s="223" t="s">
        <v>1237</v>
      </c>
      <c r="J11248" s="224" t="s">
        <v>55</v>
      </c>
      <c r="K11248" s="225">
        <v>120000</v>
      </c>
      <c r="L11248" s="225"/>
    </row>
    <row r="11249" spans="1:13" ht="11.25" customHeight="1" x14ac:dyDescent="0.2">
      <c r="A11249" s="164">
        <v>2026</v>
      </c>
      <c r="B11249" s="164">
        <v>1</v>
      </c>
      <c r="C11249" s="164">
        <v>28</v>
      </c>
      <c r="D11249" s="156">
        <f t="shared" si="1260"/>
        <v>46050</v>
      </c>
      <c r="E11249" s="235">
        <f t="shared" si="1262"/>
        <v>46050</v>
      </c>
      <c r="F11249" s="480"/>
      <c r="G11249" s="208" t="s">
        <v>1111</v>
      </c>
      <c r="H11249" s="206" t="str" cm="1">
        <f t="array" ref="H11249">IFERROR(INDEX(INVESTOR_LIST[INVESTOR NAME],MATCH(I11249,INVESTOR_LIST[INVESTOR CODE],0),)," ")</f>
        <v>SRIJON GHOSH</v>
      </c>
      <c r="I11249" s="206" t="s">
        <v>1237</v>
      </c>
      <c r="J11249" s="165" t="s">
        <v>14</v>
      </c>
      <c r="K11249" s="205"/>
      <c r="L11249" s="205">
        <v>98780</v>
      </c>
      <c r="M11249" s="166"/>
    </row>
    <row r="11250" spans="1:13" ht="11.25" customHeight="1" x14ac:dyDescent="0.2">
      <c r="A11250" s="226">
        <v>2026</v>
      </c>
      <c r="B11250" s="226">
        <v>1</v>
      </c>
      <c r="C11250" s="226">
        <v>28</v>
      </c>
      <c r="D11250" s="232">
        <f t="shared" si="1260"/>
        <v>46050</v>
      </c>
      <c r="E11250" s="234">
        <f t="shared" si="1262"/>
        <v>46050</v>
      </c>
      <c r="F11250" s="480"/>
      <c r="G11250" s="227" t="s">
        <v>1111</v>
      </c>
      <c r="H11250" s="228" t="str" cm="1">
        <f t="array" ref="H11250">IFERROR(INDEX(INVESTOR_LIST[INVESTOR NAME],MATCH(I11250,INVESTOR_LIST[INVESTOR CODE],0),)," ")</f>
        <v>SRIJON GHOSH</v>
      </c>
      <c r="I11250" s="228" t="s">
        <v>1237</v>
      </c>
      <c r="J11250" s="229" t="s">
        <v>1112</v>
      </c>
      <c r="K11250" s="230"/>
      <c r="L11250" s="230">
        <v>21220</v>
      </c>
    </row>
    <row r="11251" spans="1:13" ht="11.25" customHeight="1" x14ac:dyDescent="0.2">
      <c r="A11251" s="280">
        <v>2026</v>
      </c>
      <c r="B11251" s="280">
        <v>1</v>
      </c>
      <c r="C11251" s="280">
        <v>28</v>
      </c>
      <c r="D11251" s="281">
        <f t="shared" si="1260"/>
        <v>46050</v>
      </c>
      <c r="E11251" s="282">
        <f t="shared" si="1262"/>
        <v>46050</v>
      </c>
      <c r="F11251" s="481" t="s">
        <v>1744</v>
      </c>
      <c r="G11251" s="455" t="s">
        <v>86</v>
      </c>
      <c r="H11251" s="456"/>
      <c r="I11251" s="456"/>
      <c r="J11251" s="457" t="s">
        <v>131</v>
      </c>
      <c r="K11251" s="286">
        <v>2875</v>
      </c>
      <c r="L11251" s="286"/>
      <c r="M11251" s="401"/>
    </row>
    <row r="11252" spans="1:13" ht="11.25" customHeight="1" x14ac:dyDescent="0.2">
      <c r="A11252" s="287">
        <v>2026</v>
      </c>
      <c r="B11252" s="287">
        <v>1</v>
      </c>
      <c r="C11252" s="287">
        <v>28</v>
      </c>
      <c r="D11252" s="288">
        <f t="shared" si="1260"/>
        <v>46050</v>
      </c>
      <c r="E11252" s="289">
        <f t="shared" si="1262"/>
        <v>46050</v>
      </c>
      <c r="F11252" s="473"/>
      <c r="G11252" s="290" t="s">
        <v>86</v>
      </c>
      <c r="H11252" s="291"/>
      <c r="I11252" s="291"/>
      <c r="J11252" s="292" t="s">
        <v>1469</v>
      </c>
      <c r="K11252" s="293"/>
      <c r="L11252" s="293">
        <f>K11251</f>
        <v>2875</v>
      </c>
    </row>
    <row r="11253" spans="1:13" ht="11.25" customHeight="1" x14ac:dyDescent="0.2">
      <c r="A11253" s="280">
        <v>2026</v>
      </c>
      <c r="B11253" s="280">
        <v>1</v>
      </c>
      <c r="C11253" s="280">
        <v>28</v>
      </c>
      <c r="D11253" s="281">
        <f t="shared" si="1260"/>
        <v>46050</v>
      </c>
      <c r="E11253" s="282">
        <f t="shared" si="1262"/>
        <v>46050</v>
      </c>
      <c r="F11253" s="472" t="s">
        <v>1584</v>
      </c>
      <c r="G11253" s="283" t="s">
        <v>86</v>
      </c>
      <c r="H11253" s="284"/>
      <c r="I11253" s="284"/>
      <c r="J11253" s="285" t="s">
        <v>131</v>
      </c>
      <c r="K11253" s="286">
        <v>1277.7777777777778</v>
      </c>
      <c r="L11253" s="286"/>
      <c r="M11253" s="401"/>
    </row>
    <row r="11254" spans="1:13" ht="11.25" customHeight="1" x14ac:dyDescent="0.2">
      <c r="A11254" s="287">
        <v>2026</v>
      </c>
      <c r="B11254" s="287">
        <v>1</v>
      </c>
      <c r="C11254" s="287">
        <v>28</v>
      </c>
      <c r="D11254" s="288">
        <f t="shared" si="1260"/>
        <v>46050</v>
      </c>
      <c r="E11254" s="289">
        <f t="shared" si="1262"/>
        <v>46050</v>
      </c>
      <c r="F11254" s="473"/>
      <c r="G11254" s="290" t="s">
        <v>86</v>
      </c>
      <c r="H11254" s="291"/>
      <c r="I11254" s="291"/>
      <c r="J11254" s="292" t="s">
        <v>1469</v>
      </c>
      <c r="K11254" s="293"/>
      <c r="L11254" s="293">
        <f>K11253</f>
        <v>1277.7777777777778</v>
      </c>
    </row>
    <row r="11255" spans="1:13" ht="11.25" customHeight="1" x14ac:dyDescent="0.2">
      <c r="A11255" s="280">
        <v>2026</v>
      </c>
      <c r="B11255" s="280">
        <v>1</v>
      </c>
      <c r="C11255" s="280">
        <v>28</v>
      </c>
      <c r="D11255" s="281">
        <f t="shared" si="1260"/>
        <v>46050</v>
      </c>
      <c r="E11255" s="282">
        <f t="shared" si="1262"/>
        <v>46050</v>
      </c>
      <c r="F11255" s="472" t="s">
        <v>1955</v>
      </c>
      <c r="G11255" s="283" t="s">
        <v>86</v>
      </c>
      <c r="H11255" s="284"/>
      <c r="I11255" s="284"/>
      <c r="J11255" s="285" t="s">
        <v>1978</v>
      </c>
      <c r="K11255" s="286">
        <v>6185.4395604395604</v>
      </c>
      <c r="L11255" s="286"/>
      <c r="M11255" s="401"/>
    </row>
    <row r="11256" spans="1:13" ht="11.25" customHeight="1" x14ac:dyDescent="0.2">
      <c r="A11256" s="287">
        <v>2026</v>
      </c>
      <c r="B11256" s="287">
        <v>1</v>
      </c>
      <c r="C11256" s="287">
        <v>28</v>
      </c>
      <c r="D11256" s="288">
        <f t="shared" si="1260"/>
        <v>46050</v>
      </c>
      <c r="E11256" s="289">
        <f t="shared" si="1262"/>
        <v>46050</v>
      </c>
      <c r="F11256" s="473"/>
      <c r="G11256" s="290" t="s">
        <v>86</v>
      </c>
      <c r="H11256" s="291"/>
      <c r="I11256" s="291"/>
      <c r="J11256" s="292" t="s">
        <v>1955</v>
      </c>
      <c r="K11256" s="293"/>
      <c r="L11256" s="293">
        <f>K11255</f>
        <v>6185.4395604395604</v>
      </c>
    </row>
    <row r="11257" spans="1:13" ht="11.25" customHeight="1" x14ac:dyDescent="0.2">
      <c r="A11257" s="341">
        <v>2026</v>
      </c>
      <c r="B11257" s="341">
        <v>1</v>
      </c>
      <c r="C11257" s="341">
        <v>28</v>
      </c>
      <c r="D11257" s="328">
        <f t="shared" si="1260"/>
        <v>46050</v>
      </c>
      <c r="E11257" s="329">
        <f t="shared" si="1262"/>
        <v>46050</v>
      </c>
      <c r="F11257" s="474" t="s">
        <v>1767</v>
      </c>
      <c r="G11257" s="330" t="s">
        <v>86</v>
      </c>
      <c r="H11257" s="332"/>
      <c r="I11257" s="332"/>
      <c r="J11257" s="342" t="s">
        <v>67</v>
      </c>
      <c r="K11257" s="343">
        <v>1328.7116327777778</v>
      </c>
      <c r="L11257" s="343"/>
      <c r="M11257" s="166"/>
    </row>
    <row r="11258" spans="1:13" ht="11.25" customHeight="1" x14ac:dyDescent="0.2">
      <c r="A11258" s="344">
        <v>2026</v>
      </c>
      <c r="B11258" s="344">
        <v>1</v>
      </c>
      <c r="C11258" s="344">
        <v>28</v>
      </c>
      <c r="D11258" s="337">
        <f t="shared" si="1260"/>
        <v>46050</v>
      </c>
      <c r="E11258" s="338">
        <f t="shared" si="1262"/>
        <v>46050</v>
      </c>
      <c r="F11258" s="475"/>
      <c r="G11258" s="339" t="s">
        <v>86</v>
      </c>
      <c r="H11258" s="340"/>
      <c r="I11258" s="340"/>
      <c r="J11258" s="345" t="s">
        <v>1974</v>
      </c>
      <c r="K11258" s="346"/>
      <c r="L11258" s="346">
        <f>K11257</f>
        <v>1328.7116327777778</v>
      </c>
    </row>
    <row r="11259" spans="1:13" ht="11.25" customHeight="1" x14ac:dyDescent="0.2">
      <c r="A11259" s="236">
        <v>2026</v>
      </c>
      <c r="B11259" s="236">
        <v>1</v>
      </c>
      <c r="C11259" s="236">
        <v>28</v>
      </c>
      <c r="D11259" s="237">
        <f t="shared" si="1260"/>
        <v>46050</v>
      </c>
      <c r="E11259" s="238">
        <f t="shared" si="1262"/>
        <v>46050</v>
      </c>
      <c r="F11259" s="476" t="s">
        <v>1118</v>
      </c>
      <c r="G11259" s="239" t="s">
        <v>86</v>
      </c>
      <c r="H11259" s="239"/>
      <c r="I11259" s="240"/>
      <c r="J11259" s="241" t="s">
        <v>98</v>
      </c>
      <c r="K11259" s="242">
        <v>2524862.0700000226</v>
      </c>
      <c r="L11259" s="242"/>
      <c r="M11259" s="166"/>
    </row>
    <row r="11260" spans="1:13" ht="11.25" customHeight="1" x14ac:dyDescent="0.2">
      <c r="A11260" s="243">
        <v>2026</v>
      </c>
      <c r="B11260" s="243">
        <v>1</v>
      </c>
      <c r="C11260" s="243">
        <v>28</v>
      </c>
      <c r="D11260" s="248">
        <f t="shared" si="1260"/>
        <v>46050</v>
      </c>
      <c r="E11260" s="249">
        <f t="shared" si="1262"/>
        <v>46050</v>
      </c>
      <c r="F11260" s="477"/>
      <c r="G11260" s="244" t="s">
        <v>86</v>
      </c>
      <c r="H11260" s="244"/>
      <c r="I11260" s="245"/>
      <c r="J11260" s="246" t="s">
        <v>82</v>
      </c>
      <c r="K11260" s="247"/>
      <c r="L11260" s="247">
        <f>K11259</f>
        <v>2524862.0700000226</v>
      </c>
    </row>
    <row r="11261" spans="1:13" ht="11.25" customHeight="1" x14ac:dyDescent="0.2">
      <c r="A11261" s="236">
        <v>2026</v>
      </c>
      <c r="B11261" s="236">
        <v>1</v>
      </c>
      <c r="C11261" s="236">
        <v>28</v>
      </c>
      <c r="D11261" s="237">
        <f t="shared" si="1260"/>
        <v>46050</v>
      </c>
      <c r="E11261" s="238">
        <f t="shared" si="1262"/>
        <v>46050</v>
      </c>
      <c r="F11261" s="476" t="s">
        <v>1999</v>
      </c>
      <c r="G11261" s="239" t="s">
        <v>86</v>
      </c>
      <c r="H11261" s="239"/>
      <c r="I11261" s="240"/>
      <c r="J11261" s="241" t="s">
        <v>87</v>
      </c>
      <c r="K11261" s="242">
        <v>392.46467817896388</v>
      </c>
      <c r="L11261" s="242"/>
      <c r="M11261" s="401"/>
    </row>
    <row r="11262" spans="1:13" ht="11.25" customHeight="1" x14ac:dyDescent="0.2">
      <c r="A11262" s="243">
        <v>2026</v>
      </c>
      <c r="B11262" s="243">
        <v>1</v>
      </c>
      <c r="C11262" s="243">
        <v>28</v>
      </c>
      <c r="D11262" s="248">
        <f t="shared" si="1260"/>
        <v>46050</v>
      </c>
      <c r="E11262" s="249">
        <f t="shared" si="1262"/>
        <v>46050</v>
      </c>
      <c r="F11262" s="477"/>
      <c r="G11262" s="244" t="s">
        <v>86</v>
      </c>
      <c r="H11262" s="244"/>
      <c r="I11262" s="245"/>
      <c r="J11262" s="246" t="s">
        <v>64</v>
      </c>
      <c r="K11262" s="247"/>
      <c r="L11262" s="247">
        <f>K11261</f>
        <v>392.46467817896388</v>
      </c>
    </row>
    <row r="11263" spans="1:13" ht="11.25" customHeight="1" x14ac:dyDescent="0.2">
      <c r="A11263" s="236">
        <v>2026</v>
      </c>
      <c r="B11263" s="236">
        <v>1</v>
      </c>
      <c r="C11263" s="236">
        <v>28</v>
      </c>
      <c r="D11263" s="237">
        <f t="shared" si="1260"/>
        <v>46050</v>
      </c>
      <c r="E11263" s="238">
        <f t="shared" si="1262"/>
        <v>46050</v>
      </c>
      <c r="F11263" s="476" t="s">
        <v>2000</v>
      </c>
      <c r="G11263" s="239" t="s">
        <v>86</v>
      </c>
      <c r="H11263" s="239"/>
      <c r="I11263" s="240"/>
      <c r="J11263" s="241" t="s">
        <v>89</v>
      </c>
      <c r="K11263" s="242">
        <v>14671.346875439422</v>
      </c>
      <c r="L11263" s="242"/>
      <c r="M11263" s="448"/>
    </row>
    <row r="11264" spans="1:13" ht="11.25" customHeight="1" x14ac:dyDescent="0.2">
      <c r="A11264" s="243">
        <v>2026</v>
      </c>
      <c r="B11264" s="243">
        <v>1</v>
      </c>
      <c r="C11264" s="243">
        <v>28</v>
      </c>
      <c r="D11264" s="248">
        <f t="shared" si="1260"/>
        <v>46050</v>
      </c>
      <c r="E11264" s="249">
        <f t="shared" si="1262"/>
        <v>46050</v>
      </c>
      <c r="F11264" s="477"/>
      <c r="G11264" s="244" t="s">
        <v>86</v>
      </c>
      <c r="H11264" s="244"/>
      <c r="I11264" s="245"/>
      <c r="J11264" s="246" t="s">
        <v>50</v>
      </c>
      <c r="K11264" s="247"/>
      <c r="L11264" s="247">
        <f>K11263</f>
        <v>14671.346875439422</v>
      </c>
      <c r="M11264" s="448"/>
    </row>
    <row r="11265" spans="1:14" ht="11.25" customHeight="1" x14ac:dyDescent="0.2">
      <c r="A11265" s="236">
        <v>2026</v>
      </c>
      <c r="B11265" s="236">
        <v>1</v>
      </c>
      <c r="C11265" s="236">
        <v>28</v>
      </c>
      <c r="D11265" s="237">
        <f t="shared" si="1260"/>
        <v>46050</v>
      </c>
      <c r="E11265" s="238">
        <f t="shared" si="1262"/>
        <v>46050</v>
      </c>
      <c r="F11265" s="476" t="s">
        <v>2001</v>
      </c>
      <c r="G11265" s="239" t="s">
        <v>86</v>
      </c>
      <c r="H11265" s="239"/>
      <c r="I11265" s="240"/>
      <c r="J11265" s="241" t="s">
        <v>91</v>
      </c>
      <c r="K11265" s="242">
        <v>703.36451697068674</v>
      </c>
      <c r="L11265" s="242"/>
    </row>
    <row r="11266" spans="1:14" ht="11.25" customHeight="1" x14ac:dyDescent="0.2">
      <c r="A11266" s="243">
        <v>2026</v>
      </c>
      <c r="B11266" s="243">
        <v>1</v>
      </c>
      <c r="C11266" s="243">
        <v>28</v>
      </c>
      <c r="D11266" s="248">
        <f t="shared" si="1260"/>
        <v>46050</v>
      </c>
      <c r="E11266" s="249">
        <f t="shared" si="1262"/>
        <v>46050</v>
      </c>
      <c r="F11266" s="477"/>
      <c r="G11266" s="244" t="s">
        <v>86</v>
      </c>
      <c r="H11266" s="244"/>
      <c r="I11266" s="245"/>
      <c r="J11266" s="246" t="s">
        <v>51</v>
      </c>
      <c r="K11266" s="247"/>
      <c r="L11266" s="247">
        <f>K11265</f>
        <v>703.36451697068674</v>
      </c>
    </row>
    <row r="11267" spans="1:14" ht="11.25" customHeight="1" x14ac:dyDescent="0.2">
      <c r="A11267" s="221">
        <v>2026</v>
      </c>
      <c r="B11267" s="221">
        <v>1</v>
      </c>
      <c r="C11267" s="221">
        <v>29</v>
      </c>
      <c r="D11267" s="231">
        <f t="shared" si="1260"/>
        <v>46051</v>
      </c>
      <c r="E11267" s="233">
        <f>DATE(A11267,B11267,C11267)</f>
        <v>46051</v>
      </c>
      <c r="F11267" s="478" t="s">
        <v>1984</v>
      </c>
      <c r="G11267" s="222" t="s">
        <v>1111</v>
      </c>
      <c r="H11267" s="223" t="str" cm="1">
        <f t="array" ref="H11267">IFERROR(INDEX(INVESTOR_LIST[INVESTOR NAME],MATCH(I11267,INVESTOR_LIST[INVESTOR CODE],0),)," ")</f>
        <v xml:space="preserve"> </v>
      </c>
      <c r="I11267" s="223"/>
      <c r="J11267" s="224" t="s">
        <v>961</v>
      </c>
      <c r="K11267" s="225">
        <v>193269.68</v>
      </c>
      <c r="L11267" s="225"/>
    </row>
    <row r="11268" spans="1:14" ht="11.25" customHeight="1" x14ac:dyDescent="0.2">
      <c r="A11268" s="226">
        <v>2026</v>
      </c>
      <c r="B11268" s="226">
        <v>1</v>
      </c>
      <c r="C11268" s="226">
        <v>29</v>
      </c>
      <c r="D11268" s="232">
        <f t="shared" si="1260"/>
        <v>46051</v>
      </c>
      <c r="E11268" s="234">
        <f>DATE(A11268,B11268,C11268)</f>
        <v>46051</v>
      </c>
      <c r="F11268" s="479"/>
      <c r="G11268" s="227" t="s">
        <v>1111</v>
      </c>
      <c r="H11268" s="228" t="str" cm="1">
        <f t="array" ref="H11268">IFERROR(INDEX(INVESTOR_LIST[INVESTOR NAME],MATCH(I11268,INVESTOR_LIST[INVESTOR CODE],0),)," ")</f>
        <v xml:space="preserve"> </v>
      </c>
      <c r="I11268" s="228"/>
      <c r="J11268" s="229" t="s">
        <v>55</v>
      </c>
      <c r="K11268" s="230"/>
      <c r="L11268" s="230">
        <f>K11267</f>
        <v>193269.68</v>
      </c>
    </row>
    <row r="11269" spans="1:14" ht="11.25" customHeight="1" x14ac:dyDescent="0.2">
      <c r="A11269" s="221">
        <v>2026</v>
      </c>
      <c r="B11269" s="221">
        <v>1</v>
      </c>
      <c r="C11269" s="221">
        <v>29</v>
      </c>
      <c r="D11269" s="231">
        <f t="shared" si="1260"/>
        <v>46051</v>
      </c>
      <c r="E11269" s="233">
        <f t="shared" ref="E11269:E11301" si="1263">DATE(A11269,B11269,C11269)</f>
        <v>46051</v>
      </c>
      <c r="F11269" s="478" t="s">
        <v>1940</v>
      </c>
      <c r="G11269" s="222" t="s">
        <v>1111</v>
      </c>
      <c r="H11269" s="223"/>
      <c r="I11269" s="223"/>
      <c r="J11269" s="224" t="s">
        <v>961</v>
      </c>
      <c r="K11269" s="225">
        <v>569293.75</v>
      </c>
      <c r="L11269" s="225"/>
    </row>
    <row r="11270" spans="1:14" ht="11.25" customHeight="1" x14ac:dyDescent="0.2">
      <c r="A11270" s="226">
        <v>2026</v>
      </c>
      <c r="B11270" s="226">
        <v>1</v>
      </c>
      <c r="C11270" s="226">
        <v>29</v>
      </c>
      <c r="D11270" s="232">
        <f t="shared" si="1260"/>
        <v>46051</v>
      </c>
      <c r="E11270" s="234">
        <f t="shared" si="1263"/>
        <v>46051</v>
      </c>
      <c r="F11270" s="479"/>
      <c r="G11270" s="227" t="s">
        <v>1111</v>
      </c>
      <c r="H11270" s="228"/>
      <c r="I11270" s="228"/>
      <c r="J11270" s="229" t="s">
        <v>55</v>
      </c>
      <c r="K11270" s="230"/>
      <c r="L11270" s="230">
        <f>K11269</f>
        <v>569293.75</v>
      </c>
    </row>
    <row r="11271" spans="1:14" ht="11.25" customHeight="1" x14ac:dyDescent="0.2">
      <c r="A11271" s="221">
        <v>2026</v>
      </c>
      <c r="B11271" s="221">
        <v>1</v>
      </c>
      <c r="C11271" s="221">
        <v>29</v>
      </c>
      <c r="D11271" s="231">
        <f t="shared" si="1260"/>
        <v>46051</v>
      </c>
      <c r="E11271" s="233">
        <f t="shared" si="1263"/>
        <v>46051</v>
      </c>
      <c r="F11271" s="478" t="s">
        <v>1670</v>
      </c>
      <c r="G11271" s="222" t="s">
        <v>1111</v>
      </c>
      <c r="H11271" s="223"/>
      <c r="I11271" s="223"/>
      <c r="J11271" s="224" t="s">
        <v>63</v>
      </c>
      <c r="K11271" s="225">
        <v>158</v>
      </c>
      <c r="L11271" s="225"/>
    </row>
    <row r="11272" spans="1:14" ht="11.25" customHeight="1" x14ac:dyDescent="0.2">
      <c r="A11272" s="226">
        <v>2026</v>
      </c>
      <c r="B11272" s="226">
        <v>1</v>
      </c>
      <c r="C11272" s="226">
        <v>29</v>
      </c>
      <c r="D11272" s="232">
        <f t="shared" si="1260"/>
        <v>46051</v>
      </c>
      <c r="E11272" s="234">
        <f t="shared" si="1263"/>
        <v>46051</v>
      </c>
      <c r="F11272" s="479"/>
      <c r="G11272" s="227" t="s">
        <v>1111</v>
      </c>
      <c r="H11272" s="228"/>
      <c r="I11272" s="228"/>
      <c r="J11272" s="229" t="s">
        <v>55</v>
      </c>
      <c r="K11272" s="230"/>
      <c r="L11272" s="230">
        <f>K11271</f>
        <v>158</v>
      </c>
    </row>
    <row r="11273" spans="1:14" ht="11.25" customHeight="1" x14ac:dyDescent="0.2">
      <c r="A11273" s="221">
        <v>2026</v>
      </c>
      <c r="B11273" s="221">
        <v>1</v>
      </c>
      <c r="C11273" s="221">
        <v>29</v>
      </c>
      <c r="D11273" s="221">
        <f t="shared" ref="D11273:D11336" si="1264">DATE(A11273,B11273,C11273)</f>
        <v>46051</v>
      </c>
      <c r="E11273" s="233">
        <f t="shared" si="1263"/>
        <v>46051</v>
      </c>
      <c r="F11273" s="478" t="s">
        <v>1937</v>
      </c>
      <c r="G11273" s="222" t="s">
        <v>86</v>
      </c>
      <c r="H11273" s="222"/>
      <c r="I11273" s="223"/>
      <c r="J11273" s="224" t="s">
        <v>80</v>
      </c>
      <c r="K11273" s="225">
        <v>2780776.6</v>
      </c>
      <c r="L11273" s="225"/>
      <c r="N11273" s="263"/>
    </row>
    <row r="11274" spans="1:14" ht="11.25" customHeight="1" x14ac:dyDescent="0.2">
      <c r="A11274" s="164">
        <v>2026</v>
      </c>
      <c r="B11274" s="164">
        <v>1</v>
      </c>
      <c r="C11274" s="164">
        <v>29</v>
      </c>
      <c r="D11274" s="164">
        <f t="shared" si="1264"/>
        <v>46051</v>
      </c>
      <c r="E11274" s="235">
        <f t="shared" si="1263"/>
        <v>46051</v>
      </c>
      <c r="F11274" s="480"/>
      <c r="G11274" s="208" t="s">
        <v>86</v>
      </c>
      <c r="H11274" s="208"/>
      <c r="J11274" s="165" t="s">
        <v>960</v>
      </c>
      <c r="K11274" s="205">
        <v>7163.6</v>
      </c>
      <c r="L11274" s="205"/>
      <c r="M11274" s="263"/>
      <c r="N11274" s="263"/>
    </row>
    <row r="11275" spans="1:14" ht="11.25" customHeight="1" x14ac:dyDescent="0.2">
      <c r="A11275" s="164">
        <v>2026</v>
      </c>
      <c r="B11275" s="164">
        <v>1</v>
      </c>
      <c r="C11275" s="164">
        <v>29</v>
      </c>
      <c r="D11275" s="164">
        <f t="shared" si="1264"/>
        <v>46051</v>
      </c>
      <c r="E11275" s="235">
        <f t="shared" si="1263"/>
        <v>46051</v>
      </c>
      <c r="F11275" s="480"/>
      <c r="G11275" s="208" t="s">
        <v>86</v>
      </c>
      <c r="H11275" s="208"/>
      <c r="J11275" s="165" t="s">
        <v>961</v>
      </c>
      <c r="K11275" s="263"/>
      <c r="L11275" s="205">
        <v>1588936.4</v>
      </c>
      <c r="M11275" s="263"/>
      <c r="N11275" s="263"/>
    </row>
    <row r="11276" spans="1:14" ht="11.25" customHeight="1" x14ac:dyDescent="0.2">
      <c r="A11276" s="164">
        <v>2026</v>
      </c>
      <c r="B11276" s="164">
        <v>1</v>
      </c>
      <c r="C11276" s="164">
        <v>29</v>
      </c>
      <c r="D11276" s="164">
        <f t="shared" si="1264"/>
        <v>46051</v>
      </c>
      <c r="E11276" s="235">
        <f t="shared" si="1263"/>
        <v>46051</v>
      </c>
      <c r="F11276" s="480"/>
      <c r="G11276" s="208" t="s">
        <v>86</v>
      </c>
      <c r="H11276" s="208"/>
      <c r="J11276" s="165" t="s">
        <v>200</v>
      </c>
      <c r="K11276" s="205"/>
      <c r="L11276" s="205">
        <v>192172.67</v>
      </c>
      <c r="M11276" s="263"/>
      <c r="N11276" s="263"/>
    </row>
    <row r="11277" spans="1:14" ht="11.25" customHeight="1" x14ac:dyDescent="0.2">
      <c r="A11277" s="226">
        <v>2026</v>
      </c>
      <c r="B11277" s="226">
        <v>1</v>
      </c>
      <c r="C11277" s="226">
        <v>29</v>
      </c>
      <c r="D11277" s="226">
        <f t="shared" si="1264"/>
        <v>46051</v>
      </c>
      <c r="E11277" s="234">
        <f t="shared" si="1263"/>
        <v>46051</v>
      </c>
      <c r="F11277" s="479"/>
      <c r="G11277" s="227" t="s">
        <v>86</v>
      </c>
      <c r="H11277" s="228"/>
      <c r="I11277" s="228"/>
      <c r="J11277" s="229" t="s">
        <v>80</v>
      </c>
      <c r="K11277" s="230"/>
      <c r="L11277" s="230">
        <v>1006831.13</v>
      </c>
      <c r="M11277" s="263"/>
      <c r="N11277" s="263"/>
    </row>
    <row r="11278" spans="1:14" ht="11.25" customHeight="1" x14ac:dyDescent="0.2">
      <c r="A11278" s="221">
        <v>2026</v>
      </c>
      <c r="B11278" s="221">
        <v>1</v>
      </c>
      <c r="C11278" s="221">
        <v>29</v>
      </c>
      <c r="D11278" s="221">
        <f t="shared" si="1264"/>
        <v>46051</v>
      </c>
      <c r="E11278" s="233">
        <f t="shared" si="1263"/>
        <v>46051</v>
      </c>
      <c r="F11278" s="478" t="s">
        <v>1983</v>
      </c>
      <c r="G11278" s="222" t="s">
        <v>86</v>
      </c>
      <c r="H11278" s="222"/>
      <c r="I11278" s="223"/>
      <c r="J11278" s="224" t="s">
        <v>80</v>
      </c>
      <c r="K11278" s="225">
        <v>416300</v>
      </c>
      <c r="L11278" s="225"/>
      <c r="N11278" s="263"/>
    </row>
    <row r="11279" spans="1:14" ht="11.25" customHeight="1" x14ac:dyDescent="0.2">
      <c r="A11279" s="164">
        <v>2026</v>
      </c>
      <c r="B11279" s="164">
        <v>1</v>
      </c>
      <c r="C11279" s="164">
        <v>29</v>
      </c>
      <c r="D11279" s="164">
        <f t="shared" si="1264"/>
        <v>46051</v>
      </c>
      <c r="E11279" s="235">
        <f t="shared" si="1263"/>
        <v>46051</v>
      </c>
      <c r="F11279" s="480"/>
      <c r="G11279" s="208" t="s">
        <v>86</v>
      </c>
      <c r="H11279" s="208"/>
      <c r="J11279" s="165" t="s">
        <v>960</v>
      </c>
      <c r="K11279" s="205">
        <v>1083.69</v>
      </c>
      <c r="L11279" s="205"/>
      <c r="M11279" s="263"/>
      <c r="N11279" s="263"/>
    </row>
    <row r="11280" spans="1:14" ht="11.25" customHeight="1" x14ac:dyDescent="0.2">
      <c r="A11280" s="164">
        <v>2026</v>
      </c>
      <c r="B11280" s="164">
        <v>1</v>
      </c>
      <c r="C11280" s="164">
        <v>29</v>
      </c>
      <c r="D11280" s="164">
        <f t="shared" si="1264"/>
        <v>46051</v>
      </c>
      <c r="E11280" s="235">
        <f t="shared" si="1263"/>
        <v>46051</v>
      </c>
      <c r="F11280" s="480"/>
      <c r="G11280" s="208" t="s">
        <v>86</v>
      </c>
      <c r="H11280" s="208"/>
      <c r="J11280" s="165" t="s">
        <v>961</v>
      </c>
      <c r="K11280" s="263"/>
      <c r="L11280" s="205">
        <v>231633.69</v>
      </c>
      <c r="M11280" s="263"/>
      <c r="N11280" s="263"/>
    </row>
    <row r="11281" spans="1:14" ht="11.25" customHeight="1" x14ac:dyDescent="0.2">
      <c r="A11281" s="164">
        <v>2026</v>
      </c>
      <c r="B11281" s="164">
        <v>1</v>
      </c>
      <c r="C11281" s="164">
        <v>29</v>
      </c>
      <c r="D11281" s="164">
        <f t="shared" si="1264"/>
        <v>46051</v>
      </c>
      <c r="E11281" s="235">
        <f t="shared" si="1263"/>
        <v>46051</v>
      </c>
      <c r="F11281" s="480"/>
      <c r="G11281" s="208" t="s">
        <v>86</v>
      </c>
      <c r="H11281" s="208"/>
      <c r="J11281" s="165" t="s">
        <v>200</v>
      </c>
      <c r="K11281" s="205"/>
      <c r="L11281" s="205">
        <v>39788.730000000003</v>
      </c>
      <c r="M11281" s="263"/>
      <c r="N11281" s="263"/>
    </row>
    <row r="11282" spans="1:14" ht="11.25" customHeight="1" x14ac:dyDescent="0.2">
      <c r="A11282" s="226">
        <v>2026</v>
      </c>
      <c r="B11282" s="226">
        <v>1</v>
      </c>
      <c r="C11282" s="226">
        <v>29</v>
      </c>
      <c r="D11282" s="226">
        <f t="shared" si="1264"/>
        <v>46051</v>
      </c>
      <c r="E11282" s="234">
        <f t="shared" si="1263"/>
        <v>46051</v>
      </c>
      <c r="F11282" s="479"/>
      <c r="G11282" s="227" t="s">
        <v>86</v>
      </c>
      <c r="H11282" s="228"/>
      <c r="I11282" s="228"/>
      <c r="J11282" s="229" t="s">
        <v>80</v>
      </c>
      <c r="K11282" s="230"/>
      <c r="L11282" s="230">
        <v>145961.26999999999</v>
      </c>
      <c r="M11282" s="263"/>
      <c r="N11282" s="263"/>
    </row>
    <row r="11283" spans="1:14" ht="11.25" customHeight="1" x14ac:dyDescent="0.2">
      <c r="A11283" s="280">
        <v>2026</v>
      </c>
      <c r="B11283" s="280">
        <v>1</v>
      </c>
      <c r="C11283" s="280">
        <v>29</v>
      </c>
      <c r="D11283" s="281">
        <f t="shared" si="1264"/>
        <v>46051</v>
      </c>
      <c r="E11283" s="282">
        <f t="shared" si="1263"/>
        <v>46051</v>
      </c>
      <c r="F11283" s="481" t="s">
        <v>1744</v>
      </c>
      <c r="G11283" s="455" t="s">
        <v>86</v>
      </c>
      <c r="H11283" s="456"/>
      <c r="I11283" s="456"/>
      <c r="J11283" s="457" t="s">
        <v>131</v>
      </c>
      <c r="K11283" s="286">
        <v>2875</v>
      </c>
      <c r="L11283" s="286"/>
      <c r="M11283" s="401"/>
    </row>
    <row r="11284" spans="1:14" ht="11.25" customHeight="1" x14ac:dyDescent="0.2">
      <c r="A11284" s="287">
        <v>2026</v>
      </c>
      <c r="B11284" s="287">
        <v>1</v>
      </c>
      <c r="C11284" s="287">
        <v>29</v>
      </c>
      <c r="D11284" s="288">
        <f t="shared" si="1264"/>
        <v>46051</v>
      </c>
      <c r="E11284" s="289">
        <f t="shared" si="1263"/>
        <v>46051</v>
      </c>
      <c r="F11284" s="473"/>
      <c r="G11284" s="290" t="s">
        <v>86</v>
      </c>
      <c r="H11284" s="291"/>
      <c r="I11284" s="291"/>
      <c r="J11284" s="292" t="s">
        <v>1469</v>
      </c>
      <c r="K11284" s="293"/>
      <c r="L11284" s="293">
        <f>K11283</f>
        <v>2875</v>
      </c>
    </row>
    <row r="11285" spans="1:14" ht="11.25" customHeight="1" x14ac:dyDescent="0.2">
      <c r="A11285" s="280">
        <v>2026</v>
      </c>
      <c r="B11285" s="280">
        <v>1</v>
      </c>
      <c r="C11285" s="280">
        <v>29</v>
      </c>
      <c r="D11285" s="281">
        <f t="shared" si="1264"/>
        <v>46051</v>
      </c>
      <c r="E11285" s="282">
        <f t="shared" si="1263"/>
        <v>46051</v>
      </c>
      <c r="F11285" s="472" t="s">
        <v>1584</v>
      </c>
      <c r="G11285" s="283" t="s">
        <v>86</v>
      </c>
      <c r="H11285" s="284"/>
      <c r="I11285" s="284"/>
      <c r="J11285" s="285" t="s">
        <v>131</v>
      </c>
      <c r="K11285" s="286">
        <v>1277.7777777777778</v>
      </c>
      <c r="L11285" s="286"/>
      <c r="M11285" s="401"/>
    </row>
    <row r="11286" spans="1:14" ht="11.25" customHeight="1" x14ac:dyDescent="0.2">
      <c r="A11286" s="287">
        <v>2026</v>
      </c>
      <c r="B11286" s="287">
        <v>1</v>
      </c>
      <c r="C11286" s="287">
        <v>29</v>
      </c>
      <c r="D11286" s="288">
        <f t="shared" si="1264"/>
        <v>46051</v>
      </c>
      <c r="E11286" s="289">
        <f t="shared" si="1263"/>
        <v>46051</v>
      </c>
      <c r="F11286" s="473"/>
      <c r="G11286" s="290" t="s">
        <v>86</v>
      </c>
      <c r="H11286" s="291"/>
      <c r="I11286" s="291"/>
      <c r="J11286" s="292" t="s">
        <v>1469</v>
      </c>
      <c r="K11286" s="293"/>
      <c r="L11286" s="293">
        <f>K11285</f>
        <v>1277.7777777777778</v>
      </c>
    </row>
    <row r="11287" spans="1:14" ht="11.25" customHeight="1" x14ac:dyDescent="0.2">
      <c r="A11287" s="280">
        <v>2026</v>
      </c>
      <c r="B11287" s="280">
        <v>1</v>
      </c>
      <c r="C11287" s="280">
        <v>29</v>
      </c>
      <c r="D11287" s="281">
        <f t="shared" si="1264"/>
        <v>46051</v>
      </c>
      <c r="E11287" s="282">
        <f t="shared" si="1263"/>
        <v>46051</v>
      </c>
      <c r="F11287" s="472" t="s">
        <v>1955</v>
      </c>
      <c r="G11287" s="283" t="s">
        <v>86</v>
      </c>
      <c r="H11287" s="284"/>
      <c r="I11287" s="284"/>
      <c r="J11287" s="285" t="s">
        <v>1978</v>
      </c>
      <c r="K11287" s="286">
        <v>6185.4395604395604</v>
      </c>
      <c r="L11287" s="286"/>
      <c r="M11287" s="401"/>
    </row>
    <row r="11288" spans="1:14" ht="11.25" customHeight="1" x14ac:dyDescent="0.2">
      <c r="A11288" s="287">
        <v>2026</v>
      </c>
      <c r="B11288" s="287">
        <v>1</v>
      </c>
      <c r="C11288" s="287">
        <v>29</v>
      </c>
      <c r="D11288" s="288">
        <f t="shared" si="1264"/>
        <v>46051</v>
      </c>
      <c r="E11288" s="289">
        <f t="shared" si="1263"/>
        <v>46051</v>
      </c>
      <c r="F11288" s="473"/>
      <c r="G11288" s="290" t="s">
        <v>86</v>
      </c>
      <c r="H11288" s="291"/>
      <c r="I11288" s="291"/>
      <c r="J11288" s="292" t="s">
        <v>1955</v>
      </c>
      <c r="K11288" s="293"/>
      <c r="L11288" s="293">
        <f>K11287</f>
        <v>6185.4395604395604</v>
      </c>
    </row>
    <row r="11289" spans="1:14" ht="11.25" customHeight="1" x14ac:dyDescent="0.2">
      <c r="A11289" s="341">
        <v>2026</v>
      </c>
      <c r="B11289" s="341">
        <v>1</v>
      </c>
      <c r="C11289" s="341">
        <v>29</v>
      </c>
      <c r="D11289" s="328">
        <f t="shared" si="1264"/>
        <v>46051</v>
      </c>
      <c r="E11289" s="329">
        <f t="shared" si="1263"/>
        <v>46051</v>
      </c>
      <c r="F11289" s="474" t="s">
        <v>1767</v>
      </c>
      <c r="G11289" s="330" t="s">
        <v>86</v>
      </c>
      <c r="H11289" s="332"/>
      <c r="I11289" s="332"/>
      <c r="J11289" s="342" t="s">
        <v>67</v>
      </c>
      <c r="K11289" s="343">
        <v>1169.808320972222</v>
      </c>
      <c r="L11289" s="343"/>
      <c r="M11289" s="166"/>
    </row>
    <row r="11290" spans="1:14" ht="11.25" customHeight="1" x14ac:dyDescent="0.2">
      <c r="A11290" s="344">
        <v>2026</v>
      </c>
      <c r="B11290" s="344">
        <v>1</v>
      </c>
      <c r="C11290" s="344">
        <v>29</v>
      </c>
      <c r="D11290" s="337">
        <f t="shared" si="1264"/>
        <v>46051</v>
      </c>
      <c r="E11290" s="338">
        <f t="shared" si="1263"/>
        <v>46051</v>
      </c>
      <c r="F11290" s="475"/>
      <c r="G11290" s="339" t="s">
        <v>86</v>
      </c>
      <c r="H11290" s="340"/>
      <c r="I11290" s="340"/>
      <c r="J11290" s="345" t="s">
        <v>1974</v>
      </c>
      <c r="K11290" s="346"/>
      <c r="L11290" s="346">
        <f>K11289</f>
        <v>1169.808320972222</v>
      </c>
    </row>
    <row r="11291" spans="1:14" ht="11.25" customHeight="1" x14ac:dyDescent="0.2">
      <c r="A11291" s="236">
        <v>2026</v>
      </c>
      <c r="B11291" s="236">
        <v>1</v>
      </c>
      <c r="C11291" s="236">
        <v>29</v>
      </c>
      <c r="D11291" s="237">
        <f t="shared" si="1264"/>
        <v>46051</v>
      </c>
      <c r="E11291" s="238">
        <f t="shared" si="1263"/>
        <v>46051</v>
      </c>
      <c r="F11291" s="476" t="s">
        <v>1118</v>
      </c>
      <c r="G11291" s="239" t="s">
        <v>86</v>
      </c>
      <c r="H11291" s="239"/>
      <c r="I11291" s="240"/>
      <c r="J11291" s="241" t="s">
        <v>82</v>
      </c>
      <c r="K11291" s="242">
        <v>749881.94000005722</v>
      </c>
      <c r="L11291" s="242"/>
      <c r="M11291" s="166"/>
    </row>
    <row r="11292" spans="1:14" ht="11.25" customHeight="1" x14ac:dyDescent="0.2">
      <c r="A11292" s="243">
        <v>2026</v>
      </c>
      <c r="B11292" s="243">
        <v>1</v>
      </c>
      <c r="C11292" s="243">
        <v>29</v>
      </c>
      <c r="D11292" s="248">
        <f t="shared" si="1264"/>
        <v>46051</v>
      </c>
      <c r="E11292" s="249">
        <f t="shared" si="1263"/>
        <v>46051</v>
      </c>
      <c r="F11292" s="477"/>
      <c r="G11292" s="244" t="s">
        <v>86</v>
      </c>
      <c r="H11292" s="244"/>
      <c r="I11292" s="245"/>
      <c r="J11292" s="246" t="s">
        <v>98</v>
      </c>
      <c r="K11292" s="247"/>
      <c r="L11292" s="247">
        <f>K11291</f>
        <v>749881.94000005722</v>
      </c>
    </row>
    <row r="11293" spans="1:14" ht="11.25" customHeight="1" x14ac:dyDescent="0.2">
      <c r="A11293" s="236">
        <v>2026</v>
      </c>
      <c r="B11293" s="236">
        <v>1</v>
      </c>
      <c r="C11293" s="236">
        <v>29</v>
      </c>
      <c r="D11293" s="237">
        <f t="shared" si="1264"/>
        <v>46051</v>
      </c>
      <c r="E11293" s="238">
        <f t="shared" si="1263"/>
        <v>46051</v>
      </c>
      <c r="F11293" s="476" t="s">
        <v>1999</v>
      </c>
      <c r="G11293" s="239" t="s">
        <v>86</v>
      </c>
      <c r="H11293" s="239"/>
      <c r="I11293" s="240"/>
      <c r="J11293" s="241" t="s">
        <v>87</v>
      </c>
      <c r="K11293" s="242">
        <v>392.46467817896388</v>
      </c>
      <c r="L11293" s="242"/>
      <c r="M11293" s="401"/>
    </row>
    <row r="11294" spans="1:14" ht="11.25" customHeight="1" x14ac:dyDescent="0.2">
      <c r="A11294" s="243">
        <v>2026</v>
      </c>
      <c r="B11294" s="243">
        <v>1</v>
      </c>
      <c r="C11294" s="243">
        <v>29</v>
      </c>
      <c r="D11294" s="248">
        <f t="shared" si="1264"/>
        <v>46051</v>
      </c>
      <c r="E11294" s="249">
        <f t="shared" si="1263"/>
        <v>46051</v>
      </c>
      <c r="F11294" s="477"/>
      <c r="G11294" s="244" t="s">
        <v>86</v>
      </c>
      <c r="H11294" s="244"/>
      <c r="I11294" s="245"/>
      <c r="J11294" s="246" t="s">
        <v>64</v>
      </c>
      <c r="K11294" s="247"/>
      <c r="L11294" s="247">
        <f>K11293</f>
        <v>392.46467817896388</v>
      </c>
    </row>
    <row r="11295" spans="1:14" ht="11.25" customHeight="1" x14ac:dyDescent="0.2">
      <c r="A11295" s="236">
        <v>2026</v>
      </c>
      <c r="B11295" s="236">
        <v>1</v>
      </c>
      <c r="C11295" s="236">
        <v>29</v>
      </c>
      <c r="D11295" s="237">
        <f t="shared" si="1264"/>
        <v>46051</v>
      </c>
      <c r="E11295" s="238">
        <f t="shared" si="1263"/>
        <v>46051</v>
      </c>
      <c r="F11295" s="476" t="s">
        <v>2000</v>
      </c>
      <c r="G11295" s="239" t="s">
        <v>86</v>
      </c>
      <c r="H11295" s="239"/>
      <c r="I11295" s="240"/>
      <c r="J11295" s="241" t="s">
        <v>89</v>
      </c>
      <c r="K11295" s="242">
        <v>14649.482109116147</v>
      </c>
      <c r="L11295" s="242"/>
      <c r="M11295" s="448"/>
    </row>
    <row r="11296" spans="1:14" ht="11.25" customHeight="1" x14ac:dyDescent="0.2">
      <c r="A11296" s="243">
        <v>2026</v>
      </c>
      <c r="B11296" s="243">
        <v>1</v>
      </c>
      <c r="C11296" s="243">
        <v>29</v>
      </c>
      <c r="D11296" s="248">
        <f t="shared" si="1264"/>
        <v>46051</v>
      </c>
      <c r="E11296" s="249">
        <f t="shared" si="1263"/>
        <v>46051</v>
      </c>
      <c r="F11296" s="477"/>
      <c r="G11296" s="244" t="s">
        <v>86</v>
      </c>
      <c r="H11296" s="244"/>
      <c r="I11296" s="245"/>
      <c r="J11296" s="246" t="s">
        <v>50</v>
      </c>
      <c r="K11296" s="247"/>
      <c r="L11296" s="247">
        <f>K11295</f>
        <v>14649.482109116147</v>
      </c>
      <c r="M11296" s="448"/>
    </row>
    <row r="11297" spans="1:14" ht="11.25" customHeight="1" x14ac:dyDescent="0.2">
      <c r="A11297" s="236">
        <v>2026</v>
      </c>
      <c r="B11297" s="236">
        <v>1</v>
      </c>
      <c r="C11297" s="236">
        <v>29</v>
      </c>
      <c r="D11297" s="237">
        <f t="shared" si="1264"/>
        <v>46051</v>
      </c>
      <c r="E11297" s="238">
        <f t="shared" si="1263"/>
        <v>46051</v>
      </c>
      <c r="F11297" s="476" t="s">
        <v>2001</v>
      </c>
      <c r="G11297" s="239" t="s">
        <v>86</v>
      </c>
      <c r="H11297" s="239"/>
      <c r="I11297" s="240"/>
      <c r="J11297" s="241" t="s">
        <v>91</v>
      </c>
      <c r="K11297" s="242">
        <v>701.90686588246842</v>
      </c>
      <c r="L11297" s="242"/>
    </row>
    <row r="11298" spans="1:14" ht="11.25" customHeight="1" x14ac:dyDescent="0.2">
      <c r="A11298" s="264">
        <v>2026</v>
      </c>
      <c r="B11298" s="264">
        <v>1</v>
      </c>
      <c r="C11298" s="264">
        <v>29</v>
      </c>
      <c r="D11298" s="265">
        <f t="shared" si="1264"/>
        <v>46051</v>
      </c>
      <c r="E11298" s="266">
        <f t="shared" si="1263"/>
        <v>46051</v>
      </c>
      <c r="F11298" s="477"/>
      <c r="G11298" s="267" t="s">
        <v>86</v>
      </c>
      <c r="H11298" s="267"/>
      <c r="I11298" s="245"/>
      <c r="J11298" s="246" t="s">
        <v>51</v>
      </c>
      <c r="K11298" s="247"/>
      <c r="L11298" s="247">
        <f>K11297</f>
        <v>701.90686588246842</v>
      </c>
    </row>
    <row r="11299" spans="1:14" ht="11.25" customHeight="1" x14ac:dyDescent="0.2">
      <c r="A11299" s="221">
        <v>2026</v>
      </c>
      <c r="B11299" s="221">
        <v>2</v>
      </c>
      <c r="C11299" s="221">
        <v>1</v>
      </c>
      <c r="D11299" s="231">
        <f t="shared" si="1264"/>
        <v>46054</v>
      </c>
      <c r="E11299" s="233">
        <f t="shared" si="1263"/>
        <v>46054</v>
      </c>
      <c r="F11299" s="478" t="s">
        <v>1323</v>
      </c>
      <c r="G11299" s="222" t="s">
        <v>1111</v>
      </c>
      <c r="H11299" s="223"/>
      <c r="I11299" s="223"/>
      <c r="J11299" s="224" t="s">
        <v>55</v>
      </c>
      <c r="K11299" s="225">
        <v>1200000</v>
      </c>
      <c r="L11299" s="225"/>
    </row>
    <row r="11300" spans="1:14" ht="11.25" customHeight="1" x14ac:dyDescent="0.2">
      <c r="A11300" s="164">
        <v>2026</v>
      </c>
      <c r="B11300" s="164">
        <v>2</v>
      </c>
      <c r="C11300" s="164">
        <v>1</v>
      </c>
      <c r="D11300" s="156">
        <f t="shared" si="1264"/>
        <v>46054</v>
      </c>
      <c r="E11300" s="235">
        <f t="shared" si="1263"/>
        <v>46054</v>
      </c>
      <c r="F11300" s="480"/>
      <c r="G11300" s="208" t="s">
        <v>1111</v>
      </c>
      <c r="J11300" s="165" t="s">
        <v>14</v>
      </c>
      <c r="K11300" s="205"/>
      <c r="L11300" s="205">
        <v>966560</v>
      </c>
      <c r="M11300" s="166"/>
    </row>
    <row r="11301" spans="1:14" ht="11.25" customHeight="1" x14ac:dyDescent="0.2">
      <c r="A11301" s="226">
        <v>2026</v>
      </c>
      <c r="B11301" s="226">
        <v>2</v>
      </c>
      <c r="C11301" s="226">
        <v>1</v>
      </c>
      <c r="D11301" s="232">
        <f t="shared" si="1264"/>
        <v>46054</v>
      </c>
      <c r="E11301" s="234">
        <f t="shared" si="1263"/>
        <v>46054</v>
      </c>
      <c r="F11301" s="479"/>
      <c r="G11301" s="227" t="s">
        <v>1111</v>
      </c>
      <c r="H11301" s="228"/>
      <c r="I11301" s="228"/>
      <c r="J11301" s="229" t="s">
        <v>1112</v>
      </c>
      <c r="K11301" s="230"/>
      <c r="L11301" s="205">
        <v>233440</v>
      </c>
    </row>
    <row r="11302" spans="1:14" ht="11.25" customHeight="1" x14ac:dyDescent="0.2">
      <c r="A11302" s="221">
        <v>2026</v>
      </c>
      <c r="B11302" s="221">
        <v>2</v>
      </c>
      <c r="C11302" s="221">
        <v>1</v>
      </c>
      <c r="D11302" s="231">
        <f t="shared" si="1264"/>
        <v>46054</v>
      </c>
      <c r="E11302" s="233">
        <f t="shared" ref="E11302:E11304" si="1265">DATE(A11302,B11302,C11302)</f>
        <v>46054</v>
      </c>
      <c r="F11302" s="478" t="s">
        <v>1132</v>
      </c>
      <c r="G11302" s="222" t="s">
        <v>1111</v>
      </c>
      <c r="H11302" s="223"/>
      <c r="I11302" s="223"/>
      <c r="J11302" s="224" t="s">
        <v>55</v>
      </c>
      <c r="K11302" s="225">
        <v>50000</v>
      </c>
      <c r="L11302" s="225"/>
    </row>
    <row r="11303" spans="1:14" ht="11.25" customHeight="1" x14ac:dyDescent="0.2">
      <c r="A11303" s="164">
        <v>2026</v>
      </c>
      <c r="B11303" s="164">
        <v>2</v>
      </c>
      <c r="C11303" s="164">
        <v>1</v>
      </c>
      <c r="D11303" s="156">
        <f t="shared" si="1264"/>
        <v>46054</v>
      </c>
      <c r="E11303" s="235">
        <f t="shared" si="1265"/>
        <v>46054</v>
      </c>
      <c r="F11303" s="480"/>
      <c r="G11303" s="208" t="s">
        <v>1111</v>
      </c>
      <c r="J11303" s="165" t="s">
        <v>14</v>
      </c>
      <c r="K11303" s="205"/>
      <c r="L11303" s="205">
        <v>40290</v>
      </c>
      <c r="M11303" s="166"/>
    </row>
    <row r="11304" spans="1:14" ht="11.25" customHeight="1" x14ac:dyDescent="0.2">
      <c r="A11304" s="226">
        <v>2026</v>
      </c>
      <c r="B11304" s="226">
        <v>2</v>
      </c>
      <c r="C11304" s="226">
        <v>1</v>
      </c>
      <c r="D11304" s="232">
        <f t="shared" si="1264"/>
        <v>46054</v>
      </c>
      <c r="E11304" s="234">
        <f t="shared" si="1265"/>
        <v>46054</v>
      </c>
      <c r="F11304" s="479"/>
      <c r="G11304" s="227" t="s">
        <v>1111</v>
      </c>
      <c r="H11304" s="228"/>
      <c r="I11304" s="228"/>
      <c r="J11304" s="229" t="s">
        <v>1112</v>
      </c>
      <c r="K11304" s="230"/>
      <c r="L11304" s="205">
        <v>9710</v>
      </c>
    </row>
    <row r="11305" spans="1:14" ht="11.25" customHeight="1" x14ac:dyDescent="0.2">
      <c r="A11305" s="221">
        <v>2026</v>
      </c>
      <c r="B11305" s="221">
        <v>2</v>
      </c>
      <c r="C11305" s="221">
        <v>1</v>
      </c>
      <c r="D11305" s="231">
        <f t="shared" si="1264"/>
        <v>46054</v>
      </c>
      <c r="E11305" s="233">
        <f>DATE(A11305,B11305,C11305)</f>
        <v>46054</v>
      </c>
      <c r="F11305" s="478" t="s">
        <v>1984</v>
      </c>
      <c r="G11305" s="222" t="s">
        <v>1111</v>
      </c>
      <c r="H11305" s="223" t="str" cm="1">
        <f t="array" ref="H11305">IFERROR(INDEX(INVESTOR_LIST[INVESTOR NAME],MATCH(I11305,INVESTOR_LIST[INVESTOR CODE],0),)," ")</f>
        <v xml:space="preserve"> </v>
      </c>
      <c r="I11305" s="223"/>
      <c r="J11305" s="224" t="s">
        <v>961</v>
      </c>
      <c r="K11305" s="225">
        <v>231633.69</v>
      </c>
      <c r="L11305" s="225"/>
    </row>
    <row r="11306" spans="1:14" ht="11.25" customHeight="1" x14ac:dyDescent="0.2">
      <c r="A11306" s="226">
        <v>2026</v>
      </c>
      <c r="B11306" s="226">
        <v>2</v>
      </c>
      <c r="C11306" s="226">
        <v>1</v>
      </c>
      <c r="D11306" s="232">
        <f t="shared" si="1264"/>
        <v>46054</v>
      </c>
      <c r="E11306" s="234">
        <f>DATE(A11306,B11306,C11306)</f>
        <v>46054</v>
      </c>
      <c r="F11306" s="479"/>
      <c r="G11306" s="227" t="s">
        <v>1111</v>
      </c>
      <c r="H11306" s="228" t="str" cm="1">
        <f t="array" ref="H11306">IFERROR(INDEX(INVESTOR_LIST[INVESTOR NAME],MATCH(I11306,INVESTOR_LIST[INVESTOR CODE],0),)," ")</f>
        <v xml:space="preserve"> </v>
      </c>
      <c r="I11306" s="228"/>
      <c r="J11306" s="229" t="s">
        <v>55</v>
      </c>
      <c r="K11306" s="230"/>
      <c r="L11306" s="230">
        <f>K11305</f>
        <v>231633.69</v>
      </c>
    </row>
    <row r="11307" spans="1:14" ht="11.25" customHeight="1" x14ac:dyDescent="0.2">
      <c r="A11307" s="221">
        <v>2026</v>
      </c>
      <c r="B11307" s="221">
        <v>2</v>
      </c>
      <c r="C11307" s="221">
        <v>1</v>
      </c>
      <c r="D11307" s="231">
        <f t="shared" si="1264"/>
        <v>46054</v>
      </c>
      <c r="E11307" s="233">
        <f t="shared" ref="E11307:E11339" si="1266">DATE(A11307,B11307,C11307)</f>
        <v>46054</v>
      </c>
      <c r="F11307" s="478" t="s">
        <v>1940</v>
      </c>
      <c r="G11307" s="222" t="s">
        <v>1111</v>
      </c>
      <c r="H11307" s="223"/>
      <c r="I11307" s="223"/>
      <c r="J11307" s="224" t="s">
        <v>961</v>
      </c>
      <c r="K11307" s="225">
        <v>1588936.4</v>
      </c>
      <c r="L11307" s="225"/>
    </row>
    <row r="11308" spans="1:14" ht="11.25" customHeight="1" x14ac:dyDescent="0.2">
      <c r="A11308" s="226">
        <v>2026</v>
      </c>
      <c r="B11308" s="226">
        <v>2</v>
      </c>
      <c r="C11308" s="226">
        <v>1</v>
      </c>
      <c r="D11308" s="232">
        <f t="shared" si="1264"/>
        <v>46054</v>
      </c>
      <c r="E11308" s="234">
        <f t="shared" si="1266"/>
        <v>46054</v>
      </c>
      <c r="F11308" s="479"/>
      <c r="G11308" s="227" t="s">
        <v>1111</v>
      </c>
      <c r="H11308" s="228"/>
      <c r="I11308" s="228"/>
      <c r="J11308" s="229" t="s">
        <v>55</v>
      </c>
      <c r="K11308" s="230"/>
      <c r="L11308" s="230">
        <f>K11307</f>
        <v>1588936.4</v>
      </c>
    </row>
    <row r="11309" spans="1:14" ht="11.25" customHeight="1" x14ac:dyDescent="0.2">
      <c r="A11309" s="221">
        <v>2026</v>
      </c>
      <c r="B11309" s="221">
        <v>2</v>
      </c>
      <c r="C11309" s="221">
        <v>1</v>
      </c>
      <c r="D11309" s="231">
        <f t="shared" si="1264"/>
        <v>46054</v>
      </c>
      <c r="E11309" s="233">
        <f t="shared" si="1266"/>
        <v>46054</v>
      </c>
      <c r="F11309" s="478" t="s">
        <v>1670</v>
      </c>
      <c r="G11309" s="222" t="s">
        <v>1111</v>
      </c>
      <c r="H11309" s="223"/>
      <c r="I11309" s="223"/>
      <c r="J11309" s="224" t="s">
        <v>63</v>
      </c>
      <c r="K11309" s="225">
        <v>158</v>
      </c>
      <c r="L11309" s="225"/>
    </row>
    <row r="11310" spans="1:14" ht="11.25" customHeight="1" x14ac:dyDescent="0.2">
      <c r="A11310" s="226">
        <v>2026</v>
      </c>
      <c r="B11310" s="226">
        <v>2</v>
      </c>
      <c r="C11310" s="226">
        <v>1</v>
      </c>
      <c r="D11310" s="232">
        <f t="shared" si="1264"/>
        <v>46054</v>
      </c>
      <c r="E11310" s="234">
        <f t="shared" si="1266"/>
        <v>46054</v>
      </c>
      <c r="F11310" s="479"/>
      <c r="G11310" s="227" t="s">
        <v>1111</v>
      </c>
      <c r="H11310" s="228"/>
      <c r="I11310" s="228"/>
      <c r="J11310" s="229" t="s">
        <v>55</v>
      </c>
      <c r="K11310" s="230"/>
      <c r="L11310" s="230">
        <f>K11309</f>
        <v>158</v>
      </c>
    </row>
    <row r="11311" spans="1:14" ht="11.25" customHeight="1" x14ac:dyDescent="0.2">
      <c r="A11311" s="221">
        <v>2026</v>
      </c>
      <c r="B11311" s="221">
        <v>2</v>
      </c>
      <c r="C11311" s="221">
        <v>1</v>
      </c>
      <c r="D11311" s="221">
        <f t="shared" si="1264"/>
        <v>46054</v>
      </c>
      <c r="E11311" s="233">
        <f t="shared" si="1266"/>
        <v>46054</v>
      </c>
      <c r="F11311" s="478" t="s">
        <v>1937</v>
      </c>
      <c r="G11311" s="222" t="s">
        <v>86</v>
      </c>
      <c r="H11311" s="222"/>
      <c r="I11311" s="223"/>
      <c r="J11311" s="224" t="s">
        <v>80</v>
      </c>
      <c r="K11311" s="225">
        <v>2808652</v>
      </c>
      <c r="L11311" s="225"/>
      <c r="N11311" s="263"/>
    </row>
    <row r="11312" spans="1:14" ht="11.25" customHeight="1" x14ac:dyDescent="0.2">
      <c r="A11312" s="164">
        <v>2026</v>
      </c>
      <c r="B11312" s="164">
        <v>2</v>
      </c>
      <c r="C11312" s="164">
        <v>1</v>
      </c>
      <c r="D11312" s="164">
        <f t="shared" si="1264"/>
        <v>46054</v>
      </c>
      <c r="E11312" s="235">
        <f t="shared" si="1266"/>
        <v>46054</v>
      </c>
      <c r="F11312" s="480"/>
      <c r="G11312" s="208" t="s">
        <v>86</v>
      </c>
      <c r="H11312" s="208"/>
      <c r="J11312" s="165" t="s">
        <v>960</v>
      </c>
      <c r="K11312" s="205">
        <v>13346.5779</v>
      </c>
      <c r="L11312" s="205"/>
      <c r="M11312" s="263"/>
      <c r="N11312" s="263"/>
    </row>
    <row r="11313" spans="1:14" ht="11.25" customHeight="1" x14ac:dyDescent="0.2">
      <c r="A11313" s="164">
        <v>2026</v>
      </c>
      <c r="B11313" s="164">
        <v>2</v>
      </c>
      <c r="C11313" s="164">
        <v>1</v>
      </c>
      <c r="D11313" s="164">
        <f t="shared" si="1264"/>
        <v>46054</v>
      </c>
      <c r="E11313" s="235">
        <f t="shared" si="1266"/>
        <v>46054</v>
      </c>
      <c r="F11313" s="480"/>
      <c r="G11313" s="208" t="s">
        <v>86</v>
      </c>
      <c r="H11313" s="208"/>
      <c r="J11313" s="165" t="s">
        <v>199</v>
      </c>
      <c r="K11313" s="263">
        <v>1784114.92</v>
      </c>
      <c r="L11313" s="205"/>
      <c r="M11313" s="263"/>
      <c r="N11313" s="263"/>
    </row>
    <row r="11314" spans="1:14" ht="11.25" customHeight="1" x14ac:dyDescent="0.2">
      <c r="A11314" s="164">
        <v>2026</v>
      </c>
      <c r="B11314" s="164">
        <v>2</v>
      </c>
      <c r="C11314" s="164">
        <v>1</v>
      </c>
      <c r="D11314" s="164">
        <f t="shared" si="1264"/>
        <v>46054</v>
      </c>
      <c r="E11314" s="235">
        <f t="shared" si="1266"/>
        <v>46054</v>
      </c>
      <c r="F11314" s="480"/>
      <c r="G11314" s="208" t="s">
        <v>86</v>
      </c>
      <c r="H11314" s="208"/>
      <c r="J11314" s="165" t="s">
        <v>200</v>
      </c>
      <c r="K11314" s="205"/>
      <c r="L11314" s="205">
        <v>760431.23</v>
      </c>
      <c r="M11314" s="263"/>
      <c r="N11314" s="263"/>
    </row>
    <row r="11315" spans="1:14" ht="11.25" customHeight="1" x14ac:dyDescent="0.2">
      <c r="A11315" s="226">
        <v>2026</v>
      </c>
      <c r="B11315" s="226">
        <v>2</v>
      </c>
      <c r="C11315" s="226">
        <v>1</v>
      </c>
      <c r="D11315" s="226">
        <f t="shared" si="1264"/>
        <v>46054</v>
      </c>
      <c r="E11315" s="234">
        <f t="shared" si="1266"/>
        <v>46054</v>
      </c>
      <c r="F11315" s="479"/>
      <c r="G11315" s="227" t="s">
        <v>86</v>
      </c>
      <c r="H11315" s="228"/>
      <c r="I11315" s="228"/>
      <c r="J11315" s="229" t="s">
        <v>80</v>
      </c>
      <c r="K11315" s="230"/>
      <c r="L11315" s="230">
        <v>3845682.27</v>
      </c>
      <c r="M11315" s="263"/>
      <c r="N11315" s="263"/>
    </row>
    <row r="11316" spans="1:14" ht="11.25" customHeight="1" x14ac:dyDescent="0.2">
      <c r="A11316" s="221">
        <v>2026</v>
      </c>
      <c r="B11316" s="221">
        <v>2</v>
      </c>
      <c r="C11316" s="221">
        <v>1</v>
      </c>
      <c r="D11316" s="221">
        <f t="shared" si="1264"/>
        <v>46054</v>
      </c>
      <c r="E11316" s="233">
        <f t="shared" si="1266"/>
        <v>46054</v>
      </c>
      <c r="F11316" s="478" t="s">
        <v>1983</v>
      </c>
      <c r="G11316" s="222" t="s">
        <v>86</v>
      </c>
      <c r="H11316" s="222"/>
      <c r="I11316" s="223"/>
      <c r="J11316" s="224" t="s">
        <v>80</v>
      </c>
      <c r="K11316" s="225">
        <v>357300</v>
      </c>
      <c r="L11316" s="225"/>
      <c r="N11316" s="263"/>
    </row>
    <row r="11317" spans="1:14" ht="11.25" customHeight="1" x14ac:dyDescent="0.2">
      <c r="A11317" s="164">
        <v>2026</v>
      </c>
      <c r="B11317" s="164">
        <v>2</v>
      </c>
      <c r="C11317" s="164">
        <v>1</v>
      </c>
      <c r="D11317" s="164">
        <f t="shared" si="1264"/>
        <v>46054</v>
      </c>
      <c r="E11317" s="235">
        <f t="shared" si="1266"/>
        <v>46054</v>
      </c>
      <c r="F11317" s="480"/>
      <c r="G11317" s="208" t="s">
        <v>86</v>
      </c>
      <c r="H11317" s="208"/>
      <c r="J11317" s="165" t="s">
        <v>960</v>
      </c>
      <c r="K11317" s="205">
        <v>1050.48</v>
      </c>
      <c r="L11317" s="205"/>
      <c r="M11317" s="263"/>
      <c r="N11317" s="263"/>
    </row>
    <row r="11318" spans="1:14" ht="11.25" customHeight="1" x14ac:dyDescent="0.2">
      <c r="A11318" s="164">
        <v>2026</v>
      </c>
      <c r="B11318" s="164">
        <v>2</v>
      </c>
      <c r="C11318" s="164">
        <v>1</v>
      </c>
      <c r="D11318" s="164">
        <f t="shared" si="1264"/>
        <v>46054</v>
      </c>
      <c r="E11318" s="235">
        <f t="shared" si="1266"/>
        <v>46054</v>
      </c>
      <c r="F11318" s="480"/>
      <c r="G11318" s="208" t="s">
        <v>86</v>
      </c>
      <c r="H11318" s="208"/>
      <c r="J11318" s="165" t="s">
        <v>961</v>
      </c>
      <c r="K11318" s="263"/>
      <c r="L11318" s="205">
        <v>132050.48000000001</v>
      </c>
      <c r="M11318" s="263"/>
      <c r="N11318" s="263"/>
    </row>
    <row r="11319" spans="1:14" ht="11.25" customHeight="1" x14ac:dyDescent="0.2">
      <c r="A11319" s="164">
        <v>2026</v>
      </c>
      <c r="B11319" s="164">
        <v>2</v>
      </c>
      <c r="C11319" s="164">
        <v>1</v>
      </c>
      <c r="D11319" s="164">
        <f t="shared" si="1264"/>
        <v>46054</v>
      </c>
      <c r="E11319" s="235">
        <f t="shared" si="1266"/>
        <v>46054</v>
      </c>
      <c r="F11319" s="480"/>
      <c r="G11319" s="208" t="s">
        <v>86</v>
      </c>
      <c r="H11319" s="208"/>
      <c r="J11319" s="165" t="s">
        <v>200</v>
      </c>
      <c r="K11319" s="205"/>
      <c r="L11319" s="205">
        <v>51146.48</v>
      </c>
      <c r="M11319" s="263"/>
      <c r="N11319" s="263"/>
    </row>
    <row r="11320" spans="1:14" ht="11.25" customHeight="1" x14ac:dyDescent="0.2">
      <c r="A11320" s="226">
        <v>2026</v>
      </c>
      <c r="B11320" s="226">
        <v>2</v>
      </c>
      <c r="C11320" s="226">
        <v>1</v>
      </c>
      <c r="D11320" s="226">
        <f t="shared" si="1264"/>
        <v>46054</v>
      </c>
      <c r="E11320" s="234">
        <f t="shared" si="1266"/>
        <v>46054</v>
      </c>
      <c r="F11320" s="479"/>
      <c r="G11320" s="227" t="s">
        <v>86</v>
      </c>
      <c r="H11320" s="228"/>
      <c r="I11320" s="228"/>
      <c r="J11320" s="229" t="s">
        <v>80</v>
      </c>
      <c r="K11320" s="230"/>
      <c r="L11320" s="230">
        <v>175153.52</v>
      </c>
      <c r="M11320" s="263"/>
      <c r="N11320" s="263"/>
    </row>
    <row r="11321" spans="1:14" ht="11.25" customHeight="1" x14ac:dyDescent="0.2">
      <c r="A11321" s="280">
        <v>2026</v>
      </c>
      <c r="B11321" s="280">
        <v>2</v>
      </c>
      <c r="C11321" s="280">
        <v>1</v>
      </c>
      <c r="D11321" s="281">
        <f t="shared" si="1264"/>
        <v>46054</v>
      </c>
      <c r="E11321" s="282">
        <f t="shared" si="1266"/>
        <v>46054</v>
      </c>
      <c r="F11321" s="472" t="s">
        <v>1744</v>
      </c>
      <c r="G11321" s="283" t="s">
        <v>86</v>
      </c>
      <c r="H11321" s="284"/>
      <c r="I11321" s="284"/>
      <c r="J11321" s="285" t="s">
        <v>131</v>
      </c>
      <c r="K11321" s="286">
        <v>8625</v>
      </c>
      <c r="L11321" s="286"/>
      <c r="M11321" s="401"/>
    </row>
    <row r="11322" spans="1:14" ht="11.25" customHeight="1" x14ac:dyDescent="0.2">
      <c r="A11322" s="287">
        <v>2026</v>
      </c>
      <c r="B11322" s="287">
        <v>2</v>
      </c>
      <c r="C11322" s="287">
        <v>1</v>
      </c>
      <c r="D11322" s="288">
        <f t="shared" si="1264"/>
        <v>46054</v>
      </c>
      <c r="E11322" s="289">
        <f t="shared" si="1266"/>
        <v>46054</v>
      </c>
      <c r="F11322" s="473"/>
      <c r="G11322" s="290" t="s">
        <v>86</v>
      </c>
      <c r="H11322" s="291"/>
      <c r="I11322" s="291"/>
      <c r="J11322" s="292" t="s">
        <v>1469</v>
      </c>
      <c r="K11322" s="293"/>
      <c r="L11322" s="293">
        <f>K11321</f>
        <v>8625</v>
      </c>
    </row>
    <row r="11323" spans="1:14" ht="11.25" customHeight="1" x14ac:dyDescent="0.2">
      <c r="A11323" s="280">
        <v>2026</v>
      </c>
      <c r="B11323" s="280">
        <v>2</v>
      </c>
      <c r="C11323" s="280">
        <v>1</v>
      </c>
      <c r="D11323" s="281">
        <f t="shared" si="1264"/>
        <v>46054</v>
      </c>
      <c r="E11323" s="282">
        <f t="shared" si="1266"/>
        <v>46054</v>
      </c>
      <c r="F11323" s="472" t="s">
        <v>1584</v>
      </c>
      <c r="G11323" s="283" t="s">
        <v>86</v>
      </c>
      <c r="H11323" s="284"/>
      <c r="I11323" s="284"/>
      <c r="J11323" s="285" t="s">
        <v>131</v>
      </c>
      <c r="K11323" s="286">
        <v>3833.3333333333335</v>
      </c>
      <c r="L11323" s="286"/>
      <c r="M11323" s="401"/>
    </row>
    <row r="11324" spans="1:14" ht="11.25" customHeight="1" x14ac:dyDescent="0.2">
      <c r="A11324" s="287">
        <v>2026</v>
      </c>
      <c r="B11324" s="287">
        <v>2</v>
      </c>
      <c r="C11324" s="287">
        <v>1</v>
      </c>
      <c r="D11324" s="288">
        <f t="shared" si="1264"/>
        <v>46054</v>
      </c>
      <c r="E11324" s="289">
        <f t="shared" si="1266"/>
        <v>46054</v>
      </c>
      <c r="F11324" s="473"/>
      <c r="G11324" s="290" t="s">
        <v>86</v>
      </c>
      <c r="H11324" s="291"/>
      <c r="I11324" s="291"/>
      <c r="J11324" s="292" t="s">
        <v>1469</v>
      </c>
      <c r="K11324" s="293"/>
      <c r="L11324" s="293">
        <f>K11323</f>
        <v>3833.3333333333335</v>
      </c>
    </row>
    <row r="11325" spans="1:14" ht="11.25" customHeight="1" x14ac:dyDescent="0.2">
      <c r="A11325" s="280">
        <v>2026</v>
      </c>
      <c r="B11325" s="280">
        <v>2</v>
      </c>
      <c r="C11325" s="280">
        <v>1</v>
      </c>
      <c r="D11325" s="281">
        <f t="shared" si="1264"/>
        <v>46054</v>
      </c>
      <c r="E11325" s="282">
        <f t="shared" si="1266"/>
        <v>46054</v>
      </c>
      <c r="F11325" s="472" t="s">
        <v>1955</v>
      </c>
      <c r="G11325" s="283" t="s">
        <v>86</v>
      </c>
      <c r="H11325" s="284"/>
      <c r="I11325" s="284"/>
      <c r="J11325" s="285" t="s">
        <v>1978</v>
      </c>
      <c r="K11325" s="286">
        <v>18556.31868131868</v>
      </c>
      <c r="L11325" s="286"/>
      <c r="M11325" s="401"/>
    </row>
    <row r="11326" spans="1:14" ht="11.25" customHeight="1" x14ac:dyDescent="0.2">
      <c r="A11326" s="287">
        <v>2026</v>
      </c>
      <c r="B11326" s="287">
        <v>2</v>
      </c>
      <c r="C11326" s="287">
        <v>1</v>
      </c>
      <c r="D11326" s="288">
        <f t="shared" si="1264"/>
        <v>46054</v>
      </c>
      <c r="E11326" s="289">
        <f t="shared" si="1266"/>
        <v>46054</v>
      </c>
      <c r="F11326" s="473"/>
      <c r="G11326" s="290" t="s">
        <v>86</v>
      </c>
      <c r="H11326" s="291"/>
      <c r="I11326" s="291"/>
      <c r="J11326" s="292" t="s">
        <v>1955</v>
      </c>
      <c r="K11326" s="293"/>
      <c r="L11326" s="293">
        <f>K11325</f>
        <v>18556.31868131868</v>
      </c>
    </row>
    <row r="11327" spans="1:14" ht="11.25" customHeight="1" x14ac:dyDescent="0.2">
      <c r="A11327" s="341">
        <v>2026</v>
      </c>
      <c r="B11327" s="341">
        <v>2</v>
      </c>
      <c r="C11327" s="341">
        <v>1</v>
      </c>
      <c r="D11327" s="328">
        <f t="shared" si="1264"/>
        <v>46054</v>
      </c>
      <c r="E11327" s="329">
        <f t="shared" si="1266"/>
        <v>46054</v>
      </c>
      <c r="F11327" s="474" t="s">
        <v>1767</v>
      </c>
      <c r="G11327" s="330" t="s">
        <v>86</v>
      </c>
      <c r="H11327" s="332"/>
      <c r="I11327" s="332"/>
      <c r="J11327" s="342" t="s">
        <v>67</v>
      </c>
      <c r="K11327" s="343">
        <v>3192.61</v>
      </c>
      <c r="L11327" s="343"/>
      <c r="M11327" s="166"/>
    </row>
    <row r="11328" spans="1:14" ht="11.25" customHeight="1" x14ac:dyDescent="0.2">
      <c r="A11328" s="344">
        <v>2026</v>
      </c>
      <c r="B11328" s="344">
        <v>2</v>
      </c>
      <c r="C11328" s="344">
        <v>1</v>
      </c>
      <c r="D11328" s="337">
        <f t="shared" si="1264"/>
        <v>46054</v>
      </c>
      <c r="E11328" s="338">
        <f t="shared" si="1266"/>
        <v>46054</v>
      </c>
      <c r="F11328" s="475"/>
      <c r="G11328" s="339" t="s">
        <v>86</v>
      </c>
      <c r="H11328" s="340"/>
      <c r="I11328" s="340"/>
      <c r="J11328" s="345" t="s">
        <v>1974</v>
      </c>
      <c r="K11328" s="346"/>
      <c r="L11328" s="346">
        <f>K11327</f>
        <v>3192.61</v>
      </c>
    </row>
    <row r="11329" spans="1:13" ht="11.25" customHeight="1" x14ac:dyDescent="0.2">
      <c r="A11329" s="236">
        <v>2026</v>
      </c>
      <c r="B11329" s="236">
        <v>2</v>
      </c>
      <c r="C11329" s="236">
        <v>1</v>
      </c>
      <c r="D11329" s="237">
        <f t="shared" si="1264"/>
        <v>46054</v>
      </c>
      <c r="E11329" s="238">
        <f t="shared" si="1266"/>
        <v>46054</v>
      </c>
      <c r="F11329" s="476" t="s">
        <v>1118</v>
      </c>
      <c r="G11329" s="239" t="s">
        <v>86</v>
      </c>
      <c r="H11329" s="239"/>
      <c r="I11329" s="240"/>
      <c r="J11329" s="241" t="s">
        <v>98</v>
      </c>
      <c r="K11329" s="242">
        <v>3011288.0100000203</v>
      </c>
      <c r="L11329" s="242"/>
      <c r="M11329" s="166"/>
    </row>
    <row r="11330" spans="1:13" ht="11.25" customHeight="1" x14ac:dyDescent="0.2">
      <c r="A11330" s="243">
        <v>2026</v>
      </c>
      <c r="B11330" s="243">
        <v>2</v>
      </c>
      <c r="C11330" s="243">
        <v>1</v>
      </c>
      <c r="D11330" s="248">
        <f t="shared" si="1264"/>
        <v>46054</v>
      </c>
      <c r="E11330" s="249">
        <f t="shared" si="1266"/>
        <v>46054</v>
      </c>
      <c r="F11330" s="477"/>
      <c r="G11330" s="244" t="s">
        <v>86</v>
      </c>
      <c r="H11330" s="244"/>
      <c r="I11330" s="245"/>
      <c r="J11330" s="246" t="s">
        <v>82</v>
      </c>
      <c r="K11330" s="247"/>
      <c r="L11330" s="247">
        <f>K11329</f>
        <v>3011288.0100000203</v>
      </c>
    </row>
    <row r="11331" spans="1:13" ht="11.25" customHeight="1" x14ac:dyDescent="0.2">
      <c r="A11331" s="236">
        <v>2026</v>
      </c>
      <c r="B11331" s="236">
        <v>2</v>
      </c>
      <c r="C11331" s="236">
        <v>1</v>
      </c>
      <c r="D11331" s="237">
        <f t="shared" si="1264"/>
        <v>46054</v>
      </c>
      <c r="E11331" s="238">
        <f t="shared" si="1266"/>
        <v>46054</v>
      </c>
      <c r="F11331" s="476" t="s">
        <v>1999</v>
      </c>
      <c r="G11331" s="239" t="s">
        <v>86</v>
      </c>
      <c r="H11331" s="239"/>
      <c r="I11331" s="240"/>
      <c r="J11331" s="241" t="s">
        <v>87</v>
      </c>
      <c r="K11331" s="242">
        <v>1177.3940345368917</v>
      </c>
      <c r="L11331" s="242"/>
      <c r="M11331" s="401"/>
    </row>
    <row r="11332" spans="1:13" ht="11.25" customHeight="1" x14ac:dyDescent="0.2">
      <c r="A11332" s="243">
        <v>2026</v>
      </c>
      <c r="B11332" s="243">
        <v>2</v>
      </c>
      <c r="C11332" s="243">
        <v>1</v>
      </c>
      <c r="D11332" s="248">
        <f t="shared" si="1264"/>
        <v>46054</v>
      </c>
      <c r="E11332" s="249">
        <f t="shared" si="1266"/>
        <v>46054</v>
      </c>
      <c r="F11332" s="477"/>
      <c r="G11332" s="244" t="s">
        <v>86</v>
      </c>
      <c r="H11332" s="244"/>
      <c r="I11332" s="245"/>
      <c r="J11332" s="246" t="s">
        <v>64</v>
      </c>
      <c r="K11332" s="247"/>
      <c r="L11332" s="247">
        <f>K11331</f>
        <v>1177.3940345368917</v>
      </c>
    </row>
    <row r="11333" spans="1:13" ht="11.25" customHeight="1" x14ac:dyDescent="0.2">
      <c r="A11333" s="236">
        <v>2026</v>
      </c>
      <c r="B11333" s="236">
        <v>2</v>
      </c>
      <c r="C11333" s="236">
        <v>1</v>
      </c>
      <c r="D11333" s="237">
        <f t="shared" si="1264"/>
        <v>46054</v>
      </c>
      <c r="E11333" s="238">
        <f t="shared" si="1266"/>
        <v>46054</v>
      </c>
      <c r="F11333" s="476" t="s">
        <v>2000</v>
      </c>
      <c r="G11333" s="239" t="s">
        <v>86</v>
      </c>
      <c r="H11333" s="239"/>
      <c r="I11333" s="240"/>
      <c r="J11333" s="241" t="s">
        <v>89</v>
      </c>
      <c r="K11333" s="242">
        <v>43788.153993419131</v>
      </c>
      <c r="L11333" s="242"/>
      <c r="M11333" s="448">
        <v>14596.05133113971</v>
      </c>
    </row>
    <row r="11334" spans="1:13" ht="11.25" customHeight="1" x14ac:dyDescent="0.2">
      <c r="A11334" s="243">
        <v>2026</v>
      </c>
      <c r="B11334" s="243">
        <v>2</v>
      </c>
      <c r="C11334" s="243">
        <v>1</v>
      </c>
      <c r="D11334" s="248">
        <f t="shared" si="1264"/>
        <v>46054</v>
      </c>
      <c r="E11334" s="249">
        <f t="shared" si="1266"/>
        <v>46054</v>
      </c>
      <c r="F11334" s="477"/>
      <c r="G11334" s="244" t="s">
        <v>86</v>
      </c>
      <c r="H11334" s="244"/>
      <c r="I11334" s="245"/>
      <c r="J11334" s="246" t="s">
        <v>50</v>
      </c>
      <c r="K11334" s="247"/>
      <c r="L11334" s="247">
        <f>K11333</f>
        <v>43788.153993419131</v>
      </c>
      <c r="M11334" s="448">
        <v>698.34481401737253</v>
      </c>
    </row>
    <row r="11335" spans="1:13" ht="11.25" customHeight="1" x14ac:dyDescent="0.2">
      <c r="A11335" s="236">
        <v>2026</v>
      </c>
      <c r="B11335" s="236">
        <v>2</v>
      </c>
      <c r="C11335" s="236">
        <v>1</v>
      </c>
      <c r="D11335" s="237">
        <f t="shared" si="1264"/>
        <v>46054</v>
      </c>
      <c r="E11335" s="238">
        <f t="shared" si="1266"/>
        <v>46054</v>
      </c>
      <c r="F11335" s="476" t="s">
        <v>2001</v>
      </c>
      <c r="G11335" s="239" t="s">
        <v>86</v>
      </c>
      <c r="H11335" s="239"/>
      <c r="I11335" s="240"/>
      <c r="J11335" s="241" t="s">
        <v>91</v>
      </c>
      <c r="K11335" s="242">
        <v>2095.0344420521178</v>
      </c>
      <c r="L11335" s="242"/>
    </row>
    <row r="11336" spans="1:13" ht="11.25" customHeight="1" x14ac:dyDescent="0.2">
      <c r="A11336" s="243">
        <v>2026</v>
      </c>
      <c r="B11336" s="243">
        <v>2</v>
      </c>
      <c r="C11336" s="243">
        <v>1</v>
      </c>
      <c r="D11336" s="248">
        <f t="shared" si="1264"/>
        <v>46054</v>
      </c>
      <c r="E11336" s="249">
        <f t="shared" si="1266"/>
        <v>46054</v>
      </c>
      <c r="F11336" s="477"/>
      <c r="G11336" s="244" t="s">
        <v>86</v>
      </c>
      <c r="H11336" s="244"/>
      <c r="I11336" s="245"/>
      <c r="J11336" s="246" t="s">
        <v>51</v>
      </c>
      <c r="K11336" s="247"/>
      <c r="L11336" s="247">
        <f>K11335</f>
        <v>2095.0344420521178</v>
      </c>
    </row>
    <row r="11337" spans="1:13" ht="11.25" customHeight="1" x14ac:dyDescent="0.2">
      <c r="A11337" s="221">
        <v>2026</v>
      </c>
      <c r="B11337" s="221">
        <v>2</v>
      </c>
      <c r="C11337" s="221">
        <v>2</v>
      </c>
      <c r="D11337" s="231">
        <f t="shared" ref="D11337:D11400" si="1267">DATE(A11337,B11337,C11337)</f>
        <v>46055</v>
      </c>
      <c r="E11337" s="233">
        <f t="shared" si="1266"/>
        <v>46055</v>
      </c>
      <c r="F11337" s="478" t="s">
        <v>1323</v>
      </c>
      <c r="G11337" s="222" t="s">
        <v>1111</v>
      </c>
      <c r="H11337" s="223"/>
      <c r="I11337" s="223"/>
      <c r="J11337" s="224" t="s">
        <v>55</v>
      </c>
      <c r="K11337" s="225">
        <v>610000</v>
      </c>
      <c r="L11337" s="225"/>
    </row>
    <row r="11338" spans="1:13" ht="11.25" customHeight="1" x14ac:dyDescent="0.2">
      <c r="A11338" s="164">
        <v>2026</v>
      </c>
      <c r="B11338" s="164">
        <v>2</v>
      </c>
      <c r="C11338" s="164">
        <v>2</v>
      </c>
      <c r="D11338" s="156">
        <f t="shared" si="1267"/>
        <v>46055</v>
      </c>
      <c r="E11338" s="235">
        <f t="shared" si="1266"/>
        <v>46055</v>
      </c>
      <c r="F11338" s="480"/>
      <c r="G11338" s="208" t="s">
        <v>1111</v>
      </c>
      <c r="J11338" s="165" t="s">
        <v>14</v>
      </c>
      <c r="K11338" s="205"/>
      <c r="L11338" s="205">
        <v>491420</v>
      </c>
      <c r="M11338" s="166"/>
    </row>
    <row r="11339" spans="1:13" ht="11.25" customHeight="1" x14ac:dyDescent="0.2">
      <c r="A11339" s="226">
        <v>2026</v>
      </c>
      <c r="B11339" s="226">
        <v>2</v>
      </c>
      <c r="C11339" s="226">
        <v>2</v>
      </c>
      <c r="D11339" s="232">
        <f t="shared" si="1267"/>
        <v>46055</v>
      </c>
      <c r="E11339" s="234">
        <f t="shared" si="1266"/>
        <v>46055</v>
      </c>
      <c r="F11339" s="479"/>
      <c r="G11339" s="227" t="s">
        <v>1111</v>
      </c>
      <c r="H11339" s="228"/>
      <c r="I11339" s="228"/>
      <c r="J11339" s="229" t="s">
        <v>1112</v>
      </c>
      <c r="K11339" s="230"/>
      <c r="L11339" s="230">
        <v>118580</v>
      </c>
    </row>
    <row r="11340" spans="1:13" ht="11.25" customHeight="1" x14ac:dyDescent="0.2">
      <c r="A11340" s="221">
        <v>2026</v>
      </c>
      <c r="B11340" s="221">
        <v>2</v>
      </c>
      <c r="C11340" s="221">
        <v>2</v>
      </c>
      <c r="D11340" s="231">
        <f t="shared" si="1267"/>
        <v>46055</v>
      </c>
      <c r="E11340" s="233">
        <f>DATE(A11340,B11340,C11340)</f>
        <v>46055</v>
      </c>
      <c r="F11340" s="478" t="s">
        <v>1984</v>
      </c>
      <c r="G11340" s="222" t="s">
        <v>1111</v>
      </c>
      <c r="H11340" s="223" t="str" cm="1">
        <f t="array" ref="H11340">IFERROR(INDEX(INVESTOR_LIST[INVESTOR NAME],MATCH(I11340,INVESTOR_LIST[INVESTOR CODE],0),)," ")</f>
        <v xml:space="preserve"> </v>
      </c>
      <c r="I11340" s="223"/>
      <c r="J11340" s="224" t="s">
        <v>961</v>
      </c>
      <c r="K11340" s="225">
        <v>132050.48000000001</v>
      </c>
      <c r="L11340" s="225"/>
    </row>
    <row r="11341" spans="1:13" ht="11.25" customHeight="1" x14ac:dyDescent="0.2">
      <c r="A11341" s="226">
        <v>2026</v>
      </c>
      <c r="B11341" s="226">
        <v>2</v>
      </c>
      <c r="C11341" s="226">
        <v>2</v>
      </c>
      <c r="D11341" s="232">
        <f t="shared" si="1267"/>
        <v>46055</v>
      </c>
      <c r="E11341" s="234">
        <f>DATE(A11341,B11341,C11341)</f>
        <v>46055</v>
      </c>
      <c r="F11341" s="479"/>
      <c r="G11341" s="227" t="s">
        <v>1111</v>
      </c>
      <c r="H11341" s="228" t="str" cm="1">
        <f t="array" ref="H11341">IFERROR(INDEX(INVESTOR_LIST[INVESTOR NAME],MATCH(I11341,INVESTOR_LIST[INVESTOR CODE],0),)," ")</f>
        <v xml:space="preserve"> </v>
      </c>
      <c r="I11341" s="228"/>
      <c r="J11341" s="229" t="s">
        <v>55</v>
      </c>
      <c r="K11341" s="230"/>
      <c r="L11341" s="230">
        <f>K11340</f>
        <v>132050.48000000001</v>
      </c>
    </row>
    <row r="11342" spans="1:13" ht="11.25" customHeight="1" x14ac:dyDescent="0.2">
      <c r="A11342" s="221">
        <v>2026</v>
      </c>
      <c r="B11342" s="221">
        <v>2</v>
      </c>
      <c r="C11342" s="221">
        <v>2</v>
      </c>
      <c r="D11342" s="231">
        <f t="shared" si="1267"/>
        <v>46055</v>
      </c>
      <c r="E11342" s="233">
        <f t="shared" ref="E11342:E11373" si="1268">DATE(A11342,B11342,C11342)</f>
        <v>46055</v>
      </c>
      <c r="F11342" s="478" t="s">
        <v>1985</v>
      </c>
      <c r="G11342" s="222" t="s">
        <v>1111</v>
      </c>
      <c r="H11342" s="223"/>
      <c r="I11342" s="223"/>
      <c r="J11342" s="224" t="s">
        <v>55</v>
      </c>
      <c r="K11342" s="225">
        <v>404981.13</v>
      </c>
      <c r="L11342" s="225"/>
    </row>
    <row r="11343" spans="1:13" ht="11.25" customHeight="1" x14ac:dyDescent="0.2">
      <c r="A11343" s="226">
        <v>2026</v>
      </c>
      <c r="B11343" s="226">
        <v>2</v>
      </c>
      <c r="C11343" s="226">
        <v>2</v>
      </c>
      <c r="D11343" s="232">
        <f t="shared" si="1267"/>
        <v>46055</v>
      </c>
      <c r="E11343" s="234">
        <f t="shared" si="1268"/>
        <v>46055</v>
      </c>
      <c r="F11343" s="479"/>
      <c r="G11343" s="227" t="s">
        <v>1111</v>
      </c>
      <c r="H11343" s="228"/>
      <c r="I11343" s="228"/>
      <c r="J11343" s="229" t="s">
        <v>199</v>
      </c>
      <c r="K11343" s="230"/>
      <c r="L11343" s="230">
        <f>K11342</f>
        <v>404981.13</v>
      </c>
    </row>
    <row r="11344" spans="1:13" ht="11.25" customHeight="1" x14ac:dyDescent="0.2">
      <c r="A11344" s="221">
        <v>2026</v>
      </c>
      <c r="B11344" s="221">
        <v>2</v>
      </c>
      <c r="C11344" s="221">
        <v>2</v>
      </c>
      <c r="D11344" s="231">
        <f t="shared" si="1267"/>
        <v>46055</v>
      </c>
      <c r="E11344" s="233">
        <f t="shared" si="1268"/>
        <v>46055</v>
      </c>
      <c r="F11344" s="478" t="s">
        <v>1670</v>
      </c>
      <c r="G11344" s="222" t="s">
        <v>1111</v>
      </c>
      <c r="H11344" s="223"/>
      <c r="I11344" s="223"/>
      <c r="J11344" s="224" t="s">
        <v>63</v>
      </c>
      <c r="K11344" s="225">
        <v>58</v>
      </c>
      <c r="L11344" s="225"/>
    </row>
    <row r="11345" spans="1:14" ht="11.25" customHeight="1" x14ac:dyDescent="0.2">
      <c r="A11345" s="226">
        <v>2026</v>
      </c>
      <c r="B11345" s="226">
        <v>2</v>
      </c>
      <c r="C11345" s="226">
        <v>2</v>
      </c>
      <c r="D11345" s="232">
        <f t="shared" si="1267"/>
        <v>46055</v>
      </c>
      <c r="E11345" s="234">
        <f t="shared" si="1268"/>
        <v>46055</v>
      </c>
      <c r="F11345" s="479"/>
      <c r="G11345" s="227" t="s">
        <v>1111</v>
      </c>
      <c r="H11345" s="228"/>
      <c r="I11345" s="228"/>
      <c r="J11345" s="229" t="s">
        <v>55</v>
      </c>
      <c r="K11345" s="230"/>
      <c r="L11345" s="230">
        <f>K11344</f>
        <v>58</v>
      </c>
    </row>
    <row r="11346" spans="1:14" ht="11.25" customHeight="1" x14ac:dyDescent="0.2">
      <c r="A11346" s="221">
        <v>2026</v>
      </c>
      <c r="B11346" s="221">
        <v>2</v>
      </c>
      <c r="C11346" s="221">
        <v>2</v>
      </c>
      <c r="D11346" s="221">
        <f t="shared" si="1267"/>
        <v>46055</v>
      </c>
      <c r="E11346" s="233">
        <f t="shared" si="1268"/>
        <v>46055</v>
      </c>
      <c r="F11346" s="478" t="s">
        <v>1937</v>
      </c>
      <c r="G11346" s="222" t="s">
        <v>86</v>
      </c>
      <c r="H11346" s="222"/>
      <c r="I11346" s="223"/>
      <c r="J11346" s="224" t="s">
        <v>80</v>
      </c>
      <c r="K11346" s="225">
        <v>3255569.8</v>
      </c>
      <c r="L11346" s="225"/>
      <c r="N11346" s="263"/>
    </row>
    <row r="11347" spans="1:14" ht="11.25" customHeight="1" x14ac:dyDescent="0.2">
      <c r="A11347" s="164">
        <v>2026</v>
      </c>
      <c r="B11347" s="164">
        <v>2</v>
      </c>
      <c r="C11347" s="164">
        <v>2</v>
      </c>
      <c r="D11347" s="164">
        <f t="shared" si="1267"/>
        <v>46055</v>
      </c>
      <c r="E11347" s="235">
        <f t="shared" si="1268"/>
        <v>46055</v>
      </c>
      <c r="F11347" s="480"/>
      <c r="G11347" s="208" t="s">
        <v>86</v>
      </c>
      <c r="H11347" s="208"/>
      <c r="J11347" s="165" t="s">
        <v>960</v>
      </c>
      <c r="K11347" s="205">
        <v>12699.67</v>
      </c>
      <c r="L11347" s="205"/>
      <c r="M11347" s="263"/>
      <c r="N11347" s="263"/>
    </row>
    <row r="11348" spans="1:14" ht="11.25" customHeight="1" x14ac:dyDescent="0.2">
      <c r="A11348" s="164">
        <v>2026</v>
      </c>
      <c r="B11348" s="164">
        <v>2</v>
      </c>
      <c r="C11348" s="164">
        <v>2</v>
      </c>
      <c r="D11348" s="164">
        <f t="shared" si="1267"/>
        <v>46055</v>
      </c>
      <c r="E11348" s="235">
        <f t="shared" si="1268"/>
        <v>46055</v>
      </c>
      <c r="F11348" s="480"/>
      <c r="G11348" s="208" t="s">
        <v>86</v>
      </c>
      <c r="H11348" s="208"/>
      <c r="J11348" s="165" t="s">
        <v>199</v>
      </c>
      <c r="K11348" s="263">
        <v>531530.53</v>
      </c>
      <c r="L11348" s="205"/>
      <c r="M11348" s="263"/>
      <c r="N11348" s="263"/>
    </row>
    <row r="11349" spans="1:14" ht="11.25" customHeight="1" x14ac:dyDescent="0.2">
      <c r="A11349" s="164">
        <v>2026</v>
      </c>
      <c r="B11349" s="164">
        <v>2</v>
      </c>
      <c r="C11349" s="164">
        <v>2</v>
      </c>
      <c r="D11349" s="164">
        <f t="shared" si="1267"/>
        <v>46055</v>
      </c>
      <c r="E11349" s="235">
        <f t="shared" si="1268"/>
        <v>46055</v>
      </c>
      <c r="F11349" s="480"/>
      <c r="G11349" s="208" t="s">
        <v>86</v>
      </c>
      <c r="H11349" s="208"/>
      <c r="J11349" s="165" t="s">
        <v>200</v>
      </c>
      <c r="K11349" s="205"/>
      <c r="L11349" s="205">
        <v>867249.35</v>
      </c>
      <c r="M11349" s="263"/>
      <c r="N11349" s="263"/>
    </row>
    <row r="11350" spans="1:14" ht="11.25" customHeight="1" x14ac:dyDescent="0.2">
      <c r="A11350" s="226">
        <v>2026</v>
      </c>
      <c r="B11350" s="226">
        <v>2</v>
      </c>
      <c r="C11350" s="226">
        <v>2</v>
      </c>
      <c r="D11350" s="226">
        <f t="shared" si="1267"/>
        <v>46055</v>
      </c>
      <c r="E11350" s="234">
        <f t="shared" si="1268"/>
        <v>46055</v>
      </c>
      <c r="F11350" s="479"/>
      <c r="G11350" s="227" t="s">
        <v>86</v>
      </c>
      <c r="H11350" s="228"/>
      <c r="I11350" s="228"/>
      <c r="J11350" s="229" t="s">
        <v>80</v>
      </c>
      <c r="K11350" s="230"/>
      <c r="L11350" s="230">
        <v>2932550.65</v>
      </c>
      <c r="M11350" s="263"/>
      <c r="N11350" s="263"/>
    </row>
    <row r="11351" spans="1:14" ht="11.25" customHeight="1" x14ac:dyDescent="0.2">
      <c r="A11351" s="221">
        <v>2026</v>
      </c>
      <c r="B11351" s="221">
        <v>2</v>
      </c>
      <c r="C11351" s="221">
        <v>2</v>
      </c>
      <c r="D11351" s="221">
        <f t="shared" si="1267"/>
        <v>46055</v>
      </c>
      <c r="E11351" s="233">
        <f t="shared" si="1268"/>
        <v>46055</v>
      </c>
      <c r="F11351" s="478" t="s">
        <v>1986</v>
      </c>
      <c r="G11351" s="222" t="s">
        <v>86</v>
      </c>
      <c r="H11351" s="222"/>
      <c r="I11351" s="223"/>
      <c r="J11351" s="224" t="s">
        <v>199</v>
      </c>
      <c r="K11351" s="225">
        <v>773105.9</v>
      </c>
      <c r="L11351" s="225"/>
      <c r="M11351" s="263"/>
      <c r="N11351" s="263"/>
    </row>
    <row r="11352" spans="1:14" ht="11.25" customHeight="1" x14ac:dyDescent="0.2">
      <c r="A11352" s="164">
        <v>2026</v>
      </c>
      <c r="B11352" s="164">
        <v>2</v>
      </c>
      <c r="C11352" s="164">
        <v>2</v>
      </c>
      <c r="D11352" s="164">
        <f t="shared" si="1267"/>
        <v>46055</v>
      </c>
      <c r="E11352" s="235">
        <f t="shared" si="1268"/>
        <v>46055</v>
      </c>
      <c r="F11352" s="480"/>
      <c r="G11352" s="208" t="s">
        <v>86</v>
      </c>
      <c r="H11352" s="208"/>
      <c r="J11352" s="165" t="s">
        <v>960</v>
      </c>
      <c r="K11352" s="205">
        <v>1394.1</v>
      </c>
      <c r="L11352" s="205"/>
      <c r="M11352" s="263"/>
      <c r="N11352" s="263"/>
    </row>
    <row r="11353" spans="1:14" ht="11.25" customHeight="1" x14ac:dyDescent="0.2">
      <c r="A11353" s="164">
        <v>2026</v>
      </c>
      <c r="B11353" s="164">
        <v>2</v>
      </c>
      <c r="C11353" s="164">
        <v>2</v>
      </c>
      <c r="D11353" s="164">
        <f t="shared" si="1267"/>
        <v>46055</v>
      </c>
      <c r="E11353" s="235">
        <f t="shared" si="1268"/>
        <v>46055</v>
      </c>
      <c r="F11353" s="480"/>
      <c r="G11353" s="208" t="s">
        <v>86</v>
      </c>
      <c r="H11353" s="208"/>
      <c r="J11353" s="165" t="s">
        <v>200</v>
      </c>
      <c r="K11353" s="205"/>
      <c r="L11353" s="205">
        <v>189896.75</v>
      </c>
      <c r="M11353" s="263"/>
      <c r="N11353" s="263"/>
    </row>
    <row r="11354" spans="1:14" ht="11.25" customHeight="1" x14ac:dyDescent="0.2">
      <c r="A11354" s="226">
        <v>2026</v>
      </c>
      <c r="B11354" s="226">
        <v>2</v>
      </c>
      <c r="C11354" s="226">
        <v>2</v>
      </c>
      <c r="D11354" s="226">
        <f t="shared" si="1267"/>
        <v>46055</v>
      </c>
      <c r="E11354" s="234">
        <f t="shared" si="1268"/>
        <v>46055</v>
      </c>
      <c r="F11354" s="479"/>
      <c r="G11354" s="227" t="s">
        <v>86</v>
      </c>
      <c r="H11354" s="228"/>
      <c r="I11354" s="228"/>
      <c r="J11354" s="229" t="s">
        <v>80</v>
      </c>
      <c r="K11354" s="230"/>
      <c r="L11354" s="230">
        <v>584603.25</v>
      </c>
      <c r="M11354" s="263"/>
      <c r="N11354" s="263"/>
    </row>
    <row r="11355" spans="1:14" ht="11.25" customHeight="1" x14ac:dyDescent="0.2">
      <c r="A11355" s="280">
        <v>2026</v>
      </c>
      <c r="B11355" s="280">
        <v>2</v>
      </c>
      <c r="C11355" s="280">
        <v>2</v>
      </c>
      <c r="D11355" s="281">
        <f t="shared" si="1267"/>
        <v>46055</v>
      </c>
      <c r="E11355" s="282">
        <f t="shared" si="1268"/>
        <v>46055</v>
      </c>
      <c r="F11355" s="481" t="s">
        <v>1744</v>
      </c>
      <c r="G11355" s="455" t="s">
        <v>86</v>
      </c>
      <c r="H11355" s="456"/>
      <c r="I11355" s="456"/>
      <c r="J11355" s="457" t="s">
        <v>131</v>
      </c>
      <c r="K11355" s="286">
        <v>2875</v>
      </c>
      <c r="L11355" s="286"/>
      <c r="M11355" s="401"/>
    </row>
    <row r="11356" spans="1:14" ht="11.25" customHeight="1" x14ac:dyDescent="0.2">
      <c r="A11356" s="287">
        <v>2026</v>
      </c>
      <c r="B11356" s="287">
        <v>2</v>
      </c>
      <c r="C11356" s="287">
        <v>2</v>
      </c>
      <c r="D11356" s="288">
        <f t="shared" si="1267"/>
        <v>46055</v>
      </c>
      <c r="E11356" s="289">
        <f t="shared" si="1268"/>
        <v>46055</v>
      </c>
      <c r="F11356" s="473"/>
      <c r="G11356" s="290" t="s">
        <v>86</v>
      </c>
      <c r="H11356" s="291"/>
      <c r="I11356" s="291"/>
      <c r="J11356" s="292" t="s">
        <v>1469</v>
      </c>
      <c r="K11356" s="293"/>
      <c r="L11356" s="293">
        <f>K11355</f>
        <v>2875</v>
      </c>
    </row>
    <row r="11357" spans="1:14" ht="11.25" customHeight="1" x14ac:dyDescent="0.2">
      <c r="A11357" s="280">
        <v>2026</v>
      </c>
      <c r="B11357" s="280">
        <v>2</v>
      </c>
      <c r="C11357" s="280">
        <v>2</v>
      </c>
      <c r="D11357" s="281">
        <f t="shared" si="1267"/>
        <v>46055</v>
      </c>
      <c r="E11357" s="282">
        <f t="shared" si="1268"/>
        <v>46055</v>
      </c>
      <c r="F11357" s="472" t="s">
        <v>1584</v>
      </c>
      <c r="G11357" s="283" t="s">
        <v>86</v>
      </c>
      <c r="H11357" s="284"/>
      <c r="I11357" s="284"/>
      <c r="J11357" s="285" t="s">
        <v>131</v>
      </c>
      <c r="K11357" s="286">
        <v>1277.7777777777778</v>
      </c>
      <c r="L11357" s="286"/>
      <c r="M11357" s="401"/>
    </row>
    <row r="11358" spans="1:14" ht="11.25" customHeight="1" x14ac:dyDescent="0.2">
      <c r="A11358" s="287">
        <v>2026</v>
      </c>
      <c r="B11358" s="287">
        <v>2</v>
      </c>
      <c r="C11358" s="287">
        <v>2</v>
      </c>
      <c r="D11358" s="288">
        <f t="shared" si="1267"/>
        <v>46055</v>
      </c>
      <c r="E11358" s="289">
        <f t="shared" si="1268"/>
        <v>46055</v>
      </c>
      <c r="F11358" s="473"/>
      <c r="G11358" s="290" t="s">
        <v>86</v>
      </c>
      <c r="H11358" s="291"/>
      <c r="I11358" s="291"/>
      <c r="J11358" s="292" t="s">
        <v>1469</v>
      </c>
      <c r="K11358" s="293"/>
      <c r="L11358" s="293">
        <f>K11357</f>
        <v>1277.7777777777778</v>
      </c>
    </row>
    <row r="11359" spans="1:14" ht="11.25" customHeight="1" x14ac:dyDescent="0.2">
      <c r="A11359" s="280">
        <v>2026</v>
      </c>
      <c r="B11359" s="280">
        <v>2</v>
      </c>
      <c r="C11359" s="280">
        <v>2</v>
      </c>
      <c r="D11359" s="281">
        <f t="shared" si="1267"/>
        <v>46055</v>
      </c>
      <c r="E11359" s="282">
        <f t="shared" si="1268"/>
        <v>46055</v>
      </c>
      <c r="F11359" s="472" t="s">
        <v>1955</v>
      </c>
      <c r="G11359" s="283" t="s">
        <v>86</v>
      </c>
      <c r="H11359" s="284"/>
      <c r="I11359" s="284"/>
      <c r="J11359" s="285" t="s">
        <v>1978</v>
      </c>
      <c r="K11359" s="286">
        <v>6185.4395604395604</v>
      </c>
      <c r="L11359" s="286"/>
      <c r="M11359" s="401"/>
    </row>
    <row r="11360" spans="1:14" ht="11.25" customHeight="1" x14ac:dyDescent="0.2">
      <c r="A11360" s="287">
        <v>2026</v>
      </c>
      <c r="B11360" s="287">
        <v>2</v>
      </c>
      <c r="C11360" s="287">
        <v>2</v>
      </c>
      <c r="D11360" s="288">
        <f t="shared" si="1267"/>
        <v>46055</v>
      </c>
      <c r="E11360" s="289">
        <f t="shared" si="1268"/>
        <v>46055</v>
      </c>
      <c r="F11360" s="473"/>
      <c r="G11360" s="290" t="s">
        <v>86</v>
      </c>
      <c r="H11360" s="291"/>
      <c r="I11360" s="291"/>
      <c r="J11360" s="292" t="s">
        <v>1955</v>
      </c>
      <c r="K11360" s="293"/>
      <c r="L11360" s="293">
        <f>K11359</f>
        <v>6185.4395604395604</v>
      </c>
    </row>
    <row r="11361" spans="1:14" ht="11.25" customHeight="1" x14ac:dyDescent="0.2">
      <c r="A11361" s="341">
        <v>2026</v>
      </c>
      <c r="B11361" s="341">
        <v>2</v>
      </c>
      <c r="C11361" s="341">
        <v>2</v>
      </c>
      <c r="D11361" s="328">
        <f t="shared" si="1267"/>
        <v>46055</v>
      </c>
      <c r="E11361" s="329">
        <f t="shared" si="1268"/>
        <v>46055</v>
      </c>
      <c r="F11361" s="474" t="s">
        <v>1767</v>
      </c>
      <c r="G11361" s="330" t="s">
        <v>86</v>
      </c>
      <c r="H11361" s="332"/>
      <c r="I11361" s="332"/>
      <c r="J11361" s="342" t="s">
        <v>67</v>
      </c>
      <c r="K11361" s="343">
        <v>976.50682652777743</v>
      </c>
      <c r="L11361" s="343"/>
      <c r="M11361" s="166"/>
    </row>
    <row r="11362" spans="1:14" ht="11.25" customHeight="1" x14ac:dyDescent="0.2">
      <c r="A11362" s="344">
        <v>2026</v>
      </c>
      <c r="B11362" s="344">
        <v>2</v>
      </c>
      <c r="C11362" s="344">
        <v>2</v>
      </c>
      <c r="D11362" s="337">
        <f t="shared" si="1267"/>
        <v>46055</v>
      </c>
      <c r="E11362" s="338">
        <f t="shared" si="1268"/>
        <v>46055</v>
      </c>
      <c r="F11362" s="475"/>
      <c r="G11362" s="339" t="s">
        <v>86</v>
      </c>
      <c r="H11362" s="340"/>
      <c r="I11362" s="340"/>
      <c r="J11362" s="345" t="s">
        <v>1974</v>
      </c>
      <c r="K11362" s="346"/>
      <c r="L11362" s="346">
        <f>K11361</f>
        <v>976.50682652777743</v>
      </c>
    </row>
    <row r="11363" spans="1:14" ht="11.25" customHeight="1" x14ac:dyDescent="0.2">
      <c r="A11363" s="236">
        <v>2026</v>
      </c>
      <c r="B11363" s="236">
        <v>2</v>
      </c>
      <c r="C11363" s="236">
        <v>2</v>
      </c>
      <c r="D11363" s="237">
        <f t="shared" si="1267"/>
        <v>46055</v>
      </c>
      <c r="E11363" s="238">
        <f t="shared" si="1268"/>
        <v>46055</v>
      </c>
      <c r="F11363" s="476" t="s">
        <v>1118</v>
      </c>
      <c r="G11363" s="239" t="s">
        <v>86</v>
      </c>
      <c r="H11363" s="239"/>
      <c r="I11363" s="240"/>
      <c r="J11363" s="241" t="s">
        <v>98</v>
      </c>
      <c r="K11363" s="242">
        <v>272832.51999998093</v>
      </c>
      <c r="L11363" s="242"/>
      <c r="M11363" s="166"/>
    </row>
    <row r="11364" spans="1:14" ht="11.25" customHeight="1" x14ac:dyDescent="0.2">
      <c r="A11364" s="243">
        <v>2026</v>
      </c>
      <c r="B11364" s="243">
        <v>2</v>
      </c>
      <c r="C11364" s="243">
        <v>2</v>
      </c>
      <c r="D11364" s="248">
        <f t="shared" si="1267"/>
        <v>46055</v>
      </c>
      <c r="E11364" s="249">
        <f t="shared" si="1268"/>
        <v>46055</v>
      </c>
      <c r="F11364" s="477"/>
      <c r="G11364" s="244" t="s">
        <v>86</v>
      </c>
      <c r="H11364" s="244"/>
      <c r="I11364" s="245"/>
      <c r="J11364" s="246" t="s">
        <v>82</v>
      </c>
      <c r="K11364" s="247"/>
      <c r="L11364" s="247">
        <f>K11363</f>
        <v>272832.51999998093</v>
      </c>
    </row>
    <row r="11365" spans="1:14" ht="11.25" customHeight="1" x14ac:dyDescent="0.2">
      <c r="A11365" s="236">
        <v>2026</v>
      </c>
      <c r="B11365" s="236">
        <v>2</v>
      </c>
      <c r="C11365" s="236">
        <v>2</v>
      </c>
      <c r="D11365" s="237">
        <f t="shared" si="1267"/>
        <v>46055</v>
      </c>
      <c r="E11365" s="238">
        <f t="shared" si="1268"/>
        <v>46055</v>
      </c>
      <c r="F11365" s="476" t="s">
        <v>1999</v>
      </c>
      <c r="G11365" s="239" t="s">
        <v>86</v>
      </c>
      <c r="H11365" s="239"/>
      <c r="I11365" s="240"/>
      <c r="J11365" s="241" t="s">
        <v>87</v>
      </c>
      <c r="K11365" s="242">
        <v>392.46467817896388</v>
      </c>
      <c r="L11365" s="242"/>
      <c r="M11365" s="401"/>
    </row>
    <row r="11366" spans="1:14" ht="11.25" customHeight="1" x14ac:dyDescent="0.2">
      <c r="A11366" s="243">
        <v>2026</v>
      </c>
      <c r="B11366" s="243">
        <v>2</v>
      </c>
      <c r="C11366" s="243">
        <v>2</v>
      </c>
      <c r="D11366" s="248">
        <f t="shared" si="1267"/>
        <v>46055</v>
      </c>
      <c r="E11366" s="249">
        <f t="shared" si="1268"/>
        <v>46055</v>
      </c>
      <c r="F11366" s="477"/>
      <c r="G11366" s="244" t="s">
        <v>86</v>
      </c>
      <c r="H11366" s="244"/>
      <c r="I11366" s="245"/>
      <c r="J11366" s="246" t="s">
        <v>64</v>
      </c>
      <c r="K11366" s="247"/>
      <c r="L11366" s="247">
        <f>K11365</f>
        <v>392.46467817896388</v>
      </c>
    </row>
    <row r="11367" spans="1:14" ht="11.25" customHeight="1" x14ac:dyDescent="0.2">
      <c r="A11367" s="236">
        <v>2026</v>
      </c>
      <c r="B11367" s="236">
        <v>2</v>
      </c>
      <c r="C11367" s="236">
        <v>2</v>
      </c>
      <c r="D11367" s="237">
        <f t="shared" si="1267"/>
        <v>46055</v>
      </c>
      <c r="E11367" s="238">
        <f t="shared" si="1268"/>
        <v>46055</v>
      </c>
      <c r="F11367" s="476" t="s">
        <v>2000</v>
      </c>
      <c r="G11367" s="239" t="s">
        <v>86</v>
      </c>
      <c r="H11367" s="239"/>
      <c r="I11367" s="240"/>
      <c r="J11367" s="241" t="s">
        <v>89</v>
      </c>
      <c r="K11367" s="242">
        <v>14914.091588051158</v>
      </c>
      <c r="L11367" s="242"/>
      <c r="M11367" s="448"/>
    </row>
    <row r="11368" spans="1:14" ht="11.25" customHeight="1" x14ac:dyDescent="0.2">
      <c r="A11368" s="243">
        <v>2026</v>
      </c>
      <c r="B11368" s="243">
        <v>2</v>
      </c>
      <c r="C11368" s="243">
        <v>2</v>
      </c>
      <c r="D11368" s="248">
        <f t="shared" si="1267"/>
        <v>46055</v>
      </c>
      <c r="E11368" s="249">
        <f t="shared" si="1268"/>
        <v>46055</v>
      </c>
      <c r="F11368" s="477"/>
      <c r="G11368" s="244" t="s">
        <v>86</v>
      </c>
      <c r="H11368" s="244"/>
      <c r="I11368" s="245"/>
      <c r="J11368" s="246" t="s">
        <v>50</v>
      </c>
      <c r="K11368" s="247"/>
      <c r="L11368" s="247">
        <f>K11367</f>
        <v>14914.091588051158</v>
      </c>
      <c r="M11368" s="423">
        <v>14914.091588051158</v>
      </c>
    </row>
    <row r="11369" spans="1:14" ht="11.25" customHeight="1" x14ac:dyDescent="0.2">
      <c r="A11369" s="236">
        <v>2026</v>
      </c>
      <c r="B11369" s="236">
        <v>2</v>
      </c>
      <c r="C11369" s="236">
        <v>2</v>
      </c>
      <c r="D11369" s="237">
        <f t="shared" si="1267"/>
        <v>46055</v>
      </c>
      <c r="E11369" s="238">
        <f t="shared" si="1268"/>
        <v>46055</v>
      </c>
      <c r="F11369" s="476" t="s">
        <v>2001</v>
      </c>
      <c r="G11369" s="239" t="s">
        <v>86</v>
      </c>
      <c r="H11369" s="239"/>
      <c r="I11369" s="240"/>
      <c r="J11369" s="241" t="s">
        <v>91</v>
      </c>
      <c r="K11369" s="242">
        <v>719.54749781146916</v>
      </c>
      <c r="L11369" s="242"/>
      <c r="M11369" s="423">
        <v>719.54749781146916</v>
      </c>
    </row>
    <row r="11370" spans="1:14" ht="11.25" customHeight="1" x14ac:dyDescent="0.2">
      <c r="A11370" s="243">
        <v>2026</v>
      </c>
      <c r="B11370" s="243">
        <v>2</v>
      </c>
      <c r="C11370" s="243">
        <v>2</v>
      </c>
      <c r="D11370" s="248">
        <f t="shared" si="1267"/>
        <v>46055</v>
      </c>
      <c r="E11370" s="249">
        <f t="shared" si="1268"/>
        <v>46055</v>
      </c>
      <c r="F11370" s="477"/>
      <c r="G11370" s="244" t="s">
        <v>86</v>
      </c>
      <c r="H11370" s="244"/>
      <c r="I11370" s="245"/>
      <c r="J11370" s="246" t="s">
        <v>51</v>
      </c>
      <c r="K11370" s="247"/>
      <c r="L11370" s="247">
        <f>K11369</f>
        <v>719.54749781146916</v>
      </c>
    </row>
    <row r="11371" spans="1:14" ht="11.25" customHeight="1" x14ac:dyDescent="0.2">
      <c r="A11371" s="221">
        <v>2026</v>
      </c>
      <c r="B11371" s="221">
        <v>2</v>
      </c>
      <c r="C11371" s="221">
        <v>3</v>
      </c>
      <c r="D11371" s="231">
        <f t="shared" si="1267"/>
        <v>46056</v>
      </c>
      <c r="E11371" s="233">
        <f t="shared" si="1268"/>
        <v>46056</v>
      </c>
      <c r="F11371" s="478" t="s">
        <v>1323</v>
      </c>
      <c r="G11371" s="222" t="s">
        <v>1111</v>
      </c>
      <c r="H11371" s="223"/>
      <c r="I11371" s="223"/>
      <c r="J11371" s="224" t="s">
        <v>55</v>
      </c>
      <c r="K11371" s="225">
        <v>700000</v>
      </c>
      <c r="L11371" s="225"/>
    </row>
    <row r="11372" spans="1:14" ht="11.25" customHeight="1" x14ac:dyDescent="0.2">
      <c r="A11372" s="164">
        <v>2026</v>
      </c>
      <c r="B11372" s="164">
        <v>2</v>
      </c>
      <c r="C11372" s="164">
        <v>3</v>
      </c>
      <c r="D11372" s="156">
        <f t="shared" si="1267"/>
        <v>46056</v>
      </c>
      <c r="E11372" s="235">
        <f t="shared" si="1268"/>
        <v>46056</v>
      </c>
      <c r="F11372" s="480"/>
      <c r="G11372" s="208" t="s">
        <v>1111</v>
      </c>
      <c r="J11372" s="165" t="s">
        <v>14</v>
      </c>
      <c r="K11372" s="205"/>
      <c r="L11372" s="205">
        <v>564060</v>
      </c>
      <c r="M11372" s="166"/>
    </row>
    <row r="11373" spans="1:14" ht="11.25" customHeight="1" x14ac:dyDescent="0.2">
      <c r="A11373" s="226">
        <v>2026</v>
      </c>
      <c r="B11373" s="226">
        <v>2</v>
      </c>
      <c r="C11373" s="226">
        <v>3</v>
      </c>
      <c r="D11373" s="232">
        <f t="shared" si="1267"/>
        <v>46056</v>
      </c>
      <c r="E11373" s="234">
        <f t="shared" si="1268"/>
        <v>46056</v>
      </c>
      <c r="F11373" s="479"/>
      <c r="G11373" s="227" t="s">
        <v>1111</v>
      </c>
      <c r="H11373" s="228"/>
      <c r="I11373" s="228"/>
      <c r="J11373" s="229" t="s">
        <v>1112</v>
      </c>
      <c r="K11373" s="230"/>
      <c r="L11373" s="230">
        <v>135940</v>
      </c>
    </row>
    <row r="11374" spans="1:14" ht="11.25" customHeight="1" x14ac:dyDescent="0.2">
      <c r="A11374" s="221">
        <v>2026</v>
      </c>
      <c r="B11374" s="221">
        <v>2</v>
      </c>
      <c r="C11374" s="221">
        <v>3</v>
      </c>
      <c r="D11374" s="231">
        <f t="shared" si="1267"/>
        <v>46056</v>
      </c>
      <c r="E11374" s="233">
        <f t="shared" ref="E11374:E11402" si="1269">DATE(A11374,B11374,C11374)</f>
        <v>46056</v>
      </c>
      <c r="F11374" s="478" t="s">
        <v>1985</v>
      </c>
      <c r="G11374" s="222" t="s">
        <v>1111</v>
      </c>
      <c r="H11374" s="223"/>
      <c r="I11374" s="223"/>
      <c r="J11374" s="224" t="s">
        <v>55</v>
      </c>
      <c r="K11374" s="225">
        <v>1785566.29</v>
      </c>
      <c r="L11374" s="225"/>
    </row>
    <row r="11375" spans="1:14" ht="11.25" customHeight="1" x14ac:dyDescent="0.2">
      <c r="A11375" s="226">
        <v>2026</v>
      </c>
      <c r="B11375" s="226">
        <v>2</v>
      </c>
      <c r="C11375" s="226">
        <v>3</v>
      </c>
      <c r="D11375" s="232">
        <f t="shared" si="1267"/>
        <v>46056</v>
      </c>
      <c r="E11375" s="234">
        <f t="shared" si="1269"/>
        <v>46056</v>
      </c>
      <c r="F11375" s="479"/>
      <c r="G11375" s="227" t="s">
        <v>1111</v>
      </c>
      <c r="H11375" s="228"/>
      <c r="I11375" s="228"/>
      <c r="J11375" s="229" t="s">
        <v>199</v>
      </c>
      <c r="K11375" s="230"/>
      <c r="L11375" s="230">
        <f>K11374</f>
        <v>1785566.29</v>
      </c>
      <c r="M11375" s="166"/>
    </row>
    <row r="11376" spans="1:14" ht="11.25" customHeight="1" x14ac:dyDescent="0.2">
      <c r="A11376" s="221">
        <v>2026</v>
      </c>
      <c r="B11376" s="221">
        <v>2</v>
      </c>
      <c r="C11376" s="221">
        <v>3</v>
      </c>
      <c r="D11376" s="221">
        <f t="shared" si="1267"/>
        <v>46056</v>
      </c>
      <c r="E11376" s="233">
        <f t="shared" si="1269"/>
        <v>46056</v>
      </c>
      <c r="F11376" s="478" t="s">
        <v>1937</v>
      </c>
      <c r="G11376" s="222" t="s">
        <v>86</v>
      </c>
      <c r="H11376" s="222"/>
      <c r="I11376" s="223"/>
      <c r="J11376" s="224" t="s">
        <v>80</v>
      </c>
      <c r="K11376" s="225">
        <v>2948292.5</v>
      </c>
      <c r="L11376" s="225"/>
      <c r="N11376" s="263"/>
    </row>
    <row r="11377" spans="1:14" ht="11.25" customHeight="1" x14ac:dyDescent="0.2">
      <c r="A11377" s="164">
        <v>2026</v>
      </c>
      <c r="B11377" s="164">
        <v>2</v>
      </c>
      <c r="C11377" s="164">
        <v>3</v>
      </c>
      <c r="D11377" s="164">
        <f t="shared" si="1267"/>
        <v>46056</v>
      </c>
      <c r="E11377" s="235">
        <f t="shared" si="1269"/>
        <v>46056</v>
      </c>
      <c r="F11377" s="480"/>
      <c r="G11377" s="208" t="s">
        <v>86</v>
      </c>
      <c r="H11377" s="208"/>
      <c r="J11377" s="165" t="s">
        <v>960</v>
      </c>
      <c r="K11377" s="205">
        <v>7317.66</v>
      </c>
      <c r="L11377" s="205"/>
      <c r="M11377" s="263"/>
      <c r="N11377" s="263"/>
    </row>
    <row r="11378" spans="1:14" ht="11.25" customHeight="1" x14ac:dyDescent="0.2">
      <c r="A11378" s="164">
        <v>2026</v>
      </c>
      <c r="B11378" s="164">
        <v>2</v>
      </c>
      <c r="C11378" s="164">
        <v>3</v>
      </c>
      <c r="D11378" s="164">
        <f t="shared" si="1267"/>
        <v>46056</v>
      </c>
      <c r="E11378" s="235">
        <f t="shared" si="1269"/>
        <v>46056</v>
      </c>
      <c r="F11378" s="480"/>
      <c r="G11378" s="208" t="s">
        <v>86</v>
      </c>
      <c r="H11378" s="208"/>
      <c r="J11378" s="165" t="s">
        <v>143</v>
      </c>
      <c r="K11378" s="263"/>
      <c r="L11378" s="205">
        <v>1838535.16</v>
      </c>
      <c r="M11378" s="263"/>
      <c r="N11378" s="263"/>
    </row>
    <row r="11379" spans="1:14" ht="11.25" customHeight="1" x14ac:dyDescent="0.2">
      <c r="A11379" s="164">
        <v>2026</v>
      </c>
      <c r="B11379" s="164">
        <v>2</v>
      </c>
      <c r="C11379" s="164">
        <v>3</v>
      </c>
      <c r="D11379" s="164">
        <f t="shared" si="1267"/>
        <v>46056</v>
      </c>
      <c r="E11379" s="235">
        <f t="shared" si="1269"/>
        <v>46056</v>
      </c>
      <c r="F11379" s="480"/>
      <c r="G11379" s="208" t="s">
        <v>86</v>
      </c>
      <c r="H11379" s="208"/>
      <c r="J11379" s="165" t="s">
        <v>200</v>
      </c>
      <c r="K11379" s="205"/>
      <c r="L11379" s="205">
        <v>86136.33</v>
      </c>
      <c r="M11379" s="263"/>
      <c r="N11379" s="263"/>
    </row>
    <row r="11380" spans="1:14" ht="11.25" customHeight="1" x14ac:dyDescent="0.2">
      <c r="A11380" s="226">
        <v>2026</v>
      </c>
      <c r="B11380" s="226">
        <v>2</v>
      </c>
      <c r="C11380" s="226">
        <v>3</v>
      </c>
      <c r="D11380" s="226">
        <f t="shared" si="1267"/>
        <v>46056</v>
      </c>
      <c r="E11380" s="234">
        <f t="shared" si="1269"/>
        <v>46056</v>
      </c>
      <c r="F11380" s="479"/>
      <c r="G11380" s="227" t="s">
        <v>86</v>
      </c>
      <c r="H11380" s="228"/>
      <c r="I11380" s="228"/>
      <c r="J11380" s="229" t="s">
        <v>80</v>
      </c>
      <c r="K11380" s="230"/>
      <c r="L11380" s="230">
        <v>1030938.67</v>
      </c>
      <c r="M11380" s="263"/>
      <c r="N11380" s="263"/>
    </row>
    <row r="11381" spans="1:14" ht="11.25" customHeight="1" x14ac:dyDescent="0.2">
      <c r="A11381" s="221">
        <v>2026</v>
      </c>
      <c r="B11381" s="221">
        <v>2</v>
      </c>
      <c r="C11381" s="221">
        <v>3</v>
      </c>
      <c r="D11381" s="221">
        <f t="shared" si="1267"/>
        <v>46056</v>
      </c>
      <c r="E11381" s="233">
        <f t="shared" si="1269"/>
        <v>46056</v>
      </c>
      <c r="F11381" s="478" t="s">
        <v>1346</v>
      </c>
      <c r="G11381" s="222" t="s">
        <v>86</v>
      </c>
      <c r="H11381" s="222"/>
      <c r="I11381" s="223"/>
      <c r="J11381" s="224" t="s">
        <v>80</v>
      </c>
      <c r="K11381" s="225">
        <v>456500</v>
      </c>
      <c r="L11381" s="225"/>
      <c r="N11381" s="263"/>
    </row>
    <row r="11382" spans="1:14" ht="11.25" customHeight="1" x14ac:dyDescent="0.2">
      <c r="A11382" s="164">
        <v>2026</v>
      </c>
      <c r="B11382" s="164">
        <v>2</v>
      </c>
      <c r="C11382" s="164">
        <v>3</v>
      </c>
      <c r="D11382" s="164">
        <f t="shared" si="1267"/>
        <v>46056</v>
      </c>
      <c r="E11382" s="235">
        <f t="shared" si="1269"/>
        <v>46056</v>
      </c>
      <c r="F11382" s="480"/>
      <c r="G11382" s="208" t="s">
        <v>86</v>
      </c>
      <c r="H11382" s="208"/>
      <c r="J11382" s="165" t="s">
        <v>960</v>
      </c>
      <c r="K11382" s="205">
        <v>821.69989999999996</v>
      </c>
      <c r="L11382" s="205"/>
      <c r="M11382" s="263"/>
      <c r="N11382" s="263"/>
    </row>
    <row r="11383" spans="1:14" ht="11.25" customHeight="1" x14ac:dyDescent="0.2">
      <c r="A11383" s="226">
        <v>2026</v>
      </c>
      <c r="B11383" s="226">
        <v>2</v>
      </c>
      <c r="C11383" s="226">
        <v>3</v>
      </c>
      <c r="D11383" s="226">
        <f t="shared" si="1267"/>
        <v>46056</v>
      </c>
      <c r="E11383" s="234">
        <f t="shared" si="1269"/>
        <v>46056</v>
      </c>
      <c r="F11383" s="479"/>
      <c r="G11383" s="227" t="s">
        <v>86</v>
      </c>
      <c r="H11383" s="227"/>
      <c r="I11383" s="228"/>
      <c r="J11383" s="229" t="s">
        <v>143</v>
      </c>
      <c r="K11383" s="230"/>
      <c r="L11383" s="230">
        <v>457321.7</v>
      </c>
      <c r="M11383" s="263"/>
      <c r="N11383" s="263"/>
    </row>
    <row r="11384" spans="1:14" ht="11.25" customHeight="1" x14ac:dyDescent="0.2">
      <c r="A11384" s="463">
        <v>2026</v>
      </c>
      <c r="B11384" s="463">
        <v>2</v>
      </c>
      <c r="C11384" s="463">
        <v>3</v>
      </c>
      <c r="D11384" s="464">
        <f t="shared" si="1267"/>
        <v>46056</v>
      </c>
      <c r="E11384" s="465">
        <f t="shared" si="1269"/>
        <v>46056</v>
      </c>
      <c r="F11384" s="481" t="s">
        <v>1744</v>
      </c>
      <c r="G11384" s="455" t="s">
        <v>86</v>
      </c>
      <c r="H11384" s="456"/>
      <c r="I11384" s="456"/>
      <c r="J11384" s="457" t="s">
        <v>131</v>
      </c>
      <c r="K11384" s="466">
        <v>2875</v>
      </c>
      <c r="L11384" s="466"/>
      <c r="M11384" s="401"/>
    </row>
    <row r="11385" spans="1:14" ht="11.25" customHeight="1" x14ac:dyDescent="0.2">
      <c r="A11385" s="287">
        <v>2026</v>
      </c>
      <c r="B11385" s="287">
        <v>2</v>
      </c>
      <c r="C11385" s="287">
        <v>3</v>
      </c>
      <c r="D11385" s="288">
        <f t="shared" si="1267"/>
        <v>46056</v>
      </c>
      <c r="E11385" s="289">
        <f t="shared" si="1269"/>
        <v>46056</v>
      </c>
      <c r="F11385" s="473"/>
      <c r="G11385" s="290" t="s">
        <v>86</v>
      </c>
      <c r="H11385" s="291"/>
      <c r="I11385" s="291"/>
      <c r="J11385" s="292" t="s">
        <v>1469</v>
      </c>
      <c r="K11385" s="293"/>
      <c r="L11385" s="293">
        <f>K11384</f>
        <v>2875</v>
      </c>
    </row>
    <row r="11386" spans="1:14" ht="11.25" customHeight="1" x14ac:dyDescent="0.2">
      <c r="A11386" s="280">
        <v>2026</v>
      </c>
      <c r="B11386" s="280">
        <v>2</v>
      </c>
      <c r="C11386" s="280">
        <v>3</v>
      </c>
      <c r="D11386" s="281">
        <f t="shared" si="1267"/>
        <v>46056</v>
      </c>
      <c r="E11386" s="282">
        <f t="shared" si="1269"/>
        <v>46056</v>
      </c>
      <c r="F11386" s="472" t="s">
        <v>1584</v>
      </c>
      <c r="G11386" s="283" t="s">
        <v>86</v>
      </c>
      <c r="H11386" s="284"/>
      <c r="I11386" s="284"/>
      <c r="J11386" s="285" t="s">
        <v>131</v>
      </c>
      <c r="K11386" s="286">
        <v>1277.7777777777778</v>
      </c>
      <c r="L11386" s="286"/>
      <c r="M11386" s="401"/>
    </row>
    <row r="11387" spans="1:14" ht="11.25" customHeight="1" x14ac:dyDescent="0.2">
      <c r="A11387" s="287">
        <v>2026</v>
      </c>
      <c r="B11387" s="287">
        <v>2</v>
      </c>
      <c r="C11387" s="287">
        <v>3</v>
      </c>
      <c r="D11387" s="288">
        <f t="shared" si="1267"/>
        <v>46056</v>
      </c>
      <c r="E11387" s="289">
        <f t="shared" si="1269"/>
        <v>46056</v>
      </c>
      <c r="F11387" s="473"/>
      <c r="G11387" s="290" t="s">
        <v>86</v>
      </c>
      <c r="H11387" s="291"/>
      <c r="I11387" s="291"/>
      <c r="J11387" s="292" t="s">
        <v>1469</v>
      </c>
      <c r="K11387" s="293"/>
      <c r="L11387" s="293">
        <f>K11386</f>
        <v>1277.7777777777778</v>
      </c>
    </row>
    <row r="11388" spans="1:14" ht="11.25" customHeight="1" x14ac:dyDescent="0.2">
      <c r="A11388" s="280">
        <v>2026</v>
      </c>
      <c r="B11388" s="280">
        <v>2</v>
      </c>
      <c r="C11388" s="280">
        <v>3</v>
      </c>
      <c r="D11388" s="281">
        <f t="shared" si="1267"/>
        <v>46056</v>
      </c>
      <c r="E11388" s="282">
        <f t="shared" si="1269"/>
        <v>46056</v>
      </c>
      <c r="F11388" s="472" t="s">
        <v>1955</v>
      </c>
      <c r="G11388" s="283" t="s">
        <v>86</v>
      </c>
      <c r="H11388" s="284"/>
      <c r="I11388" s="284"/>
      <c r="J11388" s="285" t="s">
        <v>1978</v>
      </c>
      <c r="K11388" s="286">
        <v>6185.4395604395604</v>
      </c>
      <c r="L11388" s="286"/>
      <c r="M11388" s="401"/>
    </row>
    <row r="11389" spans="1:14" ht="11.25" customHeight="1" x14ac:dyDescent="0.2">
      <c r="A11389" s="287">
        <v>2026</v>
      </c>
      <c r="B11389" s="287">
        <v>2</v>
      </c>
      <c r="C11389" s="287">
        <v>3</v>
      </c>
      <c r="D11389" s="288">
        <f t="shared" si="1267"/>
        <v>46056</v>
      </c>
      <c r="E11389" s="289">
        <f t="shared" si="1269"/>
        <v>46056</v>
      </c>
      <c r="F11389" s="473"/>
      <c r="G11389" s="290" t="s">
        <v>86</v>
      </c>
      <c r="H11389" s="291"/>
      <c r="I11389" s="291"/>
      <c r="J11389" s="292" t="s">
        <v>1955</v>
      </c>
      <c r="K11389" s="293"/>
      <c r="L11389" s="293">
        <f>K11388</f>
        <v>6185.4395604395604</v>
      </c>
    </row>
    <row r="11390" spans="1:14" ht="11.25" customHeight="1" x14ac:dyDescent="0.2">
      <c r="A11390" s="341">
        <v>2026</v>
      </c>
      <c r="B11390" s="341">
        <v>2</v>
      </c>
      <c r="C11390" s="341">
        <v>3</v>
      </c>
      <c r="D11390" s="328">
        <f t="shared" si="1267"/>
        <v>46056</v>
      </c>
      <c r="E11390" s="329">
        <f t="shared" si="1269"/>
        <v>46056</v>
      </c>
      <c r="F11390" s="474" t="s">
        <v>1767</v>
      </c>
      <c r="G11390" s="330" t="s">
        <v>86</v>
      </c>
      <c r="H11390" s="332"/>
      <c r="I11390" s="332"/>
      <c r="J11390" s="342" t="s">
        <v>67</v>
      </c>
      <c r="K11390" s="343">
        <v>1397.1109147222221</v>
      </c>
      <c r="L11390" s="343"/>
      <c r="M11390" s="166"/>
    </row>
    <row r="11391" spans="1:14" ht="11.25" customHeight="1" x14ac:dyDescent="0.2">
      <c r="A11391" s="344">
        <v>2026</v>
      </c>
      <c r="B11391" s="344">
        <v>2</v>
      </c>
      <c r="C11391" s="344">
        <v>3</v>
      </c>
      <c r="D11391" s="337">
        <f t="shared" si="1267"/>
        <v>46056</v>
      </c>
      <c r="E11391" s="338">
        <f t="shared" si="1269"/>
        <v>46056</v>
      </c>
      <c r="F11391" s="475"/>
      <c r="G11391" s="339" t="s">
        <v>86</v>
      </c>
      <c r="H11391" s="340"/>
      <c r="I11391" s="340"/>
      <c r="J11391" s="345" t="s">
        <v>1974</v>
      </c>
      <c r="K11391" s="346"/>
      <c r="L11391" s="346">
        <f>K11390</f>
        <v>1397.1109147222221</v>
      </c>
    </row>
    <row r="11392" spans="1:14" ht="11.25" customHeight="1" x14ac:dyDescent="0.2">
      <c r="A11392" s="236">
        <v>2026</v>
      </c>
      <c r="B11392" s="236">
        <v>2</v>
      </c>
      <c r="C11392" s="236">
        <v>3</v>
      </c>
      <c r="D11392" s="237">
        <f t="shared" si="1267"/>
        <v>46056</v>
      </c>
      <c r="E11392" s="238">
        <f t="shared" si="1269"/>
        <v>46056</v>
      </c>
      <c r="F11392" s="476" t="s">
        <v>1118</v>
      </c>
      <c r="G11392" s="239" t="s">
        <v>86</v>
      </c>
      <c r="H11392" s="239"/>
      <c r="I11392" s="240"/>
      <c r="J11392" s="241" t="s">
        <v>82</v>
      </c>
      <c r="K11392" s="242">
        <v>1102623.9299999475</v>
      </c>
      <c r="L11392" s="242"/>
      <c r="M11392" s="166"/>
    </row>
    <row r="11393" spans="1:13" ht="11.25" customHeight="1" x14ac:dyDescent="0.2">
      <c r="A11393" s="243">
        <v>2026</v>
      </c>
      <c r="B11393" s="243">
        <v>2</v>
      </c>
      <c r="C11393" s="243">
        <v>3</v>
      </c>
      <c r="D11393" s="248">
        <f t="shared" si="1267"/>
        <v>46056</v>
      </c>
      <c r="E11393" s="249">
        <f t="shared" si="1269"/>
        <v>46056</v>
      </c>
      <c r="F11393" s="477"/>
      <c r="G11393" s="244" t="s">
        <v>86</v>
      </c>
      <c r="H11393" s="244"/>
      <c r="I11393" s="245"/>
      <c r="J11393" s="246" t="s">
        <v>98</v>
      </c>
      <c r="K11393" s="247"/>
      <c r="L11393" s="247">
        <f>K11392</f>
        <v>1102623.9299999475</v>
      </c>
    </row>
    <row r="11394" spans="1:13" ht="11.25" customHeight="1" x14ac:dyDescent="0.2">
      <c r="A11394" s="236">
        <v>2026</v>
      </c>
      <c r="B11394" s="236">
        <v>2</v>
      </c>
      <c r="C11394" s="236">
        <v>3</v>
      </c>
      <c r="D11394" s="237">
        <f t="shared" si="1267"/>
        <v>46056</v>
      </c>
      <c r="E11394" s="238">
        <f t="shared" si="1269"/>
        <v>46056</v>
      </c>
      <c r="F11394" s="476" t="s">
        <v>1999</v>
      </c>
      <c r="G11394" s="239" t="s">
        <v>86</v>
      </c>
      <c r="H11394" s="239"/>
      <c r="I11394" s="240"/>
      <c r="J11394" s="241" t="s">
        <v>87</v>
      </c>
      <c r="K11394" s="242">
        <v>392.46467817896388</v>
      </c>
      <c r="L11394" s="242"/>
      <c r="M11394" s="401"/>
    </row>
    <row r="11395" spans="1:13" ht="11.25" customHeight="1" x14ac:dyDescent="0.2">
      <c r="A11395" s="243">
        <v>2026</v>
      </c>
      <c r="B11395" s="243">
        <v>2</v>
      </c>
      <c r="C11395" s="243">
        <v>3</v>
      </c>
      <c r="D11395" s="248">
        <f t="shared" si="1267"/>
        <v>46056</v>
      </c>
      <c r="E11395" s="249">
        <f t="shared" si="1269"/>
        <v>46056</v>
      </c>
      <c r="F11395" s="477"/>
      <c r="G11395" s="244" t="s">
        <v>86</v>
      </c>
      <c r="H11395" s="244"/>
      <c r="I11395" s="245"/>
      <c r="J11395" s="246" t="s">
        <v>64</v>
      </c>
      <c r="K11395" s="247"/>
      <c r="L11395" s="247">
        <f>K11394</f>
        <v>392.46467817896388</v>
      </c>
    </row>
    <row r="11396" spans="1:13" ht="11.25" customHeight="1" x14ac:dyDescent="0.2">
      <c r="A11396" s="236">
        <v>2026</v>
      </c>
      <c r="B11396" s="236">
        <v>2</v>
      </c>
      <c r="C11396" s="236">
        <v>3</v>
      </c>
      <c r="D11396" s="237">
        <f t="shared" si="1267"/>
        <v>46056</v>
      </c>
      <c r="E11396" s="238">
        <f t="shared" si="1269"/>
        <v>46056</v>
      </c>
      <c r="F11396" s="476" t="s">
        <v>2000</v>
      </c>
      <c r="G11396" s="239" t="s">
        <v>86</v>
      </c>
      <c r="H11396" s="239"/>
      <c r="I11396" s="240"/>
      <c r="J11396" s="241" t="s">
        <v>89</v>
      </c>
      <c r="K11396" s="242">
        <v>14923.023482405097</v>
      </c>
      <c r="L11396" s="242"/>
      <c r="M11396" s="448"/>
    </row>
    <row r="11397" spans="1:13" ht="11.25" customHeight="1" x14ac:dyDescent="0.2">
      <c r="A11397" s="243">
        <v>2026</v>
      </c>
      <c r="B11397" s="243">
        <v>2</v>
      </c>
      <c r="C11397" s="243">
        <v>3</v>
      </c>
      <c r="D11397" s="248">
        <f t="shared" si="1267"/>
        <v>46056</v>
      </c>
      <c r="E11397" s="249">
        <f t="shared" si="1269"/>
        <v>46056</v>
      </c>
      <c r="F11397" s="477"/>
      <c r="G11397" s="244" t="s">
        <v>86</v>
      </c>
      <c r="H11397" s="244"/>
      <c r="I11397" s="245"/>
      <c r="J11397" s="246" t="s">
        <v>50</v>
      </c>
      <c r="K11397" s="247"/>
      <c r="L11397" s="247">
        <f>K11396</f>
        <v>14923.023482405097</v>
      </c>
      <c r="M11397" s="423">
        <v>14923.023482405097</v>
      </c>
    </row>
    <row r="11398" spans="1:13" ht="11.25" customHeight="1" x14ac:dyDescent="0.2">
      <c r="A11398" s="236">
        <v>2026</v>
      </c>
      <c r="B11398" s="236">
        <v>2</v>
      </c>
      <c r="C11398" s="236">
        <v>3</v>
      </c>
      <c r="D11398" s="237">
        <f t="shared" si="1267"/>
        <v>46056</v>
      </c>
      <c r="E11398" s="238">
        <f t="shared" si="1269"/>
        <v>46056</v>
      </c>
      <c r="F11398" s="476" t="s">
        <v>2001</v>
      </c>
      <c r="G11398" s="239" t="s">
        <v>86</v>
      </c>
      <c r="H11398" s="239"/>
      <c r="I11398" s="240"/>
      <c r="J11398" s="241" t="s">
        <v>91</v>
      </c>
      <c r="K11398" s="242">
        <v>720.14295743506511</v>
      </c>
      <c r="L11398" s="242"/>
      <c r="M11398" s="423">
        <v>720.14295743506511</v>
      </c>
    </row>
    <row r="11399" spans="1:13" ht="11.25" customHeight="1" x14ac:dyDescent="0.2">
      <c r="A11399" s="243">
        <v>2026</v>
      </c>
      <c r="B11399" s="243">
        <v>2</v>
      </c>
      <c r="C11399" s="243">
        <v>3</v>
      </c>
      <c r="D11399" s="248">
        <f t="shared" si="1267"/>
        <v>46056</v>
      </c>
      <c r="E11399" s="249">
        <f t="shared" si="1269"/>
        <v>46056</v>
      </c>
      <c r="F11399" s="477"/>
      <c r="G11399" s="244" t="s">
        <v>86</v>
      </c>
      <c r="H11399" s="244"/>
      <c r="I11399" s="245"/>
      <c r="J11399" s="246" t="s">
        <v>51</v>
      </c>
      <c r="K11399" s="247"/>
      <c r="L11399" s="247">
        <f>K11398</f>
        <v>720.14295743506511</v>
      </c>
    </row>
    <row r="11400" spans="1:13" ht="11.25" customHeight="1" x14ac:dyDescent="0.2">
      <c r="A11400" s="221">
        <v>2026</v>
      </c>
      <c r="B11400" s="221">
        <v>2</v>
      </c>
      <c r="C11400" s="221">
        <v>5</v>
      </c>
      <c r="D11400" s="231">
        <f t="shared" si="1267"/>
        <v>46058</v>
      </c>
      <c r="E11400" s="233">
        <f t="shared" si="1269"/>
        <v>46058</v>
      </c>
      <c r="F11400" s="478" t="s">
        <v>1323</v>
      </c>
      <c r="G11400" s="222" t="s">
        <v>1111</v>
      </c>
      <c r="H11400" s="223"/>
      <c r="I11400" s="223"/>
      <c r="J11400" s="224" t="s">
        <v>55</v>
      </c>
      <c r="K11400" s="225">
        <v>10000</v>
      </c>
      <c r="L11400" s="225"/>
    </row>
    <row r="11401" spans="1:13" ht="11.25" customHeight="1" x14ac:dyDescent="0.2">
      <c r="A11401" s="164">
        <v>2026</v>
      </c>
      <c r="B11401" s="164">
        <v>2</v>
      </c>
      <c r="C11401" s="164">
        <v>5</v>
      </c>
      <c r="D11401" s="156">
        <f t="shared" ref="D11401:D11470" si="1270">DATE(A11401,B11401,C11401)</f>
        <v>46058</v>
      </c>
      <c r="E11401" s="235">
        <f t="shared" si="1269"/>
        <v>46058</v>
      </c>
      <c r="F11401" s="480"/>
      <c r="G11401" s="208" t="s">
        <v>1111</v>
      </c>
      <c r="J11401" s="165" t="s">
        <v>14</v>
      </c>
      <c r="K11401" s="205"/>
      <c r="L11401" s="205">
        <v>7930</v>
      </c>
      <c r="M11401" s="166"/>
    </row>
    <row r="11402" spans="1:13" ht="11.25" customHeight="1" x14ac:dyDescent="0.2">
      <c r="A11402" s="226">
        <v>2026</v>
      </c>
      <c r="B11402" s="226">
        <v>2</v>
      </c>
      <c r="C11402" s="226">
        <v>5</v>
      </c>
      <c r="D11402" s="232">
        <f t="shared" si="1270"/>
        <v>46058</v>
      </c>
      <c r="E11402" s="234">
        <f t="shared" si="1269"/>
        <v>46058</v>
      </c>
      <c r="F11402" s="479"/>
      <c r="G11402" s="227" t="s">
        <v>1111</v>
      </c>
      <c r="H11402" s="228"/>
      <c r="I11402" s="228"/>
      <c r="J11402" s="229" t="s">
        <v>1112</v>
      </c>
      <c r="K11402" s="230"/>
      <c r="L11402" s="230">
        <v>2070</v>
      </c>
    </row>
    <row r="11403" spans="1:13" ht="11.25" customHeight="1" x14ac:dyDescent="0.2">
      <c r="A11403" s="221">
        <v>2026</v>
      </c>
      <c r="B11403" s="221">
        <v>2</v>
      </c>
      <c r="C11403" s="221">
        <v>5</v>
      </c>
      <c r="D11403" s="231">
        <f t="shared" si="1270"/>
        <v>46058</v>
      </c>
      <c r="E11403" s="233">
        <f>DATE(A11403,B11403,C11403)</f>
        <v>46058</v>
      </c>
      <c r="F11403" s="478" t="s">
        <v>1984</v>
      </c>
      <c r="G11403" s="222" t="s">
        <v>1111</v>
      </c>
      <c r="H11403" s="223" t="str" cm="1">
        <f t="array" ref="H11403">IFERROR(INDEX(INVESTOR_LIST[INVESTOR NAME],MATCH(I11403,INVESTOR_LIST[INVESTOR CODE],0),)," ")</f>
        <v xml:space="preserve"> </v>
      </c>
      <c r="I11403" s="223"/>
      <c r="J11403" s="224" t="s">
        <v>961</v>
      </c>
      <c r="K11403" s="225">
        <v>457321.7</v>
      </c>
      <c r="L11403" s="225"/>
    </row>
    <row r="11404" spans="1:13" ht="11.25" customHeight="1" x14ac:dyDescent="0.2">
      <c r="A11404" s="226">
        <v>2026</v>
      </c>
      <c r="B11404" s="226">
        <v>2</v>
      </c>
      <c r="C11404" s="226">
        <v>5</v>
      </c>
      <c r="D11404" s="232">
        <f t="shared" si="1270"/>
        <v>46058</v>
      </c>
      <c r="E11404" s="234">
        <f>DATE(A11404,B11404,C11404)</f>
        <v>46058</v>
      </c>
      <c r="F11404" s="479"/>
      <c r="G11404" s="227" t="s">
        <v>1111</v>
      </c>
      <c r="H11404" s="228" t="str" cm="1">
        <f t="array" ref="H11404">IFERROR(INDEX(INVESTOR_LIST[INVESTOR NAME],MATCH(I11404,INVESTOR_LIST[INVESTOR CODE],0),)," ")</f>
        <v xml:space="preserve"> </v>
      </c>
      <c r="I11404" s="228"/>
      <c r="J11404" s="229" t="s">
        <v>55</v>
      </c>
      <c r="K11404" s="230"/>
      <c r="L11404" s="230">
        <f>K11403</f>
        <v>457321.7</v>
      </c>
    </row>
    <row r="11405" spans="1:13" ht="11.25" customHeight="1" x14ac:dyDescent="0.2">
      <c r="A11405" s="221">
        <v>2026</v>
      </c>
      <c r="B11405" s="221">
        <v>2</v>
      </c>
      <c r="C11405" s="221">
        <v>5</v>
      </c>
      <c r="D11405" s="231">
        <f t="shared" si="1270"/>
        <v>46058</v>
      </c>
      <c r="E11405" s="233">
        <f t="shared" ref="E11405:E11408" si="1271">DATE(A11405,B11405,C11405)</f>
        <v>46058</v>
      </c>
      <c r="F11405" s="478" t="s">
        <v>1987</v>
      </c>
      <c r="G11405" s="222" t="s">
        <v>1111</v>
      </c>
      <c r="H11405" s="223"/>
      <c r="I11405" s="223"/>
      <c r="J11405" s="467" t="s">
        <v>961</v>
      </c>
      <c r="K11405" s="468">
        <v>1785566.29</v>
      </c>
      <c r="L11405" s="225"/>
    </row>
    <row r="11406" spans="1:13" ht="11.25" customHeight="1" x14ac:dyDescent="0.2">
      <c r="A11406" s="226">
        <v>2026</v>
      </c>
      <c r="B11406" s="226">
        <v>2</v>
      </c>
      <c r="C11406" s="226">
        <v>5</v>
      </c>
      <c r="D11406" s="232">
        <f t="shared" si="1270"/>
        <v>46058</v>
      </c>
      <c r="E11406" s="234">
        <f t="shared" si="1271"/>
        <v>46058</v>
      </c>
      <c r="F11406" s="479"/>
      <c r="G11406" s="227" t="s">
        <v>1111</v>
      </c>
      <c r="H11406" s="228"/>
      <c r="I11406" s="228"/>
      <c r="J11406" s="229" t="s">
        <v>55</v>
      </c>
      <c r="K11406" s="230"/>
      <c r="L11406" s="230">
        <f>K11405</f>
        <v>1785566.29</v>
      </c>
    </row>
    <row r="11407" spans="1:13" ht="11.25" customHeight="1" x14ac:dyDescent="0.2">
      <c r="A11407" s="221">
        <v>2026</v>
      </c>
      <c r="B11407" s="221">
        <v>2</v>
      </c>
      <c r="C11407" s="221">
        <v>5</v>
      </c>
      <c r="D11407" s="231">
        <f t="shared" si="1270"/>
        <v>46058</v>
      </c>
      <c r="E11407" s="233">
        <f t="shared" si="1271"/>
        <v>46058</v>
      </c>
      <c r="F11407" s="478" t="s">
        <v>1987</v>
      </c>
      <c r="G11407" s="222" t="s">
        <v>1111</v>
      </c>
      <c r="H11407" s="223"/>
      <c r="I11407" s="223"/>
      <c r="J11407" s="224" t="s">
        <v>961</v>
      </c>
      <c r="K11407" s="225">
        <v>1838535.16</v>
      </c>
      <c r="L11407" s="225"/>
    </row>
    <row r="11408" spans="1:13" ht="11.25" customHeight="1" x14ac:dyDescent="0.2">
      <c r="A11408" s="226">
        <v>2026</v>
      </c>
      <c r="B11408" s="226">
        <v>2</v>
      </c>
      <c r="C11408" s="226">
        <v>5</v>
      </c>
      <c r="D11408" s="232">
        <f t="shared" si="1270"/>
        <v>46058</v>
      </c>
      <c r="E11408" s="234">
        <f t="shared" si="1271"/>
        <v>46058</v>
      </c>
      <c r="F11408" s="479"/>
      <c r="G11408" s="227" t="s">
        <v>1111</v>
      </c>
      <c r="H11408" s="228"/>
      <c r="I11408" s="228"/>
      <c r="J11408" s="229" t="s">
        <v>55</v>
      </c>
      <c r="K11408" s="230"/>
      <c r="L11408" s="230">
        <f>K11407</f>
        <v>1838535.16</v>
      </c>
    </row>
    <row r="11409" spans="1:14" ht="11.25" customHeight="1" x14ac:dyDescent="0.2">
      <c r="A11409" s="221">
        <v>2026</v>
      </c>
      <c r="B11409" s="221">
        <v>2</v>
      </c>
      <c r="C11409" s="221">
        <v>5</v>
      </c>
      <c r="D11409" s="231">
        <f t="shared" si="1270"/>
        <v>46058</v>
      </c>
      <c r="E11409" s="233">
        <f t="shared" ref="E11409:E11439" si="1272">DATE(A11409,B11409,C11409)</f>
        <v>46058</v>
      </c>
      <c r="F11409" s="478" t="s">
        <v>1987</v>
      </c>
      <c r="G11409" s="222" t="s">
        <v>1111</v>
      </c>
      <c r="H11409" s="223"/>
      <c r="I11409" s="223"/>
      <c r="J11409" s="467" t="s">
        <v>961</v>
      </c>
      <c r="K11409" s="468">
        <v>404981.13</v>
      </c>
      <c r="L11409" s="225"/>
    </row>
    <row r="11410" spans="1:14" ht="11.25" customHeight="1" x14ac:dyDescent="0.2">
      <c r="A11410" s="226">
        <v>2026</v>
      </c>
      <c r="B11410" s="226">
        <v>2</v>
      </c>
      <c r="C11410" s="226">
        <v>5</v>
      </c>
      <c r="D11410" s="232">
        <f t="shared" si="1270"/>
        <v>46058</v>
      </c>
      <c r="E11410" s="234">
        <f t="shared" si="1272"/>
        <v>46058</v>
      </c>
      <c r="F11410" s="479"/>
      <c r="G11410" s="227" t="s">
        <v>1111</v>
      </c>
      <c r="H11410" s="228"/>
      <c r="I11410" s="228"/>
      <c r="J11410" s="229" t="s">
        <v>55</v>
      </c>
      <c r="K11410" s="230"/>
      <c r="L11410" s="230">
        <f>K11409</f>
        <v>404981.13</v>
      </c>
    </row>
    <row r="11411" spans="1:14" ht="11.25" customHeight="1" x14ac:dyDescent="0.2">
      <c r="A11411" s="221">
        <v>2026</v>
      </c>
      <c r="B11411" s="221">
        <v>2</v>
      </c>
      <c r="C11411" s="221">
        <v>5</v>
      </c>
      <c r="D11411" s="231">
        <f t="shared" si="1270"/>
        <v>46058</v>
      </c>
      <c r="E11411" s="233">
        <f t="shared" si="1272"/>
        <v>46058</v>
      </c>
      <c r="F11411" s="478" t="s">
        <v>1670</v>
      </c>
      <c r="G11411" s="222" t="s">
        <v>1111</v>
      </c>
      <c r="H11411" s="223"/>
      <c r="I11411" s="223"/>
      <c r="J11411" s="224" t="s">
        <v>63</v>
      </c>
      <c r="K11411" s="225">
        <v>316</v>
      </c>
      <c r="L11411" s="225"/>
    </row>
    <row r="11412" spans="1:14" ht="11.25" customHeight="1" x14ac:dyDescent="0.2">
      <c r="A11412" s="226">
        <v>2026</v>
      </c>
      <c r="B11412" s="226">
        <v>2</v>
      </c>
      <c r="C11412" s="226">
        <v>5</v>
      </c>
      <c r="D11412" s="232">
        <f t="shared" si="1270"/>
        <v>46058</v>
      </c>
      <c r="E11412" s="234">
        <f t="shared" si="1272"/>
        <v>46058</v>
      </c>
      <c r="F11412" s="479"/>
      <c r="G11412" s="227" t="s">
        <v>1111</v>
      </c>
      <c r="H11412" s="228"/>
      <c r="I11412" s="228"/>
      <c r="J11412" s="229" t="s">
        <v>55</v>
      </c>
      <c r="K11412" s="230"/>
      <c r="L11412" s="230">
        <f>K11411</f>
        <v>316</v>
      </c>
    </row>
    <row r="11413" spans="1:14" ht="11.25" customHeight="1" x14ac:dyDescent="0.2">
      <c r="A11413" s="221">
        <v>2026</v>
      </c>
      <c r="B11413" s="221">
        <v>2</v>
      </c>
      <c r="C11413" s="221">
        <v>5</v>
      </c>
      <c r="D11413" s="221">
        <f t="shared" si="1270"/>
        <v>46058</v>
      </c>
      <c r="E11413" s="233">
        <f t="shared" si="1272"/>
        <v>46058</v>
      </c>
      <c r="F11413" s="478" t="s">
        <v>1937</v>
      </c>
      <c r="G11413" s="222" t="s">
        <v>86</v>
      </c>
      <c r="H11413" s="222"/>
      <c r="I11413" s="223"/>
      <c r="J11413" s="224" t="s">
        <v>80</v>
      </c>
      <c r="K11413" s="225">
        <v>1640650</v>
      </c>
      <c r="L11413" s="225"/>
      <c r="N11413" s="263"/>
    </row>
    <row r="11414" spans="1:14" ht="11.25" customHeight="1" x14ac:dyDescent="0.2">
      <c r="A11414" s="164">
        <v>2026</v>
      </c>
      <c r="B11414" s="164">
        <v>2</v>
      </c>
      <c r="C11414" s="164">
        <v>5</v>
      </c>
      <c r="D11414" s="164">
        <f t="shared" si="1270"/>
        <v>46058</v>
      </c>
      <c r="E11414" s="235">
        <f t="shared" si="1272"/>
        <v>46058</v>
      </c>
      <c r="F11414" s="480"/>
      <c r="G11414" s="208" t="s">
        <v>86</v>
      </c>
      <c r="H11414" s="208"/>
      <c r="J11414" s="165" t="s">
        <v>960</v>
      </c>
      <c r="K11414" s="205">
        <v>2998.61</v>
      </c>
      <c r="L11414" s="205"/>
      <c r="M11414" s="263"/>
      <c r="N11414" s="263"/>
    </row>
    <row r="11415" spans="1:14" ht="11.25" customHeight="1" x14ac:dyDescent="0.2">
      <c r="A11415" s="164">
        <v>2026</v>
      </c>
      <c r="B11415" s="164">
        <v>2</v>
      </c>
      <c r="C11415" s="164">
        <v>5</v>
      </c>
      <c r="D11415" s="164">
        <f t="shared" si="1270"/>
        <v>46058</v>
      </c>
      <c r="E11415" s="235">
        <f t="shared" si="1272"/>
        <v>46058</v>
      </c>
      <c r="F11415" s="480"/>
      <c r="G11415" s="208" t="s">
        <v>86</v>
      </c>
      <c r="H11415" s="208"/>
      <c r="J11415" s="165" t="s">
        <v>143</v>
      </c>
      <c r="K11415" s="263"/>
      <c r="L11415" s="205">
        <v>1618403.61</v>
      </c>
      <c r="M11415" s="263"/>
      <c r="N11415" s="263"/>
    </row>
    <row r="11416" spans="1:14" ht="11.25" customHeight="1" x14ac:dyDescent="0.2">
      <c r="A11416" s="164">
        <v>2026</v>
      </c>
      <c r="B11416" s="164">
        <v>2</v>
      </c>
      <c r="C11416" s="164">
        <v>5</v>
      </c>
      <c r="D11416" s="164">
        <f t="shared" si="1270"/>
        <v>46058</v>
      </c>
      <c r="E11416" s="235">
        <f t="shared" si="1272"/>
        <v>46058</v>
      </c>
      <c r="F11416" s="480"/>
      <c r="G11416" s="208" t="s">
        <v>86</v>
      </c>
      <c r="H11416" s="208"/>
      <c r="J11416" s="165" t="s">
        <v>200</v>
      </c>
      <c r="K11416" s="205"/>
      <c r="L11416" s="205">
        <v>5924.49</v>
      </c>
      <c r="M11416" s="263"/>
      <c r="N11416" s="263"/>
    </row>
    <row r="11417" spans="1:14" ht="11.25" customHeight="1" x14ac:dyDescent="0.2">
      <c r="A11417" s="226">
        <v>2026</v>
      </c>
      <c r="B11417" s="226">
        <v>2</v>
      </c>
      <c r="C11417" s="226">
        <v>5</v>
      </c>
      <c r="D11417" s="226">
        <f t="shared" si="1270"/>
        <v>46058</v>
      </c>
      <c r="E11417" s="234">
        <f t="shared" si="1272"/>
        <v>46058</v>
      </c>
      <c r="F11417" s="479"/>
      <c r="G11417" s="227" t="s">
        <v>86</v>
      </c>
      <c r="H11417" s="228"/>
      <c r="I11417" s="228"/>
      <c r="J11417" s="229" t="s">
        <v>80</v>
      </c>
      <c r="K11417" s="230"/>
      <c r="L11417" s="230">
        <v>19320.509999999998</v>
      </c>
      <c r="M11417" s="263"/>
      <c r="N11417" s="263"/>
    </row>
    <row r="11418" spans="1:14" ht="11.25" customHeight="1" x14ac:dyDescent="0.2">
      <c r="A11418" s="221">
        <v>2026</v>
      </c>
      <c r="B11418" s="221">
        <v>2</v>
      </c>
      <c r="C11418" s="221">
        <v>5</v>
      </c>
      <c r="D11418" s="221">
        <f t="shared" si="1270"/>
        <v>46058</v>
      </c>
      <c r="E11418" s="233">
        <f t="shared" si="1272"/>
        <v>46058</v>
      </c>
      <c r="F11418" s="478" t="s">
        <v>1346</v>
      </c>
      <c r="G11418" s="222" t="s">
        <v>86</v>
      </c>
      <c r="H11418" s="222"/>
      <c r="I11418" s="223"/>
      <c r="J11418" s="224" t="s">
        <v>80</v>
      </c>
      <c r="K11418" s="225">
        <v>656650</v>
      </c>
      <c r="L11418" s="225"/>
      <c r="N11418" s="263"/>
    </row>
    <row r="11419" spans="1:14" ht="11.25" customHeight="1" x14ac:dyDescent="0.2">
      <c r="A11419" s="164">
        <v>2026</v>
      </c>
      <c r="B11419" s="164">
        <v>2</v>
      </c>
      <c r="C11419" s="164">
        <v>5</v>
      </c>
      <c r="D11419" s="164">
        <f t="shared" si="1270"/>
        <v>46058</v>
      </c>
      <c r="E11419" s="235">
        <f t="shared" si="1272"/>
        <v>46058</v>
      </c>
      <c r="F11419" s="480"/>
      <c r="G11419" s="208" t="s">
        <v>86</v>
      </c>
      <c r="H11419" s="208"/>
      <c r="J11419" s="165" t="s">
        <v>960</v>
      </c>
      <c r="K11419" s="205">
        <v>1181.97</v>
      </c>
      <c r="L11419" s="205"/>
      <c r="M11419" s="263"/>
      <c r="N11419" s="263"/>
    </row>
    <row r="11420" spans="1:14" ht="11.25" customHeight="1" x14ac:dyDescent="0.2">
      <c r="A11420" s="226">
        <v>2026</v>
      </c>
      <c r="B11420" s="226">
        <v>2</v>
      </c>
      <c r="C11420" s="226">
        <v>5</v>
      </c>
      <c r="D11420" s="226">
        <f t="shared" si="1270"/>
        <v>46058</v>
      </c>
      <c r="E11420" s="234">
        <f t="shared" si="1272"/>
        <v>46058</v>
      </c>
      <c r="F11420" s="479"/>
      <c r="G11420" s="227" t="s">
        <v>86</v>
      </c>
      <c r="H11420" s="227"/>
      <c r="I11420" s="228"/>
      <c r="J11420" s="229" t="s">
        <v>143</v>
      </c>
      <c r="K11420" s="230"/>
      <c r="L11420" s="230">
        <v>657831.97</v>
      </c>
      <c r="M11420" s="263"/>
      <c r="N11420" s="263"/>
    </row>
    <row r="11421" spans="1:14" ht="11.25" customHeight="1" x14ac:dyDescent="0.2">
      <c r="A11421" s="221">
        <v>2026</v>
      </c>
      <c r="B11421" s="221">
        <v>2</v>
      </c>
      <c r="C11421" s="221">
        <v>5</v>
      </c>
      <c r="D11421" s="231">
        <f t="shared" si="1270"/>
        <v>46058</v>
      </c>
      <c r="E11421" s="233">
        <f t="shared" si="1272"/>
        <v>46058</v>
      </c>
      <c r="F11421" s="478" t="s">
        <v>1132</v>
      </c>
      <c r="G11421" s="222" t="s">
        <v>1111</v>
      </c>
      <c r="H11421" s="223"/>
      <c r="I11421" s="223"/>
      <c r="J11421" s="224" t="s">
        <v>55</v>
      </c>
      <c r="K11421" s="225">
        <v>39000</v>
      </c>
      <c r="L11421" s="225"/>
    </row>
    <row r="11422" spans="1:14" ht="11.25" customHeight="1" x14ac:dyDescent="0.2">
      <c r="A11422" s="164">
        <v>2026</v>
      </c>
      <c r="B11422" s="164">
        <v>2</v>
      </c>
      <c r="C11422" s="164">
        <v>5</v>
      </c>
      <c r="D11422" s="156">
        <f t="shared" si="1270"/>
        <v>46058</v>
      </c>
      <c r="E11422" s="235">
        <f t="shared" si="1272"/>
        <v>46058</v>
      </c>
      <c r="F11422" s="480"/>
      <c r="G11422" s="208" t="s">
        <v>1111</v>
      </c>
      <c r="J11422" s="165" t="s">
        <v>14</v>
      </c>
      <c r="K11422" s="205"/>
      <c r="L11422" s="205">
        <v>30910</v>
      </c>
      <c r="M11422" s="166"/>
    </row>
    <row r="11423" spans="1:14" ht="11.25" customHeight="1" x14ac:dyDescent="0.2">
      <c r="A11423" s="226">
        <v>2026</v>
      </c>
      <c r="B11423" s="226">
        <v>2</v>
      </c>
      <c r="C11423" s="226">
        <v>5</v>
      </c>
      <c r="D11423" s="232">
        <f t="shared" si="1270"/>
        <v>46058</v>
      </c>
      <c r="E11423" s="234">
        <f t="shared" si="1272"/>
        <v>46058</v>
      </c>
      <c r="F11423" s="479"/>
      <c r="G11423" s="227" t="s">
        <v>1111</v>
      </c>
      <c r="H11423" s="228"/>
      <c r="I11423" s="228"/>
      <c r="J11423" s="229" t="s">
        <v>1112</v>
      </c>
      <c r="K11423" s="230"/>
      <c r="L11423" s="230">
        <v>8090</v>
      </c>
    </row>
    <row r="11424" spans="1:14" ht="11.25" customHeight="1" x14ac:dyDescent="0.2">
      <c r="A11424" s="463">
        <v>2026</v>
      </c>
      <c r="B11424" s="463">
        <v>2</v>
      </c>
      <c r="C11424" s="463">
        <v>5</v>
      </c>
      <c r="D11424" s="464">
        <f t="shared" si="1270"/>
        <v>46058</v>
      </c>
      <c r="E11424" s="465">
        <f t="shared" si="1272"/>
        <v>46058</v>
      </c>
      <c r="F11424" s="481" t="s">
        <v>1744</v>
      </c>
      <c r="G11424" s="455" t="s">
        <v>86</v>
      </c>
      <c r="H11424" s="456"/>
      <c r="I11424" s="456"/>
      <c r="J11424" s="457" t="s">
        <v>131</v>
      </c>
      <c r="K11424" s="466">
        <v>5750</v>
      </c>
      <c r="L11424" s="466"/>
      <c r="M11424" s="401"/>
    </row>
    <row r="11425" spans="1:13" ht="11.25" customHeight="1" x14ac:dyDescent="0.2">
      <c r="A11425" s="287">
        <v>2026</v>
      </c>
      <c r="B11425" s="287">
        <v>2</v>
      </c>
      <c r="C11425" s="287">
        <v>5</v>
      </c>
      <c r="D11425" s="288">
        <f t="shared" si="1270"/>
        <v>46058</v>
      </c>
      <c r="E11425" s="289">
        <f t="shared" si="1272"/>
        <v>46058</v>
      </c>
      <c r="F11425" s="473"/>
      <c r="G11425" s="290" t="s">
        <v>86</v>
      </c>
      <c r="H11425" s="291"/>
      <c r="I11425" s="291"/>
      <c r="J11425" s="292" t="s">
        <v>1469</v>
      </c>
      <c r="K11425" s="293"/>
      <c r="L11425" s="293">
        <f>K11424</f>
        <v>5750</v>
      </c>
    </row>
    <row r="11426" spans="1:13" ht="11.25" customHeight="1" x14ac:dyDescent="0.2">
      <c r="A11426" s="280">
        <v>2026</v>
      </c>
      <c r="B11426" s="280">
        <v>2</v>
      </c>
      <c r="C11426" s="280">
        <v>5</v>
      </c>
      <c r="D11426" s="281">
        <f t="shared" si="1270"/>
        <v>46058</v>
      </c>
      <c r="E11426" s="282">
        <f t="shared" si="1272"/>
        <v>46058</v>
      </c>
      <c r="F11426" s="472" t="s">
        <v>1584</v>
      </c>
      <c r="G11426" s="283" t="s">
        <v>86</v>
      </c>
      <c r="H11426" s="284"/>
      <c r="I11426" s="284"/>
      <c r="J11426" s="285" t="s">
        <v>131</v>
      </c>
      <c r="K11426" s="286">
        <v>2555.5555555555557</v>
      </c>
      <c r="L11426" s="286"/>
      <c r="M11426" s="401"/>
    </row>
    <row r="11427" spans="1:13" ht="11.25" customHeight="1" x14ac:dyDescent="0.2">
      <c r="A11427" s="287">
        <v>2026</v>
      </c>
      <c r="B11427" s="287">
        <v>2</v>
      </c>
      <c r="C11427" s="287">
        <v>5</v>
      </c>
      <c r="D11427" s="288">
        <f t="shared" si="1270"/>
        <v>46058</v>
      </c>
      <c r="E11427" s="289">
        <f t="shared" si="1272"/>
        <v>46058</v>
      </c>
      <c r="F11427" s="473"/>
      <c r="G11427" s="290" t="s">
        <v>86</v>
      </c>
      <c r="H11427" s="291"/>
      <c r="I11427" s="291"/>
      <c r="J11427" s="292" t="s">
        <v>1469</v>
      </c>
      <c r="K11427" s="293"/>
      <c r="L11427" s="293">
        <f>K11426</f>
        <v>2555.5555555555557</v>
      </c>
    </row>
    <row r="11428" spans="1:13" ht="11.25" customHeight="1" x14ac:dyDescent="0.2">
      <c r="A11428" s="280">
        <v>2026</v>
      </c>
      <c r="B11428" s="280">
        <v>2</v>
      </c>
      <c r="C11428" s="280">
        <v>5</v>
      </c>
      <c r="D11428" s="281">
        <f t="shared" si="1270"/>
        <v>46058</v>
      </c>
      <c r="E11428" s="282">
        <f t="shared" si="1272"/>
        <v>46058</v>
      </c>
      <c r="F11428" s="472" t="s">
        <v>1955</v>
      </c>
      <c r="G11428" s="283" t="s">
        <v>86</v>
      </c>
      <c r="H11428" s="284"/>
      <c r="I11428" s="284"/>
      <c r="J11428" s="285" t="s">
        <v>1978</v>
      </c>
      <c r="K11428" s="286">
        <v>12370.879120879121</v>
      </c>
      <c r="L11428" s="286"/>
      <c r="M11428" s="401"/>
    </row>
    <row r="11429" spans="1:13" ht="11.25" customHeight="1" x14ac:dyDescent="0.2">
      <c r="A11429" s="287">
        <v>2026</v>
      </c>
      <c r="B11429" s="287">
        <v>2</v>
      </c>
      <c r="C11429" s="287">
        <v>5</v>
      </c>
      <c r="D11429" s="288">
        <f t="shared" si="1270"/>
        <v>46058</v>
      </c>
      <c r="E11429" s="289">
        <f t="shared" si="1272"/>
        <v>46058</v>
      </c>
      <c r="F11429" s="473"/>
      <c r="G11429" s="290" t="s">
        <v>86</v>
      </c>
      <c r="H11429" s="291"/>
      <c r="I11429" s="291"/>
      <c r="J11429" s="292" t="s">
        <v>1955</v>
      </c>
      <c r="K11429" s="293"/>
      <c r="L11429" s="293">
        <f>K11428</f>
        <v>12370.879120879121</v>
      </c>
    </row>
    <row r="11430" spans="1:13" ht="11.25" customHeight="1" x14ac:dyDescent="0.2">
      <c r="A11430" s="341">
        <v>2026</v>
      </c>
      <c r="B11430" s="341">
        <v>2</v>
      </c>
      <c r="C11430" s="341">
        <v>5</v>
      </c>
      <c r="D11430" s="328">
        <f t="shared" si="1270"/>
        <v>46058</v>
      </c>
      <c r="E11430" s="329">
        <f t="shared" si="1272"/>
        <v>46058</v>
      </c>
      <c r="F11430" s="474" t="s">
        <v>1767</v>
      </c>
      <c r="G11430" s="330" t="s">
        <v>86</v>
      </c>
      <c r="H11430" s="332"/>
      <c r="I11430" s="332"/>
      <c r="J11430" s="342" t="s">
        <v>67</v>
      </c>
      <c r="K11430" s="343">
        <v>2485.1799999999998</v>
      </c>
      <c r="L11430" s="343"/>
      <c r="M11430" s="166"/>
    </row>
    <row r="11431" spans="1:13" ht="11.25" customHeight="1" x14ac:dyDescent="0.2">
      <c r="A11431" s="344">
        <v>2026</v>
      </c>
      <c r="B11431" s="344">
        <v>2</v>
      </c>
      <c r="C11431" s="344">
        <v>5</v>
      </c>
      <c r="D11431" s="337">
        <f t="shared" si="1270"/>
        <v>46058</v>
      </c>
      <c r="E11431" s="338">
        <f t="shared" si="1272"/>
        <v>46058</v>
      </c>
      <c r="F11431" s="475"/>
      <c r="G11431" s="339" t="s">
        <v>86</v>
      </c>
      <c r="H11431" s="340"/>
      <c r="I11431" s="340"/>
      <c r="J11431" s="345" t="s">
        <v>1974</v>
      </c>
      <c r="K11431" s="346"/>
      <c r="L11431" s="346">
        <f>K11430</f>
        <v>2485.1799999999998</v>
      </c>
    </row>
    <row r="11432" spans="1:13" ht="11.25" customHeight="1" x14ac:dyDescent="0.2">
      <c r="A11432" s="236">
        <v>2026</v>
      </c>
      <c r="B11432" s="236">
        <v>2</v>
      </c>
      <c r="C11432" s="236">
        <v>5</v>
      </c>
      <c r="D11432" s="237">
        <f t="shared" si="1270"/>
        <v>46058</v>
      </c>
      <c r="E11432" s="238">
        <f t="shared" si="1272"/>
        <v>46058</v>
      </c>
      <c r="F11432" s="476" t="s">
        <v>1118</v>
      </c>
      <c r="G11432" s="239" t="s">
        <v>86</v>
      </c>
      <c r="H11432" s="239"/>
      <c r="I11432" s="240"/>
      <c r="J11432" s="241" t="s">
        <v>82</v>
      </c>
      <c r="K11432" s="242">
        <v>2006788.1100000441</v>
      </c>
      <c r="L11432" s="242"/>
      <c r="M11432" s="166"/>
    </row>
    <row r="11433" spans="1:13" ht="11.25" customHeight="1" x14ac:dyDescent="0.2">
      <c r="A11433" s="243">
        <v>2026</v>
      </c>
      <c r="B11433" s="243">
        <v>2</v>
      </c>
      <c r="C11433" s="243">
        <v>5</v>
      </c>
      <c r="D11433" s="248">
        <f t="shared" si="1270"/>
        <v>46058</v>
      </c>
      <c r="E11433" s="249">
        <f t="shared" si="1272"/>
        <v>46058</v>
      </c>
      <c r="F11433" s="477"/>
      <c r="G11433" s="244" t="s">
        <v>86</v>
      </c>
      <c r="H11433" s="244"/>
      <c r="I11433" s="245"/>
      <c r="J11433" s="246" t="s">
        <v>98</v>
      </c>
      <c r="K11433" s="247"/>
      <c r="L11433" s="247">
        <f>K11432</f>
        <v>2006788.1100000441</v>
      </c>
    </row>
    <row r="11434" spans="1:13" ht="11.25" customHeight="1" x14ac:dyDescent="0.2">
      <c r="A11434" s="236">
        <v>2026</v>
      </c>
      <c r="B11434" s="236">
        <v>2</v>
      </c>
      <c r="C11434" s="236">
        <v>5</v>
      </c>
      <c r="D11434" s="237">
        <f t="shared" si="1270"/>
        <v>46058</v>
      </c>
      <c r="E11434" s="238">
        <f t="shared" si="1272"/>
        <v>46058</v>
      </c>
      <c r="F11434" s="476" t="s">
        <v>1999</v>
      </c>
      <c r="G11434" s="239" t="s">
        <v>86</v>
      </c>
      <c r="H11434" s="239"/>
      <c r="I11434" s="240"/>
      <c r="J11434" s="241" t="s">
        <v>87</v>
      </c>
      <c r="K11434" s="242">
        <v>784.92935635792776</v>
      </c>
      <c r="L11434" s="242"/>
      <c r="M11434" s="401"/>
    </row>
    <row r="11435" spans="1:13" ht="11.25" customHeight="1" x14ac:dyDescent="0.2">
      <c r="A11435" s="243">
        <v>2026</v>
      </c>
      <c r="B11435" s="243">
        <v>2</v>
      </c>
      <c r="C11435" s="243">
        <v>5</v>
      </c>
      <c r="D11435" s="248">
        <f t="shared" si="1270"/>
        <v>46058</v>
      </c>
      <c r="E11435" s="249">
        <f t="shared" si="1272"/>
        <v>46058</v>
      </c>
      <c r="F11435" s="477"/>
      <c r="G11435" s="244" t="s">
        <v>86</v>
      </c>
      <c r="H11435" s="244"/>
      <c r="I11435" s="245"/>
      <c r="J11435" s="246" t="s">
        <v>64</v>
      </c>
      <c r="K11435" s="247"/>
      <c r="L11435" s="247">
        <f>K11434</f>
        <v>784.92935635792776</v>
      </c>
    </row>
    <row r="11436" spans="1:13" ht="11.25" customHeight="1" x14ac:dyDescent="0.2">
      <c r="A11436" s="236">
        <v>2026</v>
      </c>
      <c r="B11436" s="236">
        <v>2</v>
      </c>
      <c r="C11436" s="236">
        <v>5</v>
      </c>
      <c r="D11436" s="237">
        <f t="shared" si="1270"/>
        <v>46058</v>
      </c>
      <c r="E11436" s="238">
        <f t="shared" si="1272"/>
        <v>46058</v>
      </c>
      <c r="F11436" s="476" t="s">
        <v>2000</v>
      </c>
      <c r="G11436" s="239" t="s">
        <v>86</v>
      </c>
      <c r="H11436" s="239"/>
      <c r="I11436" s="240"/>
      <c r="J11436" s="241" t="s">
        <v>89</v>
      </c>
      <c r="K11436" s="242">
        <v>29682.149161421199</v>
      </c>
      <c r="L11436" s="242"/>
      <c r="M11436" s="448"/>
    </row>
    <row r="11437" spans="1:13" ht="11.25" customHeight="1" x14ac:dyDescent="0.2">
      <c r="A11437" s="243">
        <v>2026</v>
      </c>
      <c r="B11437" s="243">
        <v>2</v>
      </c>
      <c r="C11437" s="243">
        <v>5</v>
      </c>
      <c r="D11437" s="248">
        <f t="shared" si="1270"/>
        <v>46058</v>
      </c>
      <c r="E11437" s="249">
        <f t="shared" si="1272"/>
        <v>46058</v>
      </c>
      <c r="F11437" s="477"/>
      <c r="G11437" s="244" t="s">
        <v>86</v>
      </c>
      <c r="H11437" s="244"/>
      <c r="I11437" s="245"/>
      <c r="J11437" s="246" t="s">
        <v>50</v>
      </c>
      <c r="K11437" s="247"/>
      <c r="L11437" s="247">
        <f>K11436</f>
        <v>29682.149161421199</v>
      </c>
      <c r="M11437" s="423"/>
    </row>
    <row r="11438" spans="1:13" ht="11.25" customHeight="1" x14ac:dyDescent="0.2">
      <c r="A11438" s="236">
        <v>2026</v>
      </c>
      <c r="B11438" s="236">
        <v>2</v>
      </c>
      <c r="C11438" s="236">
        <v>5</v>
      </c>
      <c r="D11438" s="237">
        <f t="shared" si="1270"/>
        <v>46058</v>
      </c>
      <c r="E11438" s="238">
        <f t="shared" si="1272"/>
        <v>46058</v>
      </c>
      <c r="F11438" s="476" t="s">
        <v>2001</v>
      </c>
      <c r="G11438" s="239" t="s">
        <v>86</v>
      </c>
      <c r="H11438" s="239"/>
      <c r="I11438" s="240"/>
      <c r="J11438" s="241" t="s">
        <v>91</v>
      </c>
      <c r="K11438" s="242">
        <v>1429.3593946441972</v>
      </c>
      <c r="L11438" s="242"/>
      <c r="M11438" s="423"/>
    </row>
    <row r="11439" spans="1:13" ht="11.25" customHeight="1" x14ac:dyDescent="0.2">
      <c r="A11439" s="243">
        <v>2026</v>
      </c>
      <c r="B11439" s="243">
        <v>2</v>
      </c>
      <c r="C11439" s="243">
        <v>5</v>
      </c>
      <c r="D11439" s="248">
        <f t="shared" si="1270"/>
        <v>46058</v>
      </c>
      <c r="E11439" s="249">
        <f t="shared" si="1272"/>
        <v>46058</v>
      </c>
      <c r="F11439" s="477"/>
      <c r="G11439" s="244" t="s">
        <v>86</v>
      </c>
      <c r="H11439" s="244"/>
      <c r="I11439" s="245"/>
      <c r="J11439" s="246" t="s">
        <v>51</v>
      </c>
      <c r="K11439" s="247"/>
      <c r="L11439" s="247">
        <f>K11438</f>
        <v>1429.3593946441972</v>
      </c>
    </row>
    <row r="11440" spans="1:13" ht="11.25" customHeight="1" x14ac:dyDescent="0.2">
      <c r="A11440" s="221">
        <v>2026</v>
      </c>
      <c r="B11440" s="221">
        <v>2</v>
      </c>
      <c r="C11440" s="221">
        <v>8</v>
      </c>
      <c r="D11440" s="231">
        <f t="shared" si="1270"/>
        <v>46061</v>
      </c>
      <c r="E11440" s="233">
        <f>DATE(A11440,B11440,C11440)</f>
        <v>46061</v>
      </c>
      <c r="F11440" s="478" t="s">
        <v>1984</v>
      </c>
      <c r="G11440" s="222" t="s">
        <v>1111</v>
      </c>
      <c r="H11440" s="223" t="str" cm="1">
        <f t="array" ref="H11440">IFERROR(INDEX(INVESTOR_LIST[INVESTOR NAME],MATCH(I11440,INVESTOR_LIST[INVESTOR CODE],0),)," ")</f>
        <v xml:space="preserve"> </v>
      </c>
      <c r="I11440" s="223"/>
      <c r="J11440" s="224" t="s">
        <v>961</v>
      </c>
      <c r="K11440" s="225">
        <v>657831.97</v>
      </c>
      <c r="L11440" s="225"/>
    </row>
    <row r="11441" spans="1:14" ht="11.25" customHeight="1" x14ac:dyDescent="0.2">
      <c r="A11441" s="226">
        <v>2026</v>
      </c>
      <c r="B11441" s="226">
        <v>2</v>
      </c>
      <c r="C11441" s="226">
        <v>8</v>
      </c>
      <c r="D11441" s="232">
        <f t="shared" si="1270"/>
        <v>46061</v>
      </c>
      <c r="E11441" s="234">
        <f>DATE(A11441,B11441,C11441)</f>
        <v>46061</v>
      </c>
      <c r="F11441" s="479"/>
      <c r="G11441" s="227" t="s">
        <v>1111</v>
      </c>
      <c r="H11441" s="228" t="str" cm="1">
        <f t="array" ref="H11441">IFERROR(INDEX(INVESTOR_LIST[INVESTOR NAME],MATCH(I11441,INVESTOR_LIST[INVESTOR CODE],0),)," ")</f>
        <v xml:space="preserve"> </v>
      </c>
      <c r="I11441" s="228"/>
      <c r="J11441" s="229" t="s">
        <v>55</v>
      </c>
      <c r="K11441" s="230"/>
      <c r="L11441" s="230">
        <f>K11440</f>
        <v>657831.97</v>
      </c>
    </row>
    <row r="11442" spans="1:14" ht="11.25" customHeight="1" x14ac:dyDescent="0.2">
      <c r="A11442" s="221">
        <v>2026</v>
      </c>
      <c r="B11442" s="221">
        <v>2</v>
      </c>
      <c r="C11442" s="221">
        <v>8</v>
      </c>
      <c r="D11442" s="231">
        <f t="shared" si="1270"/>
        <v>46061</v>
      </c>
      <c r="E11442" s="233">
        <f t="shared" ref="E11442:E11481" si="1273">DATE(A11442,B11442,C11442)</f>
        <v>46061</v>
      </c>
      <c r="F11442" s="478" t="s">
        <v>1670</v>
      </c>
      <c r="G11442" s="222" t="s">
        <v>1111</v>
      </c>
      <c r="H11442" s="223"/>
      <c r="I11442" s="223"/>
      <c r="J11442" s="224" t="s">
        <v>63</v>
      </c>
      <c r="K11442" s="225">
        <v>100</v>
      </c>
      <c r="L11442" s="225"/>
    </row>
    <row r="11443" spans="1:14" ht="11.25" customHeight="1" x14ac:dyDescent="0.2">
      <c r="A11443" s="226">
        <v>2026</v>
      </c>
      <c r="B11443" s="226">
        <v>2</v>
      </c>
      <c r="C11443" s="226">
        <v>8</v>
      </c>
      <c r="D11443" s="232">
        <f t="shared" si="1270"/>
        <v>46061</v>
      </c>
      <c r="E11443" s="234">
        <f t="shared" si="1273"/>
        <v>46061</v>
      </c>
      <c r="F11443" s="479"/>
      <c r="G11443" s="227" t="s">
        <v>1111</v>
      </c>
      <c r="H11443" s="228"/>
      <c r="I11443" s="228"/>
      <c r="J11443" s="229" t="s">
        <v>55</v>
      </c>
      <c r="K11443" s="230"/>
      <c r="L11443" s="230">
        <f>K11442</f>
        <v>100</v>
      </c>
    </row>
    <row r="11444" spans="1:14" ht="11.25" customHeight="1" x14ac:dyDescent="0.2">
      <c r="A11444" s="221">
        <v>2026</v>
      </c>
      <c r="B11444" s="221">
        <v>2</v>
      </c>
      <c r="C11444" s="221">
        <v>8</v>
      </c>
      <c r="D11444" s="231">
        <f t="shared" si="1270"/>
        <v>46061</v>
      </c>
      <c r="E11444" s="233">
        <f t="shared" si="1273"/>
        <v>46061</v>
      </c>
      <c r="F11444" s="478" t="s">
        <v>1985</v>
      </c>
      <c r="G11444" s="222" t="s">
        <v>1111</v>
      </c>
      <c r="H11444" s="223"/>
      <c r="I11444" s="223"/>
      <c r="J11444" s="224" t="s">
        <v>55</v>
      </c>
      <c r="K11444" s="225">
        <v>1110513.98</v>
      </c>
      <c r="L11444" s="225"/>
    </row>
    <row r="11445" spans="1:14" ht="11.25" customHeight="1" x14ac:dyDescent="0.2">
      <c r="A11445" s="226">
        <v>2026</v>
      </c>
      <c r="B11445" s="226">
        <v>2</v>
      </c>
      <c r="C11445" s="226">
        <v>8</v>
      </c>
      <c r="D11445" s="232">
        <f t="shared" si="1270"/>
        <v>46061</v>
      </c>
      <c r="E11445" s="234">
        <f t="shared" si="1273"/>
        <v>46061</v>
      </c>
      <c r="F11445" s="479"/>
      <c r="G11445" s="227" t="s">
        <v>1111</v>
      </c>
      <c r="H11445" s="228"/>
      <c r="I11445" s="228"/>
      <c r="J11445" s="229" t="s">
        <v>199</v>
      </c>
      <c r="K11445" s="230"/>
      <c r="L11445" s="230">
        <f>K11444</f>
        <v>1110513.98</v>
      </c>
    </row>
    <row r="11446" spans="1:14" ht="11.25" customHeight="1" x14ac:dyDescent="0.2">
      <c r="A11446" s="221">
        <v>2026</v>
      </c>
      <c r="B11446" s="221">
        <v>2</v>
      </c>
      <c r="C11446" s="221">
        <v>8</v>
      </c>
      <c r="D11446" s="221">
        <f t="shared" si="1270"/>
        <v>46061</v>
      </c>
      <c r="E11446" s="233">
        <f t="shared" si="1273"/>
        <v>46061</v>
      </c>
      <c r="F11446" s="478" t="s">
        <v>1936</v>
      </c>
      <c r="G11446" s="222" t="s">
        <v>86</v>
      </c>
      <c r="H11446" s="222"/>
      <c r="I11446" s="223"/>
      <c r="J11446" s="224" t="s">
        <v>80</v>
      </c>
      <c r="K11446" s="225">
        <v>1709443.1</v>
      </c>
      <c r="L11446" s="225"/>
      <c r="N11446" s="263"/>
    </row>
    <row r="11447" spans="1:14" ht="11.25" customHeight="1" x14ac:dyDescent="0.2">
      <c r="A11447" s="164">
        <v>2026</v>
      </c>
      <c r="B11447" s="164">
        <v>2</v>
      </c>
      <c r="C11447" s="164">
        <v>8</v>
      </c>
      <c r="D11447" s="164">
        <f t="shared" si="1270"/>
        <v>46061</v>
      </c>
      <c r="E11447" s="235">
        <f t="shared" si="1273"/>
        <v>46061</v>
      </c>
      <c r="F11447" s="480"/>
      <c r="G11447" s="208" t="s">
        <v>86</v>
      </c>
      <c r="H11447" s="208"/>
      <c r="J11447" s="165" t="s">
        <v>960</v>
      </c>
      <c r="K11447" s="205">
        <v>3077</v>
      </c>
      <c r="L11447" s="205"/>
      <c r="M11447" s="263"/>
      <c r="N11447" s="263"/>
    </row>
    <row r="11448" spans="1:14" ht="11.25" customHeight="1" x14ac:dyDescent="0.2">
      <c r="A11448" s="226">
        <v>2026</v>
      </c>
      <c r="B11448" s="226">
        <v>2</v>
      </c>
      <c r="C11448" s="226">
        <v>8</v>
      </c>
      <c r="D11448" s="226">
        <f t="shared" si="1270"/>
        <v>46061</v>
      </c>
      <c r="E11448" s="234">
        <f t="shared" si="1273"/>
        <v>46061</v>
      </c>
      <c r="F11448" s="479"/>
      <c r="G11448" s="227" t="s">
        <v>86</v>
      </c>
      <c r="H11448" s="227"/>
      <c r="I11448" s="228"/>
      <c r="J11448" s="229" t="s">
        <v>143</v>
      </c>
      <c r="K11448" s="294"/>
      <c r="L11448" s="230">
        <v>1712520.1</v>
      </c>
      <c r="M11448" s="263"/>
      <c r="N11448" s="263"/>
    </row>
    <row r="11449" spans="1:14" ht="11.25" customHeight="1" x14ac:dyDescent="0.2">
      <c r="A11449" s="221">
        <v>2026</v>
      </c>
      <c r="B11449" s="221">
        <v>2</v>
      </c>
      <c r="C11449" s="221">
        <v>8</v>
      </c>
      <c r="D11449" s="221">
        <f t="shared" si="1270"/>
        <v>46061</v>
      </c>
      <c r="E11449" s="233">
        <f t="shared" ref="E11449:E11451" si="1274">DATE(A11449,B11449,C11449)</f>
        <v>46061</v>
      </c>
      <c r="F11449" s="478" t="s">
        <v>1988</v>
      </c>
      <c r="G11449" s="222" t="s">
        <v>86</v>
      </c>
      <c r="H11449" s="222"/>
      <c r="I11449" s="223"/>
      <c r="J11449" s="224" t="s">
        <v>80</v>
      </c>
      <c r="K11449" s="225">
        <v>48800</v>
      </c>
      <c r="L11449" s="225"/>
      <c r="N11449" s="263"/>
    </row>
    <row r="11450" spans="1:14" ht="11.25" customHeight="1" x14ac:dyDescent="0.2">
      <c r="A11450" s="164">
        <v>2026</v>
      </c>
      <c r="B11450" s="164">
        <v>2</v>
      </c>
      <c r="C11450" s="164">
        <v>8</v>
      </c>
      <c r="D11450" s="164">
        <f t="shared" si="1270"/>
        <v>46061</v>
      </c>
      <c r="E11450" s="235">
        <f t="shared" si="1274"/>
        <v>46061</v>
      </c>
      <c r="F11450" s="480"/>
      <c r="G11450" s="208" t="s">
        <v>86</v>
      </c>
      <c r="H11450" s="208"/>
      <c r="J11450" s="165" t="s">
        <v>960</v>
      </c>
      <c r="K11450" s="205">
        <v>87.84</v>
      </c>
      <c r="L11450" s="205"/>
      <c r="M11450" s="263"/>
      <c r="N11450" s="263"/>
    </row>
    <row r="11451" spans="1:14" ht="11.25" customHeight="1" x14ac:dyDescent="0.2">
      <c r="A11451" s="226">
        <v>2026</v>
      </c>
      <c r="B11451" s="226">
        <v>2</v>
      </c>
      <c r="C11451" s="226">
        <v>8</v>
      </c>
      <c r="D11451" s="226">
        <f t="shared" si="1270"/>
        <v>46061</v>
      </c>
      <c r="E11451" s="234">
        <f t="shared" si="1274"/>
        <v>46061</v>
      </c>
      <c r="F11451" s="479"/>
      <c r="G11451" s="227" t="s">
        <v>86</v>
      </c>
      <c r="H11451" s="227"/>
      <c r="I11451" s="228"/>
      <c r="J11451" s="229" t="s">
        <v>143</v>
      </c>
      <c r="K11451" s="294"/>
      <c r="L11451" s="230">
        <v>48887.839999999997</v>
      </c>
      <c r="M11451" s="263"/>
      <c r="N11451" s="263"/>
    </row>
    <row r="11452" spans="1:14" ht="11.25" customHeight="1" x14ac:dyDescent="0.2">
      <c r="A11452" s="221">
        <v>2026</v>
      </c>
      <c r="B11452" s="221">
        <v>2</v>
      </c>
      <c r="C11452" s="221">
        <v>8</v>
      </c>
      <c r="D11452" s="231">
        <f t="shared" si="1270"/>
        <v>46061</v>
      </c>
      <c r="E11452" s="233">
        <f t="shared" si="1273"/>
        <v>46061</v>
      </c>
      <c r="F11452" s="478" t="s">
        <v>1132</v>
      </c>
      <c r="G11452" s="222" t="s">
        <v>1111</v>
      </c>
      <c r="H11452" s="223"/>
      <c r="I11452" s="223"/>
      <c r="J11452" s="224" t="s">
        <v>55</v>
      </c>
      <c r="K11452" s="225">
        <v>1000</v>
      </c>
      <c r="L11452" s="225"/>
    </row>
    <row r="11453" spans="1:14" ht="11.25" customHeight="1" x14ac:dyDescent="0.2">
      <c r="A11453" s="164">
        <v>2026</v>
      </c>
      <c r="B11453" s="164">
        <v>2</v>
      </c>
      <c r="C11453" s="164">
        <v>8</v>
      </c>
      <c r="D11453" s="156">
        <f t="shared" si="1270"/>
        <v>46061</v>
      </c>
      <c r="E11453" s="235">
        <f t="shared" si="1273"/>
        <v>46061</v>
      </c>
      <c r="F11453" s="480"/>
      <c r="G11453" s="208" t="s">
        <v>1111</v>
      </c>
      <c r="J11453" s="165" t="s">
        <v>14</v>
      </c>
      <c r="K11453" s="205"/>
      <c r="L11453" s="205">
        <v>800</v>
      </c>
      <c r="M11453" s="166"/>
    </row>
    <row r="11454" spans="1:14" ht="11.25" customHeight="1" x14ac:dyDescent="0.2">
      <c r="A11454" s="226">
        <v>2026</v>
      </c>
      <c r="B11454" s="226">
        <v>2</v>
      </c>
      <c r="C11454" s="226">
        <v>8</v>
      </c>
      <c r="D11454" s="232">
        <f t="shared" si="1270"/>
        <v>46061</v>
      </c>
      <c r="E11454" s="234">
        <f t="shared" si="1273"/>
        <v>46061</v>
      </c>
      <c r="F11454" s="479"/>
      <c r="G11454" s="227" t="s">
        <v>1111</v>
      </c>
      <c r="H11454" s="228"/>
      <c r="I11454" s="228"/>
      <c r="J11454" s="229" t="s">
        <v>1112</v>
      </c>
      <c r="K11454" s="230"/>
      <c r="L11454" s="230">
        <v>200</v>
      </c>
    </row>
    <row r="11455" spans="1:14" ht="11.25" customHeight="1" x14ac:dyDescent="0.2">
      <c r="A11455" s="221">
        <v>2026</v>
      </c>
      <c r="B11455" s="221">
        <v>2</v>
      </c>
      <c r="C11455" s="221">
        <v>8</v>
      </c>
      <c r="D11455" s="231">
        <f t="shared" si="1270"/>
        <v>46061</v>
      </c>
      <c r="E11455" s="233">
        <f t="shared" si="1273"/>
        <v>46061</v>
      </c>
      <c r="F11455" s="478" t="s">
        <v>1821</v>
      </c>
      <c r="G11455" s="222" t="s">
        <v>1111</v>
      </c>
      <c r="H11455" s="223"/>
      <c r="I11455" s="223"/>
      <c r="J11455" s="165" t="s">
        <v>55</v>
      </c>
      <c r="K11455" s="225">
        <v>145187.5</v>
      </c>
      <c r="L11455" s="225"/>
    </row>
    <row r="11456" spans="1:14" ht="11.25" customHeight="1" x14ac:dyDescent="0.2">
      <c r="A11456" s="226">
        <v>2026</v>
      </c>
      <c r="B11456" s="226">
        <v>2</v>
      </c>
      <c r="C11456" s="226">
        <v>8</v>
      </c>
      <c r="D11456" s="232">
        <f t="shared" si="1270"/>
        <v>46061</v>
      </c>
      <c r="E11456" s="234">
        <f t="shared" si="1273"/>
        <v>46061</v>
      </c>
      <c r="F11456" s="479"/>
      <c r="G11456" s="227" t="s">
        <v>1111</v>
      </c>
      <c r="H11456" s="228"/>
      <c r="I11456" s="228"/>
      <c r="J11456" s="229" t="s">
        <v>131</v>
      </c>
      <c r="K11456" s="230"/>
      <c r="L11456" s="230">
        <v>145187.5</v>
      </c>
    </row>
    <row r="11457" spans="1:13" ht="11.25" customHeight="1" x14ac:dyDescent="0.2">
      <c r="A11457" s="221">
        <v>2026</v>
      </c>
      <c r="B11457" s="221">
        <v>2</v>
      </c>
      <c r="C11457" s="221">
        <v>8</v>
      </c>
      <c r="D11457" s="231">
        <f t="shared" si="1270"/>
        <v>46061</v>
      </c>
      <c r="E11457" s="233">
        <f t="shared" si="1273"/>
        <v>46061</v>
      </c>
      <c r="F11457" s="478" t="s">
        <v>1821</v>
      </c>
      <c r="G11457" s="222" t="s">
        <v>1111</v>
      </c>
      <c r="H11457" s="223"/>
      <c r="I11457" s="223"/>
      <c r="J11457" s="165" t="s">
        <v>55</v>
      </c>
      <c r="K11457" s="225">
        <v>145187.5</v>
      </c>
      <c r="L11457" s="225"/>
    </row>
    <row r="11458" spans="1:13" ht="11.25" customHeight="1" x14ac:dyDescent="0.2">
      <c r="A11458" s="226">
        <v>2026</v>
      </c>
      <c r="B11458" s="226">
        <v>2</v>
      </c>
      <c r="C11458" s="226">
        <v>8</v>
      </c>
      <c r="D11458" s="232">
        <f t="shared" si="1270"/>
        <v>46061</v>
      </c>
      <c r="E11458" s="234">
        <f t="shared" si="1273"/>
        <v>46061</v>
      </c>
      <c r="F11458" s="479"/>
      <c r="G11458" s="227" t="s">
        <v>1111</v>
      </c>
      <c r="H11458" s="228"/>
      <c r="I11458" s="228"/>
      <c r="J11458" s="229" t="s">
        <v>131</v>
      </c>
      <c r="K11458" s="230"/>
      <c r="L11458" s="230">
        <v>145187.5</v>
      </c>
    </row>
    <row r="11459" spans="1:13" ht="11.25" customHeight="1" x14ac:dyDescent="0.2">
      <c r="A11459" s="221">
        <v>2026</v>
      </c>
      <c r="B11459" s="221">
        <v>2</v>
      </c>
      <c r="C11459" s="221">
        <v>8</v>
      </c>
      <c r="D11459" s="231">
        <f t="shared" ref="D11459:D11460" si="1275">DATE(A11459,B11459,C11459)</f>
        <v>46061</v>
      </c>
      <c r="E11459" s="233">
        <f t="shared" ref="E11459:E11460" si="1276">DATE(A11459,B11459,C11459)</f>
        <v>46061</v>
      </c>
      <c r="F11459" s="478" t="s">
        <v>1998</v>
      </c>
      <c r="G11459" s="222" t="s">
        <v>1111</v>
      </c>
      <c r="H11459" s="223"/>
      <c r="I11459" s="223"/>
      <c r="J11459" s="165" t="s">
        <v>131</v>
      </c>
      <c r="K11459" s="225">
        <f>115000+7036.87</f>
        <v>122036.87</v>
      </c>
      <c r="L11459" s="225"/>
    </row>
    <row r="11460" spans="1:13" ht="11.25" customHeight="1" x14ac:dyDescent="0.2">
      <c r="A11460" s="226">
        <v>2026</v>
      </c>
      <c r="B11460" s="226">
        <v>2</v>
      </c>
      <c r="C11460" s="226">
        <v>8</v>
      </c>
      <c r="D11460" s="232">
        <f t="shared" si="1275"/>
        <v>46061</v>
      </c>
      <c r="E11460" s="234">
        <f t="shared" si="1276"/>
        <v>46061</v>
      </c>
      <c r="F11460" s="479"/>
      <c r="G11460" s="227" t="s">
        <v>1111</v>
      </c>
      <c r="H11460" s="228"/>
      <c r="I11460" s="228"/>
      <c r="J11460" s="229" t="s">
        <v>1469</v>
      </c>
      <c r="K11460" s="230"/>
      <c r="L11460" s="230">
        <f>K11459</f>
        <v>122036.87</v>
      </c>
    </row>
    <row r="11461" spans="1:13" ht="11.25" customHeight="1" x14ac:dyDescent="0.2">
      <c r="A11461" s="280">
        <v>2026</v>
      </c>
      <c r="B11461" s="280">
        <v>2</v>
      </c>
      <c r="C11461" s="280">
        <v>8</v>
      </c>
      <c r="D11461" s="281">
        <f t="shared" si="1270"/>
        <v>46061</v>
      </c>
      <c r="E11461" s="282">
        <f t="shared" si="1273"/>
        <v>46061</v>
      </c>
      <c r="F11461" s="472" t="s">
        <v>1744</v>
      </c>
      <c r="G11461" s="283" t="s">
        <v>86</v>
      </c>
      <c r="H11461" s="284"/>
      <c r="I11461" s="284"/>
      <c r="J11461" s="285" t="s">
        <v>131</v>
      </c>
      <c r="K11461" s="286">
        <v>1588.1300000000047</v>
      </c>
      <c r="L11461" s="286"/>
      <c r="M11461" s="401"/>
    </row>
    <row r="11462" spans="1:13" ht="11.25" customHeight="1" x14ac:dyDescent="0.2">
      <c r="A11462" s="287">
        <v>2026</v>
      </c>
      <c r="B11462" s="287">
        <v>2</v>
      </c>
      <c r="C11462" s="287">
        <v>8</v>
      </c>
      <c r="D11462" s="288">
        <f t="shared" si="1270"/>
        <v>46061</v>
      </c>
      <c r="E11462" s="289">
        <f t="shared" si="1273"/>
        <v>46061</v>
      </c>
      <c r="F11462" s="473"/>
      <c r="G11462" s="290" t="s">
        <v>86</v>
      </c>
      <c r="H11462" s="291"/>
      <c r="I11462" s="291"/>
      <c r="J11462" s="292" t="s">
        <v>1469</v>
      </c>
      <c r="K11462" s="293"/>
      <c r="L11462" s="293">
        <f>K11461</f>
        <v>1588.1300000000047</v>
      </c>
    </row>
    <row r="11463" spans="1:13" ht="11.25" customHeight="1" x14ac:dyDescent="0.2">
      <c r="A11463" s="280">
        <v>2026</v>
      </c>
      <c r="B11463" s="280">
        <v>2</v>
      </c>
      <c r="C11463" s="280">
        <v>8</v>
      </c>
      <c r="D11463" s="281">
        <f t="shared" si="1270"/>
        <v>46061</v>
      </c>
      <c r="E11463" s="282">
        <f t="shared" si="1273"/>
        <v>46061</v>
      </c>
      <c r="F11463" s="472" t="s">
        <v>1584</v>
      </c>
      <c r="G11463" s="283" t="s">
        <v>86</v>
      </c>
      <c r="H11463" s="284"/>
      <c r="I11463" s="284"/>
      <c r="J11463" s="285" t="s">
        <v>131</v>
      </c>
      <c r="K11463" s="286">
        <v>3833.3333333333335</v>
      </c>
      <c r="L11463" s="286"/>
      <c r="M11463" s="401"/>
    </row>
    <row r="11464" spans="1:13" ht="11.25" customHeight="1" x14ac:dyDescent="0.2">
      <c r="A11464" s="287">
        <v>2026</v>
      </c>
      <c r="B11464" s="287">
        <v>2</v>
      </c>
      <c r="C11464" s="287">
        <v>8</v>
      </c>
      <c r="D11464" s="288">
        <f t="shared" si="1270"/>
        <v>46061</v>
      </c>
      <c r="E11464" s="289">
        <f t="shared" si="1273"/>
        <v>46061</v>
      </c>
      <c r="F11464" s="473"/>
      <c r="G11464" s="290" t="s">
        <v>86</v>
      </c>
      <c r="H11464" s="291"/>
      <c r="I11464" s="291"/>
      <c r="J11464" s="292" t="s">
        <v>1469</v>
      </c>
      <c r="K11464" s="293"/>
      <c r="L11464" s="293">
        <f>K11463</f>
        <v>3833.3333333333335</v>
      </c>
    </row>
    <row r="11465" spans="1:13" ht="11.25" customHeight="1" x14ac:dyDescent="0.2">
      <c r="A11465" s="280">
        <v>2026</v>
      </c>
      <c r="B11465" s="280">
        <v>2</v>
      </c>
      <c r="C11465" s="280">
        <v>8</v>
      </c>
      <c r="D11465" s="281">
        <f t="shared" si="1270"/>
        <v>46061</v>
      </c>
      <c r="E11465" s="282">
        <f t="shared" si="1273"/>
        <v>46061</v>
      </c>
      <c r="F11465" s="472" t="s">
        <v>1955</v>
      </c>
      <c r="G11465" s="283" t="s">
        <v>86</v>
      </c>
      <c r="H11465" s="284"/>
      <c r="I11465" s="284"/>
      <c r="J11465" s="285" t="s">
        <v>1978</v>
      </c>
      <c r="K11465" s="286">
        <v>18556.31868131868</v>
      </c>
      <c r="L11465" s="286"/>
      <c r="M11465" s="401"/>
    </row>
    <row r="11466" spans="1:13" ht="11.25" customHeight="1" x14ac:dyDescent="0.2">
      <c r="A11466" s="287">
        <v>2026</v>
      </c>
      <c r="B11466" s="287">
        <v>2</v>
      </c>
      <c r="C11466" s="287">
        <v>8</v>
      </c>
      <c r="D11466" s="288">
        <f t="shared" si="1270"/>
        <v>46061</v>
      </c>
      <c r="E11466" s="289">
        <f t="shared" si="1273"/>
        <v>46061</v>
      </c>
      <c r="F11466" s="473"/>
      <c r="G11466" s="290" t="s">
        <v>86</v>
      </c>
      <c r="H11466" s="291"/>
      <c r="I11466" s="291"/>
      <c r="J11466" s="292" t="s">
        <v>1955</v>
      </c>
      <c r="K11466" s="293"/>
      <c r="L11466" s="293">
        <f>K11465</f>
        <v>18556.31868131868</v>
      </c>
    </row>
    <row r="11467" spans="1:13" ht="11.25" customHeight="1" x14ac:dyDescent="0.2">
      <c r="A11467" s="341">
        <v>2026</v>
      </c>
      <c r="B11467" s="341">
        <v>2</v>
      </c>
      <c r="C11467" s="341">
        <v>8</v>
      </c>
      <c r="D11467" s="328">
        <f t="shared" si="1270"/>
        <v>46061</v>
      </c>
      <c r="E11467" s="329">
        <f t="shared" si="1273"/>
        <v>46061</v>
      </c>
      <c r="F11467" s="474" t="s">
        <v>1767</v>
      </c>
      <c r="G11467" s="330" t="s">
        <v>86</v>
      </c>
      <c r="H11467" s="332"/>
      <c r="I11467" s="332"/>
      <c r="J11467" s="342" t="s">
        <v>67</v>
      </c>
      <c r="K11467" s="343">
        <v>1397.34</v>
      </c>
      <c r="L11467" s="343"/>
      <c r="M11467" s="166"/>
    </row>
    <row r="11468" spans="1:13" ht="11.25" customHeight="1" x14ac:dyDescent="0.2">
      <c r="A11468" s="344">
        <v>2026</v>
      </c>
      <c r="B11468" s="344">
        <v>2</v>
      </c>
      <c r="C11468" s="344">
        <v>8</v>
      </c>
      <c r="D11468" s="337">
        <f t="shared" si="1270"/>
        <v>46061</v>
      </c>
      <c r="E11468" s="338">
        <f t="shared" si="1273"/>
        <v>46061</v>
      </c>
      <c r="F11468" s="475"/>
      <c r="G11468" s="339" t="s">
        <v>86</v>
      </c>
      <c r="H11468" s="340"/>
      <c r="I11468" s="340"/>
      <c r="J11468" s="345" t="s">
        <v>1974</v>
      </c>
      <c r="K11468" s="346"/>
      <c r="L11468" s="346">
        <f>K11467</f>
        <v>1397.34</v>
      </c>
    </row>
    <row r="11469" spans="1:13" ht="11.25" customHeight="1" x14ac:dyDescent="0.2">
      <c r="A11469" s="236">
        <v>2026</v>
      </c>
      <c r="B11469" s="236">
        <v>2</v>
      </c>
      <c r="C11469" s="236">
        <v>8</v>
      </c>
      <c r="D11469" s="237">
        <f t="shared" si="1270"/>
        <v>46061</v>
      </c>
      <c r="E11469" s="238">
        <f t="shared" si="1273"/>
        <v>46061</v>
      </c>
      <c r="F11469" s="476" t="s">
        <v>1118</v>
      </c>
      <c r="G11469" s="239" t="s">
        <v>86</v>
      </c>
      <c r="H11469" s="239"/>
      <c r="I11469" s="240"/>
      <c r="J11469" s="241" t="s">
        <v>82</v>
      </c>
      <c r="K11469" s="242">
        <v>621324.24000003934</v>
      </c>
      <c r="L11469" s="242"/>
      <c r="M11469" s="166"/>
    </row>
    <row r="11470" spans="1:13" ht="11.25" customHeight="1" x14ac:dyDescent="0.2">
      <c r="A11470" s="243">
        <v>2026</v>
      </c>
      <c r="B11470" s="243">
        <v>2</v>
      </c>
      <c r="C11470" s="243">
        <v>8</v>
      </c>
      <c r="D11470" s="248">
        <f t="shared" si="1270"/>
        <v>46061</v>
      </c>
      <c r="E11470" s="249">
        <f t="shared" si="1273"/>
        <v>46061</v>
      </c>
      <c r="F11470" s="477"/>
      <c r="G11470" s="244" t="s">
        <v>86</v>
      </c>
      <c r="H11470" s="244"/>
      <c r="I11470" s="245"/>
      <c r="J11470" s="246" t="s">
        <v>98</v>
      </c>
      <c r="K11470" s="247"/>
      <c r="L11470" s="247">
        <f>K11469</f>
        <v>621324.24000003934</v>
      </c>
    </row>
    <row r="11471" spans="1:13" ht="11.25" customHeight="1" x14ac:dyDescent="0.2">
      <c r="A11471" s="236">
        <v>2026</v>
      </c>
      <c r="B11471" s="236">
        <v>2</v>
      </c>
      <c r="C11471" s="236">
        <v>8</v>
      </c>
      <c r="D11471" s="237">
        <f t="shared" ref="D11471:D11538" si="1277">DATE(A11471,B11471,C11471)</f>
        <v>46061</v>
      </c>
      <c r="E11471" s="238">
        <f t="shared" si="1273"/>
        <v>46061</v>
      </c>
      <c r="F11471" s="476" t="s">
        <v>1999</v>
      </c>
      <c r="G11471" s="239" t="s">
        <v>86</v>
      </c>
      <c r="H11471" s="239"/>
      <c r="I11471" s="240"/>
      <c r="J11471" s="241" t="s">
        <v>87</v>
      </c>
      <c r="K11471" s="242">
        <v>1177.3940345368917</v>
      </c>
      <c r="L11471" s="242"/>
      <c r="M11471" s="401"/>
    </row>
    <row r="11472" spans="1:13" ht="11.25" customHeight="1" x14ac:dyDescent="0.2">
      <c r="A11472" s="243">
        <v>2026</v>
      </c>
      <c r="B11472" s="243">
        <v>2</v>
      </c>
      <c r="C11472" s="243">
        <v>8</v>
      </c>
      <c r="D11472" s="248">
        <f t="shared" si="1277"/>
        <v>46061</v>
      </c>
      <c r="E11472" s="249">
        <f t="shared" si="1273"/>
        <v>46061</v>
      </c>
      <c r="F11472" s="477"/>
      <c r="G11472" s="244" t="s">
        <v>86</v>
      </c>
      <c r="H11472" s="244"/>
      <c r="I11472" s="245"/>
      <c r="J11472" s="246" t="s">
        <v>64</v>
      </c>
      <c r="K11472" s="247"/>
      <c r="L11472" s="247">
        <f>K11471</f>
        <v>1177.3940345368917</v>
      </c>
    </row>
    <row r="11473" spans="1:14" ht="11.25" customHeight="1" x14ac:dyDescent="0.2">
      <c r="A11473" s="236">
        <v>2026</v>
      </c>
      <c r="B11473" s="236">
        <v>2</v>
      </c>
      <c r="C11473" s="236">
        <v>8</v>
      </c>
      <c r="D11473" s="237">
        <f t="shared" si="1277"/>
        <v>46061</v>
      </c>
      <c r="E11473" s="238">
        <f t="shared" si="1273"/>
        <v>46061</v>
      </c>
      <c r="F11473" s="476" t="s">
        <v>2000</v>
      </c>
      <c r="G11473" s="239" t="s">
        <v>86</v>
      </c>
      <c r="H11473" s="239"/>
      <c r="I11473" s="240"/>
      <c r="J11473" s="241" t="s">
        <v>89</v>
      </c>
      <c r="K11473" s="242">
        <v>44450.855564472673</v>
      </c>
      <c r="L11473" s="242"/>
      <c r="M11473" s="448">
        <v>14816.951854824225</v>
      </c>
    </row>
    <row r="11474" spans="1:14" ht="11.25" customHeight="1" x14ac:dyDescent="0.2">
      <c r="A11474" s="243">
        <v>2026</v>
      </c>
      <c r="B11474" s="243">
        <v>2</v>
      </c>
      <c r="C11474" s="243">
        <v>8</v>
      </c>
      <c r="D11474" s="248">
        <f t="shared" si="1277"/>
        <v>46061</v>
      </c>
      <c r="E11474" s="249">
        <f t="shared" si="1273"/>
        <v>46061</v>
      </c>
      <c r="F11474" s="477"/>
      <c r="G11474" s="244" t="s">
        <v>86</v>
      </c>
      <c r="H11474" s="244"/>
      <c r="I11474" s="245"/>
      <c r="J11474" s="246" t="s">
        <v>50</v>
      </c>
      <c r="K11474" s="247"/>
      <c r="L11474" s="247">
        <f>K11473</f>
        <v>44450.855564472673</v>
      </c>
      <c r="M11474" s="448">
        <v>713.07151559634042</v>
      </c>
    </row>
    <row r="11475" spans="1:14" ht="11.25" customHeight="1" x14ac:dyDescent="0.2">
      <c r="A11475" s="236">
        <v>2026</v>
      </c>
      <c r="B11475" s="236">
        <v>2</v>
      </c>
      <c r="C11475" s="236">
        <v>8</v>
      </c>
      <c r="D11475" s="237">
        <f t="shared" si="1277"/>
        <v>46061</v>
      </c>
      <c r="E11475" s="238">
        <f t="shared" si="1273"/>
        <v>46061</v>
      </c>
      <c r="F11475" s="476" t="s">
        <v>2001</v>
      </c>
      <c r="G11475" s="239" t="s">
        <v>86</v>
      </c>
      <c r="H11475" s="239"/>
      <c r="I11475" s="240"/>
      <c r="J11475" s="241" t="s">
        <v>91</v>
      </c>
      <c r="K11475" s="242">
        <v>2139.2145467890214</v>
      </c>
      <c r="L11475" s="242"/>
    </row>
    <row r="11476" spans="1:14" ht="11.25" customHeight="1" x14ac:dyDescent="0.2">
      <c r="A11476" s="243">
        <v>2026</v>
      </c>
      <c r="B11476" s="243">
        <v>2</v>
      </c>
      <c r="C11476" s="243">
        <v>8</v>
      </c>
      <c r="D11476" s="248">
        <f t="shared" si="1277"/>
        <v>46061</v>
      </c>
      <c r="E11476" s="249">
        <f t="shared" si="1273"/>
        <v>46061</v>
      </c>
      <c r="F11476" s="477"/>
      <c r="G11476" s="244" t="s">
        <v>86</v>
      </c>
      <c r="H11476" s="244"/>
      <c r="I11476" s="245"/>
      <c r="J11476" s="246" t="s">
        <v>51</v>
      </c>
      <c r="K11476" s="247"/>
      <c r="L11476" s="247">
        <f>K11475</f>
        <v>2139.2145467890214</v>
      </c>
    </row>
    <row r="11477" spans="1:14" ht="11.25" customHeight="1" x14ac:dyDescent="0.2">
      <c r="A11477" s="221">
        <v>2026</v>
      </c>
      <c r="B11477" s="221">
        <v>2</v>
      </c>
      <c r="C11477" s="221">
        <v>9</v>
      </c>
      <c r="D11477" s="221">
        <f t="shared" si="1277"/>
        <v>46062</v>
      </c>
      <c r="E11477" s="233">
        <f t="shared" si="1273"/>
        <v>46062</v>
      </c>
      <c r="F11477" s="478" t="s">
        <v>1937</v>
      </c>
      <c r="G11477" s="222" t="s">
        <v>86</v>
      </c>
      <c r="H11477" s="222"/>
      <c r="I11477" s="223"/>
      <c r="J11477" s="224" t="s">
        <v>80</v>
      </c>
      <c r="K11477" s="225">
        <v>3391025.7</v>
      </c>
      <c r="L11477" s="225"/>
      <c r="N11477" s="263"/>
    </row>
    <row r="11478" spans="1:14" ht="11.25" customHeight="1" x14ac:dyDescent="0.2">
      <c r="A11478" s="164">
        <v>2026</v>
      </c>
      <c r="B11478" s="164">
        <v>2</v>
      </c>
      <c r="C11478" s="164">
        <v>9</v>
      </c>
      <c r="D11478" s="164">
        <f t="shared" si="1277"/>
        <v>46062</v>
      </c>
      <c r="E11478" s="235">
        <f t="shared" si="1273"/>
        <v>46062</v>
      </c>
      <c r="F11478" s="480"/>
      <c r="G11478" s="208" t="s">
        <v>86</v>
      </c>
      <c r="H11478" s="208"/>
      <c r="J11478" s="165" t="s">
        <v>960</v>
      </c>
      <c r="K11478" s="205">
        <v>20681.572700000001</v>
      </c>
      <c r="L11478" s="205"/>
      <c r="M11478" s="263"/>
      <c r="N11478" s="263"/>
    </row>
    <row r="11479" spans="1:14" ht="11.25" customHeight="1" x14ac:dyDescent="0.2">
      <c r="A11479" s="164">
        <v>2026</v>
      </c>
      <c r="B11479" s="164">
        <v>2</v>
      </c>
      <c r="C11479" s="164">
        <v>9</v>
      </c>
      <c r="D11479" s="164">
        <f t="shared" si="1277"/>
        <v>46062</v>
      </c>
      <c r="E11479" s="235">
        <f t="shared" si="1273"/>
        <v>46062</v>
      </c>
      <c r="F11479" s="480"/>
      <c r="G11479" s="208" t="s">
        <v>86</v>
      </c>
      <c r="H11479" s="208"/>
      <c r="J11479" s="165" t="s">
        <v>199</v>
      </c>
      <c r="K11479" s="263">
        <v>4687029.7300000004</v>
      </c>
      <c r="L11479" s="205"/>
      <c r="M11479" s="263"/>
      <c r="N11479" s="263"/>
    </row>
    <row r="11480" spans="1:14" ht="11.25" customHeight="1" x14ac:dyDescent="0.2">
      <c r="A11480" s="164">
        <v>2026</v>
      </c>
      <c r="B11480" s="164">
        <v>2</v>
      </c>
      <c r="C11480" s="164">
        <v>9</v>
      </c>
      <c r="D11480" s="164">
        <f t="shared" si="1277"/>
        <v>46062</v>
      </c>
      <c r="E11480" s="235">
        <f t="shared" si="1273"/>
        <v>46062</v>
      </c>
      <c r="F11480" s="480"/>
      <c r="G11480" s="208" t="s">
        <v>86</v>
      </c>
      <c r="H11480" s="208"/>
      <c r="J11480" s="165" t="s">
        <v>200</v>
      </c>
      <c r="K11480" s="205"/>
      <c r="L11480" s="205">
        <v>137277.47</v>
      </c>
      <c r="M11480" s="263"/>
      <c r="N11480" s="263"/>
    </row>
    <row r="11481" spans="1:14" ht="11.25" customHeight="1" x14ac:dyDescent="0.2">
      <c r="A11481" s="226">
        <v>2026</v>
      </c>
      <c r="B11481" s="226">
        <v>2</v>
      </c>
      <c r="C11481" s="226">
        <v>9</v>
      </c>
      <c r="D11481" s="226">
        <f t="shared" si="1277"/>
        <v>46062</v>
      </c>
      <c r="E11481" s="234">
        <f t="shared" si="1273"/>
        <v>46062</v>
      </c>
      <c r="F11481" s="479"/>
      <c r="G11481" s="227" t="s">
        <v>86</v>
      </c>
      <c r="H11481" s="228"/>
      <c r="I11481" s="228"/>
      <c r="J11481" s="229" t="s">
        <v>80</v>
      </c>
      <c r="K11481" s="230"/>
      <c r="L11481" s="230">
        <v>7961459.5300000003</v>
      </c>
      <c r="M11481" s="263"/>
      <c r="N11481" s="263"/>
    </row>
    <row r="11482" spans="1:14" ht="11.25" customHeight="1" x14ac:dyDescent="0.2">
      <c r="A11482" s="221">
        <v>2026</v>
      </c>
      <c r="B11482" s="221">
        <v>2</v>
      </c>
      <c r="C11482" s="221">
        <v>9</v>
      </c>
      <c r="D11482" s="231">
        <f t="shared" si="1277"/>
        <v>46062</v>
      </c>
      <c r="E11482" s="233">
        <f t="shared" ref="E11482:E11490" si="1278">DATE(A11482,B11482,C11482)</f>
        <v>46062</v>
      </c>
      <c r="F11482" s="478" t="s">
        <v>1323</v>
      </c>
      <c r="G11482" s="222" t="s">
        <v>1111</v>
      </c>
      <c r="H11482" s="223"/>
      <c r="I11482" s="223"/>
      <c r="J11482" s="224" t="s">
        <v>55</v>
      </c>
      <c r="K11482" s="225">
        <v>100000</v>
      </c>
      <c r="L11482" s="225"/>
    </row>
    <row r="11483" spans="1:14" ht="11.25" customHeight="1" x14ac:dyDescent="0.2">
      <c r="A11483" s="164">
        <v>2026</v>
      </c>
      <c r="B11483" s="164">
        <v>2</v>
      </c>
      <c r="C11483" s="164">
        <v>9</v>
      </c>
      <c r="D11483" s="156">
        <f t="shared" si="1277"/>
        <v>46062</v>
      </c>
      <c r="E11483" s="235">
        <f t="shared" si="1278"/>
        <v>46062</v>
      </c>
      <c r="F11483" s="480"/>
      <c r="G11483" s="208" t="s">
        <v>1111</v>
      </c>
      <c r="J11483" s="165" t="s">
        <v>14</v>
      </c>
      <c r="K11483" s="205"/>
      <c r="L11483" s="205">
        <v>80130</v>
      </c>
      <c r="M11483" s="166"/>
    </row>
    <row r="11484" spans="1:14" ht="11.25" customHeight="1" x14ac:dyDescent="0.2">
      <c r="A11484" s="226">
        <v>2026</v>
      </c>
      <c r="B11484" s="226">
        <v>2</v>
      </c>
      <c r="C11484" s="226">
        <v>9</v>
      </c>
      <c r="D11484" s="232">
        <f t="shared" si="1277"/>
        <v>46062</v>
      </c>
      <c r="E11484" s="234">
        <f t="shared" si="1278"/>
        <v>46062</v>
      </c>
      <c r="F11484" s="479"/>
      <c r="G11484" s="227" t="s">
        <v>1111</v>
      </c>
      <c r="H11484" s="228"/>
      <c r="I11484" s="228"/>
      <c r="J11484" s="229" t="s">
        <v>1112</v>
      </c>
      <c r="K11484" s="230"/>
      <c r="L11484" s="230">
        <v>19870</v>
      </c>
    </row>
    <row r="11485" spans="1:14" ht="11.25" customHeight="1" x14ac:dyDescent="0.2">
      <c r="A11485" s="221">
        <v>2026</v>
      </c>
      <c r="B11485" s="221">
        <v>2</v>
      </c>
      <c r="C11485" s="221">
        <v>9</v>
      </c>
      <c r="D11485" s="231">
        <f t="shared" si="1277"/>
        <v>46062</v>
      </c>
      <c r="E11485" s="233">
        <f t="shared" si="1278"/>
        <v>46062</v>
      </c>
      <c r="F11485" s="478" t="s">
        <v>1751</v>
      </c>
      <c r="G11485" s="222" t="s">
        <v>1111</v>
      </c>
      <c r="H11485" s="223"/>
      <c r="I11485" s="223"/>
      <c r="J11485" s="224" t="s">
        <v>55</v>
      </c>
      <c r="K11485" s="225">
        <v>4500000</v>
      </c>
      <c r="L11485" s="225"/>
    </row>
    <row r="11486" spans="1:14" ht="11.25" customHeight="1" x14ac:dyDescent="0.2">
      <c r="A11486" s="226">
        <v>2026</v>
      </c>
      <c r="B11486" s="226">
        <v>2</v>
      </c>
      <c r="C11486" s="226">
        <v>9</v>
      </c>
      <c r="D11486" s="232">
        <f t="shared" si="1277"/>
        <v>46062</v>
      </c>
      <c r="E11486" s="234">
        <f t="shared" si="1278"/>
        <v>46062</v>
      </c>
      <c r="F11486" s="479"/>
      <c r="G11486" s="227" t="s">
        <v>1111</v>
      </c>
      <c r="H11486" s="228"/>
      <c r="I11486" s="228"/>
      <c r="J11486" s="229" t="s">
        <v>88</v>
      </c>
      <c r="K11486" s="230"/>
      <c r="L11486" s="230">
        <v>4500000</v>
      </c>
    </row>
    <row r="11487" spans="1:14" ht="11.25" customHeight="1" x14ac:dyDescent="0.2">
      <c r="A11487" s="221">
        <v>2026</v>
      </c>
      <c r="B11487" s="221">
        <v>2</v>
      </c>
      <c r="C11487" s="221">
        <v>9</v>
      </c>
      <c r="D11487" s="231">
        <f t="shared" si="1277"/>
        <v>46062</v>
      </c>
      <c r="E11487" s="233">
        <f t="shared" si="1278"/>
        <v>46062</v>
      </c>
      <c r="F11487" s="478" t="s">
        <v>1752</v>
      </c>
      <c r="G11487" s="222" t="s">
        <v>1111</v>
      </c>
      <c r="H11487" s="223"/>
      <c r="I11487" s="223"/>
      <c r="J11487" s="224" t="s">
        <v>55</v>
      </c>
      <c r="K11487" s="225">
        <v>4500000</v>
      </c>
      <c r="L11487" s="225"/>
    </row>
    <row r="11488" spans="1:14" ht="11.25" customHeight="1" x14ac:dyDescent="0.2">
      <c r="A11488" s="226">
        <v>2026</v>
      </c>
      <c r="B11488" s="226">
        <v>2</v>
      </c>
      <c r="C11488" s="226">
        <v>9</v>
      </c>
      <c r="D11488" s="232">
        <f t="shared" si="1277"/>
        <v>46062</v>
      </c>
      <c r="E11488" s="234">
        <f t="shared" si="1278"/>
        <v>46062</v>
      </c>
      <c r="F11488" s="479"/>
      <c r="G11488" s="227" t="s">
        <v>1111</v>
      </c>
      <c r="H11488" s="228"/>
      <c r="I11488" s="228"/>
      <c r="J11488" s="229" t="s">
        <v>88</v>
      </c>
      <c r="K11488" s="230"/>
      <c r="L11488" s="230">
        <v>4500000</v>
      </c>
    </row>
    <row r="11489" spans="1:14" ht="11.25" customHeight="1" x14ac:dyDescent="0.2">
      <c r="A11489" s="221">
        <v>2026</v>
      </c>
      <c r="B11489" s="221">
        <v>2</v>
      </c>
      <c r="C11489" s="221">
        <v>9</v>
      </c>
      <c r="D11489" s="231">
        <f t="shared" si="1277"/>
        <v>46062</v>
      </c>
      <c r="E11489" s="233">
        <f t="shared" si="1278"/>
        <v>46062</v>
      </c>
      <c r="F11489" s="478" t="s">
        <v>1670</v>
      </c>
      <c r="G11489" s="222" t="s">
        <v>1111</v>
      </c>
      <c r="H11489" s="223"/>
      <c r="I11489" s="223"/>
      <c r="J11489" s="224" t="s">
        <v>63</v>
      </c>
      <c r="K11489" s="225">
        <v>18000</v>
      </c>
      <c r="L11489" s="225"/>
    </row>
    <row r="11490" spans="1:14" ht="11.25" customHeight="1" x14ac:dyDescent="0.2">
      <c r="A11490" s="226">
        <v>2026</v>
      </c>
      <c r="B11490" s="226">
        <v>2</v>
      </c>
      <c r="C11490" s="226">
        <v>9</v>
      </c>
      <c r="D11490" s="232">
        <f t="shared" si="1277"/>
        <v>46062</v>
      </c>
      <c r="E11490" s="234">
        <f t="shared" si="1278"/>
        <v>46062</v>
      </c>
      <c r="F11490" s="479"/>
      <c r="G11490" s="227" t="s">
        <v>1111</v>
      </c>
      <c r="H11490" s="228"/>
      <c r="I11490" s="228"/>
      <c r="J11490" s="229" t="s">
        <v>55</v>
      </c>
      <c r="K11490" s="230"/>
      <c r="L11490" s="230">
        <f>K11489</f>
        <v>18000</v>
      </c>
    </row>
    <row r="11491" spans="1:14" ht="11.25" customHeight="1" x14ac:dyDescent="0.2">
      <c r="A11491" s="280">
        <v>2026</v>
      </c>
      <c r="B11491" s="280">
        <v>2</v>
      </c>
      <c r="C11491" s="280">
        <v>9</v>
      </c>
      <c r="D11491" s="281">
        <f t="shared" si="1277"/>
        <v>46062</v>
      </c>
      <c r="E11491" s="282">
        <f t="shared" ref="E11491:E11507" si="1279">DATE(A11491,B11491,C11491)</f>
        <v>46062</v>
      </c>
      <c r="F11491" s="472" t="s">
        <v>1584</v>
      </c>
      <c r="G11491" s="283" t="s">
        <v>86</v>
      </c>
      <c r="H11491" s="284"/>
      <c r="I11491" s="284"/>
      <c r="J11491" s="285" t="s">
        <v>131</v>
      </c>
      <c r="K11491" s="286">
        <v>1277.7777777777778</v>
      </c>
      <c r="L11491" s="286"/>
      <c r="M11491" s="401"/>
      <c r="N11491" s="166"/>
    </row>
    <row r="11492" spans="1:14" ht="11.25" customHeight="1" x14ac:dyDescent="0.2">
      <c r="A11492" s="287">
        <v>2026</v>
      </c>
      <c r="B11492" s="287">
        <v>2</v>
      </c>
      <c r="C11492" s="287">
        <v>9</v>
      </c>
      <c r="D11492" s="288">
        <f t="shared" si="1277"/>
        <v>46062</v>
      </c>
      <c r="E11492" s="289">
        <f t="shared" si="1279"/>
        <v>46062</v>
      </c>
      <c r="F11492" s="473"/>
      <c r="G11492" s="290" t="s">
        <v>86</v>
      </c>
      <c r="H11492" s="291"/>
      <c r="I11492" s="291"/>
      <c r="J11492" s="292" t="s">
        <v>1469</v>
      </c>
      <c r="K11492" s="293"/>
      <c r="L11492" s="293">
        <f>K11491</f>
        <v>1277.7777777777778</v>
      </c>
    </row>
    <row r="11493" spans="1:14" ht="11.25" customHeight="1" x14ac:dyDescent="0.2">
      <c r="A11493" s="280">
        <v>2026</v>
      </c>
      <c r="B11493" s="280">
        <v>2</v>
      </c>
      <c r="C11493" s="280">
        <v>9</v>
      </c>
      <c r="D11493" s="281">
        <f t="shared" si="1277"/>
        <v>46062</v>
      </c>
      <c r="E11493" s="282">
        <f t="shared" si="1279"/>
        <v>46062</v>
      </c>
      <c r="F11493" s="472" t="s">
        <v>1955</v>
      </c>
      <c r="G11493" s="283" t="s">
        <v>86</v>
      </c>
      <c r="H11493" s="284"/>
      <c r="I11493" s="284"/>
      <c r="J11493" s="285" t="s">
        <v>1978</v>
      </c>
      <c r="K11493" s="286">
        <v>6185.4395604395604</v>
      </c>
      <c r="L11493" s="286"/>
      <c r="M11493" s="401"/>
    </row>
    <row r="11494" spans="1:14" ht="11.25" customHeight="1" x14ac:dyDescent="0.2">
      <c r="A11494" s="287">
        <v>2026</v>
      </c>
      <c r="B11494" s="287">
        <v>2</v>
      </c>
      <c r="C11494" s="287">
        <v>9</v>
      </c>
      <c r="D11494" s="288">
        <f t="shared" si="1277"/>
        <v>46062</v>
      </c>
      <c r="E11494" s="289">
        <f t="shared" si="1279"/>
        <v>46062</v>
      </c>
      <c r="F11494" s="473"/>
      <c r="G11494" s="290" t="s">
        <v>86</v>
      </c>
      <c r="H11494" s="291"/>
      <c r="I11494" s="291"/>
      <c r="J11494" s="292" t="s">
        <v>1955</v>
      </c>
      <c r="K11494" s="293"/>
      <c r="L11494" s="293">
        <f>K11493</f>
        <v>6185.4395604395604</v>
      </c>
    </row>
    <row r="11495" spans="1:14" ht="11.25" customHeight="1" x14ac:dyDescent="0.2">
      <c r="A11495" s="341">
        <v>2026</v>
      </c>
      <c r="B11495" s="341">
        <v>2</v>
      </c>
      <c r="C11495" s="341">
        <v>9</v>
      </c>
      <c r="D11495" s="328">
        <f t="shared" si="1277"/>
        <v>46062</v>
      </c>
      <c r="E11495" s="329">
        <f t="shared" si="1279"/>
        <v>46062</v>
      </c>
      <c r="F11495" s="474" t="s">
        <v>1767</v>
      </c>
      <c r="G11495" s="330" t="s">
        <v>86</v>
      </c>
      <c r="H11495" s="332"/>
      <c r="I11495" s="332"/>
      <c r="J11495" s="342" t="s">
        <v>67</v>
      </c>
      <c r="K11495" s="343">
        <v>949.02655291666645</v>
      </c>
      <c r="L11495" s="343"/>
      <c r="M11495" s="166"/>
    </row>
    <row r="11496" spans="1:14" ht="11.25" customHeight="1" x14ac:dyDescent="0.2">
      <c r="A11496" s="344">
        <v>2026</v>
      </c>
      <c r="B11496" s="344">
        <v>2</v>
      </c>
      <c r="C11496" s="344">
        <v>9</v>
      </c>
      <c r="D11496" s="337">
        <f t="shared" si="1277"/>
        <v>46062</v>
      </c>
      <c r="E11496" s="338">
        <f t="shared" si="1279"/>
        <v>46062</v>
      </c>
      <c r="F11496" s="475"/>
      <c r="G11496" s="339" t="s">
        <v>86</v>
      </c>
      <c r="H11496" s="340"/>
      <c r="I11496" s="340"/>
      <c r="J11496" s="345" t="s">
        <v>1974</v>
      </c>
      <c r="K11496" s="346"/>
      <c r="L11496" s="346">
        <f>K11495</f>
        <v>949.02655291666645</v>
      </c>
    </row>
    <row r="11497" spans="1:14" ht="11.25" customHeight="1" x14ac:dyDescent="0.2">
      <c r="A11497" s="236">
        <v>2026</v>
      </c>
      <c r="B11497" s="236">
        <v>2</v>
      </c>
      <c r="C11497" s="236">
        <v>9</v>
      </c>
      <c r="D11497" s="237">
        <f t="shared" si="1277"/>
        <v>46062</v>
      </c>
      <c r="E11497" s="238">
        <f t="shared" si="1279"/>
        <v>46062</v>
      </c>
      <c r="F11497" s="476" t="s">
        <v>1118</v>
      </c>
      <c r="G11497" s="239" t="s">
        <v>86</v>
      </c>
      <c r="H11497" s="239"/>
      <c r="I11497" s="240"/>
      <c r="J11497" s="241" t="s">
        <v>98</v>
      </c>
      <c r="K11497" s="242">
        <v>3567649.4500000775</v>
      </c>
      <c r="L11497" s="242"/>
      <c r="M11497" s="166"/>
    </row>
    <row r="11498" spans="1:14" ht="11.25" customHeight="1" x14ac:dyDescent="0.2">
      <c r="A11498" s="243">
        <v>2026</v>
      </c>
      <c r="B11498" s="243">
        <v>2</v>
      </c>
      <c r="C11498" s="243">
        <v>9</v>
      </c>
      <c r="D11498" s="248">
        <f t="shared" si="1277"/>
        <v>46062</v>
      </c>
      <c r="E11498" s="249">
        <f t="shared" si="1279"/>
        <v>46062</v>
      </c>
      <c r="F11498" s="477"/>
      <c r="G11498" s="244" t="s">
        <v>86</v>
      </c>
      <c r="H11498" s="244"/>
      <c r="I11498" s="245"/>
      <c r="J11498" s="246" t="s">
        <v>82</v>
      </c>
      <c r="K11498" s="247"/>
      <c r="L11498" s="247">
        <f>K11497</f>
        <v>3567649.4500000775</v>
      </c>
    </row>
    <row r="11499" spans="1:14" ht="11.25" customHeight="1" x14ac:dyDescent="0.2">
      <c r="A11499" s="236">
        <v>2026</v>
      </c>
      <c r="B11499" s="236">
        <v>2</v>
      </c>
      <c r="C11499" s="236">
        <v>9</v>
      </c>
      <c r="D11499" s="237">
        <f t="shared" si="1277"/>
        <v>46062</v>
      </c>
      <c r="E11499" s="238">
        <f t="shared" si="1279"/>
        <v>46062</v>
      </c>
      <c r="F11499" s="476" t="s">
        <v>1999</v>
      </c>
      <c r="G11499" s="239" t="s">
        <v>86</v>
      </c>
      <c r="H11499" s="239"/>
      <c r="I11499" s="240"/>
      <c r="J11499" s="241" t="s">
        <v>87</v>
      </c>
      <c r="K11499" s="242">
        <v>392.46467817896388</v>
      </c>
      <c r="L11499" s="242"/>
      <c r="M11499" s="401"/>
    </row>
    <row r="11500" spans="1:14" ht="11.25" customHeight="1" x14ac:dyDescent="0.2">
      <c r="A11500" s="243">
        <v>2026</v>
      </c>
      <c r="B11500" s="243">
        <v>2</v>
      </c>
      <c r="C11500" s="243">
        <v>9</v>
      </c>
      <c r="D11500" s="248">
        <f t="shared" si="1277"/>
        <v>46062</v>
      </c>
      <c r="E11500" s="249">
        <f t="shared" si="1279"/>
        <v>46062</v>
      </c>
      <c r="F11500" s="477"/>
      <c r="G11500" s="244" t="s">
        <v>86</v>
      </c>
      <c r="H11500" s="244"/>
      <c r="I11500" s="245"/>
      <c r="J11500" s="246" t="s">
        <v>64</v>
      </c>
      <c r="K11500" s="247"/>
      <c r="L11500" s="247">
        <f>K11499</f>
        <v>392.46467817896388</v>
      </c>
    </row>
    <row r="11501" spans="1:14" ht="11.25" customHeight="1" x14ac:dyDescent="0.2">
      <c r="A11501" s="236">
        <v>2026</v>
      </c>
      <c r="B11501" s="236">
        <v>2</v>
      </c>
      <c r="C11501" s="236">
        <v>9</v>
      </c>
      <c r="D11501" s="237">
        <f t="shared" si="1277"/>
        <v>46062</v>
      </c>
      <c r="E11501" s="238">
        <f t="shared" si="1279"/>
        <v>46062</v>
      </c>
      <c r="F11501" s="476" t="s">
        <v>2000</v>
      </c>
      <c r="G11501" s="239" t="s">
        <v>86</v>
      </c>
      <c r="H11501" s="239"/>
      <c r="I11501" s="240"/>
      <c r="J11501" s="241" t="s">
        <v>89</v>
      </c>
      <c r="K11501" s="242">
        <v>14968.165105895181</v>
      </c>
      <c r="L11501" s="242"/>
      <c r="M11501" s="448">
        <v>14968.165105895181</v>
      </c>
    </row>
    <row r="11502" spans="1:14" ht="11.25" customHeight="1" x14ac:dyDescent="0.2">
      <c r="A11502" s="243">
        <v>2026</v>
      </c>
      <c r="B11502" s="243">
        <v>2</v>
      </c>
      <c r="C11502" s="243">
        <v>9</v>
      </c>
      <c r="D11502" s="248">
        <f t="shared" si="1277"/>
        <v>46062</v>
      </c>
      <c r="E11502" s="249">
        <f t="shared" si="1279"/>
        <v>46062</v>
      </c>
      <c r="F11502" s="477"/>
      <c r="G11502" s="244" t="s">
        <v>86</v>
      </c>
      <c r="H11502" s="244"/>
      <c r="I11502" s="245"/>
      <c r="J11502" s="246" t="s">
        <v>50</v>
      </c>
      <c r="K11502" s="247"/>
      <c r="L11502" s="247">
        <f>K11501</f>
        <v>14968.165105895181</v>
      </c>
      <c r="M11502" s="448">
        <v>723.15239900107076</v>
      </c>
    </row>
    <row r="11503" spans="1:14" ht="11.25" customHeight="1" x14ac:dyDescent="0.2">
      <c r="A11503" s="236">
        <v>2026</v>
      </c>
      <c r="B11503" s="236">
        <v>2</v>
      </c>
      <c r="C11503" s="236">
        <v>9</v>
      </c>
      <c r="D11503" s="237">
        <f t="shared" si="1277"/>
        <v>46062</v>
      </c>
      <c r="E11503" s="238">
        <f t="shared" si="1279"/>
        <v>46062</v>
      </c>
      <c r="F11503" s="476" t="s">
        <v>2001</v>
      </c>
      <c r="G11503" s="239" t="s">
        <v>86</v>
      </c>
      <c r="H11503" s="239"/>
      <c r="I11503" s="240"/>
      <c r="J11503" s="241" t="s">
        <v>91</v>
      </c>
      <c r="K11503" s="242">
        <v>723.15239900107076</v>
      </c>
      <c r="L11503" s="242"/>
    </row>
    <row r="11504" spans="1:14" ht="11.25" customHeight="1" x14ac:dyDescent="0.2">
      <c r="A11504" s="243">
        <v>2026</v>
      </c>
      <c r="B11504" s="243">
        <v>2</v>
      </c>
      <c r="C11504" s="243">
        <v>9</v>
      </c>
      <c r="D11504" s="248">
        <f t="shared" si="1277"/>
        <v>46062</v>
      </c>
      <c r="E11504" s="249">
        <f t="shared" si="1279"/>
        <v>46062</v>
      </c>
      <c r="F11504" s="477"/>
      <c r="G11504" s="267" t="s">
        <v>86</v>
      </c>
      <c r="H11504" s="267"/>
      <c r="I11504" s="268"/>
      <c r="J11504" s="269" t="s">
        <v>51</v>
      </c>
      <c r="K11504" s="270"/>
      <c r="L11504" s="270">
        <f>K11503</f>
        <v>723.15239900107076</v>
      </c>
    </row>
    <row r="11505" spans="1:14" ht="11.25" customHeight="1" x14ac:dyDescent="0.2">
      <c r="A11505" s="221">
        <v>2026</v>
      </c>
      <c r="B11505" s="221">
        <v>2</v>
      </c>
      <c r="C11505" s="221">
        <v>10</v>
      </c>
      <c r="D11505" s="231">
        <f t="shared" si="1277"/>
        <v>46063</v>
      </c>
      <c r="E11505" s="233">
        <f t="shared" si="1279"/>
        <v>46063</v>
      </c>
      <c r="F11505" s="478" t="s">
        <v>1132</v>
      </c>
      <c r="G11505" s="222" t="s">
        <v>1111</v>
      </c>
      <c r="H11505" s="223"/>
      <c r="I11505" s="223"/>
      <c r="J11505" s="224" t="s">
        <v>55</v>
      </c>
      <c r="K11505" s="225">
        <v>5000</v>
      </c>
      <c r="L11505" s="225"/>
    </row>
    <row r="11506" spans="1:14" ht="11.25" customHeight="1" x14ac:dyDescent="0.2">
      <c r="A11506" s="164">
        <v>2026</v>
      </c>
      <c r="B11506" s="164">
        <v>2</v>
      </c>
      <c r="C11506" s="164">
        <v>10</v>
      </c>
      <c r="D11506" s="156">
        <f t="shared" si="1277"/>
        <v>46063</v>
      </c>
      <c r="E11506" s="235">
        <f t="shared" si="1279"/>
        <v>46063</v>
      </c>
      <c r="F11506" s="480"/>
      <c r="G11506" s="208" t="s">
        <v>1111</v>
      </c>
      <c r="J11506" s="165" t="s">
        <v>14</v>
      </c>
      <c r="K11506" s="205"/>
      <c r="L11506" s="205">
        <v>3950</v>
      </c>
    </row>
    <row r="11507" spans="1:14" ht="11.25" customHeight="1" x14ac:dyDescent="0.2">
      <c r="A11507" s="164">
        <v>2026</v>
      </c>
      <c r="B11507" s="164">
        <v>2</v>
      </c>
      <c r="C11507" s="164">
        <v>10</v>
      </c>
      <c r="D11507" s="156">
        <f t="shared" si="1277"/>
        <v>46063</v>
      </c>
      <c r="E11507" s="235">
        <f t="shared" si="1279"/>
        <v>46063</v>
      </c>
      <c r="F11507" s="479"/>
      <c r="G11507" s="227" t="s">
        <v>1111</v>
      </c>
      <c r="H11507" s="228"/>
      <c r="I11507" s="228"/>
      <c r="J11507" s="229" t="s">
        <v>1112</v>
      </c>
      <c r="K11507" s="230"/>
      <c r="L11507" s="230">
        <v>1050</v>
      </c>
      <c r="M11507" s="166"/>
    </row>
    <row r="11508" spans="1:14" ht="11.25" customHeight="1" x14ac:dyDescent="0.2">
      <c r="A11508" s="221">
        <v>2026</v>
      </c>
      <c r="B11508" s="221">
        <v>2</v>
      </c>
      <c r="C11508" s="221">
        <v>10</v>
      </c>
      <c r="D11508" s="231">
        <f t="shared" si="1277"/>
        <v>46063</v>
      </c>
      <c r="E11508" s="233">
        <f t="shared" ref="E11508:E11513" si="1280">DATE(A11508,B11508,C11508)</f>
        <v>46063</v>
      </c>
      <c r="F11508" s="480" t="s">
        <v>1989</v>
      </c>
      <c r="G11508" s="208" t="s">
        <v>1111</v>
      </c>
      <c r="H11508" s="206" t="str" cm="1">
        <f t="array" ref="H11508">IFERROR(INDEX(INVESTOR_LIST[INVESTOR NAME],MATCH(I11508,INVESTOR_LIST[INVESTOR CODE],0),)," ")</f>
        <v xml:space="preserve"> </v>
      </c>
      <c r="J11508" s="165" t="s">
        <v>961</v>
      </c>
      <c r="K11508" s="205">
        <v>1618403.61</v>
      </c>
      <c r="L11508" s="205"/>
    </row>
    <row r="11509" spans="1:14" ht="11.25" customHeight="1" x14ac:dyDescent="0.2">
      <c r="A11509" s="226">
        <v>2026</v>
      </c>
      <c r="B11509" s="226">
        <v>2</v>
      </c>
      <c r="C11509" s="226">
        <v>10</v>
      </c>
      <c r="D11509" s="232">
        <f t="shared" si="1277"/>
        <v>46063</v>
      </c>
      <c r="E11509" s="234">
        <f t="shared" si="1280"/>
        <v>46063</v>
      </c>
      <c r="F11509" s="479"/>
      <c r="G11509" s="227" t="s">
        <v>1111</v>
      </c>
      <c r="H11509" s="228" t="str" cm="1">
        <f t="array" ref="H11509">IFERROR(INDEX(INVESTOR_LIST[INVESTOR NAME],MATCH(I11509,INVESTOR_LIST[INVESTOR CODE],0),)," ")</f>
        <v xml:space="preserve"> </v>
      </c>
      <c r="I11509" s="228"/>
      <c r="J11509" s="229" t="s">
        <v>55</v>
      </c>
      <c r="K11509" s="230"/>
      <c r="L11509" s="230">
        <f>K11508</f>
        <v>1618403.61</v>
      </c>
    </row>
    <row r="11510" spans="1:14" ht="11.25" customHeight="1" x14ac:dyDescent="0.2">
      <c r="A11510" s="221">
        <v>2026</v>
      </c>
      <c r="B11510" s="221">
        <v>2</v>
      </c>
      <c r="C11510" s="221">
        <v>10</v>
      </c>
      <c r="D11510" s="231">
        <f t="shared" si="1277"/>
        <v>46063</v>
      </c>
      <c r="E11510" s="233">
        <f t="shared" si="1280"/>
        <v>46063</v>
      </c>
      <c r="F11510" s="478" t="s">
        <v>1989</v>
      </c>
      <c r="G11510" s="222" t="s">
        <v>1111</v>
      </c>
      <c r="H11510" s="223" t="str" cm="1">
        <f t="array" ref="H11510">IFERROR(INDEX(INVESTOR_LIST[INVESTOR NAME],MATCH(I11510,INVESTOR_LIST[INVESTOR CODE],0),)," ")</f>
        <v xml:space="preserve"> </v>
      </c>
      <c r="I11510" s="223"/>
      <c r="J11510" s="224" t="s">
        <v>961</v>
      </c>
      <c r="K11510" s="225">
        <v>1712520.1</v>
      </c>
      <c r="L11510" s="225"/>
    </row>
    <row r="11511" spans="1:14" ht="11.25" customHeight="1" x14ac:dyDescent="0.2">
      <c r="A11511" s="226">
        <v>2026</v>
      </c>
      <c r="B11511" s="226">
        <v>2</v>
      </c>
      <c r="C11511" s="226">
        <v>10</v>
      </c>
      <c r="D11511" s="232">
        <f t="shared" si="1277"/>
        <v>46063</v>
      </c>
      <c r="E11511" s="234">
        <f t="shared" si="1280"/>
        <v>46063</v>
      </c>
      <c r="F11511" s="479"/>
      <c r="G11511" s="227" t="s">
        <v>1111</v>
      </c>
      <c r="H11511" s="228" t="str" cm="1">
        <f t="array" ref="H11511">IFERROR(INDEX(INVESTOR_LIST[INVESTOR NAME],MATCH(I11511,INVESTOR_LIST[INVESTOR CODE],0),)," ")</f>
        <v xml:space="preserve"> </v>
      </c>
      <c r="I11511" s="228"/>
      <c r="J11511" s="229" t="s">
        <v>55</v>
      </c>
      <c r="K11511" s="230"/>
      <c r="L11511" s="230">
        <f>K11510</f>
        <v>1712520.1</v>
      </c>
    </row>
    <row r="11512" spans="1:14" ht="11.25" customHeight="1" x14ac:dyDescent="0.2">
      <c r="A11512" s="221">
        <v>2026</v>
      </c>
      <c r="B11512" s="221">
        <v>2</v>
      </c>
      <c r="C11512" s="221">
        <v>10</v>
      </c>
      <c r="D11512" s="231">
        <f t="shared" si="1277"/>
        <v>46063</v>
      </c>
      <c r="E11512" s="233">
        <f t="shared" si="1280"/>
        <v>46063</v>
      </c>
      <c r="F11512" s="478" t="s">
        <v>1984</v>
      </c>
      <c r="G11512" s="222" t="s">
        <v>1111</v>
      </c>
      <c r="H11512" s="223" t="str" cm="1">
        <f t="array" ref="H11512">IFERROR(INDEX(INVESTOR_LIST[INVESTOR NAME],MATCH(I11512,INVESTOR_LIST[INVESTOR CODE],0),)," ")</f>
        <v xml:space="preserve"> </v>
      </c>
      <c r="I11512" s="223"/>
      <c r="J11512" s="224" t="s">
        <v>961</v>
      </c>
      <c r="K11512" s="225">
        <v>48887.839999999997</v>
      </c>
      <c r="L11512" s="225"/>
    </row>
    <row r="11513" spans="1:14" ht="11.25" customHeight="1" x14ac:dyDescent="0.2">
      <c r="A11513" s="226">
        <v>2026</v>
      </c>
      <c r="B11513" s="226">
        <v>2</v>
      </c>
      <c r="C11513" s="226">
        <v>10</v>
      </c>
      <c r="D11513" s="232">
        <f t="shared" si="1277"/>
        <v>46063</v>
      </c>
      <c r="E11513" s="234">
        <f t="shared" si="1280"/>
        <v>46063</v>
      </c>
      <c r="F11513" s="479"/>
      <c r="G11513" s="227" t="s">
        <v>1111</v>
      </c>
      <c r="H11513" s="228" t="str" cm="1">
        <f t="array" ref="H11513">IFERROR(INDEX(INVESTOR_LIST[INVESTOR NAME],MATCH(I11513,INVESTOR_LIST[INVESTOR CODE],0),)," ")</f>
        <v xml:space="preserve"> </v>
      </c>
      <c r="I11513" s="228"/>
      <c r="J11513" s="229" t="s">
        <v>55</v>
      </c>
      <c r="K11513" s="230"/>
      <c r="L11513" s="230">
        <f>K11512</f>
        <v>48887.839999999997</v>
      </c>
    </row>
    <row r="11514" spans="1:14" ht="11.25" customHeight="1" x14ac:dyDescent="0.2">
      <c r="A11514" s="221">
        <v>2026</v>
      </c>
      <c r="B11514" s="221">
        <v>2</v>
      </c>
      <c r="C11514" s="221">
        <v>10</v>
      </c>
      <c r="D11514" s="231">
        <f t="shared" si="1277"/>
        <v>46063</v>
      </c>
      <c r="E11514" s="233">
        <f t="shared" ref="E11514:E11540" si="1281">DATE(A11514,B11514,C11514)</f>
        <v>46063</v>
      </c>
      <c r="F11514" s="478" t="s">
        <v>1985</v>
      </c>
      <c r="G11514" s="222" t="s">
        <v>1111</v>
      </c>
      <c r="H11514" s="223"/>
      <c r="I11514" s="223"/>
      <c r="J11514" s="224" t="s">
        <v>55</v>
      </c>
      <c r="K11514" s="225">
        <v>1603825.89</v>
      </c>
      <c r="L11514" s="225"/>
    </row>
    <row r="11515" spans="1:14" ht="11.25" customHeight="1" x14ac:dyDescent="0.2">
      <c r="A11515" s="226">
        <v>2026</v>
      </c>
      <c r="B11515" s="226">
        <v>2</v>
      </c>
      <c r="C11515" s="226">
        <v>10</v>
      </c>
      <c r="D11515" s="232">
        <f t="shared" si="1277"/>
        <v>46063</v>
      </c>
      <c r="E11515" s="234">
        <f t="shared" si="1281"/>
        <v>46063</v>
      </c>
      <c r="F11515" s="479"/>
      <c r="G11515" s="227" t="s">
        <v>1111</v>
      </c>
      <c r="H11515" s="228"/>
      <c r="I11515" s="228"/>
      <c r="J11515" s="229" t="s">
        <v>199</v>
      </c>
      <c r="K11515" s="230"/>
      <c r="L11515" s="230">
        <f>K11514</f>
        <v>1603825.89</v>
      </c>
    </row>
    <row r="11516" spans="1:14" ht="11.25" customHeight="1" x14ac:dyDescent="0.2">
      <c r="A11516" s="221">
        <v>2026</v>
      </c>
      <c r="B11516" s="221">
        <v>2</v>
      </c>
      <c r="C11516" s="221">
        <v>10</v>
      </c>
      <c r="D11516" s="231">
        <f t="shared" si="1277"/>
        <v>46063</v>
      </c>
      <c r="E11516" s="233">
        <f t="shared" si="1281"/>
        <v>46063</v>
      </c>
      <c r="F11516" s="478" t="s">
        <v>1670</v>
      </c>
      <c r="G11516" s="222" t="s">
        <v>1111</v>
      </c>
      <c r="H11516" s="223"/>
      <c r="I11516" s="223"/>
      <c r="J11516" s="224" t="s">
        <v>63</v>
      </c>
      <c r="K11516" s="225">
        <v>200</v>
      </c>
      <c r="L11516" s="225"/>
    </row>
    <row r="11517" spans="1:14" ht="11.25" customHeight="1" x14ac:dyDescent="0.2">
      <c r="A11517" s="226">
        <v>2026</v>
      </c>
      <c r="B11517" s="226">
        <v>2</v>
      </c>
      <c r="C11517" s="226">
        <v>10</v>
      </c>
      <c r="D11517" s="232">
        <f t="shared" si="1277"/>
        <v>46063</v>
      </c>
      <c r="E11517" s="234">
        <f t="shared" si="1281"/>
        <v>46063</v>
      </c>
      <c r="F11517" s="479"/>
      <c r="G11517" s="227" t="s">
        <v>1111</v>
      </c>
      <c r="H11517" s="228"/>
      <c r="I11517" s="228"/>
      <c r="J11517" s="229" t="s">
        <v>55</v>
      </c>
      <c r="K11517" s="230"/>
      <c r="L11517" s="230">
        <f>K11516</f>
        <v>200</v>
      </c>
    </row>
    <row r="11518" spans="1:14" ht="11.25" customHeight="1" x14ac:dyDescent="0.2">
      <c r="A11518" s="221">
        <v>2026</v>
      </c>
      <c r="B11518" s="221">
        <v>2</v>
      </c>
      <c r="C11518" s="221">
        <v>10</v>
      </c>
      <c r="D11518" s="221">
        <f t="shared" si="1277"/>
        <v>46063</v>
      </c>
      <c r="E11518" s="233">
        <f t="shared" si="1281"/>
        <v>46063</v>
      </c>
      <c r="F11518" s="478" t="s">
        <v>1937</v>
      </c>
      <c r="G11518" s="222" t="s">
        <v>86</v>
      </c>
      <c r="H11518" s="222"/>
      <c r="I11518" s="223"/>
      <c r="J11518" s="224" t="s">
        <v>80</v>
      </c>
      <c r="K11518" s="225">
        <v>3670813.5</v>
      </c>
      <c r="L11518" s="225"/>
      <c r="N11518" s="263"/>
    </row>
    <row r="11519" spans="1:14" ht="11.25" customHeight="1" x14ac:dyDescent="0.2">
      <c r="A11519" s="164">
        <v>2026</v>
      </c>
      <c r="B11519" s="164">
        <v>2</v>
      </c>
      <c r="C11519" s="164">
        <v>10</v>
      </c>
      <c r="D11519" s="164">
        <f t="shared" si="1277"/>
        <v>46063</v>
      </c>
      <c r="E11519" s="235">
        <f t="shared" si="1281"/>
        <v>46063</v>
      </c>
      <c r="F11519" s="480"/>
      <c r="G11519" s="208" t="s">
        <v>86</v>
      </c>
      <c r="H11519" s="208"/>
      <c r="J11519" s="165" t="s">
        <v>960</v>
      </c>
      <c r="K11519" s="205">
        <v>20528.89</v>
      </c>
      <c r="L11519" s="205"/>
      <c r="M11519" s="263"/>
      <c r="N11519" s="263"/>
    </row>
    <row r="11520" spans="1:14" ht="11.25" customHeight="1" x14ac:dyDescent="0.2">
      <c r="A11520" s="164">
        <v>2026</v>
      </c>
      <c r="B11520" s="164">
        <v>2</v>
      </c>
      <c r="C11520" s="164">
        <v>10</v>
      </c>
      <c r="D11520" s="164">
        <f t="shared" si="1277"/>
        <v>46063</v>
      </c>
      <c r="E11520" s="235">
        <f t="shared" si="1281"/>
        <v>46063</v>
      </c>
      <c r="F11520" s="480"/>
      <c r="G11520" s="208" t="s">
        <v>86</v>
      </c>
      <c r="H11520" s="208"/>
      <c r="J11520" s="165" t="s">
        <v>199</v>
      </c>
      <c r="K11520" s="263">
        <v>4042780.91</v>
      </c>
      <c r="L11520" s="205"/>
      <c r="M11520" s="263"/>
      <c r="N11520" s="263"/>
    </row>
    <row r="11521" spans="1:14" ht="11.25" customHeight="1" x14ac:dyDescent="0.2">
      <c r="A11521" s="164">
        <v>2026</v>
      </c>
      <c r="B11521" s="164">
        <v>2</v>
      </c>
      <c r="C11521" s="164">
        <v>10</v>
      </c>
      <c r="D11521" s="164">
        <f t="shared" si="1277"/>
        <v>46063</v>
      </c>
      <c r="E11521" s="235">
        <f t="shared" si="1281"/>
        <v>46063</v>
      </c>
      <c r="F11521" s="480"/>
      <c r="G11521" s="208" t="s">
        <v>86</v>
      </c>
      <c r="H11521" s="208"/>
      <c r="J11521" s="165" t="s">
        <v>200</v>
      </c>
      <c r="K11521" s="205"/>
      <c r="L11521" s="205">
        <v>956853.06</v>
      </c>
      <c r="M11521" s="263"/>
      <c r="N11521" s="263"/>
    </row>
    <row r="11522" spans="1:14" ht="11.25" customHeight="1" x14ac:dyDescent="0.2">
      <c r="A11522" s="226">
        <v>2026</v>
      </c>
      <c r="B11522" s="226">
        <v>2</v>
      </c>
      <c r="C11522" s="226">
        <v>10</v>
      </c>
      <c r="D11522" s="226">
        <f t="shared" si="1277"/>
        <v>46063</v>
      </c>
      <c r="E11522" s="234">
        <f t="shared" si="1281"/>
        <v>46063</v>
      </c>
      <c r="F11522" s="479"/>
      <c r="G11522" s="227" t="s">
        <v>86</v>
      </c>
      <c r="H11522" s="228"/>
      <c r="I11522" s="228"/>
      <c r="J11522" s="229" t="s">
        <v>80</v>
      </c>
      <c r="K11522" s="230"/>
      <c r="L11522" s="230">
        <v>6777270.2400000002</v>
      </c>
      <c r="M11522" s="263"/>
      <c r="N11522" s="263"/>
    </row>
    <row r="11523" spans="1:14" ht="11.25" customHeight="1" x14ac:dyDescent="0.2">
      <c r="A11523" s="221">
        <v>2026</v>
      </c>
      <c r="B11523" s="221">
        <v>2</v>
      </c>
      <c r="C11523" s="221">
        <v>10</v>
      </c>
      <c r="D11523" s="221">
        <f t="shared" si="1277"/>
        <v>46063</v>
      </c>
      <c r="E11523" s="233">
        <f t="shared" si="1281"/>
        <v>46063</v>
      </c>
      <c r="F11523" s="478" t="s">
        <v>1986</v>
      </c>
      <c r="G11523" s="222" t="s">
        <v>86</v>
      </c>
      <c r="H11523" s="222"/>
      <c r="I11523" s="223"/>
      <c r="J11523" s="224" t="s">
        <v>199</v>
      </c>
      <c r="K11523" s="225">
        <v>171690.4</v>
      </c>
      <c r="L11523" s="225"/>
      <c r="M11523" s="263"/>
      <c r="N11523" s="263"/>
    </row>
    <row r="11524" spans="1:14" ht="11.25" customHeight="1" x14ac:dyDescent="0.2">
      <c r="A11524" s="164">
        <v>2026</v>
      </c>
      <c r="B11524" s="164">
        <v>2</v>
      </c>
      <c r="C11524" s="164">
        <v>10</v>
      </c>
      <c r="D11524" s="164">
        <f t="shared" si="1277"/>
        <v>46063</v>
      </c>
      <c r="E11524" s="235">
        <f t="shared" si="1281"/>
        <v>46063</v>
      </c>
      <c r="F11524" s="480"/>
      <c r="G11524" s="208" t="s">
        <v>86</v>
      </c>
      <c r="H11524" s="208"/>
      <c r="J11524" s="165" t="s">
        <v>960</v>
      </c>
      <c r="K11524" s="205">
        <v>309.60000000000002</v>
      </c>
      <c r="L11524" s="205"/>
      <c r="M11524" s="263"/>
      <c r="N11524" s="263"/>
    </row>
    <row r="11525" spans="1:14" ht="11.25" customHeight="1" x14ac:dyDescent="0.2">
      <c r="A11525" s="164">
        <v>2026</v>
      </c>
      <c r="B11525" s="164">
        <v>2</v>
      </c>
      <c r="C11525" s="164">
        <v>10</v>
      </c>
      <c r="D11525" s="164">
        <f t="shared" si="1277"/>
        <v>46063</v>
      </c>
      <c r="E11525" s="235">
        <f t="shared" si="1281"/>
        <v>46063</v>
      </c>
      <c r="F11525" s="480"/>
      <c r="G11525" s="208" t="s">
        <v>86</v>
      </c>
      <c r="H11525" s="208"/>
      <c r="J11525" s="165" t="s">
        <v>200</v>
      </c>
      <c r="K11525" s="205"/>
      <c r="L11525" s="205">
        <v>30690.12</v>
      </c>
      <c r="M11525" s="263"/>
      <c r="N11525" s="263"/>
    </row>
    <row r="11526" spans="1:14" ht="11.25" customHeight="1" x14ac:dyDescent="0.2">
      <c r="A11526" s="226">
        <v>2026</v>
      </c>
      <c r="B11526" s="226">
        <v>2</v>
      </c>
      <c r="C11526" s="226">
        <v>10</v>
      </c>
      <c r="D11526" s="226">
        <f t="shared" si="1277"/>
        <v>46063</v>
      </c>
      <c r="E11526" s="234">
        <f t="shared" si="1281"/>
        <v>46063</v>
      </c>
      <c r="F11526" s="479"/>
      <c r="G11526" s="227" t="s">
        <v>86</v>
      </c>
      <c r="H11526" s="228"/>
      <c r="I11526" s="228"/>
      <c r="J11526" s="229" t="s">
        <v>80</v>
      </c>
      <c r="K11526" s="230"/>
      <c r="L11526" s="230">
        <v>141309.88</v>
      </c>
      <c r="M11526" s="263"/>
      <c r="N11526" s="263"/>
    </row>
    <row r="11527" spans="1:14" ht="11.25" customHeight="1" x14ac:dyDescent="0.2">
      <c r="A11527" s="280">
        <v>2026</v>
      </c>
      <c r="B11527" s="280">
        <v>2</v>
      </c>
      <c r="C11527" s="280">
        <v>10</v>
      </c>
      <c r="D11527" s="281">
        <f t="shared" si="1277"/>
        <v>46063</v>
      </c>
      <c r="E11527" s="282">
        <f t="shared" si="1281"/>
        <v>46063</v>
      </c>
      <c r="F11527" s="472" t="s">
        <v>1584</v>
      </c>
      <c r="G11527" s="283" t="s">
        <v>86</v>
      </c>
      <c r="H11527" s="284"/>
      <c r="I11527" s="284"/>
      <c r="J11527" s="285" t="s">
        <v>131</v>
      </c>
      <c r="K11527" s="286">
        <v>1277.7777777777778</v>
      </c>
      <c r="L11527" s="286"/>
      <c r="M11527" s="401"/>
      <c r="N11527" s="166"/>
    </row>
    <row r="11528" spans="1:14" ht="11.25" customHeight="1" x14ac:dyDescent="0.2">
      <c r="A11528" s="287">
        <v>2026</v>
      </c>
      <c r="B11528" s="287">
        <v>2</v>
      </c>
      <c r="C11528" s="287">
        <v>10</v>
      </c>
      <c r="D11528" s="288">
        <f t="shared" si="1277"/>
        <v>46063</v>
      </c>
      <c r="E11528" s="289">
        <f t="shared" si="1281"/>
        <v>46063</v>
      </c>
      <c r="F11528" s="473"/>
      <c r="G11528" s="290" t="s">
        <v>86</v>
      </c>
      <c r="H11528" s="291"/>
      <c r="I11528" s="291"/>
      <c r="J11528" s="292" t="s">
        <v>1469</v>
      </c>
      <c r="K11528" s="293"/>
      <c r="L11528" s="293">
        <f>K11527</f>
        <v>1277.7777777777778</v>
      </c>
    </row>
    <row r="11529" spans="1:14" ht="11.25" customHeight="1" x14ac:dyDescent="0.2">
      <c r="A11529" s="280">
        <v>2026</v>
      </c>
      <c r="B11529" s="280">
        <v>2</v>
      </c>
      <c r="C11529" s="280">
        <v>10</v>
      </c>
      <c r="D11529" s="281">
        <f t="shared" si="1277"/>
        <v>46063</v>
      </c>
      <c r="E11529" s="282">
        <f t="shared" si="1281"/>
        <v>46063</v>
      </c>
      <c r="F11529" s="472" t="s">
        <v>1955</v>
      </c>
      <c r="G11529" s="283" t="s">
        <v>86</v>
      </c>
      <c r="H11529" s="284"/>
      <c r="I11529" s="284"/>
      <c r="J11529" s="285" t="s">
        <v>1978</v>
      </c>
      <c r="K11529" s="286">
        <v>6185.4395604395604</v>
      </c>
      <c r="L11529" s="286"/>
      <c r="M11529" s="401"/>
    </row>
    <row r="11530" spans="1:14" ht="11.25" customHeight="1" x14ac:dyDescent="0.2">
      <c r="A11530" s="287">
        <v>2026</v>
      </c>
      <c r="B11530" s="287">
        <v>2</v>
      </c>
      <c r="C11530" s="287">
        <v>10</v>
      </c>
      <c r="D11530" s="288">
        <f t="shared" si="1277"/>
        <v>46063</v>
      </c>
      <c r="E11530" s="289">
        <f t="shared" si="1281"/>
        <v>46063</v>
      </c>
      <c r="F11530" s="473"/>
      <c r="G11530" s="290" t="s">
        <v>86</v>
      </c>
      <c r="H11530" s="291"/>
      <c r="I11530" s="291"/>
      <c r="J11530" s="292" t="s">
        <v>1955</v>
      </c>
      <c r="K11530" s="293"/>
      <c r="L11530" s="293">
        <f>K11529</f>
        <v>6185.4395604395604</v>
      </c>
    </row>
    <row r="11531" spans="1:14" ht="11.25" customHeight="1" x14ac:dyDescent="0.2">
      <c r="A11531" s="341">
        <v>2026</v>
      </c>
      <c r="B11531" s="341">
        <v>2</v>
      </c>
      <c r="C11531" s="341">
        <v>10</v>
      </c>
      <c r="D11531" s="328">
        <f t="shared" si="1277"/>
        <v>46063</v>
      </c>
      <c r="E11531" s="329">
        <f t="shared" si="1281"/>
        <v>46063</v>
      </c>
      <c r="F11531" s="474" t="s">
        <v>1767</v>
      </c>
      <c r="G11531" s="330" t="s">
        <v>86</v>
      </c>
      <c r="H11531" s="332"/>
      <c r="I11531" s="332"/>
      <c r="J11531" s="342" t="s">
        <v>67</v>
      </c>
      <c r="K11531" s="343">
        <v>599.82120708333309</v>
      </c>
      <c r="L11531" s="343"/>
      <c r="M11531" s="166"/>
    </row>
    <row r="11532" spans="1:14" ht="11.25" customHeight="1" x14ac:dyDescent="0.2">
      <c r="A11532" s="344">
        <v>2026</v>
      </c>
      <c r="B11532" s="344">
        <v>2</v>
      </c>
      <c r="C11532" s="344">
        <v>10</v>
      </c>
      <c r="D11532" s="337">
        <f t="shared" si="1277"/>
        <v>46063</v>
      </c>
      <c r="E11532" s="338">
        <f t="shared" si="1281"/>
        <v>46063</v>
      </c>
      <c r="F11532" s="475"/>
      <c r="G11532" s="339" t="s">
        <v>86</v>
      </c>
      <c r="H11532" s="340"/>
      <c r="I11532" s="340"/>
      <c r="J11532" s="345" t="s">
        <v>1974</v>
      </c>
      <c r="K11532" s="346"/>
      <c r="L11532" s="346">
        <f>K11531</f>
        <v>599.82120708333309</v>
      </c>
    </row>
    <row r="11533" spans="1:14" ht="11.25" customHeight="1" x14ac:dyDescent="0.2">
      <c r="A11533" s="236">
        <v>2026</v>
      </c>
      <c r="B11533" s="236">
        <v>2</v>
      </c>
      <c r="C11533" s="236">
        <v>10</v>
      </c>
      <c r="D11533" s="237">
        <f t="shared" si="1277"/>
        <v>46063</v>
      </c>
      <c r="E11533" s="238">
        <f t="shared" si="1281"/>
        <v>46063</v>
      </c>
      <c r="F11533" s="476" t="s">
        <v>1118</v>
      </c>
      <c r="G11533" s="239" t="s">
        <v>86</v>
      </c>
      <c r="H11533" s="239"/>
      <c r="I11533" s="240"/>
      <c r="J11533" s="241" t="s">
        <v>98</v>
      </c>
      <c r="K11533" s="242">
        <v>2763727.5</v>
      </c>
      <c r="L11533" s="242"/>
      <c r="M11533" s="166"/>
    </row>
    <row r="11534" spans="1:14" ht="11.25" customHeight="1" x14ac:dyDescent="0.2">
      <c r="A11534" s="243">
        <v>2026</v>
      </c>
      <c r="B11534" s="243">
        <v>2</v>
      </c>
      <c r="C11534" s="243">
        <v>10</v>
      </c>
      <c r="D11534" s="248">
        <f t="shared" si="1277"/>
        <v>46063</v>
      </c>
      <c r="E11534" s="249">
        <f t="shared" si="1281"/>
        <v>46063</v>
      </c>
      <c r="F11534" s="477"/>
      <c r="G11534" s="244" t="s">
        <v>86</v>
      </c>
      <c r="H11534" s="244"/>
      <c r="I11534" s="245"/>
      <c r="J11534" s="246" t="s">
        <v>82</v>
      </c>
      <c r="K11534" s="247"/>
      <c r="L11534" s="247">
        <f>K11533</f>
        <v>2763727.5</v>
      </c>
    </row>
    <row r="11535" spans="1:14" ht="11.25" customHeight="1" x14ac:dyDescent="0.2">
      <c r="A11535" s="236">
        <v>2026</v>
      </c>
      <c r="B11535" s="236">
        <v>2</v>
      </c>
      <c r="C11535" s="236">
        <v>10</v>
      </c>
      <c r="D11535" s="237">
        <f t="shared" si="1277"/>
        <v>46063</v>
      </c>
      <c r="E11535" s="238">
        <f t="shared" si="1281"/>
        <v>46063</v>
      </c>
      <c r="F11535" s="476" t="s">
        <v>1999</v>
      </c>
      <c r="G11535" s="239" t="s">
        <v>86</v>
      </c>
      <c r="H11535" s="239"/>
      <c r="I11535" s="240"/>
      <c r="J11535" s="241" t="s">
        <v>87</v>
      </c>
      <c r="K11535" s="242">
        <v>392.46467817896388</v>
      </c>
      <c r="L11535" s="242"/>
      <c r="M11535" s="401"/>
    </row>
    <row r="11536" spans="1:14" ht="11.25" customHeight="1" x14ac:dyDescent="0.2">
      <c r="A11536" s="243">
        <v>2026</v>
      </c>
      <c r="B11536" s="243">
        <v>2</v>
      </c>
      <c r="C11536" s="243">
        <v>10</v>
      </c>
      <c r="D11536" s="248">
        <f t="shared" si="1277"/>
        <v>46063</v>
      </c>
      <c r="E11536" s="249">
        <f t="shared" si="1281"/>
        <v>46063</v>
      </c>
      <c r="F11536" s="477"/>
      <c r="G11536" s="244" t="s">
        <v>86</v>
      </c>
      <c r="H11536" s="244"/>
      <c r="I11536" s="245"/>
      <c r="J11536" s="246" t="s">
        <v>64</v>
      </c>
      <c r="K11536" s="247"/>
      <c r="L11536" s="247">
        <f>K11535</f>
        <v>392.46467817896388</v>
      </c>
    </row>
    <row r="11537" spans="1:14" ht="11.25" customHeight="1" x14ac:dyDescent="0.2">
      <c r="A11537" s="236">
        <v>2026</v>
      </c>
      <c r="B11537" s="236">
        <v>2</v>
      </c>
      <c r="C11537" s="236">
        <v>10</v>
      </c>
      <c r="D11537" s="237">
        <f t="shared" si="1277"/>
        <v>46063</v>
      </c>
      <c r="E11537" s="238">
        <f t="shared" si="1281"/>
        <v>46063</v>
      </c>
      <c r="F11537" s="476" t="s">
        <v>2000</v>
      </c>
      <c r="G11537" s="239" t="s">
        <v>86</v>
      </c>
      <c r="H11537" s="239"/>
      <c r="I11537" s="240"/>
      <c r="J11537" s="241" t="s">
        <v>89</v>
      </c>
      <c r="K11537" s="242">
        <v>15124.442038559007</v>
      </c>
      <c r="L11537" s="242"/>
      <c r="M11537" s="448"/>
    </row>
    <row r="11538" spans="1:14" ht="11.25" customHeight="1" x14ac:dyDescent="0.2">
      <c r="A11538" s="243">
        <v>2026</v>
      </c>
      <c r="B11538" s="243">
        <v>2</v>
      </c>
      <c r="C11538" s="243">
        <v>10</v>
      </c>
      <c r="D11538" s="248">
        <f t="shared" si="1277"/>
        <v>46063</v>
      </c>
      <c r="E11538" s="249">
        <f t="shared" si="1281"/>
        <v>46063</v>
      </c>
      <c r="F11538" s="477"/>
      <c r="G11538" s="244" t="s">
        <v>86</v>
      </c>
      <c r="H11538" s="244"/>
      <c r="I11538" s="245"/>
      <c r="J11538" s="246" t="s">
        <v>50</v>
      </c>
      <c r="K11538" s="247"/>
      <c r="L11538" s="247">
        <f>K11537</f>
        <v>15124.442038559007</v>
      </c>
      <c r="M11538" s="448"/>
    </row>
    <row r="11539" spans="1:14" ht="11.25" customHeight="1" x14ac:dyDescent="0.2">
      <c r="A11539" s="236">
        <v>2026</v>
      </c>
      <c r="B11539" s="236">
        <v>2</v>
      </c>
      <c r="C11539" s="236">
        <v>10</v>
      </c>
      <c r="D11539" s="237">
        <f t="shared" ref="D11539:D11606" si="1282">DATE(A11539,B11539,C11539)</f>
        <v>46063</v>
      </c>
      <c r="E11539" s="238">
        <f t="shared" si="1281"/>
        <v>46063</v>
      </c>
      <c r="F11539" s="476" t="s">
        <v>2001</v>
      </c>
      <c r="G11539" s="239" t="s">
        <v>86</v>
      </c>
      <c r="H11539" s="239"/>
      <c r="I11539" s="240"/>
      <c r="J11539" s="241" t="s">
        <v>91</v>
      </c>
      <c r="K11539" s="242">
        <v>733.52931051371797</v>
      </c>
      <c r="L11539" s="242"/>
    </row>
    <row r="11540" spans="1:14" ht="11.25" customHeight="1" x14ac:dyDescent="0.2">
      <c r="A11540" s="243">
        <v>2026</v>
      </c>
      <c r="B11540" s="243">
        <v>2</v>
      </c>
      <c r="C11540" s="243">
        <v>10</v>
      </c>
      <c r="D11540" s="248">
        <f t="shared" si="1282"/>
        <v>46063</v>
      </c>
      <c r="E11540" s="249">
        <f t="shared" si="1281"/>
        <v>46063</v>
      </c>
      <c r="F11540" s="477"/>
      <c r="G11540" s="244" t="s">
        <v>86</v>
      </c>
      <c r="H11540" s="244"/>
      <c r="I11540" s="245"/>
      <c r="J11540" s="246" t="s">
        <v>51</v>
      </c>
      <c r="K11540" s="247"/>
      <c r="L11540" s="247">
        <f>K11539</f>
        <v>733.52931051371797</v>
      </c>
    </row>
    <row r="11541" spans="1:14" ht="11.25" customHeight="1" x14ac:dyDescent="0.2">
      <c r="A11541" s="221">
        <v>2026</v>
      </c>
      <c r="B11541" s="221">
        <v>2</v>
      </c>
      <c r="C11541" s="221">
        <v>15</v>
      </c>
      <c r="D11541" s="221">
        <f t="shared" si="1282"/>
        <v>46068</v>
      </c>
      <c r="E11541" s="233">
        <f t="shared" ref="E11541:E11556" si="1283">DATE(A11541,B11541,C11541)</f>
        <v>46068</v>
      </c>
      <c r="F11541" s="478" t="s">
        <v>1937</v>
      </c>
      <c r="G11541" s="222" t="s">
        <v>86</v>
      </c>
      <c r="H11541" s="222"/>
      <c r="I11541" s="223"/>
      <c r="J11541" s="224" t="s">
        <v>80</v>
      </c>
      <c r="K11541" s="225">
        <v>6752814.7000000002</v>
      </c>
      <c r="L11541" s="225"/>
      <c r="N11541" s="263"/>
    </row>
    <row r="11542" spans="1:14" ht="11.25" customHeight="1" x14ac:dyDescent="0.2">
      <c r="A11542" s="164">
        <v>2026</v>
      </c>
      <c r="B11542" s="164">
        <v>2</v>
      </c>
      <c r="C11542" s="164">
        <v>15</v>
      </c>
      <c r="D11542" s="164">
        <f t="shared" si="1282"/>
        <v>46068</v>
      </c>
      <c r="E11542" s="235">
        <f t="shared" si="1283"/>
        <v>46068</v>
      </c>
      <c r="F11542" s="480"/>
      <c r="G11542" s="208" t="s">
        <v>86</v>
      </c>
      <c r="H11542" s="208"/>
      <c r="J11542" s="165" t="s">
        <v>960</v>
      </c>
      <c r="K11542" s="205">
        <v>17080.314999999999</v>
      </c>
      <c r="L11542" s="205"/>
      <c r="M11542" s="263"/>
      <c r="N11542" s="263"/>
    </row>
    <row r="11543" spans="1:14" ht="11.25" customHeight="1" x14ac:dyDescent="0.2">
      <c r="A11543" s="164">
        <v>2026</v>
      </c>
      <c r="B11543" s="164">
        <v>2</v>
      </c>
      <c r="C11543" s="164">
        <v>15</v>
      </c>
      <c r="D11543" s="164">
        <f t="shared" si="1282"/>
        <v>46068</v>
      </c>
      <c r="E11543" s="235">
        <f t="shared" si="1283"/>
        <v>46068</v>
      </c>
      <c r="F11543" s="480"/>
      <c r="G11543" s="208" t="s">
        <v>86</v>
      </c>
      <c r="H11543" s="208"/>
      <c r="J11543" s="165" t="s">
        <v>143</v>
      </c>
      <c r="K11543" s="263"/>
      <c r="L11543" s="205">
        <v>4033645.02</v>
      </c>
      <c r="M11543" s="263"/>
      <c r="N11543" s="263"/>
    </row>
    <row r="11544" spans="1:14" ht="11.25" customHeight="1" x14ac:dyDescent="0.2">
      <c r="A11544" s="164">
        <v>2026</v>
      </c>
      <c r="B11544" s="164">
        <v>2</v>
      </c>
      <c r="C11544" s="164">
        <v>15</v>
      </c>
      <c r="D11544" s="164">
        <f t="shared" si="1282"/>
        <v>46068</v>
      </c>
      <c r="E11544" s="235">
        <f t="shared" si="1283"/>
        <v>46068</v>
      </c>
      <c r="F11544" s="480"/>
      <c r="G11544" s="208" t="s">
        <v>86</v>
      </c>
      <c r="H11544" s="208"/>
      <c r="J11544" s="165" t="s">
        <v>200</v>
      </c>
      <c r="K11544" s="205"/>
      <c r="L11544" s="205">
        <v>563076.15</v>
      </c>
      <c r="M11544" s="263"/>
      <c r="N11544" s="263"/>
    </row>
    <row r="11545" spans="1:14" ht="11.25" customHeight="1" x14ac:dyDescent="0.2">
      <c r="A11545" s="226">
        <v>2026</v>
      </c>
      <c r="B11545" s="226">
        <v>2</v>
      </c>
      <c r="C11545" s="226">
        <v>15</v>
      </c>
      <c r="D11545" s="226">
        <f t="shared" si="1282"/>
        <v>46068</v>
      </c>
      <c r="E11545" s="234">
        <f t="shared" si="1283"/>
        <v>46068</v>
      </c>
      <c r="F11545" s="479"/>
      <c r="G11545" s="227" t="s">
        <v>86</v>
      </c>
      <c r="H11545" s="228"/>
      <c r="I11545" s="228"/>
      <c r="J11545" s="229" t="s">
        <v>80</v>
      </c>
      <c r="K11545" s="230"/>
      <c r="L11545" s="230">
        <v>2173173.85</v>
      </c>
      <c r="M11545" s="263"/>
      <c r="N11545" s="263"/>
    </row>
    <row r="11546" spans="1:14" ht="11.25" customHeight="1" x14ac:dyDescent="0.2">
      <c r="A11546" s="221">
        <v>2026</v>
      </c>
      <c r="B11546" s="221">
        <v>2</v>
      </c>
      <c r="C11546" s="221">
        <v>15</v>
      </c>
      <c r="D11546" s="221">
        <f t="shared" si="1282"/>
        <v>46068</v>
      </c>
      <c r="E11546" s="233">
        <f t="shared" si="1283"/>
        <v>46068</v>
      </c>
      <c r="F11546" s="478" t="s">
        <v>1990</v>
      </c>
      <c r="G11546" s="222" t="s">
        <v>86</v>
      </c>
      <c r="H11546" s="222"/>
      <c r="I11546" s="223"/>
      <c r="J11546" s="224" t="s">
        <v>80</v>
      </c>
      <c r="K11546" s="225">
        <v>154500</v>
      </c>
      <c r="L11546" s="225"/>
      <c r="M11546" s="263"/>
      <c r="N11546" s="263"/>
    </row>
    <row r="11547" spans="1:14" ht="11.25" customHeight="1" x14ac:dyDescent="0.2">
      <c r="A11547" s="164">
        <v>2026</v>
      </c>
      <c r="B11547" s="164">
        <v>2</v>
      </c>
      <c r="C11547" s="164">
        <v>15</v>
      </c>
      <c r="D11547" s="164">
        <f t="shared" si="1282"/>
        <v>46068</v>
      </c>
      <c r="E11547" s="235">
        <f t="shared" si="1283"/>
        <v>46068</v>
      </c>
      <c r="F11547" s="480"/>
      <c r="G11547" s="208" t="s">
        <v>86</v>
      </c>
      <c r="H11547" s="208"/>
      <c r="J11547" s="165" t="s">
        <v>960</v>
      </c>
      <c r="K11547" s="205">
        <v>572.94000000000005</v>
      </c>
      <c r="L11547" s="205"/>
      <c r="M11547" s="263"/>
      <c r="N11547" s="263"/>
    </row>
    <row r="11548" spans="1:14" ht="11.25" customHeight="1" x14ac:dyDescent="0.2">
      <c r="A11548" s="164">
        <v>2026</v>
      </c>
      <c r="B11548" s="164">
        <v>2</v>
      </c>
      <c r="C11548" s="164">
        <v>15</v>
      </c>
      <c r="D11548" s="164">
        <f t="shared" si="1282"/>
        <v>46068</v>
      </c>
      <c r="E11548" s="235">
        <f t="shared" si="1283"/>
        <v>46068</v>
      </c>
      <c r="F11548" s="480"/>
      <c r="G11548" s="208" t="s">
        <v>86</v>
      </c>
      <c r="H11548" s="208"/>
      <c r="J11548" s="165" t="s">
        <v>199</v>
      </c>
      <c r="K11548" s="205">
        <v>8727.06</v>
      </c>
      <c r="L11548" s="205"/>
      <c r="M11548" s="263"/>
      <c r="N11548" s="263"/>
    </row>
    <row r="11549" spans="1:14" ht="11.25" customHeight="1" x14ac:dyDescent="0.2">
      <c r="A11549" s="164">
        <v>2026</v>
      </c>
      <c r="B11549" s="164">
        <v>2</v>
      </c>
      <c r="C11549" s="164">
        <v>15</v>
      </c>
      <c r="D11549" s="164">
        <f t="shared" si="1282"/>
        <v>46068</v>
      </c>
      <c r="E11549" s="235">
        <f t="shared" ref="E11549" si="1284">DATE(A11549,B11549,C11549)</f>
        <v>46068</v>
      </c>
      <c r="F11549" s="480"/>
      <c r="G11549" s="208" t="s">
        <v>86</v>
      </c>
      <c r="H11549" s="208"/>
      <c r="J11549" s="165" t="s">
        <v>200</v>
      </c>
      <c r="K11549" s="205"/>
      <c r="L11549" s="205">
        <v>45695.56</v>
      </c>
      <c r="M11549" s="263"/>
      <c r="N11549" s="263"/>
    </row>
    <row r="11550" spans="1:14" ht="11.25" customHeight="1" x14ac:dyDescent="0.2">
      <c r="A11550" s="226">
        <v>2026</v>
      </c>
      <c r="B11550" s="226">
        <v>2</v>
      </c>
      <c r="C11550" s="226">
        <v>15</v>
      </c>
      <c r="D11550" s="226">
        <f t="shared" si="1282"/>
        <v>46068</v>
      </c>
      <c r="E11550" s="234">
        <f t="shared" si="1283"/>
        <v>46068</v>
      </c>
      <c r="F11550" s="479"/>
      <c r="G11550" s="227" t="s">
        <v>86</v>
      </c>
      <c r="H11550" s="228"/>
      <c r="I11550" s="228"/>
      <c r="J11550" s="229" t="s">
        <v>80</v>
      </c>
      <c r="K11550" s="230"/>
      <c r="L11550" s="230">
        <v>118104.44</v>
      </c>
      <c r="M11550" s="263"/>
      <c r="N11550" s="263"/>
    </row>
    <row r="11551" spans="1:14" ht="11.25" customHeight="1" x14ac:dyDescent="0.2">
      <c r="A11551" s="221">
        <v>2026</v>
      </c>
      <c r="B11551" s="221">
        <v>2</v>
      </c>
      <c r="C11551" s="221">
        <v>15</v>
      </c>
      <c r="D11551" s="231">
        <f t="shared" si="1282"/>
        <v>46068</v>
      </c>
      <c r="E11551" s="233">
        <f t="shared" si="1283"/>
        <v>46068</v>
      </c>
      <c r="F11551" s="478" t="s">
        <v>1132</v>
      </c>
      <c r="G11551" s="222" t="s">
        <v>1111</v>
      </c>
      <c r="H11551" s="223"/>
      <c r="I11551" s="223"/>
      <c r="J11551" s="224" t="s">
        <v>55</v>
      </c>
      <c r="K11551" s="225">
        <v>11000</v>
      </c>
      <c r="L11551" s="225"/>
    </row>
    <row r="11552" spans="1:14" ht="11.25" customHeight="1" x14ac:dyDescent="0.2">
      <c r="A11552" s="164">
        <v>2026</v>
      </c>
      <c r="B11552" s="164">
        <v>2</v>
      </c>
      <c r="C11552" s="164">
        <v>15</v>
      </c>
      <c r="D11552" s="156">
        <f t="shared" si="1282"/>
        <v>46068</v>
      </c>
      <c r="E11552" s="235">
        <f t="shared" si="1283"/>
        <v>46068</v>
      </c>
      <c r="F11552" s="480"/>
      <c r="G11552" s="208" t="s">
        <v>1111</v>
      </c>
      <c r="J11552" s="165" t="s">
        <v>14</v>
      </c>
      <c r="K11552" s="205"/>
      <c r="L11552" s="205">
        <v>8590</v>
      </c>
    </row>
    <row r="11553" spans="1:14" ht="11.25" customHeight="1" x14ac:dyDescent="0.2">
      <c r="A11553" s="226">
        <v>2026</v>
      </c>
      <c r="B11553" s="226">
        <v>2</v>
      </c>
      <c r="C11553" s="226">
        <v>15</v>
      </c>
      <c r="D11553" s="232">
        <f t="shared" si="1282"/>
        <v>46068</v>
      </c>
      <c r="E11553" s="234">
        <f t="shared" si="1283"/>
        <v>46068</v>
      </c>
      <c r="F11553" s="479"/>
      <c r="G11553" s="227" t="s">
        <v>1111</v>
      </c>
      <c r="H11553" s="228"/>
      <c r="I11553" s="228"/>
      <c r="J11553" s="229" t="s">
        <v>1112</v>
      </c>
      <c r="K11553" s="230"/>
      <c r="L11553" s="230">
        <v>2410</v>
      </c>
      <c r="M11553" s="166"/>
    </row>
    <row r="11554" spans="1:14" ht="11.25" customHeight="1" x14ac:dyDescent="0.2">
      <c r="A11554" s="221">
        <v>2026</v>
      </c>
      <c r="B11554" s="221">
        <v>2</v>
      </c>
      <c r="C11554" s="221">
        <v>15</v>
      </c>
      <c r="D11554" s="231">
        <f t="shared" si="1282"/>
        <v>46068</v>
      </c>
      <c r="E11554" s="233">
        <f t="shared" si="1283"/>
        <v>46068</v>
      </c>
      <c r="F11554" s="478" t="s">
        <v>1115</v>
      </c>
      <c r="G11554" s="222" t="s">
        <v>1111</v>
      </c>
      <c r="H11554" s="223"/>
      <c r="I11554" s="223"/>
      <c r="J11554" s="224" t="s">
        <v>14</v>
      </c>
      <c r="K11554" s="167">
        <v>555300</v>
      </c>
      <c r="L11554" s="225"/>
    </row>
    <row r="11555" spans="1:14" ht="11.25" customHeight="1" x14ac:dyDescent="0.2">
      <c r="A11555" s="164">
        <v>2026</v>
      </c>
      <c r="B11555" s="164">
        <v>2</v>
      </c>
      <c r="C11555" s="164">
        <v>15</v>
      </c>
      <c r="D11555" s="156">
        <f t="shared" si="1282"/>
        <v>46068</v>
      </c>
      <c r="E11555" s="235">
        <f t="shared" si="1283"/>
        <v>46068</v>
      </c>
      <c r="F11555" s="480"/>
      <c r="G11555" s="208" t="s">
        <v>1111</v>
      </c>
      <c r="J11555" s="165" t="s">
        <v>1112</v>
      </c>
      <c r="K11555" s="167">
        <v>156211.54</v>
      </c>
      <c r="L11555" s="205"/>
    </row>
    <row r="11556" spans="1:14" ht="11.25" customHeight="1" x14ac:dyDescent="0.2">
      <c r="A11556" s="226">
        <v>2026</v>
      </c>
      <c r="B11556" s="226">
        <v>2</v>
      </c>
      <c r="C11556" s="226">
        <v>15</v>
      </c>
      <c r="D11556" s="232">
        <f t="shared" si="1282"/>
        <v>46068</v>
      </c>
      <c r="E11556" s="234">
        <f t="shared" si="1283"/>
        <v>46068</v>
      </c>
      <c r="F11556" s="479"/>
      <c r="G11556" s="227" t="s">
        <v>1111</v>
      </c>
      <c r="H11556" s="228"/>
      <c r="I11556" s="228"/>
      <c r="J11556" s="229" t="s">
        <v>55</v>
      </c>
      <c r="K11556" s="230"/>
      <c r="L11556" s="230">
        <v>711511.54</v>
      </c>
    </row>
    <row r="11557" spans="1:14" ht="11.25" customHeight="1" x14ac:dyDescent="0.2">
      <c r="A11557" s="221">
        <v>2026</v>
      </c>
      <c r="B11557" s="221">
        <v>2</v>
      </c>
      <c r="C11557" s="221">
        <v>15</v>
      </c>
      <c r="D11557" s="231">
        <f t="shared" si="1282"/>
        <v>46068</v>
      </c>
      <c r="E11557" s="233">
        <f t="shared" ref="E11557:E11614" si="1285">DATE(A11557,B11557,C11557)</f>
        <v>46068</v>
      </c>
      <c r="F11557" s="478" t="s">
        <v>1323</v>
      </c>
      <c r="G11557" s="222" t="s">
        <v>1111</v>
      </c>
      <c r="H11557" s="223"/>
      <c r="I11557" s="223"/>
      <c r="J11557" s="224" t="s">
        <v>55</v>
      </c>
      <c r="K11557" s="225">
        <v>7500000</v>
      </c>
      <c r="L11557" s="225"/>
    </row>
    <row r="11558" spans="1:14" ht="11.25" customHeight="1" x14ac:dyDescent="0.2">
      <c r="A11558" s="164">
        <v>2026</v>
      </c>
      <c r="B11558" s="164">
        <v>2</v>
      </c>
      <c r="C11558" s="164">
        <v>15</v>
      </c>
      <c r="D11558" s="156">
        <f t="shared" si="1282"/>
        <v>46068</v>
      </c>
      <c r="E11558" s="235">
        <f t="shared" si="1285"/>
        <v>46068</v>
      </c>
      <c r="F11558" s="480"/>
      <c r="G11558" s="208" t="s">
        <v>1111</v>
      </c>
      <c r="J11558" s="165" t="s">
        <v>14</v>
      </c>
      <c r="K11558" s="205"/>
      <c r="L11558" s="205">
        <v>5837940</v>
      </c>
    </row>
    <row r="11559" spans="1:14" ht="11.25" customHeight="1" x14ac:dyDescent="0.2">
      <c r="A11559" s="226">
        <v>2026</v>
      </c>
      <c r="B11559" s="226">
        <v>2</v>
      </c>
      <c r="C11559" s="226">
        <v>15</v>
      </c>
      <c r="D11559" s="232">
        <f t="shared" si="1282"/>
        <v>46068</v>
      </c>
      <c r="E11559" s="234">
        <f t="shared" si="1285"/>
        <v>46068</v>
      </c>
      <c r="F11559" s="479"/>
      <c r="G11559" s="227" t="s">
        <v>1111</v>
      </c>
      <c r="H11559" s="228"/>
      <c r="I11559" s="228"/>
      <c r="J11559" s="229" t="s">
        <v>1112</v>
      </c>
      <c r="K11559" s="230"/>
      <c r="L11559" s="230">
        <v>1662060</v>
      </c>
      <c r="M11559" s="166"/>
    </row>
    <row r="11560" spans="1:14" ht="11.25" customHeight="1" x14ac:dyDescent="0.2">
      <c r="A11560" s="221">
        <v>2026</v>
      </c>
      <c r="B11560" s="221">
        <v>2</v>
      </c>
      <c r="C11560" s="221">
        <v>15</v>
      </c>
      <c r="D11560" s="231">
        <f t="shared" si="1282"/>
        <v>46068</v>
      </c>
      <c r="E11560" s="233">
        <f t="shared" si="1285"/>
        <v>46068</v>
      </c>
      <c r="F11560" s="478" t="s">
        <v>1985</v>
      </c>
      <c r="G11560" s="222" t="s">
        <v>1111</v>
      </c>
      <c r="H11560" s="223"/>
      <c r="I11560" s="223"/>
      <c r="J11560" s="224" t="s">
        <v>55</v>
      </c>
      <c r="K11560" s="225">
        <v>4687686.03</v>
      </c>
      <c r="L11560" s="225"/>
    </row>
    <row r="11561" spans="1:14" ht="11.25" customHeight="1" x14ac:dyDescent="0.2">
      <c r="A11561" s="226">
        <v>2026</v>
      </c>
      <c r="B11561" s="226">
        <v>2</v>
      </c>
      <c r="C11561" s="226">
        <v>15</v>
      </c>
      <c r="D11561" s="232">
        <f t="shared" si="1282"/>
        <v>46068</v>
      </c>
      <c r="E11561" s="234">
        <f t="shared" si="1285"/>
        <v>46068</v>
      </c>
      <c r="F11561" s="479"/>
      <c r="G11561" s="227" t="s">
        <v>1111</v>
      </c>
      <c r="H11561" s="228"/>
      <c r="I11561" s="228"/>
      <c r="J11561" s="229" t="s">
        <v>199</v>
      </c>
      <c r="K11561" s="230"/>
      <c r="L11561" s="230">
        <f>K11560</f>
        <v>4687686.03</v>
      </c>
    </row>
    <row r="11562" spans="1:14" ht="11.25" customHeight="1" x14ac:dyDescent="0.2">
      <c r="A11562" s="221">
        <v>2026</v>
      </c>
      <c r="B11562" s="221">
        <v>2</v>
      </c>
      <c r="C11562" s="221">
        <v>15</v>
      </c>
      <c r="D11562" s="231">
        <f t="shared" ref="D11562:D11565" si="1286">DATE(A11562,B11562,C11562)</f>
        <v>46068</v>
      </c>
      <c r="E11562" s="233">
        <f t="shared" ref="E11562:E11565" si="1287">DATE(A11562,B11562,C11562)</f>
        <v>46068</v>
      </c>
      <c r="F11562" s="478" t="s">
        <v>1993</v>
      </c>
      <c r="G11562" s="222" t="s">
        <v>1111</v>
      </c>
      <c r="H11562" s="223"/>
      <c r="I11562" s="223"/>
      <c r="J11562" s="224" t="s">
        <v>55</v>
      </c>
      <c r="K11562" s="225">
        <v>772000</v>
      </c>
      <c r="L11562" s="225"/>
    </row>
    <row r="11563" spans="1:14" ht="11.25" customHeight="1" x14ac:dyDescent="0.2">
      <c r="A11563" s="226">
        <v>2026</v>
      </c>
      <c r="B11563" s="226">
        <v>2</v>
      </c>
      <c r="C11563" s="226">
        <v>15</v>
      </c>
      <c r="D11563" s="232">
        <f t="shared" si="1286"/>
        <v>46068</v>
      </c>
      <c r="E11563" s="234">
        <f t="shared" si="1287"/>
        <v>46068</v>
      </c>
      <c r="F11563" s="479"/>
      <c r="G11563" s="227" t="s">
        <v>1111</v>
      </c>
      <c r="H11563" s="228"/>
      <c r="I11563" s="228"/>
      <c r="J11563" s="229" t="s">
        <v>199</v>
      </c>
      <c r="K11563" s="230"/>
      <c r="L11563" s="230">
        <f>K11562</f>
        <v>772000</v>
      </c>
    </row>
    <row r="11564" spans="1:14" ht="11.25" customHeight="1" x14ac:dyDescent="0.2">
      <c r="A11564" s="221">
        <v>2026</v>
      </c>
      <c r="B11564" s="221">
        <v>2</v>
      </c>
      <c r="C11564" s="221">
        <v>15</v>
      </c>
      <c r="D11564" s="231">
        <f t="shared" si="1286"/>
        <v>46068</v>
      </c>
      <c r="E11564" s="233">
        <f t="shared" si="1287"/>
        <v>46068</v>
      </c>
      <c r="F11564" s="478" t="s">
        <v>1670</v>
      </c>
      <c r="G11564" s="222" t="s">
        <v>1111</v>
      </c>
      <c r="H11564" s="223"/>
      <c r="I11564" s="223"/>
      <c r="J11564" s="224" t="s">
        <v>63</v>
      </c>
      <c r="K11564" s="225">
        <v>25</v>
      </c>
      <c r="L11564" s="225"/>
    </row>
    <row r="11565" spans="1:14" ht="11.25" customHeight="1" x14ac:dyDescent="0.2">
      <c r="A11565" s="226">
        <v>2026</v>
      </c>
      <c r="B11565" s="226">
        <v>2</v>
      </c>
      <c r="C11565" s="226">
        <v>15</v>
      </c>
      <c r="D11565" s="232">
        <f t="shared" si="1286"/>
        <v>46068</v>
      </c>
      <c r="E11565" s="234">
        <f t="shared" si="1287"/>
        <v>46068</v>
      </c>
      <c r="F11565" s="479"/>
      <c r="G11565" s="227" t="s">
        <v>1111</v>
      </c>
      <c r="H11565" s="228"/>
      <c r="I11565" s="228"/>
      <c r="J11565" s="229" t="s">
        <v>55</v>
      </c>
      <c r="K11565" s="230"/>
      <c r="L11565" s="230">
        <f>K11564</f>
        <v>25</v>
      </c>
    </row>
    <row r="11566" spans="1:14" ht="11.25" customHeight="1" x14ac:dyDescent="0.2">
      <c r="A11566" s="280">
        <v>2026</v>
      </c>
      <c r="B11566" s="280">
        <v>2</v>
      </c>
      <c r="C11566" s="280">
        <v>15</v>
      </c>
      <c r="D11566" s="281">
        <f t="shared" si="1282"/>
        <v>46068</v>
      </c>
      <c r="E11566" s="282">
        <f t="shared" si="1285"/>
        <v>46068</v>
      </c>
      <c r="F11566" s="472" t="s">
        <v>1584</v>
      </c>
      <c r="G11566" s="283" t="s">
        <v>86</v>
      </c>
      <c r="H11566" s="284"/>
      <c r="I11566" s="284"/>
      <c r="J11566" s="285" t="s">
        <v>131</v>
      </c>
      <c r="K11566" s="286">
        <f>5*1277.77777777778</f>
        <v>6388.8888888889005</v>
      </c>
      <c r="L11566" s="286"/>
      <c r="M11566" s="401"/>
      <c r="N11566" s="166"/>
    </row>
    <row r="11567" spans="1:14" ht="11.25" customHeight="1" x14ac:dyDescent="0.2">
      <c r="A11567" s="287">
        <v>2026</v>
      </c>
      <c r="B11567" s="287">
        <v>2</v>
      </c>
      <c r="C11567" s="287">
        <v>15</v>
      </c>
      <c r="D11567" s="288">
        <f t="shared" si="1282"/>
        <v>46068</v>
      </c>
      <c r="E11567" s="289">
        <f t="shared" si="1285"/>
        <v>46068</v>
      </c>
      <c r="F11567" s="473"/>
      <c r="G11567" s="290" t="s">
        <v>86</v>
      </c>
      <c r="H11567" s="291"/>
      <c r="I11567" s="291"/>
      <c r="J11567" s="292" t="s">
        <v>1469</v>
      </c>
      <c r="K11567" s="293"/>
      <c r="L11567" s="293">
        <f>K11566</f>
        <v>6388.8888888889005</v>
      </c>
    </row>
    <row r="11568" spans="1:14" ht="11.25" customHeight="1" x14ac:dyDescent="0.2">
      <c r="A11568" s="280">
        <v>2026</v>
      </c>
      <c r="B11568" s="280">
        <v>2</v>
      </c>
      <c r="C11568" s="280">
        <v>15</v>
      </c>
      <c r="D11568" s="281">
        <f t="shared" si="1282"/>
        <v>46068</v>
      </c>
      <c r="E11568" s="282">
        <f t="shared" si="1285"/>
        <v>46068</v>
      </c>
      <c r="F11568" s="472" t="s">
        <v>1955</v>
      </c>
      <c r="G11568" s="283" t="s">
        <v>86</v>
      </c>
      <c r="H11568" s="284"/>
      <c r="I11568" s="284"/>
      <c r="J11568" s="285" t="s">
        <v>1978</v>
      </c>
      <c r="K11568" s="286">
        <f>5*6185.43956043956</f>
        <v>30927.197802197803</v>
      </c>
      <c r="L11568" s="286"/>
      <c r="M11568" s="401"/>
    </row>
    <row r="11569" spans="1:14" ht="11.25" customHeight="1" x14ac:dyDescent="0.2">
      <c r="A11569" s="287">
        <v>2026</v>
      </c>
      <c r="B11569" s="287">
        <v>2</v>
      </c>
      <c r="C11569" s="287">
        <v>15</v>
      </c>
      <c r="D11569" s="288">
        <f t="shared" si="1282"/>
        <v>46068</v>
      </c>
      <c r="E11569" s="289">
        <f t="shared" si="1285"/>
        <v>46068</v>
      </c>
      <c r="F11569" s="473"/>
      <c r="G11569" s="290" t="s">
        <v>86</v>
      </c>
      <c r="H11569" s="291"/>
      <c r="I11569" s="291"/>
      <c r="J11569" s="292" t="s">
        <v>1955</v>
      </c>
      <c r="K11569" s="293"/>
      <c r="L11569" s="293">
        <f>K11568</f>
        <v>30927.197802197803</v>
      </c>
    </row>
    <row r="11570" spans="1:14" ht="11.25" customHeight="1" x14ac:dyDescent="0.2">
      <c r="A11570" s="341">
        <v>2026</v>
      </c>
      <c r="B11570" s="341">
        <v>2</v>
      </c>
      <c r="C11570" s="341">
        <v>15</v>
      </c>
      <c r="D11570" s="328">
        <f t="shared" si="1282"/>
        <v>46068</v>
      </c>
      <c r="E11570" s="329">
        <f t="shared" si="1285"/>
        <v>46068</v>
      </c>
      <c r="F11570" s="474" t="s">
        <v>1767</v>
      </c>
      <c r="G11570" s="330" t="s">
        <v>86</v>
      </c>
      <c r="H11570" s="332"/>
      <c r="I11570" s="332"/>
      <c r="J11570" s="342" t="s">
        <v>67</v>
      </c>
      <c r="K11570" s="343">
        <v>5391.09</v>
      </c>
      <c r="L11570" s="343"/>
      <c r="M11570" s="166"/>
    </row>
    <row r="11571" spans="1:14" ht="11.25" customHeight="1" x14ac:dyDescent="0.2">
      <c r="A11571" s="344">
        <v>2026</v>
      </c>
      <c r="B11571" s="344">
        <v>2</v>
      </c>
      <c r="C11571" s="344">
        <v>15</v>
      </c>
      <c r="D11571" s="337">
        <f t="shared" si="1282"/>
        <v>46068</v>
      </c>
      <c r="E11571" s="338">
        <f t="shared" si="1285"/>
        <v>46068</v>
      </c>
      <c r="F11571" s="475"/>
      <c r="G11571" s="339" t="s">
        <v>86</v>
      </c>
      <c r="H11571" s="340"/>
      <c r="I11571" s="340"/>
      <c r="J11571" s="345" t="s">
        <v>1974</v>
      </c>
      <c r="K11571" s="346"/>
      <c r="L11571" s="346">
        <f>K11570</f>
        <v>5391.09</v>
      </c>
    </row>
    <row r="11572" spans="1:14" ht="11.25" customHeight="1" x14ac:dyDescent="0.2">
      <c r="A11572" s="236">
        <v>2026</v>
      </c>
      <c r="B11572" s="236">
        <v>2</v>
      </c>
      <c r="C11572" s="236">
        <v>15</v>
      </c>
      <c r="D11572" s="237">
        <f t="shared" si="1282"/>
        <v>46068</v>
      </c>
      <c r="E11572" s="238">
        <f t="shared" si="1285"/>
        <v>46068</v>
      </c>
      <c r="F11572" s="476" t="s">
        <v>1118</v>
      </c>
      <c r="G11572" s="239" t="s">
        <v>86</v>
      </c>
      <c r="H11572" s="239"/>
      <c r="I11572" s="240"/>
      <c r="J11572" s="241" t="s">
        <v>98</v>
      </c>
      <c r="K11572" s="242">
        <v>6565038.6099999547</v>
      </c>
      <c r="L11572" s="242"/>
      <c r="M11572" s="166"/>
    </row>
    <row r="11573" spans="1:14" ht="11.25" customHeight="1" x14ac:dyDescent="0.2">
      <c r="A11573" s="243">
        <v>2026</v>
      </c>
      <c r="B11573" s="243">
        <v>2</v>
      </c>
      <c r="C11573" s="243">
        <v>15</v>
      </c>
      <c r="D11573" s="248">
        <f t="shared" si="1282"/>
        <v>46068</v>
      </c>
      <c r="E11573" s="249">
        <f t="shared" si="1285"/>
        <v>46068</v>
      </c>
      <c r="F11573" s="477"/>
      <c r="G11573" s="244" t="s">
        <v>86</v>
      </c>
      <c r="H11573" s="244"/>
      <c r="I11573" s="245"/>
      <c r="J11573" s="246" t="s">
        <v>82</v>
      </c>
      <c r="K11573" s="247"/>
      <c r="L11573" s="247">
        <f>K11572</f>
        <v>6565038.6099999547</v>
      </c>
    </row>
    <row r="11574" spans="1:14" ht="11.25" customHeight="1" x14ac:dyDescent="0.2">
      <c r="A11574" s="236">
        <v>2026</v>
      </c>
      <c r="B11574" s="236">
        <v>2</v>
      </c>
      <c r="C11574" s="236">
        <v>15</v>
      </c>
      <c r="D11574" s="237">
        <f t="shared" si="1282"/>
        <v>46068</v>
      </c>
      <c r="E11574" s="238">
        <f t="shared" si="1285"/>
        <v>46068</v>
      </c>
      <c r="F11574" s="476" t="s">
        <v>1999</v>
      </c>
      <c r="G11574" s="239" t="s">
        <v>86</v>
      </c>
      <c r="H11574" s="239"/>
      <c r="I11574" s="240"/>
      <c r="J11574" s="241" t="s">
        <v>87</v>
      </c>
      <c r="K11574" s="242">
        <f>5*392.464678178964</f>
        <v>1962.32339089482</v>
      </c>
      <c r="L11574" s="242"/>
      <c r="M11574" s="401"/>
    </row>
    <row r="11575" spans="1:14" ht="11.25" customHeight="1" x14ac:dyDescent="0.2">
      <c r="A11575" s="243">
        <v>2026</v>
      </c>
      <c r="B11575" s="243">
        <v>2</v>
      </c>
      <c r="C11575" s="243">
        <v>15</v>
      </c>
      <c r="D11575" s="248">
        <f t="shared" si="1282"/>
        <v>46068</v>
      </c>
      <c r="E11575" s="249">
        <f t="shared" si="1285"/>
        <v>46068</v>
      </c>
      <c r="F11575" s="477"/>
      <c r="G11575" s="244" t="s">
        <v>86</v>
      </c>
      <c r="H11575" s="244"/>
      <c r="I11575" s="245"/>
      <c r="J11575" s="246" t="s">
        <v>64</v>
      </c>
      <c r="K11575" s="247"/>
      <c r="L11575" s="247">
        <f>K11574</f>
        <v>1962.32339089482</v>
      </c>
    </row>
    <row r="11576" spans="1:14" ht="11.25" customHeight="1" x14ac:dyDescent="0.2">
      <c r="A11576" s="236">
        <v>2026</v>
      </c>
      <c r="B11576" s="236">
        <v>2</v>
      </c>
      <c r="C11576" s="236">
        <v>15</v>
      </c>
      <c r="D11576" s="237">
        <f t="shared" si="1282"/>
        <v>46068</v>
      </c>
      <c r="E11576" s="238">
        <f t="shared" si="1285"/>
        <v>46068</v>
      </c>
      <c r="F11576" s="476" t="s">
        <v>2000</v>
      </c>
      <c r="G11576" s="239" t="s">
        <v>86</v>
      </c>
      <c r="H11576" s="239"/>
      <c r="I11576" s="240"/>
      <c r="J11576" s="241" t="s">
        <v>89</v>
      </c>
      <c r="K11576" s="242">
        <v>78503.844617304188</v>
      </c>
      <c r="L11576" s="242"/>
      <c r="M11576" s="448"/>
    </row>
    <row r="11577" spans="1:14" ht="11.25" customHeight="1" x14ac:dyDescent="0.2">
      <c r="A11577" s="243">
        <v>2026</v>
      </c>
      <c r="B11577" s="243">
        <v>2</v>
      </c>
      <c r="C11577" s="243">
        <v>15</v>
      </c>
      <c r="D11577" s="248">
        <f t="shared" si="1282"/>
        <v>46068</v>
      </c>
      <c r="E11577" s="249">
        <f t="shared" si="1285"/>
        <v>46068</v>
      </c>
      <c r="F11577" s="477"/>
      <c r="G11577" s="244" t="s">
        <v>86</v>
      </c>
      <c r="H11577" s="244"/>
      <c r="I11577" s="245"/>
      <c r="J11577" s="246" t="s">
        <v>50</v>
      </c>
      <c r="K11577" s="247"/>
      <c r="L11577" s="247">
        <f>K11576</f>
        <v>78503.844617304188</v>
      </c>
      <c r="M11577" s="448">
        <v>15700.768923460837</v>
      </c>
    </row>
    <row r="11578" spans="1:14" ht="11.25" customHeight="1" x14ac:dyDescent="0.2">
      <c r="A11578" s="236">
        <v>2026</v>
      </c>
      <c r="B11578" s="236">
        <v>2</v>
      </c>
      <c r="C11578" s="236">
        <v>15</v>
      </c>
      <c r="D11578" s="237">
        <f t="shared" si="1282"/>
        <v>46068</v>
      </c>
      <c r="E11578" s="238">
        <f t="shared" si="1285"/>
        <v>46068</v>
      </c>
      <c r="F11578" s="476" t="s">
        <v>2001</v>
      </c>
      <c r="G11578" s="239" t="s">
        <v>86</v>
      </c>
      <c r="H11578" s="239"/>
      <c r="I11578" s="240"/>
      <c r="J11578" s="241" t="s">
        <v>91</v>
      </c>
      <c r="K11578" s="242">
        <v>3859.9632675272378</v>
      </c>
      <c r="L11578" s="242"/>
      <c r="M11578" s="156">
        <v>771.99265350544761</v>
      </c>
    </row>
    <row r="11579" spans="1:14" ht="11.25" customHeight="1" x14ac:dyDescent="0.2">
      <c r="A11579" s="243">
        <v>2026</v>
      </c>
      <c r="B11579" s="243">
        <v>2</v>
      </c>
      <c r="C11579" s="243">
        <v>15</v>
      </c>
      <c r="D11579" s="248">
        <f t="shared" si="1282"/>
        <v>46068</v>
      </c>
      <c r="E11579" s="249">
        <f t="shared" si="1285"/>
        <v>46068</v>
      </c>
      <c r="F11579" s="477"/>
      <c r="G11579" s="244" t="s">
        <v>86</v>
      </c>
      <c r="H11579" s="244"/>
      <c r="I11579" s="245"/>
      <c r="J11579" s="246" t="s">
        <v>51</v>
      </c>
      <c r="K11579" s="247"/>
      <c r="L11579" s="247">
        <f>K11578</f>
        <v>3859.9632675272378</v>
      </c>
    </row>
    <row r="11580" spans="1:14" ht="11.25" customHeight="1" x14ac:dyDescent="0.2">
      <c r="A11580" s="231">
        <v>2026</v>
      </c>
      <c r="B11580" s="221">
        <v>2</v>
      </c>
      <c r="C11580" s="221">
        <v>16</v>
      </c>
      <c r="D11580" s="221">
        <f t="shared" si="1282"/>
        <v>46069</v>
      </c>
      <c r="E11580" s="271">
        <f t="shared" si="1285"/>
        <v>46069</v>
      </c>
      <c r="F11580" s="478" t="s">
        <v>1992</v>
      </c>
      <c r="G11580" s="222" t="s">
        <v>86</v>
      </c>
      <c r="H11580" s="223"/>
      <c r="I11580" s="223"/>
      <c r="J11580" s="377" t="s">
        <v>316</v>
      </c>
      <c r="K11580" s="225">
        <v>3299524.55</v>
      </c>
      <c r="L11580" s="225"/>
    </row>
    <row r="11581" spans="1:14" ht="11.25" customHeight="1" x14ac:dyDescent="0.2">
      <c r="A11581" s="156">
        <v>2026</v>
      </c>
      <c r="B11581" s="164">
        <v>2</v>
      </c>
      <c r="C11581" s="164">
        <v>16</v>
      </c>
      <c r="D11581" s="164">
        <f t="shared" si="1282"/>
        <v>46069</v>
      </c>
      <c r="E11581" s="276">
        <f t="shared" si="1285"/>
        <v>46069</v>
      </c>
      <c r="F11581" s="480"/>
      <c r="G11581" s="208" t="s">
        <v>86</v>
      </c>
      <c r="J11581" s="378" t="s">
        <v>14</v>
      </c>
      <c r="K11581" s="205"/>
      <c r="L11581" s="205">
        <v>2500410</v>
      </c>
    </row>
    <row r="11582" spans="1:14" ht="11.25" customHeight="1" x14ac:dyDescent="0.2">
      <c r="A11582" s="232">
        <v>2026</v>
      </c>
      <c r="B11582" s="226">
        <v>2</v>
      </c>
      <c r="C11582" s="226">
        <v>16</v>
      </c>
      <c r="D11582" s="226">
        <f t="shared" si="1282"/>
        <v>46069</v>
      </c>
      <c r="E11582" s="272">
        <f t="shared" si="1285"/>
        <v>46069</v>
      </c>
      <c r="F11582" s="479"/>
      <c r="G11582" s="227" t="s">
        <v>86</v>
      </c>
      <c r="H11582" s="228"/>
      <c r="I11582" s="228"/>
      <c r="J11582" s="379" t="s">
        <v>56</v>
      </c>
      <c r="K11582" s="230"/>
      <c r="L11582" s="230">
        <v>799114.55</v>
      </c>
    </row>
    <row r="11583" spans="1:14" ht="11.25" customHeight="1" x14ac:dyDescent="0.2">
      <c r="A11583" s="221">
        <v>2026</v>
      </c>
      <c r="B11583" s="221">
        <v>2</v>
      </c>
      <c r="C11583" s="221">
        <v>16</v>
      </c>
      <c r="D11583" s="221">
        <f t="shared" si="1282"/>
        <v>46069</v>
      </c>
      <c r="E11583" s="233">
        <f t="shared" si="1285"/>
        <v>46069</v>
      </c>
      <c r="F11583" s="478" t="s">
        <v>1937</v>
      </c>
      <c r="G11583" s="222" t="s">
        <v>86</v>
      </c>
      <c r="H11583" s="222"/>
      <c r="I11583" s="223"/>
      <c r="J11583" s="224" t="s">
        <v>80</v>
      </c>
      <c r="K11583" s="225">
        <v>4108062.5</v>
      </c>
      <c r="L11583" s="225"/>
      <c r="N11583" s="263"/>
    </row>
    <row r="11584" spans="1:14" ht="11.25" customHeight="1" x14ac:dyDescent="0.2">
      <c r="A11584" s="164">
        <v>2026</v>
      </c>
      <c r="B11584" s="164">
        <v>2</v>
      </c>
      <c r="C11584" s="164">
        <v>16</v>
      </c>
      <c r="D11584" s="164">
        <f t="shared" si="1282"/>
        <v>46069</v>
      </c>
      <c r="E11584" s="235">
        <f t="shared" si="1285"/>
        <v>46069</v>
      </c>
      <c r="F11584" s="480"/>
      <c r="G11584" s="208" t="s">
        <v>86</v>
      </c>
      <c r="H11584" s="208"/>
      <c r="J11584" s="165" t="s">
        <v>960</v>
      </c>
      <c r="K11584" s="205">
        <v>9008.7435000000005</v>
      </c>
      <c r="L11584" s="205"/>
      <c r="M11584" s="263"/>
      <c r="N11584" s="263"/>
    </row>
    <row r="11585" spans="1:14" ht="11.25" customHeight="1" x14ac:dyDescent="0.2">
      <c r="A11585" s="164">
        <v>2026</v>
      </c>
      <c r="B11585" s="164">
        <v>2</v>
      </c>
      <c r="C11585" s="164">
        <v>16</v>
      </c>
      <c r="D11585" s="164">
        <f t="shared" si="1282"/>
        <v>46069</v>
      </c>
      <c r="E11585" s="235">
        <f t="shared" si="1285"/>
        <v>46069</v>
      </c>
      <c r="F11585" s="480"/>
      <c r="G11585" s="208" t="s">
        <v>86</v>
      </c>
      <c r="H11585" s="208"/>
      <c r="J11585" s="165" t="s">
        <v>143</v>
      </c>
      <c r="K11585" s="263"/>
      <c r="L11585" s="205">
        <v>3220276.24</v>
      </c>
      <c r="M11585" s="263"/>
      <c r="N11585" s="263"/>
    </row>
    <row r="11586" spans="1:14" ht="11.25" customHeight="1" x14ac:dyDescent="0.2">
      <c r="A11586" s="164">
        <v>2026</v>
      </c>
      <c r="B11586" s="164">
        <v>2</v>
      </c>
      <c r="C11586" s="164">
        <v>16</v>
      </c>
      <c r="D11586" s="164">
        <f t="shared" si="1282"/>
        <v>46069</v>
      </c>
      <c r="E11586" s="235">
        <f t="shared" si="1285"/>
        <v>46069</v>
      </c>
      <c r="F11586" s="480"/>
      <c r="G11586" s="208" t="s">
        <v>86</v>
      </c>
      <c r="H11586" s="208"/>
      <c r="J11586" s="165" t="s">
        <v>200</v>
      </c>
      <c r="K11586" s="205"/>
      <c r="L11586" s="205">
        <v>130705.5</v>
      </c>
      <c r="M11586" s="263"/>
      <c r="N11586" s="263"/>
    </row>
    <row r="11587" spans="1:14" ht="11.25" customHeight="1" x14ac:dyDescent="0.2">
      <c r="A11587" s="226">
        <v>2026</v>
      </c>
      <c r="B11587" s="226">
        <v>2</v>
      </c>
      <c r="C11587" s="226">
        <v>16</v>
      </c>
      <c r="D11587" s="226">
        <f t="shared" si="1282"/>
        <v>46069</v>
      </c>
      <c r="E11587" s="234">
        <f t="shared" si="1285"/>
        <v>46069</v>
      </c>
      <c r="F11587" s="479"/>
      <c r="G11587" s="227" t="s">
        <v>86</v>
      </c>
      <c r="H11587" s="228"/>
      <c r="I11587" s="228"/>
      <c r="J11587" s="229" t="s">
        <v>80</v>
      </c>
      <c r="K11587" s="230"/>
      <c r="L11587" s="230">
        <v>766089.5</v>
      </c>
      <c r="M11587" s="263"/>
      <c r="N11587" s="263"/>
    </row>
    <row r="11588" spans="1:14" ht="11.25" customHeight="1" x14ac:dyDescent="0.2">
      <c r="A11588" s="221">
        <v>2026</v>
      </c>
      <c r="B11588" s="221">
        <v>2</v>
      </c>
      <c r="C11588" s="221">
        <v>16</v>
      </c>
      <c r="D11588" s="221">
        <f t="shared" si="1282"/>
        <v>46069</v>
      </c>
      <c r="E11588" s="233">
        <f t="shared" si="1285"/>
        <v>46069</v>
      </c>
      <c r="F11588" s="478" t="s">
        <v>1346</v>
      </c>
      <c r="G11588" s="222" t="s">
        <v>86</v>
      </c>
      <c r="H11588" s="222"/>
      <c r="I11588" s="223"/>
      <c r="J11588" s="224" t="s">
        <v>80</v>
      </c>
      <c r="K11588" s="225">
        <v>308751</v>
      </c>
      <c r="L11588" s="225"/>
      <c r="M11588" s="263"/>
      <c r="N11588" s="263"/>
    </row>
    <row r="11589" spans="1:14" ht="11.25" customHeight="1" x14ac:dyDescent="0.2">
      <c r="A11589" s="164">
        <v>2026</v>
      </c>
      <c r="B11589" s="164">
        <v>2</v>
      </c>
      <c r="C11589" s="164">
        <v>16</v>
      </c>
      <c r="D11589" s="164">
        <f t="shared" si="1282"/>
        <v>46069</v>
      </c>
      <c r="E11589" s="235">
        <f t="shared" si="1285"/>
        <v>46069</v>
      </c>
      <c r="F11589" s="480"/>
      <c r="G11589" s="208" t="s">
        <v>86</v>
      </c>
      <c r="H11589" s="208"/>
      <c r="J11589" s="165" t="s">
        <v>960</v>
      </c>
      <c r="K11589" s="205">
        <v>555.7518</v>
      </c>
      <c r="L11589" s="205"/>
      <c r="M11589" s="263"/>
      <c r="N11589" s="263"/>
    </row>
    <row r="11590" spans="1:14" ht="11.25" customHeight="1" x14ac:dyDescent="0.2">
      <c r="A11590" s="164">
        <v>2026</v>
      </c>
      <c r="B11590" s="164">
        <v>2</v>
      </c>
      <c r="C11590" s="164">
        <v>16</v>
      </c>
      <c r="D11590" s="164">
        <f t="shared" si="1282"/>
        <v>46069</v>
      </c>
      <c r="E11590" s="234">
        <f t="shared" si="1285"/>
        <v>46069</v>
      </c>
      <c r="F11590" s="479"/>
      <c r="G11590" s="227" t="s">
        <v>86</v>
      </c>
      <c r="H11590" s="227"/>
      <c r="I11590" s="228"/>
      <c r="J11590" s="229" t="s">
        <v>143</v>
      </c>
      <c r="K11590" s="230"/>
      <c r="L11590" s="230">
        <v>309306.75</v>
      </c>
      <c r="M11590" s="263"/>
      <c r="N11590" s="263"/>
    </row>
    <row r="11591" spans="1:14" ht="11.25" customHeight="1" x14ac:dyDescent="0.2">
      <c r="A11591" s="221">
        <v>2026</v>
      </c>
      <c r="B11591" s="221">
        <v>2</v>
      </c>
      <c r="C11591" s="221">
        <v>16</v>
      </c>
      <c r="D11591" s="231">
        <f t="shared" si="1282"/>
        <v>46069</v>
      </c>
      <c r="E11591" s="233">
        <f t="shared" si="1285"/>
        <v>46069</v>
      </c>
      <c r="F11591" s="478" t="s">
        <v>1985</v>
      </c>
      <c r="G11591" s="222" t="s">
        <v>1111</v>
      </c>
      <c r="H11591" s="223"/>
      <c r="I11591" s="223"/>
      <c r="J11591" s="224" t="s">
        <v>55</v>
      </c>
      <c r="K11591" s="225">
        <v>23057.32</v>
      </c>
      <c r="L11591" s="225"/>
    </row>
    <row r="11592" spans="1:14" ht="11.25" customHeight="1" x14ac:dyDescent="0.2">
      <c r="A11592" s="226">
        <v>2026</v>
      </c>
      <c r="B11592" s="226">
        <v>2</v>
      </c>
      <c r="C11592" s="226">
        <v>16</v>
      </c>
      <c r="D11592" s="232">
        <f t="shared" si="1282"/>
        <v>46069</v>
      </c>
      <c r="E11592" s="234">
        <f t="shared" si="1285"/>
        <v>46069</v>
      </c>
      <c r="F11592" s="479"/>
      <c r="G11592" s="227" t="s">
        <v>1111</v>
      </c>
      <c r="H11592" s="228"/>
      <c r="I11592" s="228"/>
      <c r="J11592" s="229" t="s">
        <v>199</v>
      </c>
      <c r="K11592" s="230"/>
      <c r="L11592" s="230">
        <f>K11591</f>
        <v>23057.32</v>
      </c>
    </row>
    <row r="11593" spans="1:14" ht="11.25" customHeight="1" x14ac:dyDescent="0.2">
      <c r="A11593" s="221">
        <v>2026</v>
      </c>
      <c r="B11593" s="221">
        <v>2</v>
      </c>
      <c r="C11593" s="221">
        <v>16</v>
      </c>
      <c r="D11593" s="231">
        <f t="shared" si="1282"/>
        <v>46069</v>
      </c>
      <c r="E11593" s="233">
        <f t="shared" si="1285"/>
        <v>46069</v>
      </c>
      <c r="F11593" s="478" t="s">
        <v>1115</v>
      </c>
      <c r="G11593" s="222" t="s">
        <v>1111</v>
      </c>
      <c r="H11593" s="223"/>
      <c r="I11593" s="223"/>
      <c r="J11593" s="224" t="s">
        <v>14</v>
      </c>
      <c r="K11593" s="167">
        <v>21020</v>
      </c>
      <c r="L11593" s="225"/>
    </row>
    <row r="11594" spans="1:14" ht="11.25" customHeight="1" x14ac:dyDescent="0.2">
      <c r="A11594" s="164">
        <v>2026</v>
      </c>
      <c r="B11594" s="164">
        <v>2</v>
      </c>
      <c r="C11594" s="164">
        <v>16</v>
      </c>
      <c r="D11594" s="156">
        <f t="shared" si="1282"/>
        <v>46069</v>
      </c>
      <c r="E11594" s="235">
        <f t="shared" si="1285"/>
        <v>46069</v>
      </c>
      <c r="F11594" s="480"/>
      <c r="G11594" s="208" t="s">
        <v>1111</v>
      </c>
      <c r="J11594" s="165" t="s">
        <v>1112</v>
      </c>
      <c r="K11594" s="167">
        <v>5980</v>
      </c>
      <c r="L11594" s="205"/>
    </row>
    <row r="11595" spans="1:14" ht="11.25" customHeight="1" x14ac:dyDescent="0.2">
      <c r="A11595" s="226">
        <v>2026</v>
      </c>
      <c r="B11595" s="226">
        <v>2</v>
      </c>
      <c r="C11595" s="226">
        <v>16</v>
      </c>
      <c r="D11595" s="232">
        <f t="shared" si="1282"/>
        <v>46069</v>
      </c>
      <c r="E11595" s="234">
        <f t="shared" si="1285"/>
        <v>46069</v>
      </c>
      <c r="F11595" s="479"/>
      <c r="G11595" s="227" t="s">
        <v>1111</v>
      </c>
      <c r="H11595" s="228"/>
      <c r="I11595" s="228"/>
      <c r="J11595" s="229" t="s">
        <v>55</v>
      </c>
      <c r="K11595" s="230"/>
      <c r="L11595" s="230">
        <v>27000</v>
      </c>
    </row>
    <row r="11596" spans="1:14" ht="11.25" customHeight="1" x14ac:dyDescent="0.2">
      <c r="A11596" s="221">
        <v>2026</v>
      </c>
      <c r="B11596" s="221">
        <v>2</v>
      </c>
      <c r="C11596" s="221">
        <v>16</v>
      </c>
      <c r="D11596" s="231">
        <f t="shared" si="1282"/>
        <v>46069</v>
      </c>
      <c r="E11596" s="233">
        <f t="shared" si="1285"/>
        <v>46069</v>
      </c>
      <c r="F11596" s="478" t="s">
        <v>1323</v>
      </c>
      <c r="G11596" s="222" t="s">
        <v>1111</v>
      </c>
      <c r="H11596" s="223"/>
      <c r="I11596" s="223"/>
      <c r="J11596" s="224" t="s">
        <v>55</v>
      </c>
      <c r="K11596" s="225">
        <v>100000</v>
      </c>
      <c r="L11596" s="225"/>
    </row>
    <row r="11597" spans="1:14" ht="11.25" customHeight="1" x14ac:dyDescent="0.2">
      <c r="A11597" s="164">
        <v>2026</v>
      </c>
      <c r="B11597" s="164">
        <v>2</v>
      </c>
      <c r="C11597" s="164">
        <v>16</v>
      </c>
      <c r="D11597" s="156">
        <f t="shared" si="1282"/>
        <v>46069</v>
      </c>
      <c r="E11597" s="235">
        <f t="shared" si="1285"/>
        <v>46069</v>
      </c>
      <c r="F11597" s="480"/>
      <c r="G11597" s="208" t="s">
        <v>1111</v>
      </c>
      <c r="J11597" s="165" t="s">
        <v>14</v>
      </c>
      <c r="K11597" s="205"/>
      <c r="L11597" s="205">
        <v>77840</v>
      </c>
    </row>
    <row r="11598" spans="1:14" ht="11.25" customHeight="1" x14ac:dyDescent="0.2">
      <c r="A11598" s="226">
        <v>2026</v>
      </c>
      <c r="B11598" s="226">
        <v>2</v>
      </c>
      <c r="C11598" s="226">
        <v>16</v>
      </c>
      <c r="D11598" s="232">
        <f t="shared" si="1282"/>
        <v>46069</v>
      </c>
      <c r="E11598" s="234">
        <f t="shared" si="1285"/>
        <v>46069</v>
      </c>
      <c r="F11598" s="479"/>
      <c r="G11598" s="227" t="s">
        <v>1111</v>
      </c>
      <c r="H11598" s="228"/>
      <c r="I11598" s="228"/>
      <c r="J11598" s="229" t="s">
        <v>1112</v>
      </c>
      <c r="K11598" s="230"/>
      <c r="L11598" s="230">
        <v>22160</v>
      </c>
      <c r="M11598" s="166"/>
    </row>
    <row r="11599" spans="1:14" ht="11.25" customHeight="1" x14ac:dyDescent="0.2">
      <c r="A11599" s="221">
        <v>2026</v>
      </c>
      <c r="B11599" s="221">
        <v>2</v>
      </c>
      <c r="C11599" s="221">
        <v>16</v>
      </c>
      <c r="D11599" s="231">
        <f t="shared" si="1282"/>
        <v>46069</v>
      </c>
      <c r="E11599" s="233">
        <f t="shared" si="1285"/>
        <v>46069</v>
      </c>
      <c r="F11599" s="478" t="s">
        <v>1670</v>
      </c>
      <c r="G11599" s="222" t="s">
        <v>1111</v>
      </c>
      <c r="H11599" s="223"/>
      <c r="I11599" s="223"/>
      <c r="J11599" s="224" t="s">
        <v>63</v>
      </c>
      <c r="K11599" s="225">
        <v>25</v>
      </c>
      <c r="L11599" s="225"/>
    </row>
    <row r="11600" spans="1:14" ht="11.25" customHeight="1" x14ac:dyDescent="0.2">
      <c r="A11600" s="226">
        <v>2026</v>
      </c>
      <c r="B11600" s="226">
        <v>2</v>
      </c>
      <c r="C11600" s="226">
        <v>16</v>
      </c>
      <c r="D11600" s="232">
        <f t="shared" si="1282"/>
        <v>46069</v>
      </c>
      <c r="E11600" s="234">
        <f t="shared" si="1285"/>
        <v>46069</v>
      </c>
      <c r="F11600" s="479"/>
      <c r="G11600" s="227" t="s">
        <v>1111</v>
      </c>
      <c r="H11600" s="228"/>
      <c r="I11600" s="228"/>
      <c r="J11600" s="229" t="s">
        <v>55</v>
      </c>
      <c r="K11600" s="230"/>
      <c r="L11600" s="230">
        <f>K11599</f>
        <v>25</v>
      </c>
    </row>
    <row r="11601" spans="1:14" ht="11.25" customHeight="1" x14ac:dyDescent="0.2">
      <c r="A11601" s="280">
        <v>2026</v>
      </c>
      <c r="B11601" s="280">
        <v>2</v>
      </c>
      <c r="C11601" s="280">
        <v>16</v>
      </c>
      <c r="D11601" s="281">
        <f t="shared" si="1282"/>
        <v>46069</v>
      </c>
      <c r="E11601" s="282">
        <f t="shared" si="1285"/>
        <v>46069</v>
      </c>
      <c r="F11601" s="472" t="s">
        <v>1584</v>
      </c>
      <c r="G11601" s="283" t="s">
        <v>86</v>
      </c>
      <c r="H11601" s="284"/>
      <c r="I11601" s="284"/>
      <c r="J11601" s="285" t="s">
        <v>131</v>
      </c>
      <c r="K11601" s="286">
        <v>1277.7777777777801</v>
      </c>
      <c r="L11601" s="286"/>
      <c r="M11601" s="401"/>
      <c r="N11601" s="166"/>
    </row>
    <row r="11602" spans="1:14" ht="11.25" customHeight="1" x14ac:dyDescent="0.2">
      <c r="A11602" s="287">
        <v>2026</v>
      </c>
      <c r="B11602" s="287">
        <v>2</v>
      </c>
      <c r="C11602" s="287">
        <v>16</v>
      </c>
      <c r="D11602" s="288">
        <f t="shared" si="1282"/>
        <v>46069</v>
      </c>
      <c r="E11602" s="289">
        <f t="shared" si="1285"/>
        <v>46069</v>
      </c>
      <c r="F11602" s="473"/>
      <c r="G11602" s="290" t="s">
        <v>86</v>
      </c>
      <c r="H11602" s="291"/>
      <c r="I11602" s="291"/>
      <c r="J11602" s="292" t="s">
        <v>1469</v>
      </c>
      <c r="K11602" s="293"/>
      <c r="L11602" s="293">
        <f>K11601</f>
        <v>1277.7777777777801</v>
      </c>
    </row>
    <row r="11603" spans="1:14" ht="11.25" customHeight="1" x14ac:dyDescent="0.2">
      <c r="A11603" s="280">
        <v>2026</v>
      </c>
      <c r="B11603" s="280">
        <v>2</v>
      </c>
      <c r="C11603" s="280">
        <v>16</v>
      </c>
      <c r="D11603" s="281">
        <f t="shared" si="1282"/>
        <v>46069</v>
      </c>
      <c r="E11603" s="282">
        <f t="shared" si="1285"/>
        <v>46069</v>
      </c>
      <c r="F11603" s="472" t="s">
        <v>1955</v>
      </c>
      <c r="G11603" s="283" t="s">
        <v>86</v>
      </c>
      <c r="H11603" s="284"/>
      <c r="I11603" s="284"/>
      <c r="J11603" s="285" t="s">
        <v>1978</v>
      </c>
      <c r="K11603" s="286">
        <v>6185.4395604395604</v>
      </c>
      <c r="L11603" s="286"/>
      <c r="M11603" s="401"/>
    </row>
    <row r="11604" spans="1:14" ht="11.25" customHeight="1" x14ac:dyDescent="0.2">
      <c r="A11604" s="287">
        <v>2026</v>
      </c>
      <c r="B11604" s="287">
        <v>2</v>
      </c>
      <c r="C11604" s="287">
        <v>16</v>
      </c>
      <c r="D11604" s="288">
        <f t="shared" si="1282"/>
        <v>46069</v>
      </c>
      <c r="E11604" s="289">
        <f t="shared" si="1285"/>
        <v>46069</v>
      </c>
      <c r="F11604" s="473"/>
      <c r="G11604" s="290" t="s">
        <v>86</v>
      </c>
      <c r="H11604" s="291"/>
      <c r="I11604" s="291"/>
      <c r="J11604" s="292" t="s">
        <v>1955</v>
      </c>
      <c r="K11604" s="293"/>
      <c r="L11604" s="293">
        <f>K11603</f>
        <v>6185.4395604395604</v>
      </c>
    </row>
    <row r="11605" spans="1:14" ht="11.25" customHeight="1" x14ac:dyDescent="0.2">
      <c r="A11605" s="341">
        <v>2026</v>
      </c>
      <c r="B11605" s="341">
        <v>2</v>
      </c>
      <c r="C11605" s="341">
        <v>16</v>
      </c>
      <c r="D11605" s="328">
        <f t="shared" si="1282"/>
        <v>46069</v>
      </c>
      <c r="E11605" s="329">
        <f t="shared" si="1285"/>
        <v>46069</v>
      </c>
      <c r="F11605" s="474" t="s">
        <v>1767</v>
      </c>
      <c r="G11605" s="330" t="s">
        <v>86</v>
      </c>
      <c r="H11605" s="332"/>
      <c r="I11605" s="332"/>
      <c r="J11605" s="342" t="s">
        <v>67</v>
      </c>
      <c r="K11605" s="343">
        <v>3172.6368619444443</v>
      </c>
      <c r="L11605" s="343"/>
      <c r="M11605" s="166"/>
    </row>
    <row r="11606" spans="1:14" ht="11.25" customHeight="1" x14ac:dyDescent="0.2">
      <c r="A11606" s="344">
        <v>2026</v>
      </c>
      <c r="B11606" s="344">
        <v>2</v>
      </c>
      <c r="C11606" s="344">
        <v>16</v>
      </c>
      <c r="D11606" s="337">
        <f t="shared" si="1282"/>
        <v>46069</v>
      </c>
      <c r="E11606" s="338">
        <f t="shared" si="1285"/>
        <v>46069</v>
      </c>
      <c r="F11606" s="475"/>
      <c r="G11606" s="339" t="s">
        <v>86</v>
      </c>
      <c r="H11606" s="340"/>
      <c r="I11606" s="340"/>
      <c r="J11606" s="345" t="s">
        <v>1974</v>
      </c>
      <c r="K11606" s="346"/>
      <c r="L11606" s="346">
        <f>K11605</f>
        <v>3172.6368619444443</v>
      </c>
    </row>
    <row r="11607" spans="1:14" ht="11.25" customHeight="1" x14ac:dyDescent="0.2">
      <c r="A11607" s="236">
        <v>2026</v>
      </c>
      <c r="B11607" s="236">
        <v>2</v>
      </c>
      <c r="C11607" s="236">
        <v>16</v>
      </c>
      <c r="D11607" s="237">
        <f t="shared" ref="D11607:D11631" si="1288">DATE(A11607,B11607,C11607)</f>
        <v>46069</v>
      </c>
      <c r="E11607" s="238">
        <f t="shared" si="1285"/>
        <v>46069</v>
      </c>
      <c r="F11607" s="476" t="s">
        <v>1118</v>
      </c>
      <c r="G11607" s="239" t="s">
        <v>86</v>
      </c>
      <c r="H11607" s="239"/>
      <c r="I11607" s="240"/>
      <c r="J11607" s="241" t="s">
        <v>82</v>
      </c>
      <c r="K11607" s="242">
        <v>1280320.4799999893</v>
      </c>
      <c r="L11607" s="242"/>
      <c r="M11607" s="166"/>
    </row>
    <row r="11608" spans="1:14" ht="11.25" customHeight="1" x14ac:dyDescent="0.2">
      <c r="A11608" s="243">
        <v>2026</v>
      </c>
      <c r="B11608" s="243">
        <v>2</v>
      </c>
      <c r="C11608" s="243">
        <v>16</v>
      </c>
      <c r="D11608" s="248">
        <f t="shared" si="1288"/>
        <v>46069</v>
      </c>
      <c r="E11608" s="249">
        <f t="shared" si="1285"/>
        <v>46069</v>
      </c>
      <c r="F11608" s="477"/>
      <c r="G11608" s="244" t="s">
        <v>86</v>
      </c>
      <c r="H11608" s="244"/>
      <c r="I11608" s="245"/>
      <c r="J11608" s="246" t="s">
        <v>98</v>
      </c>
      <c r="K11608" s="247"/>
      <c r="L11608" s="247">
        <f>K11607</f>
        <v>1280320.4799999893</v>
      </c>
    </row>
    <row r="11609" spans="1:14" ht="11.25" customHeight="1" x14ac:dyDescent="0.2">
      <c r="A11609" s="236">
        <v>2026</v>
      </c>
      <c r="B11609" s="236">
        <v>2</v>
      </c>
      <c r="C11609" s="236">
        <v>16</v>
      </c>
      <c r="D11609" s="237">
        <f t="shared" si="1288"/>
        <v>46069</v>
      </c>
      <c r="E11609" s="238">
        <f t="shared" si="1285"/>
        <v>46069</v>
      </c>
      <c r="F11609" s="476" t="s">
        <v>1999</v>
      </c>
      <c r="G11609" s="239" t="s">
        <v>86</v>
      </c>
      <c r="H11609" s="239"/>
      <c r="I11609" s="240"/>
      <c r="J11609" s="241" t="s">
        <v>87</v>
      </c>
      <c r="K11609" s="242">
        <v>392.46467817896399</v>
      </c>
      <c r="L11609" s="242"/>
      <c r="M11609" s="401"/>
    </row>
    <row r="11610" spans="1:14" ht="11.25" customHeight="1" x14ac:dyDescent="0.2">
      <c r="A11610" s="243">
        <v>2026</v>
      </c>
      <c r="B11610" s="243">
        <v>2</v>
      </c>
      <c r="C11610" s="243">
        <v>16</v>
      </c>
      <c r="D11610" s="248">
        <f t="shared" si="1288"/>
        <v>46069</v>
      </c>
      <c r="E11610" s="249">
        <f t="shared" si="1285"/>
        <v>46069</v>
      </c>
      <c r="F11610" s="477"/>
      <c r="G11610" s="244" t="s">
        <v>86</v>
      </c>
      <c r="H11610" s="244"/>
      <c r="I11610" s="245"/>
      <c r="J11610" s="246" t="s">
        <v>64</v>
      </c>
      <c r="K11610" s="247"/>
      <c r="L11610" s="247">
        <f>K11609</f>
        <v>392.46467817896399</v>
      </c>
    </row>
    <row r="11611" spans="1:14" ht="11.25" customHeight="1" x14ac:dyDescent="0.2">
      <c r="A11611" s="236">
        <v>2026</v>
      </c>
      <c r="B11611" s="236">
        <v>2</v>
      </c>
      <c r="C11611" s="236">
        <v>16</v>
      </c>
      <c r="D11611" s="237">
        <f t="shared" si="1288"/>
        <v>46069</v>
      </c>
      <c r="E11611" s="238">
        <f t="shared" si="1285"/>
        <v>46069</v>
      </c>
      <c r="F11611" s="476" t="s">
        <v>2000</v>
      </c>
      <c r="G11611" s="239" t="s">
        <v>86</v>
      </c>
      <c r="H11611" s="239"/>
      <c r="I11611" s="240"/>
      <c r="J11611" s="241" t="s">
        <v>89</v>
      </c>
      <c r="K11611" s="242">
        <v>15623.715224271433</v>
      </c>
      <c r="L11611" s="242"/>
      <c r="M11611" s="448"/>
    </row>
    <row r="11612" spans="1:14" ht="11.25" customHeight="1" x14ac:dyDescent="0.2">
      <c r="A11612" s="243">
        <v>2026</v>
      </c>
      <c r="B11612" s="243">
        <v>2</v>
      </c>
      <c r="C11612" s="243">
        <v>16</v>
      </c>
      <c r="D11612" s="248">
        <f t="shared" si="1288"/>
        <v>46069</v>
      </c>
      <c r="E11612" s="249">
        <f t="shared" si="1285"/>
        <v>46069</v>
      </c>
      <c r="F11612" s="477"/>
      <c r="G11612" s="244" t="s">
        <v>86</v>
      </c>
      <c r="H11612" s="244"/>
      <c r="I11612" s="245"/>
      <c r="J11612" s="246" t="s">
        <v>50</v>
      </c>
      <c r="K11612" s="247"/>
      <c r="L11612" s="247">
        <f>K11611</f>
        <v>15623.715224271433</v>
      </c>
      <c r="M11612" s="448">
        <v>15623.715224271433</v>
      </c>
    </row>
    <row r="11613" spans="1:14" ht="11.25" customHeight="1" x14ac:dyDescent="0.2">
      <c r="A11613" s="236">
        <v>2026</v>
      </c>
      <c r="B11613" s="236">
        <v>2</v>
      </c>
      <c r="C11613" s="236">
        <v>16</v>
      </c>
      <c r="D11613" s="237">
        <f t="shared" si="1288"/>
        <v>46069</v>
      </c>
      <c r="E11613" s="238">
        <f t="shared" si="1285"/>
        <v>46069</v>
      </c>
      <c r="F11613" s="476" t="s">
        <v>2001</v>
      </c>
      <c r="G11613" s="239" t="s">
        <v>86</v>
      </c>
      <c r="H11613" s="239"/>
      <c r="I11613" s="240"/>
      <c r="J11613" s="241" t="s">
        <v>91</v>
      </c>
      <c r="K11613" s="242">
        <v>766.85574022615424</v>
      </c>
      <c r="L11613" s="242"/>
      <c r="M11613" s="156">
        <v>766.85574022615424</v>
      </c>
    </row>
    <row r="11614" spans="1:14" ht="11.25" customHeight="1" x14ac:dyDescent="0.2">
      <c r="A11614" s="243">
        <v>2026</v>
      </c>
      <c r="B11614" s="243">
        <v>2</v>
      </c>
      <c r="C11614" s="243">
        <v>16</v>
      </c>
      <c r="D11614" s="248">
        <f t="shared" si="1288"/>
        <v>46069</v>
      </c>
      <c r="E11614" s="249">
        <f t="shared" si="1285"/>
        <v>46069</v>
      </c>
      <c r="F11614" s="477"/>
      <c r="G11614" s="244" t="s">
        <v>86</v>
      </c>
      <c r="H11614" s="244"/>
      <c r="I11614" s="245"/>
      <c r="J11614" s="246" t="s">
        <v>51</v>
      </c>
      <c r="K11614" s="247"/>
      <c r="L11614" s="247">
        <f>K11613</f>
        <v>766.85574022615424</v>
      </c>
    </row>
    <row r="11615" spans="1:14" ht="11.25" customHeight="1" x14ac:dyDescent="0.2">
      <c r="A11615" s="221">
        <v>2026</v>
      </c>
      <c r="B11615" s="221">
        <v>2</v>
      </c>
      <c r="C11615" s="221">
        <v>17</v>
      </c>
      <c r="D11615" s="221">
        <f t="shared" si="1288"/>
        <v>46070</v>
      </c>
      <c r="E11615" s="233">
        <f t="shared" ref="E11615:E11631" si="1289">DATE(A11615,B11615,C11615)</f>
        <v>46070</v>
      </c>
      <c r="F11615" s="478" t="s">
        <v>1937</v>
      </c>
      <c r="G11615" s="222" t="s">
        <v>86</v>
      </c>
      <c r="H11615" s="222"/>
      <c r="I11615" s="223"/>
      <c r="J11615" s="224" t="s">
        <v>80</v>
      </c>
      <c r="K11615" s="225">
        <v>1832183.5</v>
      </c>
      <c r="L11615" s="225"/>
      <c r="N11615" s="263"/>
    </row>
    <row r="11616" spans="1:14" ht="11.25" customHeight="1" x14ac:dyDescent="0.2">
      <c r="A11616" s="164">
        <v>2026</v>
      </c>
      <c r="B11616" s="164">
        <v>2</v>
      </c>
      <c r="C11616" s="164">
        <v>17</v>
      </c>
      <c r="D11616" s="164">
        <f t="shared" si="1288"/>
        <v>46070</v>
      </c>
      <c r="E11616" s="235">
        <f t="shared" si="1289"/>
        <v>46070</v>
      </c>
      <c r="F11616" s="480"/>
      <c r="G11616" s="208" t="s">
        <v>86</v>
      </c>
      <c r="H11616" s="208"/>
      <c r="J11616" s="165" t="s">
        <v>960</v>
      </c>
      <c r="K11616" s="205">
        <v>3883.29</v>
      </c>
      <c r="L11616" s="205"/>
      <c r="M11616" s="263"/>
      <c r="N11616" s="263"/>
    </row>
    <row r="11617" spans="1:14" ht="11.25" customHeight="1" x14ac:dyDescent="0.2">
      <c r="A11617" s="164">
        <v>2026</v>
      </c>
      <c r="B11617" s="164">
        <v>2</v>
      </c>
      <c r="C11617" s="164">
        <v>17</v>
      </c>
      <c r="D11617" s="164">
        <f t="shared" si="1288"/>
        <v>46070</v>
      </c>
      <c r="E11617" s="235">
        <f t="shared" si="1289"/>
        <v>46070</v>
      </c>
      <c r="F11617" s="480"/>
      <c r="G11617" s="208" t="s">
        <v>86</v>
      </c>
      <c r="H11617" s="208"/>
      <c r="J11617" s="165" t="s">
        <v>143</v>
      </c>
      <c r="K11617" s="263"/>
      <c r="L11617" s="205">
        <v>1510866.79</v>
      </c>
      <c r="M11617" s="263"/>
      <c r="N11617" s="263"/>
    </row>
    <row r="11618" spans="1:14" ht="11.25" customHeight="1" x14ac:dyDescent="0.2">
      <c r="A11618" s="164">
        <v>2026</v>
      </c>
      <c r="B11618" s="164">
        <v>2</v>
      </c>
      <c r="C11618" s="164">
        <v>17</v>
      </c>
      <c r="D11618" s="164">
        <f t="shared" si="1288"/>
        <v>46070</v>
      </c>
      <c r="E11618" s="235">
        <f t="shared" si="1289"/>
        <v>46070</v>
      </c>
      <c r="F11618" s="480"/>
      <c r="G11618" s="208" t="s">
        <v>86</v>
      </c>
      <c r="H11618" s="208"/>
      <c r="J11618" s="165" t="s">
        <v>200</v>
      </c>
      <c r="K11618" s="205"/>
      <c r="L11618" s="205">
        <v>88738.44</v>
      </c>
      <c r="M11618" s="263"/>
      <c r="N11618" s="263"/>
    </row>
    <row r="11619" spans="1:14" ht="11.25" customHeight="1" x14ac:dyDescent="0.2">
      <c r="A11619" s="226">
        <v>2026</v>
      </c>
      <c r="B11619" s="226">
        <v>2</v>
      </c>
      <c r="C11619" s="226">
        <v>17</v>
      </c>
      <c r="D11619" s="226">
        <f t="shared" si="1288"/>
        <v>46070</v>
      </c>
      <c r="E11619" s="234">
        <f t="shared" si="1289"/>
        <v>46070</v>
      </c>
      <c r="F11619" s="479"/>
      <c r="G11619" s="227" t="s">
        <v>86</v>
      </c>
      <c r="H11619" s="228"/>
      <c r="I11619" s="228"/>
      <c r="J11619" s="229" t="s">
        <v>80</v>
      </c>
      <c r="K11619" s="230"/>
      <c r="L11619" s="230">
        <v>236461.56</v>
      </c>
      <c r="M11619" s="263"/>
      <c r="N11619" s="263"/>
    </row>
    <row r="11620" spans="1:14" ht="11.25" customHeight="1" x14ac:dyDescent="0.2">
      <c r="A11620" s="221">
        <v>2026</v>
      </c>
      <c r="B11620" s="221">
        <v>2</v>
      </c>
      <c r="C11620" s="221">
        <v>17</v>
      </c>
      <c r="D11620" s="231">
        <f t="shared" si="1288"/>
        <v>46070</v>
      </c>
      <c r="E11620" s="233">
        <f t="shared" si="1289"/>
        <v>46070</v>
      </c>
      <c r="F11620" s="478" t="s">
        <v>1670</v>
      </c>
      <c r="G11620" s="222" t="s">
        <v>1111</v>
      </c>
      <c r="H11620" s="223"/>
      <c r="I11620" s="223"/>
      <c r="J11620" s="224" t="s">
        <v>63</v>
      </c>
      <c r="K11620" s="225">
        <v>283</v>
      </c>
      <c r="L11620" s="225"/>
    </row>
    <row r="11621" spans="1:14" ht="11.25" customHeight="1" x14ac:dyDescent="0.2">
      <c r="A11621" s="226">
        <v>2026</v>
      </c>
      <c r="B11621" s="226">
        <v>2</v>
      </c>
      <c r="C11621" s="226">
        <v>17</v>
      </c>
      <c r="D11621" s="232">
        <f t="shared" si="1288"/>
        <v>46070</v>
      </c>
      <c r="E11621" s="234">
        <f t="shared" si="1289"/>
        <v>46070</v>
      </c>
      <c r="F11621" s="479"/>
      <c r="G11621" s="227" t="s">
        <v>1111</v>
      </c>
      <c r="H11621" s="228"/>
      <c r="I11621" s="228"/>
      <c r="J11621" s="229" t="s">
        <v>55</v>
      </c>
      <c r="K11621" s="230"/>
      <c r="L11621" s="230">
        <f>K11620</f>
        <v>283</v>
      </c>
    </row>
    <row r="11622" spans="1:14" ht="11.25" customHeight="1" x14ac:dyDescent="0.2">
      <c r="A11622" s="221">
        <v>2026</v>
      </c>
      <c r="B11622" s="221">
        <v>2</v>
      </c>
      <c r="C11622" s="221">
        <v>17</v>
      </c>
      <c r="D11622" s="231">
        <f t="shared" ref="D11622:D11623" si="1290">DATE(A11622,B11622,C11622)</f>
        <v>46070</v>
      </c>
      <c r="E11622" s="233">
        <f t="shared" ref="E11622:E11623" si="1291">DATE(A11622,B11622,C11622)</f>
        <v>46070</v>
      </c>
      <c r="F11622" s="478" t="s">
        <v>1670</v>
      </c>
      <c r="G11622" s="222" t="s">
        <v>1111</v>
      </c>
      <c r="H11622" s="223"/>
      <c r="I11622" s="223"/>
      <c r="J11622" s="224" t="s">
        <v>63</v>
      </c>
      <c r="K11622" s="225">
        <v>58</v>
      </c>
      <c r="L11622" s="225"/>
    </row>
    <row r="11623" spans="1:14" ht="11.25" customHeight="1" x14ac:dyDescent="0.2">
      <c r="A11623" s="226">
        <v>2026</v>
      </c>
      <c r="B11623" s="226">
        <v>2</v>
      </c>
      <c r="C11623" s="226">
        <v>17</v>
      </c>
      <c r="D11623" s="232">
        <f t="shared" si="1290"/>
        <v>46070</v>
      </c>
      <c r="E11623" s="234">
        <f t="shared" si="1291"/>
        <v>46070</v>
      </c>
      <c r="F11623" s="479"/>
      <c r="G11623" s="227" t="s">
        <v>1111</v>
      </c>
      <c r="H11623" s="228"/>
      <c r="I11623" s="228"/>
      <c r="J11623" s="229" t="s">
        <v>55</v>
      </c>
      <c r="K11623" s="230"/>
      <c r="L11623" s="230">
        <f>K11622</f>
        <v>58</v>
      </c>
    </row>
    <row r="11624" spans="1:14" ht="11.25" customHeight="1" x14ac:dyDescent="0.2">
      <c r="A11624" s="221">
        <v>2026</v>
      </c>
      <c r="B11624" s="221">
        <v>2</v>
      </c>
      <c r="C11624" s="221">
        <v>17</v>
      </c>
      <c r="D11624" s="231">
        <f t="shared" si="1288"/>
        <v>46070</v>
      </c>
      <c r="E11624" s="233">
        <f t="shared" si="1289"/>
        <v>46070</v>
      </c>
      <c r="F11624" s="478" t="s">
        <v>1115</v>
      </c>
      <c r="G11624" s="222" t="s">
        <v>1111</v>
      </c>
      <c r="H11624" s="223"/>
      <c r="I11624" s="223"/>
      <c r="J11624" s="224" t="s">
        <v>14</v>
      </c>
      <c r="K11624" s="167">
        <v>6660900</v>
      </c>
      <c r="L11624" s="225"/>
    </row>
    <row r="11625" spans="1:14" ht="11.25" customHeight="1" x14ac:dyDescent="0.2">
      <c r="A11625" s="164">
        <v>2026</v>
      </c>
      <c r="B11625" s="164">
        <v>2</v>
      </c>
      <c r="C11625" s="164">
        <v>17</v>
      </c>
      <c r="D11625" s="156">
        <f t="shared" si="1288"/>
        <v>46070</v>
      </c>
      <c r="E11625" s="235">
        <f t="shared" si="1289"/>
        <v>46070</v>
      </c>
      <c r="F11625" s="480"/>
      <c r="G11625" s="208" t="s">
        <v>1111</v>
      </c>
      <c r="J11625" s="165" t="s">
        <v>1112</v>
      </c>
      <c r="K11625" s="167">
        <v>1765046.43</v>
      </c>
      <c r="L11625" s="205"/>
    </row>
    <row r="11626" spans="1:14" ht="11.25" customHeight="1" x14ac:dyDescent="0.2">
      <c r="A11626" s="226">
        <v>2026</v>
      </c>
      <c r="B11626" s="226">
        <v>2</v>
      </c>
      <c r="C11626" s="226">
        <v>17</v>
      </c>
      <c r="D11626" s="232">
        <f t="shared" si="1288"/>
        <v>46070</v>
      </c>
      <c r="E11626" s="234">
        <f t="shared" si="1289"/>
        <v>46070</v>
      </c>
      <c r="F11626" s="479"/>
      <c r="G11626" s="227" t="s">
        <v>1111</v>
      </c>
      <c r="H11626" s="228"/>
      <c r="I11626" s="228"/>
      <c r="J11626" s="229" t="s">
        <v>55</v>
      </c>
      <c r="K11626" s="230"/>
      <c r="L11626" s="230">
        <v>8425946.4299999997</v>
      </c>
    </row>
    <row r="11627" spans="1:14" ht="11.25" customHeight="1" x14ac:dyDescent="0.2">
      <c r="A11627" s="221">
        <v>2026</v>
      </c>
      <c r="B11627" s="221">
        <v>2</v>
      </c>
      <c r="C11627" s="221">
        <v>17</v>
      </c>
      <c r="D11627" s="231">
        <f t="shared" si="1288"/>
        <v>46070</v>
      </c>
      <c r="E11627" s="233">
        <f t="shared" si="1289"/>
        <v>46070</v>
      </c>
      <c r="F11627" s="478" t="s">
        <v>1323</v>
      </c>
      <c r="G11627" s="222" t="s">
        <v>1111</v>
      </c>
      <c r="H11627" s="223"/>
      <c r="I11627" s="223"/>
      <c r="J11627" s="224" t="s">
        <v>55</v>
      </c>
      <c r="K11627" s="225">
        <v>500000</v>
      </c>
      <c r="L11627" s="225"/>
    </row>
    <row r="11628" spans="1:14" ht="11.25" customHeight="1" x14ac:dyDescent="0.2">
      <c r="A11628" s="164">
        <v>2026</v>
      </c>
      <c r="B11628" s="164">
        <v>2</v>
      </c>
      <c r="C11628" s="164">
        <v>17</v>
      </c>
      <c r="D11628" s="156">
        <f t="shared" si="1288"/>
        <v>46070</v>
      </c>
      <c r="E11628" s="235">
        <f t="shared" si="1289"/>
        <v>46070</v>
      </c>
      <c r="F11628" s="480"/>
      <c r="G11628" s="208" t="s">
        <v>1111</v>
      </c>
      <c r="J11628" s="165" t="s">
        <v>14</v>
      </c>
      <c r="K11628" s="205"/>
      <c r="L11628" s="205">
        <v>389200</v>
      </c>
    </row>
    <row r="11629" spans="1:14" ht="11.25" customHeight="1" x14ac:dyDescent="0.2">
      <c r="A11629" s="226">
        <v>2026</v>
      </c>
      <c r="B11629" s="226">
        <v>2</v>
      </c>
      <c r="C11629" s="226">
        <v>17</v>
      </c>
      <c r="D11629" s="232">
        <f t="shared" si="1288"/>
        <v>46070</v>
      </c>
      <c r="E11629" s="234">
        <f t="shared" si="1289"/>
        <v>46070</v>
      </c>
      <c r="F11629" s="479"/>
      <c r="G11629" s="227" t="s">
        <v>1111</v>
      </c>
      <c r="H11629" s="228"/>
      <c r="I11629" s="228"/>
      <c r="J11629" s="229" t="s">
        <v>1112</v>
      </c>
      <c r="K11629" s="230"/>
      <c r="L11629" s="230">
        <v>110800</v>
      </c>
      <c r="M11629" s="166"/>
    </row>
    <row r="11630" spans="1:14" ht="11.25" customHeight="1" x14ac:dyDescent="0.2">
      <c r="A11630" s="221">
        <v>2026</v>
      </c>
      <c r="B11630" s="221">
        <v>2</v>
      </c>
      <c r="C11630" s="221">
        <v>17</v>
      </c>
      <c r="D11630" s="231">
        <f t="shared" si="1288"/>
        <v>46070</v>
      </c>
      <c r="E11630" s="233">
        <f t="shared" si="1289"/>
        <v>46070</v>
      </c>
      <c r="F11630" s="478" t="s">
        <v>2002</v>
      </c>
      <c r="G11630" s="222" t="s">
        <v>1111</v>
      </c>
      <c r="H11630" s="223"/>
      <c r="I11630" s="223"/>
      <c r="J11630" s="224" t="s">
        <v>143</v>
      </c>
      <c r="K11630" s="225">
        <v>309306.75</v>
      </c>
      <c r="L11630" s="225"/>
    </row>
    <row r="11631" spans="1:14" ht="11.25" customHeight="1" x14ac:dyDescent="0.2">
      <c r="A11631" s="226">
        <v>2026</v>
      </c>
      <c r="B11631" s="226">
        <v>2</v>
      </c>
      <c r="C11631" s="226">
        <v>17</v>
      </c>
      <c r="D11631" s="232">
        <f t="shared" si="1288"/>
        <v>46070</v>
      </c>
      <c r="E11631" s="234">
        <f t="shared" si="1289"/>
        <v>46070</v>
      </c>
      <c r="F11631" s="479"/>
      <c r="G11631" s="227" t="s">
        <v>1111</v>
      </c>
      <c r="H11631" s="228"/>
      <c r="I11631" s="228"/>
      <c r="J11631" s="229" t="s">
        <v>55</v>
      </c>
      <c r="K11631" s="230"/>
      <c r="L11631" s="230">
        <f>K11630</f>
        <v>309306.75</v>
      </c>
    </row>
    <row r="11632" spans="1:14" ht="11.25" customHeight="1" x14ac:dyDescent="0.2">
      <c r="A11632" s="221">
        <v>2026</v>
      </c>
      <c r="B11632" s="221">
        <v>2</v>
      </c>
      <c r="C11632" s="221">
        <v>17</v>
      </c>
      <c r="D11632" s="231">
        <f t="shared" ref="D11632:D11659" si="1292">DATE(A11632,B11632,C11632)</f>
        <v>46070</v>
      </c>
      <c r="E11632" s="233">
        <f t="shared" ref="E11632:E11659" si="1293">DATE(A11632,B11632,C11632)</f>
        <v>46070</v>
      </c>
      <c r="F11632" s="478" t="s">
        <v>1994</v>
      </c>
      <c r="G11632" s="222" t="s">
        <v>1111</v>
      </c>
      <c r="H11632" s="223" t="str" cm="1">
        <f t="array" ref="H11632">IFERROR(INDEX(INVESTOR_LIST[INVESTOR NAME],MATCH(I11632,INVESTOR_LIST[INVESTOR CODE],0),)," ")</f>
        <v xml:space="preserve"> </v>
      </c>
      <c r="I11632" s="223"/>
      <c r="J11632" s="231" t="s">
        <v>316</v>
      </c>
      <c r="K11632" s="225">
        <v>215328.75</v>
      </c>
      <c r="L11632" s="225"/>
    </row>
    <row r="11633" spans="1:14" ht="11.25" customHeight="1" x14ac:dyDescent="0.2">
      <c r="A11633" s="226">
        <v>2026</v>
      </c>
      <c r="B11633" s="226">
        <v>2</v>
      </c>
      <c r="C11633" s="226">
        <v>17</v>
      </c>
      <c r="D11633" s="232">
        <f t="shared" si="1292"/>
        <v>46070</v>
      </c>
      <c r="E11633" s="234">
        <f t="shared" si="1293"/>
        <v>46070</v>
      </c>
      <c r="F11633" s="479"/>
      <c r="G11633" s="227" t="s">
        <v>1111</v>
      </c>
      <c r="H11633" s="228" t="str" cm="1">
        <f t="array" ref="H11633">IFERROR(INDEX(INVESTOR_LIST[INVESTOR NAME],MATCH(I11633,INVESTOR_LIST[INVESTOR CODE],0),)," ")</f>
        <v xml:space="preserve"> </v>
      </c>
      <c r="I11633" s="228"/>
      <c r="J11633" s="232" t="s">
        <v>55</v>
      </c>
      <c r="K11633" s="230"/>
      <c r="L11633" s="230">
        <f>K11632</f>
        <v>215328.75</v>
      </c>
    </row>
    <row r="11634" spans="1:14" ht="11.25" customHeight="1" x14ac:dyDescent="0.2">
      <c r="A11634" s="280">
        <v>2026</v>
      </c>
      <c r="B11634" s="280">
        <v>2</v>
      </c>
      <c r="C11634" s="280">
        <v>17</v>
      </c>
      <c r="D11634" s="281">
        <f t="shared" si="1292"/>
        <v>46070</v>
      </c>
      <c r="E11634" s="282">
        <f t="shared" si="1293"/>
        <v>46070</v>
      </c>
      <c r="F11634" s="472" t="s">
        <v>1584</v>
      </c>
      <c r="G11634" s="283" t="s">
        <v>86</v>
      </c>
      <c r="H11634" s="284"/>
      <c r="I11634" s="284"/>
      <c r="J11634" s="285" t="s">
        <v>131</v>
      </c>
      <c r="K11634" s="286">
        <v>1277.7777777777801</v>
      </c>
      <c r="L11634" s="286"/>
      <c r="M11634" s="401"/>
      <c r="N11634" s="166"/>
    </row>
    <row r="11635" spans="1:14" ht="11.25" customHeight="1" x14ac:dyDescent="0.2">
      <c r="A11635" s="287">
        <v>2026</v>
      </c>
      <c r="B11635" s="287">
        <v>2</v>
      </c>
      <c r="C11635" s="287">
        <v>17</v>
      </c>
      <c r="D11635" s="288">
        <f t="shared" si="1292"/>
        <v>46070</v>
      </c>
      <c r="E11635" s="289">
        <f t="shared" si="1293"/>
        <v>46070</v>
      </c>
      <c r="F11635" s="473"/>
      <c r="G11635" s="290" t="s">
        <v>86</v>
      </c>
      <c r="H11635" s="291"/>
      <c r="I11635" s="291"/>
      <c r="J11635" s="292" t="s">
        <v>1469</v>
      </c>
      <c r="K11635" s="293"/>
      <c r="L11635" s="293">
        <f>K11634</f>
        <v>1277.7777777777801</v>
      </c>
    </row>
    <row r="11636" spans="1:14" ht="11.25" customHeight="1" x14ac:dyDescent="0.2">
      <c r="A11636" s="280">
        <v>2026</v>
      </c>
      <c r="B11636" s="280">
        <v>2</v>
      </c>
      <c r="C11636" s="280">
        <v>17</v>
      </c>
      <c r="D11636" s="281">
        <f t="shared" si="1292"/>
        <v>46070</v>
      </c>
      <c r="E11636" s="282">
        <f t="shared" si="1293"/>
        <v>46070</v>
      </c>
      <c r="F11636" s="472" t="s">
        <v>1955</v>
      </c>
      <c r="G11636" s="283" t="s">
        <v>86</v>
      </c>
      <c r="H11636" s="284"/>
      <c r="I11636" s="284"/>
      <c r="J11636" s="285" t="s">
        <v>1978</v>
      </c>
      <c r="K11636" s="286">
        <v>6185.4395604395604</v>
      </c>
      <c r="L11636" s="286"/>
      <c r="M11636" s="401"/>
    </row>
    <row r="11637" spans="1:14" ht="11.25" customHeight="1" x14ac:dyDescent="0.2">
      <c r="A11637" s="287">
        <v>2026</v>
      </c>
      <c r="B11637" s="287">
        <v>2</v>
      </c>
      <c r="C11637" s="287">
        <v>17</v>
      </c>
      <c r="D11637" s="288">
        <f t="shared" si="1292"/>
        <v>46070</v>
      </c>
      <c r="E11637" s="289">
        <f t="shared" si="1293"/>
        <v>46070</v>
      </c>
      <c r="F11637" s="473"/>
      <c r="G11637" s="290" t="s">
        <v>86</v>
      </c>
      <c r="H11637" s="291"/>
      <c r="I11637" s="291"/>
      <c r="J11637" s="292" t="s">
        <v>1955</v>
      </c>
      <c r="K11637" s="293"/>
      <c r="L11637" s="293">
        <f>K11636</f>
        <v>6185.4395604395604</v>
      </c>
    </row>
    <row r="11638" spans="1:14" ht="11.25" customHeight="1" x14ac:dyDescent="0.2">
      <c r="A11638" s="341">
        <v>2026</v>
      </c>
      <c r="B11638" s="341">
        <v>2</v>
      </c>
      <c r="C11638" s="341">
        <v>17</v>
      </c>
      <c r="D11638" s="328">
        <f t="shared" si="1292"/>
        <v>46070</v>
      </c>
      <c r="E11638" s="329">
        <f t="shared" si="1293"/>
        <v>46070</v>
      </c>
      <c r="F11638" s="474" t="s">
        <v>1767</v>
      </c>
      <c r="G11638" s="330" t="s">
        <v>86</v>
      </c>
      <c r="H11638" s="332"/>
      <c r="I11638" s="332"/>
      <c r="J11638" s="342" t="s">
        <v>67</v>
      </c>
      <c r="K11638" s="343">
        <v>1932.866459861111</v>
      </c>
      <c r="L11638" s="343"/>
      <c r="M11638" s="166"/>
    </row>
    <row r="11639" spans="1:14" ht="11.25" customHeight="1" x14ac:dyDescent="0.2">
      <c r="A11639" s="344">
        <v>2026</v>
      </c>
      <c r="B11639" s="344">
        <v>2</v>
      </c>
      <c r="C11639" s="344">
        <v>17</v>
      </c>
      <c r="D11639" s="337">
        <f t="shared" si="1292"/>
        <v>46070</v>
      </c>
      <c r="E11639" s="338">
        <f t="shared" si="1293"/>
        <v>46070</v>
      </c>
      <c r="F11639" s="475"/>
      <c r="G11639" s="339" t="s">
        <v>86</v>
      </c>
      <c r="H11639" s="340"/>
      <c r="I11639" s="340"/>
      <c r="J11639" s="345" t="s">
        <v>1974</v>
      </c>
      <c r="K11639" s="346"/>
      <c r="L11639" s="346">
        <f>K11638</f>
        <v>1932.866459861111</v>
      </c>
    </row>
    <row r="11640" spans="1:14" ht="11.25" customHeight="1" x14ac:dyDescent="0.2">
      <c r="A11640" s="236">
        <v>2026</v>
      </c>
      <c r="B11640" s="236">
        <v>2</v>
      </c>
      <c r="C11640" s="236">
        <v>17</v>
      </c>
      <c r="D11640" s="237">
        <f t="shared" si="1292"/>
        <v>46070</v>
      </c>
      <c r="E11640" s="238">
        <f t="shared" si="1293"/>
        <v>46070</v>
      </c>
      <c r="F11640" s="476" t="s">
        <v>1118</v>
      </c>
      <c r="G11640" s="239" t="s">
        <v>86</v>
      </c>
      <c r="H11640" s="239"/>
      <c r="I11640" s="240"/>
      <c r="J11640" s="241" t="s">
        <v>82</v>
      </c>
      <c r="K11640" s="242">
        <v>1687553.719999969</v>
      </c>
      <c r="L11640" s="242"/>
      <c r="M11640" s="166"/>
    </row>
    <row r="11641" spans="1:14" ht="11.25" customHeight="1" x14ac:dyDescent="0.2">
      <c r="A11641" s="243">
        <v>2026</v>
      </c>
      <c r="B11641" s="243">
        <v>2</v>
      </c>
      <c r="C11641" s="243">
        <v>17</v>
      </c>
      <c r="D11641" s="248">
        <f t="shared" si="1292"/>
        <v>46070</v>
      </c>
      <c r="E11641" s="249">
        <f t="shared" si="1293"/>
        <v>46070</v>
      </c>
      <c r="F11641" s="477"/>
      <c r="G11641" s="244" t="s">
        <v>86</v>
      </c>
      <c r="H11641" s="244"/>
      <c r="I11641" s="245"/>
      <c r="J11641" s="246" t="s">
        <v>98</v>
      </c>
      <c r="K11641" s="247"/>
      <c r="L11641" s="247">
        <f>K11640</f>
        <v>1687553.719999969</v>
      </c>
    </row>
    <row r="11642" spans="1:14" ht="11.25" customHeight="1" x14ac:dyDescent="0.2">
      <c r="A11642" s="236">
        <v>2026</v>
      </c>
      <c r="B11642" s="236">
        <v>2</v>
      </c>
      <c r="C11642" s="236">
        <v>17</v>
      </c>
      <c r="D11642" s="237">
        <f t="shared" si="1292"/>
        <v>46070</v>
      </c>
      <c r="E11642" s="238">
        <f t="shared" si="1293"/>
        <v>46070</v>
      </c>
      <c r="F11642" s="476" t="s">
        <v>1999</v>
      </c>
      <c r="G11642" s="239" t="s">
        <v>86</v>
      </c>
      <c r="H11642" s="239"/>
      <c r="I11642" s="240"/>
      <c r="J11642" s="241" t="s">
        <v>87</v>
      </c>
      <c r="K11642" s="242">
        <v>392.46467817896399</v>
      </c>
      <c r="L11642" s="242"/>
      <c r="M11642" s="401"/>
    </row>
    <row r="11643" spans="1:14" ht="11.25" customHeight="1" x14ac:dyDescent="0.2">
      <c r="A11643" s="243">
        <v>2026</v>
      </c>
      <c r="B11643" s="243">
        <v>2</v>
      </c>
      <c r="C11643" s="243">
        <v>17</v>
      </c>
      <c r="D11643" s="248">
        <f t="shared" si="1292"/>
        <v>46070</v>
      </c>
      <c r="E11643" s="249">
        <f t="shared" si="1293"/>
        <v>46070</v>
      </c>
      <c r="F11643" s="477"/>
      <c r="G11643" s="244" t="s">
        <v>86</v>
      </c>
      <c r="H11643" s="244"/>
      <c r="I11643" s="245"/>
      <c r="J11643" s="246" t="s">
        <v>64</v>
      </c>
      <c r="K11643" s="247"/>
      <c r="L11643" s="247">
        <f>K11642</f>
        <v>392.46467817896399</v>
      </c>
    </row>
    <row r="11644" spans="1:14" ht="11.25" customHeight="1" x14ac:dyDescent="0.2">
      <c r="A11644" s="236">
        <v>2026</v>
      </c>
      <c r="B11644" s="236">
        <v>2</v>
      </c>
      <c r="C11644" s="236">
        <v>17</v>
      </c>
      <c r="D11644" s="237">
        <f t="shared" si="1292"/>
        <v>46070</v>
      </c>
      <c r="E11644" s="238">
        <f t="shared" si="1293"/>
        <v>46070</v>
      </c>
      <c r="F11644" s="476" t="s">
        <v>2000</v>
      </c>
      <c r="G11644" s="239" t="s">
        <v>86</v>
      </c>
      <c r="H11644" s="239"/>
      <c r="I11644" s="240"/>
      <c r="J11644" s="241" t="s">
        <v>89</v>
      </c>
      <c r="K11644" s="242">
        <v>15207.684460733884</v>
      </c>
      <c r="L11644" s="242"/>
      <c r="M11644" s="448"/>
    </row>
    <row r="11645" spans="1:14" ht="11.25" customHeight="1" x14ac:dyDescent="0.2">
      <c r="A11645" s="243">
        <v>2026</v>
      </c>
      <c r="B11645" s="243">
        <v>2</v>
      </c>
      <c r="C11645" s="243">
        <v>17</v>
      </c>
      <c r="D11645" s="248">
        <f t="shared" si="1292"/>
        <v>46070</v>
      </c>
      <c r="E11645" s="249">
        <f t="shared" si="1293"/>
        <v>46070</v>
      </c>
      <c r="F11645" s="477"/>
      <c r="G11645" s="244" t="s">
        <v>86</v>
      </c>
      <c r="H11645" s="244"/>
      <c r="I11645" s="245"/>
      <c r="J11645" s="246" t="s">
        <v>50</v>
      </c>
      <c r="K11645" s="247"/>
      <c r="L11645" s="247">
        <f>K11644</f>
        <v>15207.684460733884</v>
      </c>
      <c r="M11645" s="448">
        <v>15207.684460733884</v>
      </c>
    </row>
    <row r="11646" spans="1:14" ht="11.25" customHeight="1" x14ac:dyDescent="0.2">
      <c r="A11646" s="236">
        <v>2026</v>
      </c>
      <c r="B11646" s="236">
        <v>2</v>
      </c>
      <c r="C11646" s="236">
        <v>17</v>
      </c>
      <c r="D11646" s="237">
        <f t="shared" si="1292"/>
        <v>46070</v>
      </c>
      <c r="E11646" s="238">
        <f t="shared" si="1293"/>
        <v>46070</v>
      </c>
      <c r="F11646" s="476" t="s">
        <v>2001</v>
      </c>
      <c r="G11646" s="239" t="s">
        <v>86</v>
      </c>
      <c r="H11646" s="239"/>
      <c r="I11646" s="240"/>
      <c r="J11646" s="241" t="s">
        <v>91</v>
      </c>
      <c r="K11646" s="242">
        <v>739.12035599031753</v>
      </c>
      <c r="L11646" s="242"/>
      <c r="M11646" s="156">
        <v>739.12035599031753</v>
      </c>
    </row>
    <row r="11647" spans="1:14" ht="11.25" customHeight="1" x14ac:dyDescent="0.2">
      <c r="A11647" s="243">
        <v>2026</v>
      </c>
      <c r="B11647" s="243">
        <v>2</v>
      </c>
      <c r="C11647" s="243">
        <v>17</v>
      </c>
      <c r="D11647" s="248">
        <f t="shared" si="1292"/>
        <v>46070</v>
      </c>
      <c r="E11647" s="249">
        <f t="shared" si="1293"/>
        <v>46070</v>
      </c>
      <c r="F11647" s="477"/>
      <c r="G11647" s="244" t="s">
        <v>86</v>
      </c>
      <c r="H11647" s="244"/>
      <c r="I11647" s="245"/>
      <c r="J11647" s="246" t="s">
        <v>51</v>
      </c>
      <c r="K11647" s="247"/>
      <c r="L11647" s="247">
        <f>K11646</f>
        <v>739.12035599031753</v>
      </c>
    </row>
    <row r="11648" spans="1:14" ht="11.25" customHeight="1" x14ac:dyDescent="0.2">
      <c r="A11648" s="221">
        <v>2026</v>
      </c>
      <c r="B11648" s="221">
        <v>2</v>
      </c>
      <c r="C11648" s="221">
        <v>18</v>
      </c>
      <c r="D11648" s="231">
        <f t="shared" si="1292"/>
        <v>46071</v>
      </c>
      <c r="E11648" s="233">
        <f t="shared" si="1293"/>
        <v>46071</v>
      </c>
      <c r="F11648" s="478" t="s">
        <v>1115</v>
      </c>
      <c r="G11648" s="222" t="s">
        <v>1111</v>
      </c>
      <c r="H11648" s="223"/>
      <c r="I11648" s="223"/>
      <c r="J11648" s="224" t="s">
        <v>14</v>
      </c>
      <c r="K11648" s="167">
        <v>552930</v>
      </c>
      <c r="L11648" s="225"/>
    </row>
    <row r="11649" spans="1:14" ht="11.25" customHeight="1" x14ac:dyDescent="0.2">
      <c r="A11649" s="164">
        <v>2026</v>
      </c>
      <c r="B11649" s="164">
        <v>2</v>
      </c>
      <c r="C11649" s="164">
        <v>18</v>
      </c>
      <c r="D11649" s="156">
        <f t="shared" si="1292"/>
        <v>46071</v>
      </c>
      <c r="E11649" s="235">
        <f t="shared" si="1293"/>
        <v>46071</v>
      </c>
      <c r="F11649" s="480"/>
      <c r="G11649" s="208" t="s">
        <v>1111</v>
      </c>
      <c r="J11649" s="165" t="s">
        <v>1112</v>
      </c>
      <c r="K11649" s="167">
        <v>170247.15000000002</v>
      </c>
      <c r="L11649" s="205"/>
    </row>
    <row r="11650" spans="1:14" ht="11.25" customHeight="1" x14ac:dyDescent="0.2">
      <c r="A11650" s="226">
        <v>2026</v>
      </c>
      <c r="B11650" s="226">
        <v>2</v>
      </c>
      <c r="C11650" s="226">
        <v>18</v>
      </c>
      <c r="D11650" s="232">
        <f t="shared" si="1292"/>
        <v>46071</v>
      </c>
      <c r="E11650" s="234">
        <f t="shared" si="1293"/>
        <v>46071</v>
      </c>
      <c r="F11650" s="479"/>
      <c r="G11650" s="227" t="s">
        <v>1111</v>
      </c>
      <c r="H11650" s="228"/>
      <c r="I11650" s="228"/>
      <c r="J11650" s="229" t="s">
        <v>55</v>
      </c>
      <c r="K11650" s="230"/>
      <c r="L11650" s="230">
        <v>723177.15</v>
      </c>
    </row>
    <row r="11651" spans="1:14" ht="11.25" customHeight="1" x14ac:dyDescent="0.2">
      <c r="A11651" s="221">
        <v>2026</v>
      </c>
      <c r="B11651" s="221">
        <v>2</v>
      </c>
      <c r="C11651" s="221">
        <v>18</v>
      </c>
      <c r="D11651" s="231">
        <f t="shared" si="1292"/>
        <v>46071</v>
      </c>
      <c r="E11651" s="233">
        <f t="shared" si="1293"/>
        <v>46071</v>
      </c>
      <c r="F11651" s="478" t="s">
        <v>1670</v>
      </c>
      <c r="G11651" s="222" t="s">
        <v>1111</v>
      </c>
      <c r="H11651" s="223"/>
      <c r="I11651" s="223"/>
      <c r="J11651" s="224" t="s">
        <v>63</v>
      </c>
      <c r="K11651" s="225">
        <f>200+75</f>
        <v>275</v>
      </c>
      <c r="L11651" s="225"/>
    </row>
    <row r="11652" spans="1:14" ht="11.25" customHeight="1" x14ac:dyDescent="0.2">
      <c r="A11652" s="226">
        <v>2026</v>
      </c>
      <c r="B11652" s="226">
        <v>2</v>
      </c>
      <c r="C11652" s="226">
        <v>18</v>
      </c>
      <c r="D11652" s="232">
        <f t="shared" si="1292"/>
        <v>46071</v>
      </c>
      <c r="E11652" s="234">
        <f t="shared" si="1293"/>
        <v>46071</v>
      </c>
      <c r="F11652" s="479"/>
      <c r="G11652" s="227" t="s">
        <v>1111</v>
      </c>
      <c r="H11652" s="228"/>
      <c r="I11652" s="228"/>
      <c r="J11652" s="229" t="s">
        <v>55</v>
      </c>
      <c r="K11652" s="230"/>
      <c r="L11652" s="230">
        <f>K11651</f>
        <v>275</v>
      </c>
    </row>
    <row r="11653" spans="1:14" ht="11.25" customHeight="1" x14ac:dyDescent="0.2">
      <c r="A11653" s="221">
        <v>2026</v>
      </c>
      <c r="B11653" s="221">
        <v>2</v>
      </c>
      <c r="C11653" s="221">
        <v>18</v>
      </c>
      <c r="D11653" s="231">
        <f t="shared" si="1292"/>
        <v>46071</v>
      </c>
      <c r="E11653" s="233">
        <f t="shared" si="1293"/>
        <v>46071</v>
      </c>
      <c r="F11653" s="478" t="s">
        <v>1995</v>
      </c>
      <c r="G11653" s="222" t="s">
        <v>1111</v>
      </c>
      <c r="H11653" s="223"/>
      <c r="I11653" s="223"/>
      <c r="J11653" s="224" t="s">
        <v>55</v>
      </c>
      <c r="K11653" s="225">
        <v>145054</v>
      </c>
      <c r="L11653" s="225"/>
    </row>
    <row r="11654" spans="1:14" ht="11.25" customHeight="1" x14ac:dyDescent="0.2">
      <c r="A11654" s="226">
        <v>2026</v>
      </c>
      <c r="B11654" s="226">
        <v>2</v>
      </c>
      <c r="C11654" s="226">
        <v>18</v>
      </c>
      <c r="D11654" s="232">
        <f t="shared" si="1292"/>
        <v>46071</v>
      </c>
      <c r="E11654" s="234">
        <f t="shared" si="1293"/>
        <v>46071</v>
      </c>
      <c r="F11654" s="479"/>
      <c r="G11654" s="227" t="s">
        <v>1111</v>
      </c>
      <c r="H11654" s="228"/>
      <c r="I11654" s="228"/>
      <c r="J11654" s="229" t="s">
        <v>191</v>
      </c>
      <c r="K11654" s="230"/>
      <c r="L11654" s="230">
        <f>K11653</f>
        <v>145054</v>
      </c>
    </row>
    <row r="11655" spans="1:14" ht="11.25" customHeight="1" x14ac:dyDescent="0.2">
      <c r="A11655" s="221">
        <v>2026</v>
      </c>
      <c r="B11655" s="221">
        <v>2</v>
      </c>
      <c r="C11655" s="221">
        <v>18</v>
      </c>
      <c r="D11655" s="221">
        <f t="shared" si="1292"/>
        <v>46071</v>
      </c>
      <c r="E11655" s="233">
        <f t="shared" si="1293"/>
        <v>46071</v>
      </c>
      <c r="F11655" s="478" t="s">
        <v>1937</v>
      </c>
      <c r="G11655" s="222" t="s">
        <v>86</v>
      </c>
      <c r="H11655" s="222"/>
      <c r="I11655" s="223"/>
      <c r="J11655" s="224" t="s">
        <v>80</v>
      </c>
      <c r="K11655" s="225">
        <v>2218920</v>
      </c>
      <c r="L11655" s="225"/>
      <c r="N11655" s="263"/>
    </row>
    <row r="11656" spans="1:14" ht="11.25" customHeight="1" x14ac:dyDescent="0.2">
      <c r="A11656" s="164">
        <v>2026</v>
      </c>
      <c r="B11656" s="164">
        <v>2</v>
      </c>
      <c r="C11656" s="164">
        <v>18</v>
      </c>
      <c r="D11656" s="164">
        <f t="shared" si="1292"/>
        <v>46071</v>
      </c>
      <c r="E11656" s="235">
        <f t="shared" si="1293"/>
        <v>46071</v>
      </c>
      <c r="F11656" s="480"/>
      <c r="G11656" s="208" t="s">
        <v>86</v>
      </c>
      <c r="H11656" s="208"/>
      <c r="J11656" s="165" t="s">
        <v>960</v>
      </c>
      <c r="K11656" s="205">
        <v>7553.9</v>
      </c>
      <c r="L11656" s="205"/>
      <c r="M11656" s="263"/>
      <c r="N11656" s="263"/>
    </row>
    <row r="11657" spans="1:14" ht="11.25" customHeight="1" x14ac:dyDescent="0.2">
      <c r="A11657" s="164">
        <v>2026</v>
      </c>
      <c r="B11657" s="164">
        <v>2</v>
      </c>
      <c r="C11657" s="164">
        <v>18</v>
      </c>
      <c r="D11657" s="164">
        <f t="shared" si="1292"/>
        <v>46071</v>
      </c>
      <c r="E11657" s="235">
        <f t="shared" si="1293"/>
        <v>46071</v>
      </c>
      <c r="F11657" s="480"/>
      <c r="G11657" s="208" t="s">
        <v>86</v>
      </c>
      <c r="H11657" s="208"/>
      <c r="J11657" s="165" t="s">
        <v>143</v>
      </c>
      <c r="K11657" s="263"/>
      <c r="L11657" s="205">
        <v>248783.1</v>
      </c>
      <c r="M11657" s="263"/>
      <c r="N11657" s="263"/>
    </row>
    <row r="11658" spans="1:14" ht="11.25" customHeight="1" x14ac:dyDescent="0.2">
      <c r="A11658" s="164">
        <v>2026</v>
      </c>
      <c r="B11658" s="164">
        <v>2</v>
      </c>
      <c r="C11658" s="164">
        <v>18</v>
      </c>
      <c r="D11658" s="164">
        <f t="shared" si="1292"/>
        <v>46071</v>
      </c>
      <c r="E11658" s="235">
        <f t="shared" si="1293"/>
        <v>46071</v>
      </c>
      <c r="F11658" s="480"/>
      <c r="G11658" s="208" t="s">
        <v>86</v>
      </c>
      <c r="H11658" s="208"/>
      <c r="J11658" s="165" t="s">
        <v>200</v>
      </c>
      <c r="K11658" s="205"/>
      <c r="L11658" s="205">
        <v>508430</v>
      </c>
      <c r="M11658" s="263"/>
      <c r="N11658" s="263"/>
    </row>
    <row r="11659" spans="1:14" ht="11.25" customHeight="1" x14ac:dyDescent="0.2">
      <c r="A11659" s="226">
        <v>2026</v>
      </c>
      <c r="B11659" s="226">
        <v>2</v>
      </c>
      <c r="C11659" s="226">
        <v>18</v>
      </c>
      <c r="D11659" s="226">
        <f t="shared" si="1292"/>
        <v>46071</v>
      </c>
      <c r="E11659" s="234">
        <f t="shared" si="1293"/>
        <v>46071</v>
      </c>
      <c r="F11659" s="479"/>
      <c r="G11659" s="227" t="s">
        <v>86</v>
      </c>
      <c r="H11659" s="228"/>
      <c r="I11659" s="228"/>
      <c r="J11659" s="229" t="s">
        <v>80</v>
      </c>
      <c r="K11659" s="230"/>
      <c r="L11659" s="230">
        <v>1469260.8</v>
      </c>
      <c r="M11659" s="263"/>
      <c r="N11659" s="263"/>
    </row>
    <row r="11660" spans="1:14" ht="11.25" customHeight="1" x14ac:dyDescent="0.2">
      <c r="A11660" s="221">
        <v>2026</v>
      </c>
      <c r="B11660" s="221">
        <v>2</v>
      </c>
      <c r="C11660" s="221">
        <v>18</v>
      </c>
      <c r="D11660" s="221">
        <f t="shared" ref="D11660:D11666" si="1294">DATE(A11660,B11660,C11660)</f>
        <v>46071</v>
      </c>
      <c r="E11660" s="233">
        <f t="shared" ref="E11660:E11666" si="1295">DATE(A11660,B11660,C11660)</f>
        <v>46071</v>
      </c>
      <c r="F11660" s="478" t="s">
        <v>1996</v>
      </c>
      <c r="G11660" s="222" t="s">
        <v>86</v>
      </c>
      <c r="H11660" s="222"/>
      <c r="I11660" s="223"/>
      <c r="J11660" s="224" t="s">
        <v>80</v>
      </c>
      <c r="K11660" s="225">
        <v>617000</v>
      </c>
      <c r="L11660" s="225"/>
      <c r="N11660" s="263"/>
    </row>
    <row r="11661" spans="1:14" ht="11.25" customHeight="1" x14ac:dyDescent="0.2">
      <c r="A11661" s="164">
        <v>2026</v>
      </c>
      <c r="B11661" s="164">
        <v>2</v>
      </c>
      <c r="C11661" s="164">
        <v>18</v>
      </c>
      <c r="D11661" s="164">
        <f t="shared" si="1294"/>
        <v>46071</v>
      </c>
      <c r="E11661" s="235">
        <f t="shared" si="1295"/>
        <v>46071</v>
      </c>
      <c r="F11661" s="480"/>
      <c r="G11661" s="208" t="s">
        <v>86</v>
      </c>
      <c r="H11661" s="208"/>
      <c r="J11661" s="165" t="s">
        <v>960</v>
      </c>
      <c r="K11661" s="205">
        <v>1846.8</v>
      </c>
      <c r="L11661" s="205"/>
      <c r="M11661" s="263"/>
      <c r="N11661" s="263"/>
    </row>
    <row r="11662" spans="1:14" ht="11.25" customHeight="1" x14ac:dyDescent="0.2">
      <c r="A11662" s="164">
        <v>2026</v>
      </c>
      <c r="B11662" s="164">
        <v>2</v>
      </c>
      <c r="C11662" s="164">
        <v>18</v>
      </c>
      <c r="D11662" s="164">
        <f t="shared" si="1294"/>
        <v>46071</v>
      </c>
      <c r="E11662" s="235">
        <f t="shared" si="1295"/>
        <v>46071</v>
      </c>
      <c r="F11662" s="480"/>
      <c r="G11662" s="208" t="s">
        <v>86</v>
      </c>
      <c r="H11662" s="208"/>
      <c r="J11662" s="165" t="s">
        <v>143</v>
      </c>
      <c r="K11662" s="263"/>
      <c r="L11662" s="205">
        <v>209846.8</v>
      </c>
      <c r="M11662" s="263"/>
      <c r="N11662" s="263"/>
    </row>
    <row r="11663" spans="1:14" ht="11.25" customHeight="1" x14ac:dyDescent="0.2">
      <c r="A11663" s="164">
        <v>2026</v>
      </c>
      <c r="B11663" s="164">
        <v>2</v>
      </c>
      <c r="C11663" s="164">
        <v>18</v>
      </c>
      <c r="D11663" s="164">
        <f t="shared" si="1294"/>
        <v>46071</v>
      </c>
      <c r="E11663" s="235">
        <f t="shared" si="1295"/>
        <v>46071</v>
      </c>
      <c r="F11663" s="480"/>
      <c r="G11663" s="208" t="s">
        <v>86</v>
      </c>
      <c r="H11663" s="208"/>
      <c r="J11663" s="165" t="s">
        <v>200</v>
      </c>
      <c r="K11663" s="205"/>
      <c r="L11663" s="205">
        <v>112808.34</v>
      </c>
      <c r="M11663" s="263"/>
      <c r="N11663" s="263"/>
    </row>
    <row r="11664" spans="1:14" ht="11.25" customHeight="1" x14ac:dyDescent="0.2">
      <c r="A11664" s="226">
        <v>2026</v>
      </c>
      <c r="B11664" s="226">
        <v>2</v>
      </c>
      <c r="C11664" s="226">
        <v>18</v>
      </c>
      <c r="D11664" s="226">
        <f t="shared" si="1294"/>
        <v>46071</v>
      </c>
      <c r="E11664" s="234">
        <f t="shared" si="1295"/>
        <v>46071</v>
      </c>
      <c r="F11664" s="479"/>
      <c r="G11664" s="227" t="s">
        <v>86</v>
      </c>
      <c r="H11664" s="228"/>
      <c r="I11664" s="228"/>
      <c r="J11664" s="229" t="s">
        <v>80</v>
      </c>
      <c r="K11664" s="230"/>
      <c r="L11664" s="230">
        <v>296191.65999999997</v>
      </c>
      <c r="M11664" s="263"/>
      <c r="N11664" s="263"/>
    </row>
    <row r="11665" spans="1:14" ht="11.25" customHeight="1" x14ac:dyDescent="0.2">
      <c r="A11665" s="221">
        <v>2026</v>
      </c>
      <c r="B11665" s="221">
        <v>2</v>
      </c>
      <c r="C11665" s="221">
        <v>18</v>
      </c>
      <c r="D11665" s="231">
        <f t="shared" si="1294"/>
        <v>46071</v>
      </c>
      <c r="E11665" s="233">
        <f t="shared" si="1295"/>
        <v>46071</v>
      </c>
      <c r="F11665" s="478" t="s">
        <v>1997</v>
      </c>
      <c r="G11665" s="222" t="s">
        <v>1111</v>
      </c>
      <c r="H11665" s="223"/>
      <c r="I11665" s="223"/>
      <c r="J11665" s="224" t="s">
        <v>192</v>
      </c>
      <c r="K11665" s="225">
        <v>220542.5</v>
      </c>
      <c r="L11665" s="225"/>
    </row>
    <row r="11666" spans="1:14" ht="11.25" customHeight="1" x14ac:dyDescent="0.2">
      <c r="A11666" s="226">
        <v>2026</v>
      </c>
      <c r="B11666" s="226">
        <v>2</v>
      </c>
      <c r="C11666" s="226">
        <v>18</v>
      </c>
      <c r="D11666" s="232">
        <f t="shared" si="1294"/>
        <v>46071</v>
      </c>
      <c r="E11666" s="234">
        <f t="shared" si="1295"/>
        <v>46071</v>
      </c>
      <c r="F11666" s="479"/>
      <c r="G11666" s="227" t="s">
        <v>1111</v>
      </c>
      <c r="H11666" s="228"/>
      <c r="I11666" s="228"/>
      <c r="J11666" s="229" t="s">
        <v>191</v>
      </c>
      <c r="K11666" s="230"/>
      <c r="L11666" s="230">
        <f>K11665</f>
        <v>220542.5</v>
      </c>
    </row>
    <row r="11667" spans="1:14" ht="11.25" customHeight="1" x14ac:dyDescent="0.2">
      <c r="A11667" s="280">
        <v>2026</v>
      </c>
      <c r="B11667" s="280">
        <v>2</v>
      </c>
      <c r="C11667" s="280">
        <v>18</v>
      </c>
      <c r="D11667" s="281">
        <f t="shared" ref="D11667:D11695" si="1296">DATE(A11667,B11667,C11667)</f>
        <v>46071</v>
      </c>
      <c r="E11667" s="282">
        <f t="shared" ref="E11667:E11695" si="1297">DATE(A11667,B11667,C11667)</f>
        <v>46071</v>
      </c>
      <c r="F11667" s="472" t="s">
        <v>1584</v>
      </c>
      <c r="G11667" s="283" t="s">
        <v>86</v>
      </c>
      <c r="H11667" s="284"/>
      <c r="I11667" s="284"/>
      <c r="J11667" s="285" t="s">
        <v>131</v>
      </c>
      <c r="K11667" s="286">
        <v>1277.7777777777801</v>
      </c>
      <c r="L11667" s="286"/>
      <c r="M11667" s="401"/>
      <c r="N11667" s="166"/>
    </row>
    <row r="11668" spans="1:14" ht="11.25" customHeight="1" x14ac:dyDescent="0.2">
      <c r="A11668" s="287">
        <v>2026</v>
      </c>
      <c r="B11668" s="287">
        <v>2</v>
      </c>
      <c r="C11668" s="287">
        <v>18</v>
      </c>
      <c r="D11668" s="288">
        <f t="shared" si="1296"/>
        <v>46071</v>
      </c>
      <c r="E11668" s="289">
        <f t="shared" si="1297"/>
        <v>46071</v>
      </c>
      <c r="F11668" s="473"/>
      <c r="G11668" s="290" t="s">
        <v>86</v>
      </c>
      <c r="H11668" s="291"/>
      <c r="I11668" s="291"/>
      <c r="J11668" s="292" t="s">
        <v>1469</v>
      </c>
      <c r="K11668" s="293"/>
      <c r="L11668" s="293">
        <f>K11667</f>
        <v>1277.7777777777801</v>
      </c>
    </row>
    <row r="11669" spans="1:14" ht="11.25" customHeight="1" x14ac:dyDescent="0.2">
      <c r="A11669" s="280">
        <v>2026</v>
      </c>
      <c r="B11669" s="280">
        <v>2</v>
      </c>
      <c r="C11669" s="280">
        <v>18</v>
      </c>
      <c r="D11669" s="281">
        <f t="shared" si="1296"/>
        <v>46071</v>
      </c>
      <c r="E11669" s="282">
        <f t="shared" si="1297"/>
        <v>46071</v>
      </c>
      <c r="F11669" s="472" t="s">
        <v>1955</v>
      </c>
      <c r="G11669" s="283" t="s">
        <v>86</v>
      </c>
      <c r="H11669" s="284"/>
      <c r="I11669" s="284"/>
      <c r="J11669" s="285" t="s">
        <v>1978</v>
      </c>
      <c r="K11669" s="286">
        <v>6185.4395604395604</v>
      </c>
      <c r="L11669" s="286"/>
      <c r="M11669" s="401"/>
    </row>
    <row r="11670" spans="1:14" ht="11.25" customHeight="1" x14ac:dyDescent="0.2">
      <c r="A11670" s="287">
        <v>2026</v>
      </c>
      <c r="B11670" s="287">
        <v>2</v>
      </c>
      <c r="C11670" s="287">
        <v>18</v>
      </c>
      <c r="D11670" s="288">
        <f t="shared" si="1296"/>
        <v>46071</v>
      </c>
      <c r="E11670" s="289">
        <f t="shared" si="1297"/>
        <v>46071</v>
      </c>
      <c r="F11670" s="473"/>
      <c r="G11670" s="290" t="s">
        <v>86</v>
      </c>
      <c r="H11670" s="291"/>
      <c r="I11670" s="291"/>
      <c r="J11670" s="292" t="s">
        <v>1955</v>
      </c>
      <c r="K11670" s="293"/>
      <c r="L11670" s="293">
        <f>K11669</f>
        <v>6185.4395604395604</v>
      </c>
    </row>
    <row r="11671" spans="1:14" ht="11.25" customHeight="1" x14ac:dyDescent="0.2">
      <c r="A11671" s="341">
        <v>2026</v>
      </c>
      <c r="B11671" s="341">
        <v>2</v>
      </c>
      <c r="C11671" s="341">
        <v>18</v>
      </c>
      <c r="D11671" s="328">
        <f t="shared" si="1296"/>
        <v>46071</v>
      </c>
      <c r="E11671" s="329">
        <f t="shared" si="1297"/>
        <v>46071</v>
      </c>
      <c r="F11671" s="474" t="s">
        <v>1767</v>
      </c>
      <c r="G11671" s="330" t="s">
        <v>86</v>
      </c>
      <c r="H11671" s="332"/>
      <c r="I11671" s="332"/>
      <c r="J11671" s="342" t="s">
        <v>67</v>
      </c>
      <c r="K11671" s="343">
        <v>1291.5439286111111</v>
      </c>
      <c r="L11671" s="343"/>
      <c r="M11671" s="166"/>
    </row>
    <row r="11672" spans="1:14" ht="11.25" customHeight="1" x14ac:dyDescent="0.2">
      <c r="A11672" s="344">
        <v>2026</v>
      </c>
      <c r="B11672" s="344">
        <v>2</v>
      </c>
      <c r="C11672" s="344">
        <v>18</v>
      </c>
      <c r="D11672" s="337">
        <f t="shared" si="1296"/>
        <v>46071</v>
      </c>
      <c r="E11672" s="338">
        <f t="shared" si="1297"/>
        <v>46071</v>
      </c>
      <c r="F11672" s="475"/>
      <c r="G11672" s="339" t="s">
        <v>86</v>
      </c>
      <c r="H11672" s="340"/>
      <c r="I11672" s="340"/>
      <c r="J11672" s="345" t="s">
        <v>1974</v>
      </c>
      <c r="K11672" s="346"/>
      <c r="L11672" s="346">
        <f>K11671</f>
        <v>1291.5439286111111</v>
      </c>
    </row>
    <row r="11673" spans="1:14" ht="11.25" customHeight="1" x14ac:dyDescent="0.2">
      <c r="A11673" s="236">
        <v>2026</v>
      </c>
      <c r="B11673" s="236">
        <v>2</v>
      </c>
      <c r="C11673" s="236">
        <v>18</v>
      </c>
      <c r="D11673" s="237">
        <f t="shared" si="1296"/>
        <v>46071</v>
      </c>
      <c r="E11673" s="238">
        <f t="shared" si="1297"/>
        <v>46071</v>
      </c>
      <c r="F11673" s="476" t="s">
        <v>1118</v>
      </c>
      <c r="G11673" s="239" t="s">
        <v>86</v>
      </c>
      <c r="H11673" s="239"/>
      <c r="I11673" s="240"/>
      <c r="J11673" s="241" t="s">
        <v>82</v>
      </c>
      <c r="K11673" s="242">
        <v>1972650.6400000155</v>
      </c>
      <c r="L11673" s="242"/>
      <c r="M11673" s="166"/>
    </row>
    <row r="11674" spans="1:14" ht="11.25" customHeight="1" x14ac:dyDescent="0.2">
      <c r="A11674" s="243">
        <v>2026</v>
      </c>
      <c r="B11674" s="243">
        <v>2</v>
      </c>
      <c r="C11674" s="243">
        <v>18</v>
      </c>
      <c r="D11674" s="248">
        <f t="shared" si="1296"/>
        <v>46071</v>
      </c>
      <c r="E11674" s="249">
        <f t="shared" si="1297"/>
        <v>46071</v>
      </c>
      <c r="F11674" s="477"/>
      <c r="G11674" s="244" t="s">
        <v>86</v>
      </c>
      <c r="H11674" s="244"/>
      <c r="I11674" s="245"/>
      <c r="J11674" s="246" t="s">
        <v>98</v>
      </c>
      <c r="K11674" s="247"/>
      <c r="L11674" s="247">
        <f>K11673</f>
        <v>1972650.6400000155</v>
      </c>
    </row>
    <row r="11675" spans="1:14" ht="11.25" customHeight="1" x14ac:dyDescent="0.2">
      <c r="A11675" s="236">
        <v>2026</v>
      </c>
      <c r="B11675" s="236">
        <v>2</v>
      </c>
      <c r="C11675" s="236">
        <v>18</v>
      </c>
      <c r="D11675" s="237">
        <f t="shared" si="1296"/>
        <v>46071</v>
      </c>
      <c r="E11675" s="238">
        <f t="shared" si="1297"/>
        <v>46071</v>
      </c>
      <c r="F11675" s="476" t="s">
        <v>1999</v>
      </c>
      <c r="G11675" s="239" t="s">
        <v>86</v>
      </c>
      <c r="H11675" s="239"/>
      <c r="I11675" s="240"/>
      <c r="J11675" s="241" t="s">
        <v>87</v>
      </c>
      <c r="K11675" s="242">
        <v>392.46467817896399</v>
      </c>
      <c r="L11675" s="242"/>
      <c r="M11675" s="401"/>
    </row>
    <row r="11676" spans="1:14" ht="11.25" customHeight="1" x14ac:dyDescent="0.2">
      <c r="A11676" s="243">
        <v>2026</v>
      </c>
      <c r="B11676" s="243">
        <v>2</v>
      </c>
      <c r="C11676" s="243">
        <v>18</v>
      </c>
      <c r="D11676" s="248">
        <f t="shared" si="1296"/>
        <v>46071</v>
      </c>
      <c r="E11676" s="249">
        <f t="shared" si="1297"/>
        <v>46071</v>
      </c>
      <c r="F11676" s="477"/>
      <c r="G11676" s="244" t="s">
        <v>86</v>
      </c>
      <c r="H11676" s="244"/>
      <c r="I11676" s="245"/>
      <c r="J11676" s="246" t="s">
        <v>64</v>
      </c>
      <c r="K11676" s="247"/>
      <c r="L11676" s="247">
        <f>K11675</f>
        <v>392.46467817896399</v>
      </c>
    </row>
    <row r="11677" spans="1:14" ht="11.25" customHeight="1" x14ac:dyDescent="0.2">
      <c r="A11677" s="236">
        <v>2026</v>
      </c>
      <c r="B11677" s="236">
        <v>2</v>
      </c>
      <c r="C11677" s="236">
        <v>18</v>
      </c>
      <c r="D11677" s="237">
        <f t="shared" si="1296"/>
        <v>46071</v>
      </c>
      <c r="E11677" s="238">
        <f t="shared" si="1297"/>
        <v>46071</v>
      </c>
      <c r="F11677" s="476" t="s">
        <v>2000</v>
      </c>
      <c r="G11677" s="239" t="s">
        <v>86</v>
      </c>
      <c r="H11677" s="239"/>
      <c r="I11677" s="240"/>
      <c r="J11677" s="241" t="s">
        <v>89</v>
      </c>
      <c r="K11677" s="242">
        <v>15024.439447345363</v>
      </c>
      <c r="L11677" s="242"/>
      <c r="M11677" s="448"/>
    </row>
    <row r="11678" spans="1:14" ht="11.25" customHeight="1" x14ac:dyDescent="0.2">
      <c r="A11678" s="243">
        <v>2026</v>
      </c>
      <c r="B11678" s="243">
        <v>2</v>
      </c>
      <c r="C11678" s="243">
        <v>18</v>
      </c>
      <c r="D11678" s="248">
        <f t="shared" si="1296"/>
        <v>46071</v>
      </c>
      <c r="E11678" s="249">
        <f t="shared" si="1297"/>
        <v>46071</v>
      </c>
      <c r="F11678" s="477"/>
      <c r="G11678" s="244" t="s">
        <v>86</v>
      </c>
      <c r="H11678" s="244"/>
      <c r="I11678" s="245"/>
      <c r="J11678" s="246" t="s">
        <v>50</v>
      </c>
      <c r="K11678" s="247"/>
      <c r="L11678" s="247">
        <f>K11677</f>
        <v>15024.439447345363</v>
      </c>
      <c r="M11678" s="448"/>
    </row>
    <row r="11679" spans="1:14" ht="11.25" customHeight="1" x14ac:dyDescent="0.2">
      <c r="A11679" s="236">
        <v>2026</v>
      </c>
      <c r="B11679" s="236">
        <v>2</v>
      </c>
      <c r="C11679" s="236">
        <v>18</v>
      </c>
      <c r="D11679" s="237">
        <f t="shared" si="1296"/>
        <v>46071</v>
      </c>
      <c r="E11679" s="238">
        <f t="shared" si="1297"/>
        <v>46071</v>
      </c>
      <c r="F11679" s="476" t="s">
        <v>2001</v>
      </c>
      <c r="G11679" s="239" t="s">
        <v>86</v>
      </c>
      <c r="H11679" s="239"/>
      <c r="I11679" s="240"/>
      <c r="J11679" s="241" t="s">
        <v>91</v>
      </c>
      <c r="K11679" s="242">
        <v>726.90402176441614</v>
      </c>
      <c r="L11679" s="242"/>
    </row>
    <row r="11680" spans="1:14" ht="11.25" customHeight="1" x14ac:dyDescent="0.2">
      <c r="A11680" s="243">
        <v>2026</v>
      </c>
      <c r="B11680" s="243">
        <v>2</v>
      </c>
      <c r="C11680" s="243">
        <v>18</v>
      </c>
      <c r="D11680" s="248">
        <f t="shared" si="1296"/>
        <v>46071</v>
      </c>
      <c r="E11680" s="249">
        <f t="shared" si="1297"/>
        <v>46071</v>
      </c>
      <c r="F11680" s="477"/>
      <c r="G11680" s="244" t="s">
        <v>86</v>
      </c>
      <c r="H11680" s="244"/>
      <c r="I11680" s="245"/>
      <c r="J11680" s="246" t="s">
        <v>51</v>
      </c>
      <c r="K11680" s="247"/>
      <c r="L11680" s="247">
        <f>K11679</f>
        <v>726.90402176441614</v>
      </c>
    </row>
    <row r="11681" spans="1:14" ht="11.25" customHeight="1" x14ac:dyDescent="0.2">
      <c r="A11681" s="221">
        <v>2026</v>
      </c>
      <c r="B11681" s="221">
        <v>2</v>
      </c>
      <c r="C11681" s="221">
        <v>19</v>
      </c>
      <c r="D11681" s="221">
        <f t="shared" si="1296"/>
        <v>46072</v>
      </c>
      <c r="E11681" s="233">
        <f t="shared" si="1297"/>
        <v>46072</v>
      </c>
      <c r="F11681" s="478" t="s">
        <v>1937</v>
      </c>
      <c r="G11681" s="222" t="s">
        <v>86</v>
      </c>
      <c r="H11681" s="222"/>
      <c r="I11681" s="223"/>
      <c r="J11681" s="224" t="s">
        <v>80</v>
      </c>
      <c r="K11681" s="225">
        <v>3004936</v>
      </c>
      <c r="L11681" s="225"/>
      <c r="N11681" s="263"/>
    </row>
    <row r="11682" spans="1:14" ht="11.25" customHeight="1" x14ac:dyDescent="0.2">
      <c r="A11682" s="164">
        <v>2026</v>
      </c>
      <c r="B11682" s="164">
        <v>2</v>
      </c>
      <c r="C11682" s="164">
        <v>19</v>
      </c>
      <c r="D11682" s="164">
        <f t="shared" si="1296"/>
        <v>46072</v>
      </c>
      <c r="E11682" s="235">
        <f t="shared" si="1297"/>
        <v>46072</v>
      </c>
      <c r="F11682" s="480"/>
      <c r="G11682" s="208" t="s">
        <v>86</v>
      </c>
      <c r="H11682" s="208"/>
      <c r="J11682" s="165" t="s">
        <v>960</v>
      </c>
      <c r="K11682" s="205">
        <v>8389.9699999999993</v>
      </c>
      <c r="L11682" s="205"/>
      <c r="M11682" s="263"/>
      <c r="N11682" s="263"/>
    </row>
    <row r="11683" spans="1:14" ht="11.25" customHeight="1" x14ac:dyDescent="0.2">
      <c r="A11683" s="164">
        <v>2026</v>
      </c>
      <c r="B11683" s="164">
        <v>2</v>
      </c>
      <c r="C11683" s="164">
        <v>19</v>
      </c>
      <c r="D11683" s="164">
        <f t="shared" si="1296"/>
        <v>46072</v>
      </c>
      <c r="E11683" s="235">
        <f t="shared" si="1297"/>
        <v>46072</v>
      </c>
      <c r="F11683" s="480"/>
      <c r="G11683" s="208" t="s">
        <v>86</v>
      </c>
      <c r="H11683" s="208"/>
      <c r="J11683" s="165" t="s">
        <v>143</v>
      </c>
      <c r="K11683" s="263"/>
      <c r="L11683" s="205">
        <v>1357165.57</v>
      </c>
      <c r="M11683" s="263"/>
      <c r="N11683" s="263"/>
    </row>
    <row r="11684" spans="1:14" ht="11.25" customHeight="1" x14ac:dyDescent="0.2">
      <c r="A11684" s="164">
        <v>2026</v>
      </c>
      <c r="B11684" s="164">
        <v>2</v>
      </c>
      <c r="C11684" s="164">
        <v>19</v>
      </c>
      <c r="D11684" s="164">
        <f t="shared" si="1296"/>
        <v>46072</v>
      </c>
      <c r="E11684" s="235">
        <f t="shared" si="1297"/>
        <v>46072</v>
      </c>
      <c r="F11684" s="480"/>
      <c r="G11684" s="208" t="s">
        <v>86</v>
      </c>
      <c r="H11684" s="208"/>
      <c r="J11684" s="165" t="s">
        <v>200</v>
      </c>
      <c r="K11684" s="205"/>
      <c r="L11684" s="205">
        <v>471393.75</v>
      </c>
      <c r="M11684" s="263"/>
      <c r="N11684" s="263"/>
    </row>
    <row r="11685" spans="1:14" ht="11.25" customHeight="1" x14ac:dyDescent="0.2">
      <c r="A11685" s="226">
        <v>2026</v>
      </c>
      <c r="B11685" s="226">
        <v>2</v>
      </c>
      <c r="C11685" s="226">
        <v>19</v>
      </c>
      <c r="D11685" s="226">
        <f t="shared" si="1296"/>
        <v>46072</v>
      </c>
      <c r="E11685" s="234">
        <f t="shared" si="1297"/>
        <v>46072</v>
      </c>
      <c r="F11685" s="479"/>
      <c r="G11685" s="227" t="s">
        <v>86</v>
      </c>
      <c r="H11685" s="228"/>
      <c r="I11685" s="228"/>
      <c r="J11685" s="229" t="s">
        <v>80</v>
      </c>
      <c r="K11685" s="230"/>
      <c r="L11685" s="230">
        <v>1184766.6499999999</v>
      </c>
      <c r="M11685" s="263"/>
      <c r="N11685" s="263"/>
    </row>
    <row r="11686" spans="1:14" ht="11.25" customHeight="1" x14ac:dyDescent="0.2">
      <c r="A11686" s="221">
        <v>2026</v>
      </c>
      <c r="B11686" s="221">
        <v>2</v>
      </c>
      <c r="C11686" s="221">
        <v>19</v>
      </c>
      <c r="D11686" s="221">
        <f t="shared" si="1296"/>
        <v>46072</v>
      </c>
      <c r="E11686" s="233">
        <f t="shared" si="1297"/>
        <v>46072</v>
      </c>
      <c r="F11686" s="478" t="s">
        <v>1346</v>
      </c>
      <c r="G11686" s="222" t="s">
        <v>86</v>
      </c>
      <c r="H11686" s="222"/>
      <c r="I11686" s="223"/>
      <c r="J11686" s="224" t="s">
        <v>80</v>
      </c>
      <c r="K11686" s="225">
        <v>238550</v>
      </c>
      <c r="L11686" s="225"/>
      <c r="M11686" s="263"/>
      <c r="N11686" s="263"/>
    </row>
    <row r="11687" spans="1:14" ht="11.25" customHeight="1" x14ac:dyDescent="0.2">
      <c r="A11687" s="164">
        <v>2026</v>
      </c>
      <c r="B11687" s="164">
        <v>2</v>
      </c>
      <c r="C11687" s="164">
        <v>19</v>
      </c>
      <c r="D11687" s="164">
        <f t="shared" si="1296"/>
        <v>46072</v>
      </c>
      <c r="E11687" s="235">
        <f t="shared" si="1297"/>
        <v>46072</v>
      </c>
      <c r="F11687" s="480"/>
      <c r="G11687" s="208" t="s">
        <v>86</v>
      </c>
      <c r="H11687" s="208"/>
      <c r="J11687" s="165" t="s">
        <v>960</v>
      </c>
      <c r="K11687" s="205">
        <v>429.39</v>
      </c>
      <c r="L11687" s="205"/>
      <c r="M11687" s="263"/>
      <c r="N11687" s="263"/>
    </row>
    <row r="11688" spans="1:14" ht="11.25" customHeight="1" x14ac:dyDescent="0.2">
      <c r="A11688" s="226">
        <v>2026</v>
      </c>
      <c r="B11688" s="226">
        <v>2</v>
      </c>
      <c r="C11688" s="226">
        <v>19</v>
      </c>
      <c r="D11688" s="226">
        <f t="shared" si="1296"/>
        <v>46072</v>
      </c>
      <c r="E11688" s="234">
        <f t="shared" si="1297"/>
        <v>46072</v>
      </c>
      <c r="F11688" s="479"/>
      <c r="G11688" s="227" t="s">
        <v>86</v>
      </c>
      <c r="H11688" s="227"/>
      <c r="I11688" s="228"/>
      <c r="J11688" s="229" t="s">
        <v>143</v>
      </c>
      <c r="K11688" s="230"/>
      <c r="L11688" s="230">
        <v>238979.39</v>
      </c>
      <c r="M11688" s="263"/>
      <c r="N11688" s="263"/>
    </row>
    <row r="11689" spans="1:14" ht="11.25" customHeight="1" x14ac:dyDescent="0.2">
      <c r="A11689" s="221">
        <v>2026</v>
      </c>
      <c r="B11689" s="221">
        <v>2</v>
      </c>
      <c r="C11689" s="221">
        <v>19</v>
      </c>
      <c r="D11689" s="231">
        <f t="shared" si="1296"/>
        <v>46072</v>
      </c>
      <c r="E11689" s="233">
        <f t="shared" si="1297"/>
        <v>46072</v>
      </c>
      <c r="F11689" s="478" t="s">
        <v>1132</v>
      </c>
      <c r="G11689" s="222" t="s">
        <v>1111</v>
      </c>
      <c r="H11689" s="223"/>
      <c r="I11689" s="223"/>
      <c r="J11689" s="224" t="s">
        <v>55</v>
      </c>
      <c r="K11689" s="225">
        <v>1000</v>
      </c>
      <c r="L11689" s="225"/>
    </row>
    <row r="11690" spans="1:14" ht="11.25" customHeight="1" x14ac:dyDescent="0.2">
      <c r="A11690" s="164">
        <v>2026</v>
      </c>
      <c r="B11690" s="164">
        <v>2</v>
      </c>
      <c r="C11690" s="164">
        <v>19</v>
      </c>
      <c r="D11690" s="156">
        <f t="shared" si="1296"/>
        <v>46072</v>
      </c>
      <c r="E11690" s="235">
        <f t="shared" si="1297"/>
        <v>46072</v>
      </c>
      <c r="F11690" s="480"/>
      <c r="G11690" s="208" t="s">
        <v>1111</v>
      </c>
      <c r="J11690" s="165" t="s">
        <v>14</v>
      </c>
      <c r="K11690" s="205"/>
      <c r="L11690" s="205">
        <v>770</v>
      </c>
    </row>
    <row r="11691" spans="1:14" ht="11.25" customHeight="1" x14ac:dyDescent="0.2">
      <c r="A11691" s="226">
        <v>2026</v>
      </c>
      <c r="B11691" s="226">
        <v>2</v>
      </c>
      <c r="C11691" s="226">
        <v>19</v>
      </c>
      <c r="D11691" s="232">
        <f t="shared" si="1296"/>
        <v>46072</v>
      </c>
      <c r="E11691" s="234">
        <f t="shared" si="1297"/>
        <v>46072</v>
      </c>
      <c r="F11691" s="479"/>
      <c r="G11691" s="227" t="s">
        <v>1111</v>
      </c>
      <c r="H11691" s="228"/>
      <c r="I11691" s="228"/>
      <c r="J11691" s="229" t="s">
        <v>1112</v>
      </c>
      <c r="K11691" s="230"/>
      <c r="L11691" s="230">
        <v>230</v>
      </c>
      <c r="M11691" s="166"/>
    </row>
    <row r="11692" spans="1:14" ht="11.25" customHeight="1" x14ac:dyDescent="0.2">
      <c r="A11692" s="221">
        <v>2026</v>
      </c>
      <c r="B11692" s="221">
        <v>2</v>
      </c>
      <c r="C11692" s="221">
        <v>19</v>
      </c>
      <c r="D11692" s="231">
        <f t="shared" si="1296"/>
        <v>46072</v>
      </c>
      <c r="E11692" s="233">
        <f t="shared" si="1297"/>
        <v>46072</v>
      </c>
      <c r="F11692" s="478" t="s">
        <v>1984</v>
      </c>
      <c r="G11692" s="222" t="s">
        <v>1111</v>
      </c>
      <c r="H11692" s="223" t="str" cm="1">
        <f t="array" ref="H11692">IFERROR(INDEX(INVESTOR_LIST[INVESTOR NAME],MATCH(I11692,INVESTOR_LIST[INVESTOR CODE],0),)," ")</f>
        <v xml:space="preserve"> </v>
      </c>
      <c r="I11692" s="223"/>
      <c r="J11692" s="224" t="s">
        <v>961</v>
      </c>
      <c r="K11692" s="225">
        <v>209846.8</v>
      </c>
      <c r="L11692" s="225"/>
    </row>
    <row r="11693" spans="1:14" ht="11.25" customHeight="1" x14ac:dyDescent="0.2">
      <c r="A11693" s="226">
        <v>2026</v>
      </c>
      <c r="B11693" s="226">
        <v>2</v>
      </c>
      <c r="C11693" s="226">
        <v>19</v>
      </c>
      <c r="D11693" s="232">
        <f t="shared" si="1296"/>
        <v>46072</v>
      </c>
      <c r="E11693" s="234">
        <f t="shared" si="1297"/>
        <v>46072</v>
      </c>
      <c r="F11693" s="479"/>
      <c r="G11693" s="227" t="s">
        <v>1111</v>
      </c>
      <c r="H11693" s="228" t="str" cm="1">
        <f t="array" ref="H11693">IFERROR(INDEX(INVESTOR_LIST[INVESTOR NAME],MATCH(I11693,INVESTOR_LIST[INVESTOR CODE],0),)," ")</f>
        <v xml:space="preserve"> </v>
      </c>
      <c r="I11693" s="228"/>
      <c r="J11693" s="229" t="s">
        <v>55</v>
      </c>
      <c r="K11693" s="230"/>
      <c r="L11693" s="230">
        <f>K11692</f>
        <v>209846.8</v>
      </c>
    </row>
    <row r="11694" spans="1:14" ht="11.25" customHeight="1" x14ac:dyDescent="0.2">
      <c r="A11694" s="221">
        <v>2026</v>
      </c>
      <c r="B11694" s="221">
        <v>2</v>
      </c>
      <c r="C11694" s="221">
        <v>19</v>
      </c>
      <c r="D11694" s="231">
        <f t="shared" si="1296"/>
        <v>46072</v>
      </c>
      <c r="E11694" s="233">
        <f t="shared" si="1297"/>
        <v>46072</v>
      </c>
      <c r="F11694" s="478" t="s">
        <v>1670</v>
      </c>
      <c r="G11694" s="222" t="s">
        <v>1111</v>
      </c>
      <c r="H11694" s="223"/>
      <c r="I11694" s="223"/>
      <c r="J11694" s="224" t="s">
        <v>63</v>
      </c>
      <c r="K11694" s="225">
        <v>58</v>
      </c>
      <c r="L11694" s="225"/>
    </row>
    <row r="11695" spans="1:14" ht="11.25" customHeight="1" x14ac:dyDescent="0.2">
      <c r="A11695" s="226">
        <v>2026</v>
      </c>
      <c r="B11695" s="226">
        <v>2</v>
      </c>
      <c r="C11695" s="226">
        <v>19</v>
      </c>
      <c r="D11695" s="232">
        <f t="shared" si="1296"/>
        <v>46072</v>
      </c>
      <c r="E11695" s="234">
        <f t="shared" si="1297"/>
        <v>46072</v>
      </c>
      <c r="F11695" s="479"/>
      <c r="G11695" s="227" t="s">
        <v>1111</v>
      </c>
      <c r="H11695" s="228"/>
      <c r="I11695" s="228"/>
      <c r="J11695" s="229" t="s">
        <v>55</v>
      </c>
      <c r="K11695" s="230"/>
      <c r="L11695" s="230">
        <f>K11694</f>
        <v>58</v>
      </c>
    </row>
    <row r="11696" spans="1:14" ht="11.25" customHeight="1" x14ac:dyDescent="0.2">
      <c r="A11696" s="280">
        <v>2026</v>
      </c>
      <c r="B11696" s="280">
        <v>2</v>
      </c>
      <c r="C11696" s="280">
        <v>19</v>
      </c>
      <c r="D11696" s="281">
        <f t="shared" ref="D11696:D11724" si="1298">DATE(A11696,B11696,C11696)</f>
        <v>46072</v>
      </c>
      <c r="E11696" s="282">
        <f t="shared" ref="E11696:E11716" si="1299">DATE(A11696,B11696,C11696)</f>
        <v>46072</v>
      </c>
      <c r="F11696" s="472" t="s">
        <v>1584</v>
      </c>
      <c r="G11696" s="283" t="s">
        <v>86</v>
      </c>
      <c r="H11696" s="284"/>
      <c r="I11696" s="284"/>
      <c r="J11696" s="285" t="s">
        <v>131</v>
      </c>
      <c r="K11696" s="286">
        <v>1277.7777777777801</v>
      </c>
      <c r="L11696" s="286"/>
      <c r="M11696" s="401"/>
      <c r="N11696" s="166"/>
    </row>
    <row r="11697" spans="1:13" ht="11.25" customHeight="1" x14ac:dyDescent="0.2">
      <c r="A11697" s="287">
        <v>2026</v>
      </c>
      <c r="B11697" s="287">
        <v>2</v>
      </c>
      <c r="C11697" s="287">
        <v>19</v>
      </c>
      <c r="D11697" s="288">
        <f t="shared" si="1298"/>
        <v>46072</v>
      </c>
      <c r="E11697" s="289">
        <f t="shared" si="1299"/>
        <v>46072</v>
      </c>
      <c r="F11697" s="473"/>
      <c r="G11697" s="290" t="s">
        <v>86</v>
      </c>
      <c r="H11697" s="291"/>
      <c r="I11697" s="291"/>
      <c r="J11697" s="292" t="s">
        <v>1469</v>
      </c>
      <c r="K11697" s="293"/>
      <c r="L11697" s="293">
        <f>K11696</f>
        <v>1277.7777777777801</v>
      </c>
    </row>
    <row r="11698" spans="1:13" ht="11.25" customHeight="1" x14ac:dyDescent="0.2">
      <c r="A11698" s="280">
        <v>2026</v>
      </c>
      <c r="B11698" s="280">
        <v>2</v>
      </c>
      <c r="C11698" s="280">
        <v>19</v>
      </c>
      <c r="D11698" s="281">
        <f t="shared" si="1298"/>
        <v>46072</v>
      </c>
      <c r="E11698" s="282">
        <f t="shared" si="1299"/>
        <v>46072</v>
      </c>
      <c r="F11698" s="472" t="s">
        <v>1955</v>
      </c>
      <c r="G11698" s="283" t="s">
        <v>86</v>
      </c>
      <c r="H11698" s="284"/>
      <c r="I11698" s="284"/>
      <c r="J11698" s="285" t="s">
        <v>1978</v>
      </c>
      <c r="K11698" s="286">
        <v>6185.4395604395604</v>
      </c>
      <c r="L11698" s="286"/>
      <c r="M11698" s="401"/>
    </row>
    <row r="11699" spans="1:13" ht="11.25" customHeight="1" x14ac:dyDescent="0.2">
      <c r="A11699" s="287">
        <v>2026</v>
      </c>
      <c r="B11699" s="287">
        <v>2</v>
      </c>
      <c r="C11699" s="287">
        <v>19</v>
      </c>
      <c r="D11699" s="288">
        <f t="shared" si="1298"/>
        <v>46072</v>
      </c>
      <c r="E11699" s="289">
        <f t="shared" si="1299"/>
        <v>46072</v>
      </c>
      <c r="F11699" s="473"/>
      <c r="G11699" s="290" t="s">
        <v>86</v>
      </c>
      <c r="H11699" s="291"/>
      <c r="I11699" s="291"/>
      <c r="J11699" s="292" t="s">
        <v>1955</v>
      </c>
      <c r="K11699" s="293"/>
      <c r="L11699" s="293">
        <f>K11698</f>
        <v>6185.4395604395604</v>
      </c>
    </row>
    <row r="11700" spans="1:13" ht="11.25" customHeight="1" x14ac:dyDescent="0.2">
      <c r="A11700" s="341">
        <v>2026</v>
      </c>
      <c r="B11700" s="341">
        <v>2</v>
      </c>
      <c r="C11700" s="341">
        <v>19</v>
      </c>
      <c r="D11700" s="328">
        <f t="shared" si="1298"/>
        <v>46072</v>
      </c>
      <c r="E11700" s="329">
        <f t="shared" si="1299"/>
        <v>46072</v>
      </c>
      <c r="F11700" s="474" t="s">
        <v>1767</v>
      </c>
      <c r="G11700" s="330" t="s">
        <v>86</v>
      </c>
      <c r="H11700" s="332"/>
      <c r="I11700" s="332"/>
      <c r="J11700" s="342" t="s">
        <v>67</v>
      </c>
      <c r="K11700" s="343">
        <v>1247.8137619444442</v>
      </c>
      <c r="L11700" s="343"/>
      <c r="M11700" s="166"/>
    </row>
    <row r="11701" spans="1:13" ht="11.25" customHeight="1" x14ac:dyDescent="0.2">
      <c r="A11701" s="344">
        <v>2026</v>
      </c>
      <c r="B11701" s="344">
        <v>2</v>
      </c>
      <c r="C11701" s="344">
        <v>19</v>
      </c>
      <c r="D11701" s="337">
        <f t="shared" si="1298"/>
        <v>46072</v>
      </c>
      <c r="E11701" s="338">
        <f t="shared" si="1299"/>
        <v>46072</v>
      </c>
      <c r="F11701" s="475"/>
      <c r="G11701" s="339" t="s">
        <v>86</v>
      </c>
      <c r="H11701" s="340"/>
      <c r="I11701" s="340"/>
      <c r="J11701" s="345" t="s">
        <v>1974</v>
      </c>
      <c r="K11701" s="346"/>
      <c r="L11701" s="346">
        <f>K11700</f>
        <v>1247.8137619444442</v>
      </c>
    </row>
    <row r="11702" spans="1:13" ht="11.25" customHeight="1" x14ac:dyDescent="0.2">
      <c r="A11702" s="236">
        <v>2026</v>
      </c>
      <c r="B11702" s="236">
        <v>2</v>
      </c>
      <c r="C11702" s="236">
        <v>19</v>
      </c>
      <c r="D11702" s="237">
        <f t="shared" si="1298"/>
        <v>46072</v>
      </c>
      <c r="E11702" s="238">
        <f t="shared" si="1299"/>
        <v>46072</v>
      </c>
      <c r="F11702" s="476" t="s">
        <v>1118</v>
      </c>
      <c r="G11702" s="239" t="s">
        <v>86</v>
      </c>
      <c r="H11702" s="239"/>
      <c r="I11702" s="240"/>
      <c r="J11702" s="241" t="s">
        <v>82</v>
      </c>
      <c r="K11702" s="242">
        <v>1017907.7499999702</v>
      </c>
      <c r="L11702" s="242"/>
      <c r="M11702" s="166"/>
    </row>
    <row r="11703" spans="1:13" ht="11.25" customHeight="1" x14ac:dyDescent="0.2">
      <c r="A11703" s="243">
        <v>2026</v>
      </c>
      <c r="B11703" s="243">
        <v>2</v>
      </c>
      <c r="C11703" s="243">
        <v>19</v>
      </c>
      <c r="D11703" s="248">
        <f t="shared" si="1298"/>
        <v>46072</v>
      </c>
      <c r="E11703" s="249">
        <f t="shared" si="1299"/>
        <v>46072</v>
      </c>
      <c r="F11703" s="477"/>
      <c r="G11703" s="244" t="s">
        <v>86</v>
      </c>
      <c r="H11703" s="244"/>
      <c r="I11703" s="245"/>
      <c r="J11703" s="246" t="s">
        <v>98</v>
      </c>
      <c r="K11703" s="247"/>
      <c r="L11703" s="247">
        <f>K11702</f>
        <v>1017907.7499999702</v>
      </c>
    </row>
    <row r="11704" spans="1:13" ht="11.25" customHeight="1" x14ac:dyDescent="0.2">
      <c r="A11704" s="236">
        <v>2026</v>
      </c>
      <c r="B11704" s="236">
        <v>2</v>
      </c>
      <c r="C11704" s="236">
        <v>19</v>
      </c>
      <c r="D11704" s="237">
        <f t="shared" si="1298"/>
        <v>46072</v>
      </c>
      <c r="E11704" s="238">
        <f t="shared" si="1299"/>
        <v>46072</v>
      </c>
      <c r="F11704" s="476" t="s">
        <v>1999</v>
      </c>
      <c r="G11704" s="239" t="s">
        <v>86</v>
      </c>
      <c r="H11704" s="239"/>
      <c r="I11704" s="240"/>
      <c r="J11704" s="241" t="s">
        <v>87</v>
      </c>
      <c r="K11704" s="242">
        <v>392.46467817896399</v>
      </c>
      <c r="L11704" s="242"/>
      <c r="M11704" s="401"/>
    </row>
    <row r="11705" spans="1:13" ht="11.25" customHeight="1" x14ac:dyDescent="0.2">
      <c r="A11705" s="243">
        <v>2026</v>
      </c>
      <c r="B11705" s="243">
        <v>2</v>
      </c>
      <c r="C11705" s="243">
        <v>19</v>
      </c>
      <c r="D11705" s="248">
        <f t="shared" si="1298"/>
        <v>46072</v>
      </c>
      <c r="E11705" s="249">
        <f t="shared" si="1299"/>
        <v>46072</v>
      </c>
      <c r="F11705" s="477"/>
      <c r="G11705" s="244" t="s">
        <v>86</v>
      </c>
      <c r="H11705" s="244"/>
      <c r="I11705" s="245"/>
      <c r="J11705" s="246" t="s">
        <v>64</v>
      </c>
      <c r="K11705" s="247"/>
      <c r="L11705" s="247">
        <f>K11704</f>
        <v>392.46467817896399</v>
      </c>
    </row>
    <row r="11706" spans="1:13" ht="11.25" customHeight="1" x14ac:dyDescent="0.2">
      <c r="A11706" s="236">
        <v>2026</v>
      </c>
      <c r="B11706" s="236">
        <v>2</v>
      </c>
      <c r="C11706" s="236">
        <v>19</v>
      </c>
      <c r="D11706" s="237">
        <f t="shared" si="1298"/>
        <v>46072</v>
      </c>
      <c r="E11706" s="238">
        <f t="shared" si="1299"/>
        <v>46072</v>
      </c>
      <c r="F11706" s="476" t="s">
        <v>2000</v>
      </c>
      <c r="G11706" s="239" t="s">
        <v>86</v>
      </c>
      <c r="H11706" s="239"/>
      <c r="I11706" s="240"/>
      <c r="J11706" s="241" t="s">
        <v>89</v>
      </c>
      <c r="K11706" s="242">
        <v>15010.375643476666</v>
      </c>
      <c r="L11706" s="242"/>
      <c r="M11706" s="448"/>
    </row>
    <row r="11707" spans="1:13" ht="11.25" customHeight="1" x14ac:dyDescent="0.2">
      <c r="A11707" s="243">
        <v>2026</v>
      </c>
      <c r="B11707" s="243">
        <v>2</v>
      </c>
      <c r="C11707" s="243">
        <v>19</v>
      </c>
      <c r="D11707" s="248">
        <f t="shared" si="1298"/>
        <v>46072</v>
      </c>
      <c r="E11707" s="249">
        <f t="shared" si="1299"/>
        <v>46072</v>
      </c>
      <c r="F11707" s="477"/>
      <c r="G11707" s="244" t="s">
        <v>86</v>
      </c>
      <c r="H11707" s="244"/>
      <c r="I11707" s="245"/>
      <c r="J11707" s="246" t="s">
        <v>50</v>
      </c>
      <c r="K11707" s="247"/>
      <c r="L11707" s="247">
        <f>K11706</f>
        <v>15010.375643476666</v>
      </c>
      <c r="M11707" s="448"/>
    </row>
    <row r="11708" spans="1:13" ht="11.25" customHeight="1" x14ac:dyDescent="0.2">
      <c r="A11708" s="236">
        <v>2026</v>
      </c>
      <c r="B11708" s="236">
        <v>2</v>
      </c>
      <c r="C11708" s="236">
        <v>19</v>
      </c>
      <c r="D11708" s="237">
        <f t="shared" si="1298"/>
        <v>46072</v>
      </c>
      <c r="E11708" s="238">
        <f t="shared" si="1299"/>
        <v>46072</v>
      </c>
      <c r="F11708" s="476" t="s">
        <v>2001</v>
      </c>
      <c r="G11708" s="239" t="s">
        <v>86</v>
      </c>
      <c r="H11708" s="239"/>
      <c r="I11708" s="240"/>
      <c r="J11708" s="241" t="s">
        <v>91</v>
      </c>
      <c r="K11708" s="242">
        <v>725.96643483983632</v>
      </c>
      <c r="L11708" s="242"/>
    </row>
    <row r="11709" spans="1:13" ht="11.25" customHeight="1" x14ac:dyDescent="0.2">
      <c r="A11709" s="243">
        <v>2026</v>
      </c>
      <c r="B11709" s="243">
        <v>2</v>
      </c>
      <c r="C11709" s="243">
        <v>19</v>
      </c>
      <c r="D11709" s="248">
        <f t="shared" si="1298"/>
        <v>46072</v>
      </c>
      <c r="E11709" s="249">
        <f t="shared" si="1299"/>
        <v>46072</v>
      </c>
      <c r="F11709" s="477"/>
      <c r="G11709" s="244" t="s">
        <v>86</v>
      </c>
      <c r="H11709" s="244"/>
      <c r="I11709" s="245"/>
      <c r="J11709" s="246" t="s">
        <v>51</v>
      </c>
      <c r="K11709" s="247"/>
      <c r="L11709" s="247">
        <f>K11708</f>
        <v>725.96643483983632</v>
      </c>
    </row>
    <row r="11710" spans="1:13" ht="11.25" customHeight="1" x14ac:dyDescent="0.2">
      <c r="A11710" s="221">
        <v>2026</v>
      </c>
      <c r="B11710" s="221">
        <v>2</v>
      </c>
      <c r="C11710" s="221">
        <v>22</v>
      </c>
      <c r="D11710" s="231">
        <f t="shared" si="1298"/>
        <v>46075</v>
      </c>
      <c r="E11710" s="233">
        <f t="shared" si="1299"/>
        <v>46075</v>
      </c>
      <c r="F11710" s="478" t="s">
        <v>1115</v>
      </c>
      <c r="G11710" s="222" t="s">
        <v>1111</v>
      </c>
      <c r="H11710" s="223"/>
      <c r="I11710" s="223"/>
      <c r="J11710" s="224" t="s">
        <v>14</v>
      </c>
      <c r="K11710" s="167">
        <v>30410</v>
      </c>
      <c r="L11710" s="225"/>
    </row>
    <row r="11711" spans="1:13" ht="11.25" customHeight="1" x14ac:dyDescent="0.2">
      <c r="A11711" s="164">
        <v>2026</v>
      </c>
      <c r="B11711" s="164">
        <v>2</v>
      </c>
      <c r="C11711" s="164">
        <v>22</v>
      </c>
      <c r="D11711" s="156">
        <f t="shared" si="1298"/>
        <v>46075</v>
      </c>
      <c r="E11711" s="235">
        <f t="shared" si="1299"/>
        <v>46075</v>
      </c>
      <c r="F11711" s="480"/>
      <c r="G11711" s="208" t="s">
        <v>1111</v>
      </c>
      <c r="J11711" s="165" t="s">
        <v>1112</v>
      </c>
      <c r="K11711" s="167">
        <v>9590</v>
      </c>
      <c r="L11711" s="205"/>
    </row>
    <row r="11712" spans="1:13" ht="11.25" customHeight="1" x14ac:dyDescent="0.2">
      <c r="A11712" s="226">
        <v>2026</v>
      </c>
      <c r="B11712" s="226">
        <v>2</v>
      </c>
      <c r="C11712" s="226">
        <v>22</v>
      </c>
      <c r="D11712" s="232">
        <f t="shared" si="1298"/>
        <v>46075</v>
      </c>
      <c r="E11712" s="234">
        <f t="shared" si="1299"/>
        <v>46075</v>
      </c>
      <c r="F11712" s="479"/>
      <c r="G11712" s="227" t="s">
        <v>1111</v>
      </c>
      <c r="H11712" s="228"/>
      <c r="I11712" s="228"/>
      <c r="J11712" s="229" t="s">
        <v>55</v>
      </c>
      <c r="K11712" s="230"/>
      <c r="L11712" s="230">
        <v>40000</v>
      </c>
    </row>
    <row r="11713" spans="1:14" ht="11.25" customHeight="1" x14ac:dyDescent="0.2">
      <c r="A11713" s="221">
        <v>2026</v>
      </c>
      <c r="B11713" s="221">
        <v>2</v>
      </c>
      <c r="C11713" s="221">
        <v>22</v>
      </c>
      <c r="D11713" s="231">
        <f t="shared" si="1298"/>
        <v>46075</v>
      </c>
      <c r="E11713" s="233">
        <f t="shared" si="1299"/>
        <v>46075</v>
      </c>
      <c r="F11713" s="478" t="s">
        <v>1984</v>
      </c>
      <c r="G11713" s="222" t="s">
        <v>1111</v>
      </c>
      <c r="H11713" s="223" t="str" cm="1">
        <f t="array" ref="H11713">IFERROR(INDEX(INVESTOR_LIST[INVESTOR NAME],MATCH(I11713,INVESTOR_LIST[INVESTOR CODE],0),)," ")</f>
        <v xml:space="preserve"> </v>
      </c>
      <c r="I11713" s="223"/>
      <c r="J11713" s="224" t="s">
        <v>961</v>
      </c>
      <c r="K11713" s="225">
        <v>238979.39</v>
      </c>
      <c r="L11713" s="225"/>
    </row>
    <row r="11714" spans="1:14" ht="11.25" customHeight="1" x14ac:dyDescent="0.2">
      <c r="A11714" s="226">
        <v>2026</v>
      </c>
      <c r="B11714" s="226">
        <v>2</v>
      </c>
      <c r="C11714" s="226">
        <v>22</v>
      </c>
      <c r="D11714" s="232">
        <f t="shared" si="1298"/>
        <v>46075</v>
      </c>
      <c r="E11714" s="234">
        <f t="shared" si="1299"/>
        <v>46075</v>
      </c>
      <c r="F11714" s="479"/>
      <c r="G11714" s="227" t="s">
        <v>1111</v>
      </c>
      <c r="H11714" s="228" t="str" cm="1">
        <f t="array" ref="H11714">IFERROR(INDEX(INVESTOR_LIST[INVESTOR NAME],MATCH(I11714,INVESTOR_LIST[INVESTOR CODE],0),)," ")</f>
        <v xml:space="preserve"> </v>
      </c>
      <c r="I11714" s="228"/>
      <c r="J11714" s="229" t="s">
        <v>55</v>
      </c>
      <c r="K11714" s="230"/>
      <c r="L11714" s="230">
        <f>K11713</f>
        <v>238979.39</v>
      </c>
    </row>
    <row r="11715" spans="1:14" ht="11.25" customHeight="1" x14ac:dyDescent="0.2">
      <c r="A11715" s="221">
        <v>2026</v>
      </c>
      <c r="B11715" s="221">
        <v>2</v>
      </c>
      <c r="C11715" s="221">
        <v>22</v>
      </c>
      <c r="D11715" s="231">
        <f t="shared" si="1298"/>
        <v>46075</v>
      </c>
      <c r="E11715" s="233">
        <f t="shared" si="1299"/>
        <v>46075</v>
      </c>
      <c r="F11715" s="478" t="s">
        <v>1670</v>
      </c>
      <c r="G11715" s="222" t="s">
        <v>1111</v>
      </c>
      <c r="H11715" s="223"/>
      <c r="I11715" s="223"/>
      <c r="J11715" s="224" t="s">
        <v>63</v>
      </c>
      <c r="K11715" s="225">
        <v>58</v>
      </c>
      <c r="L11715" s="225"/>
    </row>
    <row r="11716" spans="1:14" ht="11.25" customHeight="1" x14ac:dyDescent="0.2">
      <c r="A11716" s="226">
        <v>2026</v>
      </c>
      <c r="B11716" s="226">
        <v>2</v>
      </c>
      <c r="C11716" s="226">
        <v>22</v>
      </c>
      <c r="D11716" s="232">
        <f t="shared" si="1298"/>
        <v>46075</v>
      </c>
      <c r="E11716" s="234">
        <f t="shared" si="1299"/>
        <v>46075</v>
      </c>
      <c r="F11716" s="479"/>
      <c r="G11716" s="227" t="s">
        <v>1111</v>
      </c>
      <c r="H11716" s="228"/>
      <c r="I11716" s="228"/>
      <c r="J11716" s="229" t="s">
        <v>55</v>
      </c>
      <c r="K11716" s="230"/>
      <c r="L11716" s="230">
        <f>K11715</f>
        <v>58</v>
      </c>
    </row>
    <row r="11717" spans="1:14" ht="11.25" customHeight="1" x14ac:dyDescent="0.2">
      <c r="A11717" s="221">
        <v>2026</v>
      </c>
      <c r="B11717" s="221">
        <v>2</v>
      </c>
      <c r="C11717" s="221">
        <v>22</v>
      </c>
      <c r="D11717" s="231">
        <f t="shared" si="1298"/>
        <v>46075</v>
      </c>
      <c r="E11717" s="233">
        <f>DATE(A11717,B11717,C11717)</f>
        <v>46075</v>
      </c>
      <c r="F11717" s="478" t="s">
        <v>1142</v>
      </c>
      <c r="G11717" s="222" t="s">
        <v>1111</v>
      </c>
      <c r="H11717" s="223"/>
      <c r="I11717" s="223"/>
      <c r="J11717" s="224" t="s">
        <v>189</v>
      </c>
      <c r="K11717" s="225">
        <v>1575</v>
      </c>
      <c r="L11717" s="225"/>
    </row>
    <row r="11718" spans="1:14" ht="11.25" customHeight="1" x14ac:dyDescent="0.2">
      <c r="A11718" s="164">
        <v>2026</v>
      </c>
      <c r="B11718" s="164">
        <v>2</v>
      </c>
      <c r="C11718" s="164">
        <v>22</v>
      </c>
      <c r="D11718" s="156">
        <f t="shared" si="1298"/>
        <v>46075</v>
      </c>
      <c r="E11718" s="235">
        <f>DATE(A11718,B11718,C11718)</f>
        <v>46075</v>
      </c>
      <c r="F11718" s="480"/>
      <c r="G11718" s="208" t="s">
        <v>1111</v>
      </c>
      <c r="J11718" s="165" t="s">
        <v>1707</v>
      </c>
      <c r="K11718" s="205"/>
      <c r="L11718" s="205">
        <v>75</v>
      </c>
    </row>
    <row r="11719" spans="1:14" ht="11.25" customHeight="1" x14ac:dyDescent="0.2">
      <c r="A11719" s="226">
        <v>2026</v>
      </c>
      <c r="B11719" s="226">
        <v>2</v>
      </c>
      <c r="C11719" s="226">
        <v>22</v>
      </c>
      <c r="D11719" s="232">
        <f t="shared" si="1298"/>
        <v>46075</v>
      </c>
      <c r="E11719" s="234">
        <f>DATE(A11719,B11719,C11719)</f>
        <v>46075</v>
      </c>
      <c r="F11719" s="479"/>
      <c r="G11719" s="227" t="s">
        <v>1111</v>
      </c>
      <c r="H11719" s="228"/>
      <c r="I11719" s="228"/>
      <c r="J11719" s="229" t="s">
        <v>55</v>
      </c>
      <c r="K11719" s="230"/>
      <c r="L11719" s="230">
        <v>1500</v>
      </c>
    </row>
    <row r="11720" spans="1:14" ht="11.25" customHeight="1" x14ac:dyDescent="0.2">
      <c r="A11720" s="221">
        <v>2026</v>
      </c>
      <c r="B11720" s="221">
        <v>2</v>
      </c>
      <c r="C11720" s="221">
        <v>22</v>
      </c>
      <c r="D11720" s="221">
        <f t="shared" si="1298"/>
        <v>46075</v>
      </c>
      <c r="E11720" s="233">
        <f t="shared" ref="E11720:E11724" si="1300">DATE(A11720,B11720,C11720)</f>
        <v>46075</v>
      </c>
      <c r="F11720" s="478" t="s">
        <v>1937</v>
      </c>
      <c r="G11720" s="222" t="s">
        <v>86</v>
      </c>
      <c r="H11720" s="222"/>
      <c r="I11720" s="223"/>
      <c r="J11720" s="224" t="s">
        <v>80</v>
      </c>
      <c r="K11720" s="225">
        <v>2666885</v>
      </c>
      <c r="L11720" s="225"/>
      <c r="N11720" s="263"/>
    </row>
    <row r="11721" spans="1:14" ht="11.25" customHeight="1" x14ac:dyDescent="0.2">
      <c r="A11721" s="164">
        <v>2026</v>
      </c>
      <c r="B11721" s="164">
        <v>2</v>
      </c>
      <c r="C11721" s="164">
        <v>22</v>
      </c>
      <c r="D11721" s="164">
        <f t="shared" si="1298"/>
        <v>46075</v>
      </c>
      <c r="E11721" s="235">
        <f t="shared" si="1300"/>
        <v>46075</v>
      </c>
      <c r="F11721" s="480"/>
      <c r="G11721" s="208" t="s">
        <v>86</v>
      </c>
      <c r="H11721" s="208"/>
      <c r="J11721" s="165" t="s">
        <v>960</v>
      </c>
      <c r="K11721" s="205">
        <v>5582.13</v>
      </c>
      <c r="L11721" s="205"/>
      <c r="M11721" s="263"/>
      <c r="N11721" s="263"/>
    </row>
    <row r="11722" spans="1:14" ht="11.25" customHeight="1" x14ac:dyDescent="0.2">
      <c r="A11722" s="164">
        <v>2026</v>
      </c>
      <c r="B11722" s="164">
        <v>2</v>
      </c>
      <c r="C11722" s="164">
        <v>22</v>
      </c>
      <c r="D11722" s="164">
        <f t="shared" si="1298"/>
        <v>46075</v>
      </c>
      <c r="E11722" s="235">
        <f t="shared" si="1300"/>
        <v>46075</v>
      </c>
      <c r="F11722" s="480"/>
      <c r="G11722" s="208" t="s">
        <v>86</v>
      </c>
      <c r="H11722" s="208"/>
      <c r="J11722" s="165" t="s">
        <v>143</v>
      </c>
      <c r="K11722" s="263"/>
      <c r="L11722" s="205">
        <v>2238167.13</v>
      </c>
      <c r="M11722" s="263"/>
      <c r="N11722" s="263"/>
    </row>
    <row r="11723" spans="1:14" ht="11.25" customHeight="1" x14ac:dyDescent="0.2">
      <c r="A11723" s="164">
        <v>2026</v>
      </c>
      <c r="B11723" s="164">
        <v>2</v>
      </c>
      <c r="C11723" s="164">
        <v>22</v>
      </c>
      <c r="D11723" s="164">
        <f t="shared" si="1298"/>
        <v>46075</v>
      </c>
      <c r="E11723" s="235">
        <f t="shared" si="1300"/>
        <v>46075</v>
      </c>
      <c r="F11723" s="480"/>
      <c r="G11723" s="208" t="s">
        <v>86</v>
      </c>
      <c r="H11723" s="208"/>
      <c r="J11723" s="165" t="s">
        <v>200</v>
      </c>
      <c r="K11723" s="205"/>
      <c r="L11723" s="205">
        <v>138108.34</v>
      </c>
      <c r="M11723" s="263"/>
      <c r="N11723" s="263"/>
    </row>
    <row r="11724" spans="1:14" ht="11.25" customHeight="1" x14ac:dyDescent="0.2">
      <c r="A11724" s="226">
        <v>2026</v>
      </c>
      <c r="B11724" s="226">
        <v>2</v>
      </c>
      <c r="C11724" s="226">
        <v>22</v>
      </c>
      <c r="D11724" s="226">
        <f t="shared" si="1298"/>
        <v>46075</v>
      </c>
      <c r="E11724" s="234">
        <f t="shared" si="1300"/>
        <v>46075</v>
      </c>
      <c r="F11724" s="479"/>
      <c r="G11724" s="227" t="s">
        <v>86</v>
      </c>
      <c r="H11724" s="228"/>
      <c r="I11724" s="228"/>
      <c r="J11724" s="229" t="s">
        <v>80</v>
      </c>
      <c r="K11724" s="230"/>
      <c r="L11724" s="230">
        <v>296191.65999999997</v>
      </c>
      <c r="M11724" s="263"/>
      <c r="N11724" s="263"/>
    </row>
    <row r="11725" spans="1:14" ht="11.25" customHeight="1" x14ac:dyDescent="0.2">
      <c r="A11725" s="221">
        <v>2026</v>
      </c>
      <c r="B11725" s="221">
        <v>2</v>
      </c>
      <c r="C11725" s="221">
        <v>22</v>
      </c>
      <c r="D11725" s="221">
        <f t="shared" ref="D11725:D11767" si="1301">DATE(A11725,B11725,C11725)</f>
        <v>46075</v>
      </c>
      <c r="E11725" s="233">
        <f t="shared" ref="E11725:E11767" si="1302">DATE(A11725,B11725,C11725)</f>
        <v>46075</v>
      </c>
      <c r="F11725" s="478" t="s">
        <v>1996</v>
      </c>
      <c r="G11725" s="222" t="s">
        <v>86</v>
      </c>
      <c r="H11725" s="222"/>
      <c r="I11725" s="223"/>
      <c r="J11725" s="224" t="s">
        <v>80</v>
      </c>
      <c r="K11725" s="225">
        <v>944350</v>
      </c>
      <c r="L11725" s="225"/>
      <c r="N11725" s="263"/>
    </row>
    <row r="11726" spans="1:14" ht="11.25" customHeight="1" x14ac:dyDescent="0.2">
      <c r="A11726" s="164">
        <v>2026</v>
      </c>
      <c r="B11726" s="164">
        <v>2</v>
      </c>
      <c r="C11726" s="164">
        <v>22</v>
      </c>
      <c r="D11726" s="164">
        <f t="shared" si="1301"/>
        <v>46075</v>
      </c>
      <c r="E11726" s="235">
        <f t="shared" si="1302"/>
        <v>46075</v>
      </c>
      <c r="F11726" s="480"/>
      <c r="G11726" s="208" t="s">
        <v>86</v>
      </c>
      <c r="H11726" s="208"/>
      <c r="J11726" s="165" t="s">
        <v>960</v>
      </c>
      <c r="K11726" s="205">
        <v>2928.51</v>
      </c>
      <c r="L11726" s="205"/>
      <c r="M11726" s="263"/>
      <c r="N11726" s="263"/>
    </row>
    <row r="11727" spans="1:14" ht="11.25" customHeight="1" x14ac:dyDescent="0.2">
      <c r="A11727" s="164">
        <v>2026</v>
      </c>
      <c r="B11727" s="164">
        <v>2</v>
      </c>
      <c r="C11727" s="164">
        <v>22</v>
      </c>
      <c r="D11727" s="164">
        <f t="shared" si="1301"/>
        <v>46075</v>
      </c>
      <c r="E11727" s="235">
        <f t="shared" si="1302"/>
        <v>46075</v>
      </c>
      <c r="F11727" s="480"/>
      <c r="G11727" s="208" t="s">
        <v>86</v>
      </c>
      <c r="H11727" s="208"/>
      <c r="J11727" s="165" t="s">
        <v>143</v>
      </c>
      <c r="K11727" s="263"/>
      <c r="L11727" s="205">
        <v>264678.51</v>
      </c>
      <c r="M11727" s="263"/>
      <c r="N11727" s="263"/>
    </row>
    <row r="11728" spans="1:14" ht="11.25" customHeight="1" x14ac:dyDescent="0.2">
      <c r="A11728" s="164">
        <v>2026</v>
      </c>
      <c r="B11728" s="164">
        <v>2</v>
      </c>
      <c r="C11728" s="164">
        <v>22</v>
      </c>
      <c r="D11728" s="164">
        <f t="shared" si="1301"/>
        <v>46075</v>
      </c>
      <c r="E11728" s="235">
        <f t="shared" si="1302"/>
        <v>46075</v>
      </c>
      <c r="F11728" s="480"/>
      <c r="G11728" s="208" t="s">
        <v>86</v>
      </c>
      <c r="H11728" s="208"/>
      <c r="J11728" s="165" t="s">
        <v>200</v>
      </c>
      <c r="K11728" s="205"/>
      <c r="L11728" s="205">
        <v>208693.34</v>
      </c>
      <c r="M11728" s="263"/>
      <c r="N11728" s="263"/>
    </row>
    <row r="11729" spans="1:14" ht="11.25" customHeight="1" x14ac:dyDescent="0.2">
      <c r="A11729" s="226">
        <v>2026</v>
      </c>
      <c r="B11729" s="226">
        <v>2</v>
      </c>
      <c r="C11729" s="226">
        <v>22</v>
      </c>
      <c r="D11729" s="226">
        <f t="shared" si="1301"/>
        <v>46075</v>
      </c>
      <c r="E11729" s="234">
        <f t="shared" si="1302"/>
        <v>46075</v>
      </c>
      <c r="F11729" s="479"/>
      <c r="G11729" s="227" t="s">
        <v>86</v>
      </c>
      <c r="H11729" s="228"/>
      <c r="I11729" s="228"/>
      <c r="J11729" s="229" t="s">
        <v>80</v>
      </c>
      <c r="K11729" s="230"/>
      <c r="L11729" s="230">
        <v>473906.66</v>
      </c>
      <c r="M11729" s="263"/>
      <c r="N11729" s="263"/>
    </row>
    <row r="11730" spans="1:14" ht="11.25" customHeight="1" x14ac:dyDescent="0.2">
      <c r="A11730" s="280">
        <v>2026</v>
      </c>
      <c r="B11730" s="280">
        <v>2</v>
      </c>
      <c r="C11730" s="280">
        <v>22</v>
      </c>
      <c r="D11730" s="281">
        <f t="shared" si="1301"/>
        <v>46075</v>
      </c>
      <c r="E11730" s="282">
        <f t="shared" si="1302"/>
        <v>46075</v>
      </c>
      <c r="F11730" s="472" t="s">
        <v>1584</v>
      </c>
      <c r="G11730" s="283" t="s">
        <v>86</v>
      </c>
      <c r="H11730" s="284"/>
      <c r="I11730" s="284"/>
      <c r="J11730" s="285" t="s">
        <v>131</v>
      </c>
      <c r="K11730" s="286">
        <v>3833.3333333333403</v>
      </c>
      <c r="L11730" s="286"/>
      <c r="M11730" s="401"/>
      <c r="N11730" s="166"/>
    </row>
    <row r="11731" spans="1:14" ht="11.25" customHeight="1" x14ac:dyDescent="0.2">
      <c r="A11731" s="287">
        <v>2026</v>
      </c>
      <c r="B11731" s="287">
        <v>2</v>
      </c>
      <c r="C11731" s="287">
        <v>22</v>
      </c>
      <c r="D11731" s="288">
        <f t="shared" si="1301"/>
        <v>46075</v>
      </c>
      <c r="E11731" s="289">
        <f t="shared" si="1302"/>
        <v>46075</v>
      </c>
      <c r="F11731" s="473"/>
      <c r="G11731" s="290" t="s">
        <v>86</v>
      </c>
      <c r="H11731" s="291"/>
      <c r="I11731" s="291"/>
      <c r="J11731" s="292" t="s">
        <v>1469</v>
      </c>
      <c r="K11731" s="293"/>
      <c r="L11731" s="293">
        <f>K11730</f>
        <v>3833.3333333333403</v>
      </c>
    </row>
    <row r="11732" spans="1:14" ht="11.25" customHeight="1" x14ac:dyDescent="0.2">
      <c r="A11732" s="280">
        <v>2026</v>
      </c>
      <c r="B11732" s="280">
        <v>2</v>
      </c>
      <c r="C11732" s="280">
        <v>22</v>
      </c>
      <c r="D11732" s="281">
        <f t="shared" si="1301"/>
        <v>46075</v>
      </c>
      <c r="E11732" s="282">
        <f t="shared" si="1302"/>
        <v>46075</v>
      </c>
      <c r="F11732" s="472" t="s">
        <v>1955</v>
      </c>
      <c r="G11732" s="283" t="s">
        <v>86</v>
      </c>
      <c r="H11732" s="284"/>
      <c r="I11732" s="284"/>
      <c r="J11732" s="285" t="s">
        <v>1978</v>
      </c>
      <c r="K11732" s="286">
        <v>18556.31868131868</v>
      </c>
      <c r="L11732" s="286"/>
      <c r="M11732" s="401"/>
    </row>
    <row r="11733" spans="1:14" ht="11.25" customHeight="1" x14ac:dyDescent="0.2">
      <c r="A11733" s="287">
        <v>2026</v>
      </c>
      <c r="B11733" s="287">
        <v>2</v>
      </c>
      <c r="C11733" s="287">
        <v>22</v>
      </c>
      <c r="D11733" s="288">
        <f t="shared" si="1301"/>
        <v>46075</v>
      </c>
      <c r="E11733" s="289">
        <f t="shared" si="1302"/>
        <v>46075</v>
      </c>
      <c r="F11733" s="473"/>
      <c r="G11733" s="290" t="s">
        <v>86</v>
      </c>
      <c r="H11733" s="291"/>
      <c r="I11733" s="291"/>
      <c r="J11733" s="292" t="s">
        <v>1955</v>
      </c>
      <c r="K11733" s="293"/>
      <c r="L11733" s="293">
        <f>K11732</f>
        <v>18556.31868131868</v>
      </c>
    </row>
    <row r="11734" spans="1:14" ht="11.25" customHeight="1" x14ac:dyDescent="0.2">
      <c r="A11734" s="341">
        <v>2026</v>
      </c>
      <c r="B11734" s="341">
        <v>2</v>
      </c>
      <c r="C11734" s="341">
        <v>22</v>
      </c>
      <c r="D11734" s="328">
        <f t="shared" si="1301"/>
        <v>46075</v>
      </c>
      <c r="E11734" s="329">
        <f t="shared" si="1302"/>
        <v>46075</v>
      </c>
      <c r="F11734" s="474" t="s">
        <v>1767</v>
      </c>
      <c r="G11734" s="330" t="s">
        <v>86</v>
      </c>
      <c r="H11734" s="332"/>
      <c r="I11734" s="332"/>
      <c r="J11734" s="342" t="s">
        <v>67</v>
      </c>
      <c r="K11734" s="343">
        <v>3685</v>
      </c>
      <c r="L11734" s="343"/>
      <c r="M11734" s="166"/>
    </row>
    <row r="11735" spans="1:14" ht="11.25" customHeight="1" x14ac:dyDescent="0.2">
      <c r="A11735" s="344">
        <v>2026</v>
      </c>
      <c r="B11735" s="344">
        <v>2</v>
      </c>
      <c r="C11735" s="344">
        <v>22</v>
      </c>
      <c r="D11735" s="337">
        <f t="shared" si="1301"/>
        <v>46075</v>
      </c>
      <c r="E11735" s="338">
        <f t="shared" si="1302"/>
        <v>46075</v>
      </c>
      <c r="F11735" s="475"/>
      <c r="G11735" s="339" t="s">
        <v>86</v>
      </c>
      <c r="H11735" s="340"/>
      <c r="I11735" s="340"/>
      <c r="J11735" s="345" t="s">
        <v>1974</v>
      </c>
      <c r="K11735" s="346"/>
      <c r="L11735" s="346">
        <f>K11734</f>
        <v>3685</v>
      </c>
    </row>
    <row r="11736" spans="1:14" ht="11.25" customHeight="1" x14ac:dyDescent="0.2">
      <c r="A11736" s="236">
        <v>2026</v>
      </c>
      <c r="B11736" s="236">
        <v>2</v>
      </c>
      <c r="C11736" s="236">
        <v>22</v>
      </c>
      <c r="D11736" s="237">
        <f t="shared" si="1301"/>
        <v>46075</v>
      </c>
      <c r="E11736" s="238">
        <f t="shared" si="1302"/>
        <v>46075</v>
      </c>
      <c r="F11736" s="476" t="s">
        <v>1118</v>
      </c>
      <c r="G11736" s="239" t="s">
        <v>86</v>
      </c>
      <c r="H11736" s="239"/>
      <c r="I11736" s="240"/>
      <c r="J11736" s="241" t="s">
        <v>98</v>
      </c>
      <c r="K11736" s="242">
        <v>422157.07999995351</v>
      </c>
      <c r="L11736" s="242"/>
      <c r="M11736" s="166"/>
    </row>
    <row r="11737" spans="1:14" ht="11.25" customHeight="1" x14ac:dyDescent="0.2">
      <c r="A11737" s="243">
        <v>2026</v>
      </c>
      <c r="B11737" s="243">
        <v>2</v>
      </c>
      <c r="C11737" s="243">
        <v>22</v>
      </c>
      <c r="D11737" s="248">
        <f t="shared" si="1301"/>
        <v>46075</v>
      </c>
      <c r="E11737" s="249">
        <f t="shared" si="1302"/>
        <v>46075</v>
      </c>
      <c r="F11737" s="477"/>
      <c r="G11737" s="244" t="s">
        <v>86</v>
      </c>
      <c r="H11737" s="244"/>
      <c r="I11737" s="245"/>
      <c r="J11737" s="246" t="s">
        <v>82</v>
      </c>
      <c r="K11737" s="247"/>
      <c r="L11737" s="247">
        <f>K11736</f>
        <v>422157.07999995351</v>
      </c>
    </row>
    <row r="11738" spans="1:14" ht="11.25" customHeight="1" x14ac:dyDescent="0.2">
      <c r="A11738" s="236">
        <v>2026</v>
      </c>
      <c r="B11738" s="236">
        <v>2</v>
      </c>
      <c r="C11738" s="236">
        <v>22</v>
      </c>
      <c r="D11738" s="237">
        <f t="shared" si="1301"/>
        <v>46075</v>
      </c>
      <c r="E11738" s="238">
        <f t="shared" si="1302"/>
        <v>46075</v>
      </c>
      <c r="F11738" s="476" t="s">
        <v>1999</v>
      </c>
      <c r="G11738" s="239" t="s">
        <v>86</v>
      </c>
      <c r="H11738" s="239"/>
      <c r="I11738" s="240"/>
      <c r="J11738" s="241" t="s">
        <v>87</v>
      </c>
      <c r="K11738" s="242">
        <v>1177.3940345368919</v>
      </c>
      <c r="L11738" s="242"/>
      <c r="M11738" s="401"/>
    </row>
    <row r="11739" spans="1:14" ht="11.25" customHeight="1" x14ac:dyDescent="0.2">
      <c r="A11739" s="243">
        <v>2026</v>
      </c>
      <c r="B11739" s="243">
        <v>2</v>
      </c>
      <c r="C11739" s="243">
        <v>22</v>
      </c>
      <c r="D11739" s="248">
        <f t="shared" si="1301"/>
        <v>46075</v>
      </c>
      <c r="E11739" s="249">
        <f t="shared" si="1302"/>
        <v>46075</v>
      </c>
      <c r="F11739" s="477"/>
      <c r="G11739" s="244" t="s">
        <v>86</v>
      </c>
      <c r="H11739" s="244"/>
      <c r="I11739" s="245"/>
      <c r="J11739" s="246" t="s">
        <v>64</v>
      </c>
      <c r="K11739" s="247"/>
      <c r="L11739" s="247">
        <f>K11738</f>
        <v>1177.3940345368919</v>
      </c>
    </row>
    <row r="11740" spans="1:14" ht="11.25" customHeight="1" x14ac:dyDescent="0.2">
      <c r="A11740" s="236">
        <v>2026</v>
      </c>
      <c r="B11740" s="236">
        <v>2</v>
      </c>
      <c r="C11740" s="236">
        <v>22</v>
      </c>
      <c r="D11740" s="237">
        <f t="shared" si="1301"/>
        <v>46075</v>
      </c>
      <c r="E11740" s="238">
        <f t="shared" si="1302"/>
        <v>46075</v>
      </c>
      <c r="F11740" s="476" t="s">
        <v>2000</v>
      </c>
      <c r="G11740" s="239" t="s">
        <v>86</v>
      </c>
      <c r="H11740" s="239"/>
      <c r="I11740" s="240"/>
      <c r="J11740" s="241" t="s">
        <v>89</v>
      </c>
      <c r="K11740" s="242">
        <v>15004.71486867543</v>
      </c>
      <c r="L11740" s="242"/>
      <c r="M11740" s="448"/>
    </row>
    <row r="11741" spans="1:14" ht="11.25" customHeight="1" x14ac:dyDescent="0.2">
      <c r="A11741" s="243">
        <v>2026</v>
      </c>
      <c r="B11741" s="243">
        <v>2</v>
      </c>
      <c r="C11741" s="243">
        <v>22</v>
      </c>
      <c r="D11741" s="248">
        <f t="shared" si="1301"/>
        <v>46075</v>
      </c>
      <c r="E11741" s="249">
        <f t="shared" si="1302"/>
        <v>46075</v>
      </c>
      <c r="F11741" s="477"/>
      <c r="G11741" s="244" t="s">
        <v>86</v>
      </c>
      <c r="H11741" s="244"/>
      <c r="I11741" s="245"/>
      <c r="J11741" s="246" t="s">
        <v>50</v>
      </c>
      <c r="K11741" s="247"/>
      <c r="L11741" s="247">
        <f>K11740</f>
        <v>15004.71486867543</v>
      </c>
      <c r="M11741" s="448"/>
    </row>
    <row r="11742" spans="1:14" ht="11.25" customHeight="1" x14ac:dyDescent="0.2">
      <c r="A11742" s="236">
        <v>2026</v>
      </c>
      <c r="B11742" s="236">
        <v>2</v>
      </c>
      <c r="C11742" s="236">
        <v>22</v>
      </c>
      <c r="D11742" s="237">
        <f t="shared" si="1301"/>
        <v>46075</v>
      </c>
      <c r="E11742" s="238">
        <f t="shared" si="1302"/>
        <v>46075</v>
      </c>
      <c r="F11742" s="476" t="s">
        <v>2001</v>
      </c>
      <c r="G11742" s="239" t="s">
        <v>86</v>
      </c>
      <c r="H11742" s="239"/>
      <c r="I11742" s="240"/>
      <c r="J11742" s="241" t="s">
        <v>91</v>
      </c>
      <c r="K11742" s="242">
        <v>726.34172183863598</v>
      </c>
      <c r="L11742" s="242"/>
    </row>
    <row r="11743" spans="1:14" ht="11.25" customHeight="1" x14ac:dyDescent="0.2">
      <c r="A11743" s="243">
        <v>2026</v>
      </c>
      <c r="B11743" s="243">
        <v>2</v>
      </c>
      <c r="C11743" s="243">
        <v>22</v>
      </c>
      <c r="D11743" s="248">
        <f t="shared" si="1301"/>
        <v>46075</v>
      </c>
      <c r="E11743" s="249">
        <f t="shared" si="1302"/>
        <v>46075</v>
      </c>
      <c r="F11743" s="477"/>
      <c r="G11743" s="244" t="s">
        <v>86</v>
      </c>
      <c r="H11743" s="244"/>
      <c r="I11743" s="245"/>
      <c r="J11743" s="246" t="s">
        <v>51</v>
      </c>
      <c r="K11743" s="247"/>
      <c r="L11743" s="247">
        <f>K11742</f>
        <v>726.34172183863598</v>
      </c>
    </row>
    <row r="11744" spans="1:14" ht="11.25" customHeight="1" x14ac:dyDescent="0.2">
      <c r="A11744" s="221">
        <v>2026</v>
      </c>
      <c r="B11744" s="221">
        <v>2</v>
      </c>
      <c r="C11744" s="221">
        <v>23</v>
      </c>
      <c r="D11744" s="221">
        <f t="shared" si="1301"/>
        <v>46076</v>
      </c>
      <c r="E11744" s="233">
        <f t="shared" si="1302"/>
        <v>46076</v>
      </c>
      <c r="F11744" s="478" t="s">
        <v>1937</v>
      </c>
      <c r="G11744" s="222" t="s">
        <v>86</v>
      </c>
      <c r="H11744" s="222"/>
      <c r="I11744" s="223"/>
      <c r="J11744" s="224" t="s">
        <v>80</v>
      </c>
      <c r="K11744" s="225">
        <v>2464540</v>
      </c>
      <c r="L11744" s="225"/>
      <c r="N11744" s="263"/>
    </row>
    <row r="11745" spans="1:14" ht="11.25" customHeight="1" x14ac:dyDescent="0.2">
      <c r="A11745" s="164">
        <v>2026</v>
      </c>
      <c r="B11745" s="164">
        <v>2</v>
      </c>
      <c r="C11745" s="164">
        <v>23</v>
      </c>
      <c r="D11745" s="164">
        <f t="shared" si="1301"/>
        <v>46076</v>
      </c>
      <c r="E11745" s="235">
        <f t="shared" si="1302"/>
        <v>46076</v>
      </c>
      <c r="F11745" s="480"/>
      <c r="G11745" s="208" t="s">
        <v>86</v>
      </c>
      <c r="H11745" s="208"/>
      <c r="J11745" s="165" t="s">
        <v>960</v>
      </c>
      <c r="K11745" s="205">
        <v>5832.11</v>
      </c>
      <c r="L11745" s="205"/>
      <c r="M11745" s="263"/>
      <c r="N11745" s="263"/>
    </row>
    <row r="11746" spans="1:14" ht="11.25" customHeight="1" x14ac:dyDescent="0.2">
      <c r="A11746" s="164">
        <v>2026</v>
      </c>
      <c r="B11746" s="164">
        <v>2</v>
      </c>
      <c r="C11746" s="164">
        <v>23</v>
      </c>
      <c r="D11746" s="164">
        <f t="shared" si="1301"/>
        <v>46076</v>
      </c>
      <c r="E11746" s="235">
        <f t="shared" si="1302"/>
        <v>46076</v>
      </c>
      <c r="F11746" s="480"/>
      <c r="G11746" s="208" t="s">
        <v>86</v>
      </c>
      <c r="H11746" s="208"/>
      <c r="J11746" s="165" t="s">
        <v>143</v>
      </c>
      <c r="K11746" s="263"/>
      <c r="L11746" s="205">
        <v>1694849.11</v>
      </c>
      <c r="M11746" s="263"/>
      <c r="N11746" s="263"/>
    </row>
    <row r="11747" spans="1:14" ht="11.25" customHeight="1" x14ac:dyDescent="0.2">
      <c r="A11747" s="164">
        <v>2026</v>
      </c>
      <c r="B11747" s="164">
        <v>2</v>
      </c>
      <c r="C11747" s="164">
        <v>23</v>
      </c>
      <c r="D11747" s="164">
        <f t="shared" si="1301"/>
        <v>46076</v>
      </c>
      <c r="E11747" s="235">
        <f t="shared" si="1302"/>
        <v>46076</v>
      </c>
      <c r="F11747" s="480"/>
      <c r="G11747" s="208" t="s">
        <v>86</v>
      </c>
      <c r="H11747" s="208"/>
      <c r="J11747" s="165" t="s">
        <v>200</v>
      </c>
      <c r="K11747" s="205"/>
      <c r="L11747" s="205">
        <v>107722.67</v>
      </c>
      <c r="M11747" s="263"/>
      <c r="N11747" s="263"/>
    </row>
    <row r="11748" spans="1:14" ht="11.25" customHeight="1" x14ac:dyDescent="0.2">
      <c r="A11748" s="226">
        <v>2026</v>
      </c>
      <c r="B11748" s="226">
        <v>2</v>
      </c>
      <c r="C11748" s="226">
        <v>23</v>
      </c>
      <c r="D11748" s="226">
        <f t="shared" si="1301"/>
        <v>46076</v>
      </c>
      <c r="E11748" s="234">
        <f t="shared" si="1302"/>
        <v>46076</v>
      </c>
      <c r="F11748" s="479"/>
      <c r="G11748" s="227" t="s">
        <v>86</v>
      </c>
      <c r="H11748" s="228"/>
      <c r="I11748" s="228"/>
      <c r="J11748" s="229" t="s">
        <v>80</v>
      </c>
      <c r="K11748" s="230"/>
      <c r="L11748" s="230">
        <v>667800.32999999996</v>
      </c>
      <c r="M11748" s="263"/>
      <c r="N11748" s="263"/>
    </row>
    <row r="11749" spans="1:14" ht="11.25" customHeight="1" x14ac:dyDescent="0.2">
      <c r="A11749" s="280">
        <v>2026</v>
      </c>
      <c r="B11749" s="280">
        <v>2</v>
      </c>
      <c r="C11749" s="280">
        <v>23</v>
      </c>
      <c r="D11749" s="281">
        <f t="shared" si="1301"/>
        <v>46076</v>
      </c>
      <c r="E11749" s="282">
        <f t="shared" si="1302"/>
        <v>46076</v>
      </c>
      <c r="F11749" s="472" t="s">
        <v>1584</v>
      </c>
      <c r="G11749" s="283" t="s">
        <v>86</v>
      </c>
      <c r="H11749" s="284"/>
      <c r="I11749" s="284"/>
      <c r="J11749" s="285" t="s">
        <v>131</v>
      </c>
      <c r="K11749" s="286">
        <v>1277.7777777777801</v>
      </c>
      <c r="L11749" s="286"/>
      <c r="M11749" s="401"/>
      <c r="N11749" s="166"/>
    </row>
    <row r="11750" spans="1:14" ht="11.25" customHeight="1" x14ac:dyDescent="0.2">
      <c r="A11750" s="287">
        <v>2026</v>
      </c>
      <c r="B11750" s="287">
        <v>2</v>
      </c>
      <c r="C11750" s="287">
        <v>23</v>
      </c>
      <c r="D11750" s="288">
        <f t="shared" si="1301"/>
        <v>46076</v>
      </c>
      <c r="E11750" s="289">
        <f t="shared" si="1302"/>
        <v>46076</v>
      </c>
      <c r="F11750" s="473"/>
      <c r="G11750" s="290" t="s">
        <v>86</v>
      </c>
      <c r="H11750" s="291"/>
      <c r="I11750" s="291"/>
      <c r="J11750" s="292" t="s">
        <v>1469</v>
      </c>
      <c r="K11750" s="293"/>
      <c r="L11750" s="293">
        <f>K11749</f>
        <v>1277.7777777777801</v>
      </c>
    </row>
    <row r="11751" spans="1:14" ht="11.25" customHeight="1" x14ac:dyDescent="0.2">
      <c r="A11751" s="280">
        <v>2026</v>
      </c>
      <c r="B11751" s="280">
        <v>2</v>
      </c>
      <c r="C11751" s="280">
        <v>23</v>
      </c>
      <c r="D11751" s="281">
        <f t="shared" si="1301"/>
        <v>46076</v>
      </c>
      <c r="E11751" s="282">
        <f t="shared" si="1302"/>
        <v>46076</v>
      </c>
      <c r="F11751" s="472" t="s">
        <v>1955</v>
      </c>
      <c r="G11751" s="283" t="s">
        <v>86</v>
      </c>
      <c r="H11751" s="284"/>
      <c r="I11751" s="284"/>
      <c r="J11751" s="285" t="s">
        <v>1978</v>
      </c>
      <c r="K11751" s="286">
        <v>6185.4395604395604</v>
      </c>
      <c r="L11751" s="286"/>
      <c r="M11751" s="401"/>
    </row>
    <row r="11752" spans="1:14" ht="11.25" customHeight="1" x14ac:dyDescent="0.2">
      <c r="A11752" s="287">
        <v>2026</v>
      </c>
      <c r="B11752" s="287">
        <v>2</v>
      </c>
      <c r="C11752" s="287">
        <v>23</v>
      </c>
      <c r="D11752" s="288">
        <f t="shared" si="1301"/>
        <v>46076</v>
      </c>
      <c r="E11752" s="289">
        <f t="shared" si="1302"/>
        <v>46076</v>
      </c>
      <c r="F11752" s="473"/>
      <c r="G11752" s="290" t="s">
        <v>86</v>
      </c>
      <c r="H11752" s="291"/>
      <c r="I11752" s="291"/>
      <c r="J11752" s="292" t="s">
        <v>1955</v>
      </c>
      <c r="K11752" s="293"/>
      <c r="L11752" s="293">
        <f>K11751</f>
        <v>6185.4395604395604</v>
      </c>
    </row>
    <row r="11753" spans="1:14" ht="11.25" customHeight="1" x14ac:dyDescent="0.2">
      <c r="A11753" s="341">
        <v>2026</v>
      </c>
      <c r="B11753" s="341">
        <v>2</v>
      </c>
      <c r="C11753" s="341">
        <v>23</v>
      </c>
      <c r="D11753" s="328">
        <f t="shared" si="1301"/>
        <v>46076</v>
      </c>
      <c r="E11753" s="329">
        <f t="shared" si="1302"/>
        <v>46076</v>
      </c>
      <c r="F11753" s="474" t="s">
        <v>1767</v>
      </c>
      <c r="G11753" s="330" t="s">
        <v>86</v>
      </c>
      <c r="H11753" s="332"/>
      <c r="I11753" s="332"/>
      <c r="J11753" s="342" t="s">
        <v>67</v>
      </c>
      <c r="K11753" s="343">
        <v>2022.7018056944441</v>
      </c>
      <c r="L11753" s="343"/>
      <c r="M11753" s="166"/>
    </row>
    <row r="11754" spans="1:14" ht="11.25" customHeight="1" x14ac:dyDescent="0.2">
      <c r="A11754" s="344">
        <v>2026</v>
      </c>
      <c r="B11754" s="344">
        <v>2</v>
      </c>
      <c r="C11754" s="344">
        <v>23</v>
      </c>
      <c r="D11754" s="337">
        <f t="shared" si="1301"/>
        <v>46076</v>
      </c>
      <c r="E11754" s="338">
        <f t="shared" si="1302"/>
        <v>46076</v>
      </c>
      <c r="F11754" s="475"/>
      <c r="G11754" s="339" t="s">
        <v>86</v>
      </c>
      <c r="H11754" s="340"/>
      <c r="I11754" s="340"/>
      <c r="J11754" s="345" t="s">
        <v>1974</v>
      </c>
      <c r="K11754" s="346"/>
      <c r="L11754" s="346">
        <f>K11753</f>
        <v>2022.7018056944441</v>
      </c>
    </row>
    <row r="11755" spans="1:14" ht="11.25" customHeight="1" x14ac:dyDescent="0.2">
      <c r="A11755" s="236">
        <v>2026</v>
      </c>
      <c r="B11755" s="236">
        <v>2</v>
      </c>
      <c r="C11755" s="236">
        <v>23</v>
      </c>
      <c r="D11755" s="237">
        <f t="shared" si="1301"/>
        <v>46076</v>
      </c>
      <c r="E11755" s="238">
        <f t="shared" si="1302"/>
        <v>46076</v>
      </c>
      <c r="F11755" s="476" t="s">
        <v>1118</v>
      </c>
      <c r="G11755" s="239" t="s">
        <v>86</v>
      </c>
      <c r="H11755" s="239"/>
      <c r="I11755" s="240"/>
      <c r="J11755" s="241" t="s">
        <v>98</v>
      </c>
      <c r="K11755" s="242">
        <v>3202278.5699999928</v>
      </c>
      <c r="L11755" s="242"/>
      <c r="M11755" s="166"/>
    </row>
    <row r="11756" spans="1:14" ht="11.25" customHeight="1" x14ac:dyDescent="0.2">
      <c r="A11756" s="243">
        <v>2026</v>
      </c>
      <c r="B11756" s="243">
        <v>2</v>
      </c>
      <c r="C11756" s="243">
        <v>23</v>
      </c>
      <c r="D11756" s="248">
        <f t="shared" si="1301"/>
        <v>46076</v>
      </c>
      <c r="E11756" s="249">
        <f t="shared" si="1302"/>
        <v>46076</v>
      </c>
      <c r="F11756" s="477"/>
      <c r="G11756" s="244" t="s">
        <v>86</v>
      </c>
      <c r="H11756" s="244"/>
      <c r="I11756" s="245"/>
      <c r="J11756" s="246" t="s">
        <v>82</v>
      </c>
      <c r="K11756" s="247"/>
      <c r="L11756" s="247">
        <f>K11755</f>
        <v>3202278.5699999928</v>
      </c>
    </row>
    <row r="11757" spans="1:14" ht="11.25" customHeight="1" x14ac:dyDescent="0.2">
      <c r="A11757" s="236">
        <v>2026</v>
      </c>
      <c r="B11757" s="236">
        <v>2</v>
      </c>
      <c r="C11757" s="236">
        <v>23</v>
      </c>
      <c r="D11757" s="237">
        <f t="shared" si="1301"/>
        <v>46076</v>
      </c>
      <c r="E11757" s="238">
        <f t="shared" si="1302"/>
        <v>46076</v>
      </c>
      <c r="F11757" s="476" t="s">
        <v>1999</v>
      </c>
      <c r="G11757" s="239" t="s">
        <v>86</v>
      </c>
      <c r="H11757" s="239"/>
      <c r="I11757" s="240"/>
      <c r="J11757" s="241" t="s">
        <v>87</v>
      </c>
      <c r="K11757" s="242">
        <v>392.46467817896399</v>
      </c>
      <c r="L11757" s="242"/>
      <c r="M11757" s="401"/>
    </row>
    <row r="11758" spans="1:14" ht="11.25" customHeight="1" x14ac:dyDescent="0.2">
      <c r="A11758" s="243">
        <v>2026</v>
      </c>
      <c r="B11758" s="243">
        <v>2</v>
      </c>
      <c r="C11758" s="243">
        <v>23</v>
      </c>
      <c r="D11758" s="248">
        <f t="shared" si="1301"/>
        <v>46076</v>
      </c>
      <c r="E11758" s="249">
        <f t="shared" si="1302"/>
        <v>46076</v>
      </c>
      <c r="F11758" s="477"/>
      <c r="G11758" s="244" t="s">
        <v>86</v>
      </c>
      <c r="H11758" s="244"/>
      <c r="I11758" s="245"/>
      <c r="J11758" s="246" t="s">
        <v>64</v>
      </c>
      <c r="K11758" s="247"/>
      <c r="L11758" s="247">
        <f>K11757</f>
        <v>392.46467817896399</v>
      </c>
    </row>
    <row r="11759" spans="1:14" ht="11.25" customHeight="1" x14ac:dyDescent="0.2">
      <c r="A11759" s="236">
        <v>2026</v>
      </c>
      <c r="B11759" s="236">
        <v>2</v>
      </c>
      <c r="C11759" s="236">
        <v>23</v>
      </c>
      <c r="D11759" s="237">
        <f t="shared" si="1301"/>
        <v>46076</v>
      </c>
      <c r="E11759" s="238">
        <f t="shared" si="1302"/>
        <v>46076</v>
      </c>
      <c r="F11759" s="476" t="s">
        <v>2000</v>
      </c>
      <c r="G11759" s="239" t="s">
        <v>86</v>
      </c>
      <c r="H11759" s="239"/>
      <c r="I11759" s="240"/>
      <c r="J11759" s="241" t="s">
        <v>89</v>
      </c>
      <c r="K11759" s="242">
        <f>M11759</f>
        <v>15140.22986297167</v>
      </c>
      <c r="L11759" s="242"/>
      <c r="M11759" s="448">
        <v>15140.22986297167</v>
      </c>
    </row>
    <row r="11760" spans="1:14" ht="11.25" customHeight="1" x14ac:dyDescent="0.2">
      <c r="A11760" s="243">
        <v>2026</v>
      </c>
      <c r="B11760" s="243">
        <v>2</v>
      </c>
      <c r="C11760" s="243">
        <v>23</v>
      </c>
      <c r="D11760" s="248">
        <f t="shared" si="1301"/>
        <v>46076</v>
      </c>
      <c r="E11760" s="249">
        <f t="shared" si="1302"/>
        <v>46076</v>
      </c>
      <c r="F11760" s="477"/>
      <c r="G11760" s="244" t="s">
        <v>86</v>
      </c>
      <c r="H11760" s="244"/>
      <c r="I11760" s="245"/>
      <c r="J11760" s="246" t="s">
        <v>50</v>
      </c>
      <c r="K11760" s="247"/>
      <c r="L11760" s="247">
        <f>K11759</f>
        <v>15140.22986297167</v>
      </c>
      <c r="M11760" s="448">
        <v>735.37605479171884</v>
      </c>
    </row>
    <row r="11761" spans="1:15" ht="11.25" customHeight="1" x14ac:dyDescent="0.2">
      <c r="A11761" s="236">
        <v>2026</v>
      </c>
      <c r="B11761" s="236">
        <v>2</v>
      </c>
      <c r="C11761" s="236">
        <v>23</v>
      </c>
      <c r="D11761" s="237">
        <f t="shared" si="1301"/>
        <v>46076</v>
      </c>
      <c r="E11761" s="238">
        <f t="shared" si="1302"/>
        <v>46076</v>
      </c>
      <c r="F11761" s="476" t="s">
        <v>2001</v>
      </c>
      <c r="G11761" s="239" t="s">
        <v>86</v>
      </c>
      <c r="H11761" s="239"/>
      <c r="I11761" s="240"/>
      <c r="J11761" s="241" t="s">
        <v>91</v>
      </c>
      <c r="K11761" s="242">
        <f>M11760</f>
        <v>735.37605479171884</v>
      </c>
      <c r="L11761" s="242"/>
    </row>
    <row r="11762" spans="1:15" ht="11.25" customHeight="1" x14ac:dyDescent="0.2">
      <c r="A11762" s="243">
        <v>2026</v>
      </c>
      <c r="B11762" s="243">
        <v>2</v>
      </c>
      <c r="C11762" s="243">
        <v>23</v>
      </c>
      <c r="D11762" s="248">
        <f t="shared" si="1301"/>
        <v>46076</v>
      </c>
      <c r="E11762" s="249">
        <f t="shared" si="1302"/>
        <v>46076</v>
      </c>
      <c r="F11762" s="477"/>
      <c r="G11762" s="244" t="s">
        <v>86</v>
      </c>
      <c r="H11762" s="244"/>
      <c r="I11762" s="245"/>
      <c r="J11762" s="246" t="s">
        <v>51</v>
      </c>
      <c r="K11762" s="247"/>
      <c r="L11762" s="247">
        <f>K11761</f>
        <v>735.37605479171884</v>
      </c>
    </row>
    <row r="11763" spans="1:15" ht="11.25" customHeight="1" x14ac:dyDescent="0.2">
      <c r="A11763" s="221">
        <v>2026</v>
      </c>
      <c r="B11763" s="221">
        <v>2</v>
      </c>
      <c r="C11763" s="221">
        <v>24</v>
      </c>
      <c r="D11763" s="221">
        <f t="shared" si="1301"/>
        <v>46077</v>
      </c>
      <c r="E11763" s="233">
        <f t="shared" si="1302"/>
        <v>46077</v>
      </c>
      <c r="F11763" s="478" t="s">
        <v>2003</v>
      </c>
      <c r="G11763" s="222" t="s">
        <v>1111</v>
      </c>
      <c r="H11763" s="222"/>
      <c r="I11763" s="223"/>
      <c r="J11763" s="224" t="s">
        <v>50</v>
      </c>
      <c r="K11763" s="225">
        <f>L11765/0.85</f>
        <v>935848.00000000012</v>
      </c>
      <c r="L11763" s="225"/>
      <c r="M11763" s="447"/>
      <c r="N11763" s="447"/>
      <c r="O11763" s="166"/>
    </row>
    <row r="11764" spans="1:15" ht="11.25" customHeight="1" x14ac:dyDescent="0.2">
      <c r="A11764" s="164">
        <v>2026</v>
      </c>
      <c r="B11764" s="164">
        <v>2</v>
      </c>
      <c r="C11764" s="164">
        <v>24</v>
      </c>
      <c r="D11764" s="156">
        <f t="shared" si="1301"/>
        <v>46077</v>
      </c>
      <c r="E11764" s="235">
        <f t="shared" si="1302"/>
        <v>46077</v>
      </c>
      <c r="F11764" s="480"/>
      <c r="G11764" s="208" t="s">
        <v>1111</v>
      </c>
      <c r="J11764" s="165" t="s">
        <v>478</v>
      </c>
      <c r="K11764" s="205"/>
      <c r="L11764" s="205">
        <f>K11763-L11765</f>
        <v>140377.20000000007</v>
      </c>
      <c r="N11764" s="423"/>
    </row>
    <row r="11765" spans="1:15" ht="11.25" customHeight="1" x14ac:dyDescent="0.2">
      <c r="A11765" s="226">
        <v>2026</v>
      </c>
      <c r="B11765" s="226">
        <v>2</v>
      </c>
      <c r="C11765" s="226">
        <v>24</v>
      </c>
      <c r="D11765" s="226">
        <f t="shared" si="1301"/>
        <v>46077</v>
      </c>
      <c r="E11765" s="234">
        <f t="shared" si="1302"/>
        <v>46077</v>
      </c>
      <c r="F11765" s="479"/>
      <c r="G11765" s="227" t="s">
        <v>1111</v>
      </c>
      <c r="H11765" s="227"/>
      <c r="I11765" s="228"/>
      <c r="J11765" s="229" t="s">
        <v>55</v>
      </c>
      <c r="K11765" s="230"/>
      <c r="L11765" s="230">
        <v>795470.8</v>
      </c>
    </row>
    <row r="11766" spans="1:15" ht="11.25" customHeight="1" x14ac:dyDescent="0.2">
      <c r="A11766" s="221">
        <v>2026</v>
      </c>
      <c r="B11766" s="221">
        <v>2</v>
      </c>
      <c r="C11766" s="221">
        <v>24</v>
      </c>
      <c r="D11766" s="231">
        <f t="shared" si="1301"/>
        <v>46077</v>
      </c>
      <c r="E11766" s="233">
        <f t="shared" si="1302"/>
        <v>46077</v>
      </c>
      <c r="F11766" s="478" t="s">
        <v>1984</v>
      </c>
      <c r="G11766" s="222" t="s">
        <v>1111</v>
      </c>
      <c r="H11766" s="223" t="str" cm="1">
        <f t="array" ref="H11766">IFERROR(INDEX(INVESTOR_LIST[INVESTOR NAME],MATCH(I11766,INVESTOR_LIST[INVESTOR CODE],0),)," ")</f>
        <v xml:space="preserve"> </v>
      </c>
      <c r="I11766" s="223"/>
      <c r="J11766" s="224" t="s">
        <v>961</v>
      </c>
      <c r="K11766" s="225">
        <v>264678.51</v>
      </c>
      <c r="L11766" s="225"/>
    </row>
    <row r="11767" spans="1:15" ht="11.25" customHeight="1" x14ac:dyDescent="0.2">
      <c r="A11767" s="226">
        <v>2026</v>
      </c>
      <c r="B11767" s="226">
        <v>2</v>
      </c>
      <c r="C11767" s="226">
        <v>24</v>
      </c>
      <c r="D11767" s="232">
        <f t="shared" si="1301"/>
        <v>46077</v>
      </c>
      <c r="E11767" s="234">
        <f t="shared" si="1302"/>
        <v>46077</v>
      </c>
      <c r="F11767" s="479"/>
      <c r="G11767" s="227" t="s">
        <v>1111</v>
      </c>
      <c r="H11767" s="228" t="str" cm="1">
        <f t="array" ref="H11767">IFERROR(INDEX(INVESTOR_LIST[INVESTOR NAME],MATCH(I11767,INVESTOR_LIST[INVESTOR CODE],0),)," ")</f>
        <v xml:space="preserve"> </v>
      </c>
      <c r="I11767" s="228"/>
      <c r="J11767" s="229" t="s">
        <v>55</v>
      </c>
      <c r="K11767" s="230"/>
      <c r="L11767" s="230">
        <f>K11766</f>
        <v>264678.51</v>
      </c>
    </row>
    <row r="11768" spans="1:15" ht="11.25" customHeight="1" x14ac:dyDescent="0.2">
      <c r="A11768" s="221">
        <v>2026</v>
      </c>
      <c r="B11768" s="221">
        <v>2</v>
      </c>
      <c r="C11768" s="221">
        <v>24</v>
      </c>
      <c r="D11768" s="221">
        <f t="shared" ref="D11768:D11796" si="1303">DATE(A11768,B11768,C11768)</f>
        <v>46077</v>
      </c>
      <c r="E11768" s="233">
        <f t="shared" ref="E11768:E11796" si="1304">DATE(A11768,B11768,C11768)</f>
        <v>46077</v>
      </c>
      <c r="F11768" s="478" t="s">
        <v>1937</v>
      </c>
      <c r="G11768" s="222" t="s">
        <v>86</v>
      </c>
      <c r="H11768" s="222"/>
      <c r="I11768" s="223"/>
      <c r="J11768" s="224" t="s">
        <v>80</v>
      </c>
      <c r="K11768" s="225">
        <v>1090255</v>
      </c>
      <c r="L11768" s="225"/>
      <c r="N11768" s="263"/>
    </row>
    <row r="11769" spans="1:15" ht="11.25" customHeight="1" x14ac:dyDescent="0.2">
      <c r="A11769" s="164">
        <v>2026</v>
      </c>
      <c r="B11769" s="164">
        <v>2</v>
      </c>
      <c r="C11769" s="164">
        <v>24</v>
      </c>
      <c r="D11769" s="164">
        <f t="shared" si="1303"/>
        <v>46077</v>
      </c>
      <c r="E11769" s="235">
        <f t="shared" si="1304"/>
        <v>46077</v>
      </c>
      <c r="F11769" s="480"/>
      <c r="G11769" s="208" t="s">
        <v>86</v>
      </c>
      <c r="H11769" s="208"/>
      <c r="J11769" s="165" t="s">
        <v>960</v>
      </c>
      <c r="K11769" s="205">
        <v>4279.12</v>
      </c>
      <c r="L11769" s="205"/>
      <c r="M11769" s="263"/>
      <c r="N11769" s="263"/>
    </row>
    <row r="11770" spans="1:15" ht="11.25" customHeight="1" x14ac:dyDescent="0.2">
      <c r="A11770" s="164">
        <v>2026</v>
      </c>
      <c r="B11770" s="164">
        <v>2</v>
      </c>
      <c r="C11770" s="164">
        <v>24</v>
      </c>
      <c r="D11770" s="164">
        <f t="shared" si="1303"/>
        <v>46077</v>
      </c>
      <c r="E11770" s="235">
        <f t="shared" si="1304"/>
        <v>46077</v>
      </c>
      <c r="F11770" s="480"/>
      <c r="G11770" s="208" t="s">
        <v>86</v>
      </c>
      <c r="H11770" s="208"/>
      <c r="J11770" s="165" t="s">
        <v>199</v>
      </c>
      <c r="K11770" s="263">
        <v>192500.48000000001</v>
      </c>
      <c r="L11770" s="205"/>
      <c r="M11770" s="263"/>
      <c r="N11770" s="263"/>
    </row>
    <row r="11771" spans="1:15" ht="11.25" customHeight="1" x14ac:dyDescent="0.2">
      <c r="A11771" s="164">
        <v>2026</v>
      </c>
      <c r="B11771" s="164">
        <v>2</v>
      </c>
      <c r="C11771" s="164">
        <v>24</v>
      </c>
      <c r="D11771" s="164">
        <f t="shared" si="1303"/>
        <v>46077</v>
      </c>
      <c r="E11771" s="235">
        <f t="shared" si="1304"/>
        <v>46077</v>
      </c>
      <c r="F11771" s="480"/>
      <c r="G11771" s="208" t="s">
        <v>86</v>
      </c>
      <c r="H11771" s="208"/>
      <c r="J11771" s="165" t="s">
        <v>200</v>
      </c>
      <c r="K11771" s="205"/>
      <c r="L11771" s="205">
        <v>238657.46</v>
      </c>
      <c r="M11771" s="263"/>
      <c r="N11771" s="263"/>
    </row>
    <row r="11772" spans="1:15" ht="11.25" customHeight="1" x14ac:dyDescent="0.2">
      <c r="A11772" s="226">
        <v>2026</v>
      </c>
      <c r="B11772" s="226">
        <v>2</v>
      </c>
      <c r="C11772" s="226">
        <v>24</v>
      </c>
      <c r="D11772" s="226">
        <f t="shared" si="1303"/>
        <v>46077</v>
      </c>
      <c r="E11772" s="234">
        <f t="shared" si="1304"/>
        <v>46077</v>
      </c>
      <c r="F11772" s="479"/>
      <c r="G11772" s="227" t="s">
        <v>86</v>
      </c>
      <c r="H11772" s="228"/>
      <c r="I11772" s="228"/>
      <c r="J11772" s="229" t="s">
        <v>80</v>
      </c>
      <c r="K11772" s="230"/>
      <c r="L11772" s="230">
        <v>1048377.14</v>
      </c>
      <c r="M11772" s="263"/>
      <c r="N11772" s="263"/>
    </row>
    <row r="11773" spans="1:15" ht="11.25" customHeight="1" x14ac:dyDescent="0.2">
      <c r="A11773" s="221">
        <v>2026</v>
      </c>
      <c r="B11773" s="221">
        <v>2</v>
      </c>
      <c r="C11773" s="221">
        <v>24</v>
      </c>
      <c r="D11773" s="221">
        <f t="shared" si="1303"/>
        <v>46077</v>
      </c>
      <c r="E11773" s="233">
        <f t="shared" si="1304"/>
        <v>46077</v>
      </c>
      <c r="F11773" s="478" t="s">
        <v>1346</v>
      </c>
      <c r="G11773" s="222" t="s">
        <v>86</v>
      </c>
      <c r="H11773" s="222"/>
      <c r="I11773" s="223"/>
      <c r="J11773" s="224" t="s">
        <v>80</v>
      </c>
      <c r="K11773" s="225">
        <v>61900</v>
      </c>
      <c r="L11773" s="225"/>
      <c r="M11773" s="263"/>
      <c r="N11773" s="263"/>
    </row>
    <row r="11774" spans="1:15" ht="11.25" customHeight="1" x14ac:dyDescent="0.2">
      <c r="A11774" s="164">
        <v>2026</v>
      </c>
      <c r="B11774" s="164">
        <v>2</v>
      </c>
      <c r="C11774" s="164">
        <v>24</v>
      </c>
      <c r="D11774" s="164">
        <f t="shared" si="1303"/>
        <v>46077</v>
      </c>
      <c r="E11774" s="235">
        <f t="shared" si="1304"/>
        <v>46077</v>
      </c>
      <c r="F11774" s="480"/>
      <c r="G11774" s="208" t="s">
        <v>86</v>
      </c>
      <c r="H11774" s="208"/>
      <c r="J11774" s="165" t="s">
        <v>960</v>
      </c>
      <c r="K11774" s="205">
        <v>111.42</v>
      </c>
      <c r="L11774" s="205"/>
      <c r="M11774" s="263"/>
      <c r="N11774" s="263"/>
    </row>
    <row r="11775" spans="1:15" ht="11.25" customHeight="1" x14ac:dyDescent="0.2">
      <c r="A11775" s="226">
        <v>2026</v>
      </c>
      <c r="B11775" s="226">
        <v>2</v>
      </c>
      <c r="C11775" s="226">
        <v>24</v>
      </c>
      <c r="D11775" s="226">
        <f t="shared" si="1303"/>
        <v>46077</v>
      </c>
      <c r="E11775" s="234">
        <f t="shared" si="1304"/>
        <v>46077</v>
      </c>
      <c r="F11775" s="479"/>
      <c r="G11775" s="227" t="s">
        <v>86</v>
      </c>
      <c r="H11775" s="227"/>
      <c r="I11775" s="228"/>
      <c r="J11775" s="229" t="s">
        <v>143</v>
      </c>
      <c r="K11775" s="230"/>
      <c r="L11775" s="230">
        <v>62011.42</v>
      </c>
      <c r="M11775" s="263"/>
      <c r="N11775" s="263"/>
    </row>
    <row r="11776" spans="1:15" ht="11.25" customHeight="1" x14ac:dyDescent="0.2">
      <c r="A11776" s="221">
        <v>2026</v>
      </c>
      <c r="B11776" s="221">
        <v>2</v>
      </c>
      <c r="C11776" s="221">
        <v>24</v>
      </c>
      <c r="D11776" s="231">
        <f t="shared" si="1303"/>
        <v>46077</v>
      </c>
      <c r="E11776" s="233">
        <f t="shared" si="1304"/>
        <v>46077</v>
      </c>
      <c r="F11776" s="478" t="s">
        <v>1323</v>
      </c>
      <c r="G11776" s="222" t="s">
        <v>1111</v>
      </c>
      <c r="H11776" s="223"/>
      <c r="I11776" s="223"/>
      <c r="J11776" s="224" t="s">
        <v>55</v>
      </c>
      <c r="K11776" s="225">
        <v>2500000</v>
      </c>
      <c r="L11776" s="225"/>
    </row>
    <row r="11777" spans="1:14" ht="11.25" customHeight="1" x14ac:dyDescent="0.2">
      <c r="A11777" s="164">
        <v>2026</v>
      </c>
      <c r="B11777" s="164">
        <v>2</v>
      </c>
      <c r="C11777" s="164">
        <v>24</v>
      </c>
      <c r="D11777" s="156">
        <f t="shared" si="1303"/>
        <v>46077</v>
      </c>
      <c r="E11777" s="235">
        <f t="shared" si="1304"/>
        <v>46077</v>
      </c>
      <c r="F11777" s="480"/>
      <c r="G11777" s="208" t="s">
        <v>1111</v>
      </c>
      <c r="J11777" s="165" t="s">
        <v>14</v>
      </c>
      <c r="K11777" s="205"/>
      <c r="L11777" s="205">
        <v>1908250</v>
      </c>
    </row>
    <row r="11778" spans="1:14" ht="11.25" customHeight="1" x14ac:dyDescent="0.2">
      <c r="A11778" s="226">
        <v>2026</v>
      </c>
      <c r="B11778" s="226">
        <v>2</v>
      </c>
      <c r="C11778" s="226">
        <v>24</v>
      </c>
      <c r="D11778" s="232">
        <f t="shared" si="1303"/>
        <v>46077</v>
      </c>
      <c r="E11778" s="234">
        <f t="shared" si="1304"/>
        <v>46077</v>
      </c>
      <c r="F11778" s="479"/>
      <c r="G11778" s="227" t="s">
        <v>1111</v>
      </c>
      <c r="H11778" s="228"/>
      <c r="I11778" s="228"/>
      <c r="J11778" s="229" t="s">
        <v>1112</v>
      </c>
      <c r="K11778" s="230"/>
      <c r="L11778" s="230">
        <v>591750</v>
      </c>
      <c r="M11778" s="166"/>
    </row>
    <row r="11779" spans="1:14" ht="11.25" customHeight="1" x14ac:dyDescent="0.2">
      <c r="A11779" s="280">
        <v>2026</v>
      </c>
      <c r="B11779" s="280">
        <v>2</v>
      </c>
      <c r="C11779" s="280">
        <v>24</v>
      </c>
      <c r="D11779" s="281">
        <f t="shared" si="1303"/>
        <v>46077</v>
      </c>
      <c r="E11779" s="282">
        <f t="shared" si="1304"/>
        <v>46077</v>
      </c>
      <c r="F11779" s="472" t="s">
        <v>1584</v>
      </c>
      <c r="G11779" s="283" t="s">
        <v>86</v>
      </c>
      <c r="H11779" s="284"/>
      <c r="I11779" s="284"/>
      <c r="J11779" s="285" t="s">
        <v>131</v>
      </c>
      <c r="K11779" s="286">
        <v>1277.7777777777801</v>
      </c>
      <c r="L11779" s="286"/>
      <c r="M11779" s="401"/>
      <c r="N11779" s="166"/>
    </row>
    <row r="11780" spans="1:14" ht="11.25" customHeight="1" x14ac:dyDescent="0.2">
      <c r="A11780" s="287">
        <v>2026</v>
      </c>
      <c r="B11780" s="287">
        <v>2</v>
      </c>
      <c r="C11780" s="287">
        <v>24</v>
      </c>
      <c r="D11780" s="288">
        <f t="shared" si="1303"/>
        <v>46077</v>
      </c>
      <c r="E11780" s="289">
        <f t="shared" si="1304"/>
        <v>46077</v>
      </c>
      <c r="F11780" s="473"/>
      <c r="G11780" s="290" t="s">
        <v>86</v>
      </c>
      <c r="H11780" s="291"/>
      <c r="I11780" s="291"/>
      <c r="J11780" s="292" t="s">
        <v>1469</v>
      </c>
      <c r="K11780" s="293"/>
      <c r="L11780" s="293">
        <f>K11779</f>
        <v>1277.7777777777801</v>
      </c>
    </row>
    <row r="11781" spans="1:14" ht="11.25" customHeight="1" x14ac:dyDescent="0.2">
      <c r="A11781" s="280">
        <v>2026</v>
      </c>
      <c r="B11781" s="280">
        <v>2</v>
      </c>
      <c r="C11781" s="280">
        <v>24</v>
      </c>
      <c r="D11781" s="281">
        <f t="shared" si="1303"/>
        <v>46077</v>
      </c>
      <c r="E11781" s="282">
        <f t="shared" si="1304"/>
        <v>46077</v>
      </c>
      <c r="F11781" s="472" t="s">
        <v>1955</v>
      </c>
      <c r="G11781" s="283" t="s">
        <v>86</v>
      </c>
      <c r="H11781" s="284"/>
      <c r="I11781" s="284"/>
      <c r="J11781" s="285" t="s">
        <v>1978</v>
      </c>
      <c r="K11781" s="286">
        <v>6185.4395604395604</v>
      </c>
      <c r="L11781" s="286"/>
      <c r="M11781" s="401"/>
    </row>
    <row r="11782" spans="1:14" ht="11.25" customHeight="1" x14ac:dyDescent="0.2">
      <c r="A11782" s="287">
        <v>2026</v>
      </c>
      <c r="B11782" s="287">
        <v>2</v>
      </c>
      <c r="C11782" s="287">
        <v>24</v>
      </c>
      <c r="D11782" s="288">
        <f t="shared" si="1303"/>
        <v>46077</v>
      </c>
      <c r="E11782" s="289">
        <f t="shared" si="1304"/>
        <v>46077</v>
      </c>
      <c r="F11782" s="473"/>
      <c r="G11782" s="290" t="s">
        <v>86</v>
      </c>
      <c r="H11782" s="291"/>
      <c r="I11782" s="291"/>
      <c r="J11782" s="292" t="s">
        <v>1955</v>
      </c>
      <c r="K11782" s="293"/>
      <c r="L11782" s="293">
        <f>K11781</f>
        <v>6185.4395604395604</v>
      </c>
    </row>
    <row r="11783" spans="1:14" ht="11.25" customHeight="1" x14ac:dyDescent="0.2">
      <c r="A11783" s="341">
        <v>2026</v>
      </c>
      <c r="B11783" s="341">
        <v>2</v>
      </c>
      <c r="C11783" s="341">
        <v>24</v>
      </c>
      <c r="D11783" s="328">
        <f t="shared" si="1303"/>
        <v>46077</v>
      </c>
      <c r="E11783" s="329">
        <f t="shared" si="1304"/>
        <v>46077</v>
      </c>
      <c r="F11783" s="474" t="s">
        <v>1767</v>
      </c>
      <c r="G11783" s="330" t="s">
        <v>86</v>
      </c>
      <c r="H11783" s="332"/>
      <c r="I11783" s="332"/>
      <c r="J11783" s="342" t="s">
        <v>67</v>
      </c>
      <c r="K11783" s="343">
        <v>1801.9068105555555</v>
      </c>
      <c r="L11783" s="343"/>
      <c r="M11783" s="166"/>
    </row>
    <row r="11784" spans="1:14" ht="11.25" customHeight="1" x14ac:dyDescent="0.2">
      <c r="A11784" s="344">
        <v>2026</v>
      </c>
      <c r="B11784" s="344">
        <v>2</v>
      </c>
      <c r="C11784" s="344">
        <v>24</v>
      </c>
      <c r="D11784" s="337">
        <f t="shared" si="1303"/>
        <v>46077</v>
      </c>
      <c r="E11784" s="338">
        <f t="shared" si="1304"/>
        <v>46077</v>
      </c>
      <c r="F11784" s="475"/>
      <c r="G11784" s="339" t="s">
        <v>86</v>
      </c>
      <c r="H11784" s="340"/>
      <c r="I11784" s="340"/>
      <c r="J11784" s="345" t="s">
        <v>1974</v>
      </c>
      <c r="K11784" s="346"/>
      <c r="L11784" s="346">
        <f>K11783</f>
        <v>1801.9068105555555</v>
      </c>
    </row>
    <row r="11785" spans="1:14" ht="11.25" customHeight="1" x14ac:dyDescent="0.2">
      <c r="A11785" s="236">
        <v>2026</v>
      </c>
      <c r="B11785" s="236">
        <v>2</v>
      </c>
      <c r="C11785" s="236">
        <v>24</v>
      </c>
      <c r="D11785" s="237">
        <f t="shared" si="1303"/>
        <v>46077</v>
      </c>
      <c r="E11785" s="238">
        <f t="shared" si="1304"/>
        <v>46077</v>
      </c>
      <c r="F11785" s="476" t="s">
        <v>1118</v>
      </c>
      <c r="G11785" s="239" t="s">
        <v>86</v>
      </c>
      <c r="H11785" s="239"/>
      <c r="I11785" s="240"/>
      <c r="J11785" s="241" t="s">
        <v>82</v>
      </c>
      <c r="K11785" s="242">
        <v>107417.4999999702</v>
      </c>
      <c r="L11785" s="242"/>
      <c r="M11785" s="166"/>
    </row>
    <row r="11786" spans="1:14" ht="11.25" customHeight="1" x14ac:dyDescent="0.2">
      <c r="A11786" s="243">
        <v>2026</v>
      </c>
      <c r="B11786" s="243">
        <v>2</v>
      </c>
      <c r="C11786" s="243">
        <v>24</v>
      </c>
      <c r="D11786" s="248">
        <f t="shared" si="1303"/>
        <v>46077</v>
      </c>
      <c r="E11786" s="249">
        <f t="shared" si="1304"/>
        <v>46077</v>
      </c>
      <c r="F11786" s="477"/>
      <c r="G11786" s="244" t="s">
        <v>86</v>
      </c>
      <c r="H11786" s="244"/>
      <c r="I11786" s="245"/>
      <c r="J11786" s="246" t="s">
        <v>98</v>
      </c>
      <c r="K11786" s="247"/>
      <c r="L11786" s="247">
        <f>K11785</f>
        <v>107417.4999999702</v>
      </c>
    </row>
    <row r="11787" spans="1:14" ht="11.25" customHeight="1" x14ac:dyDescent="0.2">
      <c r="A11787" s="236">
        <v>2026</v>
      </c>
      <c r="B11787" s="236">
        <v>2</v>
      </c>
      <c r="C11787" s="236">
        <v>24</v>
      </c>
      <c r="D11787" s="237">
        <f t="shared" si="1303"/>
        <v>46077</v>
      </c>
      <c r="E11787" s="238">
        <f t="shared" si="1304"/>
        <v>46077</v>
      </c>
      <c r="F11787" s="476" t="s">
        <v>1999</v>
      </c>
      <c r="G11787" s="239" t="s">
        <v>86</v>
      </c>
      <c r="H11787" s="239"/>
      <c r="I11787" s="240"/>
      <c r="J11787" s="241" t="s">
        <v>87</v>
      </c>
      <c r="K11787" s="242">
        <v>392.46467817896399</v>
      </c>
      <c r="L11787" s="242"/>
      <c r="M11787" s="401"/>
    </row>
    <row r="11788" spans="1:14" ht="11.25" customHeight="1" x14ac:dyDescent="0.2">
      <c r="A11788" s="243">
        <v>2026</v>
      </c>
      <c r="B11788" s="243">
        <v>2</v>
      </c>
      <c r="C11788" s="243">
        <v>24</v>
      </c>
      <c r="D11788" s="248">
        <f t="shared" si="1303"/>
        <v>46077</v>
      </c>
      <c r="E11788" s="249">
        <f t="shared" si="1304"/>
        <v>46077</v>
      </c>
      <c r="F11788" s="477"/>
      <c r="G11788" s="244" t="s">
        <v>86</v>
      </c>
      <c r="H11788" s="244"/>
      <c r="I11788" s="245"/>
      <c r="J11788" s="246" t="s">
        <v>64</v>
      </c>
      <c r="K11788" s="247"/>
      <c r="L11788" s="247">
        <f>K11787</f>
        <v>392.46467817896399</v>
      </c>
    </row>
    <row r="11789" spans="1:14" ht="11.25" customHeight="1" x14ac:dyDescent="0.2">
      <c r="A11789" s="236">
        <v>2026</v>
      </c>
      <c r="B11789" s="236">
        <v>2</v>
      </c>
      <c r="C11789" s="236">
        <v>24</v>
      </c>
      <c r="D11789" s="237">
        <f t="shared" si="1303"/>
        <v>46077</v>
      </c>
      <c r="E11789" s="238">
        <f t="shared" si="1304"/>
        <v>46077</v>
      </c>
      <c r="F11789" s="476" t="s">
        <v>2000</v>
      </c>
      <c r="G11789" s="239" t="s">
        <v>86</v>
      </c>
      <c r="H11789" s="239"/>
      <c r="I11789" s="240"/>
      <c r="J11789" s="241" t="s">
        <v>89</v>
      </c>
      <c r="K11789" s="242">
        <v>15162.688653802608</v>
      </c>
      <c r="L11789" s="242"/>
      <c r="M11789" s="448">
        <v>15162.688653802608</v>
      </c>
    </row>
    <row r="11790" spans="1:14" ht="11.25" customHeight="1" x14ac:dyDescent="0.2">
      <c r="A11790" s="243">
        <v>2026</v>
      </c>
      <c r="B11790" s="243">
        <v>2</v>
      </c>
      <c r="C11790" s="243">
        <v>24</v>
      </c>
      <c r="D11790" s="248">
        <f t="shared" si="1303"/>
        <v>46077</v>
      </c>
      <c r="E11790" s="249">
        <f t="shared" si="1304"/>
        <v>46077</v>
      </c>
      <c r="F11790" s="477"/>
      <c r="G11790" s="244" t="s">
        <v>86</v>
      </c>
      <c r="H11790" s="244"/>
      <c r="I11790" s="245"/>
      <c r="J11790" s="246" t="s">
        <v>50</v>
      </c>
      <c r="K11790" s="247"/>
      <c r="L11790" s="247">
        <f>K11789</f>
        <v>15162.688653802608</v>
      </c>
      <c r="M11790" s="448">
        <v>736.87330751378136</v>
      </c>
    </row>
    <row r="11791" spans="1:14" ht="11.25" customHeight="1" x14ac:dyDescent="0.2">
      <c r="A11791" s="236">
        <v>2026</v>
      </c>
      <c r="B11791" s="236">
        <v>2</v>
      </c>
      <c r="C11791" s="236">
        <v>24</v>
      </c>
      <c r="D11791" s="237">
        <f t="shared" si="1303"/>
        <v>46077</v>
      </c>
      <c r="E11791" s="238">
        <f t="shared" si="1304"/>
        <v>46077</v>
      </c>
      <c r="F11791" s="476" t="s">
        <v>2001</v>
      </c>
      <c r="G11791" s="239" t="s">
        <v>86</v>
      </c>
      <c r="H11791" s="239"/>
      <c r="I11791" s="240"/>
      <c r="J11791" s="241" t="s">
        <v>91</v>
      </c>
      <c r="K11791" s="242">
        <v>736.87330751378136</v>
      </c>
      <c r="L11791" s="242"/>
    </row>
    <row r="11792" spans="1:14" ht="11.25" customHeight="1" x14ac:dyDescent="0.2">
      <c r="A11792" s="243">
        <v>2026</v>
      </c>
      <c r="B11792" s="243">
        <v>2</v>
      </c>
      <c r="C11792" s="243">
        <v>24</v>
      </c>
      <c r="D11792" s="248">
        <f t="shared" si="1303"/>
        <v>46077</v>
      </c>
      <c r="E11792" s="249">
        <f t="shared" si="1304"/>
        <v>46077</v>
      </c>
      <c r="F11792" s="477"/>
      <c r="G11792" s="244" t="s">
        <v>86</v>
      </c>
      <c r="H11792" s="244"/>
      <c r="I11792" s="245"/>
      <c r="J11792" s="246" t="s">
        <v>51</v>
      </c>
      <c r="K11792" s="247"/>
      <c r="L11792" s="247">
        <f>K11791</f>
        <v>736.87330751378136</v>
      </c>
    </row>
    <row r="11793" spans="1:14" ht="11.25" customHeight="1" x14ac:dyDescent="0.2">
      <c r="A11793" s="221">
        <v>2026</v>
      </c>
      <c r="B11793" s="221">
        <v>2</v>
      </c>
      <c r="C11793" s="221">
        <v>25</v>
      </c>
      <c r="D11793" s="231">
        <f t="shared" si="1303"/>
        <v>46078</v>
      </c>
      <c r="E11793" s="233">
        <f t="shared" si="1304"/>
        <v>46078</v>
      </c>
      <c r="F11793" s="478" t="s">
        <v>1984</v>
      </c>
      <c r="G11793" s="222" t="s">
        <v>1111</v>
      </c>
      <c r="H11793" s="223" t="str" cm="1">
        <f t="array" ref="H11793">IFERROR(INDEX(INVESTOR_LIST[INVESTOR NAME],MATCH(I11793,INVESTOR_LIST[INVESTOR CODE],0),)," ")</f>
        <v xml:space="preserve"> </v>
      </c>
      <c r="I11793" s="223"/>
      <c r="J11793" s="224" t="s">
        <v>961</v>
      </c>
      <c r="K11793" s="225">
        <v>62011.42</v>
      </c>
      <c r="L11793" s="225"/>
    </row>
    <row r="11794" spans="1:14" ht="11.25" customHeight="1" x14ac:dyDescent="0.2">
      <c r="A11794" s="226">
        <v>2026</v>
      </c>
      <c r="B11794" s="226">
        <v>2</v>
      </c>
      <c r="C11794" s="226">
        <v>25</v>
      </c>
      <c r="D11794" s="232">
        <f t="shared" si="1303"/>
        <v>46078</v>
      </c>
      <c r="E11794" s="234">
        <f t="shared" si="1304"/>
        <v>46078</v>
      </c>
      <c r="F11794" s="479"/>
      <c r="G11794" s="227" t="s">
        <v>1111</v>
      </c>
      <c r="H11794" s="228" t="str" cm="1">
        <f t="array" ref="H11794">IFERROR(INDEX(INVESTOR_LIST[INVESTOR NAME],MATCH(I11794,INVESTOR_LIST[INVESTOR CODE],0),)," ")</f>
        <v xml:space="preserve"> </v>
      </c>
      <c r="I11794" s="228"/>
      <c r="J11794" s="229" t="s">
        <v>55</v>
      </c>
      <c r="K11794" s="230"/>
      <c r="L11794" s="230">
        <f>K11793</f>
        <v>62011.42</v>
      </c>
    </row>
    <row r="11795" spans="1:14" ht="11.25" customHeight="1" x14ac:dyDescent="0.2">
      <c r="A11795" s="221">
        <v>2026</v>
      </c>
      <c r="B11795" s="221">
        <v>2</v>
      </c>
      <c r="C11795" s="221">
        <v>25</v>
      </c>
      <c r="D11795" s="231">
        <f t="shared" si="1303"/>
        <v>46078</v>
      </c>
      <c r="E11795" s="233">
        <f t="shared" si="1304"/>
        <v>46078</v>
      </c>
      <c r="F11795" s="478" t="s">
        <v>1670</v>
      </c>
      <c r="G11795" s="222" t="s">
        <v>1111</v>
      </c>
      <c r="H11795" s="223"/>
      <c r="I11795" s="223"/>
      <c r="J11795" s="224" t="s">
        <v>63</v>
      </c>
      <c r="K11795" s="225">
        <f>58+100</f>
        <v>158</v>
      </c>
      <c r="L11795" s="225"/>
    </row>
    <row r="11796" spans="1:14" ht="11.25" customHeight="1" x14ac:dyDescent="0.2">
      <c r="A11796" s="226">
        <v>2026</v>
      </c>
      <c r="B11796" s="226">
        <v>2</v>
      </c>
      <c r="C11796" s="226">
        <v>25</v>
      </c>
      <c r="D11796" s="232">
        <f t="shared" si="1303"/>
        <v>46078</v>
      </c>
      <c r="E11796" s="234">
        <f t="shared" si="1304"/>
        <v>46078</v>
      </c>
      <c r="F11796" s="479"/>
      <c r="G11796" s="227" t="s">
        <v>1111</v>
      </c>
      <c r="H11796" s="228"/>
      <c r="I11796" s="228"/>
      <c r="J11796" s="229" t="s">
        <v>55</v>
      </c>
      <c r="K11796" s="230"/>
      <c r="L11796" s="230">
        <f>K11795</f>
        <v>158</v>
      </c>
    </row>
    <row r="11797" spans="1:14" ht="11.25" customHeight="1" x14ac:dyDescent="0.2">
      <c r="A11797" s="221">
        <v>2026</v>
      </c>
      <c r="B11797" s="221">
        <v>2</v>
      </c>
      <c r="C11797" s="221">
        <v>25</v>
      </c>
      <c r="D11797" s="231">
        <f t="shared" ref="D11797:D11822" si="1305">DATE(A11797,B11797,C11797)</f>
        <v>46078</v>
      </c>
      <c r="E11797" s="233">
        <f t="shared" ref="E11797:E11822" si="1306">DATE(A11797,B11797,C11797)</f>
        <v>46078</v>
      </c>
      <c r="F11797" s="478" t="s">
        <v>1987</v>
      </c>
      <c r="G11797" s="222" t="s">
        <v>1111</v>
      </c>
      <c r="H11797" s="223"/>
      <c r="I11797" s="223"/>
      <c r="J11797" s="224" t="s">
        <v>961</v>
      </c>
      <c r="K11797" s="225">
        <v>12113205.539999917</v>
      </c>
      <c r="L11797" s="225"/>
    </row>
    <row r="11798" spans="1:14" ht="11.25" customHeight="1" x14ac:dyDescent="0.2">
      <c r="A11798" s="164">
        <v>2026</v>
      </c>
      <c r="B11798" s="164">
        <v>2</v>
      </c>
      <c r="C11798" s="164">
        <v>25</v>
      </c>
      <c r="D11798" s="156">
        <v>46078</v>
      </c>
      <c r="E11798" s="235">
        <v>46078</v>
      </c>
      <c r="F11798" s="480"/>
      <c r="G11798" s="208" t="s">
        <v>1111</v>
      </c>
      <c r="J11798" s="165" t="s">
        <v>199</v>
      </c>
      <c r="K11798" s="205"/>
      <c r="L11798" s="205">
        <v>1843097.6000000001</v>
      </c>
    </row>
    <row r="11799" spans="1:14" ht="11.25" customHeight="1" x14ac:dyDescent="0.2">
      <c r="A11799" s="226">
        <v>2026</v>
      </c>
      <c r="B11799" s="226">
        <v>2</v>
      </c>
      <c r="C11799" s="226">
        <v>25</v>
      </c>
      <c r="D11799" s="232">
        <f t="shared" si="1305"/>
        <v>46078</v>
      </c>
      <c r="E11799" s="234">
        <f t="shared" si="1306"/>
        <v>46078</v>
      </c>
      <c r="F11799" s="479"/>
      <c r="G11799" s="227" t="s">
        <v>1111</v>
      </c>
      <c r="H11799" s="228"/>
      <c r="I11799" s="228"/>
      <c r="J11799" s="229" t="s">
        <v>55</v>
      </c>
      <c r="K11799" s="230"/>
      <c r="L11799" s="230">
        <v>10270107.949999999</v>
      </c>
    </row>
    <row r="11800" spans="1:14" ht="11.25" customHeight="1" x14ac:dyDescent="0.2">
      <c r="A11800" s="221">
        <v>2026</v>
      </c>
      <c r="B11800" s="221">
        <v>2</v>
      </c>
      <c r="C11800" s="221">
        <v>25</v>
      </c>
      <c r="D11800" s="221">
        <f t="shared" si="1305"/>
        <v>46078</v>
      </c>
      <c r="E11800" s="233">
        <f t="shared" si="1306"/>
        <v>46078</v>
      </c>
      <c r="F11800" s="478" t="s">
        <v>1936</v>
      </c>
      <c r="G11800" s="222" t="s">
        <v>86</v>
      </c>
      <c r="H11800" s="222"/>
      <c r="I11800" s="223"/>
      <c r="J11800" s="224" t="s">
        <v>80</v>
      </c>
      <c r="K11800" s="225">
        <v>1701111.5</v>
      </c>
      <c r="L11800" s="225"/>
      <c r="N11800" s="263"/>
    </row>
    <row r="11801" spans="1:14" ht="11.25" customHeight="1" x14ac:dyDescent="0.2">
      <c r="A11801" s="164">
        <v>2026</v>
      </c>
      <c r="B11801" s="164">
        <v>2</v>
      </c>
      <c r="C11801" s="164">
        <v>25</v>
      </c>
      <c r="D11801" s="164">
        <f t="shared" si="1305"/>
        <v>46078</v>
      </c>
      <c r="E11801" s="235">
        <f t="shared" si="1306"/>
        <v>46078</v>
      </c>
      <c r="F11801" s="480"/>
      <c r="G11801" s="208" t="s">
        <v>86</v>
      </c>
      <c r="H11801" s="208"/>
      <c r="J11801" s="165" t="s">
        <v>960</v>
      </c>
      <c r="K11801" s="205">
        <v>3062.0005999999998</v>
      </c>
      <c r="L11801" s="205"/>
      <c r="M11801" s="263"/>
      <c r="N11801" s="263"/>
    </row>
    <row r="11802" spans="1:14" ht="11.25" customHeight="1" x14ac:dyDescent="0.2">
      <c r="A11802" s="226">
        <v>2026</v>
      </c>
      <c r="B11802" s="226">
        <v>2</v>
      </c>
      <c r="C11802" s="226">
        <v>25</v>
      </c>
      <c r="D11802" s="226">
        <f t="shared" si="1305"/>
        <v>46078</v>
      </c>
      <c r="E11802" s="234">
        <f t="shared" si="1306"/>
        <v>46078</v>
      </c>
      <c r="F11802" s="479"/>
      <c r="G11802" s="227" t="s">
        <v>86</v>
      </c>
      <c r="H11802" s="227"/>
      <c r="I11802" s="228"/>
      <c r="J11802" s="229" t="s">
        <v>961</v>
      </c>
      <c r="K11802" s="294"/>
      <c r="L11802" s="230">
        <v>1704173.5</v>
      </c>
      <c r="M11802" s="263"/>
      <c r="N11802" s="263"/>
    </row>
    <row r="11803" spans="1:14" ht="11.25" customHeight="1" x14ac:dyDescent="0.2">
      <c r="A11803" s="280">
        <v>2026</v>
      </c>
      <c r="B11803" s="280">
        <v>2</v>
      </c>
      <c r="C11803" s="280">
        <v>25</v>
      </c>
      <c r="D11803" s="281">
        <f t="shared" si="1305"/>
        <v>46078</v>
      </c>
      <c r="E11803" s="282">
        <f t="shared" si="1306"/>
        <v>46078</v>
      </c>
      <c r="F11803" s="472" t="s">
        <v>1584</v>
      </c>
      <c r="G11803" s="283" t="s">
        <v>86</v>
      </c>
      <c r="H11803" s="284"/>
      <c r="I11803" s="284"/>
      <c r="J11803" s="285" t="s">
        <v>131</v>
      </c>
      <c r="K11803" s="286">
        <v>1277.7777777777801</v>
      </c>
      <c r="L11803" s="286"/>
      <c r="M11803" s="401"/>
      <c r="N11803" s="166"/>
    </row>
    <row r="11804" spans="1:14" ht="11.25" customHeight="1" x14ac:dyDescent="0.2">
      <c r="A11804" s="287">
        <v>2026</v>
      </c>
      <c r="B11804" s="287">
        <v>2</v>
      </c>
      <c r="C11804" s="287">
        <v>25</v>
      </c>
      <c r="D11804" s="288">
        <f t="shared" si="1305"/>
        <v>46078</v>
      </c>
      <c r="E11804" s="289">
        <f t="shared" si="1306"/>
        <v>46078</v>
      </c>
      <c r="F11804" s="473"/>
      <c r="G11804" s="290" t="s">
        <v>86</v>
      </c>
      <c r="H11804" s="291"/>
      <c r="I11804" s="291"/>
      <c r="J11804" s="292" t="s">
        <v>1469</v>
      </c>
      <c r="K11804" s="293"/>
      <c r="L11804" s="293">
        <f>K11803</f>
        <v>1277.7777777777801</v>
      </c>
    </row>
    <row r="11805" spans="1:14" ht="11.25" customHeight="1" x14ac:dyDescent="0.2">
      <c r="A11805" s="280">
        <v>2026</v>
      </c>
      <c r="B11805" s="280">
        <v>2</v>
      </c>
      <c r="C11805" s="280">
        <v>25</v>
      </c>
      <c r="D11805" s="281">
        <f t="shared" si="1305"/>
        <v>46078</v>
      </c>
      <c r="E11805" s="282">
        <f t="shared" si="1306"/>
        <v>46078</v>
      </c>
      <c r="F11805" s="472" t="s">
        <v>1955</v>
      </c>
      <c r="G11805" s="283" t="s">
        <v>86</v>
      </c>
      <c r="H11805" s="284"/>
      <c r="I11805" s="284"/>
      <c r="J11805" s="285" t="s">
        <v>1978</v>
      </c>
      <c r="K11805" s="286">
        <v>6185.4395604395604</v>
      </c>
      <c r="L11805" s="286"/>
      <c r="M11805" s="401"/>
    </row>
    <row r="11806" spans="1:14" ht="11.25" customHeight="1" x14ac:dyDescent="0.2">
      <c r="A11806" s="287">
        <v>2026</v>
      </c>
      <c r="B11806" s="287">
        <v>2</v>
      </c>
      <c r="C11806" s="287">
        <v>25</v>
      </c>
      <c r="D11806" s="288">
        <f t="shared" si="1305"/>
        <v>46078</v>
      </c>
      <c r="E11806" s="289">
        <f t="shared" si="1306"/>
        <v>46078</v>
      </c>
      <c r="F11806" s="473"/>
      <c r="G11806" s="290" t="s">
        <v>86</v>
      </c>
      <c r="H11806" s="291"/>
      <c r="I11806" s="291"/>
      <c r="J11806" s="292" t="s">
        <v>1955</v>
      </c>
      <c r="K11806" s="293"/>
      <c r="L11806" s="293">
        <f>K11805</f>
        <v>6185.4395604395604</v>
      </c>
    </row>
    <row r="11807" spans="1:14" ht="11.25" customHeight="1" x14ac:dyDescent="0.2">
      <c r="A11807" s="341">
        <v>2026</v>
      </c>
      <c r="B11807" s="341">
        <v>2</v>
      </c>
      <c r="C11807" s="341">
        <v>25</v>
      </c>
      <c r="D11807" s="328">
        <f t="shared" si="1305"/>
        <v>46078</v>
      </c>
      <c r="E11807" s="329">
        <f t="shared" si="1306"/>
        <v>46078</v>
      </c>
      <c r="F11807" s="474" t="s">
        <v>1767</v>
      </c>
      <c r="G11807" s="330" t="s">
        <v>86</v>
      </c>
      <c r="H11807" s="332"/>
      <c r="I11807" s="332"/>
      <c r="J11807" s="342" t="s">
        <v>67</v>
      </c>
      <c r="K11807" s="343">
        <v>130.06246680555554</v>
      </c>
      <c r="L11807" s="343"/>
      <c r="M11807" s="166"/>
    </row>
    <row r="11808" spans="1:14" ht="11.25" customHeight="1" x14ac:dyDescent="0.2">
      <c r="A11808" s="344">
        <v>2026</v>
      </c>
      <c r="B11808" s="344">
        <v>2</v>
      </c>
      <c r="C11808" s="344">
        <v>25</v>
      </c>
      <c r="D11808" s="337">
        <f t="shared" si="1305"/>
        <v>46078</v>
      </c>
      <c r="E11808" s="338">
        <f t="shared" si="1306"/>
        <v>46078</v>
      </c>
      <c r="F11808" s="475"/>
      <c r="G11808" s="339" t="s">
        <v>86</v>
      </c>
      <c r="H11808" s="340"/>
      <c r="I11808" s="340"/>
      <c r="J11808" s="345" t="s">
        <v>1974</v>
      </c>
      <c r="K11808" s="346"/>
      <c r="L11808" s="346">
        <f>K11807</f>
        <v>130.06246680555554</v>
      </c>
    </row>
    <row r="11809" spans="1:14" ht="11.25" customHeight="1" x14ac:dyDescent="0.2">
      <c r="A11809" s="236">
        <v>2026</v>
      </c>
      <c r="B11809" s="236">
        <v>2</v>
      </c>
      <c r="C11809" s="236">
        <v>25</v>
      </c>
      <c r="D11809" s="237">
        <f t="shared" si="1305"/>
        <v>46078</v>
      </c>
      <c r="E11809" s="238">
        <f t="shared" si="1306"/>
        <v>46078</v>
      </c>
      <c r="F11809" s="476" t="s">
        <v>1118</v>
      </c>
      <c r="G11809" s="239" t="s">
        <v>86</v>
      </c>
      <c r="H11809" s="239"/>
      <c r="I11809" s="240"/>
      <c r="J11809" s="241" t="s">
        <v>98</v>
      </c>
      <c r="K11809" s="242">
        <v>1499601.0199999809</v>
      </c>
      <c r="L11809" s="242"/>
      <c r="M11809" s="166"/>
    </row>
    <row r="11810" spans="1:14" ht="11.25" customHeight="1" x14ac:dyDescent="0.2">
      <c r="A11810" s="243">
        <v>2026</v>
      </c>
      <c r="B11810" s="243">
        <v>2</v>
      </c>
      <c r="C11810" s="243">
        <v>25</v>
      </c>
      <c r="D11810" s="248">
        <f t="shared" si="1305"/>
        <v>46078</v>
      </c>
      <c r="E11810" s="249">
        <f t="shared" si="1306"/>
        <v>46078</v>
      </c>
      <c r="F11810" s="477"/>
      <c r="G11810" s="244" t="s">
        <v>86</v>
      </c>
      <c r="H11810" s="244"/>
      <c r="I11810" s="245"/>
      <c r="J11810" s="246" t="s">
        <v>82</v>
      </c>
      <c r="K11810" s="247"/>
      <c r="L11810" s="247">
        <f>K11809</f>
        <v>1499601.0199999809</v>
      </c>
    </row>
    <row r="11811" spans="1:14" ht="11.25" customHeight="1" x14ac:dyDescent="0.2">
      <c r="A11811" s="236">
        <v>2026</v>
      </c>
      <c r="B11811" s="236">
        <v>2</v>
      </c>
      <c r="C11811" s="236">
        <v>25</v>
      </c>
      <c r="D11811" s="237">
        <f t="shared" si="1305"/>
        <v>46078</v>
      </c>
      <c r="E11811" s="238">
        <f t="shared" si="1306"/>
        <v>46078</v>
      </c>
      <c r="F11811" s="476" t="s">
        <v>1999</v>
      </c>
      <c r="G11811" s="239" t="s">
        <v>86</v>
      </c>
      <c r="H11811" s="239"/>
      <c r="I11811" s="240"/>
      <c r="J11811" s="241" t="s">
        <v>87</v>
      </c>
      <c r="K11811" s="242">
        <v>392.46467817896399</v>
      </c>
      <c r="L11811" s="242"/>
      <c r="M11811" s="401"/>
    </row>
    <row r="11812" spans="1:14" ht="11.25" customHeight="1" x14ac:dyDescent="0.2">
      <c r="A11812" s="243">
        <v>2026</v>
      </c>
      <c r="B11812" s="243">
        <v>2</v>
      </c>
      <c r="C11812" s="243">
        <v>25</v>
      </c>
      <c r="D11812" s="248">
        <f t="shared" si="1305"/>
        <v>46078</v>
      </c>
      <c r="E11812" s="249">
        <f t="shared" si="1306"/>
        <v>46078</v>
      </c>
      <c r="F11812" s="477"/>
      <c r="G11812" s="244" t="s">
        <v>86</v>
      </c>
      <c r="H11812" s="244"/>
      <c r="I11812" s="245"/>
      <c r="J11812" s="246" t="s">
        <v>64</v>
      </c>
      <c r="K11812" s="247"/>
      <c r="L11812" s="247">
        <f>K11811</f>
        <v>392.46467817896399</v>
      </c>
    </row>
    <row r="11813" spans="1:14" ht="11.25" customHeight="1" x14ac:dyDescent="0.2">
      <c r="A11813" s="236">
        <v>2026</v>
      </c>
      <c r="B11813" s="236">
        <v>2</v>
      </c>
      <c r="C11813" s="236">
        <v>25</v>
      </c>
      <c r="D11813" s="237">
        <f t="shared" si="1305"/>
        <v>46078</v>
      </c>
      <c r="E11813" s="238">
        <f t="shared" si="1306"/>
        <v>46078</v>
      </c>
      <c r="F11813" s="476" t="s">
        <v>2000</v>
      </c>
      <c r="G11813" s="239" t="s">
        <v>86</v>
      </c>
      <c r="H11813" s="239"/>
      <c r="I11813" s="240"/>
      <c r="J11813" s="241" t="s">
        <v>89</v>
      </c>
      <c r="K11813" s="242">
        <v>15162.688653802608</v>
      </c>
      <c r="L11813" s="242"/>
      <c r="M11813" s="448">
        <v>15162.688653802608</v>
      </c>
    </row>
    <row r="11814" spans="1:14" ht="11.25" customHeight="1" x14ac:dyDescent="0.2">
      <c r="A11814" s="243">
        <v>2026</v>
      </c>
      <c r="B11814" s="243">
        <v>2</v>
      </c>
      <c r="C11814" s="243">
        <v>25</v>
      </c>
      <c r="D11814" s="248">
        <f t="shared" si="1305"/>
        <v>46078</v>
      </c>
      <c r="E11814" s="249">
        <f t="shared" si="1306"/>
        <v>46078</v>
      </c>
      <c r="F11814" s="477"/>
      <c r="G11814" s="244" t="s">
        <v>86</v>
      </c>
      <c r="H11814" s="244"/>
      <c r="I11814" s="245"/>
      <c r="J11814" s="246" t="s">
        <v>50</v>
      </c>
      <c r="K11814" s="247"/>
      <c r="L11814" s="247">
        <f>K11813</f>
        <v>15162.688653802608</v>
      </c>
      <c r="M11814" s="448">
        <v>736.87330751378136</v>
      </c>
    </row>
    <row r="11815" spans="1:14" ht="11.25" customHeight="1" x14ac:dyDescent="0.2">
      <c r="A11815" s="236">
        <v>2026</v>
      </c>
      <c r="B11815" s="236">
        <v>2</v>
      </c>
      <c r="C11815" s="236">
        <v>25</v>
      </c>
      <c r="D11815" s="237">
        <f t="shared" si="1305"/>
        <v>46078</v>
      </c>
      <c r="E11815" s="238">
        <f t="shared" si="1306"/>
        <v>46078</v>
      </c>
      <c r="F11815" s="476" t="s">
        <v>2001</v>
      </c>
      <c r="G11815" s="239" t="s">
        <v>86</v>
      </c>
      <c r="H11815" s="239"/>
      <c r="I11815" s="240"/>
      <c r="J11815" s="241" t="s">
        <v>91</v>
      </c>
      <c r="K11815" s="242">
        <v>736.87330751378136</v>
      </c>
      <c r="L11815" s="242"/>
    </row>
    <row r="11816" spans="1:14" ht="11.25" customHeight="1" x14ac:dyDescent="0.2">
      <c r="A11816" s="243">
        <v>2026</v>
      </c>
      <c r="B11816" s="243">
        <v>2</v>
      </c>
      <c r="C11816" s="243">
        <v>25</v>
      </c>
      <c r="D11816" s="248">
        <f t="shared" si="1305"/>
        <v>46078</v>
      </c>
      <c r="E11816" s="249">
        <f t="shared" si="1306"/>
        <v>46078</v>
      </c>
      <c r="F11816" s="477"/>
      <c r="G11816" s="244" t="s">
        <v>86</v>
      </c>
      <c r="H11816" s="244"/>
      <c r="I11816" s="245"/>
      <c r="J11816" s="246" t="s">
        <v>51</v>
      </c>
      <c r="K11816" s="247"/>
      <c r="L11816" s="247">
        <f>K11815</f>
        <v>736.87330751378136</v>
      </c>
    </row>
    <row r="11817" spans="1:14" ht="11.25" customHeight="1" x14ac:dyDescent="0.2">
      <c r="A11817" s="221">
        <v>2026</v>
      </c>
      <c r="B11817" s="221">
        <v>2</v>
      </c>
      <c r="C11817" s="221">
        <v>26</v>
      </c>
      <c r="D11817" s="231">
        <f t="shared" si="1305"/>
        <v>46079</v>
      </c>
      <c r="E11817" s="233">
        <f t="shared" si="1306"/>
        <v>46079</v>
      </c>
      <c r="F11817" s="478" t="s">
        <v>1987</v>
      </c>
      <c r="G11817" s="222" t="s">
        <v>1111</v>
      </c>
      <c r="H11817" s="223"/>
      <c r="I11817" s="223"/>
      <c r="J11817" s="224" t="s">
        <v>961</v>
      </c>
      <c r="K11817" s="225">
        <v>1704173.5</v>
      </c>
      <c r="L11817" s="225"/>
    </row>
    <row r="11818" spans="1:14" ht="11.25" customHeight="1" x14ac:dyDescent="0.2">
      <c r="A11818" s="226">
        <v>2026</v>
      </c>
      <c r="B11818" s="226">
        <v>2</v>
      </c>
      <c r="C11818" s="226">
        <v>26</v>
      </c>
      <c r="D11818" s="232">
        <f t="shared" si="1305"/>
        <v>46079</v>
      </c>
      <c r="E11818" s="234">
        <f t="shared" si="1306"/>
        <v>46079</v>
      </c>
      <c r="F11818" s="479"/>
      <c r="G11818" s="227" t="s">
        <v>1111</v>
      </c>
      <c r="H11818" s="228"/>
      <c r="I11818" s="228"/>
      <c r="J11818" s="229" t="s">
        <v>55</v>
      </c>
      <c r="K11818" s="230"/>
      <c r="L11818" s="230">
        <f>K11817</f>
        <v>1704173.5</v>
      </c>
    </row>
    <row r="11819" spans="1:14" ht="11.25" customHeight="1" x14ac:dyDescent="0.2">
      <c r="A11819" s="221">
        <v>2026</v>
      </c>
      <c r="B11819" s="221">
        <v>2</v>
      </c>
      <c r="C11819" s="221">
        <v>26</v>
      </c>
      <c r="D11819" s="231">
        <f t="shared" si="1305"/>
        <v>46079</v>
      </c>
      <c r="E11819" s="233">
        <f t="shared" si="1306"/>
        <v>46079</v>
      </c>
      <c r="F11819" s="478" t="s">
        <v>1670</v>
      </c>
      <c r="G11819" s="222" t="s">
        <v>1111</v>
      </c>
      <c r="H11819" s="223"/>
      <c r="I11819" s="223"/>
      <c r="J11819" s="224" t="s">
        <v>63</v>
      </c>
      <c r="K11819" s="225">
        <v>100</v>
      </c>
      <c r="L11819" s="225"/>
    </row>
    <row r="11820" spans="1:14" ht="11.25" customHeight="1" x14ac:dyDescent="0.2">
      <c r="A11820" s="226">
        <v>2026</v>
      </c>
      <c r="B11820" s="226">
        <v>2</v>
      </c>
      <c r="C11820" s="226">
        <v>26</v>
      </c>
      <c r="D11820" s="232">
        <f t="shared" si="1305"/>
        <v>46079</v>
      </c>
      <c r="E11820" s="234">
        <f t="shared" si="1306"/>
        <v>46079</v>
      </c>
      <c r="F11820" s="479"/>
      <c r="G11820" s="227" t="s">
        <v>1111</v>
      </c>
      <c r="H11820" s="228"/>
      <c r="I11820" s="228"/>
      <c r="J11820" s="229" t="s">
        <v>55</v>
      </c>
      <c r="K11820" s="230"/>
      <c r="L11820" s="230">
        <f>K11819</f>
        <v>100</v>
      </c>
    </row>
    <row r="11821" spans="1:14" ht="11.25" customHeight="1" x14ac:dyDescent="0.2">
      <c r="A11821" s="221">
        <v>2026</v>
      </c>
      <c r="B11821" s="221">
        <v>2</v>
      </c>
      <c r="C11821" s="221">
        <v>26</v>
      </c>
      <c r="D11821" s="231">
        <f t="shared" si="1305"/>
        <v>46079</v>
      </c>
      <c r="E11821" s="233">
        <f t="shared" si="1306"/>
        <v>46079</v>
      </c>
      <c r="F11821" s="478" t="s">
        <v>1985</v>
      </c>
      <c r="G11821" s="222" t="s">
        <v>1111</v>
      </c>
      <c r="H11821" s="223"/>
      <c r="I11821" s="223"/>
      <c r="J11821" s="224" t="s">
        <v>55</v>
      </c>
      <c r="K11821" s="225">
        <v>192500.48000000001</v>
      </c>
      <c r="L11821" s="225"/>
    </row>
    <row r="11822" spans="1:14" ht="11.25" customHeight="1" x14ac:dyDescent="0.2">
      <c r="A11822" s="226">
        <v>2026</v>
      </c>
      <c r="B11822" s="226">
        <v>2</v>
      </c>
      <c r="C11822" s="226">
        <v>26</v>
      </c>
      <c r="D11822" s="232">
        <f t="shared" si="1305"/>
        <v>46079</v>
      </c>
      <c r="E11822" s="234">
        <f t="shared" si="1306"/>
        <v>46079</v>
      </c>
      <c r="F11822" s="479"/>
      <c r="G11822" s="227" t="s">
        <v>1111</v>
      </c>
      <c r="H11822" s="228"/>
      <c r="I11822" s="228"/>
      <c r="J11822" s="229" t="s">
        <v>199</v>
      </c>
      <c r="K11822" s="230"/>
      <c r="L11822" s="230">
        <f>K11821</f>
        <v>192500.48000000001</v>
      </c>
    </row>
    <row r="11823" spans="1:14" ht="11.25" customHeight="1" x14ac:dyDescent="0.2">
      <c r="A11823" s="221">
        <v>2026</v>
      </c>
      <c r="B11823" s="221">
        <v>2</v>
      </c>
      <c r="C11823" s="221">
        <v>26</v>
      </c>
      <c r="D11823" s="221">
        <f t="shared" ref="D11823:D11854" si="1307">DATE(A11823,B11823,C11823)</f>
        <v>46079</v>
      </c>
      <c r="E11823" s="233">
        <f t="shared" ref="E11823:E11854" si="1308">DATE(A11823,B11823,C11823)</f>
        <v>46079</v>
      </c>
      <c r="F11823" s="478" t="s">
        <v>1988</v>
      </c>
      <c r="G11823" s="222" t="s">
        <v>86</v>
      </c>
      <c r="H11823" s="222"/>
      <c r="I11823" s="223"/>
      <c r="J11823" s="224" t="s">
        <v>80</v>
      </c>
      <c r="K11823" s="225">
        <v>388390</v>
      </c>
      <c r="L11823" s="225"/>
      <c r="N11823" s="263"/>
    </row>
    <row r="11824" spans="1:14" ht="11.25" customHeight="1" x14ac:dyDescent="0.2">
      <c r="A11824" s="164">
        <v>2026</v>
      </c>
      <c r="B11824" s="164">
        <v>2</v>
      </c>
      <c r="C11824" s="164">
        <v>26</v>
      </c>
      <c r="D11824" s="164">
        <f t="shared" si="1307"/>
        <v>46079</v>
      </c>
      <c r="E11824" s="235">
        <f t="shared" si="1308"/>
        <v>46079</v>
      </c>
      <c r="F11824" s="480"/>
      <c r="G11824" s="208" t="s">
        <v>86</v>
      </c>
      <c r="H11824" s="208"/>
      <c r="J11824" s="165" t="s">
        <v>960</v>
      </c>
      <c r="K11824" s="205">
        <v>699.1</v>
      </c>
      <c r="L11824" s="205"/>
      <c r="M11824" s="263"/>
      <c r="N11824" s="263"/>
    </row>
    <row r="11825" spans="1:14" ht="11.25" customHeight="1" x14ac:dyDescent="0.2">
      <c r="A11825" s="226">
        <v>2026</v>
      </c>
      <c r="B11825" s="226">
        <v>2</v>
      </c>
      <c r="C11825" s="226">
        <v>26</v>
      </c>
      <c r="D11825" s="226">
        <f t="shared" si="1307"/>
        <v>46079</v>
      </c>
      <c r="E11825" s="234">
        <f t="shared" si="1308"/>
        <v>46079</v>
      </c>
      <c r="F11825" s="479"/>
      <c r="G11825" s="227" t="s">
        <v>86</v>
      </c>
      <c r="H11825" s="227"/>
      <c r="I11825" s="228"/>
      <c r="J11825" s="229" t="s">
        <v>961</v>
      </c>
      <c r="K11825" s="294"/>
      <c r="L11825" s="230">
        <v>389089.1</v>
      </c>
      <c r="M11825" s="263"/>
      <c r="N11825" s="263"/>
    </row>
    <row r="11826" spans="1:14" ht="11.25" customHeight="1" x14ac:dyDescent="0.2">
      <c r="A11826" s="221">
        <v>2026</v>
      </c>
      <c r="B11826" s="221">
        <v>2</v>
      </c>
      <c r="C11826" s="221">
        <v>26</v>
      </c>
      <c r="D11826" s="221">
        <f t="shared" si="1307"/>
        <v>46079</v>
      </c>
      <c r="E11826" s="233">
        <f t="shared" si="1308"/>
        <v>46079</v>
      </c>
      <c r="F11826" s="478" t="s">
        <v>1937</v>
      </c>
      <c r="G11826" s="222" t="s">
        <v>86</v>
      </c>
      <c r="H11826" s="222"/>
      <c r="I11826" s="223"/>
      <c r="J11826" s="224" t="s">
        <v>80</v>
      </c>
      <c r="K11826" s="225">
        <v>3061476.5</v>
      </c>
      <c r="L11826" s="225"/>
      <c r="N11826" s="263"/>
    </row>
    <row r="11827" spans="1:14" ht="11.25" customHeight="1" x14ac:dyDescent="0.2">
      <c r="A11827" s="164">
        <v>2026</v>
      </c>
      <c r="B11827" s="164">
        <v>2</v>
      </c>
      <c r="C11827" s="164">
        <v>26</v>
      </c>
      <c r="D11827" s="164">
        <f t="shared" si="1307"/>
        <v>46079</v>
      </c>
      <c r="E11827" s="235">
        <f t="shared" si="1308"/>
        <v>46079</v>
      </c>
      <c r="F11827" s="480"/>
      <c r="G11827" s="208" t="s">
        <v>86</v>
      </c>
      <c r="H11827" s="208"/>
      <c r="J11827" s="165" t="s">
        <v>960</v>
      </c>
      <c r="K11827" s="205">
        <v>11637.77</v>
      </c>
      <c r="L11827" s="205"/>
      <c r="M11827" s="263"/>
      <c r="N11827" s="263"/>
    </row>
    <row r="11828" spans="1:14" ht="11.25" customHeight="1" x14ac:dyDescent="0.2">
      <c r="A11828" s="164">
        <v>2026</v>
      </c>
      <c r="B11828" s="164">
        <v>2</v>
      </c>
      <c r="C11828" s="164">
        <v>26</v>
      </c>
      <c r="D11828" s="164">
        <f t="shared" si="1307"/>
        <v>46079</v>
      </c>
      <c r="E11828" s="235">
        <f t="shared" si="1308"/>
        <v>46079</v>
      </c>
      <c r="F11828" s="480"/>
      <c r="G11828" s="208" t="s">
        <v>86</v>
      </c>
      <c r="H11828" s="208"/>
      <c r="J11828" s="374" t="s">
        <v>199</v>
      </c>
      <c r="K11828" s="445">
        <v>330835.73</v>
      </c>
      <c r="L11828" s="205"/>
      <c r="M11828" s="263"/>
      <c r="N11828" s="263"/>
    </row>
    <row r="11829" spans="1:14" ht="11.25" customHeight="1" x14ac:dyDescent="0.2">
      <c r="A11829" s="164">
        <v>2026</v>
      </c>
      <c r="B11829" s="164">
        <v>2</v>
      </c>
      <c r="C11829" s="164">
        <v>26</v>
      </c>
      <c r="D11829" s="164">
        <f t="shared" si="1307"/>
        <v>46079</v>
      </c>
      <c r="E11829" s="235">
        <f t="shared" si="1308"/>
        <v>46079</v>
      </c>
      <c r="F11829" s="480"/>
      <c r="G11829" s="208" t="s">
        <v>86</v>
      </c>
      <c r="H11829" s="208"/>
      <c r="J11829" s="165" t="s">
        <v>200</v>
      </c>
      <c r="K11829" s="205"/>
      <c r="L11829" s="205">
        <v>442852.39</v>
      </c>
      <c r="M11829" s="263"/>
      <c r="N11829" s="263"/>
    </row>
    <row r="11830" spans="1:14" ht="11.25" customHeight="1" x14ac:dyDescent="0.2">
      <c r="A11830" s="226">
        <v>2026</v>
      </c>
      <c r="B11830" s="226">
        <v>2</v>
      </c>
      <c r="C11830" s="226">
        <v>26</v>
      </c>
      <c r="D11830" s="226">
        <f t="shared" si="1307"/>
        <v>46079</v>
      </c>
      <c r="E11830" s="234">
        <f t="shared" si="1308"/>
        <v>46079</v>
      </c>
      <c r="F11830" s="479"/>
      <c r="G11830" s="227" t="s">
        <v>86</v>
      </c>
      <c r="H11830" s="228"/>
      <c r="I11830" s="228"/>
      <c r="J11830" s="229" t="s">
        <v>80</v>
      </c>
      <c r="K11830" s="230"/>
      <c r="L11830" s="230">
        <v>2961097.61</v>
      </c>
      <c r="M11830" s="263"/>
      <c r="N11830" s="263"/>
    </row>
    <row r="11831" spans="1:14" ht="11.25" customHeight="1" x14ac:dyDescent="0.2">
      <c r="A11831" s="221">
        <v>2026</v>
      </c>
      <c r="B11831" s="221">
        <v>2</v>
      </c>
      <c r="C11831" s="221">
        <v>26</v>
      </c>
      <c r="D11831" s="231">
        <f t="shared" si="1307"/>
        <v>46079</v>
      </c>
      <c r="E11831" s="233">
        <f t="shared" si="1308"/>
        <v>46079</v>
      </c>
      <c r="F11831" s="478" t="s">
        <v>1132</v>
      </c>
      <c r="G11831" s="222" t="s">
        <v>1111</v>
      </c>
      <c r="H11831" s="223"/>
      <c r="I11831" s="223"/>
      <c r="J11831" s="224" t="s">
        <v>55</v>
      </c>
      <c r="K11831" s="225">
        <v>132000</v>
      </c>
      <c r="L11831" s="225"/>
    </row>
    <row r="11832" spans="1:14" ht="11.25" customHeight="1" x14ac:dyDescent="0.2">
      <c r="A11832" s="164">
        <v>2026</v>
      </c>
      <c r="B11832" s="164">
        <v>2</v>
      </c>
      <c r="C11832" s="164">
        <v>26</v>
      </c>
      <c r="D11832" s="156">
        <f t="shared" si="1307"/>
        <v>46079</v>
      </c>
      <c r="E11832" s="235">
        <f t="shared" si="1308"/>
        <v>46079</v>
      </c>
      <c r="F11832" s="480"/>
      <c r="G11832" s="208" t="s">
        <v>1111</v>
      </c>
      <c r="J11832" s="165" t="s">
        <v>14</v>
      </c>
      <c r="K11832" s="205"/>
      <c r="L11832" s="205">
        <v>100160</v>
      </c>
    </row>
    <row r="11833" spans="1:14" ht="11.25" customHeight="1" x14ac:dyDescent="0.2">
      <c r="A11833" s="226">
        <v>2026</v>
      </c>
      <c r="B11833" s="226">
        <v>2</v>
      </c>
      <c r="C11833" s="226">
        <v>26</v>
      </c>
      <c r="D11833" s="232">
        <f t="shared" si="1307"/>
        <v>46079</v>
      </c>
      <c r="E11833" s="234">
        <f t="shared" si="1308"/>
        <v>46079</v>
      </c>
      <c r="F11833" s="479"/>
      <c r="G11833" s="227" t="s">
        <v>1111</v>
      </c>
      <c r="H11833" s="228"/>
      <c r="I11833" s="228"/>
      <c r="J11833" s="229" t="s">
        <v>1112</v>
      </c>
      <c r="K11833" s="230"/>
      <c r="L11833" s="230">
        <v>31840</v>
      </c>
      <c r="M11833" s="166"/>
    </row>
    <row r="11834" spans="1:14" ht="11.25" customHeight="1" x14ac:dyDescent="0.2">
      <c r="A11834" s="280">
        <v>2026</v>
      </c>
      <c r="B11834" s="280">
        <v>2</v>
      </c>
      <c r="C11834" s="280">
        <v>26</v>
      </c>
      <c r="D11834" s="281">
        <f t="shared" si="1307"/>
        <v>46079</v>
      </c>
      <c r="E11834" s="282">
        <f t="shared" si="1308"/>
        <v>46079</v>
      </c>
      <c r="F11834" s="472" t="s">
        <v>1584</v>
      </c>
      <c r="G11834" s="283" t="s">
        <v>86</v>
      </c>
      <c r="H11834" s="284"/>
      <c r="I11834" s="284"/>
      <c r="J11834" s="285" t="s">
        <v>131</v>
      </c>
      <c r="K11834" s="286">
        <v>1277.7777777777801</v>
      </c>
      <c r="L11834" s="286"/>
      <c r="M11834" s="401"/>
      <c r="N11834" s="166"/>
    </row>
    <row r="11835" spans="1:14" ht="11.25" customHeight="1" x14ac:dyDescent="0.2">
      <c r="A11835" s="287">
        <v>2026</v>
      </c>
      <c r="B11835" s="287">
        <v>2</v>
      </c>
      <c r="C11835" s="287">
        <v>26</v>
      </c>
      <c r="D11835" s="288">
        <f t="shared" si="1307"/>
        <v>46079</v>
      </c>
      <c r="E11835" s="289">
        <f t="shared" si="1308"/>
        <v>46079</v>
      </c>
      <c r="F11835" s="473"/>
      <c r="G11835" s="290" t="s">
        <v>86</v>
      </c>
      <c r="H11835" s="291"/>
      <c r="I11835" s="291"/>
      <c r="J11835" s="292" t="s">
        <v>1469</v>
      </c>
      <c r="K11835" s="293"/>
      <c r="L11835" s="293">
        <f>K11834</f>
        <v>1277.7777777777801</v>
      </c>
    </row>
    <row r="11836" spans="1:14" ht="11.25" customHeight="1" x14ac:dyDescent="0.2">
      <c r="A11836" s="280">
        <v>2026</v>
      </c>
      <c r="B11836" s="280">
        <v>2</v>
      </c>
      <c r="C11836" s="280">
        <v>26</v>
      </c>
      <c r="D11836" s="281">
        <f t="shared" si="1307"/>
        <v>46079</v>
      </c>
      <c r="E11836" s="282">
        <f t="shared" si="1308"/>
        <v>46079</v>
      </c>
      <c r="F11836" s="472" t="s">
        <v>1955</v>
      </c>
      <c r="G11836" s="283" t="s">
        <v>86</v>
      </c>
      <c r="H11836" s="284"/>
      <c r="I11836" s="284"/>
      <c r="J11836" s="285" t="s">
        <v>1978</v>
      </c>
      <c r="K11836" s="286">
        <v>6185.4395604395604</v>
      </c>
      <c r="L11836" s="286"/>
      <c r="M11836" s="401"/>
    </row>
    <row r="11837" spans="1:14" ht="11.25" customHeight="1" x14ac:dyDescent="0.2">
      <c r="A11837" s="287">
        <v>2026</v>
      </c>
      <c r="B11837" s="287">
        <v>2</v>
      </c>
      <c r="C11837" s="287">
        <v>26</v>
      </c>
      <c r="D11837" s="288">
        <f t="shared" si="1307"/>
        <v>46079</v>
      </c>
      <c r="E11837" s="289">
        <f t="shared" si="1308"/>
        <v>46079</v>
      </c>
      <c r="F11837" s="473"/>
      <c r="G11837" s="290" t="s">
        <v>86</v>
      </c>
      <c r="H11837" s="291"/>
      <c r="I11837" s="291"/>
      <c r="J11837" s="292" t="s">
        <v>1955</v>
      </c>
      <c r="K11837" s="293"/>
      <c r="L11837" s="293">
        <f>K11836</f>
        <v>6185.4395604395604</v>
      </c>
    </row>
    <row r="11838" spans="1:14" ht="11.25" customHeight="1" x14ac:dyDescent="0.2">
      <c r="A11838" s="341">
        <v>2026</v>
      </c>
      <c r="B11838" s="341">
        <v>2</v>
      </c>
      <c r="C11838" s="341">
        <v>26</v>
      </c>
      <c r="D11838" s="328">
        <f t="shared" si="1307"/>
        <v>46079</v>
      </c>
      <c r="E11838" s="329">
        <f t="shared" si="1308"/>
        <v>46079</v>
      </c>
      <c r="F11838" s="474" t="s">
        <v>1767</v>
      </c>
      <c r="G11838" s="330" t="s">
        <v>86</v>
      </c>
      <c r="H11838" s="332"/>
      <c r="I11838" s="332"/>
      <c r="J11838" s="342" t="s">
        <v>67</v>
      </c>
      <c r="K11838" s="343">
        <v>992.12979874999996</v>
      </c>
      <c r="L11838" s="343"/>
      <c r="M11838" s="166"/>
    </row>
    <row r="11839" spans="1:14" ht="11.25" customHeight="1" x14ac:dyDescent="0.2">
      <c r="A11839" s="344">
        <v>2026</v>
      </c>
      <c r="B11839" s="344">
        <v>2</v>
      </c>
      <c r="C11839" s="344">
        <v>26</v>
      </c>
      <c r="D11839" s="337">
        <f t="shared" si="1307"/>
        <v>46079</v>
      </c>
      <c r="E11839" s="338">
        <f t="shared" si="1308"/>
        <v>46079</v>
      </c>
      <c r="F11839" s="475"/>
      <c r="G11839" s="339" t="s">
        <v>86</v>
      </c>
      <c r="H11839" s="340"/>
      <c r="I11839" s="340"/>
      <c r="J11839" s="345" t="s">
        <v>1974</v>
      </c>
      <c r="K11839" s="346"/>
      <c r="L11839" s="346">
        <f>K11838</f>
        <v>992.12979874999996</v>
      </c>
    </row>
    <row r="11840" spans="1:14" ht="11.25" customHeight="1" x14ac:dyDescent="0.2">
      <c r="A11840" s="236">
        <v>2026</v>
      </c>
      <c r="B11840" s="236">
        <v>2</v>
      </c>
      <c r="C11840" s="236">
        <v>26</v>
      </c>
      <c r="D11840" s="237">
        <f t="shared" si="1307"/>
        <v>46079</v>
      </c>
      <c r="E11840" s="238">
        <f t="shared" si="1308"/>
        <v>46079</v>
      </c>
      <c r="F11840" s="476" t="s">
        <v>1118</v>
      </c>
      <c r="G11840" s="239" t="s">
        <v>86</v>
      </c>
      <c r="H11840" s="239"/>
      <c r="I11840" s="240"/>
      <c r="J11840" s="241" t="s">
        <v>98</v>
      </c>
      <c r="K11840" s="242">
        <v>4139034.2299999595</v>
      </c>
      <c r="L11840" s="242"/>
      <c r="M11840" s="166"/>
    </row>
    <row r="11841" spans="1:13" ht="11.25" customHeight="1" x14ac:dyDescent="0.2">
      <c r="A11841" s="243">
        <v>2026</v>
      </c>
      <c r="B11841" s="243">
        <v>2</v>
      </c>
      <c r="C11841" s="243">
        <v>26</v>
      </c>
      <c r="D11841" s="248">
        <f t="shared" si="1307"/>
        <v>46079</v>
      </c>
      <c r="E11841" s="249">
        <f t="shared" si="1308"/>
        <v>46079</v>
      </c>
      <c r="F11841" s="477"/>
      <c r="G11841" s="244" t="s">
        <v>86</v>
      </c>
      <c r="H11841" s="244"/>
      <c r="I11841" s="245"/>
      <c r="J11841" s="246" t="s">
        <v>82</v>
      </c>
      <c r="K11841" s="247"/>
      <c r="L11841" s="247">
        <f>K11840</f>
        <v>4139034.2299999595</v>
      </c>
    </row>
    <row r="11842" spans="1:13" ht="11.25" customHeight="1" x14ac:dyDescent="0.2">
      <c r="A11842" s="236">
        <v>2026</v>
      </c>
      <c r="B11842" s="236">
        <v>2</v>
      </c>
      <c r="C11842" s="236">
        <v>26</v>
      </c>
      <c r="D11842" s="237">
        <f t="shared" si="1307"/>
        <v>46079</v>
      </c>
      <c r="E11842" s="238">
        <f t="shared" si="1308"/>
        <v>46079</v>
      </c>
      <c r="F11842" s="476" t="s">
        <v>1999</v>
      </c>
      <c r="G11842" s="239" t="s">
        <v>86</v>
      </c>
      <c r="H11842" s="239"/>
      <c r="I11842" s="240"/>
      <c r="J11842" s="241" t="s">
        <v>87</v>
      </c>
      <c r="K11842" s="242">
        <v>392.46467817896399</v>
      </c>
      <c r="L11842" s="242"/>
      <c r="M11842" s="401"/>
    </row>
    <row r="11843" spans="1:13" ht="11.25" customHeight="1" x14ac:dyDescent="0.2">
      <c r="A11843" s="243">
        <v>2026</v>
      </c>
      <c r="B11843" s="243">
        <v>2</v>
      </c>
      <c r="C11843" s="243">
        <v>26</v>
      </c>
      <c r="D11843" s="248">
        <f t="shared" si="1307"/>
        <v>46079</v>
      </c>
      <c r="E11843" s="249">
        <f t="shared" si="1308"/>
        <v>46079</v>
      </c>
      <c r="F11843" s="477"/>
      <c r="G11843" s="244" t="s">
        <v>86</v>
      </c>
      <c r="H11843" s="244"/>
      <c r="I11843" s="245"/>
      <c r="J11843" s="246" t="s">
        <v>64</v>
      </c>
      <c r="K11843" s="247"/>
      <c r="L11843" s="247">
        <f>K11842</f>
        <v>392.46467817896399</v>
      </c>
    </row>
    <row r="11844" spans="1:13" ht="11.25" customHeight="1" x14ac:dyDescent="0.2">
      <c r="A11844" s="236">
        <v>2026</v>
      </c>
      <c r="B11844" s="236">
        <v>2</v>
      </c>
      <c r="C11844" s="236">
        <v>26</v>
      </c>
      <c r="D11844" s="237">
        <f t="shared" si="1307"/>
        <v>46079</v>
      </c>
      <c r="E11844" s="238">
        <f t="shared" si="1308"/>
        <v>46079</v>
      </c>
      <c r="F11844" s="476" t="s">
        <v>2000</v>
      </c>
      <c r="G11844" s="239" t="s">
        <v>86</v>
      </c>
      <c r="H11844" s="239"/>
      <c r="I11844" s="240"/>
      <c r="J11844" s="241" t="s">
        <v>89</v>
      </c>
      <c r="K11844" s="242">
        <v>15514.026476120265</v>
      </c>
      <c r="L11844" s="242"/>
      <c r="M11844" s="448"/>
    </row>
    <row r="11845" spans="1:13" ht="11.25" customHeight="1" x14ac:dyDescent="0.2">
      <c r="A11845" s="243">
        <v>2026</v>
      </c>
      <c r="B11845" s="243">
        <v>2</v>
      </c>
      <c r="C11845" s="243">
        <v>26</v>
      </c>
      <c r="D11845" s="248">
        <f t="shared" si="1307"/>
        <v>46079</v>
      </c>
      <c r="E11845" s="249">
        <f t="shared" si="1308"/>
        <v>46079</v>
      </c>
      <c r="F11845" s="477"/>
      <c r="G11845" s="244" t="s">
        <v>86</v>
      </c>
      <c r="H11845" s="244"/>
      <c r="I11845" s="245"/>
      <c r="J11845" s="246" t="s">
        <v>50</v>
      </c>
      <c r="K11845" s="247"/>
      <c r="L11845" s="247">
        <f>K11844</f>
        <v>15514.026476120265</v>
      </c>
      <c r="M11845" s="448"/>
    </row>
    <row r="11846" spans="1:13" ht="11.25" customHeight="1" x14ac:dyDescent="0.2">
      <c r="A11846" s="236">
        <v>2026</v>
      </c>
      <c r="B11846" s="236">
        <v>2</v>
      </c>
      <c r="C11846" s="236">
        <v>26</v>
      </c>
      <c r="D11846" s="237">
        <f t="shared" si="1307"/>
        <v>46079</v>
      </c>
      <c r="E11846" s="238">
        <f t="shared" si="1308"/>
        <v>46079</v>
      </c>
      <c r="F11846" s="476" t="s">
        <v>2001</v>
      </c>
      <c r="G11846" s="239" t="s">
        <v>86</v>
      </c>
      <c r="H11846" s="239"/>
      <c r="I11846" s="240"/>
      <c r="J11846" s="241" t="s">
        <v>91</v>
      </c>
      <c r="K11846" s="242">
        <v>760.29582900162495</v>
      </c>
      <c r="L11846" s="242"/>
    </row>
    <row r="11847" spans="1:13" ht="11.25" customHeight="1" x14ac:dyDescent="0.2">
      <c r="A11847" s="243">
        <v>2026</v>
      </c>
      <c r="B11847" s="243">
        <v>2</v>
      </c>
      <c r="C11847" s="243">
        <v>26</v>
      </c>
      <c r="D11847" s="248">
        <f t="shared" si="1307"/>
        <v>46079</v>
      </c>
      <c r="E11847" s="249">
        <f t="shared" si="1308"/>
        <v>46079</v>
      </c>
      <c r="F11847" s="477"/>
      <c r="G11847" s="244" t="s">
        <v>86</v>
      </c>
      <c r="H11847" s="244"/>
      <c r="I11847" s="245"/>
      <c r="J11847" s="246" t="s">
        <v>51</v>
      </c>
      <c r="K11847" s="247"/>
      <c r="L11847" s="247">
        <f>K11846</f>
        <v>760.29582900162495</v>
      </c>
    </row>
    <row r="11848" spans="1:13" ht="11.25" customHeight="1" x14ac:dyDescent="0.2">
      <c r="A11848" s="221">
        <v>2026</v>
      </c>
      <c r="B11848" s="221">
        <v>3</v>
      </c>
      <c r="C11848" s="221">
        <v>1</v>
      </c>
      <c r="D11848" s="231">
        <f t="shared" si="1307"/>
        <v>46082</v>
      </c>
      <c r="E11848" s="233">
        <f t="shared" si="1308"/>
        <v>46082</v>
      </c>
      <c r="F11848" s="478" t="s">
        <v>2004</v>
      </c>
      <c r="G11848" s="222" t="s">
        <v>1111</v>
      </c>
      <c r="H11848" s="223"/>
      <c r="I11848" s="223"/>
      <c r="J11848" s="224" t="s">
        <v>961</v>
      </c>
      <c r="K11848" s="225">
        <v>389089.1</v>
      </c>
      <c r="L11848" s="225"/>
    </row>
    <row r="11849" spans="1:13" ht="11.25" customHeight="1" x14ac:dyDescent="0.2">
      <c r="A11849" s="226">
        <v>2026</v>
      </c>
      <c r="B11849" s="226">
        <v>3</v>
      </c>
      <c r="C11849" s="226">
        <v>1</v>
      </c>
      <c r="D11849" s="232">
        <f t="shared" si="1307"/>
        <v>46082</v>
      </c>
      <c r="E11849" s="234">
        <f t="shared" si="1308"/>
        <v>46082</v>
      </c>
      <c r="F11849" s="479"/>
      <c r="G11849" s="227" t="s">
        <v>1111</v>
      </c>
      <c r="H11849" s="228"/>
      <c r="I11849" s="228"/>
      <c r="J11849" s="229" t="s">
        <v>55</v>
      </c>
      <c r="K11849" s="230"/>
      <c r="L11849" s="230">
        <f>K11848</f>
        <v>389089.1</v>
      </c>
    </row>
    <row r="11850" spans="1:13" ht="11.25" customHeight="1" x14ac:dyDescent="0.2">
      <c r="A11850" s="221">
        <v>2026</v>
      </c>
      <c r="B11850" s="221">
        <v>3</v>
      </c>
      <c r="C11850" s="221">
        <v>1</v>
      </c>
      <c r="D11850" s="231">
        <f t="shared" si="1307"/>
        <v>46082</v>
      </c>
      <c r="E11850" s="233">
        <f t="shared" si="1308"/>
        <v>46082</v>
      </c>
      <c r="F11850" s="478" t="s">
        <v>1670</v>
      </c>
      <c r="G11850" s="222" t="s">
        <v>1111</v>
      </c>
      <c r="H11850" s="223"/>
      <c r="I11850" s="223"/>
      <c r="J11850" s="224" t="s">
        <v>63</v>
      </c>
      <c r="K11850" s="225">
        <v>58</v>
      </c>
      <c r="L11850" s="225"/>
    </row>
    <row r="11851" spans="1:13" ht="11.25" customHeight="1" x14ac:dyDescent="0.2">
      <c r="A11851" s="226">
        <v>2026</v>
      </c>
      <c r="B11851" s="226">
        <v>3</v>
      </c>
      <c r="C11851" s="226">
        <v>1</v>
      </c>
      <c r="D11851" s="232">
        <f t="shared" si="1307"/>
        <v>46082</v>
      </c>
      <c r="E11851" s="234">
        <f t="shared" si="1308"/>
        <v>46082</v>
      </c>
      <c r="F11851" s="479"/>
      <c r="G11851" s="227" t="s">
        <v>1111</v>
      </c>
      <c r="H11851" s="228"/>
      <c r="I11851" s="228"/>
      <c r="J11851" s="229" t="s">
        <v>55</v>
      </c>
      <c r="K11851" s="230"/>
      <c r="L11851" s="230">
        <f>K11850</f>
        <v>58</v>
      </c>
    </row>
    <row r="11852" spans="1:13" ht="11.25" customHeight="1" x14ac:dyDescent="0.2">
      <c r="A11852" s="221">
        <v>2026</v>
      </c>
      <c r="B11852" s="221">
        <v>3</v>
      </c>
      <c r="C11852" s="221">
        <v>1</v>
      </c>
      <c r="D11852" s="231">
        <f t="shared" si="1307"/>
        <v>46082</v>
      </c>
      <c r="E11852" s="233">
        <f t="shared" si="1308"/>
        <v>46082</v>
      </c>
      <c r="F11852" s="478" t="s">
        <v>1115</v>
      </c>
      <c r="G11852" s="222" t="s">
        <v>1111</v>
      </c>
      <c r="H11852" s="223"/>
      <c r="I11852" s="223"/>
      <c r="J11852" s="224" t="s">
        <v>14</v>
      </c>
      <c r="K11852" s="167">
        <v>363460</v>
      </c>
      <c r="L11852" s="225"/>
    </row>
    <row r="11853" spans="1:13" ht="11.25" customHeight="1" x14ac:dyDescent="0.2">
      <c r="A11853" s="164">
        <v>2026</v>
      </c>
      <c r="B11853" s="164">
        <v>3</v>
      </c>
      <c r="C11853" s="164">
        <v>1</v>
      </c>
      <c r="D11853" s="156">
        <f t="shared" si="1307"/>
        <v>46082</v>
      </c>
      <c r="E11853" s="235">
        <f t="shared" si="1308"/>
        <v>46082</v>
      </c>
      <c r="F11853" s="480"/>
      <c r="G11853" s="208" t="s">
        <v>1111</v>
      </c>
      <c r="J11853" s="165" t="s">
        <v>1112</v>
      </c>
      <c r="K11853" s="167">
        <v>127065.62</v>
      </c>
      <c r="L11853" s="205"/>
    </row>
    <row r="11854" spans="1:13" ht="11.25" customHeight="1" x14ac:dyDescent="0.2">
      <c r="A11854" s="226">
        <v>2026</v>
      </c>
      <c r="B11854" s="226">
        <v>3</v>
      </c>
      <c r="C11854" s="226">
        <v>1</v>
      </c>
      <c r="D11854" s="232">
        <f t="shared" si="1307"/>
        <v>46082</v>
      </c>
      <c r="E11854" s="234">
        <f t="shared" si="1308"/>
        <v>46082</v>
      </c>
      <c r="F11854" s="479"/>
      <c r="G11854" s="227" t="s">
        <v>1111</v>
      </c>
      <c r="H11854" s="228"/>
      <c r="I11854" s="228"/>
      <c r="J11854" s="229" t="s">
        <v>55</v>
      </c>
      <c r="K11854" s="230"/>
      <c r="L11854" s="230">
        <v>490525.62</v>
      </c>
    </row>
    <row r="11855" spans="1:13" ht="11.25" customHeight="1" x14ac:dyDescent="0.2">
      <c r="A11855" s="221">
        <v>2026</v>
      </c>
      <c r="B11855" s="221">
        <v>3</v>
      </c>
      <c r="C11855" s="221">
        <v>1</v>
      </c>
      <c r="D11855" s="231">
        <f t="shared" ref="D11855:D11888" si="1309">DATE(A11855,B11855,C11855)</f>
        <v>46082</v>
      </c>
      <c r="E11855" s="233">
        <f t="shared" ref="E11855:E11888" si="1310">DATE(A11855,B11855,C11855)</f>
        <v>46082</v>
      </c>
      <c r="F11855" s="478" t="s">
        <v>1309</v>
      </c>
      <c r="G11855" s="222" t="s">
        <v>1111</v>
      </c>
      <c r="H11855" s="223"/>
      <c r="I11855" s="223"/>
      <c r="J11855" s="224" t="s">
        <v>14</v>
      </c>
      <c r="K11855" s="167">
        <v>11380</v>
      </c>
      <c r="L11855" s="225"/>
    </row>
    <row r="11856" spans="1:13" ht="11.25" customHeight="1" x14ac:dyDescent="0.2">
      <c r="A11856" s="164">
        <v>2026</v>
      </c>
      <c r="B11856" s="164">
        <v>3</v>
      </c>
      <c r="C11856" s="164">
        <v>1</v>
      </c>
      <c r="D11856" s="156">
        <f t="shared" si="1309"/>
        <v>46082</v>
      </c>
      <c r="E11856" s="235">
        <f t="shared" si="1310"/>
        <v>46082</v>
      </c>
      <c r="F11856" s="480"/>
      <c r="G11856" s="208" t="s">
        <v>1111</v>
      </c>
      <c r="J11856" s="165" t="s">
        <v>1112</v>
      </c>
      <c r="K11856" s="167">
        <v>3620</v>
      </c>
      <c r="L11856" s="205"/>
    </row>
    <row r="11857" spans="1:14" ht="11.25" customHeight="1" x14ac:dyDescent="0.2">
      <c r="A11857" s="226">
        <v>2026</v>
      </c>
      <c r="B11857" s="226">
        <v>3</v>
      </c>
      <c r="C11857" s="226">
        <v>1</v>
      </c>
      <c r="D11857" s="232">
        <f t="shared" si="1309"/>
        <v>46082</v>
      </c>
      <c r="E11857" s="234">
        <f t="shared" si="1310"/>
        <v>46082</v>
      </c>
      <c r="F11857" s="479"/>
      <c r="G11857" s="227" t="s">
        <v>1111</v>
      </c>
      <c r="H11857" s="228"/>
      <c r="I11857" s="228"/>
      <c r="J11857" s="229" t="s">
        <v>55</v>
      </c>
      <c r="K11857" s="230"/>
      <c r="L11857" s="230">
        <v>15000</v>
      </c>
    </row>
    <row r="11858" spans="1:14" ht="11.25" customHeight="1" x14ac:dyDescent="0.2">
      <c r="A11858" s="221">
        <v>2026</v>
      </c>
      <c r="B11858" s="221">
        <v>3</v>
      </c>
      <c r="C11858" s="221">
        <v>1</v>
      </c>
      <c r="D11858" s="231">
        <f t="shared" si="1309"/>
        <v>46082</v>
      </c>
      <c r="E11858" s="233">
        <f t="shared" si="1310"/>
        <v>46082</v>
      </c>
      <c r="F11858" s="478" t="s">
        <v>1132</v>
      </c>
      <c r="G11858" s="222" t="s">
        <v>1111</v>
      </c>
      <c r="H11858" s="223"/>
      <c r="I11858" s="223"/>
      <c r="J11858" s="224" t="s">
        <v>55</v>
      </c>
      <c r="K11858" s="225">
        <v>70000</v>
      </c>
      <c r="L11858" s="225"/>
    </row>
    <row r="11859" spans="1:14" ht="11.25" customHeight="1" x14ac:dyDescent="0.2">
      <c r="A11859" s="164">
        <v>2026</v>
      </c>
      <c r="B11859" s="164">
        <v>3</v>
      </c>
      <c r="C11859" s="164">
        <v>1</v>
      </c>
      <c r="D11859" s="156">
        <f t="shared" si="1309"/>
        <v>46082</v>
      </c>
      <c r="E11859" s="235">
        <f t="shared" si="1310"/>
        <v>46082</v>
      </c>
      <c r="F11859" s="480"/>
      <c r="G11859" s="208" t="s">
        <v>1111</v>
      </c>
      <c r="J11859" s="165" t="s">
        <v>14</v>
      </c>
      <c r="K11859" s="205"/>
      <c r="L11859" s="205">
        <v>51870</v>
      </c>
    </row>
    <row r="11860" spans="1:14" ht="11.25" customHeight="1" x14ac:dyDescent="0.2">
      <c r="A11860" s="226">
        <v>2026</v>
      </c>
      <c r="B11860" s="226">
        <v>3</v>
      </c>
      <c r="C11860" s="226">
        <v>1</v>
      </c>
      <c r="D11860" s="232">
        <f t="shared" si="1309"/>
        <v>46082</v>
      </c>
      <c r="E11860" s="234">
        <f t="shared" si="1310"/>
        <v>46082</v>
      </c>
      <c r="F11860" s="479"/>
      <c r="G11860" s="227" t="s">
        <v>1111</v>
      </c>
      <c r="H11860" s="228"/>
      <c r="I11860" s="228"/>
      <c r="J11860" s="229" t="s">
        <v>1112</v>
      </c>
      <c r="K11860" s="230"/>
      <c r="L11860" s="230">
        <v>18130</v>
      </c>
      <c r="M11860" s="166"/>
    </row>
    <row r="11861" spans="1:14" ht="11.25" customHeight="1" x14ac:dyDescent="0.2">
      <c r="A11861" s="221">
        <v>2026</v>
      </c>
      <c r="B11861" s="221">
        <v>3</v>
      </c>
      <c r="C11861" s="221">
        <v>1</v>
      </c>
      <c r="D11861" s="221">
        <f t="shared" si="1309"/>
        <v>46082</v>
      </c>
      <c r="E11861" s="233">
        <f t="shared" si="1310"/>
        <v>46082</v>
      </c>
      <c r="F11861" s="478" t="s">
        <v>1937</v>
      </c>
      <c r="G11861" s="222" t="s">
        <v>86</v>
      </c>
      <c r="H11861" s="222"/>
      <c r="I11861" s="223"/>
      <c r="J11861" s="224" t="s">
        <v>80</v>
      </c>
      <c r="K11861" s="225">
        <v>10608786.800000001</v>
      </c>
      <c r="L11861" s="225"/>
      <c r="N11861" s="263"/>
    </row>
    <row r="11862" spans="1:14" ht="11.25" customHeight="1" x14ac:dyDescent="0.2">
      <c r="A11862" s="164">
        <v>2026</v>
      </c>
      <c r="B11862" s="164">
        <v>3</v>
      </c>
      <c r="C11862" s="164">
        <v>1</v>
      </c>
      <c r="D11862" s="164">
        <f t="shared" si="1309"/>
        <v>46082</v>
      </c>
      <c r="E11862" s="235">
        <f t="shared" si="1310"/>
        <v>46082</v>
      </c>
      <c r="F11862" s="480"/>
      <c r="G11862" s="208" t="s">
        <v>86</v>
      </c>
      <c r="H11862" s="208"/>
      <c r="J11862" s="165" t="s">
        <v>960</v>
      </c>
      <c r="K11862" s="205">
        <v>35856.76</v>
      </c>
      <c r="L11862" s="205"/>
      <c r="M11862" s="263"/>
      <c r="N11862" s="263"/>
    </row>
    <row r="11863" spans="1:14" ht="11.25" customHeight="1" x14ac:dyDescent="0.2">
      <c r="A11863" s="164">
        <v>2026</v>
      </c>
      <c r="B11863" s="164">
        <v>3</v>
      </c>
      <c r="C11863" s="164">
        <v>1</v>
      </c>
      <c r="D11863" s="164">
        <f t="shared" si="1309"/>
        <v>46082</v>
      </c>
      <c r="E11863" s="235">
        <f t="shared" si="1310"/>
        <v>46082</v>
      </c>
      <c r="F11863" s="480"/>
      <c r="G11863" s="208" t="s">
        <v>86</v>
      </c>
      <c r="H11863" s="208"/>
      <c r="J11863" s="165" t="s">
        <v>961</v>
      </c>
      <c r="K11863" s="263"/>
      <c r="L11863" s="205">
        <v>1333009.1599999999</v>
      </c>
      <c r="M11863" s="263"/>
      <c r="N11863" s="263"/>
    </row>
    <row r="11864" spans="1:14" ht="11.25" customHeight="1" x14ac:dyDescent="0.2">
      <c r="A11864" s="164">
        <v>2026</v>
      </c>
      <c r="B11864" s="164">
        <v>3</v>
      </c>
      <c r="C11864" s="164">
        <v>1</v>
      </c>
      <c r="D11864" s="164">
        <f t="shared" si="1309"/>
        <v>46082</v>
      </c>
      <c r="E11864" s="235">
        <f t="shared" si="1310"/>
        <v>46082</v>
      </c>
      <c r="F11864" s="480"/>
      <c r="G11864" s="208" t="s">
        <v>86</v>
      </c>
      <c r="H11864" s="208"/>
      <c r="J11864" s="165" t="s">
        <v>200</v>
      </c>
      <c r="K11864" s="205"/>
      <c r="L11864" s="205">
        <v>775008.3</v>
      </c>
      <c r="M11864" s="263"/>
      <c r="N11864" s="263"/>
    </row>
    <row r="11865" spans="1:14" ht="11.25" customHeight="1" x14ac:dyDescent="0.2">
      <c r="A11865" s="226">
        <v>2026</v>
      </c>
      <c r="B11865" s="226">
        <v>3</v>
      </c>
      <c r="C11865" s="226">
        <v>1</v>
      </c>
      <c r="D11865" s="226">
        <f t="shared" si="1309"/>
        <v>46082</v>
      </c>
      <c r="E11865" s="234">
        <f t="shared" si="1310"/>
        <v>46082</v>
      </c>
      <c r="F11865" s="479"/>
      <c r="G11865" s="227" t="s">
        <v>86</v>
      </c>
      <c r="H11865" s="228"/>
      <c r="I11865" s="228"/>
      <c r="J11865" s="229" t="s">
        <v>80</v>
      </c>
      <c r="K11865" s="230"/>
      <c r="L11865" s="230">
        <v>8536626.0999999996</v>
      </c>
      <c r="M11865" s="263"/>
      <c r="N11865" s="263"/>
    </row>
    <row r="11866" spans="1:14" ht="11.25" customHeight="1" x14ac:dyDescent="0.2">
      <c r="A11866" s="280">
        <v>2026</v>
      </c>
      <c r="B11866" s="280">
        <v>3</v>
      </c>
      <c r="C11866" s="280">
        <v>1</v>
      </c>
      <c r="D11866" s="281">
        <f t="shared" si="1309"/>
        <v>46082</v>
      </c>
      <c r="E11866" s="282">
        <f t="shared" si="1310"/>
        <v>46082</v>
      </c>
      <c r="F11866" s="472" t="s">
        <v>1584</v>
      </c>
      <c r="G11866" s="283" t="s">
        <v>86</v>
      </c>
      <c r="H11866" s="284"/>
      <c r="I11866" s="284"/>
      <c r="J11866" s="285" t="s">
        <v>131</v>
      </c>
      <c r="K11866" s="286">
        <v>3833.3333333333403</v>
      </c>
      <c r="L11866" s="286"/>
      <c r="M11866" s="401"/>
      <c r="N11866" s="166"/>
    </row>
    <row r="11867" spans="1:14" ht="11.25" customHeight="1" x14ac:dyDescent="0.2">
      <c r="A11867" s="287">
        <v>2026</v>
      </c>
      <c r="B11867" s="287">
        <v>3</v>
      </c>
      <c r="C11867" s="287">
        <v>1</v>
      </c>
      <c r="D11867" s="288">
        <f t="shared" si="1309"/>
        <v>46082</v>
      </c>
      <c r="E11867" s="289">
        <f t="shared" si="1310"/>
        <v>46082</v>
      </c>
      <c r="F11867" s="473"/>
      <c r="G11867" s="290" t="s">
        <v>86</v>
      </c>
      <c r="H11867" s="291"/>
      <c r="I11867" s="291"/>
      <c r="J11867" s="292" t="s">
        <v>1469</v>
      </c>
      <c r="K11867" s="293"/>
      <c r="L11867" s="293">
        <f>K11866</f>
        <v>3833.3333333333403</v>
      </c>
    </row>
    <row r="11868" spans="1:14" ht="11.25" customHeight="1" x14ac:dyDescent="0.2">
      <c r="A11868" s="280">
        <v>2026</v>
      </c>
      <c r="B11868" s="280">
        <v>3</v>
      </c>
      <c r="C11868" s="280">
        <v>1</v>
      </c>
      <c r="D11868" s="281">
        <f t="shared" si="1309"/>
        <v>46082</v>
      </c>
      <c r="E11868" s="282">
        <f t="shared" si="1310"/>
        <v>46082</v>
      </c>
      <c r="F11868" s="472" t="s">
        <v>1955</v>
      </c>
      <c r="G11868" s="283" t="s">
        <v>86</v>
      </c>
      <c r="H11868" s="284"/>
      <c r="I11868" s="284"/>
      <c r="J11868" s="285" t="s">
        <v>1978</v>
      </c>
      <c r="K11868" s="286">
        <v>18556.31868131868</v>
      </c>
      <c r="L11868" s="286"/>
      <c r="M11868" s="401"/>
    </row>
    <row r="11869" spans="1:14" ht="11.25" customHeight="1" x14ac:dyDescent="0.2">
      <c r="A11869" s="287">
        <v>2026</v>
      </c>
      <c r="B11869" s="287">
        <v>3</v>
      </c>
      <c r="C11869" s="287">
        <v>1</v>
      </c>
      <c r="D11869" s="288">
        <f t="shared" si="1309"/>
        <v>46082</v>
      </c>
      <c r="E11869" s="289">
        <f t="shared" si="1310"/>
        <v>46082</v>
      </c>
      <c r="F11869" s="473"/>
      <c r="G11869" s="290" t="s">
        <v>86</v>
      </c>
      <c r="H11869" s="291"/>
      <c r="I11869" s="291"/>
      <c r="J11869" s="292" t="s">
        <v>1955</v>
      </c>
      <c r="K11869" s="293"/>
      <c r="L11869" s="293">
        <f>K11868</f>
        <v>18556.31868131868</v>
      </c>
    </row>
    <row r="11870" spans="1:14" ht="11.25" customHeight="1" x14ac:dyDescent="0.2">
      <c r="A11870" s="341">
        <v>2026</v>
      </c>
      <c r="B11870" s="341">
        <v>3</v>
      </c>
      <c r="C11870" s="341">
        <v>1</v>
      </c>
      <c r="D11870" s="328">
        <f t="shared" si="1309"/>
        <v>46082</v>
      </c>
      <c r="E11870" s="329">
        <f t="shared" si="1310"/>
        <v>46082</v>
      </c>
      <c r="F11870" s="474" t="s">
        <v>1767</v>
      </c>
      <c r="G11870" s="330" t="s">
        <v>86</v>
      </c>
      <c r="H11870" s="332"/>
      <c r="I11870" s="332"/>
      <c r="J11870" s="342" t="s">
        <v>67</v>
      </c>
      <c r="K11870" s="343">
        <v>2793.12</v>
      </c>
      <c r="L11870" s="343"/>
      <c r="M11870" s="166"/>
    </row>
    <row r="11871" spans="1:14" ht="11.25" customHeight="1" x14ac:dyDescent="0.2">
      <c r="A11871" s="344">
        <v>2026</v>
      </c>
      <c r="B11871" s="344">
        <v>3</v>
      </c>
      <c r="C11871" s="344">
        <v>1</v>
      </c>
      <c r="D11871" s="337">
        <f t="shared" si="1309"/>
        <v>46082</v>
      </c>
      <c r="E11871" s="338">
        <f t="shared" si="1310"/>
        <v>46082</v>
      </c>
      <c r="F11871" s="475"/>
      <c r="G11871" s="339" t="s">
        <v>86</v>
      </c>
      <c r="H11871" s="340"/>
      <c r="I11871" s="340"/>
      <c r="J11871" s="345" t="s">
        <v>1974</v>
      </c>
      <c r="K11871" s="346"/>
      <c r="L11871" s="346">
        <f>K11870</f>
        <v>2793.12</v>
      </c>
    </row>
    <row r="11872" spans="1:14" ht="11.25" customHeight="1" x14ac:dyDescent="0.2">
      <c r="A11872" s="236">
        <v>2026</v>
      </c>
      <c r="B11872" s="236">
        <v>3</v>
      </c>
      <c r="C11872" s="236">
        <v>1</v>
      </c>
      <c r="D11872" s="237">
        <f t="shared" si="1309"/>
        <v>46082</v>
      </c>
      <c r="E11872" s="238">
        <f t="shared" si="1310"/>
        <v>46082</v>
      </c>
      <c r="F11872" s="476" t="s">
        <v>1118</v>
      </c>
      <c r="G11872" s="239" t="s">
        <v>86</v>
      </c>
      <c r="H11872" s="239"/>
      <c r="I11872" s="240"/>
      <c r="J11872" s="241" t="s">
        <v>82</v>
      </c>
      <c r="K11872" s="242">
        <v>4350183.6999999285</v>
      </c>
      <c r="L11872" s="242"/>
      <c r="M11872" s="166"/>
    </row>
    <row r="11873" spans="1:14" ht="11.25" customHeight="1" x14ac:dyDescent="0.2">
      <c r="A11873" s="243">
        <v>2026</v>
      </c>
      <c r="B11873" s="243">
        <v>3</v>
      </c>
      <c r="C11873" s="243">
        <v>1</v>
      </c>
      <c r="D11873" s="248">
        <f t="shared" si="1309"/>
        <v>46082</v>
      </c>
      <c r="E11873" s="249">
        <f t="shared" si="1310"/>
        <v>46082</v>
      </c>
      <c r="F11873" s="477"/>
      <c r="G11873" s="244" t="s">
        <v>86</v>
      </c>
      <c r="H11873" s="244"/>
      <c r="I11873" s="245"/>
      <c r="J11873" s="246" t="s">
        <v>98</v>
      </c>
      <c r="K11873" s="247"/>
      <c r="L11873" s="247">
        <f>K11872</f>
        <v>4350183.6999999285</v>
      </c>
    </row>
    <row r="11874" spans="1:14" ht="11.25" customHeight="1" x14ac:dyDescent="0.2">
      <c r="A11874" s="236">
        <v>2026</v>
      </c>
      <c r="B11874" s="236">
        <v>3</v>
      </c>
      <c r="C11874" s="236">
        <v>1</v>
      </c>
      <c r="D11874" s="237">
        <f t="shared" si="1309"/>
        <v>46082</v>
      </c>
      <c r="E11874" s="238">
        <f t="shared" si="1310"/>
        <v>46082</v>
      </c>
      <c r="F11874" s="476" t="s">
        <v>1999</v>
      </c>
      <c r="G11874" s="239" t="s">
        <v>86</v>
      </c>
      <c r="H11874" s="239"/>
      <c r="I11874" s="240"/>
      <c r="J11874" s="241" t="s">
        <v>87</v>
      </c>
      <c r="K11874" s="242">
        <v>1177.3940345368919</v>
      </c>
      <c r="L11874" s="242"/>
      <c r="M11874" s="401"/>
    </row>
    <row r="11875" spans="1:14" ht="11.25" customHeight="1" x14ac:dyDescent="0.2">
      <c r="A11875" s="243">
        <v>2026</v>
      </c>
      <c r="B11875" s="243">
        <v>3</v>
      </c>
      <c r="C11875" s="243">
        <v>1</v>
      </c>
      <c r="D11875" s="248">
        <f t="shared" si="1309"/>
        <v>46082</v>
      </c>
      <c r="E11875" s="249">
        <f t="shared" si="1310"/>
        <v>46082</v>
      </c>
      <c r="F11875" s="477"/>
      <c r="G11875" s="244" t="s">
        <v>86</v>
      </c>
      <c r="H11875" s="244"/>
      <c r="I11875" s="245"/>
      <c r="J11875" s="246" t="s">
        <v>64</v>
      </c>
      <c r="K11875" s="247"/>
      <c r="L11875" s="247">
        <f>K11874</f>
        <v>1177.3940345368919</v>
      </c>
    </row>
    <row r="11876" spans="1:14" ht="11.25" customHeight="1" x14ac:dyDescent="0.2">
      <c r="A11876" s="236">
        <v>2026</v>
      </c>
      <c r="B11876" s="236">
        <v>3</v>
      </c>
      <c r="C11876" s="236">
        <v>1</v>
      </c>
      <c r="D11876" s="237">
        <f t="shared" si="1309"/>
        <v>46082</v>
      </c>
      <c r="E11876" s="238">
        <f t="shared" si="1310"/>
        <v>46082</v>
      </c>
      <c r="F11876" s="476" t="s">
        <v>2000</v>
      </c>
      <c r="G11876" s="239" t="s">
        <v>86</v>
      </c>
      <c r="H11876" s="239"/>
      <c r="I11876" s="240"/>
      <c r="J11876" s="241" t="s">
        <v>89</v>
      </c>
      <c r="K11876" s="242">
        <v>46060.408708923474</v>
      </c>
      <c r="L11876" s="242"/>
      <c r="M11876" s="448"/>
    </row>
    <row r="11877" spans="1:14" ht="11.25" customHeight="1" x14ac:dyDescent="0.2">
      <c r="A11877" s="243">
        <v>2026</v>
      </c>
      <c r="B11877" s="243">
        <v>3</v>
      </c>
      <c r="C11877" s="243">
        <v>1</v>
      </c>
      <c r="D11877" s="248">
        <f t="shared" si="1309"/>
        <v>46082</v>
      </c>
      <c r="E11877" s="249">
        <f t="shared" si="1310"/>
        <v>46082</v>
      </c>
      <c r="F11877" s="477"/>
      <c r="G11877" s="244" t="s">
        <v>86</v>
      </c>
      <c r="H11877" s="244"/>
      <c r="I11877" s="245"/>
      <c r="J11877" s="246" t="s">
        <v>50</v>
      </c>
      <c r="K11877" s="247"/>
      <c r="L11877" s="247">
        <f>K11876</f>
        <v>46060.408708923474</v>
      </c>
      <c r="M11877" s="448"/>
    </row>
    <row r="11878" spans="1:14" ht="11.25" customHeight="1" x14ac:dyDescent="0.2">
      <c r="A11878" s="236">
        <v>2026</v>
      </c>
      <c r="B11878" s="236">
        <v>3</v>
      </c>
      <c r="C11878" s="236">
        <v>1</v>
      </c>
      <c r="D11878" s="237">
        <f t="shared" si="1309"/>
        <v>46082</v>
      </c>
      <c r="E11878" s="238">
        <f t="shared" si="1310"/>
        <v>46082</v>
      </c>
      <c r="F11878" s="476" t="s">
        <v>2001</v>
      </c>
      <c r="G11878" s="239" t="s">
        <v>86</v>
      </c>
      <c r="H11878" s="239"/>
      <c r="I11878" s="240"/>
      <c r="J11878" s="241" t="s">
        <v>91</v>
      </c>
      <c r="K11878" s="242">
        <v>2248.7761057090534</v>
      </c>
      <c r="L11878" s="242"/>
    </row>
    <row r="11879" spans="1:14" ht="11.25" customHeight="1" x14ac:dyDescent="0.2">
      <c r="A11879" s="243">
        <v>2026</v>
      </c>
      <c r="B11879" s="243">
        <v>3</v>
      </c>
      <c r="C11879" s="243">
        <v>1</v>
      </c>
      <c r="D11879" s="248">
        <f t="shared" si="1309"/>
        <v>46082</v>
      </c>
      <c r="E11879" s="249">
        <f t="shared" si="1310"/>
        <v>46082</v>
      </c>
      <c r="F11879" s="477"/>
      <c r="G11879" s="244" t="s">
        <v>86</v>
      </c>
      <c r="H11879" s="244"/>
      <c r="I11879" s="245"/>
      <c r="J11879" s="246" t="s">
        <v>51</v>
      </c>
      <c r="K11879" s="247"/>
      <c r="L11879" s="247">
        <f>K11878</f>
        <v>2248.7761057090534</v>
      </c>
    </row>
    <row r="11880" spans="1:14" ht="11.25" customHeight="1" x14ac:dyDescent="0.2">
      <c r="A11880" s="164">
        <v>2026</v>
      </c>
      <c r="B11880" s="164">
        <v>3</v>
      </c>
      <c r="C11880" s="164">
        <v>2</v>
      </c>
      <c r="D11880" s="164">
        <f t="shared" si="1309"/>
        <v>46083</v>
      </c>
      <c r="E11880" s="235">
        <f t="shared" si="1310"/>
        <v>46083</v>
      </c>
      <c r="F11880" s="480" t="s">
        <v>1950</v>
      </c>
      <c r="G11880" s="208" t="s">
        <v>86</v>
      </c>
      <c r="H11880" s="208"/>
      <c r="J11880" s="165" t="s">
        <v>55</v>
      </c>
      <c r="K11880" s="205">
        <v>1500027.2</v>
      </c>
      <c r="L11880" s="205"/>
      <c r="M11880" s="263"/>
      <c r="N11880" s="263"/>
    </row>
    <row r="11881" spans="1:14" ht="11.25" customHeight="1" x14ac:dyDescent="0.2">
      <c r="A11881" s="164">
        <v>2026</v>
      </c>
      <c r="B11881" s="164">
        <v>3</v>
      </c>
      <c r="C11881" s="164">
        <v>2</v>
      </c>
      <c r="D11881" s="164">
        <f t="shared" si="1309"/>
        <v>46083</v>
      </c>
      <c r="E11881" s="235">
        <f t="shared" si="1310"/>
        <v>46083</v>
      </c>
      <c r="F11881" s="480"/>
      <c r="G11881" s="208" t="s">
        <v>86</v>
      </c>
      <c r="H11881" s="208"/>
      <c r="J11881" s="165" t="s">
        <v>200</v>
      </c>
      <c r="K11881" s="205"/>
      <c r="L11881" s="205">
        <v>411535.45</v>
      </c>
      <c r="M11881" s="263"/>
      <c r="N11881" s="263"/>
    </row>
    <row r="11882" spans="1:14" ht="11.25" customHeight="1" x14ac:dyDescent="0.2">
      <c r="A11882" s="226">
        <v>2026</v>
      </c>
      <c r="B11882" s="226">
        <v>3</v>
      </c>
      <c r="C11882" s="226">
        <v>2</v>
      </c>
      <c r="D11882" s="226">
        <f t="shared" si="1309"/>
        <v>46083</v>
      </c>
      <c r="E11882" s="234">
        <f t="shared" si="1310"/>
        <v>46083</v>
      </c>
      <c r="F11882" s="479"/>
      <c r="G11882" s="227" t="s">
        <v>86</v>
      </c>
      <c r="H11882" s="228"/>
      <c r="I11882" s="228"/>
      <c r="J11882" s="229" t="s">
        <v>80</v>
      </c>
      <c r="K11882" s="230"/>
      <c r="L11882" s="230">
        <v>1088491.75</v>
      </c>
      <c r="M11882" s="263"/>
      <c r="N11882" s="263"/>
    </row>
    <row r="11883" spans="1:14" ht="11.25" customHeight="1" x14ac:dyDescent="0.2">
      <c r="A11883" s="221">
        <v>2026</v>
      </c>
      <c r="B11883" s="221">
        <v>3</v>
      </c>
      <c r="C11883" s="221">
        <v>2</v>
      </c>
      <c r="D11883" s="231">
        <f t="shared" si="1309"/>
        <v>46083</v>
      </c>
      <c r="E11883" s="233">
        <f t="shared" si="1310"/>
        <v>46083</v>
      </c>
      <c r="F11883" s="478" t="s">
        <v>2004</v>
      </c>
      <c r="G11883" s="222" t="s">
        <v>1111</v>
      </c>
      <c r="H11883" s="223"/>
      <c r="I11883" s="223"/>
      <c r="J11883" s="224" t="s">
        <v>961</v>
      </c>
      <c r="K11883" s="225">
        <v>1333009.1599999999</v>
      </c>
      <c r="L11883" s="225"/>
    </row>
    <row r="11884" spans="1:14" ht="11.25" customHeight="1" x14ac:dyDescent="0.2">
      <c r="A11884" s="226">
        <v>2026</v>
      </c>
      <c r="B11884" s="226">
        <v>3</v>
      </c>
      <c r="C11884" s="226">
        <v>2</v>
      </c>
      <c r="D11884" s="232">
        <f t="shared" si="1309"/>
        <v>46083</v>
      </c>
      <c r="E11884" s="234">
        <f t="shared" si="1310"/>
        <v>46083</v>
      </c>
      <c r="F11884" s="479"/>
      <c r="G11884" s="227" t="s">
        <v>1111</v>
      </c>
      <c r="H11884" s="228"/>
      <c r="I11884" s="228"/>
      <c r="J11884" s="229" t="s">
        <v>55</v>
      </c>
      <c r="K11884" s="230"/>
      <c r="L11884" s="230">
        <f>K11883</f>
        <v>1333009.1599999999</v>
      </c>
    </row>
    <row r="11885" spans="1:14" ht="11.25" customHeight="1" x14ac:dyDescent="0.2">
      <c r="A11885" s="221">
        <v>2026</v>
      </c>
      <c r="B11885" s="221">
        <v>3</v>
      </c>
      <c r="C11885" s="221">
        <v>2</v>
      </c>
      <c r="D11885" s="231">
        <f t="shared" si="1309"/>
        <v>46083</v>
      </c>
      <c r="E11885" s="233">
        <f t="shared" si="1310"/>
        <v>46083</v>
      </c>
      <c r="F11885" s="478" t="s">
        <v>1985</v>
      </c>
      <c r="G11885" s="222" t="s">
        <v>1111</v>
      </c>
      <c r="H11885" s="223"/>
      <c r="I11885" s="223"/>
      <c r="J11885" s="224" t="s">
        <v>55</v>
      </c>
      <c r="K11885" s="225">
        <v>330835.73</v>
      </c>
      <c r="L11885" s="225"/>
    </row>
    <row r="11886" spans="1:14" ht="11.25" customHeight="1" x14ac:dyDescent="0.2">
      <c r="A11886" s="226">
        <v>2026</v>
      </c>
      <c r="B11886" s="226">
        <v>3</v>
      </c>
      <c r="C11886" s="226">
        <v>2</v>
      </c>
      <c r="D11886" s="232">
        <f t="shared" si="1309"/>
        <v>46083</v>
      </c>
      <c r="E11886" s="234">
        <f t="shared" si="1310"/>
        <v>46083</v>
      </c>
      <c r="F11886" s="479"/>
      <c r="G11886" s="227" t="s">
        <v>1111</v>
      </c>
      <c r="H11886" s="228"/>
      <c r="I11886" s="228"/>
      <c r="J11886" s="229" t="s">
        <v>199</v>
      </c>
      <c r="K11886" s="230"/>
      <c r="L11886" s="230">
        <f>K11885</f>
        <v>330835.73</v>
      </c>
    </row>
    <row r="11887" spans="1:14" ht="11.25" customHeight="1" x14ac:dyDescent="0.2">
      <c r="A11887" s="221">
        <v>2026</v>
      </c>
      <c r="B11887" s="221">
        <v>3</v>
      </c>
      <c r="C11887" s="221">
        <v>2</v>
      </c>
      <c r="D11887" s="231">
        <f t="shared" si="1309"/>
        <v>46083</v>
      </c>
      <c r="E11887" s="233">
        <f t="shared" si="1310"/>
        <v>46083</v>
      </c>
      <c r="F11887" s="478" t="s">
        <v>1670</v>
      </c>
      <c r="G11887" s="222" t="s">
        <v>1111</v>
      </c>
      <c r="H11887" s="223"/>
      <c r="I11887" s="223"/>
      <c r="J11887" s="224" t="s">
        <v>63</v>
      </c>
      <c r="K11887" s="225">
        <v>100</v>
      </c>
      <c r="L11887" s="225"/>
    </row>
    <row r="11888" spans="1:14" ht="11.25" customHeight="1" x14ac:dyDescent="0.2">
      <c r="A11888" s="226">
        <v>2026</v>
      </c>
      <c r="B11888" s="226">
        <v>3</v>
      </c>
      <c r="C11888" s="226">
        <v>2</v>
      </c>
      <c r="D11888" s="232">
        <f t="shared" si="1309"/>
        <v>46083</v>
      </c>
      <c r="E11888" s="234">
        <f t="shared" si="1310"/>
        <v>46083</v>
      </c>
      <c r="F11888" s="479"/>
      <c r="G11888" s="227" t="s">
        <v>1111</v>
      </c>
      <c r="H11888" s="228"/>
      <c r="I11888" s="228"/>
      <c r="J11888" s="229" t="s">
        <v>55</v>
      </c>
      <c r="K11888" s="230"/>
      <c r="L11888" s="230">
        <f>K11887</f>
        <v>100</v>
      </c>
    </row>
    <row r="11889" spans="1:14" ht="11.25" customHeight="1" x14ac:dyDescent="0.2">
      <c r="A11889" s="221">
        <v>2026</v>
      </c>
      <c r="B11889" s="221">
        <v>3</v>
      </c>
      <c r="C11889" s="221">
        <v>2</v>
      </c>
      <c r="D11889" s="221">
        <f t="shared" ref="D11889:D11914" si="1311">DATE(A11889,B11889,C11889)</f>
        <v>46083</v>
      </c>
      <c r="E11889" s="233">
        <f t="shared" ref="E11889:E11914" si="1312">DATE(A11889,B11889,C11889)</f>
        <v>46083</v>
      </c>
      <c r="F11889" s="478" t="s">
        <v>1937</v>
      </c>
      <c r="G11889" s="222" t="s">
        <v>86</v>
      </c>
      <c r="H11889" s="222"/>
      <c r="I11889" s="223"/>
      <c r="J11889" s="224" t="s">
        <v>80</v>
      </c>
      <c r="K11889" s="225">
        <v>4460415</v>
      </c>
      <c r="L11889" s="225"/>
      <c r="N11889" s="263"/>
    </row>
    <row r="11890" spans="1:14" ht="11.25" customHeight="1" x14ac:dyDescent="0.2">
      <c r="A11890" s="164">
        <v>2026</v>
      </c>
      <c r="B11890" s="164">
        <v>3</v>
      </c>
      <c r="C11890" s="164">
        <v>2</v>
      </c>
      <c r="D11890" s="164">
        <f t="shared" si="1311"/>
        <v>46083</v>
      </c>
      <c r="E11890" s="235">
        <f t="shared" si="1312"/>
        <v>46083</v>
      </c>
      <c r="F11890" s="480"/>
      <c r="G11890" s="208" t="s">
        <v>86</v>
      </c>
      <c r="H11890" s="208"/>
      <c r="J11890" s="165" t="s">
        <v>960</v>
      </c>
      <c r="K11890" s="205">
        <v>15308.91</v>
      </c>
      <c r="L11890" s="205"/>
      <c r="M11890" s="263"/>
      <c r="N11890" s="263"/>
    </row>
    <row r="11891" spans="1:14" ht="11.25" customHeight="1" x14ac:dyDescent="0.2">
      <c r="A11891" s="164">
        <v>2026</v>
      </c>
      <c r="B11891" s="164">
        <v>3</v>
      </c>
      <c r="C11891" s="164">
        <v>2</v>
      </c>
      <c r="D11891" s="164">
        <f t="shared" si="1311"/>
        <v>46083</v>
      </c>
      <c r="E11891" s="235">
        <f t="shared" si="1312"/>
        <v>46083</v>
      </c>
      <c r="F11891" s="480"/>
      <c r="G11891" s="208" t="s">
        <v>86</v>
      </c>
      <c r="H11891" s="208"/>
      <c r="J11891" s="165" t="s">
        <v>961</v>
      </c>
      <c r="K11891" s="263"/>
      <c r="L11891" s="205">
        <v>431189.91</v>
      </c>
      <c r="M11891" s="263"/>
      <c r="N11891" s="263"/>
    </row>
    <row r="11892" spans="1:14" ht="11.25" customHeight="1" x14ac:dyDescent="0.2">
      <c r="A11892" s="164">
        <v>2026</v>
      </c>
      <c r="B11892" s="164">
        <v>3</v>
      </c>
      <c r="C11892" s="164">
        <v>2</v>
      </c>
      <c r="D11892" s="164">
        <f t="shared" si="1311"/>
        <v>46083</v>
      </c>
      <c r="E11892" s="235">
        <f t="shared" si="1312"/>
        <v>46083</v>
      </c>
      <c r="F11892" s="480"/>
      <c r="G11892" s="208" t="s">
        <v>86</v>
      </c>
      <c r="H11892" s="208"/>
      <c r="J11892" s="165" t="s">
        <v>200</v>
      </c>
      <c r="K11892" s="205"/>
      <c r="L11892" s="205">
        <v>266159.59999999998</v>
      </c>
      <c r="M11892" s="263"/>
      <c r="N11892" s="263"/>
    </row>
    <row r="11893" spans="1:14" ht="11.25" customHeight="1" x14ac:dyDescent="0.2">
      <c r="A11893" s="226">
        <v>2026</v>
      </c>
      <c r="B11893" s="226">
        <v>3</v>
      </c>
      <c r="C11893" s="226">
        <v>2</v>
      </c>
      <c r="D11893" s="226">
        <f t="shared" si="1311"/>
        <v>46083</v>
      </c>
      <c r="E11893" s="234">
        <f t="shared" si="1312"/>
        <v>46083</v>
      </c>
      <c r="F11893" s="479"/>
      <c r="G11893" s="227" t="s">
        <v>86</v>
      </c>
      <c r="H11893" s="228"/>
      <c r="I11893" s="228"/>
      <c r="J11893" s="229" t="s">
        <v>80</v>
      </c>
      <c r="K11893" s="230"/>
      <c r="L11893" s="230">
        <v>3778374.4</v>
      </c>
      <c r="M11893" s="263"/>
      <c r="N11893" s="263"/>
    </row>
    <row r="11894" spans="1:14" ht="11.25" customHeight="1" x14ac:dyDescent="0.2">
      <c r="A11894" s="280">
        <v>2026</v>
      </c>
      <c r="B11894" s="280">
        <v>3</v>
      </c>
      <c r="C11894" s="280">
        <v>2</v>
      </c>
      <c r="D11894" s="281">
        <f t="shared" si="1311"/>
        <v>46083</v>
      </c>
      <c r="E11894" s="282">
        <f t="shared" si="1312"/>
        <v>46083</v>
      </c>
      <c r="F11894" s="472" t="s">
        <v>1584</v>
      </c>
      <c r="G11894" s="283" t="s">
        <v>86</v>
      </c>
      <c r="H11894" s="284"/>
      <c r="I11894" s="284"/>
      <c r="J11894" s="285" t="s">
        <v>131</v>
      </c>
      <c r="K11894" s="286">
        <v>1277.7777777777801</v>
      </c>
      <c r="L11894" s="286"/>
      <c r="M11894" s="401"/>
      <c r="N11894" s="166"/>
    </row>
    <row r="11895" spans="1:14" ht="11.25" customHeight="1" x14ac:dyDescent="0.2">
      <c r="A11895" s="287">
        <v>2026</v>
      </c>
      <c r="B11895" s="287">
        <v>3</v>
      </c>
      <c r="C11895" s="287">
        <v>2</v>
      </c>
      <c r="D11895" s="288">
        <f t="shared" si="1311"/>
        <v>46083</v>
      </c>
      <c r="E11895" s="289">
        <f t="shared" si="1312"/>
        <v>46083</v>
      </c>
      <c r="F11895" s="473"/>
      <c r="G11895" s="290" t="s">
        <v>86</v>
      </c>
      <c r="H11895" s="291"/>
      <c r="I11895" s="291"/>
      <c r="J11895" s="292" t="s">
        <v>1469</v>
      </c>
      <c r="K11895" s="293"/>
      <c r="L11895" s="293">
        <f>K11894</f>
        <v>1277.7777777777801</v>
      </c>
    </row>
    <row r="11896" spans="1:14" ht="11.25" customHeight="1" x14ac:dyDescent="0.2">
      <c r="A11896" s="280">
        <v>2026</v>
      </c>
      <c r="B11896" s="280">
        <v>3</v>
      </c>
      <c r="C11896" s="280">
        <v>2</v>
      </c>
      <c r="D11896" s="281">
        <f t="shared" si="1311"/>
        <v>46083</v>
      </c>
      <c r="E11896" s="282">
        <f t="shared" si="1312"/>
        <v>46083</v>
      </c>
      <c r="F11896" s="472" t="s">
        <v>1955</v>
      </c>
      <c r="G11896" s="283" t="s">
        <v>86</v>
      </c>
      <c r="H11896" s="284"/>
      <c r="I11896" s="284"/>
      <c r="J11896" s="285" t="s">
        <v>1978</v>
      </c>
      <c r="K11896" s="286">
        <v>6185.4395604395604</v>
      </c>
      <c r="L11896" s="286"/>
      <c r="M11896" s="401"/>
    </row>
    <row r="11897" spans="1:14" ht="11.25" customHeight="1" x14ac:dyDescent="0.2">
      <c r="A11897" s="287">
        <v>2026</v>
      </c>
      <c r="B11897" s="287">
        <v>3</v>
      </c>
      <c r="C11897" s="287">
        <v>2</v>
      </c>
      <c r="D11897" s="288">
        <f t="shared" si="1311"/>
        <v>46083</v>
      </c>
      <c r="E11897" s="289">
        <f t="shared" si="1312"/>
        <v>46083</v>
      </c>
      <c r="F11897" s="473"/>
      <c r="G11897" s="290" t="s">
        <v>86</v>
      </c>
      <c r="H11897" s="291"/>
      <c r="I11897" s="291"/>
      <c r="J11897" s="292" t="s">
        <v>1955</v>
      </c>
      <c r="K11897" s="293"/>
      <c r="L11897" s="293">
        <f>K11896</f>
        <v>6185.4395604395604</v>
      </c>
    </row>
    <row r="11898" spans="1:14" ht="11.25" customHeight="1" x14ac:dyDescent="0.2">
      <c r="A11898" s="341">
        <v>2026</v>
      </c>
      <c r="B11898" s="341">
        <v>3</v>
      </c>
      <c r="C11898" s="341">
        <v>2</v>
      </c>
      <c r="D11898" s="328">
        <f t="shared" si="1311"/>
        <v>46083</v>
      </c>
      <c r="E11898" s="329">
        <f t="shared" si="1312"/>
        <v>46083</v>
      </c>
      <c r="F11898" s="474" t="s">
        <v>1767</v>
      </c>
      <c r="G11898" s="330" t="s">
        <v>86</v>
      </c>
      <c r="H11898" s="332"/>
      <c r="I11898" s="332"/>
      <c r="J11898" s="342" t="s">
        <v>67</v>
      </c>
      <c r="K11898" s="343">
        <v>897.77168416666666</v>
      </c>
      <c r="L11898" s="343"/>
      <c r="M11898" s="166"/>
    </row>
    <row r="11899" spans="1:14" ht="11.25" customHeight="1" x14ac:dyDescent="0.2">
      <c r="A11899" s="344">
        <v>2026</v>
      </c>
      <c r="B11899" s="344">
        <v>3</v>
      </c>
      <c r="C11899" s="344">
        <v>2</v>
      </c>
      <c r="D11899" s="337">
        <f t="shared" si="1311"/>
        <v>46083</v>
      </c>
      <c r="E11899" s="338">
        <f t="shared" si="1312"/>
        <v>46083</v>
      </c>
      <c r="F11899" s="475"/>
      <c r="G11899" s="339" t="s">
        <v>86</v>
      </c>
      <c r="H11899" s="340"/>
      <c r="I11899" s="340"/>
      <c r="J11899" s="345" t="s">
        <v>1974</v>
      </c>
      <c r="K11899" s="346"/>
      <c r="L11899" s="346">
        <f>K11898</f>
        <v>897.77168416666666</v>
      </c>
    </row>
    <row r="11900" spans="1:14" ht="11.25" customHeight="1" x14ac:dyDescent="0.2">
      <c r="A11900" s="236">
        <v>2026</v>
      </c>
      <c r="B11900" s="236">
        <v>3</v>
      </c>
      <c r="C11900" s="236">
        <v>2</v>
      </c>
      <c r="D11900" s="237">
        <f t="shared" si="1311"/>
        <v>46083</v>
      </c>
      <c r="E11900" s="238">
        <f t="shared" si="1312"/>
        <v>46083</v>
      </c>
      <c r="F11900" s="476" t="s">
        <v>1118</v>
      </c>
      <c r="G11900" s="239" t="s">
        <v>86</v>
      </c>
      <c r="H11900" s="239"/>
      <c r="I11900" s="240"/>
      <c r="J11900" s="241" t="s">
        <v>98</v>
      </c>
      <c r="K11900" s="242">
        <v>274312.64999994636</v>
      </c>
      <c r="L11900" s="242"/>
      <c r="M11900" s="166"/>
    </row>
    <row r="11901" spans="1:14" ht="11.25" customHeight="1" x14ac:dyDescent="0.2">
      <c r="A11901" s="243">
        <v>2026</v>
      </c>
      <c r="B11901" s="243">
        <v>3</v>
      </c>
      <c r="C11901" s="243">
        <v>2</v>
      </c>
      <c r="D11901" s="248">
        <f t="shared" si="1311"/>
        <v>46083</v>
      </c>
      <c r="E11901" s="249">
        <f t="shared" si="1312"/>
        <v>46083</v>
      </c>
      <c r="F11901" s="477"/>
      <c r="G11901" s="244" t="s">
        <v>86</v>
      </c>
      <c r="H11901" s="244"/>
      <c r="I11901" s="245"/>
      <c r="J11901" s="246" t="s">
        <v>82</v>
      </c>
      <c r="K11901" s="247"/>
      <c r="L11901" s="247">
        <f>K11900</f>
        <v>274312.64999994636</v>
      </c>
    </row>
    <row r="11902" spans="1:14" ht="11.25" customHeight="1" x14ac:dyDescent="0.2">
      <c r="A11902" s="236">
        <v>2026</v>
      </c>
      <c r="B11902" s="236">
        <v>3</v>
      </c>
      <c r="C11902" s="236">
        <v>2</v>
      </c>
      <c r="D11902" s="237">
        <f t="shared" si="1311"/>
        <v>46083</v>
      </c>
      <c r="E11902" s="238">
        <f t="shared" si="1312"/>
        <v>46083</v>
      </c>
      <c r="F11902" s="476" t="s">
        <v>1999</v>
      </c>
      <c r="G11902" s="239" t="s">
        <v>86</v>
      </c>
      <c r="H11902" s="239"/>
      <c r="I11902" s="240"/>
      <c r="J11902" s="241" t="s">
        <v>87</v>
      </c>
      <c r="K11902" s="242">
        <v>392.46467817896399</v>
      </c>
      <c r="L11902" s="242"/>
      <c r="M11902" s="401"/>
    </row>
    <row r="11903" spans="1:14" ht="11.25" customHeight="1" x14ac:dyDescent="0.2">
      <c r="A11903" s="243">
        <v>2026</v>
      </c>
      <c r="B11903" s="243">
        <v>3</v>
      </c>
      <c r="C11903" s="243">
        <v>2</v>
      </c>
      <c r="D11903" s="248">
        <f t="shared" si="1311"/>
        <v>46083</v>
      </c>
      <c r="E11903" s="249">
        <f t="shared" si="1312"/>
        <v>46083</v>
      </c>
      <c r="F11903" s="477"/>
      <c r="G11903" s="244" t="s">
        <v>86</v>
      </c>
      <c r="H11903" s="244"/>
      <c r="I11903" s="245"/>
      <c r="J11903" s="246" t="s">
        <v>64</v>
      </c>
      <c r="K11903" s="247"/>
      <c r="L11903" s="247">
        <f>K11902</f>
        <v>392.46467817896399</v>
      </c>
    </row>
    <row r="11904" spans="1:14" ht="11.25" customHeight="1" x14ac:dyDescent="0.2">
      <c r="A11904" s="236">
        <v>2026</v>
      </c>
      <c r="B11904" s="236">
        <v>3</v>
      </c>
      <c r="C11904" s="236">
        <v>2</v>
      </c>
      <c r="D11904" s="237">
        <f t="shared" si="1311"/>
        <v>46083</v>
      </c>
      <c r="E11904" s="238">
        <f t="shared" si="1312"/>
        <v>46083</v>
      </c>
      <c r="F11904" s="476" t="s">
        <v>2000</v>
      </c>
      <c r="G11904" s="239" t="s">
        <v>86</v>
      </c>
      <c r="H11904" s="239"/>
      <c r="I11904" s="240"/>
      <c r="J11904" s="241" t="s">
        <v>89</v>
      </c>
      <c r="K11904" s="242">
        <v>15390.302095512234</v>
      </c>
      <c r="L11904" s="242"/>
      <c r="M11904" s="448"/>
    </row>
    <row r="11905" spans="1:14" ht="11.25" customHeight="1" x14ac:dyDescent="0.2">
      <c r="A11905" s="243">
        <v>2026</v>
      </c>
      <c r="B11905" s="243">
        <v>3</v>
      </c>
      <c r="C11905" s="243">
        <v>2</v>
      </c>
      <c r="D11905" s="248">
        <f t="shared" si="1311"/>
        <v>46083</v>
      </c>
      <c r="E11905" s="249">
        <f t="shared" si="1312"/>
        <v>46083</v>
      </c>
      <c r="F11905" s="477"/>
      <c r="G11905" s="244" t="s">
        <v>86</v>
      </c>
      <c r="H11905" s="244"/>
      <c r="I11905" s="245"/>
      <c r="J11905" s="246" t="s">
        <v>50</v>
      </c>
      <c r="K11905" s="247"/>
      <c r="L11905" s="247">
        <f>K11904</f>
        <v>15390.302095512234</v>
      </c>
      <c r="M11905" s="448"/>
    </row>
    <row r="11906" spans="1:14" ht="11.25" customHeight="1" x14ac:dyDescent="0.2">
      <c r="A11906" s="236">
        <v>2026</v>
      </c>
      <c r="B11906" s="236">
        <v>3</v>
      </c>
      <c r="C11906" s="236">
        <v>2</v>
      </c>
      <c r="D11906" s="237">
        <f t="shared" si="1311"/>
        <v>46083</v>
      </c>
      <c r="E11906" s="238">
        <f t="shared" si="1312"/>
        <v>46083</v>
      </c>
      <c r="F11906" s="476" t="s">
        <v>2001</v>
      </c>
      <c r="G11906" s="239" t="s">
        <v>86</v>
      </c>
      <c r="H11906" s="239"/>
      <c r="I11906" s="240"/>
      <c r="J11906" s="241" t="s">
        <v>91</v>
      </c>
      <c r="K11906" s="242">
        <v>752.04753696108958</v>
      </c>
      <c r="L11906" s="242"/>
    </row>
    <row r="11907" spans="1:14" ht="11.25" customHeight="1" x14ac:dyDescent="0.2">
      <c r="A11907" s="243">
        <v>2026</v>
      </c>
      <c r="B11907" s="243">
        <v>3</v>
      </c>
      <c r="C11907" s="243">
        <v>2</v>
      </c>
      <c r="D11907" s="248">
        <f t="shared" si="1311"/>
        <v>46083</v>
      </c>
      <c r="E11907" s="249">
        <f t="shared" si="1312"/>
        <v>46083</v>
      </c>
      <c r="F11907" s="477"/>
      <c r="G11907" s="244" t="s">
        <v>86</v>
      </c>
      <c r="H11907" s="244"/>
      <c r="I11907" s="245"/>
      <c r="J11907" s="246" t="s">
        <v>51</v>
      </c>
      <c r="K11907" s="247"/>
      <c r="L11907" s="247">
        <f>K11906</f>
        <v>752.04753696108958</v>
      </c>
    </row>
    <row r="11908" spans="1:14" ht="11.25" customHeight="1" x14ac:dyDescent="0.2">
      <c r="A11908" s="221">
        <v>2026</v>
      </c>
      <c r="B11908" s="221">
        <v>3</v>
      </c>
      <c r="C11908" s="221">
        <v>3</v>
      </c>
      <c r="D11908" s="231">
        <f t="shared" si="1311"/>
        <v>46084</v>
      </c>
      <c r="E11908" s="233">
        <f t="shared" si="1312"/>
        <v>46084</v>
      </c>
      <c r="F11908" s="478" t="s">
        <v>1987</v>
      </c>
      <c r="G11908" s="222" t="s">
        <v>1111</v>
      </c>
      <c r="H11908" s="223"/>
      <c r="I11908" s="223"/>
      <c r="J11908" s="224" t="s">
        <v>961</v>
      </c>
      <c r="K11908" s="225">
        <v>431189.91</v>
      </c>
      <c r="L11908" s="225"/>
    </row>
    <row r="11909" spans="1:14" ht="11.25" customHeight="1" x14ac:dyDescent="0.2">
      <c r="A11909" s="226">
        <v>2026</v>
      </c>
      <c r="B11909" s="226">
        <v>3</v>
      </c>
      <c r="C11909" s="226">
        <v>3</v>
      </c>
      <c r="D11909" s="232">
        <f t="shared" si="1311"/>
        <v>46084</v>
      </c>
      <c r="E11909" s="234">
        <f t="shared" si="1312"/>
        <v>46084</v>
      </c>
      <c r="F11909" s="479"/>
      <c r="G11909" s="227" t="s">
        <v>1111</v>
      </c>
      <c r="H11909" s="228"/>
      <c r="I11909" s="228"/>
      <c r="J11909" s="229" t="s">
        <v>55</v>
      </c>
      <c r="K11909" s="230"/>
      <c r="L11909" s="230">
        <f>K11908</f>
        <v>431189.91</v>
      </c>
    </row>
    <row r="11910" spans="1:14" ht="11.25" customHeight="1" x14ac:dyDescent="0.2">
      <c r="A11910" s="221">
        <v>2026</v>
      </c>
      <c r="B11910" s="221">
        <v>3</v>
      </c>
      <c r="C11910" s="221">
        <v>3</v>
      </c>
      <c r="D11910" s="231">
        <f t="shared" si="1311"/>
        <v>46084</v>
      </c>
      <c r="E11910" s="233">
        <f t="shared" si="1312"/>
        <v>46084</v>
      </c>
      <c r="F11910" s="478" t="s">
        <v>1670</v>
      </c>
      <c r="G11910" s="222" t="s">
        <v>1111</v>
      </c>
      <c r="H11910" s="223"/>
      <c r="I11910" s="223"/>
      <c r="J11910" s="224" t="s">
        <v>63</v>
      </c>
      <c r="K11910" s="225">
        <v>58</v>
      </c>
      <c r="L11910" s="225"/>
    </row>
    <row r="11911" spans="1:14" ht="11.25" customHeight="1" x14ac:dyDescent="0.2">
      <c r="A11911" s="226">
        <v>2026</v>
      </c>
      <c r="B11911" s="226">
        <v>3</v>
      </c>
      <c r="C11911" s="226">
        <v>3</v>
      </c>
      <c r="D11911" s="232">
        <f t="shared" si="1311"/>
        <v>46084</v>
      </c>
      <c r="E11911" s="234">
        <f t="shared" si="1312"/>
        <v>46084</v>
      </c>
      <c r="F11911" s="479"/>
      <c r="G11911" s="227" t="s">
        <v>1111</v>
      </c>
      <c r="H11911" s="228"/>
      <c r="I11911" s="228"/>
      <c r="J11911" s="229" t="s">
        <v>55</v>
      </c>
      <c r="K11911" s="230"/>
      <c r="L11911" s="230">
        <f>K11910</f>
        <v>58</v>
      </c>
    </row>
    <row r="11912" spans="1:14" ht="11.25" customHeight="1" x14ac:dyDescent="0.2">
      <c r="A11912" s="221">
        <v>2026</v>
      </c>
      <c r="B11912" s="221">
        <v>3</v>
      </c>
      <c r="C11912" s="221">
        <v>3</v>
      </c>
      <c r="D11912" s="231">
        <f t="shared" si="1311"/>
        <v>46084</v>
      </c>
      <c r="E11912" s="233">
        <f t="shared" si="1312"/>
        <v>46084</v>
      </c>
      <c r="F11912" s="478" t="s">
        <v>1323</v>
      </c>
      <c r="G11912" s="222" t="s">
        <v>1111</v>
      </c>
      <c r="H11912" s="223"/>
      <c r="I11912" s="223"/>
      <c r="J11912" s="224" t="s">
        <v>55</v>
      </c>
      <c r="K11912" s="225">
        <v>6680</v>
      </c>
      <c r="L11912" s="225"/>
    </row>
    <row r="11913" spans="1:14" ht="11.25" customHeight="1" x14ac:dyDescent="0.2">
      <c r="A11913" s="164">
        <v>2026</v>
      </c>
      <c r="B11913" s="164">
        <v>3</v>
      </c>
      <c r="C11913" s="164">
        <v>3</v>
      </c>
      <c r="D11913" s="156">
        <f t="shared" si="1311"/>
        <v>46084</v>
      </c>
      <c r="E11913" s="235">
        <f t="shared" si="1312"/>
        <v>46084</v>
      </c>
      <c r="F11913" s="480"/>
      <c r="G11913" s="208" t="s">
        <v>1111</v>
      </c>
      <c r="J11913" s="165" t="s">
        <v>14</v>
      </c>
      <c r="K11913" s="205"/>
      <c r="L11913" s="205">
        <v>5000</v>
      </c>
    </row>
    <row r="11914" spans="1:14" ht="11.25" customHeight="1" x14ac:dyDescent="0.2">
      <c r="A11914" s="226">
        <v>2026</v>
      </c>
      <c r="B11914" s="226">
        <v>3</v>
      </c>
      <c r="C11914" s="226">
        <v>3</v>
      </c>
      <c r="D11914" s="232">
        <f t="shared" si="1311"/>
        <v>46084</v>
      </c>
      <c r="E11914" s="234">
        <f t="shared" si="1312"/>
        <v>46084</v>
      </c>
      <c r="F11914" s="479"/>
      <c r="G11914" s="227" t="s">
        <v>1111</v>
      </c>
      <c r="H11914" s="228"/>
      <c r="I11914" s="228"/>
      <c r="J11914" s="229" t="s">
        <v>1112</v>
      </c>
      <c r="K11914" s="230"/>
      <c r="L11914" s="230">
        <v>1680</v>
      </c>
      <c r="M11914" s="166"/>
    </row>
    <row r="11915" spans="1:14" ht="11.25" customHeight="1" x14ac:dyDescent="0.2">
      <c r="A11915" s="221">
        <v>2026</v>
      </c>
      <c r="B11915" s="221">
        <v>3</v>
      </c>
      <c r="C11915" s="221">
        <v>3</v>
      </c>
      <c r="D11915" s="221">
        <f t="shared" ref="D11915:D11937" si="1313">DATE(A11915,B11915,C11915)</f>
        <v>46084</v>
      </c>
      <c r="E11915" s="233">
        <f t="shared" ref="E11915:E11937" si="1314">DATE(A11915,B11915,C11915)</f>
        <v>46084</v>
      </c>
      <c r="F11915" s="478" t="s">
        <v>1937</v>
      </c>
      <c r="G11915" s="222" t="s">
        <v>86</v>
      </c>
      <c r="H11915" s="222"/>
      <c r="I11915" s="223"/>
      <c r="J11915" s="224" t="s">
        <v>80</v>
      </c>
      <c r="K11915" s="225">
        <v>8751292</v>
      </c>
      <c r="L11915" s="225"/>
      <c r="N11915" s="263"/>
    </row>
    <row r="11916" spans="1:14" ht="11.25" customHeight="1" x14ac:dyDescent="0.2">
      <c r="A11916" s="164">
        <v>2026</v>
      </c>
      <c r="B11916" s="164">
        <v>3</v>
      </c>
      <c r="C11916" s="164">
        <v>3</v>
      </c>
      <c r="D11916" s="164">
        <f t="shared" si="1313"/>
        <v>46084</v>
      </c>
      <c r="E11916" s="235">
        <f t="shared" si="1314"/>
        <v>46084</v>
      </c>
      <c r="F11916" s="480"/>
      <c r="G11916" s="208" t="s">
        <v>86</v>
      </c>
      <c r="H11916" s="208"/>
      <c r="J11916" s="165" t="s">
        <v>960</v>
      </c>
      <c r="K11916" s="205">
        <v>29220.33</v>
      </c>
      <c r="L11916" s="205"/>
      <c r="M11916" s="263"/>
      <c r="N11916" s="263"/>
    </row>
    <row r="11917" spans="1:14" ht="11.25" customHeight="1" x14ac:dyDescent="0.2">
      <c r="A11917" s="164">
        <v>2026</v>
      </c>
      <c r="B11917" s="164">
        <v>3</v>
      </c>
      <c r="C11917" s="164">
        <v>3</v>
      </c>
      <c r="D11917" s="164">
        <f t="shared" si="1313"/>
        <v>46084</v>
      </c>
      <c r="E11917" s="235">
        <f t="shared" si="1314"/>
        <v>46084</v>
      </c>
      <c r="F11917" s="480"/>
      <c r="G11917" s="208" t="s">
        <v>86</v>
      </c>
      <c r="H11917" s="208"/>
      <c r="J11917" s="165" t="s">
        <v>961</v>
      </c>
      <c r="K11917" s="263"/>
      <c r="L11917" s="205">
        <v>1298290.1299999999</v>
      </c>
      <c r="M11917" s="263"/>
      <c r="N11917" s="263"/>
    </row>
    <row r="11918" spans="1:14" ht="11.25" customHeight="1" x14ac:dyDescent="0.2">
      <c r="A11918" s="164">
        <v>2026</v>
      </c>
      <c r="B11918" s="164">
        <v>3</v>
      </c>
      <c r="C11918" s="164">
        <v>3</v>
      </c>
      <c r="D11918" s="164">
        <f t="shared" si="1313"/>
        <v>46084</v>
      </c>
      <c r="E11918" s="235">
        <f t="shared" si="1314"/>
        <v>46084</v>
      </c>
      <c r="F11918" s="480"/>
      <c r="G11918" s="208" t="s">
        <v>86</v>
      </c>
      <c r="H11918" s="208"/>
      <c r="J11918" s="165" t="s">
        <v>200</v>
      </c>
      <c r="K11918" s="205"/>
      <c r="L11918" s="205">
        <v>343109.1</v>
      </c>
      <c r="M11918" s="263"/>
      <c r="N11918" s="263"/>
    </row>
    <row r="11919" spans="1:14" ht="11.25" customHeight="1" x14ac:dyDescent="0.2">
      <c r="A11919" s="226">
        <v>2026</v>
      </c>
      <c r="B11919" s="226">
        <v>3</v>
      </c>
      <c r="C11919" s="226">
        <v>3</v>
      </c>
      <c r="D11919" s="226">
        <f t="shared" si="1313"/>
        <v>46084</v>
      </c>
      <c r="E11919" s="234">
        <f t="shared" si="1314"/>
        <v>46084</v>
      </c>
      <c r="F11919" s="479"/>
      <c r="G11919" s="227" t="s">
        <v>86</v>
      </c>
      <c r="H11919" s="228"/>
      <c r="I11919" s="228"/>
      <c r="J11919" s="229" t="s">
        <v>80</v>
      </c>
      <c r="K11919" s="230"/>
      <c r="L11919" s="230">
        <v>7139113.0999999996</v>
      </c>
      <c r="M11919" s="263"/>
      <c r="N11919" s="263"/>
    </row>
    <row r="11920" spans="1:14" ht="11.25" customHeight="1" x14ac:dyDescent="0.2">
      <c r="A11920" s="280">
        <v>2026</v>
      </c>
      <c r="B11920" s="280">
        <v>3</v>
      </c>
      <c r="C11920" s="280">
        <v>3</v>
      </c>
      <c r="D11920" s="281">
        <f t="shared" si="1313"/>
        <v>46084</v>
      </c>
      <c r="E11920" s="282">
        <f t="shared" si="1314"/>
        <v>46084</v>
      </c>
      <c r="F11920" s="472" t="s">
        <v>1584</v>
      </c>
      <c r="G11920" s="283" t="s">
        <v>86</v>
      </c>
      <c r="H11920" s="284"/>
      <c r="I11920" s="284"/>
      <c r="J11920" s="285" t="s">
        <v>131</v>
      </c>
      <c r="K11920" s="286">
        <v>1277.7777777777801</v>
      </c>
      <c r="L11920" s="286"/>
      <c r="M11920" s="401"/>
      <c r="N11920" s="166"/>
    </row>
    <row r="11921" spans="1:13" ht="11.25" customHeight="1" x14ac:dyDescent="0.2">
      <c r="A11921" s="287">
        <v>2026</v>
      </c>
      <c r="B11921" s="287">
        <v>3</v>
      </c>
      <c r="C11921" s="287">
        <v>3</v>
      </c>
      <c r="D11921" s="288">
        <f t="shared" si="1313"/>
        <v>46084</v>
      </c>
      <c r="E11921" s="289">
        <f t="shared" si="1314"/>
        <v>46084</v>
      </c>
      <c r="F11921" s="473"/>
      <c r="G11921" s="290" t="s">
        <v>86</v>
      </c>
      <c r="H11921" s="291"/>
      <c r="I11921" s="291"/>
      <c r="J11921" s="292" t="s">
        <v>1469</v>
      </c>
      <c r="K11921" s="293"/>
      <c r="L11921" s="293">
        <f>K11920</f>
        <v>1277.7777777777801</v>
      </c>
    </row>
    <row r="11922" spans="1:13" ht="11.25" customHeight="1" x14ac:dyDescent="0.2">
      <c r="A11922" s="280">
        <v>2026</v>
      </c>
      <c r="B11922" s="280">
        <v>3</v>
      </c>
      <c r="C11922" s="280">
        <v>3</v>
      </c>
      <c r="D11922" s="281">
        <f t="shared" si="1313"/>
        <v>46084</v>
      </c>
      <c r="E11922" s="282">
        <f t="shared" si="1314"/>
        <v>46084</v>
      </c>
      <c r="F11922" s="472" t="s">
        <v>1955</v>
      </c>
      <c r="G11922" s="283" t="s">
        <v>86</v>
      </c>
      <c r="H11922" s="284"/>
      <c r="I11922" s="284"/>
      <c r="J11922" s="285" t="s">
        <v>1978</v>
      </c>
      <c r="K11922" s="286">
        <v>6185.4395604395604</v>
      </c>
      <c r="L11922" s="286"/>
      <c r="M11922" s="401"/>
    </row>
    <row r="11923" spans="1:13" ht="11.25" customHeight="1" x14ac:dyDescent="0.2">
      <c r="A11923" s="287">
        <v>2026</v>
      </c>
      <c r="B11923" s="287">
        <v>3</v>
      </c>
      <c r="C11923" s="287">
        <v>3</v>
      </c>
      <c r="D11923" s="288">
        <f t="shared" si="1313"/>
        <v>46084</v>
      </c>
      <c r="E11923" s="289">
        <f t="shared" si="1314"/>
        <v>46084</v>
      </c>
      <c r="F11923" s="473"/>
      <c r="G11923" s="290" t="s">
        <v>86</v>
      </c>
      <c r="H11923" s="291"/>
      <c r="I11923" s="291"/>
      <c r="J11923" s="292" t="s">
        <v>1955</v>
      </c>
      <c r="K11923" s="293"/>
      <c r="L11923" s="293">
        <f>K11922</f>
        <v>6185.4395604395604</v>
      </c>
    </row>
    <row r="11924" spans="1:13" ht="11.25" customHeight="1" x14ac:dyDescent="0.2">
      <c r="A11924" s="341">
        <v>2026</v>
      </c>
      <c r="B11924" s="341">
        <v>3</v>
      </c>
      <c r="C11924" s="341">
        <v>3</v>
      </c>
      <c r="D11924" s="328">
        <f t="shared" si="1313"/>
        <v>46084</v>
      </c>
      <c r="E11924" s="329">
        <f t="shared" si="1314"/>
        <v>46084</v>
      </c>
      <c r="F11924" s="474" t="s">
        <v>1767</v>
      </c>
      <c r="G11924" s="330" t="s">
        <v>86</v>
      </c>
      <c r="H11924" s="332"/>
      <c r="I11924" s="332"/>
      <c r="J11924" s="342" t="s">
        <v>67</v>
      </c>
      <c r="K11924" s="343">
        <v>897.77168416666666</v>
      </c>
      <c r="L11924" s="343"/>
      <c r="M11924" s="166"/>
    </row>
    <row r="11925" spans="1:13" ht="11.25" customHeight="1" x14ac:dyDescent="0.2">
      <c r="A11925" s="344">
        <v>2026</v>
      </c>
      <c r="B11925" s="344">
        <v>3</v>
      </c>
      <c r="C11925" s="344">
        <v>3</v>
      </c>
      <c r="D11925" s="337">
        <f t="shared" si="1313"/>
        <v>46084</v>
      </c>
      <c r="E11925" s="338">
        <f t="shared" si="1314"/>
        <v>46084</v>
      </c>
      <c r="F11925" s="475"/>
      <c r="G11925" s="339" t="s">
        <v>86</v>
      </c>
      <c r="H11925" s="340"/>
      <c r="I11925" s="340"/>
      <c r="J11925" s="345" t="s">
        <v>1974</v>
      </c>
      <c r="K11925" s="346"/>
      <c r="L11925" s="346">
        <f>K11924</f>
        <v>897.77168416666666</v>
      </c>
    </row>
    <row r="11926" spans="1:13" ht="11.25" customHeight="1" x14ac:dyDescent="0.2">
      <c r="A11926" s="236">
        <v>2026</v>
      </c>
      <c r="B11926" s="236">
        <v>3</v>
      </c>
      <c r="C11926" s="236">
        <v>3</v>
      </c>
      <c r="D11926" s="237">
        <f t="shared" si="1313"/>
        <v>46084</v>
      </c>
      <c r="E11926" s="238">
        <f t="shared" si="1314"/>
        <v>46084</v>
      </c>
      <c r="F11926" s="476" t="s">
        <v>1118</v>
      </c>
      <c r="G11926" s="239" t="s">
        <v>86</v>
      </c>
      <c r="H11926" s="239"/>
      <c r="I11926" s="240"/>
      <c r="J11926" s="241" t="s">
        <v>82</v>
      </c>
      <c r="K11926" s="242">
        <v>11182192.99999994</v>
      </c>
      <c r="L11926" s="242"/>
      <c r="M11926" s="166"/>
    </row>
    <row r="11927" spans="1:13" ht="11.25" customHeight="1" x14ac:dyDescent="0.2">
      <c r="A11927" s="243">
        <v>2026</v>
      </c>
      <c r="B11927" s="243">
        <v>3</v>
      </c>
      <c r="C11927" s="243">
        <v>3</v>
      </c>
      <c r="D11927" s="248">
        <f t="shared" si="1313"/>
        <v>46084</v>
      </c>
      <c r="E11927" s="249">
        <f t="shared" si="1314"/>
        <v>46084</v>
      </c>
      <c r="F11927" s="477"/>
      <c r="G11927" s="244" t="s">
        <v>86</v>
      </c>
      <c r="H11927" s="244"/>
      <c r="I11927" s="245"/>
      <c r="J11927" s="246" t="s">
        <v>98</v>
      </c>
      <c r="K11927" s="247"/>
      <c r="L11927" s="247">
        <f>K11926</f>
        <v>11182192.99999994</v>
      </c>
    </row>
    <row r="11928" spans="1:13" ht="11.25" customHeight="1" x14ac:dyDescent="0.2">
      <c r="A11928" s="236">
        <v>2026</v>
      </c>
      <c r="B11928" s="236">
        <v>3</v>
      </c>
      <c r="C11928" s="236">
        <v>3</v>
      </c>
      <c r="D11928" s="237">
        <f t="shared" si="1313"/>
        <v>46084</v>
      </c>
      <c r="E11928" s="238">
        <f t="shared" si="1314"/>
        <v>46084</v>
      </c>
      <c r="F11928" s="476" t="s">
        <v>1999</v>
      </c>
      <c r="G11928" s="239" t="s">
        <v>86</v>
      </c>
      <c r="H11928" s="239"/>
      <c r="I11928" s="240"/>
      <c r="J11928" s="241" t="s">
        <v>87</v>
      </c>
      <c r="K11928" s="242">
        <v>392.46467817896399</v>
      </c>
      <c r="L11928" s="242"/>
      <c r="M11928" s="401"/>
    </row>
    <row r="11929" spans="1:13" ht="11.25" customHeight="1" x14ac:dyDescent="0.2">
      <c r="A11929" s="243">
        <v>2026</v>
      </c>
      <c r="B11929" s="243">
        <v>3</v>
      </c>
      <c r="C11929" s="243">
        <v>3</v>
      </c>
      <c r="D11929" s="248">
        <f t="shared" si="1313"/>
        <v>46084</v>
      </c>
      <c r="E11929" s="249">
        <f t="shared" si="1314"/>
        <v>46084</v>
      </c>
      <c r="F11929" s="477"/>
      <c r="G11929" s="244" t="s">
        <v>86</v>
      </c>
      <c r="H11929" s="244"/>
      <c r="I11929" s="245"/>
      <c r="J11929" s="246" t="s">
        <v>64</v>
      </c>
      <c r="K11929" s="247"/>
      <c r="L11929" s="247">
        <f>K11928</f>
        <v>392.46467817896399</v>
      </c>
    </row>
    <row r="11930" spans="1:13" ht="11.25" customHeight="1" x14ac:dyDescent="0.2">
      <c r="A11930" s="236">
        <v>2026</v>
      </c>
      <c r="B11930" s="236">
        <v>3</v>
      </c>
      <c r="C11930" s="236">
        <v>3</v>
      </c>
      <c r="D11930" s="237">
        <f t="shared" si="1313"/>
        <v>46084</v>
      </c>
      <c r="E11930" s="238">
        <f t="shared" si="1314"/>
        <v>46084</v>
      </c>
      <c r="F11930" s="476" t="s">
        <v>2000</v>
      </c>
      <c r="G11930" s="239" t="s">
        <v>86</v>
      </c>
      <c r="H11930" s="239"/>
      <c r="I11930" s="240"/>
      <c r="J11930" s="241" t="s">
        <v>89</v>
      </c>
      <c r="K11930" s="242">
        <v>14943.595682281213</v>
      </c>
      <c r="L11930" s="242"/>
      <c r="M11930" s="448"/>
    </row>
    <row r="11931" spans="1:13" ht="11.25" customHeight="1" x14ac:dyDescent="0.2">
      <c r="A11931" s="243">
        <v>2026</v>
      </c>
      <c r="B11931" s="243">
        <v>3</v>
      </c>
      <c r="C11931" s="243">
        <v>3</v>
      </c>
      <c r="D11931" s="248">
        <f t="shared" si="1313"/>
        <v>46084</v>
      </c>
      <c r="E11931" s="249">
        <f t="shared" si="1314"/>
        <v>46084</v>
      </c>
      <c r="F11931" s="477"/>
      <c r="G11931" s="244" t="s">
        <v>86</v>
      </c>
      <c r="H11931" s="244"/>
      <c r="I11931" s="245"/>
      <c r="J11931" s="246" t="s">
        <v>50</v>
      </c>
      <c r="K11931" s="247"/>
      <c r="L11931" s="247">
        <f>K11930</f>
        <v>14943.595682281213</v>
      </c>
      <c r="M11931" s="448"/>
    </row>
    <row r="11932" spans="1:13" ht="11.25" customHeight="1" x14ac:dyDescent="0.2">
      <c r="A11932" s="236">
        <v>2026</v>
      </c>
      <c r="B11932" s="236">
        <v>3</v>
      </c>
      <c r="C11932" s="236">
        <v>3</v>
      </c>
      <c r="D11932" s="237">
        <f t="shared" si="1313"/>
        <v>46084</v>
      </c>
      <c r="E11932" s="238">
        <f t="shared" si="1314"/>
        <v>46084</v>
      </c>
      <c r="F11932" s="476" t="s">
        <v>2001</v>
      </c>
      <c r="G11932" s="239" t="s">
        <v>86</v>
      </c>
      <c r="H11932" s="239"/>
      <c r="I11932" s="240"/>
      <c r="J11932" s="241" t="s">
        <v>91</v>
      </c>
      <c r="K11932" s="242">
        <v>722.26710941235478</v>
      </c>
      <c r="L11932" s="242"/>
    </row>
    <row r="11933" spans="1:13" ht="11.25" customHeight="1" x14ac:dyDescent="0.2">
      <c r="A11933" s="243">
        <v>2026</v>
      </c>
      <c r="B11933" s="243">
        <v>3</v>
      </c>
      <c r="C11933" s="243">
        <v>3</v>
      </c>
      <c r="D11933" s="248">
        <f t="shared" si="1313"/>
        <v>46084</v>
      </c>
      <c r="E11933" s="249">
        <f t="shared" si="1314"/>
        <v>46084</v>
      </c>
      <c r="F11933" s="477"/>
      <c r="G11933" s="244" t="s">
        <v>86</v>
      </c>
      <c r="H11933" s="244"/>
      <c r="I11933" s="245"/>
      <c r="J11933" s="246" t="s">
        <v>51</v>
      </c>
      <c r="K11933" s="247"/>
      <c r="L11933" s="247">
        <f>K11932</f>
        <v>722.26710941235478</v>
      </c>
    </row>
    <row r="11934" spans="1:13" ht="11.25" customHeight="1" x14ac:dyDescent="0.2">
      <c r="A11934" s="221">
        <v>2026</v>
      </c>
      <c r="B11934" s="221">
        <v>3</v>
      </c>
      <c r="C11934" s="221">
        <v>4</v>
      </c>
      <c r="D11934" s="231">
        <f t="shared" si="1313"/>
        <v>46085</v>
      </c>
      <c r="E11934" s="233">
        <f t="shared" si="1314"/>
        <v>46085</v>
      </c>
      <c r="F11934" s="478" t="s">
        <v>1987</v>
      </c>
      <c r="G11934" s="222" t="s">
        <v>1111</v>
      </c>
      <c r="H11934" s="223"/>
      <c r="I11934" s="223"/>
      <c r="J11934" s="224" t="s">
        <v>961</v>
      </c>
      <c r="K11934" s="225">
        <v>1298290.1299999999</v>
      </c>
      <c r="L11934" s="225"/>
    </row>
    <row r="11935" spans="1:13" ht="11.25" customHeight="1" x14ac:dyDescent="0.2">
      <c r="A11935" s="226">
        <v>2026</v>
      </c>
      <c r="B11935" s="226">
        <v>3</v>
      </c>
      <c r="C11935" s="226">
        <v>4</v>
      </c>
      <c r="D11935" s="232">
        <f t="shared" si="1313"/>
        <v>46085</v>
      </c>
      <c r="E11935" s="234">
        <f t="shared" si="1314"/>
        <v>46085</v>
      </c>
      <c r="F11935" s="479"/>
      <c r="G11935" s="227" t="s">
        <v>1111</v>
      </c>
      <c r="H11935" s="228"/>
      <c r="I11935" s="228"/>
      <c r="J11935" s="229" t="s">
        <v>55</v>
      </c>
      <c r="K11935" s="230"/>
      <c r="L11935" s="230">
        <f>K11934</f>
        <v>1298290.1299999999</v>
      </c>
    </row>
    <row r="11936" spans="1:13" ht="11.25" customHeight="1" x14ac:dyDescent="0.2">
      <c r="A11936" s="221">
        <v>2026</v>
      </c>
      <c r="B11936" s="221">
        <v>3</v>
      </c>
      <c r="C11936" s="221">
        <v>4</v>
      </c>
      <c r="D11936" s="231">
        <f t="shared" si="1313"/>
        <v>46085</v>
      </c>
      <c r="E11936" s="233">
        <f t="shared" si="1314"/>
        <v>46085</v>
      </c>
      <c r="F11936" s="478" t="s">
        <v>1670</v>
      </c>
      <c r="G11936" s="222" t="s">
        <v>1111</v>
      </c>
      <c r="H11936" s="223"/>
      <c r="I11936" s="223"/>
      <c r="J11936" s="224" t="s">
        <v>63</v>
      </c>
      <c r="K11936" s="225">
        <v>100</v>
      </c>
      <c r="L11936" s="225"/>
    </row>
    <row r="11937" spans="1:14" ht="11.25" customHeight="1" x14ac:dyDescent="0.2">
      <c r="A11937" s="226">
        <v>2026</v>
      </c>
      <c r="B11937" s="226">
        <v>3</v>
      </c>
      <c r="C11937" s="226">
        <v>4</v>
      </c>
      <c r="D11937" s="232">
        <f t="shared" si="1313"/>
        <v>46085</v>
      </c>
      <c r="E11937" s="234">
        <f t="shared" si="1314"/>
        <v>46085</v>
      </c>
      <c r="F11937" s="479"/>
      <c r="G11937" s="227" t="s">
        <v>1111</v>
      </c>
      <c r="H11937" s="228"/>
      <c r="I11937" s="228"/>
      <c r="J11937" s="229" t="s">
        <v>55</v>
      </c>
      <c r="K11937" s="230"/>
      <c r="L11937" s="230">
        <f>K11936</f>
        <v>100</v>
      </c>
    </row>
    <row r="11938" spans="1:14" ht="11.25" customHeight="1" x14ac:dyDescent="0.2">
      <c r="A11938" s="221">
        <v>2026</v>
      </c>
      <c r="B11938" s="221">
        <v>3</v>
      </c>
      <c r="C11938" s="221">
        <v>4</v>
      </c>
      <c r="D11938" s="221">
        <f t="shared" ref="D11938:D11944" si="1315">DATE(A11938,B11938,C11938)</f>
        <v>46085</v>
      </c>
      <c r="E11938" s="233">
        <f t="shared" ref="E11938:E11944" si="1316">DATE(A11938,B11938,C11938)</f>
        <v>46085</v>
      </c>
      <c r="F11938" s="478" t="s">
        <v>1937</v>
      </c>
      <c r="G11938" s="222" t="s">
        <v>86</v>
      </c>
      <c r="H11938" s="222"/>
      <c r="I11938" s="223"/>
      <c r="J11938" s="224" t="s">
        <v>80</v>
      </c>
      <c r="K11938" s="225">
        <v>4974016</v>
      </c>
      <c r="L11938" s="225"/>
      <c r="N11938" s="263"/>
    </row>
    <row r="11939" spans="1:14" ht="11.25" customHeight="1" x14ac:dyDescent="0.2">
      <c r="A11939" s="164">
        <v>2026</v>
      </c>
      <c r="B11939" s="164">
        <v>3</v>
      </c>
      <c r="C11939" s="164">
        <v>4</v>
      </c>
      <c r="D11939" s="164">
        <f t="shared" si="1315"/>
        <v>46085</v>
      </c>
      <c r="E11939" s="235">
        <f t="shared" si="1316"/>
        <v>46085</v>
      </c>
      <c r="F11939" s="480"/>
      <c r="G11939" s="208" t="s">
        <v>86</v>
      </c>
      <c r="H11939" s="208"/>
      <c r="J11939" s="165" t="s">
        <v>960</v>
      </c>
      <c r="K11939" s="205">
        <v>17035.36</v>
      </c>
      <c r="L11939" s="205"/>
      <c r="M11939" s="263"/>
      <c r="N11939" s="263"/>
    </row>
    <row r="11940" spans="1:14" ht="11.25" customHeight="1" x14ac:dyDescent="0.2">
      <c r="A11940" s="164">
        <v>2026</v>
      </c>
      <c r="B11940" s="164">
        <v>3</v>
      </c>
      <c r="C11940" s="164">
        <v>4</v>
      </c>
      <c r="D11940" s="164">
        <f t="shared" si="1315"/>
        <v>46085</v>
      </c>
      <c r="E11940" s="235">
        <f t="shared" si="1316"/>
        <v>46085</v>
      </c>
      <c r="F11940" s="480"/>
      <c r="G11940" s="208" t="s">
        <v>86</v>
      </c>
      <c r="H11940" s="208"/>
      <c r="J11940" s="165" t="s">
        <v>961</v>
      </c>
      <c r="K11940" s="263"/>
      <c r="L11940" s="205">
        <v>500975.96</v>
      </c>
      <c r="M11940" s="263"/>
      <c r="N11940" s="263"/>
    </row>
    <row r="11941" spans="1:14" ht="11.25" customHeight="1" x14ac:dyDescent="0.2">
      <c r="A11941" s="164">
        <v>2026</v>
      </c>
      <c r="B11941" s="164">
        <v>3</v>
      </c>
      <c r="C11941" s="164">
        <v>4</v>
      </c>
      <c r="D11941" s="164">
        <f t="shared" si="1315"/>
        <v>46085</v>
      </c>
      <c r="E11941" s="235">
        <f t="shared" si="1316"/>
        <v>46085</v>
      </c>
      <c r="F11941" s="480"/>
      <c r="G11941" s="208" t="s">
        <v>86</v>
      </c>
      <c r="H11941" s="208"/>
      <c r="J11941" s="165" t="s">
        <v>200</v>
      </c>
      <c r="K11941" s="205"/>
      <c r="L11941" s="205">
        <v>239308.82</v>
      </c>
      <c r="M11941" s="263"/>
      <c r="N11941" s="263"/>
    </row>
    <row r="11942" spans="1:14" ht="11.25" customHeight="1" x14ac:dyDescent="0.2">
      <c r="A11942" s="226">
        <v>2026</v>
      </c>
      <c r="B11942" s="226">
        <v>3</v>
      </c>
      <c r="C11942" s="226">
        <v>4</v>
      </c>
      <c r="D11942" s="226">
        <f t="shared" si="1315"/>
        <v>46085</v>
      </c>
      <c r="E11942" s="234">
        <f t="shared" si="1316"/>
        <v>46085</v>
      </c>
      <c r="F11942" s="479"/>
      <c r="G11942" s="227" t="s">
        <v>86</v>
      </c>
      <c r="H11942" s="228"/>
      <c r="I11942" s="228"/>
      <c r="J11942" s="229" t="s">
        <v>80</v>
      </c>
      <c r="K11942" s="230"/>
      <c r="L11942" s="230">
        <v>4250766.58</v>
      </c>
      <c r="M11942" s="263"/>
      <c r="N11942" s="263"/>
    </row>
    <row r="11943" spans="1:14" ht="11.25" customHeight="1" x14ac:dyDescent="0.2">
      <c r="A11943" s="221">
        <v>2026</v>
      </c>
      <c r="B11943" s="221">
        <v>3</v>
      </c>
      <c r="C11943" s="221">
        <v>4</v>
      </c>
      <c r="D11943" s="231">
        <f t="shared" si="1315"/>
        <v>46085</v>
      </c>
      <c r="E11943" s="233">
        <f t="shared" si="1316"/>
        <v>46085</v>
      </c>
      <c r="F11943" s="478" t="s">
        <v>1993</v>
      </c>
      <c r="G11943" s="222" t="s">
        <v>1111</v>
      </c>
      <c r="H11943" s="223"/>
      <c r="I11943" s="223"/>
      <c r="J11943" s="224" t="s">
        <v>55</v>
      </c>
      <c r="K11943" s="225">
        <v>181523.35</v>
      </c>
      <c r="L11943" s="225"/>
    </row>
    <row r="11944" spans="1:14" ht="11.25" customHeight="1" x14ac:dyDescent="0.2">
      <c r="A11944" s="226">
        <v>2026</v>
      </c>
      <c r="B11944" s="226">
        <v>3</v>
      </c>
      <c r="C11944" s="226">
        <v>4</v>
      </c>
      <c r="D11944" s="232">
        <f t="shared" si="1315"/>
        <v>46085</v>
      </c>
      <c r="E11944" s="234">
        <f t="shared" si="1316"/>
        <v>46085</v>
      </c>
      <c r="F11944" s="479"/>
      <c r="G11944" s="227" t="s">
        <v>1111</v>
      </c>
      <c r="H11944" s="228"/>
      <c r="I11944" s="228"/>
      <c r="J11944" s="229" t="s">
        <v>199</v>
      </c>
      <c r="K11944" s="230"/>
      <c r="L11944" s="230">
        <f>K11943</f>
        <v>181523.35</v>
      </c>
    </row>
    <row r="11945" spans="1:14" ht="11.25" customHeight="1" x14ac:dyDescent="0.2">
      <c r="A11945" s="280">
        <v>2026</v>
      </c>
      <c r="B11945" s="280">
        <v>3</v>
      </c>
      <c r="C11945" s="280">
        <v>4</v>
      </c>
      <c r="D11945" s="281">
        <f t="shared" ref="D11945:D11975" si="1317">DATE(A11945,B11945,C11945)</f>
        <v>46085</v>
      </c>
      <c r="E11945" s="282">
        <f t="shared" ref="E11945:E11975" si="1318">DATE(A11945,B11945,C11945)</f>
        <v>46085</v>
      </c>
      <c r="F11945" s="472" t="s">
        <v>1584</v>
      </c>
      <c r="G11945" s="283" t="s">
        <v>86</v>
      </c>
      <c r="H11945" s="284"/>
      <c r="I11945" s="284"/>
      <c r="J11945" s="285" t="s">
        <v>131</v>
      </c>
      <c r="K11945" s="286">
        <v>1277.7777777777801</v>
      </c>
      <c r="L11945" s="286"/>
      <c r="M11945" s="401"/>
      <c r="N11945" s="166"/>
    </row>
    <row r="11946" spans="1:14" ht="11.25" customHeight="1" x14ac:dyDescent="0.2">
      <c r="A11946" s="287">
        <v>2026</v>
      </c>
      <c r="B11946" s="287">
        <v>3</v>
      </c>
      <c r="C11946" s="287">
        <v>4</v>
      </c>
      <c r="D11946" s="288">
        <f t="shared" si="1317"/>
        <v>46085</v>
      </c>
      <c r="E11946" s="289">
        <f t="shared" si="1318"/>
        <v>46085</v>
      </c>
      <c r="F11946" s="473"/>
      <c r="G11946" s="290" t="s">
        <v>86</v>
      </c>
      <c r="H11946" s="291"/>
      <c r="I11946" s="291"/>
      <c r="J11946" s="292" t="s">
        <v>1469</v>
      </c>
      <c r="K11946" s="293"/>
      <c r="L11946" s="293">
        <f>K11945</f>
        <v>1277.7777777777801</v>
      </c>
    </row>
    <row r="11947" spans="1:14" ht="11.25" customHeight="1" x14ac:dyDescent="0.2">
      <c r="A11947" s="280">
        <v>2026</v>
      </c>
      <c r="B11947" s="280">
        <v>3</v>
      </c>
      <c r="C11947" s="280">
        <v>4</v>
      </c>
      <c r="D11947" s="281">
        <f t="shared" si="1317"/>
        <v>46085</v>
      </c>
      <c r="E11947" s="282">
        <f t="shared" si="1318"/>
        <v>46085</v>
      </c>
      <c r="F11947" s="472" t="s">
        <v>1955</v>
      </c>
      <c r="G11947" s="283" t="s">
        <v>86</v>
      </c>
      <c r="H11947" s="284"/>
      <c r="I11947" s="284"/>
      <c r="J11947" s="285" t="s">
        <v>1978</v>
      </c>
      <c r="K11947" s="286">
        <v>6185.4395604395604</v>
      </c>
      <c r="L11947" s="286"/>
      <c r="M11947" s="401"/>
    </row>
    <row r="11948" spans="1:14" ht="11.25" customHeight="1" x14ac:dyDescent="0.2">
      <c r="A11948" s="287">
        <v>2026</v>
      </c>
      <c r="B11948" s="287">
        <v>3</v>
      </c>
      <c r="C11948" s="287">
        <v>4</v>
      </c>
      <c r="D11948" s="288">
        <f t="shared" si="1317"/>
        <v>46085</v>
      </c>
      <c r="E11948" s="289">
        <f t="shared" si="1318"/>
        <v>46085</v>
      </c>
      <c r="F11948" s="473"/>
      <c r="G11948" s="290" t="s">
        <v>86</v>
      </c>
      <c r="H11948" s="291"/>
      <c r="I11948" s="291"/>
      <c r="J11948" s="292" t="s">
        <v>1955</v>
      </c>
      <c r="K11948" s="293"/>
      <c r="L11948" s="293">
        <f>K11947</f>
        <v>6185.4395604395604</v>
      </c>
    </row>
    <row r="11949" spans="1:14" ht="11.25" customHeight="1" x14ac:dyDescent="0.2">
      <c r="A11949" s="341">
        <v>2026</v>
      </c>
      <c r="B11949" s="341">
        <v>3</v>
      </c>
      <c r="C11949" s="341">
        <v>4</v>
      </c>
      <c r="D11949" s="328">
        <f t="shared" si="1317"/>
        <v>46085</v>
      </c>
      <c r="E11949" s="329">
        <f t="shared" si="1318"/>
        <v>46085</v>
      </c>
      <c r="F11949" s="474" t="s">
        <v>1767</v>
      </c>
      <c r="G11949" s="330" t="s">
        <v>86</v>
      </c>
      <c r="H11949" s="332"/>
      <c r="I11949" s="332"/>
      <c r="J11949" s="342" t="s">
        <v>67</v>
      </c>
      <c r="K11949" s="343">
        <v>809.32003624999993</v>
      </c>
      <c r="L11949" s="343"/>
      <c r="M11949" s="166"/>
    </row>
    <row r="11950" spans="1:14" ht="11.25" customHeight="1" x14ac:dyDescent="0.2">
      <c r="A11950" s="344">
        <v>2026</v>
      </c>
      <c r="B11950" s="344">
        <v>3</v>
      </c>
      <c r="C11950" s="344">
        <v>4</v>
      </c>
      <c r="D11950" s="337">
        <f t="shared" si="1317"/>
        <v>46085</v>
      </c>
      <c r="E11950" s="338">
        <f t="shared" si="1318"/>
        <v>46085</v>
      </c>
      <c r="F11950" s="475"/>
      <c r="G11950" s="339" t="s">
        <v>86</v>
      </c>
      <c r="H11950" s="340"/>
      <c r="I11950" s="340"/>
      <c r="J11950" s="345" t="s">
        <v>1974</v>
      </c>
      <c r="K11950" s="346"/>
      <c r="L11950" s="346">
        <f>K11949</f>
        <v>809.32003624999993</v>
      </c>
    </row>
    <row r="11951" spans="1:14" ht="11.25" customHeight="1" x14ac:dyDescent="0.2">
      <c r="A11951" s="236">
        <v>2026</v>
      </c>
      <c r="B11951" s="236">
        <v>3</v>
      </c>
      <c r="C11951" s="236">
        <v>4</v>
      </c>
      <c r="D11951" s="237">
        <f t="shared" si="1317"/>
        <v>46085</v>
      </c>
      <c r="E11951" s="238">
        <f t="shared" si="1318"/>
        <v>46085</v>
      </c>
      <c r="F11951" s="476" t="s">
        <v>1118</v>
      </c>
      <c r="G11951" s="239" t="s">
        <v>86</v>
      </c>
      <c r="H11951" s="239"/>
      <c r="I11951" s="240"/>
      <c r="J11951" s="241" t="s">
        <v>98</v>
      </c>
      <c r="K11951" s="242">
        <v>605428.53999996185</v>
      </c>
      <c r="L11951" s="242"/>
      <c r="M11951" s="166"/>
    </row>
    <row r="11952" spans="1:14" ht="11.25" customHeight="1" x14ac:dyDescent="0.2">
      <c r="A11952" s="243">
        <v>2026</v>
      </c>
      <c r="B11952" s="243">
        <v>3</v>
      </c>
      <c r="C11952" s="243">
        <v>4</v>
      </c>
      <c r="D11952" s="248">
        <f t="shared" si="1317"/>
        <v>46085</v>
      </c>
      <c r="E11952" s="249">
        <f t="shared" si="1318"/>
        <v>46085</v>
      </c>
      <c r="F11952" s="477"/>
      <c r="G11952" s="244" t="s">
        <v>86</v>
      </c>
      <c r="H11952" s="244"/>
      <c r="I11952" s="245"/>
      <c r="J11952" s="246" t="s">
        <v>82</v>
      </c>
      <c r="K11952" s="247"/>
      <c r="L11952" s="247">
        <f>K11951</f>
        <v>605428.53999996185</v>
      </c>
    </row>
    <row r="11953" spans="1:14" ht="11.25" customHeight="1" x14ac:dyDescent="0.2">
      <c r="A11953" s="236">
        <v>2026</v>
      </c>
      <c r="B11953" s="236">
        <v>3</v>
      </c>
      <c r="C11953" s="236">
        <v>4</v>
      </c>
      <c r="D11953" s="237">
        <f t="shared" si="1317"/>
        <v>46085</v>
      </c>
      <c r="E11953" s="238">
        <f t="shared" si="1318"/>
        <v>46085</v>
      </c>
      <c r="F11953" s="476" t="s">
        <v>1999</v>
      </c>
      <c r="G11953" s="239" t="s">
        <v>86</v>
      </c>
      <c r="H11953" s="239"/>
      <c r="I11953" s="240"/>
      <c r="J11953" s="241" t="s">
        <v>87</v>
      </c>
      <c r="K11953" s="242">
        <v>392.46467817896399</v>
      </c>
      <c r="L11953" s="242"/>
      <c r="M11953" s="401"/>
    </row>
    <row r="11954" spans="1:14" ht="11.25" customHeight="1" x14ac:dyDescent="0.2">
      <c r="A11954" s="243">
        <v>2026</v>
      </c>
      <c r="B11954" s="243">
        <v>3</v>
      </c>
      <c r="C11954" s="243">
        <v>4</v>
      </c>
      <c r="D11954" s="248">
        <f t="shared" si="1317"/>
        <v>46085</v>
      </c>
      <c r="E11954" s="249">
        <f t="shared" si="1318"/>
        <v>46085</v>
      </c>
      <c r="F11954" s="477"/>
      <c r="G11954" s="244" t="s">
        <v>86</v>
      </c>
      <c r="H11954" s="244"/>
      <c r="I11954" s="245"/>
      <c r="J11954" s="246" t="s">
        <v>64</v>
      </c>
      <c r="K11954" s="247"/>
      <c r="L11954" s="247">
        <f>K11953</f>
        <v>392.46467817896399</v>
      </c>
    </row>
    <row r="11955" spans="1:14" ht="11.25" customHeight="1" x14ac:dyDescent="0.2">
      <c r="A11955" s="236">
        <v>2026</v>
      </c>
      <c r="B11955" s="236">
        <v>3</v>
      </c>
      <c r="C11955" s="236">
        <v>4</v>
      </c>
      <c r="D11955" s="237">
        <f t="shared" si="1317"/>
        <v>46085</v>
      </c>
      <c r="E11955" s="238">
        <f t="shared" si="1318"/>
        <v>46085</v>
      </c>
      <c r="F11955" s="476" t="s">
        <v>2000</v>
      </c>
      <c r="G11955" s="239" t="s">
        <v>86</v>
      </c>
      <c r="H11955" s="239"/>
      <c r="I11955" s="240"/>
      <c r="J11955" s="241" t="s">
        <v>89</v>
      </c>
      <c r="K11955" s="242">
        <v>14977.275585854944</v>
      </c>
      <c r="L11955" s="242"/>
      <c r="M11955" s="448"/>
    </row>
    <row r="11956" spans="1:14" ht="11.25" customHeight="1" x14ac:dyDescent="0.2">
      <c r="A11956" s="243">
        <v>2026</v>
      </c>
      <c r="B11956" s="243">
        <v>3</v>
      </c>
      <c r="C11956" s="243">
        <v>4</v>
      </c>
      <c r="D11956" s="248">
        <f t="shared" si="1317"/>
        <v>46085</v>
      </c>
      <c r="E11956" s="249">
        <f t="shared" si="1318"/>
        <v>46085</v>
      </c>
      <c r="F11956" s="477"/>
      <c r="G11956" s="244" t="s">
        <v>86</v>
      </c>
      <c r="H11956" s="244"/>
      <c r="I11956" s="245"/>
      <c r="J11956" s="246" t="s">
        <v>50</v>
      </c>
      <c r="K11956" s="247"/>
      <c r="L11956" s="247">
        <f>K11955</f>
        <v>14977.275585854944</v>
      </c>
      <c r="M11956" s="448"/>
    </row>
    <row r="11957" spans="1:14" ht="11.25" customHeight="1" x14ac:dyDescent="0.2">
      <c r="A11957" s="236">
        <v>2026</v>
      </c>
      <c r="B11957" s="236">
        <v>3</v>
      </c>
      <c r="C11957" s="236">
        <v>4</v>
      </c>
      <c r="D11957" s="237">
        <f t="shared" si="1317"/>
        <v>46085</v>
      </c>
      <c r="E11957" s="238">
        <f t="shared" si="1318"/>
        <v>46085</v>
      </c>
      <c r="F11957" s="476" t="s">
        <v>2001</v>
      </c>
      <c r="G11957" s="239" t="s">
        <v>86</v>
      </c>
      <c r="H11957" s="239"/>
      <c r="I11957" s="240"/>
      <c r="J11957" s="241" t="s">
        <v>91</v>
      </c>
      <c r="K11957" s="242">
        <v>724.51243631727016</v>
      </c>
      <c r="L11957" s="242"/>
    </row>
    <row r="11958" spans="1:14" ht="11.25" customHeight="1" x14ac:dyDescent="0.2">
      <c r="A11958" s="243">
        <v>2026</v>
      </c>
      <c r="B11958" s="243">
        <v>3</v>
      </c>
      <c r="C11958" s="243">
        <v>4</v>
      </c>
      <c r="D11958" s="248">
        <f t="shared" si="1317"/>
        <v>46085</v>
      </c>
      <c r="E11958" s="249">
        <f t="shared" si="1318"/>
        <v>46085</v>
      </c>
      <c r="F11958" s="477"/>
      <c r="G11958" s="244" t="s">
        <v>86</v>
      </c>
      <c r="H11958" s="244"/>
      <c r="I11958" s="245"/>
      <c r="J11958" s="246" t="s">
        <v>51</v>
      </c>
      <c r="K11958" s="247"/>
      <c r="L11958" s="247">
        <f>K11957</f>
        <v>724.51243631727016</v>
      </c>
    </row>
    <row r="11959" spans="1:14" ht="11.25" customHeight="1" x14ac:dyDescent="0.2">
      <c r="A11959" s="221">
        <v>2026</v>
      </c>
      <c r="B11959" s="221">
        <v>3</v>
      </c>
      <c r="C11959" s="221">
        <v>5</v>
      </c>
      <c r="D11959" s="231">
        <f t="shared" si="1317"/>
        <v>46086</v>
      </c>
      <c r="E11959" s="233">
        <f t="shared" si="1318"/>
        <v>46086</v>
      </c>
      <c r="F11959" s="478" t="s">
        <v>1115</v>
      </c>
      <c r="G11959" s="222" t="s">
        <v>1111</v>
      </c>
      <c r="H11959" s="223"/>
      <c r="I11959" s="223"/>
      <c r="J11959" s="224" t="s">
        <v>14</v>
      </c>
      <c r="K11959" s="167">
        <v>552150</v>
      </c>
      <c r="L11959" s="225"/>
    </row>
    <row r="11960" spans="1:14" ht="11.25" customHeight="1" x14ac:dyDescent="0.2">
      <c r="A11960" s="164">
        <v>2026</v>
      </c>
      <c r="B11960" s="164">
        <v>3</v>
      </c>
      <c r="C11960" s="164">
        <v>5</v>
      </c>
      <c r="D11960" s="156">
        <f t="shared" si="1317"/>
        <v>46086</v>
      </c>
      <c r="E11960" s="235">
        <f t="shared" si="1318"/>
        <v>46086</v>
      </c>
      <c r="F11960" s="480"/>
      <c r="G11960" s="208" t="s">
        <v>1111</v>
      </c>
      <c r="J11960" s="165" t="s">
        <v>1112</v>
      </c>
      <c r="K11960" s="167">
        <v>183203.37</v>
      </c>
      <c r="L11960" s="205"/>
    </row>
    <row r="11961" spans="1:14" ht="11.25" customHeight="1" x14ac:dyDescent="0.2">
      <c r="A11961" s="226">
        <v>2026</v>
      </c>
      <c r="B11961" s="226">
        <v>3</v>
      </c>
      <c r="C11961" s="226">
        <v>5</v>
      </c>
      <c r="D11961" s="232">
        <f t="shared" si="1317"/>
        <v>46086</v>
      </c>
      <c r="E11961" s="234">
        <f t="shared" si="1318"/>
        <v>46086</v>
      </c>
      <c r="F11961" s="479"/>
      <c r="G11961" s="227" t="s">
        <v>1111</v>
      </c>
      <c r="H11961" s="228"/>
      <c r="I11961" s="228"/>
      <c r="J11961" s="229" t="s">
        <v>55</v>
      </c>
      <c r="K11961" s="230"/>
      <c r="L11961" s="230">
        <v>735353.37</v>
      </c>
    </row>
    <row r="11962" spans="1:14" ht="11.25" customHeight="1" x14ac:dyDescent="0.2">
      <c r="A11962" s="221">
        <v>2026</v>
      </c>
      <c r="B11962" s="221">
        <v>3</v>
      </c>
      <c r="C11962" s="221">
        <v>5</v>
      </c>
      <c r="D11962" s="231">
        <f t="shared" si="1317"/>
        <v>46086</v>
      </c>
      <c r="E11962" s="233">
        <f t="shared" si="1318"/>
        <v>46086</v>
      </c>
      <c r="F11962" s="478" t="s">
        <v>1987</v>
      </c>
      <c r="G11962" s="222" t="s">
        <v>1111</v>
      </c>
      <c r="H11962" s="223"/>
      <c r="I11962" s="223"/>
      <c r="J11962" s="224" t="s">
        <v>961</v>
      </c>
      <c r="K11962" s="225">
        <v>500975.96</v>
      </c>
      <c r="L11962" s="225"/>
    </row>
    <row r="11963" spans="1:14" ht="11.25" customHeight="1" x14ac:dyDescent="0.2">
      <c r="A11963" s="226">
        <v>2026</v>
      </c>
      <c r="B11963" s="226">
        <v>3</v>
      </c>
      <c r="C11963" s="226">
        <v>5</v>
      </c>
      <c r="D11963" s="232">
        <f t="shared" si="1317"/>
        <v>46086</v>
      </c>
      <c r="E11963" s="234">
        <f t="shared" si="1318"/>
        <v>46086</v>
      </c>
      <c r="F11963" s="479"/>
      <c r="G11963" s="227" t="s">
        <v>1111</v>
      </c>
      <c r="H11963" s="228"/>
      <c r="I11963" s="228"/>
      <c r="J11963" s="229" t="s">
        <v>55</v>
      </c>
      <c r="K11963" s="230"/>
      <c r="L11963" s="230">
        <f>K11962</f>
        <v>500975.96</v>
      </c>
    </row>
    <row r="11964" spans="1:14" ht="11.25" customHeight="1" x14ac:dyDescent="0.2">
      <c r="A11964" s="221">
        <v>2026</v>
      </c>
      <c r="B11964" s="221">
        <v>3</v>
      </c>
      <c r="C11964" s="221">
        <v>5</v>
      </c>
      <c r="D11964" s="231">
        <f t="shared" si="1317"/>
        <v>46086</v>
      </c>
      <c r="E11964" s="233">
        <f t="shared" si="1318"/>
        <v>46086</v>
      </c>
      <c r="F11964" s="478" t="s">
        <v>1670</v>
      </c>
      <c r="G11964" s="222" t="s">
        <v>1111</v>
      </c>
      <c r="H11964" s="223"/>
      <c r="I11964" s="223"/>
      <c r="J11964" s="224" t="s">
        <v>63</v>
      </c>
      <c r="K11964" s="225">
        <v>100</v>
      </c>
      <c r="L11964" s="225"/>
    </row>
    <row r="11965" spans="1:14" ht="11.25" customHeight="1" x14ac:dyDescent="0.2">
      <c r="A11965" s="226">
        <v>2026</v>
      </c>
      <c r="B11965" s="226">
        <v>3</v>
      </c>
      <c r="C11965" s="226">
        <v>5</v>
      </c>
      <c r="D11965" s="232">
        <f t="shared" si="1317"/>
        <v>46086</v>
      </c>
      <c r="E11965" s="234">
        <f t="shared" si="1318"/>
        <v>46086</v>
      </c>
      <c r="F11965" s="479"/>
      <c r="G11965" s="227" t="s">
        <v>1111</v>
      </c>
      <c r="H11965" s="228"/>
      <c r="I11965" s="228"/>
      <c r="J11965" s="229" t="s">
        <v>55</v>
      </c>
      <c r="K11965" s="230"/>
      <c r="L11965" s="230">
        <f>K11964</f>
        <v>100</v>
      </c>
    </row>
    <row r="11966" spans="1:14" ht="11.25" customHeight="1" x14ac:dyDescent="0.2">
      <c r="A11966" s="164">
        <v>2026</v>
      </c>
      <c r="B11966" s="221">
        <v>3</v>
      </c>
      <c r="C11966" s="221">
        <v>5</v>
      </c>
      <c r="D11966" s="156">
        <f t="shared" si="1317"/>
        <v>46086</v>
      </c>
      <c r="E11966" s="235">
        <f t="shared" si="1318"/>
        <v>46086</v>
      </c>
      <c r="F11966" s="480" t="s">
        <v>1808</v>
      </c>
      <c r="G11966" s="208" t="s">
        <v>1111</v>
      </c>
      <c r="J11966" s="165" t="s">
        <v>478</v>
      </c>
      <c r="K11966" s="205">
        <v>836.81</v>
      </c>
      <c r="L11966" s="205"/>
    </row>
    <row r="11967" spans="1:14" ht="11.25" customHeight="1" x14ac:dyDescent="0.2">
      <c r="A11967" s="226">
        <v>2026</v>
      </c>
      <c r="B11967" s="226">
        <v>3</v>
      </c>
      <c r="C11967" s="226">
        <v>5</v>
      </c>
      <c r="D11967" s="232">
        <f t="shared" si="1317"/>
        <v>46086</v>
      </c>
      <c r="E11967" s="234">
        <f t="shared" si="1318"/>
        <v>46086</v>
      </c>
      <c r="F11967" s="479"/>
      <c r="G11967" s="227" t="s">
        <v>1111</v>
      </c>
      <c r="H11967" s="228"/>
      <c r="I11967" s="228"/>
      <c r="J11967" s="229" t="s">
        <v>55</v>
      </c>
      <c r="K11967" s="230"/>
      <c r="L11967" s="230">
        <v>836.81</v>
      </c>
    </row>
    <row r="11968" spans="1:14" ht="11.25" customHeight="1" x14ac:dyDescent="0.2">
      <c r="A11968" s="221">
        <v>2026</v>
      </c>
      <c r="B11968" s="221">
        <v>3</v>
      </c>
      <c r="C11968" s="221">
        <v>5</v>
      </c>
      <c r="D11968" s="221">
        <f t="shared" si="1317"/>
        <v>46086</v>
      </c>
      <c r="E11968" s="233">
        <f t="shared" si="1318"/>
        <v>46086</v>
      </c>
      <c r="F11968" s="478" t="s">
        <v>1937</v>
      </c>
      <c r="G11968" s="222" t="s">
        <v>86</v>
      </c>
      <c r="H11968" s="222"/>
      <c r="I11968" s="223"/>
      <c r="J11968" s="224" t="s">
        <v>80</v>
      </c>
      <c r="K11968" s="225">
        <v>2761121.6</v>
      </c>
      <c r="L11968" s="225"/>
      <c r="N11968" s="263"/>
    </row>
    <row r="11969" spans="1:14" ht="11.25" customHeight="1" x14ac:dyDescent="0.2">
      <c r="A11969" s="164">
        <v>2026</v>
      </c>
      <c r="B11969" s="164">
        <v>3</v>
      </c>
      <c r="C11969" s="164">
        <v>5</v>
      </c>
      <c r="D11969" s="164">
        <f t="shared" si="1317"/>
        <v>46086</v>
      </c>
      <c r="E11969" s="235">
        <f t="shared" si="1318"/>
        <v>46086</v>
      </c>
      <c r="F11969" s="480"/>
      <c r="G11969" s="208" t="s">
        <v>86</v>
      </c>
      <c r="H11969" s="208"/>
      <c r="J11969" s="165" t="s">
        <v>960</v>
      </c>
      <c r="K11969" s="205">
        <v>12637.07</v>
      </c>
      <c r="L11969" s="205"/>
      <c r="M11969" s="263"/>
      <c r="N11969" s="263"/>
    </row>
    <row r="11970" spans="1:14" ht="11.25" customHeight="1" x14ac:dyDescent="0.2">
      <c r="A11970" s="164">
        <v>2026</v>
      </c>
      <c r="B11970" s="164">
        <v>3</v>
      </c>
      <c r="C11970" s="164">
        <v>5</v>
      </c>
      <c r="D11970" s="164">
        <f t="shared" si="1317"/>
        <v>46086</v>
      </c>
      <c r="E11970" s="235">
        <f t="shared" si="1318"/>
        <v>46086</v>
      </c>
      <c r="F11970" s="480"/>
      <c r="G11970" s="208" t="s">
        <v>86</v>
      </c>
      <c r="H11970" s="208"/>
      <c r="J11970" s="165" t="s">
        <v>199</v>
      </c>
      <c r="K11970" s="263">
        <v>1485713.33</v>
      </c>
      <c r="L11970" s="205"/>
      <c r="M11970" s="263"/>
      <c r="N11970" s="263"/>
    </row>
    <row r="11971" spans="1:14" ht="11.25" customHeight="1" x14ac:dyDescent="0.2">
      <c r="A11971" s="164">
        <v>2026</v>
      </c>
      <c r="B11971" s="164">
        <v>3</v>
      </c>
      <c r="C11971" s="164">
        <v>5</v>
      </c>
      <c r="D11971" s="164">
        <f t="shared" si="1317"/>
        <v>46086</v>
      </c>
      <c r="E11971" s="235">
        <f t="shared" si="1318"/>
        <v>46086</v>
      </c>
      <c r="F11971" s="480"/>
      <c r="G11971" s="208" t="s">
        <v>86</v>
      </c>
      <c r="H11971" s="208"/>
      <c r="J11971" s="165" t="s">
        <v>200</v>
      </c>
      <c r="K11971" s="205"/>
      <c r="L11971" s="205">
        <v>146523</v>
      </c>
      <c r="M11971" s="263"/>
      <c r="N11971" s="263"/>
    </row>
    <row r="11972" spans="1:14" ht="11.25" customHeight="1" x14ac:dyDescent="0.2">
      <c r="A11972" s="226">
        <v>2026</v>
      </c>
      <c r="B11972" s="226">
        <v>3</v>
      </c>
      <c r="C11972" s="226">
        <v>5</v>
      </c>
      <c r="D11972" s="226">
        <f t="shared" si="1317"/>
        <v>46086</v>
      </c>
      <c r="E11972" s="234">
        <f t="shared" si="1318"/>
        <v>46086</v>
      </c>
      <c r="F11972" s="479"/>
      <c r="G11972" s="227" t="s">
        <v>86</v>
      </c>
      <c r="H11972" s="228"/>
      <c r="I11972" s="228"/>
      <c r="J11972" s="229" t="s">
        <v>80</v>
      </c>
      <c r="K11972" s="230"/>
      <c r="L11972" s="230">
        <v>4112949</v>
      </c>
      <c r="M11972" s="263"/>
      <c r="N11972" s="263"/>
    </row>
    <row r="11973" spans="1:14" ht="11.25" customHeight="1" x14ac:dyDescent="0.2">
      <c r="A11973" s="221">
        <v>2026</v>
      </c>
      <c r="B11973" s="221">
        <v>3</v>
      </c>
      <c r="C11973" s="221">
        <v>5</v>
      </c>
      <c r="D11973" s="231">
        <f t="shared" si="1317"/>
        <v>46086</v>
      </c>
      <c r="E11973" s="233">
        <f t="shared" si="1318"/>
        <v>46086</v>
      </c>
      <c r="F11973" s="478" t="s">
        <v>1323</v>
      </c>
      <c r="G11973" s="222" t="s">
        <v>1111</v>
      </c>
      <c r="H11973" s="223"/>
      <c r="I11973" s="223"/>
      <c r="J11973" s="224" t="s">
        <v>55</v>
      </c>
      <c r="K11973" s="225">
        <v>3000000</v>
      </c>
      <c r="L11973" s="225"/>
    </row>
    <row r="11974" spans="1:14" ht="11.25" customHeight="1" x14ac:dyDescent="0.2">
      <c r="A11974" s="164">
        <v>2026</v>
      </c>
      <c r="B11974" s="164">
        <v>3</v>
      </c>
      <c r="C11974" s="164">
        <v>5</v>
      </c>
      <c r="D11974" s="156">
        <f t="shared" si="1317"/>
        <v>46086</v>
      </c>
      <c r="E11974" s="235">
        <f t="shared" si="1318"/>
        <v>46086</v>
      </c>
      <c r="F11974" s="480"/>
      <c r="G11974" s="208" t="s">
        <v>1111</v>
      </c>
      <c r="J11974" s="165" t="s">
        <v>14</v>
      </c>
      <c r="K11974" s="205"/>
      <c r="L11974" s="205">
        <v>2344470</v>
      </c>
    </row>
    <row r="11975" spans="1:14" ht="11.25" customHeight="1" x14ac:dyDescent="0.2">
      <c r="A11975" s="226">
        <v>2026</v>
      </c>
      <c r="B11975" s="226">
        <v>3</v>
      </c>
      <c r="C11975" s="226">
        <v>5</v>
      </c>
      <c r="D11975" s="232">
        <f t="shared" si="1317"/>
        <v>46086</v>
      </c>
      <c r="E11975" s="234">
        <f t="shared" si="1318"/>
        <v>46086</v>
      </c>
      <c r="F11975" s="479"/>
      <c r="G11975" s="227" t="s">
        <v>1111</v>
      </c>
      <c r="H11975" s="228"/>
      <c r="I11975" s="228"/>
      <c r="J11975" s="229" t="s">
        <v>1112</v>
      </c>
      <c r="K11975" s="230"/>
      <c r="L11975" s="230">
        <v>655530</v>
      </c>
      <c r="M11975" s="166"/>
    </row>
    <row r="11976" spans="1:14" ht="11.25" customHeight="1" x14ac:dyDescent="0.2">
      <c r="A11976" s="221">
        <v>2026</v>
      </c>
      <c r="B11976" s="221">
        <v>3</v>
      </c>
      <c r="C11976" s="221">
        <v>5</v>
      </c>
      <c r="D11976" s="231">
        <f t="shared" ref="D11976:D11980" si="1319">DATE(A11976,B11976,C11976)</f>
        <v>46086</v>
      </c>
      <c r="E11976" s="233">
        <f t="shared" ref="E11976:E11980" si="1320">DATE(A11976,B11976,C11976)</f>
        <v>46086</v>
      </c>
      <c r="F11976" s="478" t="s">
        <v>1719</v>
      </c>
      <c r="G11976" s="222" t="s">
        <v>1111</v>
      </c>
      <c r="H11976" s="223"/>
      <c r="I11976" s="223"/>
      <c r="J11976" s="224" t="s">
        <v>63</v>
      </c>
      <c r="K11976" s="225">
        <v>85</v>
      </c>
      <c r="L11976" s="225"/>
    </row>
    <row r="11977" spans="1:14" ht="11.25" customHeight="1" x14ac:dyDescent="0.2">
      <c r="A11977" s="226">
        <v>2026</v>
      </c>
      <c r="B11977" s="226">
        <v>3</v>
      </c>
      <c r="C11977" s="226">
        <v>5</v>
      </c>
      <c r="D11977" s="232">
        <f t="shared" si="1319"/>
        <v>46086</v>
      </c>
      <c r="E11977" s="234">
        <f t="shared" si="1320"/>
        <v>46086</v>
      </c>
      <c r="F11977" s="479"/>
      <c r="G11977" s="227" t="s">
        <v>1111</v>
      </c>
      <c r="H11977" s="228"/>
      <c r="I11977" s="228"/>
      <c r="J11977" s="229" t="s">
        <v>55</v>
      </c>
      <c r="K11977" s="230"/>
      <c r="L11977" s="230">
        <f>K11976</f>
        <v>85</v>
      </c>
    </row>
    <row r="11978" spans="1:14" ht="11.25" customHeight="1" x14ac:dyDescent="0.2">
      <c r="A11978" s="221">
        <v>2026</v>
      </c>
      <c r="B11978" s="221">
        <v>3</v>
      </c>
      <c r="C11978" s="221">
        <v>5</v>
      </c>
      <c r="D11978" s="231">
        <f t="shared" si="1319"/>
        <v>46086</v>
      </c>
      <c r="E11978" s="233">
        <f t="shared" si="1320"/>
        <v>46086</v>
      </c>
      <c r="F11978" s="478" t="s">
        <v>1132</v>
      </c>
      <c r="G11978" s="222" t="s">
        <v>1111</v>
      </c>
      <c r="H11978" s="223"/>
      <c r="I11978" s="223"/>
      <c r="J11978" s="224" t="s">
        <v>55</v>
      </c>
      <c r="K11978" s="225">
        <v>40000</v>
      </c>
      <c r="L11978" s="225"/>
    </row>
    <row r="11979" spans="1:14" ht="11.25" customHeight="1" x14ac:dyDescent="0.2">
      <c r="A11979" s="164">
        <v>2026</v>
      </c>
      <c r="B11979" s="164">
        <v>3</v>
      </c>
      <c r="C11979" s="164">
        <v>5</v>
      </c>
      <c r="D11979" s="156">
        <f t="shared" si="1319"/>
        <v>46086</v>
      </c>
      <c r="E11979" s="235">
        <f t="shared" si="1320"/>
        <v>46086</v>
      </c>
      <c r="F11979" s="480"/>
      <c r="G11979" s="208" t="s">
        <v>1111</v>
      </c>
      <c r="J11979" s="165" t="s">
        <v>14</v>
      </c>
      <c r="K11979" s="205"/>
      <c r="L11979" s="205">
        <v>28330</v>
      </c>
    </row>
    <row r="11980" spans="1:14" ht="11.25" customHeight="1" x14ac:dyDescent="0.2">
      <c r="A11980" s="226">
        <v>2026</v>
      </c>
      <c r="B11980" s="226">
        <v>3</v>
      </c>
      <c r="C11980" s="226">
        <v>5</v>
      </c>
      <c r="D11980" s="232">
        <f t="shared" si="1319"/>
        <v>46086</v>
      </c>
      <c r="E11980" s="234">
        <f t="shared" si="1320"/>
        <v>46086</v>
      </c>
      <c r="F11980" s="479"/>
      <c r="G11980" s="227" t="s">
        <v>1111</v>
      </c>
      <c r="H11980" s="228"/>
      <c r="I11980" s="228"/>
      <c r="J11980" s="229" t="s">
        <v>1112</v>
      </c>
      <c r="K11980" s="230"/>
      <c r="L11980" s="230">
        <v>11670</v>
      </c>
      <c r="M11980" s="166"/>
    </row>
    <row r="11981" spans="1:14" ht="11.25" customHeight="1" x14ac:dyDescent="0.2">
      <c r="A11981" s="280">
        <v>2026</v>
      </c>
      <c r="B11981" s="280">
        <v>3</v>
      </c>
      <c r="C11981" s="280">
        <v>5</v>
      </c>
      <c r="D11981" s="281">
        <f t="shared" ref="D11981:D12003" si="1321">DATE(A11981,B11981,C11981)</f>
        <v>46086</v>
      </c>
      <c r="E11981" s="282">
        <f t="shared" ref="E11981:E12003" si="1322">DATE(A11981,B11981,C11981)</f>
        <v>46086</v>
      </c>
      <c r="F11981" s="472" t="s">
        <v>1584</v>
      </c>
      <c r="G11981" s="283" t="s">
        <v>86</v>
      </c>
      <c r="H11981" s="284"/>
      <c r="I11981" s="284"/>
      <c r="J11981" s="285" t="s">
        <v>131</v>
      </c>
      <c r="K11981" s="286">
        <v>1277.7777777777801</v>
      </c>
      <c r="L11981" s="286"/>
      <c r="M11981" s="401"/>
      <c r="N11981" s="166"/>
    </row>
    <row r="11982" spans="1:14" ht="11.25" customHeight="1" x14ac:dyDescent="0.2">
      <c r="A11982" s="287">
        <v>2026</v>
      </c>
      <c r="B11982" s="287">
        <v>3</v>
      </c>
      <c r="C11982" s="287">
        <v>5</v>
      </c>
      <c r="D11982" s="288">
        <f t="shared" si="1321"/>
        <v>46086</v>
      </c>
      <c r="E11982" s="289">
        <f t="shared" si="1322"/>
        <v>46086</v>
      </c>
      <c r="F11982" s="473"/>
      <c r="G11982" s="290" t="s">
        <v>86</v>
      </c>
      <c r="H11982" s="291"/>
      <c r="I11982" s="291"/>
      <c r="J11982" s="292" t="s">
        <v>1469</v>
      </c>
      <c r="K11982" s="293"/>
      <c r="L11982" s="293">
        <f>K11981</f>
        <v>1277.7777777777801</v>
      </c>
    </row>
    <row r="11983" spans="1:14" ht="11.25" customHeight="1" x14ac:dyDescent="0.2">
      <c r="A11983" s="280">
        <v>2026</v>
      </c>
      <c r="B11983" s="280">
        <v>3</v>
      </c>
      <c r="C11983" s="280">
        <v>5</v>
      </c>
      <c r="D11983" s="281">
        <f t="shared" si="1321"/>
        <v>46086</v>
      </c>
      <c r="E11983" s="282">
        <f t="shared" si="1322"/>
        <v>46086</v>
      </c>
      <c r="F11983" s="472" t="s">
        <v>1955</v>
      </c>
      <c r="G11983" s="283" t="s">
        <v>86</v>
      </c>
      <c r="H11983" s="284"/>
      <c r="I11983" s="284"/>
      <c r="J11983" s="285" t="s">
        <v>1978</v>
      </c>
      <c r="K11983" s="286">
        <v>6185.4395604395604</v>
      </c>
      <c r="L11983" s="286"/>
      <c r="M11983" s="401"/>
    </row>
    <row r="11984" spans="1:14" ht="11.25" customHeight="1" x14ac:dyDescent="0.2">
      <c r="A11984" s="287">
        <v>2026</v>
      </c>
      <c r="B11984" s="287">
        <v>3</v>
      </c>
      <c r="C11984" s="287">
        <v>5</v>
      </c>
      <c r="D11984" s="288">
        <f t="shared" si="1321"/>
        <v>46086</v>
      </c>
      <c r="E11984" s="289">
        <f t="shared" si="1322"/>
        <v>46086</v>
      </c>
      <c r="F11984" s="473"/>
      <c r="G11984" s="290" t="s">
        <v>86</v>
      </c>
      <c r="H11984" s="291"/>
      <c r="I11984" s="291"/>
      <c r="J11984" s="292" t="s">
        <v>1955</v>
      </c>
      <c r="K11984" s="293"/>
      <c r="L11984" s="293">
        <f>K11983</f>
        <v>6185.4395604395604</v>
      </c>
    </row>
    <row r="11985" spans="1:13" ht="11.25" customHeight="1" x14ac:dyDescent="0.2">
      <c r="A11985" s="341">
        <v>2026</v>
      </c>
      <c r="B11985" s="341">
        <v>3</v>
      </c>
      <c r="C11985" s="341">
        <v>5</v>
      </c>
      <c r="D11985" s="328">
        <f t="shared" si="1321"/>
        <v>46086</v>
      </c>
      <c r="E11985" s="329">
        <f t="shared" si="1322"/>
        <v>46086</v>
      </c>
      <c r="F11985" s="474" t="s">
        <v>1767</v>
      </c>
      <c r="G11985" s="330" t="s">
        <v>86</v>
      </c>
      <c r="H11985" s="332"/>
      <c r="I11985" s="332"/>
      <c r="J11985" s="342" t="s">
        <v>67</v>
      </c>
      <c r="K11985" s="343">
        <v>318.87567791666669</v>
      </c>
      <c r="L11985" s="343"/>
      <c r="M11985" s="166"/>
    </row>
    <row r="11986" spans="1:13" ht="11.25" customHeight="1" x14ac:dyDescent="0.2">
      <c r="A11986" s="344">
        <v>2026</v>
      </c>
      <c r="B11986" s="344">
        <v>3</v>
      </c>
      <c r="C11986" s="344">
        <v>5</v>
      </c>
      <c r="D11986" s="337">
        <f t="shared" si="1321"/>
        <v>46086</v>
      </c>
      <c r="E11986" s="338">
        <f t="shared" si="1322"/>
        <v>46086</v>
      </c>
      <c r="F11986" s="475"/>
      <c r="G11986" s="339" t="s">
        <v>86</v>
      </c>
      <c r="H11986" s="340"/>
      <c r="I11986" s="340"/>
      <c r="J11986" s="345" t="s">
        <v>1974</v>
      </c>
      <c r="K11986" s="346"/>
      <c r="L11986" s="346">
        <f>K11985</f>
        <v>318.87567791666669</v>
      </c>
    </row>
    <row r="11987" spans="1:13" ht="11.25" customHeight="1" x14ac:dyDescent="0.2">
      <c r="A11987" s="236">
        <v>2026</v>
      </c>
      <c r="B11987" s="236">
        <v>3</v>
      </c>
      <c r="C11987" s="236">
        <v>5</v>
      </c>
      <c r="D11987" s="237">
        <f t="shared" si="1321"/>
        <v>46086</v>
      </c>
      <c r="E11987" s="238">
        <f t="shared" si="1322"/>
        <v>46086</v>
      </c>
      <c r="F11987" s="476" t="s">
        <v>1118</v>
      </c>
      <c r="G11987" s="239" t="s">
        <v>86</v>
      </c>
      <c r="H11987" s="239"/>
      <c r="I11987" s="240"/>
      <c r="J11987" s="241" t="s">
        <v>82</v>
      </c>
      <c r="K11987" s="242">
        <v>4832906.5999999344</v>
      </c>
      <c r="L11987" s="242"/>
      <c r="M11987" s="166"/>
    </row>
    <row r="11988" spans="1:13" ht="11.25" customHeight="1" x14ac:dyDescent="0.2">
      <c r="A11988" s="243">
        <v>2026</v>
      </c>
      <c r="B11988" s="243">
        <v>3</v>
      </c>
      <c r="C11988" s="243">
        <v>5</v>
      </c>
      <c r="D11988" s="248">
        <f t="shared" si="1321"/>
        <v>46086</v>
      </c>
      <c r="E11988" s="249">
        <f t="shared" si="1322"/>
        <v>46086</v>
      </c>
      <c r="F11988" s="477"/>
      <c r="G11988" s="244" t="s">
        <v>86</v>
      </c>
      <c r="H11988" s="244"/>
      <c r="I11988" s="245"/>
      <c r="J11988" s="246" t="s">
        <v>98</v>
      </c>
      <c r="K11988" s="247"/>
      <c r="L11988" s="247">
        <f>K11987</f>
        <v>4832906.5999999344</v>
      </c>
    </row>
    <row r="11989" spans="1:13" ht="11.25" customHeight="1" x14ac:dyDescent="0.2">
      <c r="A11989" s="236">
        <v>2026</v>
      </c>
      <c r="B11989" s="236">
        <v>3</v>
      </c>
      <c r="C11989" s="236">
        <v>5</v>
      </c>
      <c r="D11989" s="237">
        <f t="shared" si="1321"/>
        <v>46086</v>
      </c>
      <c r="E11989" s="238">
        <f t="shared" si="1322"/>
        <v>46086</v>
      </c>
      <c r="F11989" s="476" t="s">
        <v>1999</v>
      </c>
      <c r="G11989" s="239" t="s">
        <v>86</v>
      </c>
      <c r="H11989" s="239"/>
      <c r="I11989" s="240"/>
      <c r="J11989" s="241" t="s">
        <v>87</v>
      </c>
      <c r="K11989" s="242">
        <v>392.46467817896399</v>
      </c>
      <c r="L11989" s="242"/>
      <c r="M11989" s="401"/>
    </row>
    <row r="11990" spans="1:13" ht="11.25" customHeight="1" x14ac:dyDescent="0.2">
      <c r="A11990" s="243">
        <v>2026</v>
      </c>
      <c r="B11990" s="243">
        <v>3</v>
      </c>
      <c r="C11990" s="243">
        <v>5</v>
      </c>
      <c r="D11990" s="248">
        <f t="shared" si="1321"/>
        <v>46086</v>
      </c>
      <c r="E11990" s="249">
        <f t="shared" si="1322"/>
        <v>46086</v>
      </c>
      <c r="F11990" s="477"/>
      <c r="G11990" s="244" t="s">
        <v>86</v>
      </c>
      <c r="H11990" s="244"/>
      <c r="I11990" s="245"/>
      <c r="J11990" s="246" t="s">
        <v>64</v>
      </c>
      <c r="K11990" s="247"/>
      <c r="L11990" s="247">
        <f>K11989</f>
        <v>392.46467817896399</v>
      </c>
    </row>
    <row r="11991" spans="1:13" ht="11.25" customHeight="1" x14ac:dyDescent="0.2">
      <c r="A11991" s="236">
        <v>2026</v>
      </c>
      <c r="B11991" s="236">
        <v>3</v>
      </c>
      <c r="C11991" s="236">
        <v>5</v>
      </c>
      <c r="D11991" s="237">
        <f t="shared" si="1321"/>
        <v>46086</v>
      </c>
      <c r="E11991" s="238">
        <f t="shared" si="1322"/>
        <v>46086</v>
      </c>
      <c r="F11991" s="476" t="s">
        <v>2000</v>
      </c>
      <c r="G11991" s="239" t="s">
        <v>86</v>
      </c>
      <c r="H11991" s="239"/>
      <c r="I11991" s="240"/>
      <c r="J11991" s="241" t="s">
        <v>89</v>
      </c>
      <c r="K11991" s="242">
        <f>M11991</f>
        <v>14753.610614208079</v>
      </c>
      <c r="L11991" s="242"/>
      <c r="M11991" s="448">
        <v>14753.610614208079</v>
      </c>
    </row>
    <row r="11992" spans="1:13" ht="11.25" customHeight="1" x14ac:dyDescent="0.2">
      <c r="A11992" s="243">
        <v>2026</v>
      </c>
      <c r="B11992" s="243">
        <v>3</v>
      </c>
      <c r="C11992" s="243">
        <v>5</v>
      </c>
      <c r="D11992" s="248">
        <f t="shared" si="1321"/>
        <v>46086</v>
      </c>
      <c r="E11992" s="249">
        <f t="shared" si="1322"/>
        <v>46086</v>
      </c>
      <c r="F11992" s="477"/>
      <c r="G11992" s="244" t="s">
        <v>86</v>
      </c>
      <c r="H11992" s="244"/>
      <c r="I11992" s="245"/>
      <c r="J11992" s="246" t="s">
        <v>50</v>
      </c>
      <c r="K11992" s="247"/>
      <c r="L11992" s="247">
        <f>K11991</f>
        <v>14753.610614208079</v>
      </c>
      <c r="M11992" s="448">
        <v>709.60143820747919</v>
      </c>
    </row>
    <row r="11993" spans="1:13" ht="11.25" customHeight="1" x14ac:dyDescent="0.2">
      <c r="A11993" s="236">
        <v>2026</v>
      </c>
      <c r="B11993" s="236">
        <v>3</v>
      </c>
      <c r="C11993" s="236">
        <v>5</v>
      </c>
      <c r="D11993" s="237">
        <f t="shared" si="1321"/>
        <v>46086</v>
      </c>
      <c r="E11993" s="238">
        <f t="shared" si="1322"/>
        <v>46086</v>
      </c>
      <c r="F11993" s="476" t="s">
        <v>2001</v>
      </c>
      <c r="G11993" s="239" t="s">
        <v>86</v>
      </c>
      <c r="H11993" s="239"/>
      <c r="I11993" s="240"/>
      <c r="J11993" s="241" t="s">
        <v>91</v>
      </c>
      <c r="K11993" s="242">
        <f>M11992</f>
        <v>709.60143820747919</v>
      </c>
      <c r="L11993" s="242"/>
    </row>
    <row r="11994" spans="1:13" ht="11.25" customHeight="1" x14ac:dyDescent="0.2">
      <c r="A11994" s="243">
        <v>2026</v>
      </c>
      <c r="B11994" s="243">
        <v>3</v>
      </c>
      <c r="C11994" s="243">
        <v>5</v>
      </c>
      <c r="D11994" s="248">
        <f t="shared" si="1321"/>
        <v>46086</v>
      </c>
      <c r="E11994" s="249">
        <f t="shared" si="1322"/>
        <v>46086</v>
      </c>
      <c r="F11994" s="477"/>
      <c r="G11994" s="244" t="s">
        <v>86</v>
      </c>
      <c r="H11994" s="244"/>
      <c r="I11994" s="245"/>
      <c r="J11994" s="246" t="s">
        <v>51</v>
      </c>
      <c r="K11994" s="247"/>
      <c r="L11994" s="247">
        <f>K11993</f>
        <v>709.60143820747919</v>
      </c>
    </row>
    <row r="11995" spans="1:13" ht="11.25" customHeight="1" x14ac:dyDescent="0.2">
      <c r="A11995" s="221">
        <v>2026</v>
      </c>
      <c r="B11995" s="221">
        <v>3</v>
      </c>
      <c r="C11995" s="221">
        <v>8</v>
      </c>
      <c r="D11995" s="231">
        <f t="shared" si="1321"/>
        <v>46089</v>
      </c>
      <c r="E11995" s="233">
        <f t="shared" si="1322"/>
        <v>46089</v>
      </c>
      <c r="F11995" s="478" t="s">
        <v>1115</v>
      </c>
      <c r="G11995" s="222" t="s">
        <v>1111</v>
      </c>
      <c r="H11995" s="223"/>
      <c r="I11995" s="223"/>
      <c r="J11995" s="224" t="s">
        <v>14</v>
      </c>
      <c r="K11995" s="167">
        <v>31640</v>
      </c>
      <c r="L11995" s="225"/>
    </row>
    <row r="11996" spans="1:13" ht="11.25" customHeight="1" x14ac:dyDescent="0.2">
      <c r="A11996" s="164">
        <v>2026</v>
      </c>
      <c r="B11996" s="164">
        <v>3</v>
      </c>
      <c r="C11996" s="164">
        <v>8</v>
      </c>
      <c r="D11996" s="156">
        <f t="shared" si="1321"/>
        <v>46089</v>
      </c>
      <c r="E11996" s="235">
        <f t="shared" si="1322"/>
        <v>46089</v>
      </c>
      <c r="F11996" s="480"/>
      <c r="G11996" s="208" t="s">
        <v>1111</v>
      </c>
      <c r="J11996" s="165" t="s">
        <v>1112</v>
      </c>
      <c r="K11996" s="167">
        <v>8360</v>
      </c>
      <c r="L11996" s="205"/>
    </row>
    <row r="11997" spans="1:13" ht="11.25" customHeight="1" x14ac:dyDescent="0.2">
      <c r="A11997" s="226">
        <v>2026</v>
      </c>
      <c r="B11997" s="226">
        <v>3</v>
      </c>
      <c r="C11997" s="226">
        <v>8</v>
      </c>
      <c r="D11997" s="232">
        <f t="shared" si="1321"/>
        <v>46089</v>
      </c>
      <c r="E11997" s="234">
        <f t="shared" si="1322"/>
        <v>46089</v>
      </c>
      <c r="F11997" s="479"/>
      <c r="G11997" s="227" t="s">
        <v>1111</v>
      </c>
      <c r="H11997" s="228"/>
      <c r="I11997" s="228"/>
      <c r="J11997" s="229" t="s">
        <v>55</v>
      </c>
      <c r="K11997" s="230"/>
      <c r="L11997" s="230">
        <v>40000</v>
      </c>
    </row>
    <row r="11998" spans="1:13" ht="11.25" customHeight="1" x14ac:dyDescent="0.2">
      <c r="A11998" s="221">
        <v>2026</v>
      </c>
      <c r="B11998" s="221">
        <v>3</v>
      </c>
      <c r="C11998" s="221">
        <v>8</v>
      </c>
      <c r="D11998" s="231">
        <f t="shared" si="1321"/>
        <v>46089</v>
      </c>
      <c r="E11998" s="233">
        <f t="shared" si="1322"/>
        <v>46089</v>
      </c>
      <c r="F11998" s="478" t="s">
        <v>1323</v>
      </c>
      <c r="G11998" s="222" t="s">
        <v>1111</v>
      </c>
      <c r="H11998" s="223"/>
      <c r="I11998" s="223"/>
      <c r="J11998" s="224" t="s">
        <v>55</v>
      </c>
      <c r="K11998" s="225">
        <v>100000</v>
      </c>
      <c r="L11998" s="225"/>
    </row>
    <row r="11999" spans="1:13" ht="11.25" customHeight="1" x14ac:dyDescent="0.2">
      <c r="A11999" s="164">
        <v>2026</v>
      </c>
      <c r="B11999" s="164">
        <v>3</v>
      </c>
      <c r="C11999" s="164">
        <v>8</v>
      </c>
      <c r="D11999" s="156">
        <f t="shared" si="1321"/>
        <v>46089</v>
      </c>
      <c r="E11999" s="235">
        <f t="shared" si="1322"/>
        <v>46089</v>
      </c>
      <c r="F11999" s="480"/>
      <c r="G11999" s="208" t="s">
        <v>1111</v>
      </c>
      <c r="J11999" s="165" t="s">
        <v>14</v>
      </c>
      <c r="K11999" s="205"/>
      <c r="L11999" s="205">
        <v>79100</v>
      </c>
    </row>
    <row r="12000" spans="1:13" ht="11.25" customHeight="1" x14ac:dyDescent="0.2">
      <c r="A12000" s="226">
        <v>2026</v>
      </c>
      <c r="B12000" s="226">
        <v>3</v>
      </c>
      <c r="C12000" s="226">
        <v>8</v>
      </c>
      <c r="D12000" s="232">
        <f t="shared" si="1321"/>
        <v>46089</v>
      </c>
      <c r="E12000" s="234">
        <f t="shared" si="1322"/>
        <v>46089</v>
      </c>
      <c r="F12000" s="479"/>
      <c r="G12000" s="227" t="s">
        <v>1111</v>
      </c>
      <c r="H12000" s="228"/>
      <c r="I12000" s="228"/>
      <c r="J12000" s="229" t="s">
        <v>1112</v>
      </c>
      <c r="K12000" s="230"/>
      <c r="L12000" s="230">
        <v>20900</v>
      </c>
      <c r="M12000" s="166"/>
    </row>
    <row r="12001" spans="1:14" ht="11.25" customHeight="1" x14ac:dyDescent="0.2">
      <c r="A12001" s="221">
        <v>2026</v>
      </c>
      <c r="B12001" s="221">
        <v>3</v>
      </c>
      <c r="C12001" s="221">
        <v>8</v>
      </c>
      <c r="D12001" s="221">
        <f t="shared" si="1321"/>
        <v>46089</v>
      </c>
      <c r="E12001" s="233">
        <f t="shared" si="1322"/>
        <v>46089</v>
      </c>
      <c r="F12001" s="478" t="s">
        <v>1988</v>
      </c>
      <c r="G12001" s="222" t="s">
        <v>86</v>
      </c>
      <c r="H12001" s="222"/>
      <c r="I12001" s="223"/>
      <c r="J12001" s="224" t="s">
        <v>80</v>
      </c>
      <c r="K12001" s="225">
        <v>153000</v>
      </c>
      <c r="L12001" s="225"/>
      <c r="N12001" s="263"/>
    </row>
    <row r="12002" spans="1:14" ht="11.25" customHeight="1" x14ac:dyDescent="0.2">
      <c r="A12002" s="164">
        <v>2026</v>
      </c>
      <c r="B12002" s="164">
        <v>3</v>
      </c>
      <c r="C12002" s="164">
        <v>8</v>
      </c>
      <c r="D12002" s="164">
        <f t="shared" si="1321"/>
        <v>46089</v>
      </c>
      <c r="E12002" s="235">
        <f t="shared" si="1322"/>
        <v>46089</v>
      </c>
      <c r="F12002" s="480"/>
      <c r="G12002" s="208" t="s">
        <v>86</v>
      </c>
      <c r="H12002" s="208"/>
      <c r="J12002" s="165" t="s">
        <v>960</v>
      </c>
      <c r="K12002" s="205">
        <v>275.39999999999998</v>
      </c>
      <c r="L12002" s="205"/>
      <c r="M12002" s="263"/>
      <c r="N12002" s="263"/>
    </row>
    <row r="12003" spans="1:14" ht="11.25" customHeight="1" x14ac:dyDescent="0.2">
      <c r="A12003" s="226">
        <v>2026</v>
      </c>
      <c r="B12003" s="226">
        <v>3</v>
      </c>
      <c r="C12003" s="226">
        <v>8</v>
      </c>
      <c r="D12003" s="226">
        <f t="shared" si="1321"/>
        <v>46089</v>
      </c>
      <c r="E12003" s="234">
        <f t="shared" si="1322"/>
        <v>46089</v>
      </c>
      <c r="F12003" s="479"/>
      <c r="G12003" s="227" t="s">
        <v>86</v>
      </c>
      <c r="H12003" s="227"/>
      <c r="I12003" s="228"/>
      <c r="J12003" s="229" t="s">
        <v>961</v>
      </c>
      <c r="K12003" s="294"/>
      <c r="L12003" s="230">
        <v>153275.4</v>
      </c>
      <c r="M12003" s="263"/>
      <c r="N12003" s="263"/>
    </row>
    <row r="12004" spans="1:14" ht="11.25" customHeight="1" x14ac:dyDescent="0.2">
      <c r="A12004" s="221">
        <v>2026</v>
      </c>
      <c r="B12004" s="221">
        <v>3</v>
      </c>
      <c r="C12004" s="221">
        <v>8</v>
      </c>
      <c r="D12004" s="221">
        <f t="shared" ref="D12004:D12006" si="1323">DATE(A12004,B12004,C12004)</f>
        <v>46089</v>
      </c>
      <c r="E12004" s="233">
        <f t="shared" ref="E12004:E12006" si="1324">DATE(A12004,B12004,C12004)</f>
        <v>46089</v>
      </c>
      <c r="F12004" s="478" t="s">
        <v>1936</v>
      </c>
      <c r="G12004" s="222" t="s">
        <v>86</v>
      </c>
      <c r="H12004" s="222"/>
      <c r="I12004" s="223"/>
      <c r="J12004" s="224" t="s">
        <v>80</v>
      </c>
      <c r="K12004" s="225">
        <v>4511316.8</v>
      </c>
      <c r="L12004" s="225"/>
      <c r="N12004" s="263"/>
    </row>
    <row r="12005" spans="1:14" ht="11.25" customHeight="1" x14ac:dyDescent="0.2">
      <c r="A12005" s="164">
        <v>2026</v>
      </c>
      <c r="B12005" s="164">
        <v>3</v>
      </c>
      <c r="C12005" s="164">
        <v>8</v>
      </c>
      <c r="D12005" s="164">
        <f t="shared" si="1323"/>
        <v>46089</v>
      </c>
      <c r="E12005" s="235">
        <f t="shared" si="1324"/>
        <v>46089</v>
      </c>
      <c r="F12005" s="480"/>
      <c r="G12005" s="208" t="s">
        <v>86</v>
      </c>
      <c r="H12005" s="208"/>
      <c r="J12005" s="165" t="s">
        <v>960</v>
      </c>
      <c r="K12005" s="205">
        <v>8120.37</v>
      </c>
      <c r="L12005" s="205"/>
      <c r="M12005" s="263"/>
      <c r="N12005" s="263"/>
    </row>
    <row r="12006" spans="1:14" ht="11.25" customHeight="1" x14ac:dyDescent="0.2">
      <c r="A12006" s="226">
        <v>2026</v>
      </c>
      <c r="B12006" s="226">
        <v>3</v>
      </c>
      <c r="C12006" s="226">
        <v>8</v>
      </c>
      <c r="D12006" s="226">
        <f t="shared" si="1323"/>
        <v>46089</v>
      </c>
      <c r="E12006" s="234">
        <f t="shared" si="1324"/>
        <v>46089</v>
      </c>
      <c r="F12006" s="479"/>
      <c r="G12006" s="227" t="s">
        <v>86</v>
      </c>
      <c r="H12006" s="227"/>
      <c r="I12006" s="228"/>
      <c r="J12006" s="229" t="s">
        <v>961</v>
      </c>
      <c r="K12006" s="294"/>
      <c r="L12006" s="230">
        <v>4519437.17</v>
      </c>
      <c r="M12006" s="263"/>
      <c r="N12006" s="263"/>
    </row>
    <row r="12007" spans="1:14" ht="11.25" customHeight="1" x14ac:dyDescent="0.2">
      <c r="A12007" s="280">
        <v>2026</v>
      </c>
      <c r="B12007" s="280">
        <v>3</v>
      </c>
      <c r="C12007" s="280">
        <v>8</v>
      </c>
      <c r="D12007" s="281">
        <f t="shared" ref="D12007:D12047" si="1325">DATE(A12007,B12007,C12007)</f>
        <v>46089</v>
      </c>
      <c r="E12007" s="282">
        <f t="shared" ref="E12007:E12047" si="1326">DATE(A12007,B12007,C12007)</f>
        <v>46089</v>
      </c>
      <c r="F12007" s="472" t="s">
        <v>1584</v>
      </c>
      <c r="G12007" s="283" t="s">
        <v>86</v>
      </c>
      <c r="H12007" s="284"/>
      <c r="I12007" s="284"/>
      <c r="J12007" s="285" t="s">
        <v>131</v>
      </c>
      <c r="K12007" s="286">
        <f>3*1277.77777777778</f>
        <v>3833.3333333333403</v>
      </c>
      <c r="L12007" s="286"/>
      <c r="M12007" s="401"/>
      <c r="N12007" s="166"/>
    </row>
    <row r="12008" spans="1:14" ht="11.25" customHeight="1" x14ac:dyDescent="0.2">
      <c r="A12008" s="287">
        <v>2026</v>
      </c>
      <c r="B12008" s="287">
        <v>3</v>
      </c>
      <c r="C12008" s="287">
        <v>8</v>
      </c>
      <c r="D12008" s="288">
        <f t="shared" si="1325"/>
        <v>46089</v>
      </c>
      <c r="E12008" s="289">
        <f t="shared" si="1326"/>
        <v>46089</v>
      </c>
      <c r="F12008" s="473"/>
      <c r="G12008" s="290" t="s">
        <v>86</v>
      </c>
      <c r="H12008" s="291"/>
      <c r="I12008" s="291"/>
      <c r="J12008" s="292" t="s">
        <v>1469</v>
      </c>
      <c r="K12008" s="293"/>
      <c r="L12008" s="293">
        <f>K12007</f>
        <v>3833.3333333333403</v>
      </c>
    </row>
    <row r="12009" spans="1:14" ht="11.25" customHeight="1" x14ac:dyDescent="0.2">
      <c r="A12009" s="280">
        <v>2026</v>
      </c>
      <c r="B12009" s="280">
        <v>3</v>
      </c>
      <c r="C12009" s="280">
        <v>8</v>
      </c>
      <c r="D12009" s="281">
        <f t="shared" si="1325"/>
        <v>46089</v>
      </c>
      <c r="E12009" s="282">
        <f t="shared" si="1326"/>
        <v>46089</v>
      </c>
      <c r="F12009" s="472" t="s">
        <v>1955</v>
      </c>
      <c r="G12009" s="283" t="s">
        <v>86</v>
      </c>
      <c r="H12009" s="284"/>
      <c r="I12009" s="284"/>
      <c r="J12009" s="285" t="s">
        <v>1978</v>
      </c>
      <c r="K12009" s="286">
        <f>3*6185.43956043956</f>
        <v>18556.31868131868</v>
      </c>
      <c r="L12009" s="286"/>
      <c r="M12009" s="401"/>
    </row>
    <row r="12010" spans="1:14" ht="11.25" customHeight="1" x14ac:dyDescent="0.2">
      <c r="A12010" s="287">
        <v>2026</v>
      </c>
      <c r="B12010" s="287">
        <v>3</v>
      </c>
      <c r="C12010" s="287">
        <v>8</v>
      </c>
      <c r="D12010" s="288">
        <f t="shared" si="1325"/>
        <v>46089</v>
      </c>
      <c r="E12010" s="289">
        <f t="shared" si="1326"/>
        <v>46089</v>
      </c>
      <c r="F12010" s="473"/>
      <c r="G12010" s="290" t="s">
        <v>86</v>
      </c>
      <c r="H12010" s="291"/>
      <c r="I12010" s="291"/>
      <c r="J12010" s="292" t="s">
        <v>1955</v>
      </c>
      <c r="K12010" s="293"/>
      <c r="L12010" s="293">
        <f>K12009</f>
        <v>18556.31868131868</v>
      </c>
    </row>
    <row r="12011" spans="1:14" ht="11.25" customHeight="1" x14ac:dyDescent="0.2">
      <c r="A12011" s="341">
        <v>2026</v>
      </c>
      <c r="B12011" s="341">
        <v>3</v>
      </c>
      <c r="C12011" s="341">
        <v>8</v>
      </c>
      <c r="D12011" s="328">
        <f t="shared" si="1325"/>
        <v>46089</v>
      </c>
      <c r="E12011" s="329">
        <f t="shared" si="1326"/>
        <v>46089</v>
      </c>
      <c r="F12011" s="474" t="s">
        <v>1767</v>
      </c>
      <c r="G12011" s="330" t="s">
        <v>86</v>
      </c>
      <c r="H12011" s="332"/>
      <c r="I12011" s="332"/>
      <c r="J12011" s="342" t="s">
        <v>67</v>
      </c>
      <c r="K12011" s="343">
        <v>1177.46</v>
      </c>
      <c r="L12011" s="343"/>
      <c r="M12011" s="166"/>
    </row>
    <row r="12012" spans="1:14" ht="11.25" customHeight="1" x14ac:dyDescent="0.2">
      <c r="A12012" s="344">
        <v>2026</v>
      </c>
      <c r="B12012" s="344">
        <v>3</v>
      </c>
      <c r="C12012" s="344">
        <v>8</v>
      </c>
      <c r="D12012" s="337">
        <f t="shared" si="1325"/>
        <v>46089</v>
      </c>
      <c r="E12012" s="338">
        <f t="shared" si="1326"/>
        <v>46089</v>
      </c>
      <c r="F12012" s="475"/>
      <c r="G12012" s="339" t="s">
        <v>86</v>
      </c>
      <c r="H12012" s="340"/>
      <c r="I12012" s="340"/>
      <c r="J12012" s="345" t="s">
        <v>1974</v>
      </c>
      <c r="K12012" s="346"/>
      <c r="L12012" s="346">
        <f>K12011</f>
        <v>1177.46</v>
      </c>
    </row>
    <row r="12013" spans="1:14" ht="11.25" customHeight="1" x14ac:dyDescent="0.2">
      <c r="A12013" s="236">
        <v>2026</v>
      </c>
      <c r="B12013" s="236">
        <v>3</v>
      </c>
      <c r="C12013" s="236">
        <v>8</v>
      </c>
      <c r="D12013" s="237">
        <f t="shared" si="1325"/>
        <v>46089</v>
      </c>
      <c r="E12013" s="238">
        <f t="shared" si="1326"/>
        <v>46089</v>
      </c>
      <c r="F12013" s="476" t="s">
        <v>1118</v>
      </c>
      <c r="G12013" s="239" t="s">
        <v>86</v>
      </c>
      <c r="H12013" s="239"/>
      <c r="I12013" s="240"/>
      <c r="J12013" s="241" t="s">
        <v>82</v>
      </c>
      <c r="K12013" s="242">
        <v>8107576.6000000536</v>
      </c>
      <c r="L12013" s="242"/>
      <c r="M12013" s="166"/>
    </row>
    <row r="12014" spans="1:14" ht="11.25" customHeight="1" x14ac:dyDescent="0.2">
      <c r="A12014" s="243">
        <v>2026</v>
      </c>
      <c r="B12014" s="243">
        <v>3</v>
      </c>
      <c r="C12014" s="243">
        <v>8</v>
      </c>
      <c r="D12014" s="248">
        <f t="shared" si="1325"/>
        <v>46089</v>
      </c>
      <c r="E12014" s="249">
        <f t="shared" si="1326"/>
        <v>46089</v>
      </c>
      <c r="F12014" s="477"/>
      <c r="G12014" s="244" t="s">
        <v>86</v>
      </c>
      <c r="H12014" s="244"/>
      <c r="I12014" s="245"/>
      <c r="J12014" s="246" t="s">
        <v>98</v>
      </c>
      <c r="K12014" s="247"/>
      <c r="L12014" s="247">
        <f>K12013</f>
        <v>8107576.6000000536</v>
      </c>
    </row>
    <row r="12015" spans="1:14" ht="11.25" customHeight="1" x14ac:dyDescent="0.2">
      <c r="A12015" s="236">
        <v>2026</v>
      </c>
      <c r="B12015" s="236">
        <v>3</v>
      </c>
      <c r="C12015" s="236">
        <v>8</v>
      </c>
      <c r="D12015" s="237">
        <f t="shared" si="1325"/>
        <v>46089</v>
      </c>
      <c r="E12015" s="238">
        <f t="shared" si="1326"/>
        <v>46089</v>
      </c>
      <c r="F12015" s="476" t="s">
        <v>1999</v>
      </c>
      <c r="G12015" s="239" t="s">
        <v>86</v>
      </c>
      <c r="H12015" s="239"/>
      <c r="I12015" s="240"/>
      <c r="J12015" s="241" t="s">
        <v>87</v>
      </c>
      <c r="K12015" s="242">
        <f>3*392.464678178964</f>
        <v>1177.3940345368919</v>
      </c>
      <c r="L12015" s="242"/>
      <c r="M12015" s="401"/>
    </row>
    <row r="12016" spans="1:14" ht="11.25" customHeight="1" x14ac:dyDescent="0.2">
      <c r="A12016" s="243">
        <v>2026</v>
      </c>
      <c r="B12016" s="243">
        <v>3</v>
      </c>
      <c r="C12016" s="243">
        <v>8</v>
      </c>
      <c r="D12016" s="248">
        <f t="shared" si="1325"/>
        <v>46089</v>
      </c>
      <c r="E12016" s="249">
        <f t="shared" si="1326"/>
        <v>46089</v>
      </c>
      <c r="F12016" s="477"/>
      <c r="G12016" s="244" t="s">
        <v>86</v>
      </c>
      <c r="H12016" s="244"/>
      <c r="I12016" s="245"/>
      <c r="J12016" s="246" t="s">
        <v>64</v>
      </c>
      <c r="K12016" s="247"/>
      <c r="L12016" s="247">
        <f>K12015</f>
        <v>1177.3940345368919</v>
      </c>
    </row>
    <row r="12017" spans="1:14" ht="11.25" customHeight="1" x14ac:dyDescent="0.2">
      <c r="A12017" s="236">
        <v>2026</v>
      </c>
      <c r="B12017" s="236">
        <v>3</v>
      </c>
      <c r="C12017" s="236">
        <v>8</v>
      </c>
      <c r="D12017" s="237">
        <f t="shared" si="1325"/>
        <v>46089</v>
      </c>
      <c r="E12017" s="238">
        <f t="shared" si="1326"/>
        <v>46089</v>
      </c>
      <c r="F12017" s="476" t="s">
        <v>2000</v>
      </c>
      <c r="G12017" s="239" t="s">
        <v>86</v>
      </c>
      <c r="H12017" s="239"/>
      <c r="I12017" s="240"/>
      <c r="J12017" s="241" t="s">
        <v>89</v>
      </c>
      <c r="K12017" s="242">
        <f>3*14546.4492925339</f>
        <v>43639.3478776017</v>
      </c>
      <c r="L12017" s="242"/>
      <c r="M12017" s="448">
        <v>14546.449292533871</v>
      </c>
    </row>
    <row r="12018" spans="1:14" ht="11.25" customHeight="1" x14ac:dyDescent="0.2">
      <c r="A12018" s="243">
        <v>2026</v>
      </c>
      <c r="B12018" s="243">
        <v>3</v>
      </c>
      <c r="C12018" s="243">
        <v>8</v>
      </c>
      <c r="D12018" s="248">
        <f t="shared" si="1325"/>
        <v>46089</v>
      </c>
      <c r="E12018" s="249">
        <f t="shared" si="1326"/>
        <v>46089</v>
      </c>
      <c r="F12018" s="477"/>
      <c r="G12018" s="244" t="s">
        <v>86</v>
      </c>
      <c r="H12018" s="244"/>
      <c r="I12018" s="245"/>
      <c r="J12018" s="246" t="s">
        <v>50</v>
      </c>
      <c r="K12018" s="247"/>
      <c r="L12018" s="247">
        <f>K12017</f>
        <v>43639.3478776017</v>
      </c>
      <c r="M12018" s="448">
        <v>695.79068342919868</v>
      </c>
    </row>
    <row r="12019" spans="1:14" ht="11.25" customHeight="1" x14ac:dyDescent="0.2">
      <c r="A12019" s="236">
        <v>2026</v>
      </c>
      <c r="B12019" s="236">
        <v>3</v>
      </c>
      <c r="C12019" s="236">
        <v>8</v>
      </c>
      <c r="D12019" s="237">
        <f t="shared" si="1325"/>
        <v>46089</v>
      </c>
      <c r="E12019" s="238">
        <f t="shared" si="1326"/>
        <v>46089</v>
      </c>
      <c r="F12019" s="476" t="s">
        <v>2001</v>
      </c>
      <c r="G12019" s="239" t="s">
        <v>86</v>
      </c>
      <c r="H12019" s="239"/>
      <c r="I12019" s="240"/>
      <c r="J12019" s="241" t="s">
        <v>91</v>
      </c>
      <c r="K12019" s="242">
        <f>3*695.790683429199</f>
        <v>2087.3720502875972</v>
      </c>
      <c r="L12019" s="242"/>
    </row>
    <row r="12020" spans="1:14" ht="11.25" customHeight="1" x14ac:dyDescent="0.2">
      <c r="A12020" s="243">
        <v>2026</v>
      </c>
      <c r="B12020" s="243">
        <v>3</v>
      </c>
      <c r="C12020" s="243">
        <v>8</v>
      </c>
      <c r="D12020" s="248">
        <f t="shared" si="1325"/>
        <v>46089</v>
      </c>
      <c r="E12020" s="249">
        <f t="shared" si="1326"/>
        <v>46089</v>
      </c>
      <c r="F12020" s="477"/>
      <c r="G12020" s="244" t="s">
        <v>86</v>
      </c>
      <c r="H12020" s="244"/>
      <c r="I12020" s="245"/>
      <c r="J12020" s="246" t="s">
        <v>51</v>
      </c>
      <c r="K12020" s="247"/>
      <c r="L12020" s="247">
        <f>K12019</f>
        <v>2087.3720502875972</v>
      </c>
    </row>
    <row r="12021" spans="1:14" ht="11.25" customHeight="1" x14ac:dyDescent="0.2">
      <c r="A12021" s="221">
        <v>2026</v>
      </c>
      <c r="B12021" s="221">
        <v>3</v>
      </c>
      <c r="C12021" s="221">
        <v>9</v>
      </c>
      <c r="D12021" s="231">
        <f t="shared" si="1325"/>
        <v>46090</v>
      </c>
      <c r="E12021" s="233">
        <f t="shared" si="1326"/>
        <v>46090</v>
      </c>
      <c r="F12021" s="478" t="s">
        <v>1115</v>
      </c>
      <c r="G12021" s="222" t="s">
        <v>1111</v>
      </c>
      <c r="H12021" s="223"/>
      <c r="I12021" s="223"/>
      <c r="J12021" s="224" t="s">
        <v>14</v>
      </c>
      <c r="K12021" s="167">
        <v>981390</v>
      </c>
      <c r="L12021" s="225"/>
    </row>
    <row r="12022" spans="1:14" ht="11.25" customHeight="1" x14ac:dyDescent="0.2">
      <c r="A12022" s="164">
        <v>2026</v>
      </c>
      <c r="B12022" s="164">
        <v>3</v>
      </c>
      <c r="C12022" s="164">
        <v>9</v>
      </c>
      <c r="D12022" s="156">
        <f t="shared" si="1325"/>
        <v>46090</v>
      </c>
      <c r="E12022" s="235">
        <f t="shared" si="1326"/>
        <v>46090</v>
      </c>
      <c r="F12022" s="480"/>
      <c r="G12022" s="208" t="s">
        <v>1111</v>
      </c>
      <c r="J12022" s="165" t="s">
        <v>1112</v>
      </c>
      <c r="K12022" s="167">
        <v>240129.9</v>
      </c>
      <c r="L12022" s="205"/>
    </row>
    <row r="12023" spans="1:14" ht="11.25" customHeight="1" x14ac:dyDescent="0.2">
      <c r="A12023" s="226">
        <v>2026</v>
      </c>
      <c r="B12023" s="226">
        <v>3</v>
      </c>
      <c r="C12023" s="226">
        <v>9</v>
      </c>
      <c r="D12023" s="232">
        <f t="shared" si="1325"/>
        <v>46090</v>
      </c>
      <c r="E12023" s="234">
        <f t="shared" si="1326"/>
        <v>46090</v>
      </c>
      <c r="F12023" s="479"/>
      <c r="G12023" s="227" t="s">
        <v>1111</v>
      </c>
      <c r="H12023" s="228"/>
      <c r="I12023" s="228"/>
      <c r="J12023" s="229" t="s">
        <v>55</v>
      </c>
      <c r="K12023" s="230"/>
      <c r="L12023" s="230">
        <v>1221519.8999999999</v>
      </c>
    </row>
    <row r="12024" spans="1:14" ht="11.25" customHeight="1" x14ac:dyDescent="0.2">
      <c r="A12024" s="221">
        <v>2026</v>
      </c>
      <c r="B12024" s="221">
        <v>3</v>
      </c>
      <c r="C12024" s="221">
        <v>9</v>
      </c>
      <c r="D12024" s="231">
        <f t="shared" si="1325"/>
        <v>46090</v>
      </c>
      <c r="E12024" s="233">
        <f t="shared" si="1326"/>
        <v>46090</v>
      </c>
      <c r="F12024" s="478" t="s">
        <v>1323</v>
      </c>
      <c r="G12024" s="222" t="s">
        <v>1111</v>
      </c>
      <c r="H12024" s="223"/>
      <c r="I12024" s="223"/>
      <c r="J12024" s="224" t="s">
        <v>55</v>
      </c>
      <c r="K12024" s="225">
        <v>3000000</v>
      </c>
      <c r="L12024" s="225"/>
    </row>
    <row r="12025" spans="1:14" ht="11.25" customHeight="1" x14ac:dyDescent="0.2">
      <c r="A12025" s="164">
        <v>2026</v>
      </c>
      <c r="B12025" s="164">
        <v>3</v>
      </c>
      <c r="C12025" s="164">
        <v>9</v>
      </c>
      <c r="D12025" s="156">
        <f t="shared" si="1325"/>
        <v>46090</v>
      </c>
      <c r="E12025" s="235">
        <f t="shared" si="1326"/>
        <v>46090</v>
      </c>
      <c r="F12025" s="480"/>
      <c r="G12025" s="208" t="s">
        <v>1111</v>
      </c>
      <c r="J12025" s="165" t="s">
        <v>14</v>
      </c>
      <c r="K12025" s="205"/>
      <c r="L12025" s="205">
        <v>2448580</v>
      </c>
    </row>
    <row r="12026" spans="1:14" ht="11.25" customHeight="1" x14ac:dyDescent="0.2">
      <c r="A12026" s="226">
        <v>2026</v>
      </c>
      <c r="B12026" s="226">
        <v>3</v>
      </c>
      <c r="C12026" s="226">
        <v>9</v>
      </c>
      <c r="D12026" s="232">
        <f t="shared" si="1325"/>
        <v>46090</v>
      </c>
      <c r="E12026" s="234">
        <f t="shared" si="1326"/>
        <v>46090</v>
      </c>
      <c r="F12026" s="479"/>
      <c r="G12026" s="227" t="s">
        <v>1111</v>
      </c>
      <c r="H12026" s="228"/>
      <c r="I12026" s="228"/>
      <c r="J12026" s="229" t="s">
        <v>1112</v>
      </c>
      <c r="K12026" s="230"/>
      <c r="L12026" s="230">
        <v>551420</v>
      </c>
      <c r="M12026" s="166"/>
    </row>
    <row r="12027" spans="1:14" ht="11.25" customHeight="1" x14ac:dyDescent="0.2">
      <c r="A12027" s="221">
        <v>2026</v>
      </c>
      <c r="B12027" s="221">
        <v>3</v>
      </c>
      <c r="C12027" s="221">
        <v>9</v>
      </c>
      <c r="D12027" s="231">
        <f t="shared" si="1325"/>
        <v>46090</v>
      </c>
      <c r="E12027" s="233">
        <f t="shared" si="1326"/>
        <v>46090</v>
      </c>
      <c r="F12027" s="478" t="s">
        <v>1670</v>
      </c>
      <c r="G12027" s="222" t="s">
        <v>1111</v>
      </c>
      <c r="H12027" s="223"/>
      <c r="I12027" s="223"/>
      <c r="J12027" s="224" t="s">
        <v>63</v>
      </c>
      <c r="K12027" s="225">
        <v>158</v>
      </c>
      <c r="L12027" s="225"/>
    </row>
    <row r="12028" spans="1:14" ht="11.25" customHeight="1" x14ac:dyDescent="0.2">
      <c r="A12028" s="226">
        <v>2026</v>
      </c>
      <c r="B12028" s="226">
        <v>3</v>
      </c>
      <c r="C12028" s="226">
        <v>9</v>
      </c>
      <c r="D12028" s="232">
        <f t="shared" si="1325"/>
        <v>46090</v>
      </c>
      <c r="E12028" s="234">
        <f t="shared" si="1326"/>
        <v>46090</v>
      </c>
      <c r="F12028" s="479"/>
      <c r="G12028" s="227" t="s">
        <v>1111</v>
      </c>
      <c r="H12028" s="228"/>
      <c r="I12028" s="228"/>
      <c r="J12028" s="229" t="s">
        <v>55</v>
      </c>
      <c r="K12028" s="230"/>
      <c r="L12028" s="230">
        <f>K12027</f>
        <v>158</v>
      </c>
    </row>
    <row r="12029" spans="1:14" ht="11.25" customHeight="1" x14ac:dyDescent="0.2">
      <c r="A12029" s="221">
        <v>2026</v>
      </c>
      <c r="B12029" s="221">
        <v>3</v>
      </c>
      <c r="C12029" s="221">
        <v>9</v>
      </c>
      <c r="D12029" s="221">
        <f t="shared" si="1325"/>
        <v>46090</v>
      </c>
      <c r="E12029" s="233">
        <f t="shared" si="1326"/>
        <v>46090</v>
      </c>
      <c r="F12029" s="478" t="s">
        <v>1937</v>
      </c>
      <c r="G12029" s="222" t="s">
        <v>86</v>
      </c>
      <c r="H12029" s="222"/>
      <c r="I12029" s="223"/>
      <c r="J12029" s="224" t="s">
        <v>80</v>
      </c>
      <c r="K12029" s="225">
        <v>159600</v>
      </c>
      <c r="L12029" s="225"/>
      <c r="N12029" s="263"/>
    </row>
    <row r="12030" spans="1:14" ht="11.25" customHeight="1" x14ac:dyDescent="0.2">
      <c r="A12030" s="164">
        <v>2026</v>
      </c>
      <c r="B12030" s="164">
        <v>3</v>
      </c>
      <c r="C12030" s="164">
        <v>9</v>
      </c>
      <c r="D12030" s="164">
        <f t="shared" si="1325"/>
        <v>46090</v>
      </c>
      <c r="E12030" s="235">
        <f t="shared" si="1326"/>
        <v>46090</v>
      </c>
      <c r="F12030" s="480"/>
      <c r="G12030" s="208" t="s">
        <v>86</v>
      </c>
      <c r="H12030" s="208"/>
      <c r="J12030" s="165" t="s">
        <v>960</v>
      </c>
      <c r="K12030" s="205">
        <v>2772.36</v>
      </c>
      <c r="L12030" s="205"/>
      <c r="M12030" s="263"/>
      <c r="N12030" s="263"/>
    </row>
    <row r="12031" spans="1:14" ht="11.25" customHeight="1" x14ac:dyDescent="0.2">
      <c r="A12031" s="164">
        <v>2026</v>
      </c>
      <c r="B12031" s="164">
        <v>3</v>
      </c>
      <c r="C12031" s="164">
        <v>9</v>
      </c>
      <c r="D12031" s="164">
        <f t="shared" si="1325"/>
        <v>46090</v>
      </c>
      <c r="E12031" s="235">
        <f t="shared" si="1326"/>
        <v>46090</v>
      </c>
      <c r="F12031" s="480"/>
      <c r="G12031" s="208" t="s">
        <v>86</v>
      </c>
      <c r="H12031" s="208"/>
      <c r="J12031" s="165" t="s">
        <v>199</v>
      </c>
      <c r="K12031" s="263">
        <v>1218227.6399999999</v>
      </c>
      <c r="L12031" s="205"/>
      <c r="M12031" s="263"/>
      <c r="N12031" s="263"/>
    </row>
    <row r="12032" spans="1:14" ht="11.25" customHeight="1" x14ac:dyDescent="0.2">
      <c r="A12032" s="164">
        <v>2026</v>
      </c>
      <c r="B12032" s="164">
        <v>3</v>
      </c>
      <c r="C12032" s="164">
        <v>9</v>
      </c>
      <c r="D12032" s="164">
        <f t="shared" si="1325"/>
        <v>46090</v>
      </c>
      <c r="E12032" s="235">
        <f t="shared" si="1326"/>
        <v>46090</v>
      </c>
      <c r="F12032" s="480"/>
      <c r="G12032" s="208" t="s">
        <v>86</v>
      </c>
      <c r="H12032" s="208"/>
      <c r="J12032" s="165" t="s">
        <v>200</v>
      </c>
      <c r="K12032" s="205"/>
      <c r="L12032" s="205">
        <v>64671.53</v>
      </c>
      <c r="M12032" s="263"/>
      <c r="N12032" s="263"/>
    </row>
    <row r="12033" spans="1:14" ht="11.25" customHeight="1" x14ac:dyDescent="0.2">
      <c r="A12033" s="226">
        <v>2026</v>
      </c>
      <c r="B12033" s="226">
        <v>3</v>
      </c>
      <c r="C12033" s="226">
        <v>9</v>
      </c>
      <c r="D12033" s="226">
        <f t="shared" si="1325"/>
        <v>46090</v>
      </c>
      <c r="E12033" s="234">
        <f t="shared" si="1326"/>
        <v>46090</v>
      </c>
      <c r="F12033" s="479"/>
      <c r="G12033" s="227" t="s">
        <v>86</v>
      </c>
      <c r="H12033" s="228"/>
      <c r="I12033" s="228"/>
      <c r="J12033" s="229" t="s">
        <v>80</v>
      </c>
      <c r="K12033" s="230"/>
      <c r="L12033" s="230">
        <v>1315928.47</v>
      </c>
      <c r="M12033" s="263"/>
      <c r="N12033" s="263"/>
    </row>
    <row r="12034" spans="1:14" ht="11.25" customHeight="1" x14ac:dyDescent="0.2">
      <c r="A12034" s="280">
        <v>2026</v>
      </c>
      <c r="B12034" s="280">
        <v>3</v>
      </c>
      <c r="C12034" s="280">
        <v>9</v>
      </c>
      <c r="D12034" s="281">
        <f t="shared" si="1325"/>
        <v>46090</v>
      </c>
      <c r="E12034" s="282">
        <f t="shared" si="1326"/>
        <v>46090</v>
      </c>
      <c r="F12034" s="472" t="s">
        <v>1584</v>
      </c>
      <c r="G12034" s="283" t="s">
        <v>86</v>
      </c>
      <c r="H12034" s="284"/>
      <c r="I12034" s="284"/>
      <c r="J12034" s="285" t="s">
        <v>131</v>
      </c>
      <c r="K12034" s="286">
        <v>1277.7777777777801</v>
      </c>
      <c r="L12034" s="286"/>
      <c r="M12034" s="401"/>
      <c r="N12034" s="166"/>
    </row>
    <row r="12035" spans="1:14" ht="11.25" customHeight="1" x14ac:dyDescent="0.2">
      <c r="A12035" s="287">
        <v>2026</v>
      </c>
      <c r="B12035" s="287">
        <v>3</v>
      </c>
      <c r="C12035" s="287">
        <v>9</v>
      </c>
      <c r="D12035" s="288">
        <f t="shared" si="1325"/>
        <v>46090</v>
      </c>
      <c r="E12035" s="289">
        <f t="shared" si="1326"/>
        <v>46090</v>
      </c>
      <c r="F12035" s="473"/>
      <c r="G12035" s="290" t="s">
        <v>86</v>
      </c>
      <c r="H12035" s="291"/>
      <c r="I12035" s="291"/>
      <c r="J12035" s="292" t="s">
        <v>1469</v>
      </c>
      <c r="K12035" s="293"/>
      <c r="L12035" s="293">
        <f>K12034</f>
        <v>1277.7777777777801</v>
      </c>
    </row>
    <row r="12036" spans="1:14" ht="11.25" customHeight="1" x14ac:dyDescent="0.2">
      <c r="A12036" s="280">
        <v>2026</v>
      </c>
      <c r="B12036" s="280">
        <v>3</v>
      </c>
      <c r="C12036" s="280">
        <v>9</v>
      </c>
      <c r="D12036" s="281">
        <f t="shared" si="1325"/>
        <v>46090</v>
      </c>
      <c r="E12036" s="282">
        <f t="shared" si="1326"/>
        <v>46090</v>
      </c>
      <c r="F12036" s="472" t="s">
        <v>1955</v>
      </c>
      <c r="G12036" s="283" t="s">
        <v>86</v>
      </c>
      <c r="H12036" s="284"/>
      <c r="I12036" s="284"/>
      <c r="J12036" s="285" t="s">
        <v>1978</v>
      </c>
      <c r="K12036" s="286">
        <v>6185.4395604395604</v>
      </c>
      <c r="L12036" s="286"/>
      <c r="M12036" s="401"/>
    </row>
    <row r="12037" spans="1:14" ht="11.25" customHeight="1" x14ac:dyDescent="0.2">
      <c r="A12037" s="287">
        <v>2026</v>
      </c>
      <c r="B12037" s="287">
        <v>3</v>
      </c>
      <c r="C12037" s="287">
        <v>9</v>
      </c>
      <c r="D12037" s="288">
        <f t="shared" si="1325"/>
        <v>46090</v>
      </c>
      <c r="E12037" s="289">
        <f t="shared" si="1326"/>
        <v>46090</v>
      </c>
      <c r="F12037" s="473"/>
      <c r="G12037" s="290" t="s">
        <v>86</v>
      </c>
      <c r="H12037" s="291"/>
      <c r="I12037" s="291"/>
      <c r="J12037" s="292" t="s">
        <v>1955</v>
      </c>
      <c r="K12037" s="293"/>
      <c r="L12037" s="293">
        <f>K12036</f>
        <v>6185.4395604395604</v>
      </c>
    </row>
    <row r="12038" spans="1:14" ht="11.25" customHeight="1" x14ac:dyDescent="0.2">
      <c r="A12038" s="341">
        <v>2026</v>
      </c>
      <c r="B12038" s="341">
        <v>3</v>
      </c>
      <c r="C12038" s="341">
        <v>9</v>
      </c>
      <c r="D12038" s="328">
        <f t="shared" si="1325"/>
        <v>46090</v>
      </c>
      <c r="E12038" s="329">
        <f t="shared" si="1326"/>
        <v>46090</v>
      </c>
      <c r="F12038" s="474" t="s">
        <v>1767</v>
      </c>
      <c r="G12038" s="330" t="s">
        <v>86</v>
      </c>
      <c r="H12038" s="332"/>
      <c r="I12038" s="332"/>
      <c r="J12038" s="342" t="s">
        <v>67</v>
      </c>
      <c r="K12038" s="343">
        <v>928.41387027777773</v>
      </c>
      <c r="L12038" s="343"/>
      <c r="M12038" s="166"/>
    </row>
    <row r="12039" spans="1:14" ht="11.25" customHeight="1" x14ac:dyDescent="0.2">
      <c r="A12039" s="344">
        <v>2026</v>
      </c>
      <c r="B12039" s="344">
        <v>3</v>
      </c>
      <c r="C12039" s="344">
        <v>9</v>
      </c>
      <c r="D12039" s="337">
        <f t="shared" si="1325"/>
        <v>46090</v>
      </c>
      <c r="E12039" s="338">
        <f t="shared" si="1326"/>
        <v>46090</v>
      </c>
      <c r="F12039" s="475"/>
      <c r="G12039" s="339" t="s">
        <v>86</v>
      </c>
      <c r="H12039" s="340"/>
      <c r="I12039" s="340"/>
      <c r="J12039" s="345" t="s">
        <v>1974</v>
      </c>
      <c r="K12039" s="346"/>
      <c r="L12039" s="346">
        <f>K12038</f>
        <v>928.41387027777773</v>
      </c>
    </row>
    <row r="12040" spans="1:14" ht="11.25" customHeight="1" x14ac:dyDescent="0.2">
      <c r="A12040" s="236">
        <v>2026</v>
      </c>
      <c r="B12040" s="236">
        <v>3</v>
      </c>
      <c r="C12040" s="236">
        <v>9</v>
      </c>
      <c r="D12040" s="237">
        <f t="shared" si="1325"/>
        <v>46090</v>
      </c>
      <c r="E12040" s="238">
        <f t="shared" si="1326"/>
        <v>46090</v>
      </c>
      <c r="F12040" s="476" t="s">
        <v>1118</v>
      </c>
      <c r="G12040" s="239" t="s">
        <v>86</v>
      </c>
      <c r="H12040" s="239"/>
      <c r="I12040" s="240"/>
      <c r="J12040" s="241" t="s">
        <v>98</v>
      </c>
      <c r="K12040" s="242">
        <v>5469598.8500000238</v>
      </c>
      <c r="L12040" s="242"/>
      <c r="M12040" s="166"/>
    </row>
    <row r="12041" spans="1:14" ht="11.25" customHeight="1" x14ac:dyDescent="0.2">
      <c r="A12041" s="243">
        <v>2026</v>
      </c>
      <c r="B12041" s="243">
        <v>3</v>
      </c>
      <c r="C12041" s="243">
        <v>9</v>
      </c>
      <c r="D12041" s="248">
        <f t="shared" si="1325"/>
        <v>46090</v>
      </c>
      <c r="E12041" s="249">
        <f t="shared" si="1326"/>
        <v>46090</v>
      </c>
      <c r="F12041" s="477"/>
      <c r="G12041" s="244" t="s">
        <v>86</v>
      </c>
      <c r="H12041" s="244"/>
      <c r="I12041" s="245"/>
      <c r="J12041" s="246" t="s">
        <v>82</v>
      </c>
      <c r="K12041" s="247"/>
      <c r="L12041" s="247">
        <f>K12040</f>
        <v>5469598.8500000238</v>
      </c>
    </row>
    <row r="12042" spans="1:14" ht="11.25" customHeight="1" x14ac:dyDescent="0.2">
      <c r="A12042" s="236">
        <v>2026</v>
      </c>
      <c r="B12042" s="236">
        <v>3</v>
      </c>
      <c r="C12042" s="236">
        <v>9</v>
      </c>
      <c r="D12042" s="237">
        <f t="shared" si="1325"/>
        <v>46090</v>
      </c>
      <c r="E12042" s="238">
        <f t="shared" si="1326"/>
        <v>46090</v>
      </c>
      <c r="F12042" s="476" t="s">
        <v>1999</v>
      </c>
      <c r="G12042" s="239" t="s">
        <v>86</v>
      </c>
      <c r="H12042" s="239"/>
      <c r="I12042" s="240"/>
      <c r="J12042" s="241" t="s">
        <v>87</v>
      </c>
      <c r="K12042" s="242">
        <v>392.46467817896399</v>
      </c>
      <c r="L12042" s="242"/>
      <c r="M12042" s="401"/>
    </row>
    <row r="12043" spans="1:14" ht="11.25" customHeight="1" x14ac:dyDescent="0.2">
      <c r="A12043" s="243">
        <v>2026</v>
      </c>
      <c r="B12043" s="243">
        <v>3</v>
      </c>
      <c r="C12043" s="243">
        <v>9</v>
      </c>
      <c r="D12043" s="248">
        <f t="shared" si="1325"/>
        <v>46090</v>
      </c>
      <c r="E12043" s="249">
        <f t="shared" si="1326"/>
        <v>46090</v>
      </c>
      <c r="F12043" s="477"/>
      <c r="G12043" s="244" t="s">
        <v>86</v>
      </c>
      <c r="H12043" s="244"/>
      <c r="I12043" s="245"/>
      <c r="J12043" s="246" t="s">
        <v>64</v>
      </c>
      <c r="K12043" s="247"/>
      <c r="L12043" s="247">
        <f>K12042</f>
        <v>392.46467817896399</v>
      </c>
    </row>
    <row r="12044" spans="1:14" ht="11.25" customHeight="1" x14ac:dyDescent="0.2">
      <c r="A12044" s="236">
        <v>2026</v>
      </c>
      <c r="B12044" s="236">
        <v>3</v>
      </c>
      <c r="C12044" s="236">
        <v>9</v>
      </c>
      <c r="D12044" s="237">
        <f t="shared" si="1325"/>
        <v>46090</v>
      </c>
      <c r="E12044" s="238">
        <f t="shared" si="1326"/>
        <v>46090</v>
      </c>
      <c r="F12044" s="476" t="s">
        <v>2000</v>
      </c>
      <c r="G12044" s="239" t="s">
        <v>86</v>
      </c>
      <c r="H12044" s="239"/>
      <c r="I12044" s="240"/>
      <c r="J12044" s="241" t="s">
        <v>89</v>
      </c>
      <c r="K12044" s="242">
        <v>14844.968697873699</v>
      </c>
      <c r="L12044" s="242"/>
      <c r="M12044" s="448"/>
    </row>
    <row r="12045" spans="1:14" ht="11.25" customHeight="1" x14ac:dyDescent="0.2">
      <c r="A12045" s="243">
        <v>2026</v>
      </c>
      <c r="B12045" s="243">
        <v>3</v>
      </c>
      <c r="C12045" s="243">
        <v>9</v>
      </c>
      <c r="D12045" s="248">
        <f t="shared" si="1325"/>
        <v>46090</v>
      </c>
      <c r="E12045" s="249">
        <f t="shared" si="1326"/>
        <v>46090</v>
      </c>
      <c r="F12045" s="477"/>
      <c r="G12045" s="244" t="s">
        <v>86</v>
      </c>
      <c r="H12045" s="244"/>
      <c r="I12045" s="245"/>
      <c r="J12045" s="246" t="s">
        <v>50</v>
      </c>
      <c r="K12045" s="247"/>
      <c r="L12045" s="247">
        <f>K12044</f>
        <v>14844.968697873699</v>
      </c>
      <c r="M12045" s="448"/>
    </row>
    <row r="12046" spans="1:14" ht="11.25" customHeight="1" x14ac:dyDescent="0.2">
      <c r="A12046" s="236">
        <v>2026</v>
      </c>
      <c r="B12046" s="236">
        <v>3</v>
      </c>
      <c r="C12046" s="236">
        <v>9</v>
      </c>
      <c r="D12046" s="237">
        <f t="shared" si="1325"/>
        <v>46090</v>
      </c>
      <c r="E12046" s="238">
        <f t="shared" si="1326"/>
        <v>46090</v>
      </c>
      <c r="F12046" s="476" t="s">
        <v>2001</v>
      </c>
      <c r="G12046" s="239" t="s">
        <v>86</v>
      </c>
      <c r="H12046" s="239"/>
      <c r="I12046" s="240"/>
      <c r="J12046" s="241" t="s">
        <v>91</v>
      </c>
      <c r="K12046" s="242">
        <v>715.69197711852053</v>
      </c>
      <c r="L12046" s="242"/>
    </row>
    <row r="12047" spans="1:14" ht="11.25" customHeight="1" x14ac:dyDescent="0.2">
      <c r="A12047" s="243">
        <v>2026</v>
      </c>
      <c r="B12047" s="243">
        <v>3</v>
      </c>
      <c r="C12047" s="243">
        <v>9</v>
      </c>
      <c r="D12047" s="248">
        <f t="shared" si="1325"/>
        <v>46090</v>
      </c>
      <c r="E12047" s="249">
        <f t="shared" si="1326"/>
        <v>46090</v>
      </c>
      <c r="F12047" s="477"/>
      <c r="G12047" s="244" t="s">
        <v>86</v>
      </c>
      <c r="H12047" s="244"/>
      <c r="I12047" s="245"/>
      <c r="J12047" s="246" t="s">
        <v>51</v>
      </c>
      <c r="K12047" s="247"/>
      <c r="L12047" s="247">
        <f>K12046</f>
        <v>715.69197711852053</v>
      </c>
    </row>
    <row r="12048" spans="1:14" ht="11.25" customHeight="1" x14ac:dyDescent="0.2">
      <c r="A12048" s="221">
        <v>2026</v>
      </c>
      <c r="B12048" s="221">
        <v>3</v>
      </c>
      <c r="C12048" s="221">
        <v>10</v>
      </c>
      <c r="D12048" s="221">
        <f t="shared" ref="D12048:D12077" si="1327">DATE(A12048,B12048,C12048)</f>
        <v>46091</v>
      </c>
      <c r="E12048" s="233">
        <f t="shared" ref="E12048:E12077" si="1328">DATE(A12048,B12048,C12048)</f>
        <v>46091</v>
      </c>
      <c r="F12048" s="478" t="s">
        <v>1937</v>
      </c>
      <c r="G12048" s="222" t="s">
        <v>86</v>
      </c>
      <c r="H12048" s="222"/>
      <c r="I12048" s="223"/>
      <c r="J12048" s="224" t="s">
        <v>80</v>
      </c>
      <c r="K12048" s="225">
        <v>1710431.6</v>
      </c>
      <c r="L12048" s="225"/>
      <c r="N12048" s="263"/>
    </row>
    <row r="12049" spans="1:14" ht="11.25" customHeight="1" x14ac:dyDescent="0.2">
      <c r="A12049" s="164">
        <v>2026</v>
      </c>
      <c r="B12049" s="164">
        <v>3</v>
      </c>
      <c r="C12049" s="164">
        <v>10</v>
      </c>
      <c r="D12049" s="164">
        <f t="shared" si="1327"/>
        <v>46091</v>
      </c>
      <c r="E12049" s="235">
        <f t="shared" si="1328"/>
        <v>46091</v>
      </c>
      <c r="F12049" s="480"/>
      <c r="G12049" s="208" t="s">
        <v>86</v>
      </c>
      <c r="H12049" s="208"/>
      <c r="J12049" s="165" t="s">
        <v>960</v>
      </c>
      <c r="K12049" s="205">
        <v>9308.17</v>
      </c>
      <c r="L12049" s="205"/>
      <c r="M12049" s="263"/>
      <c r="N12049" s="263"/>
    </row>
    <row r="12050" spans="1:14" ht="11.25" customHeight="1" x14ac:dyDescent="0.2">
      <c r="A12050" s="164">
        <v>2026</v>
      </c>
      <c r="B12050" s="164">
        <v>3</v>
      </c>
      <c r="C12050" s="164">
        <v>10</v>
      </c>
      <c r="D12050" s="164">
        <f t="shared" si="1327"/>
        <v>46091</v>
      </c>
      <c r="E12050" s="235">
        <f t="shared" si="1328"/>
        <v>46091</v>
      </c>
      <c r="F12050" s="480"/>
      <c r="G12050" s="208" t="s">
        <v>86</v>
      </c>
      <c r="H12050" s="208"/>
      <c r="J12050" s="165" t="s">
        <v>199</v>
      </c>
      <c r="K12050" s="263">
        <v>1741010.27</v>
      </c>
      <c r="L12050" s="205"/>
      <c r="M12050" s="263"/>
      <c r="N12050" s="263"/>
    </row>
    <row r="12051" spans="1:14" ht="11.25" customHeight="1" x14ac:dyDescent="0.2">
      <c r="A12051" s="164">
        <v>2026</v>
      </c>
      <c r="B12051" s="164">
        <v>3</v>
      </c>
      <c r="C12051" s="164">
        <v>10</v>
      </c>
      <c r="D12051" s="164">
        <f t="shared" si="1327"/>
        <v>46091</v>
      </c>
      <c r="E12051" s="235">
        <f t="shared" si="1328"/>
        <v>46091</v>
      </c>
      <c r="F12051" s="480"/>
      <c r="G12051" s="208" t="s">
        <v>86</v>
      </c>
      <c r="H12051" s="208"/>
      <c r="J12051" s="165" t="s">
        <v>200</v>
      </c>
      <c r="K12051" s="205"/>
      <c r="L12051" s="205">
        <v>269947.05</v>
      </c>
      <c r="M12051" s="263"/>
      <c r="N12051" s="263"/>
    </row>
    <row r="12052" spans="1:14" ht="11.25" customHeight="1" x14ac:dyDescent="0.2">
      <c r="A12052" s="226">
        <v>2026</v>
      </c>
      <c r="B12052" s="226">
        <v>3</v>
      </c>
      <c r="C12052" s="226">
        <v>10</v>
      </c>
      <c r="D12052" s="226">
        <f t="shared" si="1327"/>
        <v>46091</v>
      </c>
      <c r="E12052" s="234">
        <f t="shared" si="1328"/>
        <v>46091</v>
      </c>
      <c r="F12052" s="479"/>
      <c r="G12052" s="227" t="s">
        <v>86</v>
      </c>
      <c r="H12052" s="228"/>
      <c r="I12052" s="228"/>
      <c r="J12052" s="229" t="s">
        <v>80</v>
      </c>
      <c r="K12052" s="230"/>
      <c r="L12052" s="230">
        <v>3190802.95</v>
      </c>
      <c r="M12052" s="263"/>
      <c r="N12052" s="263"/>
    </row>
    <row r="12053" spans="1:14" ht="11.25" customHeight="1" x14ac:dyDescent="0.2">
      <c r="A12053" s="221">
        <v>2026</v>
      </c>
      <c r="B12053" s="221">
        <v>3</v>
      </c>
      <c r="C12053" s="221">
        <v>10</v>
      </c>
      <c r="D12053" s="231">
        <f t="shared" si="1327"/>
        <v>46091</v>
      </c>
      <c r="E12053" s="233">
        <f t="shared" si="1328"/>
        <v>46091</v>
      </c>
      <c r="F12053" s="478" t="s">
        <v>1115</v>
      </c>
      <c r="G12053" s="222" t="s">
        <v>1111</v>
      </c>
      <c r="H12053" s="223"/>
      <c r="I12053" s="223"/>
      <c r="J12053" s="224" t="s">
        <v>14</v>
      </c>
      <c r="K12053" s="167">
        <v>33560</v>
      </c>
      <c r="L12053" s="225"/>
    </row>
    <row r="12054" spans="1:14" ht="11.25" customHeight="1" x14ac:dyDescent="0.2">
      <c r="A12054" s="164">
        <v>2026</v>
      </c>
      <c r="B12054" s="164">
        <v>3</v>
      </c>
      <c r="C12054" s="164">
        <v>10</v>
      </c>
      <c r="D12054" s="156">
        <f t="shared" si="1327"/>
        <v>46091</v>
      </c>
      <c r="E12054" s="235">
        <f t="shared" si="1328"/>
        <v>46091</v>
      </c>
      <c r="F12054" s="480"/>
      <c r="G12054" s="208" t="s">
        <v>1111</v>
      </c>
      <c r="J12054" s="165" t="s">
        <v>1112</v>
      </c>
      <c r="K12054" s="167">
        <v>8440</v>
      </c>
      <c r="L12054" s="205"/>
    </row>
    <row r="12055" spans="1:14" ht="11.25" customHeight="1" x14ac:dyDescent="0.2">
      <c r="A12055" s="226">
        <v>2026</v>
      </c>
      <c r="B12055" s="226">
        <v>3</v>
      </c>
      <c r="C12055" s="226">
        <v>10</v>
      </c>
      <c r="D12055" s="232">
        <f t="shared" si="1327"/>
        <v>46091</v>
      </c>
      <c r="E12055" s="234">
        <f t="shared" si="1328"/>
        <v>46091</v>
      </c>
      <c r="F12055" s="479"/>
      <c r="G12055" s="227" t="s">
        <v>1111</v>
      </c>
      <c r="H12055" s="228"/>
      <c r="I12055" s="228"/>
      <c r="J12055" s="229" t="s">
        <v>55</v>
      </c>
      <c r="K12055" s="230"/>
      <c r="L12055" s="230">
        <v>42000</v>
      </c>
    </row>
    <row r="12056" spans="1:14" ht="11.25" customHeight="1" x14ac:dyDescent="0.2">
      <c r="A12056" s="221">
        <v>2026</v>
      </c>
      <c r="B12056" s="221">
        <v>3</v>
      </c>
      <c r="C12056" s="221">
        <v>10</v>
      </c>
      <c r="D12056" s="231">
        <f t="shared" si="1327"/>
        <v>46091</v>
      </c>
      <c r="E12056" s="233">
        <f t="shared" si="1328"/>
        <v>46091</v>
      </c>
      <c r="F12056" s="478" t="s">
        <v>2002</v>
      </c>
      <c r="G12056" s="222" t="s">
        <v>1111</v>
      </c>
      <c r="H12056" s="223"/>
      <c r="I12056" s="223"/>
      <c r="J12056" s="224" t="s">
        <v>961</v>
      </c>
      <c r="K12056" s="225">
        <v>153275.4</v>
      </c>
      <c r="L12056" s="225"/>
    </row>
    <row r="12057" spans="1:14" ht="11.25" customHeight="1" x14ac:dyDescent="0.2">
      <c r="A12057" s="226">
        <v>2026</v>
      </c>
      <c r="B12057" s="226">
        <v>3</v>
      </c>
      <c r="C12057" s="226">
        <v>10</v>
      </c>
      <c r="D12057" s="232">
        <f t="shared" si="1327"/>
        <v>46091</v>
      </c>
      <c r="E12057" s="234">
        <f t="shared" si="1328"/>
        <v>46091</v>
      </c>
      <c r="F12057" s="479"/>
      <c r="G12057" s="227" t="s">
        <v>1111</v>
      </c>
      <c r="H12057" s="228"/>
      <c r="I12057" s="228"/>
      <c r="J12057" s="229" t="s">
        <v>55</v>
      </c>
      <c r="K12057" s="230"/>
      <c r="L12057" s="230">
        <f>K12056</f>
        <v>153275.4</v>
      </c>
    </row>
    <row r="12058" spans="1:14" ht="11.25" customHeight="1" x14ac:dyDescent="0.2">
      <c r="A12058" s="164">
        <v>2026</v>
      </c>
      <c r="B12058" s="164">
        <v>3</v>
      </c>
      <c r="C12058" s="164">
        <v>10</v>
      </c>
      <c r="D12058" s="231">
        <f t="shared" si="1327"/>
        <v>46091</v>
      </c>
      <c r="E12058" s="233">
        <f t="shared" si="1328"/>
        <v>46091</v>
      </c>
      <c r="F12058" s="478" t="s">
        <v>1196</v>
      </c>
      <c r="G12058" s="222" t="s">
        <v>1111</v>
      </c>
      <c r="H12058" s="223"/>
      <c r="I12058" s="223"/>
      <c r="J12058" s="224" t="s">
        <v>95</v>
      </c>
      <c r="K12058" s="225">
        <f>L12060/0.9</f>
        <v>8368.1444444444442</v>
      </c>
      <c r="L12058" s="225"/>
      <c r="M12058" s="166"/>
    </row>
    <row r="12059" spans="1:14" ht="11.25" customHeight="1" x14ac:dyDescent="0.2">
      <c r="A12059" s="164">
        <v>2026</v>
      </c>
      <c r="B12059" s="164">
        <v>3</v>
      </c>
      <c r="C12059" s="164">
        <v>10</v>
      </c>
      <c r="D12059" s="156">
        <f t="shared" si="1327"/>
        <v>46091</v>
      </c>
      <c r="E12059" s="235">
        <f t="shared" si="1328"/>
        <v>46091</v>
      </c>
      <c r="F12059" s="480"/>
      <c r="G12059" s="208" t="s">
        <v>1111</v>
      </c>
      <c r="J12059" s="165" t="s">
        <v>478</v>
      </c>
      <c r="K12059" s="205"/>
      <c r="L12059" s="205">
        <f>K12058-L12060</f>
        <v>836.81444444444423</v>
      </c>
    </row>
    <row r="12060" spans="1:14" ht="11.25" customHeight="1" x14ac:dyDescent="0.2">
      <c r="A12060" s="164">
        <v>2026</v>
      </c>
      <c r="B12060" s="164">
        <v>3</v>
      </c>
      <c r="C12060" s="226">
        <v>10</v>
      </c>
      <c r="D12060" s="232">
        <f t="shared" si="1327"/>
        <v>46091</v>
      </c>
      <c r="E12060" s="234">
        <f t="shared" si="1328"/>
        <v>46091</v>
      </c>
      <c r="F12060" s="479"/>
      <c r="G12060" s="208" t="s">
        <v>1111</v>
      </c>
      <c r="J12060" s="165" t="s">
        <v>55</v>
      </c>
      <c r="K12060" s="230"/>
      <c r="L12060" s="230">
        <v>7531.33</v>
      </c>
    </row>
    <row r="12061" spans="1:14" ht="11.25" customHeight="1" x14ac:dyDescent="0.2">
      <c r="A12061" s="221">
        <v>2026</v>
      </c>
      <c r="B12061" s="221">
        <v>3</v>
      </c>
      <c r="C12061" s="164">
        <v>10</v>
      </c>
      <c r="D12061" s="231">
        <f t="shared" si="1327"/>
        <v>46091</v>
      </c>
      <c r="E12061" s="233">
        <f t="shared" si="1328"/>
        <v>46091</v>
      </c>
      <c r="F12061" s="478" t="s">
        <v>1132</v>
      </c>
      <c r="G12061" s="222" t="s">
        <v>1111</v>
      </c>
      <c r="H12061" s="223"/>
      <c r="I12061" s="223"/>
      <c r="J12061" s="224" t="s">
        <v>55</v>
      </c>
      <c r="K12061" s="225">
        <v>5000</v>
      </c>
      <c r="L12061" s="225"/>
    </row>
    <row r="12062" spans="1:14" ht="11.25" customHeight="1" x14ac:dyDescent="0.2">
      <c r="A12062" s="164">
        <v>2026</v>
      </c>
      <c r="B12062" s="164">
        <v>3</v>
      </c>
      <c r="C12062" s="164">
        <v>10</v>
      </c>
      <c r="D12062" s="156">
        <f t="shared" si="1327"/>
        <v>46091</v>
      </c>
      <c r="E12062" s="235">
        <f t="shared" si="1328"/>
        <v>46091</v>
      </c>
      <c r="F12062" s="480"/>
      <c r="G12062" s="208" t="s">
        <v>1111</v>
      </c>
      <c r="J12062" s="165" t="s">
        <v>14</v>
      </c>
      <c r="K12062" s="205"/>
      <c r="L12062" s="205">
        <v>3990</v>
      </c>
    </row>
    <row r="12063" spans="1:14" ht="11.25" customHeight="1" x14ac:dyDescent="0.2">
      <c r="A12063" s="226">
        <v>2026</v>
      </c>
      <c r="B12063" s="226">
        <v>3</v>
      </c>
      <c r="C12063" s="164">
        <v>10</v>
      </c>
      <c r="D12063" s="232">
        <f t="shared" si="1327"/>
        <v>46091</v>
      </c>
      <c r="E12063" s="234">
        <f t="shared" si="1328"/>
        <v>46091</v>
      </c>
      <c r="F12063" s="479"/>
      <c r="G12063" s="227" t="s">
        <v>1111</v>
      </c>
      <c r="H12063" s="228"/>
      <c r="I12063" s="228"/>
      <c r="J12063" s="229" t="s">
        <v>1112</v>
      </c>
      <c r="K12063" s="230"/>
      <c r="L12063" s="230">
        <v>1010</v>
      </c>
      <c r="M12063" s="166"/>
    </row>
    <row r="12064" spans="1:14" ht="11.25" customHeight="1" x14ac:dyDescent="0.2">
      <c r="A12064" s="280">
        <v>2026</v>
      </c>
      <c r="B12064" s="280">
        <v>3</v>
      </c>
      <c r="C12064" s="280">
        <v>10</v>
      </c>
      <c r="D12064" s="281">
        <f t="shared" si="1327"/>
        <v>46091</v>
      </c>
      <c r="E12064" s="282">
        <f t="shared" si="1328"/>
        <v>46091</v>
      </c>
      <c r="F12064" s="472" t="s">
        <v>1584</v>
      </c>
      <c r="G12064" s="283" t="s">
        <v>86</v>
      </c>
      <c r="H12064" s="284"/>
      <c r="I12064" s="284"/>
      <c r="J12064" s="285" t="s">
        <v>131</v>
      </c>
      <c r="K12064" s="286">
        <v>1277.7777777777801</v>
      </c>
      <c r="L12064" s="286"/>
      <c r="M12064" s="401"/>
      <c r="N12064" s="166"/>
    </row>
    <row r="12065" spans="1:13" ht="11.25" customHeight="1" x14ac:dyDescent="0.2">
      <c r="A12065" s="287">
        <v>2026</v>
      </c>
      <c r="B12065" s="287">
        <v>3</v>
      </c>
      <c r="C12065" s="287">
        <v>10</v>
      </c>
      <c r="D12065" s="288">
        <f t="shared" si="1327"/>
        <v>46091</v>
      </c>
      <c r="E12065" s="289">
        <f t="shared" si="1328"/>
        <v>46091</v>
      </c>
      <c r="F12065" s="473"/>
      <c r="G12065" s="290" t="s">
        <v>86</v>
      </c>
      <c r="H12065" s="291"/>
      <c r="I12065" s="291"/>
      <c r="J12065" s="292" t="s">
        <v>1469</v>
      </c>
      <c r="K12065" s="293"/>
      <c r="L12065" s="293">
        <f>K12064</f>
        <v>1277.7777777777801</v>
      </c>
    </row>
    <row r="12066" spans="1:13" ht="11.25" customHeight="1" x14ac:dyDescent="0.2">
      <c r="A12066" s="280">
        <v>2026</v>
      </c>
      <c r="B12066" s="280">
        <v>3</v>
      </c>
      <c r="C12066" s="280">
        <v>10</v>
      </c>
      <c r="D12066" s="281">
        <f t="shared" si="1327"/>
        <v>46091</v>
      </c>
      <c r="E12066" s="282">
        <f t="shared" si="1328"/>
        <v>46091</v>
      </c>
      <c r="F12066" s="472" t="s">
        <v>1955</v>
      </c>
      <c r="G12066" s="283" t="s">
        <v>86</v>
      </c>
      <c r="H12066" s="284"/>
      <c r="I12066" s="284"/>
      <c r="J12066" s="285" t="s">
        <v>1978</v>
      </c>
      <c r="K12066" s="286">
        <v>6185.4395604395604</v>
      </c>
      <c r="L12066" s="286"/>
      <c r="M12066" s="401"/>
    </row>
    <row r="12067" spans="1:13" ht="11.25" customHeight="1" x14ac:dyDescent="0.2">
      <c r="A12067" s="287">
        <v>2026</v>
      </c>
      <c r="B12067" s="287">
        <v>3</v>
      </c>
      <c r="C12067" s="287">
        <v>10</v>
      </c>
      <c r="D12067" s="288">
        <f t="shared" si="1327"/>
        <v>46091</v>
      </c>
      <c r="E12067" s="289">
        <f t="shared" si="1328"/>
        <v>46091</v>
      </c>
      <c r="F12067" s="473"/>
      <c r="G12067" s="290" t="s">
        <v>86</v>
      </c>
      <c r="H12067" s="291"/>
      <c r="I12067" s="291"/>
      <c r="J12067" s="292" t="s">
        <v>1955</v>
      </c>
      <c r="K12067" s="293"/>
      <c r="L12067" s="293">
        <f>K12066</f>
        <v>6185.4395604395604</v>
      </c>
    </row>
    <row r="12068" spans="1:13" ht="11.25" customHeight="1" x14ac:dyDescent="0.2">
      <c r="A12068" s="341">
        <v>2026</v>
      </c>
      <c r="B12068" s="341">
        <v>3</v>
      </c>
      <c r="C12068" s="341">
        <v>10</v>
      </c>
      <c r="D12068" s="328">
        <f t="shared" si="1327"/>
        <v>46091</v>
      </c>
      <c r="E12068" s="329">
        <f t="shared" si="1328"/>
        <v>46091</v>
      </c>
      <c r="F12068" s="474" t="s">
        <v>1767</v>
      </c>
      <c r="G12068" s="330" t="s">
        <v>86</v>
      </c>
      <c r="H12068" s="332"/>
      <c r="I12068" s="332"/>
      <c r="J12068" s="342" t="s">
        <v>67</v>
      </c>
      <c r="K12068" s="343">
        <v>1313.0787175</v>
      </c>
      <c r="L12068" s="343"/>
      <c r="M12068" s="166"/>
    </row>
    <row r="12069" spans="1:13" ht="11.25" customHeight="1" x14ac:dyDescent="0.2">
      <c r="A12069" s="344">
        <v>2026</v>
      </c>
      <c r="B12069" s="344">
        <v>3</v>
      </c>
      <c r="C12069" s="344">
        <v>10</v>
      </c>
      <c r="D12069" s="337">
        <f t="shared" si="1327"/>
        <v>46091</v>
      </c>
      <c r="E12069" s="338">
        <f t="shared" si="1328"/>
        <v>46091</v>
      </c>
      <c r="F12069" s="475"/>
      <c r="G12069" s="339" t="s">
        <v>86</v>
      </c>
      <c r="H12069" s="340"/>
      <c r="I12069" s="340"/>
      <c r="J12069" s="345" t="s">
        <v>1974</v>
      </c>
      <c r="K12069" s="346"/>
      <c r="L12069" s="346">
        <f>K12068</f>
        <v>1313.0787175</v>
      </c>
    </row>
    <row r="12070" spans="1:13" ht="11.25" customHeight="1" x14ac:dyDescent="0.2">
      <c r="A12070" s="236">
        <v>2026</v>
      </c>
      <c r="B12070" s="236">
        <v>3</v>
      </c>
      <c r="C12070" s="236">
        <v>10</v>
      </c>
      <c r="D12070" s="237">
        <f t="shared" si="1327"/>
        <v>46091</v>
      </c>
      <c r="E12070" s="238">
        <f t="shared" si="1328"/>
        <v>46091</v>
      </c>
      <c r="F12070" s="476" t="s">
        <v>1118</v>
      </c>
      <c r="G12070" s="239" t="s">
        <v>86</v>
      </c>
      <c r="H12070" s="239"/>
      <c r="I12070" s="240"/>
      <c r="J12070" s="241" t="s">
        <v>98</v>
      </c>
      <c r="K12070" s="242">
        <v>6891430.9499999583</v>
      </c>
      <c r="L12070" s="242"/>
      <c r="M12070" s="166"/>
    </row>
    <row r="12071" spans="1:13" ht="11.25" customHeight="1" x14ac:dyDescent="0.2">
      <c r="A12071" s="243">
        <v>2026</v>
      </c>
      <c r="B12071" s="243">
        <v>3</v>
      </c>
      <c r="C12071" s="243">
        <v>10</v>
      </c>
      <c r="D12071" s="248">
        <f t="shared" si="1327"/>
        <v>46091</v>
      </c>
      <c r="E12071" s="249">
        <f t="shared" si="1328"/>
        <v>46091</v>
      </c>
      <c r="F12071" s="477"/>
      <c r="G12071" s="244" t="s">
        <v>86</v>
      </c>
      <c r="H12071" s="244"/>
      <c r="I12071" s="245"/>
      <c r="J12071" s="246" t="s">
        <v>82</v>
      </c>
      <c r="K12071" s="247"/>
      <c r="L12071" s="247">
        <f>K12070</f>
        <v>6891430.9499999583</v>
      </c>
    </row>
    <row r="12072" spans="1:13" ht="11.25" customHeight="1" x14ac:dyDescent="0.2">
      <c r="A12072" s="236">
        <v>2026</v>
      </c>
      <c r="B12072" s="236">
        <v>3</v>
      </c>
      <c r="C12072" s="236">
        <v>10</v>
      </c>
      <c r="D12072" s="237">
        <f t="shared" si="1327"/>
        <v>46091</v>
      </c>
      <c r="E12072" s="238">
        <f t="shared" si="1328"/>
        <v>46091</v>
      </c>
      <c r="F12072" s="476" t="s">
        <v>1999</v>
      </c>
      <c r="G12072" s="239" t="s">
        <v>86</v>
      </c>
      <c r="H12072" s="239"/>
      <c r="I12072" s="240"/>
      <c r="J12072" s="241" t="s">
        <v>87</v>
      </c>
      <c r="K12072" s="242">
        <v>392.46467817896399</v>
      </c>
      <c r="L12072" s="242"/>
      <c r="M12072" s="401"/>
    </row>
    <row r="12073" spans="1:13" ht="11.25" customHeight="1" x14ac:dyDescent="0.2">
      <c r="A12073" s="243">
        <v>2026</v>
      </c>
      <c r="B12073" s="243">
        <v>3</v>
      </c>
      <c r="C12073" s="243">
        <v>10</v>
      </c>
      <c r="D12073" s="248">
        <f t="shared" si="1327"/>
        <v>46091</v>
      </c>
      <c r="E12073" s="249">
        <f t="shared" si="1328"/>
        <v>46091</v>
      </c>
      <c r="F12073" s="477"/>
      <c r="G12073" s="244" t="s">
        <v>86</v>
      </c>
      <c r="H12073" s="244"/>
      <c r="I12073" s="245"/>
      <c r="J12073" s="246" t="s">
        <v>64</v>
      </c>
      <c r="K12073" s="247"/>
      <c r="L12073" s="247">
        <f>K12072</f>
        <v>392.46467817896399</v>
      </c>
    </row>
    <row r="12074" spans="1:13" ht="11.25" customHeight="1" x14ac:dyDescent="0.2">
      <c r="A12074" s="236">
        <v>2026</v>
      </c>
      <c r="B12074" s="236">
        <v>3</v>
      </c>
      <c r="C12074" s="236">
        <v>10</v>
      </c>
      <c r="D12074" s="237">
        <f t="shared" si="1327"/>
        <v>46091</v>
      </c>
      <c r="E12074" s="238">
        <f t="shared" si="1328"/>
        <v>46091</v>
      </c>
      <c r="F12074" s="476" t="s">
        <v>2000</v>
      </c>
      <c r="G12074" s="239" t="s">
        <v>86</v>
      </c>
      <c r="H12074" s="239"/>
      <c r="I12074" s="240"/>
      <c r="J12074" s="241" t="s">
        <v>89</v>
      </c>
      <c r="K12074" s="242">
        <v>15136.524499614896</v>
      </c>
      <c r="L12074" s="242"/>
      <c r="M12074" s="448"/>
    </row>
    <row r="12075" spans="1:13" ht="11.25" customHeight="1" x14ac:dyDescent="0.2">
      <c r="A12075" s="243">
        <v>2026</v>
      </c>
      <c r="B12075" s="243">
        <v>3</v>
      </c>
      <c r="C12075" s="243">
        <v>10</v>
      </c>
      <c r="D12075" s="248">
        <f t="shared" si="1327"/>
        <v>46091</v>
      </c>
      <c r="E12075" s="249">
        <f t="shared" si="1328"/>
        <v>46091</v>
      </c>
      <c r="F12075" s="477"/>
      <c r="G12075" s="244" t="s">
        <v>86</v>
      </c>
      <c r="H12075" s="244"/>
      <c r="I12075" s="245"/>
      <c r="J12075" s="246" t="s">
        <v>50</v>
      </c>
      <c r="K12075" s="247"/>
      <c r="L12075" s="247">
        <f>K12074</f>
        <v>15136.524499614896</v>
      </c>
      <c r="M12075" s="448">
        <v>15136.524499614896</v>
      </c>
    </row>
    <row r="12076" spans="1:13" ht="11.25" customHeight="1" x14ac:dyDescent="0.2">
      <c r="A12076" s="236">
        <v>2026</v>
      </c>
      <c r="B12076" s="236">
        <v>3</v>
      </c>
      <c r="C12076" s="236">
        <v>10</v>
      </c>
      <c r="D12076" s="237">
        <f t="shared" si="1327"/>
        <v>46091</v>
      </c>
      <c r="E12076" s="238">
        <f t="shared" si="1328"/>
        <v>46091</v>
      </c>
      <c r="F12076" s="476" t="s">
        <v>2001</v>
      </c>
      <c r="G12076" s="239" t="s">
        <v>86</v>
      </c>
      <c r="H12076" s="239"/>
      <c r="I12076" s="240"/>
      <c r="J12076" s="241" t="s">
        <v>91</v>
      </c>
      <c r="K12076" s="242">
        <v>735.12903056793368</v>
      </c>
      <c r="L12076" s="242"/>
      <c r="M12076" s="156">
        <v>735.12903056793368</v>
      </c>
    </row>
    <row r="12077" spans="1:13" ht="11.25" customHeight="1" x14ac:dyDescent="0.2">
      <c r="A12077" s="243">
        <v>2026</v>
      </c>
      <c r="B12077" s="243">
        <v>3</v>
      </c>
      <c r="C12077" s="243">
        <v>10</v>
      </c>
      <c r="D12077" s="248">
        <f t="shared" si="1327"/>
        <v>46091</v>
      </c>
      <c r="E12077" s="249">
        <f t="shared" si="1328"/>
        <v>46091</v>
      </c>
      <c r="F12077" s="477"/>
      <c r="G12077" s="244" t="s">
        <v>86</v>
      </c>
      <c r="H12077" s="244"/>
      <c r="I12077" s="245"/>
      <c r="J12077" s="246" t="s">
        <v>51</v>
      </c>
      <c r="K12077" s="247"/>
      <c r="L12077" s="247">
        <f>K12076</f>
        <v>735.12903056793368</v>
      </c>
    </row>
    <row r="12078" spans="1:13" ht="11.25" customHeight="1" x14ac:dyDescent="0.2">
      <c r="A12078" s="221">
        <v>2026</v>
      </c>
      <c r="B12078" s="221">
        <v>3</v>
      </c>
      <c r="C12078" s="221">
        <v>11</v>
      </c>
      <c r="D12078" s="231">
        <f t="shared" ref="D12078:D12081" si="1329">DATE(A12078,B12078,C12078)</f>
        <v>46092</v>
      </c>
      <c r="E12078" s="233">
        <f t="shared" ref="E12078:E12081" si="1330">DATE(A12078,B12078,C12078)</f>
        <v>46092</v>
      </c>
      <c r="F12078" s="478" t="s">
        <v>2005</v>
      </c>
      <c r="G12078" s="222" t="s">
        <v>1111</v>
      </c>
      <c r="H12078" s="223"/>
      <c r="I12078" s="223"/>
      <c r="J12078" s="224" t="s">
        <v>961</v>
      </c>
      <c r="K12078" s="225">
        <v>4519437.17</v>
      </c>
      <c r="L12078" s="225"/>
    </row>
    <row r="12079" spans="1:13" ht="11.25" customHeight="1" x14ac:dyDescent="0.2">
      <c r="A12079" s="226">
        <v>2026</v>
      </c>
      <c r="B12079" s="226">
        <v>3</v>
      </c>
      <c r="C12079" s="226">
        <v>11</v>
      </c>
      <c r="D12079" s="232">
        <f t="shared" si="1329"/>
        <v>46092</v>
      </c>
      <c r="E12079" s="234">
        <f t="shared" si="1330"/>
        <v>46092</v>
      </c>
      <c r="F12079" s="479"/>
      <c r="G12079" s="227" t="s">
        <v>1111</v>
      </c>
      <c r="H12079" s="228"/>
      <c r="I12079" s="228"/>
      <c r="J12079" s="229" t="s">
        <v>55</v>
      </c>
      <c r="K12079" s="230"/>
      <c r="L12079" s="230">
        <f>K12078</f>
        <v>4519437.17</v>
      </c>
    </row>
    <row r="12080" spans="1:13" ht="11.25" customHeight="1" x14ac:dyDescent="0.2">
      <c r="A12080" s="221">
        <v>2026</v>
      </c>
      <c r="B12080" s="221">
        <v>3</v>
      </c>
      <c r="C12080" s="221">
        <v>11</v>
      </c>
      <c r="D12080" s="231">
        <f t="shared" si="1329"/>
        <v>46092</v>
      </c>
      <c r="E12080" s="233">
        <f t="shared" si="1330"/>
        <v>46092</v>
      </c>
      <c r="F12080" s="478" t="s">
        <v>1985</v>
      </c>
      <c r="G12080" s="222" t="s">
        <v>1111</v>
      </c>
      <c r="H12080" s="223"/>
      <c r="I12080" s="223"/>
      <c r="J12080" s="224" t="s">
        <v>55</v>
      </c>
      <c r="K12080" s="225">
        <v>1485713.33</v>
      </c>
      <c r="L12080" s="225"/>
    </row>
    <row r="12081" spans="1:14" ht="11.25" customHeight="1" x14ac:dyDescent="0.2">
      <c r="A12081" s="226">
        <v>2026</v>
      </c>
      <c r="B12081" s="226">
        <v>3</v>
      </c>
      <c r="C12081" s="226">
        <v>11</v>
      </c>
      <c r="D12081" s="232">
        <f t="shared" si="1329"/>
        <v>46092</v>
      </c>
      <c r="E12081" s="234">
        <f t="shared" si="1330"/>
        <v>46092</v>
      </c>
      <c r="F12081" s="479"/>
      <c r="G12081" s="227" t="s">
        <v>1111</v>
      </c>
      <c r="H12081" s="228"/>
      <c r="I12081" s="228"/>
      <c r="J12081" s="229" t="s">
        <v>199</v>
      </c>
      <c r="K12081" s="230"/>
      <c r="L12081" s="230">
        <f>K12080</f>
        <v>1485713.33</v>
      </c>
    </row>
    <row r="12082" spans="1:14" ht="11.25" customHeight="1" x14ac:dyDescent="0.2">
      <c r="A12082" s="221">
        <v>2026</v>
      </c>
      <c r="B12082" s="221">
        <v>3</v>
      </c>
      <c r="C12082" s="221">
        <v>11</v>
      </c>
      <c r="D12082" s="231">
        <f t="shared" ref="D12082:D12109" si="1331">DATE(A12082,B12082,C12082)</f>
        <v>46092</v>
      </c>
      <c r="E12082" s="233">
        <f t="shared" ref="E12082:E12109" si="1332">DATE(A12082,B12082,C12082)</f>
        <v>46092</v>
      </c>
      <c r="F12082" s="478" t="s">
        <v>1985</v>
      </c>
      <c r="G12082" s="222" t="s">
        <v>1111</v>
      </c>
      <c r="H12082" s="223"/>
      <c r="I12082" s="223"/>
      <c r="J12082" s="224" t="s">
        <v>55</v>
      </c>
      <c r="K12082" s="225">
        <v>1218227.6399999999</v>
      </c>
      <c r="L12082" s="225"/>
    </row>
    <row r="12083" spans="1:14" ht="11.25" customHeight="1" x14ac:dyDescent="0.2">
      <c r="A12083" s="226">
        <v>2026</v>
      </c>
      <c r="B12083" s="226">
        <v>3</v>
      </c>
      <c r="C12083" s="226">
        <v>11</v>
      </c>
      <c r="D12083" s="232">
        <f t="shared" si="1331"/>
        <v>46092</v>
      </c>
      <c r="E12083" s="234">
        <f t="shared" si="1332"/>
        <v>46092</v>
      </c>
      <c r="F12083" s="479"/>
      <c r="G12083" s="227" t="s">
        <v>1111</v>
      </c>
      <c r="H12083" s="228"/>
      <c r="I12083" s="228"/>
      <c r="J12083" s="229" t="s">
        <v>199</v>
      </c>
      <c r="K12083" s="230"/>
      <c r="L12083" s="230">
        <f>K12082</f>
        <v>1218227.6399999999</v>
      </c>
    </row>
    <row r="12084" spans="1:14" ht="11.25" customHeight="1" x14ac:dyDescent="0.2">
      <c r="A12084" s="221">
        <v>2026</v>
      </c>
      <c r="B12084" s="221">
        <v>3</v>
      </c>
      <c r="C12084" s="221">
        <v>11</v>
      </c>
      <c r="D12084" s="231">
        <f t="shared" si="1331"/>
        <v>46092</v>
      </c>
      <c r="E12084" s="233">
        <f t="shared" si="1332"/>
        <v>46092</v>
      </c>
      <c r="F12084" s="478" t="s">
        <v>1670</v>
      </c>
      <c r="G12084" s="222" t="s">
        <v>1111</v>
      </c>
      <c r="H12084" s="223"/>
      <c r="I12084" s="223"/>
      <c r="J12084" s="224" t="s">
        <v>63</v>
      </c>
      <c r="K12084" s="225">
        <v>100</v>
      </c>
      <c r="L12084" s="225"/>
    </row>
    <row r="12085" spans="1:14" ht="11.25" customHeight="1" x14ac:dyDescent="0.2">
      <c r="A12085" s="226">
        <v>2026</v>
      </c>
      <c r="B12085" s="226">
        <v>3</v>
      </c>
      <c r="C12085" s="226">
        <v>11</v>
      </c>
      <c r="D12085" s="232">
        <f t="shared" si="1331"/>
        <v>46092</v>
      </c>
      <c r="E12085" s="234">
        <f t="shared" si="1332"/>
        <v>46092</v>
      </c>
      <c r="F12085" s="479"/>
      <c r="G12085" s="227" t="s">
        <v>1111</v>
      </c>
      <c r="H12085" s="228"/>
      <c r="I12085" s="228"/>
      <c r="J12085" s="229" t="s">
        <v>55</v>
      </c>
      <c r="K12085" s="230"/>
      <c r="L12085" s="230">
        <f>K12084</f>
        <v>100</v>
      </c>
    </row>
    <row r="12086" spans="1:14" ht="11.25" customHeight="1" x14ac:dyDescent="0.2">
      <c r="A12086" s="221">
        <v>2026</v>
      </c>
      <c r="B12086" s="221">
        <v>3</v>
      </c>
      <c r="C12086" s="221">
        <v>11</v>
      </c>
      <c r="D12086" s="221">
        <f t="shared" si="1331"/>
        <v>46092</v>
      </c>
      <c r="E12086" s="233">
        <f t="shared" si="1332"/>
        <v>46092</v>
      </c>
      <c r="F12086" s="478" t="s">
        <v>1937</v>
      </c>
      <c r="G12086" s="222" t="s">
        <v>86</v>
      </c>
      <c r="H12086" s="222"/>
      <c r="I12086" s="223"/>
      <c r="J12086" s="224" t="s">
        <v>80</v>
      </c>
      <c r="K12086" s="225">
        <v>2091022.9</v>
      </c>
      <c r="L12086" s="225"/>
      <c r="N12086" s="263"/>
    </row>
    <row r="12087" spans="1:14" ht="11.25" customHeight="1" x14ac:dyDescent="0.2">
      <c r="A12087" s="164">
        <v>2026</v>
      </c>
      <c r="B12087" s="164">
        <v>3</v>
      </c>
      <c r="C12087" s="164">
        <v>11</v>
      </c>
      <c r="D12087" s="164">
        <f t="shared" si="1331"/>
        <v>46092</v>
      </c>
      <c r="E12087" s="235">
        <f t="shared" si="1332"/>
        <v>46092</v>
      </c>
      <c r="F12087" s="480"/>
      <c r="G12087" s="208" t="s">
        <v>86</v>
      </c>
      <c r="H12087" s="208"/>
      <c r="J12087" s="165" t="s">
        <v>960</v>
      </c>
      <c r="K12087" s="205">
        <v>7467.25</v>
      </c>
      <c r="L12087" s="205"/>
      <c r="M12087" s="263"/>
      <c r="N12087" s="263"/>
    </row>
    <row r="12088" spans="1:14" ht="11.25" customHeight="1" x14ac:dyDescent="0.2">
      <c r="A12088" s="164">
        <v>2026</v>
      </c>
      <c r="B12088" s="164">
        <v>3</v>
      </c>
      <c r="C12088" s="164">
        <v>11</v>
      </c>
      <c r="D12088" s="164">
        <f t="shared" si="1331"/>
        <v>46092</v>
      </c>
      <c r="E12088" s="235">
        <f t="shared" si="1332"/>
        <v>46092</v>
      </c>
      <c r="F12088" s="480"/>
      <c r="G12088" s="208" t="s">
        <v>86</v>
      </c>
      <c r="H12088" s="208"/>
      <c r="J12088" s="165" t="s">
        <v>961</v>
      </c>
      <c r="K12088" s="263"/>
      <c r="L12088" s="205">
        <v>41039.65</v>
      </c>
      <c r="M12088" s="263"/>
      <c r="N12088" s="263"/>
    </row>
    <row r="12089" spans="1:14" ht="11.25" customHeight="1" x14ac:dyDescent="0.2">
      <c r="A12089" s="164">
        <v>2026</v>
      </c>
      <c r="B12089" s="164">
        <v>3</v>
      </c>
      <c r="C12089" s="164">
        <v>11</v>
      </c>
      <c r="D12089" s="164">
        <f t="shared" si="1331"/>
        <v>46092</v>
      </c>
      <c r="E12089" s="235">
        <f t="shared" si="1332"/>
        <v>46092</v>
      </c>
      <c r="F12089" s="480"/>
      <c r="G12089" s="208" t="s">
        <v>86</v>
      </c>
      <c r="H12089" s="208"/>
      <c r="J12089" s="165" t="s">
        <v>200</v>
      </c>
      <c r="K12089" s="205"/>
      <c r="L12089" s="205">
        <v>141334.17000000001</v>
      </c>
      <c r="M12089" s="263"/>
      <c r="N12089" s="263"/>
    </row>
    <row r="12090" spans="1:14" ht="11.25" customHeight="1" x14ac:dyDescent="0.2">
      <c r="A12090" s="226">
        <v>2026</v>
      </c>
      <c r="B12090" s="226">
        <v>3</v>
      </c>
      <c r="C12090" s="226">
        <v>11</v>
      </c>
      <c r="D12090" s="226">
        <f t="shared" si="1331"/>
        <v>46092</v>
      </c>
      <c r="E12090" s="234">
        <f t="shared" si="1332"/>
        <v>46092</v>
      </c>
      <c r="F12090" s="479"/>
      <c r="G12090" s="227" t="s">
        <v>86</v>
      </c>
      <c r="H12090" s="228"/>
      <c r="I12090" s="228"/>
      <c r="J12090" s="229" t="s">
        <v>80</v>
      </c>
      <c r="K12090" s="230"/>
      <c r="L12090" s="230">
        <v>1916116.33</v>
      </c>
      <c r="M12090" s="263"/>
      <c r="N12090" s="263"/>
    </row>
    <row r="12091" spans="1:14" ht="11.25" customHeight="1" x14ac:dyDescent="0.2">
      <c r="A12091" s="221">
        <v>2026</v>
      </c>
      <c r="B12091" s="221">
        <v>3</v>
      </c>
      <c r="C12091" s="221">
        <v>11</v>
      </c>
      <c r="D12091" s="231">
        <f t="shared" si="1331"/>
        <v>46092</v>
      </c>
      <c r="E12091" s="233">
        <f t="shared" si="1332"/>
        <v>46092</v>
      </c>
      <c r="F12091" s="478" t="s">
        <v>2007</v>
      </c>
      <c r="G12091" s="222" t="s">
        <v>1111</v>
      </c>
      <c r="H12091" s="223"/>
      <c r="I12091" s="223"/>
      <c r="J12091" s="224" t="s">
        <v>55</v>
      </c>
      <c r="K12091" s="225">
        <v>220542.5</v>
      </c>
      <c r="L12091" s="225"/>
    </row>
    <row r="12092" spans="1:14" ht="11.25" customHeight="1" x14ac:dyDescent="0.2">
      <c r="A12092" s="226">
        <v>2026</v>
      </c>
      <c r="B12092" s="226">
        <v>3</v>
      </c>
      <c r="C12092" s="226">
        <v>11</v>
      </c>
      <c r="D12092" s="232">
        <f t="shared" si="1331"/>
        <v>46092</v>
      </c>
      <c r="E12092" s="234">
        <f t="shared" si="1332"/>
        <v>46092</v>
      </c>
      <c r="F12092" s="479"/>
      <c r="G12092" s="227" t="s">
        <v>1111</v>
      </c>
      <c r="H12092" s="228"/>
      <c r="I12092" s="228"/>
      <c r="J12092" s="229" t="s">
        <v>192</v>
      </c>
      <c r="K12092" s="230"/>
      <c r="L12092" s="230">
        <f>K12091</f>
        <v>220542.5</v>
      </c>
    </row>
    <row r="12093" spans="1:14" ht="11.25" customHeight="1" x14ac:dyDescent="0.2">
      <c r="A12093" s="280">
        <v>2026</v>
      </c>
      <c r="B12093" s="280">
        <v>3</v>
      </c>
      <c r="C12093" s="280">
        <v>11</v>
      </c>
      <c r="D12093" s="281">
        <f t="shared" si="1331"/>
        <v>46092</v>
      </c>
      <c r="E12093" s="282">
        <f t="shared" si="1332"/>
        <v>46092</v>
      </c>
      <c r="F12093" s="472" t="s">
        <v>1584</v>
      </c>
      <c r="G12093" s="283" t="s">
        <v>86</v>
      </c>
      <c r="H12093" s="284"/>
      <c r="I12093" s="284"/>
      <c r="J12093" s="285" t="s">
        <v>131</v>
      </c>
      <c r="K12093" s="286">
        <v>1277.7777777777801</v>
      </c>
      <c r="L12093" s="286"/>
      <c r="M12093" s="401"/>
      <c r="N12093" s="166"/>
    </row>
    <row r="12094" spans="1:14" ht="11.25" customHeight="1" x14ac:dyDescent="0.2">
      <c r="A12094" s="287">
        <v>2026</v>
      </c>
      <c r="B12094" s="287">
        <v>3</v>
      </c>
      <c r="C12094" s="287">
        <v>11</v>
      </c>
      <c r="D12094" s="288">
        <f t="shared" si="1331"/>
        <v>46092</v>
      </c>
      <c r="E12094" s="289">
        <f t="shared" si="1332"/>
        <v>46092</v>
      </c>
      <c r="F12094" s="473"/>
      <c r="G12094" s="290" t="s">
        <v>86</v>
      </c>
      <c r="H12094" s="291"/>
      <c r="I12094" s="291"/>
      <c r="J12094" s="292" t="s">
        <v>1469</v>
      </c>
      <c r="K12094" s="293"/>
      <c r="L12094" s="293">
        <f>K12093</f>
        <v>1277.7777777777801</v>
      </c>
    </row>
    <row r="12095" spans="1:14" ht="11.25" customHeight="1" x14ac:dyDescent="0.2">
      <c r="A12095" s="280">
        <v>2026</v>
      </c>
      <c r="B12095" s="280">
        <v>3</v>
      </c>
      <c r="C12095" s="280">
        <v>11</v>
      </c>
      <c r="D12095" s="281">
        <f t="shared" si="1331"/>
        <v>46092</v>
      </c>
      <c r="E12095" s="282">
        <f t="shared" si="1332"/>
        <v>46092</v>
      </c>
      <c r="F12095" s="472" t="s">
        <v>1955</v>
      </c>
      <c r="G12095" s="283" t="s">
        <v>86</v>
      </c>
      <c r="H12095" s="284"/>
      <c r="I12095" s="284"/>
      <c r="J12095" s="285" t="s">
        <v>1978</v>
      </c>
      <c r="K12095" s="286">
        <v>6185.4395604395604</v>
      </c>
      <c r="L12095" s="286"/>
      <c r="M12095" s="401"/>
    </row>
    <row r="12096" spans="1:14" ht="11.25" customHeight="1" x14ac:dyDescent="0.2">
      <c r="A12096" s="287">
        <v>2026</v>
      </c>
      <c r="B12096" s="287">
        <v>3</v>
      </c>
      <c r="C12096" s="287">
        <v>11</v>
      </c>
      <c r="D12096" s="288">
        <f t="shared" si="1331"/>
        <v>46092</v>
      </c>
      <c r="E12096" s="289">
        <f t="shared" si="1332"/>
        <v>46092</v>
      </c>
      <c r="F12096" s="473"/>
      <c r="G12096" s="290" t="s">
        <v>86</v>
      </c>
      <c r="H12096" s="291"/>
      <c r="I12096" s="291"/>
      <c r="J12096" s="292" t="s">
        <v>1955</v>
      </c>
      <c r="K12096" s="293"/>
      <c r="L12096" s="293">
        <f>K12095</f>
        <v>6185.4395604395604</v>
      </c>
    </row>
    <row r="12097" spans="1:15" ht="11.25" customHeight="1" x14ac:dyDescent="0.2">
      <c r="A12097" s="341">
        <v>2026</v>
      </c>
      <c r="B12097" s="341">
        <v>3</v>
      </c>
      <c r="C12097" s="341">
        <v>11</v>
      </c>
      <c r="D12097" s="328">
        <f t="shared" si="1331"/>
        <v>46092</v>
      </c>
      <c r="E12097" s="329">
        <f t="shared" si="1332"/>
        <v>46092</v>
      </c>
      <c r="F12097" s="474" t="s">
        <v>1767</v>
      </c>
      <c r="G12097" s="330" t="s">
        <v>86</v>
      </c>
      <c r="H12097" s="332"/>
      <c r="I12097" s="332"/>
      <c r="J12097" s="342" t="s">
        <v>67</v>
      </c>
      <c r="K12097" s="343">
        <v>362.89456541666664</v>
      </c>
      <c r="L12097" s="343"/>
      <c r="M12097" s="166"/>
    </row>
    <row r="12098" spans="1:15" ht="11.25" customHeight="1" x14ac:dyDescent="0.2">
      <c r="A12098" s="344">
        <v>2026</v>
      </c>
      <c r="B12098" s="344">
        <v>3</v>
      </c>
      <c r="C12098" s="344">
        <v>11</v>
      </c>
      <c r="D12098" s="337">
        <f t="shared" si="1331"/>
        <v>46092</v>
      </c>
      <c r="E12098" s="338">
        <f t="shared" si="1332"/>
        <v>46092</v>
      </c>
      <c r="F12098" s="475"/>
      <c r="G12098" s="339" t="s">
        <v>86</v>
      </c>
      <c r="H12098" s="340"/>
      <c r="I12098" s="340"/>
      <c r="J12098" s="345" t="s">
        <v>1974</v>
      </c>
      <c r="K12098" s="346"/>
      <c r="L12098" s="346">
        <f>K12097</f>
        <v>362.89456541666664</v>
      </c>
    </row>
    <row r="12099" spans="1:15" ht="11.25" customHeight="1" x14ac:dyDescent="0.2">
      <c r="A12099" s="236">
        <v>2026</v>
      </c>
      <c r="B12099" s="236">
        <v>3</v>
      </c>
      <c r="C12099" s="236">
        <v>11</v>
      </c>
      <c r="D12099" s="237">
        <f t="shared" si="1331"/>
        <v>46092</v>
      </c>
      <c r="E12099" s="238">
        <f t="shared" si="1332"/>
        <v>46092</v>
      </c>
      <c r="F12099" s="476" t="s">
        <v>1118</v>
      </c>
      <c r="G12099" s="239" t="s">
        <v>86</v>
      </c>
      <c r="H12099" s="239"/>
      <c r="I12099" s="240"/>
      <c r="J12099" s="241" t="s">
        <v>82</v>
      </c>
      <c r="K12099" s="242">
        <v>263554.16999998689</v>
      </c>
      <c r="L12099" s="242"/>
      <c r="M12099" s="166"/>
    </row>
    <row r="12100" spans="1:15" ht="11.25" customHeight="1" x14ac:dyDescent="0.2">
      <c r="A12100" s="243">
        <v>2026</v>
      </c>
      <c r="B12100" s="243">
        <v>3</v>
      </c>
      <c r="C12100" s="243">
        <v>11</v>
      </c>
      <c r="D12100" s="248">
        <f t="shared" si="1331"/>
        <v>46092</v>
      </c>
      <c r="E12100" s="249">
        <f t="shared" si="1332"/>
        <v>46092</v>
      </c>
      <c r="F12100" s="477"/>
      <c r="G12100" s="244" t="s">
        <v>86</v>
      </c>
      <c r="H12100" s="244"/>
      <c r="I12100" s="245"/>
      <c r="J12100" s="246" t="s">
        <v>98</v>
      </c>
      <c r="K12100" s="247"/>
      <c r="L12100" s="247">
        <f>K12099</f>
        <v>263554.16999998689</v>
      </c>
    </row>
    <row r="12101" spans="1:15" ht="11.25" customHeight="1" x14ac:dyDescent="0.2">
      <c r="A12101" s="236">
        <v>2026</v>
      </c>
      <c r="B12101" s="236">
        <v>3</v>
      </c>
      <c r="C12101" s="236">
        <v>11</v>
      </c>
      <c r="D12101" s="237">
        <f t="shared" si="1331"/>
        <v>46092</v>
      </c>
      <c r="E12101" s="238">
        <f t="shared" si="1332"/>
        <v>46092</v>
      </c>
      <c r="F12101" s="476" t="s">
        <v>1999</v>
      </c>
      <c r="G12101" s="239" t="s">
        <v>86</v>
      </c>
      <c r="H12101" s="239"/>
      <c r="I12101" s="240"/>
      <c r="J12101" s="241" t="s">
        <v>87</v>
      </c>
      <c r="K12101" s="242">
        <v>392.46467817896399</v>
      </c>
      <c r="L12101" s="242"/>
      <c r="M12101" s="401"/>
    </row>
    <row r="12102" spans="1:15" ht="11.25" customHeight="1" x14ac:dyDescent="0.2">
      <c r="A12102" s="243">
        <v>2026</v>
      </c>
      <c r="B12102" s="243">
        <v>3</v>
      </c>
      <c r="C12102" s="243">
        <v>11</v>
      </c>
      <c r="D12102" s="248">
        <f t="shared" si="1331"/>
        <v>46092</v>
      </c>
      <c r="E12102" s="249">
        <f t="shared" si="1332"/>
        <v>46092</v>
      </c>
      <c r="F12102" s="477"/>
      <c r="G12102" s="244" t="s">
        <v>86</v>
      </c>
      <c r="H12102" s="244"/>
      <c r="I12102" s="245"/>
      <c r="J12102" s="246" t="s">
        <v>64</v>
      </c>
      <c r="K12102" s="247"/>
      <c r="L12102" s="247">
        <f>K12101</f>
        <v>392.46467817896399</v>
      </c>
    </row>
    <row r="12103" spans="1:15" ht="11.25" customHeight="1" x14ac:dyDescent="0.2">
      <c r="A12103" s="236">
        <v>2026</v>
      </c>
      <c r="B12103" s="236">
        <v>3</v>
      </c>
      <c r="C12103" s="236">
        <v>11</v>
      </c>
      <c r="D12103" s="237">
        <f t="shared" si="1331"/>
        <v>46092</v>
      </c>
      <c r="E12103" s="238">
        <f t="shared" si="1332"/>
        <v>46092</v>
      </c>
      <c r="F12103" s="476" t="s">
        <v>2000</v>
      </c>
      <c r="G12103" s="239" t="s">
        <v>86</v>
      </c>
      <c r="H12103" s="239"/>
      <c r="I12103" s="240"/>
      <c r="J12103" s="241" t="s">
        <v>89</v>
      </c>
      <c r="K12103" s="242">
        <v>15132.689845816987</v>
      </c>
      <c r="L12103" s="242"/>
      <c r="M12103" s="448"/>
    </row>
    <row r="12104" spans="1:15" ht="11.25" customHeight="1" x14ac:dyDescent="0.2">
      <c r="A12104" s="243">
        <v>2026</v>
      </c>
      <c r="B12104" s="243">
        <v>3</v>
      </c>
      <c r="C12104" s="243">
        <v>11</v>
      </c>
      <c r="D12104" s="248">
        <f t="shared" si="1331"/>
        <v>46092</v>
      </c>
      <c r="E12104" s="249">
        <f t="shared" si="1332"/>
        <v>46092</v>
      </c>
      <c r="F12104" s="477"/>
      <c r="G12104" s="244" t="s">
        <v>86</v>
      </c>
      <c r="H12104" s="244"/>
      <c r="I12104" s="245"/>
      <c r="J12104" s="246" t="s">
        <v>50</v>
      </c>
      <c r="K12104" s="247"/>
      <c r="L12104" s="247">
        <f>K12103</f>
        <v>15132.689845816987</v>
      </c>
      <c r="M12104" s="448"/>
    </row>
    <row r="12105" spans="1:15" ht="11.25" customHeight="1" x14ac:dyDescent="0.2">
      <c r="A12105" s="236">
        <v>2026</v>
      </c>
      <c r="B12105" s="236">
        <v>3</v>
      </c>
      <c r="C12105" s="236">
        <v>11</v>
      </c>
      <c r="D12105" s="237">
        <f t="shared" si="1331"/>
        <v>46092</v>
      </c>
      <c r="E12105" s="238">
        <f t="shared" si="1332"/>
        <v>46092</v>
      </c>
      <c r="F12105" s="476" t="s">
        <v>2001</v>
      </c>
      <c r="G12105" s="239" t="s">
        <v>86</v>
      </c>
      <c r="H12105" s="239"/>
      <c r="I12105" s="240"/>
      <c r="J12105" s="241" t="s">
        <v>91</v>
      </c>
      <c r="K12105" s="242">
        <v>734.8733869814065</v>
      </c>
      <c r="L12105" s="242"/>
    </row>
    <row r="12106" spans="1:15" ht="11.25" customHeight="1" x14ac:dyDescent="0.2">
      <c r="A12106" s="243">
        <v>2026</v>
      </c>
      <c r="B12106" s="243">
        <v>3</v>
      </c>
      <c r="C12106" s="243">
        <v>11</v>
      </c>
      <c r="D12106" s="248">
        <f t="shared" si="1331"/>
        <v>46092</v>
      </c>
      <c r="E12106" s="249">
        <f t="shared" si="1332"/>
        <v>46092</v>
      </c>
      <c r="F12106" s="477"/>
      <c r="G12106" s="244" t="s">
        <v>86</v>
      </c>
      <c r="H12106" s="244"/>
      <c r="I12106" s="245"/>
      <c r="J12106" s="246" t="s">
        <v>51</v>
      </c>
      <c r="K12106" s="247"/>
      <c r="L12106" s="247">
        <f>K12105</f>
        <v>734.8733869814065</v>
      </c>
    </row>
    <row r="12107" spans="1:15" ht="11.25" customHeight="1" x14ac:dyDescent="0.2">
      <c r="A12107" s="221">
        <v>2026</v>
      </c>
      <c r="B12107" s="221">
        <v>3</v>
      </c>
      <c r="C12107" s="221">
        <v>12</v>
      </c>
      <c r="D12107" s="221">
        <f t="shared" si="1331"/>
        <v>46093</v>
      </c>
      <c r="E12107" s="233">
        <f t="shared" si="1332"/>
        <v>46093</v>
      </c>
      <c r="F12107" s="478" t="s">
        <v>2006</v>
      </c>
      <c r="G12107" s="222" t="s">
        <v>1111</v>
      </c>
      <c r="H12107" s="222"/>
      <c r="I12107" s="223"/>
      <c r="J12107" s="224" t="s">
        <v>50</v>
      </c>
      <c r="K12107" s="225">
        <v>300000</v>
      </c>
      <c r="L12107" s="225"/>
      <c r="M12107" s="447"/>
      <c r="N12107" s="447"/>
      <c r="O12107" s="166"/>
    </row>
    <row r="12108" spans="1:15" ht="11.25" customHeight="1" x14ac:dyDescent="0.2">
      <c r="A12108" s="164">
        <v>2026</v>
      </c>
      <c r="B12108" s="164">
        <v>3</v>
      </c>
      <c r="C12108" s="164">
        <v>12</v>
      </c>
      <c r="D12108" s="156">
        <f t="shared" si="1331"/>
        <v>46093</v>
      </c>
      <c r="E12108" s="235">
        <f t="shared" si="1332"/>
        <v>46093</v>
      </c>
      <c r="F12108" s="480"/>
      <c r="G12108" s="208" t="s">
        <v>1111</v>
      </c>
      <c r="J12108" s="165" t="s">
        <v>478</v>
      </c>
      <c r="K12108" s="205"/>
      <c r="L12108" s="205">
        <f>K12107-L12109</f>
        <v>45000</v>
      </c>
      <c r="N12108" s="423"/>
    </row>
    <row r="12109" spans="1:15" ht="11.25" customHeight="1" x14ac:dyDescent="0.2">
      <c r="A12109" s="226">
        <v>2026</v>
      </c>
      <c r="B12109" s="226">
        <v>3</v>
      </c>
      <c r="C12109" s="226">
        <v>12</v>
      </c>
      <c r="D12109" s="226">
        <f t="shared" si="1331"/>
        <v>46093</v>
      </c>
      <c r="E12109" s="234">
        <f t="shared" si="1332"/>
        <v>46093</v>
      </c>
      <c r="F12109" s="479"/>
      <c r="G12109" s="227" t="s">
        <v>1111</v>
      </c>
      <c r="H12109" s="227"/>
      <c r="I12109" s="228"/>
      <c r="J12109" s="229" t="s">
        <v>55</v>
      </c>
      <c r="K12109" s="230"/>
      <c r="L12109" s="230">
        <v>255000</v>
      </c>
    </row>
    <row r="12110" spans="1:15" ht="11.25" customHeight="1" x14ac:dyDescent="0.2">
      <c r="A12110" s="221">
        <v>2026</v>
      </c>
      <c r="B12110" s="221">
        <v>3</v>
      </c>
      <c r="C12110" s="221">
        <v>12</v>
      </c>
      <c r="D12110" s="231">
        <f t="shared" ref="D12110:D12113" si="1333">DATE(A12110,B12110,C12110)</f>
        <v>46093</v>
      </c>
      <c r="E12110" s="233">
        <f t="shared" ref="E12110:E12113" si="1334">DATE(A12110,B12110,C12110)</f>
        <v>46093</v>
      </c>
      <c r="F12110" s="478" t="s">
        <v>1670</v>
      </c>
      <c r="G12110" s="222" t="s">
        <v>1111</v>
      </c>
      <c r="H12110" s="223"/>
      <c r="I12110" s="223"/>
      <c r="J12110" s="224" t="s">
        <v>63</v>
      </c>
      <c r="K12110" s="225">
        <v>58</v>
      </c>
      <c r="L12110" s="225"/>
    </row>
    <row r="12111" spans="1:15" ht="11.25" customHeight="1" x14ac:dyDescent="0.2">
      <c r="A12111" s="226">
        <v>2026</v>
      </c>
      <c r="B12111" s="226">
        <v>3</v>
      </c>
      <c r="C12111" s="226">
        <v>12</v>
      </c>
      <c r="D12111" s="232">
        <f t="shared" si="1333"/>
        <v>46093</v>
      </c>
      <c r="E12111" s="234">
        <f t="shared" si="1334"/>
        <v>46093</v>
      </c>
      <c r="F12111" s="479"/>
      <c r="G12111" s="227" t="s">
        <v>1111</v>
      </c>
      <c r="H12111" s="228"/>
      <c r="I12111" s="228"/>
      <c r="J12111" s="229" t="s">
        <v>55</v>
      </c>
      <c r="K12111" s="230"/>
      <c r="L12111" s="230">
        <f>K12110</f>
        <v>58</v>
      </c>
    </row>
    <row r="12112" spans="1:15" ht="11.25" customHeight="1" x14ac:dyDescent="0.2">
      <c r="A12112" s="221">
        <v>2026</v>
      </c>
      <c r="B12112" s="221">
        <v>3</v>
      </c>
      <c r="C12112" s="221">
        <v>12</v>
      </c>
      <c r="D12112" s="231">
        <f t="shared" si="1333"/>
        <v>46093</v>
      </c>
      <c r="E12112" s="233">
        <f t="shared" si="1334"/>
        <v>46093</v>
      </c>
      <c r="F12112" s="478" t="s">
        <v>2005</v>
      </c>
      <c r="G12112" s="222" t="s">
        <v>1111</v>
      </c>
      <c r="H12112" s="223"/>
      <c r="I12112" s="223"/>
      <c r="J12112" s="224" t="s">
        <v>961</v>
      </c>
      <c r="K12112" s="225">
        <v>41039.65</v>
      </c>
      <c r="L12112" s="225"/>
    </row>
    <row r="12113" spans="1:14" ht="11.25" customHeight="1" x14ac:dyDescent="0.2">
      <c r="A12113" s="226">
        <v>2026</v>
      </c>
      <c r="B12113" s="226">
        <v>3</v>
      </c>
      <c r="C12113" s="226">
        <v>12</v>
      </c>
      <c r="D12113" s="232">
        <f t="shared" si="1333"/>
        <v>46093</v>
      </c>
      <c r="E12113" s="234">
        <f t="shared" si="1334"/>
        <v>46093</v>
      </c>
      <c r="F12113" s="479"/>
      <c r="G12113" s="227" t="s">
        <v>1111</v>
      </c>
      <c r="H12113" s="228"/>
      <c r="I12113" s="228"/>
      <c r="J12113" s="229" t="s">
        <v>55</v>
      </c>
      <c r="K12113" s="230"/>
      <c r="L12113" s="230">
        <f>K12112</f>
        <v>41039.65</v>
      </c>
    </row>
    <row r="12114" spans="1:14" ht="11.25" customHeight="1" x14ac:dyDescent="0.2">
      <c r="A12114" s="221">
        <v>2026</v>
      </c>
      <c r="B12114" s="221">
        <v>3</v>
      </c>
      <c r="C12114" s="221">
        <v>12</v>
      </c>
      <c r="D12114" s="231">
        <f t="shared" ref="D12114:D12148" si="1335">DATE(A12114,B12114,C12114)</f>
        <v>46093</v>
      </c>
      <c r="E12114" s="233">
        <f t="shared" ref="E12114:E12148" si="1336">DATE(A12114,B12114,C12114)</f>
        <v>46093</v>
      </c>
      <c r="F12114" s="478" t="s">
        <v>2005</v>
      </c>
      <c r="G12114" s="222" t="s">
        <v>1111</v>
      </c>
      <c r="H12114" s="223"/>
      <c r="I12114" s="223"/>
      <c r="J12114" s="224" t="s">
        <v>961</v>
      </c>
      <c r="K12114" s="225">
        <v>7181.99</v>
      </c>
      <c r="L12114" s="225"/>
    </row>
    <row r="12115" spans="1:14" ht="11.25" customHeight="1" x14ac:dyDescent="0.2">
      <c r="A12115" s="226">
        <v>2026</v>
      </c>
      <c r="B12115" s="226">
        <v>3</v>
      </c>
      <c r="C12115" s="226">
        <v>12</v>
      </c>
      <c r="D12115" s="232">
        <f t="shared" si="1335"/>
        <v>46093</v>
      </c>
      <c r="E12115" s="234">
        <f t="shared" si="1336"/>
        <v>46093</v>
      </c>
      <c r="F12115" s="479"/>
      <c r="G12115" s="227" t="s">
        <v>1111</v>
      </c>
      <c r="H12115" s="228"/>
      <c r="I12115" s="228"/>
      <c r="J12115" s="229" t="s">
        <v>55</v>
      </c>
      <c r="K12115" s="230"/>
      <c r="L12115" s="230">
        <f>K12114</f>
        <v>7181.99</v>
      </c>
    </row>
    <row r="12116" spans="1:14" ht="11.25" customHeight="1" x14ac:dyDescent="0.2">
      <c r="A12116" s="221">
        <v>2026</v>
      </c>
      <c r="B12116" s="221">
        <v>3</v>
      </c>
      <c r="C12116" s="221">
        <v>12</v>
      </c>
      <c r="D12116" s="231">
        <f t="shared" si="1335"/>
        <v>46093</v>
      </c>
      <c r="E12116" s="233">
        <f t="shared" si="1336"/>
        <v>46093</v>
      </c>
      <c r="F12116" s="478" t="s">
        <v>1985</v>
      </c>
      <c r="G12116" s="222" t="s">
        <v>1111</v>
      </c>
      <c r="H12116" s="223"/>
      <c r="I12116" s="223"/>
      <c r="J12116" s="224" t="s">
        <v>55</v>
      </c>
      <c r="K12116" s="225">
        <v>1741010.27</v>
      </c>
      <c r="L12116" s="225"/>
    </row>
    <row r="12117" spans="1:14" ht="11.25" customHeight="1" x14ac:dyDescent="0.2">
      <c r="A12117" s="226">
        <v>2026</v>
      </c>
      <c r="B12117" s="226">
        <v>3</v>
      </c>
      <c r="C12117" s="226">
        <v>12</v>
      </c>
      <c r="D12117" s="232">
        <f t="shared" si="1335"/>
        <v>46093</v>
      </c>
      <c r="E12117" s="234">
        <f t="shared" si="1336"/>
        <v>46093</v>
      </c>
      <c r="F12117" s="479"/>
      <c r="G12117" s="227" t="s">
        <v>1111</v>
      </c>
      <c r="H12117" s="228"/>
      <c r="I12117" s="228"/>
      <c r="J12117" s="229" t="s">
        <v>199</v>
      </c>
      <c r="K12117" s="230"/>
      <c r="L12117" s="230">
        <f>K12116</f>
        <v>1741010.27</v>
      </c>
    </row>
    <row r="12118" spans="1:14" ht="11.25" customHeight="1" x14ac:dyDescent="0.2">
      <c r="A12118" s="221">
        <v>2026</v>
      </c>
      <c r="B12118" s="221">
        <v>3</v>
      </c>
      <c r="C12118" s="164">
        <v>12</v>
      </c>
      <c r="D12118" s="231">
        <f t="shared" si="1335"/>
        <v>46093</v>
      </c>
      <c r="E12118" s="233">
        <f t="shared" si="1336"/>
        <v>46093</v>
      </c>
      <c r="F12118" s="478" t="s">
        <v>1323</v>
      </c>
      <c r="G12118" s="222" t="s">
        <v>1111</v>
      </c>
      <c r="H12118" s="223"/>
      <c r="I12118" s="223"/>
      <c r="J12118" s="224" t="s">
        <v>55</v>
      </c>
      <c r="K12118" s="225">
        <v>90000</v>
      </c>
      <c r="L12118" s="225"/>
    </row>
    <row r="12119" spans="1:14" ht="11.25" customHeight="1" x14ac:dyDescent="0.2">
      <c r="A12119" s="164">
        <v>2026</v>
      </c>
      <c r="B12119" s="164">
        <v>3</v>
      </c>
      <c r="C12119" s="164">
        <v>12</v>
      </c>
      <c r="D12119" s="156">
        <f t="shared" si="1335"/>
        <v>46093</v>
      </c>
      <c r="E12119" s="235">
        <f t="shared" si="1336"/>
        <v>46093</v>
      </c>
      <c r="F12119" s="480"/>
      <c r="G12119" s="208" t="s">
        <v>1111</v>
      </c>
      <c r="J12119" s="165" t="s">
        <v>14</v>
      </c>
      <c r="K12119" s="205"/>
      <c r="L12119" s="205">
        <v>70030</v>
      </c>
    </row>
    <row r="12120" spans="1:14" ht="11.25" customHeight="1" x14ac:dyDescent="0.2">
      <c r="A12120" s="226">
        <v>2026</v>
      </c>
      <c r="B12120" s="226">
        <v>3</v>
      </c>
      <c r="C12120" s="164">
        <v>12</v>
      </c>
      <c r="D12120" s="232">
        <f t="shared" si="1335"/>
        <v>46093</v>
      </c>
      <c r="E12120" s="234">
        <f t="shared" si="1336"/>
        <v>46093</v>
      </c>
      <c r="F12120" s="479"/>
      <c r="G12120" s="227" t="s">
        <v>1111</v>
      </c>
      <c r="H12120" s="228"/>
      <c r="I12120" s="228"/>
      <c r="J12120" s="229" t="s">
        <v>1112</v>
      </c>
      <c r="K12120" s="230"/>
      <c r="L12120" s="230">
        <v>19970</v>
      </c>
      <c r="M12120" s="166"/>
    </row>
    <row r="12121" spans="1:14" ht="11.25" customHeight="1" x14ac:dyDescent="0.2">
      <c r="A12121" s="221">
        <v>2026</v>
      </c>
      <c r="B12121" s="221">
        <v>3</v>
      </c>
      <c r="C12121" s="221">
        <v>12</v>
      </c>
      <c r="D12121" s="221">
        <f t="shared" si="1335"/>
        <v>46093</v>
      </c>
      <c r="E12121" s="233">
        <f t="shared" si="1336"/>
        <v>46093</v>
      </c>
      <c r="F12121" s="478" t="s">
        <v>1937</v>
      </c>
      <c r="G12121" s="222" t="s">
        <v>86</v>
      </c>
      <c r="H12121" s="222"/>
      <c r="I12121" s="223"/>
      <c r="J12121" s="224" t="s">
        <v>80</v>
      </c>
      <c r="K12121" s="225">
        <v>3467094.3</v>
      </c>
      <c r="L12121" s="225"/>
      <c r="N12121" s="263"/>
    </row>
    <row r="12122" spans="1:14" ht="11.25" customHeight="1" x14ac:dyDescent="0.2">
      <c r="A12122" s="164">
        <v>2026</v>
      </c>
      <c r="B12122" s="164">
        <v>3</v>
      </c>
      <c r="C12122" s="164">
        <v>12</v>
      </c>
      <c r="D12122" s="164">
        <f t="shared" si="1335"/>
        <v>46093</v>
      </c>
      <c r="E12122" s="235">
        <f t="shared" si="1336"/>
        <v>46093</v>
      </c>
      <c r="F12122" s="480"/>
      <c r="G12122" s="208" t="s">
        <v>86</v>
      </c>
      <c r="H12122" s="208"/>
      <c r="J12122" s="165" t="s">
        <v>960</v>
      </c>
      <c r="K12122" s="205">
        <v>14576.03</v>
      </c>
      <c r="L12122" s="205"/>
      <c r="M12122" s="263"/>
      <c r="N12122" s="263"/>
    </row>
    <row r="12123" spans="1:14" ht="11.25" customHeight="1" x14ac:dyDescent="0.2">
      <c r="A12123" s="164">
        <v>2026</v>
      </c>
      <c r="B12123" s="164">
        <v>3</v>
      </c>
      <c r="C12123" s="164">
        <v>12</v>
      </c>
      <c r="D12123" s="164">
        <f t="shared" si="1335"/>
        <v>46093</v>
      </c>
      <c r="E12123" s="235">
        <f t="shared" si="1336"/>
        <v>46093</v>
      </c>
      <c r="F12123" s="480"/>
      <c r="G12123" s="208" t="s">
        <v>86</v>
      </c>
      <c r="H12123" s="208"/>
      <c r="J12123" s="165" t="s">
        <v>199</v>
      </c>
      <c r="K12123" s="263">
        <v>1149027.3700000001</v>
      </c>
      <c r="L12123" s="205"/>
      <c r="M12123" s="263"/>
      <c r="N12123" s="263"/>
    </row>
    <row r="12124" spans="1:14" ht="11.25" customHeight="1" x14ac:dyDescent="0.2">
      <c r="A12124" s="164">
        <v>2026</v>
      </c>
      <c r="B12124" s="164">
        <v>3</v>
      </c>
      <c r="C12124" s="164">
        <v>12</v>
      </c>
      <c r="D12124" s="164">
        <f t="shared" si="1335"/>
        <v>46093</v>
      </c>
      <c r="E12124" s="235">
        <f t="shared" si="1336"/>
        <v>46093</v>
      </c>
      <c r="F12124" s="480"/>
      <c r="G12124" s="208" t="s">
        <v>86</v>
      </c>
      <c r="H12124" s="208"/>
      <c r="J12124" s="165" t="s">
        <v>200</v>
      </c>
      <c r="K12124" s="205"/>
      <c r="L12124" s="205">
        <v>400313.88</v>
      </c>
      <c r="M12124" s="263"/>
      <c r="N12124" s="263"/>
    </row>
    <row r="12125" spans="1:14" ht="11.25" customHeight="1" x14ac:dyDescent="0.2">
      <c r="A12125" s="226">
        <v>2026</v>
      </c>
      <c r="B12125" s="226">
        <v>3</v>
      </c>
      <c r="C12125" s="226">
        <v>12</v>
      </c>
      <c r="D12125" s="226">
        <f t="shared" si="1335"/>
        <v>46093</v>
      </c>
      <c r="E12125" s="234">
        <f t="shared" si="1336"/>
        <v>46093</v>
      </c>
      <c r="F12125" s="479"/>
      <c r="G12125" s="227" t="s">
        <v>86</v>
      </c>
      <c r="H12125" s="228"/>
      <c r="I12125" s="228"/>
      <c r="J12125" s="229" t="s">
        <v>80</v>
      </c>
      <c r="K12125" s="230"/>
      <c r="L12125" s="230">
        <v>4230383.82</v>
      </c>
      <c r="M12125" s="263"/>
      <c r="N12125" s="263"/>
    </row>
    <row r="12126" spans="1:14" ht="11.25" customHeight="1" x14ac:dyDescent="0.2">
      <c r="A12126" s="280">
        <v>2026</v>
      </c>
      <c r="B12126" s="280">
        <v>3</v>
      </c>
      <c r="C12126" s="280">
        <v>12</v>
      </c>
      <c r="D12126" s="281">
        <f t="shared" si="1335"/>
        <v>46093</v>
      </c>
      <c r="E12126" s="282">
        <f t="shared" si="1336"/>
        <v>46093</v>
      </c>
      <c r="F12126" s="472" t="s">
        <v>1584</v>
      </c>
      <c r="G12126" s="283" t="s">
        <v>86</v>
      </c>
      <c r="H12126" s="284"/>
      <c r="I12126" s="284"/>
      <c r="J12126" s="285" t="s">
        <v>131</v>
      </c>
      <c r="K12126" s="286">
        <v>1277.7777777777801</v>
      </c>
      <c r="L12126" s="286"/>
      <c r="M12126" s="401"/>
      <c r="N12126" s="166"/>
    </row>
    <row r="12127" spans="1:14" ht="11.25" customHeight="1" x14ac:dyDescent="0.2">
      <c r="A12127" s="287">
        <v>2026</v>
      </c>
      <c r="B12127" s="287">
        <v>3</v>
      </c>
      <c r="C12127" s="287">
        <v>12</v>
      </c>
      <c r="D12127" s="288">
        <f t="shared" si="1335"/>
        <v>46093</v>
      </c>
      <c r="E12127" s="289">
        <f t="shared" si="1336"/>
        <v>46093</v>
      </c>
      <c r="F12127" s="473"/>
      <c r="G12127" s="290" t="s">
        <v>86</v>
      </c>
      <c r="H12127" s="291"/>
      <c r="I12127" s="291"/>
      <c r="J12127" s="292" t="s">
        <v>1469</v>
      </c>
      <c r="K12127" s="293"/>
      <c r="L12127" s="293">
        <f>K12126</f>
        <v>1277.7777777777801</v>
      </c>
    </row>
    <row r="12128" spans="1:14" ht="11.25" customHeight="1" x14ac:dyDescent="0.2">
      <c r="A12128" s="280">
        <v>2026</v>
      </c>
      <c r="B12128" s="280">
        <v>3</v>
      </c>
      <c r="C12128" s="280">
        <v>12</v>
      </c>
      <c r="D12128" s="281">
        <f t="shared" si="1335"/>
        <v>46093</v>
      </c>
      <c r="E12128" s="282">
        <f t="shared" si="1336"/>
        <v>46093</v>
      </c>
      <c r="F12128" s="472" t="s">
        <v>1955</v>
      </c>
      <c r="G12128" s="283" t="s">
        <v>86</v>
      </c>
      <c r="H12128" s="284"/>
      <c r="I12128" s="284"/>
      <c r="J12128" s="285" t="s">
        <v>1978</v>
      </c>
      <c r="K12128" s="286">
        <v>6185.4395604395604</v>
      </c>
      <c r="L12128" s="286"/>
      <c r="M12128" s="401"/>
    </row>
    <row r="12129" spans="1:13" ht="11.25" customHeight="1" x14ac:dyDescent="0.2">
      <c r="A12129" s="287">
        <v>2026</v>
      </c>
      <c r="B12129" s="287">
        <v>3</v>
      </c>
      <c r="C12129" s="287">
        <v>12</v>
      </c>
      <c r="D12129" s="288">
        <f t="shared" si="1335"/>
        <v>46093</v>
      </c>
      <c r="E12129" s="289">
        <f t="shared" si="1336"/>
        <v>46093</v>
      </c>
      <c r="F12129" s="473"/>
      <c r="G12129" s="290" t="s">
        <v>86</v>
      </c>
      <c r="H12129" s="291"/>
      <c r="I12129" s="291"/>
      <c r="J12129" s="292" t="s">
        <v>1955</v>
      </c>
      <c r="K12129" s="293"/>
      <c r="L12129" s="293">
        <f>K12128</f>
        <v>6185.4395604395604</v>
      </c>
    </row>
    <row r="12130" spans="1:13" ht="11.25" customHeight="1" x14ac:dyDescent="0.2">
      <c r="A12130" s="341">
        <v>2026</v>
      </c>
      <c r="B12130" s="341">
        <v>3</v>
      </c>
      <c r="C12130" s="341">
        <v>12</v>
      </c>
      <c r="D12130" s="328">
        <f t="shared" si="1335"/>
        <v>46093</v>
      </c>
      <c r="E12130" s="329">
        <f t="shared" si="1336"/>
        <v>46093</v>
      </c>
      <c r="F12130" s="474" t="s">
        <v>1767</v>
      </c>
      <c r="G12130" s="330" t="s">
        <v>86</v>
      </c>
      <c r="H12130" s="332"/>
      <c r="I12130" s="332"/>
      <c r="J12130" s="342" t="s">
        <v>67</v>
      </c>
      <c r="K12130" s="343">
        <v>1280.3030779166668</v>
      </c>
      <c r="L12130" s="343"/>
      <c r="M12130" s="166"/>
    </row>
    <row r="12131" spans="1:13" ht="11.25" customHeight="1" x14ac:dyDescent="0.2">
      <c r="A12131" s="344">
        <v>2026</v>
      </c>
      <c r="B12131" s="344">
        <v>3</v>
      </c>
      <c r="C12131" s="344">
        <v>12</v>
      </c>
      <c r="D12131" s="337">
        <f t="shared" si="1335"/>
        <v>46093</v>
      </c>
      <c r="E12131" s="338">
        <f t="shared" si="1336"/>
        <v>46093</v>
      </c>
      <c r="F12131" s="475"/>
      <c r="G12131" s="339" t="s">
        <v>86</v>
      </c>
      <c r="H12131" s="340"/>
      <c r="I12131" s="340"/>
      <c r="J12131" s="345" t="s">
        <v>1974</v>
      </c>
      <c r="K12131" s="346"/>
      <c r="L12131" s="346">
        <f>K12130</f>
        <v>1280.3030779166668</v>
      </c>
    </row>
    <row r="12132" spans="1:13" ht="11.25" customHeight="1" x14ac:dyDescent="0.2">
      <c r="A12132" s="236">
        <v>2026</v>
      </c>
      <c r="B12132" s="236">
        <v>3</v>
      </c>
      <c r="C12132" s="236">
        <v>12</v>
      </c>
      <c r="D12132" s="237">
        <f t="shared" si="1335"/>
        <v>46093</v>
      </c>
      <c r="E12132" s="238">
        <f t="shared" si="1336"/>
        <v>46093</v>
      </c>
      <c r="F12132" s="476" t="s">
        <v>1118</v>
      </c>
      <c r="G12132" s="239" t="s">
        <v>86</v>
      </c>
      <c r="H12132" s="239"/>
      <c r="I12132" s="240"/>
      <c r="J12132" s="241" t="s">
        <v>98</v>
      </c>
      <c r="K12132" s="242">
        <v>284958.55000001192</v>
      </c>
      <c r="L12132" s="242"/>
      <c r="M12132" s="166"/>
    </row>
    <row r="12133" spans="1:13" ht="11.25" customHeight="1" x14ac:dyDescent="0.2">
      <c r="A12133" s="243">
        <v>2026</v>
      </c>
      <c r="B12133" s="243">
        <v>3</v>
      </c>
      <c r="C12133" s="243">
        <v>12</v>
      </c>
      <c r="D12133" s="248">
        <f t="shared" si="1335"/>
        <v>46093</v>
      </c>
      <c r="E12133" s="249">
        <f t="shared" si="1336"/>
        <v>46093</v>
      </c>
      <c r="F12133" s="477"/>
      <c r="G12133" s="244" t="s">
        <v>86</v>
      </c>
      <c r="H12133" s="244"/>
      <c r="I12133" s="245"/>
      <c r="J12133" s="246" t="s">
        <v>82</v>
      </c>
      <c r="K12133" s="247"/>
      <c r="L12133" s="247">
        <f>K12132</f>
        <v>284958.55000001192</v>
      </c>
    </row>
    <row r="12134" spans="1:13" ht="11.25" customHeight="1" x14ac:dyDescent="0.2">
      <c r="A12134" s="236">
        <v>2026</v>
      </c>
      <c r="B12134" s="236">
        <v>3</v>
      </c>
      <c r="C12134" s="236">
        <v>12</v>
      </c>
      <c r="D12134" s="237">
        <f t="shared" si="1335"/>
        <v>46093</v>
      </c>
      <c r="E12134" s="238">
        <f t="shared" si="1336"/>
        <v>46093</v>
      </c>
      <c r="F12134" s="476" t="s">
        <v>1999</v>
      </c>
      <c r="G12134" s="239" t="s">
        <v>86</v>
      </c>
      <c r="H12134" s="239"/>
      <c r="I12134" s="240"/>
      <c r="J12134" s="241" t="s">
        <v>87</v>
      </c>
      <c r="K12134" s="242">
        <v>392.46467817896399</v>
      </c>
      <c r="L12134" s="242"/>
      <c r="M12134" s="401"/>
    </row>
    <row r="12135" spans="1:13" ht="11.25" customHeight="1" x14ac:dyDescent="0.2">
      <c r="A12135" s="243">
        <v>2026</v>
      </c>
      <c r="B12135" s="243">
        <v>3</v>
      </c>
      <c r="C12135" s="243">
        <v>12</v>
      </c>
      <c r="D12135" s="248">
        <f t="shared" si="1335"/>
        <v>46093</v>
      </c>
      <c r="E12135" s="249">
        <f t="shared" si="1336"/>
        <v>46093</v>
      </c>
      <c r="F12135" s="477"/>
      <c r="G12135" s="244" t="s">
        <v>86</v>
      </c>
      <c r="H12135" s="244"/>
      <c r="I12135" s="245"/>
      <c r="J12135" s="246" t="s">
        <v>64</v>
      </c>
      <c r="K12135" s="247"/>
      <c r="L12135" s="247">
        <f>K12134</f>
        <v>392.46467817896399</v>
      </c>
    </row>
    <row r="12136" spans="1:13" ht="11.25" customHeight="1" x14ac:dyDescent="0.2">
      <c r="A12136" s="236">
        <v>2026</v>
      </c>
      <c r="B12136" s="236">
        <v>3</v>
      </c>
      <c r="C12136" s="236">
        <v>12</v>
      </c>
      <c r="D12136" s="237">
        <f t="shared" si="1335"/>
        <v>46093</v>
      </c>
      <c r="E12136" s="238">
        <f t="shared" si="1336"/>
        <v>46093</v>
      </c>
      <c r="F12136" s="476" t="s">
        <v>2000</v>
      </c>
      <c r="G12136" s="239" t="s">
        <v>86</v>
      </c>
      <c r="H12136" s="239"/>
      <c r="I12136" s="240"/>
      <c r="J12136" s="241" t="s">
        <v>89</v>
      </c>
      <c r="K12136" s="242">
        <v>15163.640060577472</v>
      </c>
      <c r="L12136" s="242"/>
      <c r="M12136" s="448">
        <v>15163.640060577472</v>
      </c>
    </row>
    <row r="12137" spans="1:13" ht="11.25" customHeight="1" x14ac:dyDescent="0.2">
      <c r="A12137" s="243">
        <v>2026</v>
      </c>
      <c r="B12137" s="243">
        <v>3</v>
      </c>
      <c r="C12137" s="243">
        <v>12</v>
      </c>
      <c r="D12137" s="248">
        <f t="shared" si="1335"/>
        <v>46093</v>
      </c>
      <c r="E12137" s="249">
        <f t="shared" si="1336"/>
        <v>46093</v>
      </c>
      <c r="F12137" s="477"/>
      <c r="G12137" s="244" t="s">
        <v>86</v>
      </c>
      <c r="H12137" s="244"/>
      <c r="I12137" s="245"/>
      <c r="J12137" s="246" t="s">
        <v>50</v>
      </c>
      <c r="K12137" s="247"/>
      <c r="L12137" s="247">
        <f>K12136</f>
        <v>15163.640060577472</v>
      </c>
      <c r="M12137" s="448">
        <v>736.93673463210553</v>
      </c>
    </row>
    <row r="12138" spans="1:13" ht="11.25" customHeight="1" x14ac:dyDescent="0.2">
      <c r="A12138" s="236">
        <v>2026</v>
      </c>
      <c r="B12138" s="236">
        <v>3</v>
      </c>
      <c r="C12138" s="236">
        <v>12</v>
      </c>
      <c r="D12138" s="237">
        <f t="shared" si="1335"/>
        <v>46093</v>
      </c>
      <c r="E12138" s="238">
        <f t="shared" si="1336"/>
        <v>46093</v>
      </c>
      <c r="F12138" s="476" t="s">
        <v>2001</v>
      </c>
      <c r="G12138" s="239" t="s">
        <v>86</v>
      </c>
      <c r="H12138" s="239"/>
      <c r="I12138" s="240"/>
      <c r="J12138" s="241" t="s">
        <v>91</v>
      </c>
      <c r="K12138" s="242">
        <v>736.93673463210553</v>
      </c>
      <c r="L12138" s="242"/>
    </row>
    <row r="12139" spans="1:13" ht="11.25" customHeight="1" x14ac:dyDescent="0.2">
      <c r="A12139" s="243">
        <v>2026</v>
      </c>
      <c r="B12139" s="243">
        <v>3</v>
      </c>
      <c r="C12139" s="243">
        <v>12</v>
      </c>
      <c r="D12139" s="248">
        <f t="shared" si="1335"/>
        <v>46093</v>
      </c>
      <c r="E12139" s="249">
        <f t="shared" si="1336"/>
        <v>46093</v>
      </c>
      <c r="F12139" s="477"/>
      <c r="G12139" s="244" t="s">
        <v>86</v>
      </c>
      <c r="H12139" s="244"/>
      <c r="I12139" s="245"/>
      <c r="J12139" s="246" t="s">
        <v>51</v>
      </c>
      <c r="K12139" s="247"/>
      <c r="L12139" s="247">
        <f>K12138</f>
        <v>736.93673463210553</v>
      </c>
    </row>
    <row r="12140" spans="1:13" ht="11.25" customHeight="1" x14ac:dyDescent="0.2">
      <c r="A12140" s="221">
        <v>2026</v>
      </c>
      <c r="B12140" s="221">
        <v>3</v>
      </c>
      <c r="C12140" s="221">
        <v>15</v>
      </c>
      <c r="D12140" s="231">
        <f t="shared" si="1335"/>
        <v>46096</v>
      </c>
      <c r="E12140" s="233">
        <f t="shared" si="1336"/>
        <v>46096</v>
      </c>
      <c r="F12140" s="478" t="s">
        <v>1115</v>
      </c>
      <c r="G12140" s="222" t="s">
        <v>1111</v>
      </c>
      <c r="H12140" s="223"/>
      <c r="I12140" s="223"/>
      <c r="J12140" s="224" t="s">
        <v>14</v>
      </c>
      <c r="K12140" s="167">
        <v>15520</v>
      </c>
      <c r="L12140" s="225"/>
    </row>
    <row r="12141" spans="1:13" ht="11.25" customHeight="1" x14ac:dyDescent="0.2">
      <c r="A12141" s="164">
        <v>2026</v>
      </c>
      <c r="B12141" s="164">
        <v>3</v>
      </c>
      <c r="C12141" s="164">
        <v>15</v>
      </c>
      <c r="D12141" s="156">
        <f t="shared" si="1335"/>
        <v>46096</v>
      </c>
      <c r="E12141" s="235">
        <f t="shared" si="1336"/>
        <v>46096</v>
      </c>
      <c r="F12141" s="480"/>
      <c r="G12141" s="208" t="s">
        <v>1111</v>
      </c>
      <c r="J12141" s="165" t="s">
        <v>1112</v>
      </c>
      <c r="K12141" s="167">
        <v>4480</v>
      </c>
      <c r="L12141" s="205"/>
    </row>
    <row r="12142" spans="1:13" ht="11.25" customHeight="1" x14ac:dyDescent="0.2">
      <c r="A12142" s="226">
        <v>2026</v>
      </c>
      <c r="B12142" s="226">
        <v>3</v>
      </c>
      <c r="C12142" s="226">
        <v>15</v>
      </c>
      <c r="D12142" s="232">
        <f t="shared" si="1335"/>
        <v>46096</v>
      </c>
      <c r="E12142" s="234">
        <f t="shared" si="1336"/>
        <v>46096</v>
      </c>
      <c r="F12142" s="479"/>
      <c r="G12142" s="227" t="s">
        <v>1111</v>
      </c>
      <c r="H12142" s="228"/>
      <c r="I12142" s="228"/>
      <c r="J12142" s="229" t="s">
        <v>55</v>
      </c>
      <c r="K12142" s="230"/>
      <c r="L12142" s="230">
        <v>20000</v>
      </c>
    </row>
    <row r="12143" spans="1:13" ht="11.25" customHeight="1" x14ac:dyDescent="0.2">
      <c r="A12143" s="221">
        <v>2026</v>
      </c>
      <c r="B12143" s="221">
        <v>3</v>
      </c>
      <c r="C12143" s="164">
        <v>15</v>
      </c>
      <c r="D12143" s="231">
        <f t="shared" ref="D12143:D12145" si="1337">DATE(A12143,B12143,C12143)</f>
        <v>46096</v>
      </c>
      <c r="E12143" s="233">
        <f t="shared" ref="E12143:E12145" si="1338">DATE(A12143,B12143,C12143)</f>
        <v>46096</v>
      </c>
      <c r="F12143" s="478" t="s">
        <v>1132</v>
      </c>
      <c r="G12143" s="222" t="s">
        <v>1111</v>
      </c>
      <c r="H12143" s="223"/>
      <c r="I12143" s="223"/>
      <c r="J12143" s="224" t="s">
        <v>55</v>
      </c>
      <c r="K12143" s="225">
        <v>12000</v>
      </c>
      <c r="L12143" s="225"/>
    </row>
    <row r="12144" spans="1:13" ht="11.25" customHeight="1" x14ac:dyDescent="0.2">
      <c r="A12144" s="164">
        <v>2026</v>
      </c>
      <c r="B12144" s="164">
        <v>3</v>
      </c>
      <c r="C12144" s="164">
        <v>15</v>
      </c>
      <c r="D12144" s="156">
        <f t="shared" si="1337"/>
        <v>46096</v>
      </c>
      <c r="E12144" s="235">
        <f t="shared" si="1338"/>
        <v>46096</v>
      </c>
      <c r="F12144" s="480"/>
      <c r="G12144" s="208" t="s">
        <v>1111</v>
      </c>
      <c r="J12144" s="165" t="s">
        <v>14</v>
      </c>
      <c r="K12144" s="205"/>
      <c r="L12144" s="205">
        <v>9320</v>
      </c>
    </row>
    <row r="12145" spans="1:14" ht="11.25" customHeight="1" x14ac:dyDescent="0.2">
      <c r="A12145" s="226">
        <v>2026</v>
      </c>
      <c r="B12145" s="226">
        <v>3</v>
      </c>
      <c r="C12145" s="164">
        <v>15</v>
      </c>
      <c r="D12145" s="232">
        <f t="shared" si="1337"/>
        <v>46096</v>
      </c>
      <c r="E12145" s="234">
        <f t="shared" si="1338"/>
        <v>46096</v>
      </c>
      <c r="F12145" s="479"/>
      <c r="G12145" s="227" t="s">
        <v>1111</v>
      </c>
      <c r="H12145" s="228"/>
      <c r="I12145" s="228"/>
      <c r="J12145" s="229" t="s">
        <v>1112</v>
      </c>
      <c r="K12145" s="230"/>
      <c r="L12145" s="230">
        <v>2680</v>
      </c>
      <c r="M12145" s="166"/>
    </row>
    <row r="12146" spans="1:14" ht="11.25" customHeight="1" x14ac:dyDescent="0.2">
      <c r="A12146" s="231">
        <v>2026</v>
      </c>
      <c r="B12146" s="221">
        <v>3</v>
      </c>
      <c r="C12146" s="221">
        <v>15</v>
      </c>
      <c r="D12146" s="221">
        <f t="shared" si="1335"/>
        <v>46096</v>
      </c>
      <c r="E12146" s="271">
        <f t="shared" si="1336"/>
        <v>46096</v>
      </c>
      <c r="F12146" s="478" t="s">
        <v>1992</v>
      </c>
      <c r="G12146" s="222" t="s">
        <v>86</v>
      </c>
      <c r="H12146" s="223"/>
      <c r="I12146" s="223"/>
      <c r="J12146" s="377" t="s">
        <v>316</v>
      </c>
      <c r="K12146" s="225">
        <v>10339.349999999999</v>
      </c>
      <c r="L12146" s="225"/>
    </row>
    <row r="12147" spans="1:14" ht="11.25" customHeight="1" x14ac:dyDescent="0.2">
      <c r="A12147" s="156">
        <v>2026</v>
      </c>
      <c r="B12147" s="164">
        <v>3</v>
      </c>
      <c r="C12147" s="164">
        <v>15</v>
      </c>
      <c r="D12147" s="164">
        <f t="shared" si="1335"/>
        <v>46096</v>
      </c>
      <c r="E12147" s="276">
        <f t="shared" si="1336"/>
        <v>46096</v>
      </c>
      <c r="F12147" s="480"/>
      <c r="G12147" s="208" t="s">
        <v>86</v>
      </c>
      <c r="J12147" s="378" t="s">
        <v>14</v>
      </c>
      <c r="K12147" s="205"/>
      <c r="L12147" s="205">
        <v>8030</v>
      </c>
    </row>
    <row r="12148" spans="1:14" ht="11.25" customHeight="1" x14ac:dyDescent="0.2">
      <c r="A12148" s="232">
        <v>2026</v>
      </c>
      <c r="B12148" s="226">
        <v>3</v>
      </c>
      <c r="C12148" s="226">
        <v>15</v>
      </c>
      <c r="D12148" s="226">
        <f t="shared" si="1335"/>
        <v>46096</v>
      </c>
      <c r="E12148" s="272">
        <f t="shared" si="1336"/>
        <v>46096</v>
      </c>
      <c r="F12148" s="479"/>
      <c r="G12148" s="227" t="s">
        <v>86</v>
      </c>
      <c r="H12148" s="228"/>
      <c r="I12148" s="228"/>
      <c r="J12148" s="379" t="s">
        <v>56</v>
      </c>
      <c r="K12148" s="230"/>
      <c r="L12148" s="230">
        <v>2309.3499999999985</v>
      </c>
    </row>
    <row r="12149" spans="1:14" ht="11.25" customHeight="1" x14ac:dyDescent="0.2">
      <c r="A12149" s="221">
        <v>2026</v>
      </c>
      <c r="B12149" s="221">
        <v>3</v>
      </c>
      <c r="C12149" s="221">
        <v>15</v>
      </c>
      <c r="D12149" s="221">
        <f t="shared" ref="D12149:D12182" si="1339">DATE(A12149,B12149,C12149)</f>
        <v>46096</v>
      </c>
      <c r="E12149" s="233">
        <f t="shared" ref="E12149:E12176" si="1340">DATE(A12149,B12149,C12149)</f>
        <v>46096</v>
      </c>
      <c r="F12149" s="478" t="s">
        <v>1937</v>
      </c>
      <c r="G12149" s="222" t="s">
        <v>86</v>
      </c>
      <c r="H12149" s="222"/>
      <c r="I12149" s="223"/>
      <c r="J12149" s="224" t="s">
        <v>80</v>
      </c>
      <c r="K12149" s="225">
        <v>2560055</v>
      </c>
      <c r="L12149" s="225"/>
      <c r="N12149" s="263"/>
    </row>
    <row r="12150" spans="1:14" ht="11.25" customHeight="1" x14ac:dyDescent="0.2">
      <c r="A12150" s="164">
        <v>2026</v>
      </c>
      <c r="B12150" s="164">
        <v>3</v>
      </c>
      <c r="C12150" s="164">
        <v>15</v>
      </c>
      <c r="D12150" s="164">
        <f t="shared" si="1339"/>
        <v>46096</v>
      </c>
      <c r="E12150" s="235">
        <f t="shared" si="1340"/>
        <v>46096</v>
      </c>
      <c r="F12150" s="480"/>
      <c r="G12150" s="208" t="s">
        <v>86</v>
      </c>
      <c r="H12150" s="208"/>
      <c r="J12150" s="165" t="s">
        <v>960</v>
      </c>
      <c r="K12150" s="205">
        <v>7810.12</v>
      </c>
      <c r="L12150" s="205"/>
      <c r="M12150" s="263"/>
      <c r="N12150" s="263"/>
    </row>
    <row r="12151" spans="1:14" ht="11.25" customHeight="1" x14ac:dyDescent="0.2">
      <c r="A12151" s="164">
        <v>2026</v>
      </c>
      <c r="B12151" s="164">
        <v>3</v>
      </c>
      <c r="C12151" s="164">
        <v>15</v>
      </c>
      <c r="D12151" s="164">
        <f t="shared" si="1339"/>
        <v>46096</v>
      </c>
      <c r="E12151" s="235">
        <f t="shared" si="1340"/>
        <v>46096</v>
      </c>
      <c r="F12151" s="480"/>
      <c r="G12151" s="208" t="s">
        <v>86</v>
      </c>
      <c r="H12151" s="208"/>
      <c r="J12151" s="165" t="s">
        <v>961</v>
      </c>
      <c r="K12151" s="263"/>
      <c r="L12151" s="205">
        <v>788965.12</v>
      </c>
      <c r="M12151" s="263"/>
      <c r="N12151" s="263"/>
    </row>
    <row r="12152" spans="1:14" ht="11.25" customHeight="1" x14ac:dyDescent="0.2">
      <c r="A12152" s="164">
        <v>2026</v>
      </c>
      <c r="B12152" s="164">
        <v>3</v>
      </c>
      <c r="C12152" s="164">
        <v>15</v>
      </c>
      <c r="D12152" s="164">
        <f t="shared" si="1339"/>
        <v>46096</v>
      </c>
      <c r="E12152" s="235">
        <f t="shared" si="1340"/>
        <v>46096</v>
      </c>
      <c r="F12152" s="480"/>
      <c r="G12152" s="208" t="s">
        <v>86</v>
      </c>
      <c r="H12152" s="208"/>
      <c r="J12152" s="165" t="s">
        <v>200</v>
      </c>
      <c r="K12152" s="205"/>
      <c r="L12152" s="205">
        <v>171284.18</v>
      </c>
      <c r="M12152" s="263"/>
      <c r="N12152" s="263"/>
    </row>
    <row r="12153" spans="1:14" ht="11.25" customHeight="1" x14ac:dyDescent="0.2">
      <c r="A12153" s="226">
        <v>2026</v>
      </c>
      <c r="B12153" s="226">
        <v>3</v>
      </c>
      <c r="C12153" s="226">
        <v>15</v>
      </c>
      <c r="D12153" s="226">
        <f t="shared" si="1339"/>
        <v>46096</v>
      </c>
      <c r="E12153" s="234">
        <f t="shared" si="1340"/>
        <v>46096</v>
      </c>
      <c r="F12153" s="479"/>
      <c r="G12153" s="227" t="s">
        <v>86</v>
      </c>
      <c r="H12153" s="228"/>
      <c r="I12153" s="228"/>
      <c r="J12153" s="229" t="s">
        <v>80</v>
      </c>
      <c r="K12153" s="230"/>
      <c r="L12153" s="230">
        <v>1607615.82</v>
      </c>
      <c r="M12153" s="263"/>
      <c r="N12153" s="263"/>
    </row>
    <row r="12154" spans="1:14" ht="11.25" customHeight="1" x14ac:dyDescent="0.2">
      <c r="A12154" s="280">
        <v>2026</v>
      </c>
      <c r="B12154" s="280">
        <v>3</v>
      </c>
      <c r="C12154" s="280">
        <v>15</v>
      </c>
      <c r="D12154" s="281">
        <f t="shared" si="1339"/>
        <v>46096</v>
      </c>
      <c r="E12154" s="282">
        <f t="shared" si="1340"/>
        <v>46096</v>
      </c>
      <c r="F12154" s="472" t="s">
        <v>1584</v>
      </c>
      <c r="G12154" s="283" t="s">
        <v>86</v>
      </c>
      <c r="H12154" s="284"/>
      <c r="I12154" s="284"/>
      <c r="J12154" s="285" t="s">
        <v>131</v>
      </c>
      <c r="K12154" s="286">
        <f>3*1277.77777777778</f>
        <v>3833.3333333333403</v>
      </c>
      <c r="L12154" s="286"/>
      <c r="M12154" s="401"/>
      <c r="N12154" s="166"/>
    </row>
    <row r="12155" spans="1:14" ht="11.25" customHeight="1" x14ac:dyDescent="0.2">
      <c r="A12155" s="287">
        <v>2026</v>
      </c>
      <c r="B12155" s="287">
        <v>3</v>
      </c>
      <c r="C12155" s="287">
        <v>15</v>
      </c>
      <c r="D12155" s="288">
        <f t="shared" si="1339"/>
        <v>46096</v>
      </c>
      <c r="E12155" s="289">
        <f t="shared" si="1340"/>
        <v>46096</v>
      </c>
      <c r="F12155" s="473"/>
      <c r="G12155" s="290" t="s">
        <v>86</v>
      </c>
      <c r="H12155" s="291"/>
      <c r="I12155" s="291"/>
      <c r="J12155" s="292" t="s">
        <v>1469</v>
      </c>
      <c r="K12155" s="293"/>
      <c r="L12155" s="293">
        <f>K12154</f>
        <v>3833.3333333333403</v>
      </c>
    </row>
    <row r="12156" spans="1:14" ht="11.25" customHeight="1" x14ac:dyDescent="0.2">
      <c r="A12156" s="280">
        <v>2026</v>
      </c>
      <c r="B12156" s="280">
        <v>3</v>
      </c>
      <c r="C12156" s="280">
        <v>15</v>
      </c>
      <c r="D12156" s="281">
        <f t="shared" si="1339"/>
        <v>46096</v>
      </c>
      <c r="E12156" s="282">
        <f t="shared" si="1340"/>
        <v>46096</v>
      </c>
      <c r="F12156" s="472" t="s">
        <v>1955</v>
      </c>
      <c r="G12156" s="283" t="s">
        <v>86</v>
      </c>
      <c r="H12156" s="284"/>
      <c r="I12156" s="284"/>
      <c r="J12156" s="285" t="s">
        <v>1978</v>
      </c>
      <c r="K12156" s="286">
        <f>3*6185.43956043956</f>
        <v>18556.31868131868</v>
      </c>
      <c r="L12156" s="286"/>
      <c r="M12156" s="401"/>
    </row>
    <row r="12157" spans="1:14" ht="11.25" customHeight="1" x14ac:dyDescent="0.2">
      <c r="A12157" s="287">
        <v>2026</v>
      </c>
      <c r="B12157" s="287">
        <v>3</v>
      </c>
      <c r="C12157" s="287">
        <v>15</v>
      </c>
      <c r="D12157" s="288">
        <f t="shared" si="1339"/>
        <v>46096</v>
      </c>
      <c r="E12157" s="289">
        <f t="shared" si="1340"/>
        <v>46096</v>
      </c>
      <c r="F12157" s="473"/>
      <c r="G12157" s="290" t="s">
        <v>86</v>
      </c>
      <c r="H12157" s="291"/>
      <c r="I12157" s="291"/>
      <c r="J12157" s="292" t="s">
        <v>1955</v>
      </c>
      <c r="K12157" s="293"/>
      <c r="L12157" s="293">
        <f>K12156</f>
        <v>18556.31868131868</v>
      </c>
    </row>
    <row r="12158" spans="1:14" ht="11.25" customHeight="1" x14ac:dyDescent="0.2">
      <c r="A12158" s="341">
        <v>2026</v>
      </c>
      <c r="B12158" s="341">
        <v>3</v>
      </c>
      <c r="C12158" s="341">
        <v>15</v>
      </c>
      <c r="D12158" s="328">
        <f t="shared" si="1339"/>
        <v>46096</v>
      </c>
      <c r="E12158" s="329">
        <f t="shared" si="1340"/>
        <v>46096</v>
      </c>
      <c r="F12158" s="474" t="s">
        <v>1767</v>
      </c>
      <c r="G12158" s="330" t="s">
        <v>86</v>
      </c>
      <c r="H12158" s="332"/>
      <c r="I12158" s="332"/>
      <c r="J12158" s="342" t="s">
        <v>67</v>
      </c>
      <c r="K12158" s="343">
        <v>3845.77</v>
      </c>
      <c r="L12158" s="343"/>
      <c r="M12158" s="166"/>
    </row>
    <row r="12159" spans="1:14" ht="11.25" customHeight="1" x14ac:dyDescent="0.2">
      <c r="A12159" s="344">
        <v>2026</v>
      </c>
      <c r="B12159" s="344">
        <v>3</v>
      </c>
      <c r="C12159" s="344">
        <v>15</v>
      </c>
      <c r="D12159" s="337">
        <f t="shared" si="1339"/>
        <v>46096</v>
      </c>
      <c r="E12159" s="338">
        <f t="shared" si="1340"/>
        <v>46096</v>
      </c>
      <c r="F12159" s="475"/>
      <c r="G12159" s="339" t="s">
        <v>86</v>
      </c>
      <c r="H12159" s="340"/>
      <c r="I12159" s="340"/>
      <c r="J12159" s="345" t="s">
        <v>1974</v>
      </c>
      <c r="K12159" s="346"/>
      <c r="L12159" s="346">
        <f>K12158</f>
        <v>3845.77</v>
      </c>
    </row>
    <row r="12160" spans="1:14" ht="11.25" customHeight="1" x14ac:dyDescent="0.2">
      <c r="A12160" s="236">
        <v>2026</v>
      </c>
      <c r="B12160" s="236">
        <v>3</v>
      </c>
      <c r="C12160" s="236">
        <v>15</v>
      </c>
      <c r="D12160" s="237">
        <f t="shared" si="1339"/>
        <v>46096</v>
      </c>
      <c r="E12160" s="238">
        <f t="shared" si="1340"/>
        <v>46096</v>
      </c>
      <c r="F12160" s="476" t="s">
        <v>1118</v>
      </c>
      <c r="G12160" s="239" t="s">
        <v>86</v>
      </c>
      <c r="H12160" s="239"/>
      <c r="I12160" s="240"/>
      <c r="J12160" s="241" t="s">
        <v>82</v>
      </c>
      <c r="K12160" s="242">
        <v>3800509.2300000191</v>
      </c>
      <c r="L12160" s="242"/>
      <c r="M12160" s="166"/>
    </row>
    <row r="12161" spans="1:13" ht="11.25" customHeight="1" x14ac:dyDescent="0.2">
      <c r="A12161" s="243">
        <v>2026</v>
      </c>
      <c r="B12161" s="243">
        <v>3</v>
      </c>
      <c r="C12161" s="243">
        <v>15</v>
      </c>
      <c r="D12161" s="248">
        <f t="shared" si="1339"/>
        <v>46096</v>
      </c>
      <c r="E12161" s="249">
        <f t="shared" si="1340"/>
        <v>46096</v>
      </c>
      <c r="F12161" s="477"/>
      <c r="G12161" s="244" t="s">
        <v>86</v>
      </c>
      <c r="H12161" s="244"/>
      <c r="I12161" s="245"/>
      <c r="J12161" s="246" t="s">
        <v>98</v>
      </c>
      <c r="K12161" s="247"/>
      <c r="L12161" s="247">
        <f>K12160</f>
        <v>3800509.2300000191</v>
      </c>
    </row>
    <row r="12162" spans="1:13" ht="11.25" customHeight="1" x14ac:dyDescent="0.2">
      <c r="A12162" s="236">
        <v>2026</v>
      </c>
      <c r="B12162" s="236">
        <v>3</v>
      </c>
      <c r="C12162" s="236">
        <v>15</v>
      </c>
      <c r="D12162" s="237">
        <f t="shared" si="1339"/>
        <v>46096</v>
      </c>
      <c r="E12162" s="238">
        <f t="shared" si="1340"/>
        <v>46096</v>
      </c>
      <c r="F12162" s="476" t="s">
        <v>1999</v>
      </c>
      <c r="G12162" s="239" t="s">
        <v>86</v>
      </c>
      <c r="H12162" s="239"/>
      <c r="I12162" s="240"/>
      <c r="J12162" s="241" t="s">
        <v>87</v>
      </c>
      <c r="K12162" s="242">
        <f>3*392.464678178964</f>
        <v>1177.3940345368919</v>
      </c>
      <c r="L12162" s="242"/>
      <c r="M12162" s="401"/>
    </row>
    <row r="12163" spans="1:13" ht="11.25" customHeight="1" x14ac:dyDescent="0.2">
      <c r="A12163" s="243">
        <v>2026</v>
      </c>
      <c r="B12163" s="243">
        <v>3</v>
      </c>
      <c r="C12163" s="243">
        <v>15</v>
      </c>
      <c r="D12163" s="248">
        <f t="shared" si="1339"/>
        <v>46096</v>
      </c>
      <c r="E12163" s="249">
        <f t="shared" si="1340"/>
        <v>46096</v>
      </c>
      <c r="F12163" s="477"/>
      <c r="G12163" s="244" t="s">
        <v>86</v>
      </c>
      <c r="H12163" s="244"/>
      <c r="I12163" s="245"/>
      <c r="J12163" s="246" t="s">
        <v>64</v>
      </c>
      <c r="K12163" s="247"/>
      <c r="L12163" s="247">
        <f>K12162</f>
        <v>1177.3940345368919</v>
      </c>
    </row>
    <row r="12164" spans="1:13" ht="11.25" customHeight="1" x14ac:dyDescent="0.2">
      <c r="A12164" s="236">
        <v>2026</v>
      </c>
      <c r="B12164" s="236">
        <v>3</v>
      </c>
      <c r="C12164" s="236">
        <v>15</v>
      </c>
      <c r="D12164" s="237">
        <f t="shared" si="1339"/>
        <v>46096</v>
      </c>
      <c r="E12164" s="238">
        <f t="shared" si="1340"/>
        <v>46096</v>
      </c>
      <c r="F12164" s="476" t="s">
        <v>2000</v>
      </c>
      <c r="G12164" s="239" t="s">
        <v>86</v>
      </c>
      <c r="H12164" s="239"/>
      <c r="I12164" s="240"/>
      <c r="J12164" s="241" t="s">
        <v>89</v>
      </c>
      <c r="K12164" s="242">
        <f>3*15014.152182407</f>
        <v>45042.456547221002</v>
      </c>
      <c r="L12164" s="242"/>
      <c r="M12164" s="448">
        <v>15014.152182406988</v>
      </c>
    </row>
    <row r="12165" spans="1:13" ht="11.25" customHeight="1" x14ac:dyDescent="0.2">
      <c r="A12165" s="243">
        <v>2026</v>
      </c>
      <c r="B12165" s="243">
        <v>3</v>
      </c>
      <c r="C12165" s="243">
        <v>15</v>
      </c>
      <c r="D12165" s="248">
        <f t="shared" si="1339"/>
        <v>46096</v>
      </c>
      <c r="E12165" s="249">
        <f t="shared" si="1340"/>
        <v>46096</v>
      </c>
      <c r="F12165" s="477"/>
      <c r="G12165" s="244" t="s">
        <v>86</v>
      </c>
      <c r="H12165" s="244"/>
      <c r="I12165" s="245"/>
      <c r="J12165" s="246" t="s">
        <v>50</v>
      </c>
      <c r="K12165" s="247"/>
      <c r="L12165" s="247">
        <f>K12164</f>
        <v>45042.456547221002</v>
      </c>
      <c r="M12165" s="448">
        <v>726.97087608740651</v>
      </c>
    </row>
    <row r="12166" spans="1:13" ht="11.25" customHeight="1" x14ac:dyDescent="0.2">
      <c r="A12166" s="236">
        <v>2026</v>
      </c>
      <c r="B12166" s="236">
        <v>3</v>
      </c>
      <c r="C12166" s="236">
        <v>15</v>
      </c>
      <c r="D12166" s="237">
        <f t="shared" si="1339"/>
        <v>46096</v>
      </c>
      <c r="E12166" s="238">
        <f t="shared" si="1340"/>
        <v>46096</v>
      </c>
      <c r="F12166" s="476" t="s">
        <v>2001</v>
      </c>
      <c r="G12166" s="239" t="s">
        <v>86</v>
      </c>
      <c r="H12166" s="239"/>
      <c r="I12166" s="240"/>
      <c r="J12166" s="241" t="s">
        <v>91</v>
      </c>
      <c r="K12166" s="242">
        <f>3*726.970876087407</f>
        <v>2180.912628262221</v>
      </c>
      <c r="L12166" s="242"/>
    </row>
    <row r="12167" spans="1:13" ht="11.25" customHeight="1" x14ac:dyDescent="0.2">
      <c r="A12167" s="243">
        <v>2026</v>
      </c>
      <c r="B12167" s="243">
        <v>3</v>
      </c>
      <c r="C12167" s="243">
        <v>15</v>
      </c>
      <c r="D12167" s="248">
        <f t="shared" si="1339"/>
        <v>46096</v>
      </c>
      <c r="E12167" s="249">
        <f t="shared" si="1340"/>
        <v>46096</v>
      </c>
      <c r="F12167" s="477"/>
      <c r="G12167" s="244" t="s">
        <v>86</v>
      </c>
      <c r="H12167" s="244"/>
      <c r="I12167" s="245"/>
      <c r="J12167" s="246" t="s">
        <v>51</v>
      </c>
      <c r="K12167" s="247"/>
      <c r="L12167" s="247">
        <f>K12166</f>
        <v>2180.912628262221</v>
      </c>
    </row>
    <row r="12168" spans="1:13" ht="11.25" customHeight="1" x14ac:dyDescent="0.2">
      <c r="A12168" s="221">
        <v>2026</v>
      </c>
      <c r="B12168" s="221">
        <v>3</v>
      </c>
      <c r="C12168" s="221">
        <v>16</v>
      </c>
      <c r="D12168" s="231">
        <f t="shared" si="1339"/>
        <v>46097</v>
      </c>
      <c r="E12168" s="233">
        <f t="shared" si="1340"/>
        <v>46097</v>
      </c>
      <c r="F12168" s="478" t="s">
        <v>1115</v>
      </c>
      <c r="G12168" s="222" t="s">
        <v>1111</v>
      </c>
      <c r="H12168" s="223"/>
      <c r="I12168" s="223"/>
      <c r="J12168" s="224" t="s">
        <v>14</v>
      </c>
      <c r="K12168" s="167">
        <v>212460</v>
      </c>
      <c r="L12168" s="225"/>
    </row>
    <row r="12169" spans="1:13" ht="11.25" customHeight="1" x14ac:dyDescent="0.2">
      <c r="A12169" s="164">
        <v>2026</v>
      </c>
      <c r="B12169" s="164">
        <v>3</v>
      </c>
      <c r="C12169" s="164">
        <v>16</v>
      </c>
      <c r="D12169" s="156">
        <f t="shared" si="1339"/>
        <v>46097</v>
      </c>
      <c r="E12169" s="235">
        <f t="shared" si="1340"/>
        <v>46097</v>
      </c>
      <c r="F12169" s="480"/>
      <c r="G12169" s="208" t="s">
        <v>1111</v>
      </c>
      <c r="J12169" s="165" t="s">
        <v>1112</v>
      </c>
      <c r="K12169" s="167">
        <v>57540</v>
      </c>
      <c r="L12169" s="205"/>
    </row>
    <row r="12170" spans="1:13" ht="11.25" customHeight="1" x14ac:dyDescent="0.2">
      <c r="A12170" s="226">
        <v>2026</v>
      </c>
      <c r="B12170" s="226">
        <v>3</v>
      </c>
      <c r="C12170" s="226">
        <v>16</v>
      </c>
      <c r="D12170" s="232">
        <f t="shared" si="1339"/>
        <v>46097</v>
      </c>
      <c r="E12170" s="234">
        <f t="shared" si="1340"/>
        <v>46097</v>
      </c>
      <c r="F12170" s="479"/>
      <c r="G12170" s="227" t="s">
        <v>1111</v>
      </c>
      <c r="H12170" s="228"/>
      <c r="I12170" s="228"/>
      <c r="J12170" s="229" t="s">
        <v>55</v>
      </c>
      <c r="K12170" s="230"/>
      <c r="L12170" s="230">
        <v>270000</v>
      </c>
    </row>
    <row r="12171" spans="1:13" ht="11.25" customHeight="1" x14ac:dyDescent="0.2">
      <c r="A12171" s="221">
        <v>2026</v>
      </c>
      <c r="B12171" s="221">
        <v>3</v>
      </c>
      <c r="C12171" s="221">
        <v>16</v>
      </c>
      <c r="D12171" s="231">
        <f t="shared" si="1339"/>
        <v>46097</v>
      </c>
      <c r="E12171" s="233">
        <f t="shared" si="1340"/>
        <v>46097</v>
      </c>
      <c r="F12171" s="478" t="s">
        <v>1670</v>
      </c>
      <c r="G12171" s="222" t="s">
        <v>1111</v>
      </c>
      <c r="H12171" s="223"/>
      <c r="I12171" s="223"/>
      <c r="J12171" s="224" t="s">
        <v>63</v>
      </c>
      <c r="K12171" s="225">
        <v>158</v>
      </c>
      <c r="L12171" s="225"/>
    </row>
    <row r="12172" spans="1:13" ht="11.25" customHeight="1" x14ac:dyDescent="0.2">
      <c r="A12172" s="226">
        <v>2026</v>
      </c>
      <c r="B12172" s="226">
        <v>3</v>
      </c>
      <c r="C12172" s="226">
        <v>16</v>
      </c>
      <c r="D12172" s="232">
        <f t="shared" si="1339"/>
        <v>46097</v>
      </c>
      <c r="E12172" s="234">
        <f t="shared" si="1340"/>
        <v>46097</v>
      </c>
      <c r="F12172" s="479"/>
      <c r="G12172" s="227" t="s">
        <v>1111</v>
      </c>
      <c r="H12172" s="228"/>
      <c r="I12172" s="228"/>
      <c r="J12172" s="229" t="s">
        <v>55</v>
      </c>
      <c r="K12172" s="230"/>
      <c r="L12172" s="230">
        <f>K12171</f>
        <v>158</v>
      </c>
    </row>
    <row r="12173" spans="1:13" ht="11.25" customHeight="1" x14ac:dyDescent="0.2">
      <c r="A12173" s="221">
        <v>2026</v>
      </c>
      <c r="B12173" s="221">
        <v>3</v>
      </c>
      <c r="C12173" s="221">
        <v>16</v>
      </c>
      <c r="D12173" s="231">
        <f t="shared" si="1339"/>
        <v>46097</v>
      </c>
      <c r="E12173" s="233">
        <f t="shared" si="1340"/>
        <v>46097</v>
      </c>
      <c r="F12173" s="478" t="s">
        <v>2005</v>
      </c>
      <c r="G12173" s="222" t="s">
        <v>1111</v>
      </c>
      <c r="H12173" s="223"/>
      <c r="I12173" s="223"/>
      <c r="J12173" s="224" t="s">
        <v>961</v>
      </c>
      <c r="K12173" s="225">
        <v>788965.12</v>
      </c>
      <c r="L12173" s="225"/>
    </row>
    <row r="12174" spans="1:13" ht="11.25" customHeight="1" x14ac:dyDescent="0.2">
      <c r="A12174" s="226">
        <v>2026</v>
      </c>
      <c r="B12174" s="226">
        <v>3</v>
      </c>
      <c r="C12174" s="226">
        <v>16</v>
      </c>
      <c r="D12174" s="232">
        <f t="shared" si="1339"/>
        <v>46097</v>
      </c>
      <c r="E12174" s="234">
        <f t="shared" si="1340"/>
        <v>46097</v>
      </c>
      <c r="F12174" s="479"/>
      <c r="G12174" s="227" t="s">
        <v>1111</v>
      </c>
      <c r="H12174" s="228"/>
      <c r="I12174" s="228"/>
      <c r="J12174" s="229" t="s">
        <v>55</v>
      </c>
      <c r="K12174" s="230"/>
      <c r="L12174" s="230">
        <f>K12173</f>
        <v>788965.12</v>
      </c>
    </row>
    <row r="12175" spans="1:13" ht="11.25" customHeight="1" x14ac:dyDescent="0.2">
      <c r="A12175" s="221">
        <v>2026</v>
      </c>
      <c r="B12175" s="221">
        <v>3</v>
      </c>
      <c r="C12175" s="221">
        <v>16</v>
      </c>
      <c r="D12175" s="231">
        <f t="shared" si="1339"/>
        <v>46097</v>
      </c>
      <c r="E12175" s="233">
        <f t="shared" si="1340"/>
        <v>46097</v>
      </c>
      <c r="F12175" s="478" t="s">
        <v>1985</v>
      </c>
      <c r="G12175" s="222" t="s">
        <v>1111</v>
      </c>
      <c r="H12175" s="223"/>
      <c r="I12175" s="223"/>
      <c r="J12175" s="224" t="s">
        <v>55</v>
      </c>
      <c r="K12175" s="225">
        <v>1149027.3700000001</v>
      </c>
      <c r="L12175" s="225"/>
    </row>
    <row r="12176" spans="1:13" ht="11.25" customHeight="1" x14ac:dyDescent="0.2">
      <c r="A12176" s="226">
        <v>2026</v>
      </c>
      <c r="B12176" s="226">
        <v>3</v>
      </c>
      <c r="C12176" s="226">
        <v>16</v>
      </c>
      <c r="D12176" s="232">
        <f t="shared" si="1339"/>
        <v>46097</v>
      </c>
      <c r="E12176" s="234">
        <f t="shared" si="1340"/>
        <v>46097</v>
      </c>
      <c r="F12176" s="479"/>
      <c r="G12176" s="227" t="s">
        <v>1111</v>
      </c>
      <c r="H12176" s="228"/>
      <c r="I12176" s="228"/>
      <c r="J12176" s="229" t="s">
        <v>199</v>
      </c>
      <c r="K12176" s="230"/>
      <c r="L12176" s="230">
        <f>K12175</f>
        <v>1149027.3700000001</v>
      </c>
    </row>
    <row r="12177" spans="1:14" ht="11.25" customHeight="1" x14ac:dyDescent="0.2">
      <c r="A12177" s="221">
        <v>2026</v>
      </c>
      <c r="B12177" s="221">
        <v>3</v>
      </c>
      <c r="C12177" s="221">
        <v>16</v>
      </c>
      <c r="D12177" s="231">
        <f t="shared" si="1339"/>
        <v>46097</v>
      </c>
      <c r="E12177" s="233">
        <f>DATE(A12177,B12177,C12177)</f>
        <v>46097</v>
      </c>
      <c r="F12177" s="478" t="s">
        <v>1142</v>
      </c>
      <c r="G12177" s="222" t="s">
        <v>1111</v>
      </c>
      <c r="H12177" s="223"/>
      <c r="I12177" s="223"/>
      <c r="J12177" s="224" t="s">
        <v>189</v>
      </c>
      <c r="K12177" s="225">
        <v>1575</v>
      </c>
      <c r="L12177" s="225"/>
    </row>
    <row r="12178" spans="1:14" ht="11.25" customHeight="1" x14ac:dyDescent="0.2">
      <c r="A12178" s="164">
        <v>2026</v>
      </c>
      <c r="B12178" s="164">
        <v>3</v>
      </c>
      <c r="C12178" s="164">
        <v>16</v>
      </c>
      <c r="D12178" s="156">
        <f t="shared" si="1339"/>
        <v>46097</v>
      </c>
      <c r="E12178" s="235">
        <f>DATE(A12178,B12178,C12178)</f>
        <v>46097</v>
      </c>
      <c r="F12178" s="480"/>
      <c r="G12178" s="208" t="s">
        <v>1111</v>
      </c>
      <c r="J12178" s="165" t="s">
        <v>1707</v>
      </c>
      <c r="K12178" s="205"/>
      <c r="L12178" s="205">
        <v>75</v>
      </c>
    </row>
    <row r="12179" spans="1:14" ht="11.25" customHeight="1" x14ac:dyDescent="0.2">
      <c r="A12179" s="226">
        <v>2026</v>
      </c>
      <c r="B12179" s="226">
        <v>3</v>
      </c>
      <c r="C12179" s="226">
        <v>16</v>
      </c>
      <c r="D12179" s="232">
        <f t="shared" si="1339"/>
        <v>46097</v>
      </c>
      <c r="E12179" s="234">
        <f>DATE(A12179,B12179,C12179)</f>
        <v>46097</v>
      </c>
      <c r="F12179" s="479"/>
      <c r="G12179" s="227" t="s">
        <v>1111</v>
      </c>
      <c r="H12179" s="228"/>
      <c r="I12179" s="228"/>
      <c r="J12179" s="229" t="s">
        <v>55</v>
      </c>
      <c r="K12179" s="230"/>
      <c r="L12179" s="230">
        <v>1500</v>
      </c>
    </row>
    <row r="12180" spans="1:14" ht="11.25" customHeight="1" x14ac:dyDescent="0.2">
      <c r="A12180" s="221">
        <v>2026</v>
      </c>
      <c r="B12180" s="221">
        <v>3</v>
      </c>
      <c r="C12180" s="221">
        <v>16</v>
      </c>
      <c r="D12180" s="231">
        <f t="shared" si="1339"/>
        <v>46097</v>
      </c>
      <c r="E12180" s="233">
        <f t="shared" ref="E12180:E12187" si="1341">DATE(A12180,B12180,C12180)</f>
        <v>46097</v>
      </c>
      <c r="F12180" s="478" t="s">
        <v>2008</v>
      </c>
      <c r="G12180" s="222" t="s">
        <v>1111</v>
      </c>
      <c r="H12180" s="223" t="str" cm="1">
        <f t="array" ref="H12180">IFERROR(INDEX(INVESTOR_LIST[INVESTOR NAME],MATCH(I12180,INVESTOR_LIST[INVESTOR CODE],0),)," ")</f>
        <v xml:space="preserve"> </v>
      </c>
      <c r="I12180" s="223"/>
      <c r="J12180" s="231" t="s">
        <v>316</v>
      </c>
      <c r="K12180" s="225">
        <v>3087566.3</v>
      </c>
      <c r="L12180" s="225"/>
    </row>
    <row r="12181" spans="1:14" ht="11.25" customHeight="1" x14ac:dyDescent="0.2">
      <c r="A12181" s="164">
        <v>2026</v>
      </c>
      <c r="B12181" s="164">
        <v>3</v>
      </c>
      <c r="C12181" s="164">
        <v>16</v>
      </c>
      <c r="D12181" s="156">
        <f t="shared" ref="D12181" si="1342">DATE(A12181,B12181,C12181)</f>
        <v>46097</v>
      </c>
      <c r="E12181" s="235">
        <f>DATE(A12181,B12181,C12181)</f>
        <v>46097</v>
      </c>
      <c r="F12181" s="480"/>
      <c r="G12181" s="208" t="s">
        <v>1111</v>
      </c>
      <c r="J12181" s="165" t="s">
        <v>1707</v>
      </c>
      <c r="K12181" s="205"/>
      <c r="L12181" s="205">
        <v>558549.1</v>
      </c>
    </row>
    <row r="12182" spans="1:14" ht="11.25" customHeight="1" x14ac:dyDescent="0.2">
      <c r="A12182" s="226">
        <v>2026</v>
      </c>
      <c r="B12182" s="226">
        <v>3</v>
      </c>
      <c r="C12182" s="226">
        <v>16</v>
      </c>
      <c r="D12182" s="232">
        <f t="shared" si="1339"/>
        <v>46097</v>
      </c>
      <c r="E12182" s="234">
        <f t="shared" si="1341"/>
        <v>46097</v>
      </c>
      <c r="F12182" s="479"/>
      <c r="G12182" s="227" t="s">
        <v>1111</v>
      </c>
      <c r="H12182" s="228" t="str" cm="1">
        <f t="array" ref="H12182">IFERROR(INDEX(INVESTOR_LIST[INVESTOR NAME],MATCH(I12182,INVESTOR_LIST[INVESTOR CODE],0),)," ")</f>
        <v xml:space="preserve"> </v>
      </c>
      <c r="I12182" s="228"/>
      <c r="J12182" s="232" t="s">
        <v>55</v>
      </c>
      <c r="K12182" s="230"/>
      <c r="L12182" s="230">
        <v>2529017.2000000002</v>
      </c>
    </row>
    <row r="12183" spans="1:14" ht="11.25" customHeight="1" x14ac:dyDescent="0.2">
      <c r="A12183" s="221">
        <v>2026</v>
      </c>
      <c r="B12183" s="221">
        <v>3</v>
      </c>
      <c r="C12183" s="221">
        <v>16</v>
      </c>
      <c r="D12183" s="221">
        <f t="shared" ref="D12183:D12187" si="1343">DATE(A12183,B12183,C12183)</f>
        <v>46097</v>
      </c>
      <c r="E12183" s="233">
        <f t="shared" si="1341"/>
        <v>46097</v>
      </c>
      <c r="F12183" s="478" t="s">
        <v>1937</v>
      </c>
      <c r="G12183" s="222" t="s">
        <v>86</v>
      </c>
      <c r="H12183" s="222"/>
      <c r="I12183" s="223"/>
      <c r="J12183" s="224" t="s">
        <v>80</v>
      </c>
      <c r="K12183" s="225">
        <v>3805338.1</v>
      </c>
      <c r="L12183" s="225"/>
      <c r="N12183" s="263"/>
    </row>
    <row r="12184" spans="1:14" ht="11.25" customHeight="1" x14ac:dyDescent="0.2">
      <c r="A12184" s="164">
        <v>2026</v>
      </c>
      <c r="B12184" s="164">
        <v>3</v>
      </c>
      <c r="C12184" s="164">
        <v>16</v>
      </c>
      <c r="D12184" s="164">
        <f t="shared" si="1343"/>
        <v>46097</v>
      </c>
      <c r="E12184" s="235">
        <f t="shared" si="1341"/>
        <v>46097</v>
      </c>
      <c r="F12184" s="480"/>
      <c r="G12184" s="208" t="s">
        <v>86</v>
      </c>
      <c r="H12184" s="208"/>
      <c r="J12184" s="165" t="s">
        <v>960</v>
      </c>
      <c r="K12184" s="205">
        <v>10750.482099999999</v>
      </c>
      <c r="L12184" s="205"/>
      <c r="M12184" s="263"/>
      <c r="N12184" s="263"/>
    </row>
    <row r="12185" spans="1:14" ht="11.25" customHeight="1" x14ac:dyDescent="0.2">
      <c r="A12185" s="164">
        <v>2026</v>
      </c>
      <c r="B12185" s="164">
        <v>3</v>
      </c>
      <c r="C12185" s="164">
        <v>16</v>
      </c>
      <c r="D12185" s="164">
        <f t="shared" si="1343"/>
        <v>46097</v>
      </c>
      <c r="E12185" s="235">
        <f t="shared" si="1341"/>
        <v>46097</v>
      </c>
      <c r="F12185" s="480"/>
      <c r="G12185" s="208" t="s">
        <v>86</v>
      </c>
      <c r="H12185" s="208"/>
      <c r="J12185" s="165" t="s">
        <v>961</v>
      </c>
      <c r="K12185" s="263"/>
      <c r="L12185" s="205">
        <v>1648936.58</v>
      </c>
      <c r="M12185" s="263"/>
      <c r="N12185" s="263"/>
    </row>
    <row r="12186" spans="1:14" ht="11.25" customHeight="1" x14ac:dyDescent="0.2">
      <c r="A12186" s="164">
        <v>2026</v>
      </c>
      <c r="B12186" s="164">
        <v>3</v>
      </c>
      <c r="C12186" s="164">
        <v>16</v>
      </c>
      <c r="D12186" s="164">
        <f t="shared" si="1343"/>
        <v>46097</v>
      </c>
      <c r="E12186" s="235">
        <f t="shared" si="1341"/>
        <v>46097</v>
      </c>
      <c r="F12186" s="480"/>
      <c r="G12186" s="208" t="s">
        <v>86</v>
      </c>
      <c r="H12186" s="208"/>
      <c r="J12186" s="165" t="s">
        <v>200</v>
      </c>
      <c r="K12186" s="205"/>
      <c r="L12186" s="205">
        <v>212380.58</v>
      </c>
      <c r="M12186" s="263"/>
      <c r="N12186" s="263"/>
    </row>
    <row r="12187" spans="1:14" ht="11.25" customHeight="1" x14ac:dyDescent="0.2">
      <c r="A12187" s="226">
        <v>2026</v>
      </c>
      <c r="B12187" s="226">
        <v>3</v>
      </c>
      <c r="C12187" s="226">
        <v>16</v>
      </c>
      <c r="D12187" s="226">
        <f t="shared" si="1343"/>
        <v>46097</v>
      </c>
      <c r="E12187" s="234">
        <f t="shared" si="1341"/>
        <v>46097</v>
      </c>
      <c r="F12187" s="479"/>
      <c r="G12187" s="227" t="s">
        <v>86</v>
      </c>
      <c r="H12187" s="228"/>
      <c r="I12187" s="228"/>
      <c r="J12187" s="229" t="s">
        <v>80</v>
      </c>
      <c r="K12187" s="230"/>
      <c r="L12187" s="230">
        <v>1954771.42</v>
      </c>
      <c r="M12187" s="263"/>
      <c r="N12187" s="263"/>
    </row>
    <row r="12188" spans="1:14" ht="11.25" customHeight="1" x14ac:dyDescent="0.2">
      <c r="A12188" s="280">
        <v>2026</v>
      </c>
      <c r="B12188" s="280">
        <v>3</v>
      </c>
      <c r="C12188" s="280">
        <v>16</v>
      </c>
      <c r="D12188" s="281">
        <f t="shared" ref="D12188:D12208" si="1344">DATE(A12188,B12188,C12188)</f>
        <v>46097</v>
      </c>
      <c r="E12188" s="282">
        <f t="shared" ref="E12188:E12208" si="1345">DATE(A12188,B12188,C12188)</f>
        <v>46097</v>
      </c>
      <c r="F12188" s="472" t="s">
        <v>1584</v>
      </c>
      <c r="G12188" s="283" t="s">
        <v>86</v>
      </c>
      <c r="H12188" s="284"/>
      <c r="I12188" s="284"/>
      <c r="J12188" s="285" t="s">
        <v>131</v>
      </c>
      <c r="K12188" s="286">
        <v>1277.7777777777801</v>
      </c>
      <c r="L12188" s="286"/>
      <c r="M12188" s="401"/>
      <c r="N12188" s="166"/>
    </row>
    <row r="12189" spans="1:14" ht="11.25" customHeight="1" x14ac:dyDescent="0.2">
      <c r="A12189" s="287">
        <v>2026</v>
      </c>
      <c r="B12189" s="287">
        <v>3</v>
      </c>
      <c r="C12189" s="287">
        <v>16</v>
      </c>
      <c r="D12189" s="288">
        <f t="shared" si="1344"/>
        <v>46097</v>
      </c>
      <c r="E12189" s="289">
        <f t="shared" si="1345"/>
        <v>46097</v>
      </c>
      <c r="F12189" s="473"/>
      <c r="G12189" s="290" t="s">
        <v>86</v>
      </c>
      <c r="H12189" s="291"/>
      <c r="I12189" s="291"/>
      <c r="J12189" s="292" t="s">
        <v>1469</v>
      </c>
      <c r="K12189" s="293"/>
      <c r="L12189" s="293">
        <f>K12188</f>
        <v>1277.7777777777801</v>
      </c>
    </row>
    <row r="12190" spans="1:14" ht="11.25" customHeight="1" x14ac:dyDescent="0.2">
      <c r="A12190" s="280">
        <v>2026</v>
      </c>
      <c r="B12190" s="280">
        <v>3</v>
      </c>
      <c r="C12190" s="280">
        <v>16</v>
      </c>
      <c r="D12190" s="281">
        <f t="shared" si="1344"/>
        <v>46097</v>
      </c>
      <c r="E12190" s="282">
        <f t="shared" si="1345"/>
        <v>46097</v>
      </c>
      <c r="F12190" s="472" t="s">
        <v>1955</v>
      </c>
      <c r="G12190" s="283" t="s">
        <v>86</v>
      </c>
      <c r="H12190" s="284"/>
      <c r="I12190" s="284"/>
      <c r="J12190" s="285" t="s">
        <v>1978</v>
      </c>
      <c r="K12190" s="286">
        <v>6185.4395604395604</v>
      </c>
      <c r="L12190" s="286"/>
      <c r="M12190" s="401"/>
    </row>
    <row r="12191" spans="1:14" ht="11.25" customHeight="1" x14ac:dyDescent="0.2">
      <c r="A12191" s="287">
        <v>2026</v>
      </c>
      <c r="B12191" s="287">
        <v>3</v>
      </c>
      <c r="C12191" s="287">
        <v>16</v>
      </c>
      <c r="D12191" s="288">
        <f t="shared" si="1344"/>
        <v>46097</v>
      </c>
      <c r="E12191" s="289">
        <f t="shared" si="1345"/>
        <v>46097</v>
      </c>
      <c r="F12191" s="473"/>
      <c r="G12191" s="290" t="s">
        <v>86</v>
      </c>
      <c r="H12191" s="291"/>
      <c r="I12191" s="291"/>
      <c r="J12191" s="292" t="s">
        <v>1955</v>
      </c>
      <c r="K12191" s="293"/>
      <c r="L12191" s="293">
        <f>K12190</f>
        <v>6185.4395604395604</v>
      </c>
    </row>
    <row r="12192" spans="1:14" ht="11.25" customHeight="1" x14ac:dyDescent="0.2">
      <c r="A12192" s="341">
        <v>2026</v>
      </c>
      <c r="B12192" s="341">
        <v>3</v>
      </c>
      <c r="C12192" s="341">
        <v>16</v>
      </c>
      <c r="D12192" s="328">
        <f t="shared" si="1344"/>
        <v>46097</v>
      </c>
      <c r="E12192" s="329">
        <f t="shared" si="1345"/>
        <v>46097</v>
      </c>
      <c r="F12192" s="474" t="s">
        <v>1767</v>
      </c>
      <c r="G12192" s="330" t="s">
        <v>86</v>
      </c>
      <c r="H12192" s="332"/>
      <c r="I12192" s="332"/>
      <c r="J12192" s="342" t="s">
        <v>67</v>
      </c>
      <c r="K12192" s="343">
        <v>777.53649111111099</v>
      </c>
      <c r="L12192" s="343"/>
      <c r="M12192" s="166"/>
    </row>
    <row r="12193" spans="1:14" ht="11.25" customHeight="1" x14ac:dyDescent="0.2">
      <c r="A12193" s="344">
        <v>2026</v>
      </c>
      <c r="B12193" s="344">
        <v>3</v>
      </c>
      <c r="C12193" s="344">
        <v>16</v>
      </c>
      <c r="D12193" s="337">
        <f t="shared" si="1344"/>
        <v>46097</v>
      </c>
      <c r="E12193" s="338">
        <f t="shared" si="1345"/>
        <v>46097</v>
      </c>
      <c r="F12193" s="475"/>
      <c r="G12193" s="339" t="s">
        <v>86</v>
      </c>
      <c r="H12193" s="340"/>
      <c r="I12193" s="340"/>
      <c r="J12193" s="345" t="s">
        <v>1974</v>
      </c>
      <c r="K12193" s="346"/>
      <c r="L12193" s="346">
        <f>K12192</f>
        <v>777.53649111111099</v>
      </c>
    </row>
    <row r="12194" spans="1:14" ht="11.25" customHeight="1" x14ac:dyDescent="0.2">
      <c r="A12194" s="236">
        <v>2026</v>
      </c>
      <c r="B12194" s="236">
        <v>3</v>
      </c>
      <c r="C12194" s="236">
        <v>16</v>
      </c>
      <c r="D12194" s="237">
        <f t="shared" si="1344"/>
        <v>46097</v>
      </c>
      <c r="E12194" s="238">
        <f t="shared" si="1345"/>
        <v>46097</v>
      </c>
      <c r="F12194" s="476" t="s">
        <v>1118</v>
      </c>
      <c r="G12194" s="239" t="s">
        <v>86</v>
      </c>
      <c r="H12194" s="239"/>
      <c r="I12194" s="240"/>
      <c r="J12194" s="241" t="s">
        <v>98</v>
      </c>
      <c r="K12194" s="242">
        <v>554713.01000002027</v>
      </c>
      <c r="L12194" s="242"/>
      <c r="M12194" s="166"/>
    </row>
    <row r="12195" spans="1:14" ht="11.25" customHeight="1" x14ac:dyDescent="0.2">
      <c r="A12195" s="243">
        <v>2026</v>
      </c>
      <c r="B12195" s="243">
        <v>3</v>
      </c>
      <c r="C12195" s="243">
        <v>16</v>
      </c>
      <c r="D12195" s="248">
        <f t="shared" si="1344"/>
        <v>46097</v>
      </c>
      <c r="E12195" s="249">
        <f t="shared" si="1345"/>
        <v>46097</v>
      </c>
      <c r="F12195" s="477"/>
      <c r="G12195" s="244" t="s">
        <v>86</v>
      </c>
      <c r="H12195" s="244"/>
      <c r="I12195" s="245"/>
      <c r="J12195" s="246" t="s">
        <v>82</v>
      </c>
      <c r="K12195" s="247"/>
      <c r="L12195" s="247">
        <f>K12194</f>
        <v>554713.01000002027</v>
      </c>
    </row>
    <row r="12196" spans="1:14" ht="11.25" customHeight="1" x14ac:dyDescent="0.2">
      <c r="A12196" s="236">
        <v>2026</v>
      </c>
      <c r="B12196" s="236">
        <v>3</v>
      </c>
      <c r="C12196" s="236">
        <v>16</v>
      </c>
      <c r="D12196" s="237">
        <f t="shared" si="1344"/>
        <v>46097</v>
      </c>
      <c r="E12196" s="238">
        <f t="shared" si="1345"/>
        <v>46097</v>
      </c>
      <c r="F12196" s="476" t="s">
        <v>1999</v>
      </c>
      <c r="G12196" s="239" t="s">
        <v>86</v>
      </c>
      <c r="H12196" s="239"/>
      <c r="I12196" s="240"/>
      <c r="J12196" s="241" t="s">
        <v>87</v>
      </c>
      <c r="K12196" s="242">
        <v>392.46467817896399</v>
      </c>
      <c r="L12196" s="242"/>
      <c r="M12196" s="401"/>
    </row>
    <row r="12197" spans="1:14" ht="11.25" customHeight="1" x14ac:dyDescent="0.2">
      <c r="A12197" s="243">
        <v>2026</v>
      </c>
      <c r="B12197" s="243">
        <v>3</v>
      </c>
      <c r="C12197" s="243">
        <v>16</v>
      </c>
      <c r="D12197" s="248">
        <f t="shared" si="1344"/>
        <v>46097</v>
      </c>
      <c r="E12197" s="249">
        <f t="shared" si="1345"/>
        <v>46097</v>
      </c>
      <c r="F12197" s="477"/>
      <c r="G12197" s="244" t="s">
        <v>86</v>
      </c>
      <c r="H12197" s="244"/>
      <c r="I12197" s="245"/>
      <c r="J12197" s="246" t="s">
        <v>64</v>
      </c>
      <c r="K12197" s="247"/>
      <c r="L12197" s="247">
        <f>K12196</f>
        <v>392.46467817896399</v>
      </c>
    </row>
    <row r="12198" spans="1:14" ht="11.25" customHeight="1" x14ac:dyDescent="0.2">
      <c r="A12198" s="236">
        <v>2026</v>
      </c>
      <c r="B12198" s="236">
        <v>3</v>
      </c>
      <c r="C12198" s="236">
        <v>16</v>
      </c>
      <c r="D12198" s="237">
        <f t="shared" si="1344"/>
        <v>46097</v>
      </c>
      <c r="E12198" s="238">
        <f t="shared" si="1345"/>
        <v>46097</v>
      </c>
      <c r="F12198" s="476" t="s">
        <v>2000</v>
      </c>
      <c r="G12198" s="239" t="s">
        <v>86</v>
      </c>
      <c r="H12198" s="239"/>
      <c r="I12198" s="240"/>
      <c r="J12198" s="241" t="s">
        <v>89</v>
      </c>
      <c r="K12198" s="242">
        <v>15032.94266300462</v>
      </c>
      <c r="L12198" s="242"/>
      <c r="M12198" s="448">
        <v>15032.94266300462</v>
      </c>
    </row>
    <row r="12199" spans="1:14" ht="11.25" customHeight="1" x14ac:dyDescent="0.2">
      <c r="A12199" s="243">
        <v>2026</v>
      </c>
      <c r="B12199" s="243">
        <v>3</v>
      </c>
      <c r="C12199" s="243">
        <v>16</v>
      </c>
      <c r="D12199" s="248">
        <f t="shared" si="1344"/>
        <v>46097</v>
      </c>
      <c r="E12199" s="249">
        <f t="shared" si="1345"/>
        <v>46097</v>
      </c>
      <c r="F12199" s="477"/>
      <c r="G12199" s="244" t="s">
        <v>86</v>
      </c>
      <c r="H12199" s="244"/>
      <c r="I12199" s="245"/>
      <c r="J12199" s="246" t="s">
        <v>50</v>
      </c>
      <c r="K12199" s="247"/>
      <c r="L12199" s="247">
        <f>K12198</f>
        <v>15032.94266300462</v>
      </c>
      <c r="M12199" s="448">
        <v>728.2235747939153</v>
      </c>
    </row>
    <row r="12200" spans="1:14" ht="11.25" customHeight="1" x14ac:dyDescent="0.2">
      <c r="A12200" s="236">
        <v>2026</v>
      </c>
      <c r="B12200" s="236">
        <v>3</v>
      </c>
      <c r="C12200" s="236">
        <v>16</v>
      </c>
      <c r="D12200" s="237">
        <f t="shared" si="1344"/>
        <v>46097</v>
      </c>
      <c r="E12200" s="238">
        <f t="shared" si="1345"/>
        <v>46097</v>
      </c>
      <c r="F12200" s="476" t="s">
        <v>2001</v>
      </c>
      <c r="G12200" s="239" t="s">
        <v>86</v>
      </c>
      <c r="H12200" s="239"/>
      <c r="I12200" s="240"/>
      <c r="J12200" s="241" t="s">
        <v>91</v>
      </c>
      <c r="K12200" s="242">
        <v>728.2235747939153</v>
      </c>
      <c r="L12200" s="242"/>
    </row>
    <row r="12201" spans="1:14" ht="11.25" customHeight="1" x14ac:dyDescent="0.2">
      <c r="A12201" s="243">
        <v>2026</v>
      </c>
      <c r="B12201" s="243">
        <v>3</v>
      </c>
      <c r="C12201" s="243">
        <v>16</v>
      </c>
      <c r="D12201" s="248">
        <f t="shared" si="1344"/>
        <v>46097</v>
      </c>
      <c r="E12201" s="249">
        <f t="shared" si="1345"/>
        <v>46097</v>
      </c>
      <c r="F12201" s="477"/>
      <c r="G12201" s="244" t="s">
        <v>86</v>
      </c>
      <c r="H12201" s="244"/>
      <c r="I12201" s="245"/>
      <c r="J12201" s="246" t="s">
        <v>51</v>
      </c>
      <c r="K12201" s="247"/>
      <c r="L12201" s="247">
        <f>K12200</f>
        <v>728.2235747939153</v>
      </c>
    </row>
    <row r="12202" spans="1:14" ht="11.25" customHeight="1" x14ac:dyDescent="0.2">
      <c r="A12202" s="221">
        <v>2026</v>
      </c>
      <c r="B12202" s="221">
        <v>3</v>
      </c>
      <c r="C12202" s="221">
        <v>24</v>
      </c>
      <c r="D12202" s="231">
        <f t="shared" si="1344"/>
        <v>46105</v>
      </c>
      <c r="E12202" s="233">
        <f t="shared" si="1345"/>
        <v>46105</v>
      </c>
      <c r="F12202" s="478" t="s">
        <v>2005</v>
      </c>
      <c r="G12202" s="222" t="s">
        <v>1111</v>
      </c>
      <c r="H12202" s="223"/>
      <c r="I12202" s="223"/>
      <c r="J12202" s="224" t="s">
        <v>961</v>
      </c>
      <c r="K12202" s="225">
        <v>1648936.58</v>
      </c>
      <c r="L12202" s="225"/>
    </row>
    <row r="12203" spans="1:14" ht="11.25" customHeight="1" x14ac:dyDescent="0.2">
      <c r="A12203" s="226">
        <v>2026</v>
      </c>
      <c r="B12203" s="226">
        <v>3</v>
      </c>
      <c r="C12203" s="226">
        <v>24</v>
      </c>
      <c r="D12203" s="232">
        <f t="shared" si="1344"/>
        <v>46105</v>
      </c>
      <c r="E12203" s="234">
        <f t="shared" si="1345"/>
        <v>46105</v>
      </c>
      <c r="F12203" s="479"/>
      <c r="G12203" s="227" t="s">
        <v>1111</v>
      </c>
      <c r="H12203" s="228"/>
      <c r="I12203" s="228"/>
      <c r="J12203" s="229" t="s">
        <v>55</v>
      </c>
      <c r="K12203" s="230"/>
      <c r="L12203" s="230">
        <f>K12202</f>
        <v>1648936.58</v>
      </c>
    </row>
    <row r="12204" spans="1:14" ht="11.25" customHeight="1" x14ac:dyDescent="0.2">
      <c r="A12204" s="221">
        <v>2026</v>
      </c>
      <c r="B12204" s="221">
        <v>3</v>
      </c>
      <c r="C12204" s="221">
        <v>24</v>
      </c>
      <c r="D12204" s="221">
        <f t="shared" si="1344"/>
        <v>46105</v>
      </c>
      <c r="E12204" s="233">
        <f t="shared" si="1345"/>
        <v>46105</v>
      </c>
      <c r="F12204" s="478" t="s">
        <v>1937</v>
      </c>
      <c r="G12204" s="222" t="s">
        <v>86</v>
      </c>
      <c r="H12204" s="222"/>
      <c r="I12204" s="223"/>
      <c r="J12204" s="224" t="s">
        <v>80</v>
      </c>
      <c r="K12204" s="225">
        <v>817045</v>
      </c>
      <c r="L12204" s="225"/>
      <c r="N12204" s="263"/>
    </row>
    <row r="12205" spans="1:14" ht="11.25" customHeight="1" x14ac:dyDescent="0.2">
      <c r="A12205" s="164">
        <v>2026</v>
      </c>
      <c r="B12205" s="164">
        <v>3</v>
      </c>
      <c r="C12205" s="164">
        <v>24</v>
      </c>
      <c r="D12205" s="164">
        <f t="shared" si="1344"/>
        <v>46105</v>
      </c>
      <c r="E12205" s="235">
        <f t="shared" si="1345"/>
        <v>46105</v>
      </c>
      <c r="F12205" s="480"/>
      <c r="G12205" s="208" t="s">
        <v>86</v>
      </c>
      <c r="H12205" s="208"/>
      <c r="J12205" s="165" t="s">
        <v>960</v>
      </c>
      <c r="K12205" s="205">
        <v>5286.1819999999998</v>
      </c>
      <c r="L12205" s="205"/>
      <c r="M12205" s="263"/>
      <c r="N12205" s="263"/>
    </row>
    <row r="12206" spans="1:14" ht="11.25" customHeight="1" x14ac:dyDescent="0.2">
      <c r="A12206" s="164">
        <v>2026</v>
      </c>
      <c r="B12206" s="164">
        <v>3</v>
      </c>
      <c r="C12206" s="164">
        <v>24</v>
      </c>
      <c r="D12206" s="164">
        <f t="shared" si="1344"/>
        <v>46105</v>
      </c>
      <c r="E12206" s="235">
        <f t="shared" si="1345"/>
        <v>46105</v>
      </c>
      <c r="F12206" s="480"/>
      <c r="G12206" s="208" t="s">
        <v>86</v>
      </c>
      <c r="H12206" s="208"/>
      <c r="J12206" s="165" t="s">
        <v>199</v>
      </c>
      <c r="K12206" s="263">
        <v>1297391.32</v>
      </c>
      <c r="L12206" s="205"/>
      <c r="M12206" s="263"/>
      <c r="N12206" s="263"/>
    </row>
    <row r="12207" spans="1:14" ht="11.25" customHeight="1" x14ac:dyDescent="0.2">
      <c r="A12207" s="164">
        <v>2026</v>
      </c>
      <c r="B12207" s="164">
        <v>3</v>
      </c>
      <c r="C12207" s="164">
        <v>24</v>
      </c>
      <c r="D12207" s="164">
        <f t="shared" si="1344"/>
        <v>46105</v>
      </c>
      <c r="E12207" s="235">
        <f t="shared" si="1345"/>
        <v>46105</v>
      </c>
      <c r="F12207" s="480"/>
      <c r="G12207" s="208" t="s">
        <v>86</v>
      </c>
      <c r="H12207" s="208"/>
      <c r="J12207" s="165" t="s">
        <v>200</v>
      </c>
      <c r="K12207" s="205"/>
      <c r="L12207" s="205">
        <v>150127.42000000001</v>
      </c>
      <c r="M12207" s="263"/>
      <c r="N12207" s="263"/>
    </row>
    <row r="12208" spans="1:14" ht="11.25" customHeight="1" x14ac:dyDescent="0.2">
      <c r="A12208" s="226">
        <v>2026</v>
      </c>
      <c r="B12208" s="226">
        <v>3</v>
      </c>
      <c r="C12208" s="226">
        <v>24</v>
      </c>
      <c r="D12208" s="226">
        <f t="shared" si="1344"/>
        <v>46105</v>
      </c>
      <c r="E12208" s="234">
        <f t="shared" si="1345"/>
        <v>46105</v>
      </c>
      <c r="F12208" s="479"/>
      <c r="G12208" s="227" t="s">
        <v>86</v>
      </c>
      <c r="H12208" s="228"/>
      <c r="I12208" s="228"/>
      <c r="J12208" s="229" t="s">
        <v>80</v>
      </c>
      <c r="K12208" s="230"/>
      <c r="L12208" s="230">
        <v>1969595.08</v>
      </c>
      <c r="M12208" s="263"/>
      <c r="N12208" s="263"/>
    </row>
    <row r="12209" spans="1:14" ht="11.25" customHeight="1" x14ac:dyDescent="0.2">
      <c r="A12209" s="280">
        <v>2026</v>
      </c>
      <c r="B12209" s="280">
        <v>3</v>
      </c>
      <c r="C12209" s="280">
        <v>24</v>
      </c>
      <c r="D12209" s="281">
        <f t="shared" ref="D12209:D12247" si="1346">DATE(A12209,B12209,C12209)</f>
        <v>46105</v>
      </c>
      <c r="E12209" s="282">
        <f t="shared" ref="E12209:E12247" si="1347">DATE(A12209,B12209,C12209)</f>
        <v>46105</v>
      </c>
      <c r="F12209" s="472" t="s">
        <v>1584</v>
      </c>
      <c r="G12209" s="283" t="s">
        <v>86</v>
      </c>
      <c r="H12209" s="284"/>
      <c r="I12209" s="284"/>
      <c r="J12209" s="285" t="s">
        <v>131</v>
      </c>
      <c r="K12209" s="286">
        <f>8*1277.77777777778</f>
        <v>10222.222222222241</v>
      </c>
      <c r="L12209" s="286"/>
      <c r="M12209" s="401"/>
      <c r="N12209" s="166"/>
    </row>
    <row r="12210" spans="1:14" ht="11.25" customHeight="1" x14ac:dyDescent="0.2">
      <c r="A12210" s="287">
        <v>2026</v>
      </c>
      <c r="B12210" s="287">
        <v>3</v>
      </c>
      <c r="C12210" s="287">
        <v>24</v>
      </c>
      <c r="D12210" s="288">
        <f t="shared" si="1346"/>
        <v>46105</v>
      </c>
      <c r="E12210" s="289">
        <f t="shared" si="1347"/>
        <v>46105</v>
      </c>
      <c r="F12210" s="473"/>
      <c r="G12210" s="290" t="s">
        <v>86</v>
      </c>
      <c r="H12210" s="291"/>
      <c r="I12210" s="291"/>
      <c r="J12210" s="292" t="s">
        <v>1469</v>
      </c>
      <c r="K12210" s="293"/>
      <c r="L12210" s="293">
        <f>K12209</f>
        <v>10222.222222222241</v>
      </c>
    </row>
    <row r="12211" spans="1:14" ht="11.25" customHeight="1" x14ac:dyDescent="0.2">
      <c r="A12211" s="280">
        <v>2026</v>
      </c>
      <c r="B12211" s="280">
        <v>3</v>
      </c>
      <c r="C12211" s="280">
        <v>24</v>
      </c>
      <c r="D12211" s="281">
        <f t="shared" si="1346"/>
        <v>46105</v>
      </c>
      <c r="E12211" s="282">
        <f t="shared" si="1347"/>
        <v>46105</v>
      </c>
      <c r="F12211" s="472" t="s">
        <v>1955</v>
      </c>
      <c r="G12211" s="283" t="s">
        <v>86</v>
      </c>
      <c r="H12211" s="284"/>
      <c r="I12211" s="284"/>
      <c r="J12211" s="285" t="s">
        <v>1978</v>
      </c>
      <c r="K12211" s="286">
        <f>8*6185.43956043956</f>
        <v>49483.516483516483</v>
      </c>
      <c r="L12211" s="286"/>
      <c r="M12211" s="401"/>
    </row>
    <row r="12212" spans="1:14" ht="11.25" customHeight="1" x14ac:dyDescent="0.2">
      <c r="A12212" s="287">
        <v>2026</v>
      </c>
      <c r="B12212" s="287">
        <v>3</v>
      </c>
      <c r="C12212" s="287">
        <v>24</v>
      </c>
      <c r="D12212" s="288">
        <f t="shared" si="1346"/>
        <v>46105</v>
      </c>
      <c r="E12212" s="289">
        <f t="shared" si="1347"/>
        <v>46105</v>
      </c>
      <c r="F12212" s="473"/>
      <c r="G12212" s="290" t="s">
        <v>86</v>
      </c>
      <c r="H12212" s="291"/>
      <c r="I12212" s="291"/>
      <c r="J12212" s="292" t="s">
        <v>1955</v>
      </c>
      <c r="K12212" s="293"/>
      <c r="L12212" s="293">
        <f>K12211</f>
        <v>49483.516483516483</v>
      </c>
    </row>
    <row r="12213" spans="1:14" ht="11.25" customHeight="1" x14ac:dyDescent="0.2">
      <c r="A12213" s="341">
        <v>2026</v>
      </c>
      <c r="B12213" s="341">
        <v>3</v>
      </c>
      <c r="C12213" s="341">
        <v>24</v>
      </c>
      <c r="D12213" s="328">
        <f t="shared" si="1346"/>
        <v>46105</v>
      </c>
      <c r="E12213" s="329">
        <f t="shared" si="1347"/>
        <v>46105</v>
      </c>
      <c r="F12213" s="474" t="s">
        <v>1767</v>
      </c>
      <c r="G12213" s="330" t="s">
        <v>86</v>
      </c>
      <c r="H12213" s="332"/>
      <c r="I12213" s="332"/>
      <c r="J12213" s="342" t="s">
        <v>67</v>
      </c>
      <c r="K12213" s="343">
        <v>5876.76</v>
      </c>
      <c r="L12213" s="343"/>
      <c r="M12213" s="166"/>
    </row>
    <row r="12214" spans="1:14" ht="11.25" customHeight="1" x14ac:dyDescent="0.2">
      <c r="A12214" s="344">
        <v>2026</v>
      </c>
      <c r="B12214" s="344">
        <v>3</v>
      </c>
      <c r="C12214" s="344">
        <v>24</v>
      </c>
      <c r="D12214" s="337">
        <f t="shared" si="1346"/>
        <v>46105</v>
      </c>
      <c r="E12214" s="338">
        <f t="shared" si="1347"/>
        <v>46105</v>
      </c>
      <c r="F12214" s="475"/>
      <c r="G12214" s="339" t="s">
        <v>86</v>
      </c>
      <c r="H12214" s="340"/>
      <c r="I12214" s="340"/>
      <c r="J12214" s="345" t="s">
        <v>1974</v>
      </c>
      <c r="K12214" s="346"/>
      <c r="L12214" s="346">
        <f>K12213</f>
        <v>5876.76</v>
      </c>
    </row>
    <row r="12215" spans="1:14" ht="11.25" customHeight="1" x14ac:dyDescent="0.2">
      <c r="A12215" s="236">
        <v>2026</v>
      </c>
      <c r="B12215" s="236">
        <v>3</v>
      </c>
      <c r="C12215" s="236">
        <v>24</v>
      </c>
      <c r="D12215" s="237">
        <f t="shared" si="1346"/>
        <v>46105</v>
      </c>
      <c r="E12215" s="238">
        <f t="shared" si="1347"/>
        <v>46105</v>
      </c>
      <c r="F12215" s="476" t="s">
        <v>1118</v>
      </c>
      <c r="G12215" s="239" t="s">
        <v>86</v>
      </c>
      <c r="H12215" s="239"/>
      <c r="I12215" s="240"/>
      <c r="J12215" s="241" t="s">
        <v>82</v>
      </c>
      <c r="K12215" s="242">
        <v>4687848.8900000155</v>
      </c>
      <c r="L12215" s="242"/>
      <c r="M12215" s="166"/>
    </row>
    <row r="12216" spans="1:14" ht="11.25" customHeight="1" x14ac:dyDescent="0.2">
      <c r="A12216" s="243">
        <v>2026</v>
      </c>
      <c r="B12216" s="243">
        <v>3</v>
      </c>
      <c r="C12216" s="243">
        <v>24</v>
      </c>
      <c r="D12216" s="248">
        <f t="shared" si="1346"/>
        <v>46105</v>
      </c>
      <c r="E12216" s="249">
        <f t="shared" si="1347"/>
        <v>46105</v>
      </c>
      <c r="F12216" s="477"/>
      <c r="G12216" s="244" t="s">
        <v>86</v>
      </c>
      <c r="H12216" s="244"/>
      <c r="I12216" s="245"/>
      <c r="J12216" s="246" t="s">
        <v>98</v>
      </c>
      <c r="K12216" s="247"/>
      <c r="L12216" s="247">
        <f>K12215</f>
        <v>4687848.8900000155</v>
      </c>
    </row>
    <row r="12217" spans="1:14" ht="11.25" customHeight="1" x14ac:dyDescent="0.2">
      <c r="A12217" s="236">
        <v>2026</v>
      </c>
      <c r="B12217" s="236">
        <v>3</v>
      </c>
      <c r="C12217" s="236">
        <v>24</v>
      </c>
      <c r="D12217" s="237">
        <f t="shared" si="1346"/>
        <v>46105</v>
      </c>
      <c r="E12217" s="238">
        <f t="shared" si="1347"/>
        <v>46105</v>
      </c>
      <c r="F12217" s="476" t="s">
        <v>1999</v>
      </c>
      <c r="G12217" s="239" t="s">
        <v>86</v>
      </c>
      <c r="H12217" s="239"/>
      <c r="I12217" s="240"/>
      <c r="J12217" s="241" t="s">
        <v>87</v>
      </c>
      <c r="K12217" s="242">
        <f>8*392.464678178964</f>
        <v>3139.7174254317119</v>
      </c>
      <c r="L12217" s="242"/>
      <c r="M12217" s="401"/>
    </row>
    <row r="12218" spans="1:14" ht="11.25" customHeight="1" x14ac:dyDescent="0.2">
      <c r="A12218" s="243">
        <v>2026</v>
      </c>
      <c r="B12218" s="243">
        <v>3</v>
      </c>
      <c r="C12218" s="243">
        <v>24</v>
      </c>
      <c r="D12218" s="248">
        <f t="shared" si="1346"/>
        <v>46105</v>
      </c>
      <c r="E12218" s="249">
        <f t="shared" si="1347"/>
        <v>46105</v>
      </c>
      <c r="F12218" s="477"/>
      <c r="G12218" s="244" t="s">
        <v>86</v>
      </c>
      <c r="H12218" s="244"/>
      <c r="I12218" s="245"/>
      <c r="J12218" s="246" t="s">
        <v>64</v>
      </c>
      <c r="K12218" s="247"/>
      <c r="L12218" s="247">
        <f>K12217</f>
        <v>3139.7174254317119</v>
      </c>
    </row>
    <row r="12219" spans="1:14" ht="11.25" customHeight="1" x14ac:dyDescent="0.2">
      <c r="A12219" s="236">
        <v>2026</v>
      </c>
      <c r="B12219" s="236">
        <v>3</v>
      </c>
      <c r="C12219" s="236">
        <v>24</v>
      </c>
      <c r="D12219" s="237">
        <f t="shared" si="1346"/>
        <v>46105</v>
      </c>
      <c r="E12219" s="238">
        <f t="shared" si="1347"/>
        <v>46105</v>
      </c>
      <c r="F12219" s="476" t="s">
        <v>2000</v>
      </c>
      <c r="G12219" s="239" t="s">
        <v>86</v>
      </c>
      <c r="H12219" s="239"/>
      <c r="I12219" s="240"/>
      <c r="J12219" s="241" t="s">
        <v>89</v>
      </c>
      <c r="K12219" s="242">
        <f>8*14848.1621409379</f>
        <v>118785.2971275032</v>
      </c>
      <c r="L12219" s="242"/>
      <c r="M12219" s="448">
        <v>14848.162140937871</v>
      </c>
    </row>
    <row r="12220" spans="1:14" ht="11.25" customHeight="1" x14ac:dyDescent="0.2">
      <c r="A12220" s="243">
        <v>2026</v>
      </c>
      <c r="B12220" s="243">
        <v>3</v>
      </c>
      <c r="C12220" s="243">
        <v>24</v>
      </c>
      <c r="D12220" s="248">
        <f t="shared" si="1346"/>
        <v>46105</v>
      </c>
      <c r="E12220" s="249">
        <f t="shared" si="1347"/>
        <v>46105</v>
      </c>
      <c r="F12220" s="477"/>
      <c r="G12220" s="244" t="s">
        <v>86</v>
      </c>
      <c r="H12220" s="244"/>
      <c r="I12220" s="245"/>
      <c r="J12220" s="246" t="s">
        <v>50</v>
      </c>
      <c r="K12220" s="247"/>
      <c r="L12220" s="247">
        <f>K12219</f>
        <v>118785.2971275032</v>
      </c>
      <c r="M12220" s="448">
        <v>715.90487332279884</v>
      </c>
    </row>
    <row r="12221" spans="1:14" ht="11.25" customHeight="1" x14ac:dyDescent="0.2">
      <c r="A12221" s="236">
        <v>2026</v>
      </c>
      <c r="B12221" s="236">
        <v>3</v>
      </c>
      <c r="C12221" s="236">
        <v>24</v>
      </c>
      <c r="D12221" s="237">
        <f t="shared" si="1346"/>
        <v>46105</v>
      </c>
      <c r="E12221" s="238">
        <f t="shared" si="1347"/>
        <v>46105</v>
      </c>
      <c r="F12221" s="476" t="s">
        <v>2001</v>
      </c>
      <c r="G12221" s="239" t="s">
        <v>86</v>
      </c>
      <c r="H12221" s="239"/>
      <c r="I12221" s="240"/>
      <c r="J12221" s="241" t="s">
        <v>91</v>
      </c>
      <c r="K12221" s="242">
        <f>8*715.904873322799</f>
        <v>5727.2389865823916</v>
      </c>
      <c r="L12221" s="242"/>
    </row>
    <row r="12222" spans="1:14" ht="11.25" customHeight="1" x14ac:dyDescent="0.2">
      <c r="A12222" s="243">
        <v>2026</v>
      </c>
      <c r="B12222" s="243">
        <v>3</v>
      </c>
      <c r="C12222" s="243">
        <v>24</v>
      </c>
      <c r="D12222" s="248">
        <f t="shared" si="1346"/>
        <v>46105</v>
      </c>
      <c r="E12222" s="249">
        <f t="shared" si="1347"/>
        <v>46105</v>
      </c>
      <c r="F12222" s="477"/>
      <c r="G12222" s="244" t="s">
        <v>86</v>
      </c>
      <c r="H12222" s="244"/>
      <c r="I12222" s="245"/>
      <c r="J12222" s="246" t="s">
        <v>51</v>
      </c>
      <c r="K12222" s="247"/>
      <c r="L12222" s="247">
        <f>K12221</f>
        <v>5727.2389865823916</v>
      </c>
    </row>
    <row r="12223" spans="1:14" ht="11.25" customHeight="1" x14ac:dyDescent="0.2">
      <c r="A12223" s="221">
        <v>2026</v>
      </c>
      <c r="B12223" s="221">
        <v>3</v>
      </c>
      <c r="C12223" s="221">
        <v>25</v>
      </c>
      <c r="D12223" s="221">
        <f t="shared" ref="D12223:D12228" si="1348">DATE(A12223,B12223,C12223)</f>
        <v>46106</v>
      </c>
      <c r="E12223" s="233">
        <f t="shared" ref="E12223:E12228" si="1349">DATE(A12223,B12223,C12223)</f>
        <v>46106</v>
      </c>
      <c r="F12223" s="478" t="s">
        <v>1937</v>
      </c>
      <c r="G12223" s="222" t="s">
        <v>86</v>
      </c>
      <c r="H12223" s="222"/>
      <c r="I12223" s="223"/>
      <c r="J12223" s="224" t="s">
        <v>80</v>
      </c>
      <c r="K12223" s="225">
        <v>1074494</v>
      </c>
      <c r="L12223" s="225"/>
      <c r="N12223" s="263"/>
    </row>
    <row r="12224" spans="1:14" ht="11.25" customHeight="1" x14ac:dyDescent="0.2">
      <c r="A12224" s="164">
        <v>2026</v>
      </c>
      <c r="B12224" s="164">
        <v>3</v>
      </c>
      <c r="C12224" s="164">
        <v>25</v>
      </c>
      <c r="D12224" s="164">
        <f t="shared" si="1348"/>
        <v>46106</v>
      </c>
      <c r="E12224" s="235">
        <f t="shared" si="1349"/>
        <v>46106</v>
      </c>
      <c r="F12224" s="480"/>
      <c r="G12224" s="208" t="s">
        <v>86</v>
      </c>
      <c r="H12224" s="208"/>
      <c r="J12224" s="165" t="s">
        <v>960</v>
      </c>
      <c r="K12224" s="205">
        <v>9501.4</v>
      </c>
      <c r="L12224" s="205"/>
      <c r="M12224" s="263"/>
      <c r="N12224" s="263"/>
    </row>
    <row r="12225" spans="1:14" ht="11.25" customHeight="1" x14ac:dyDescent="0.2">
      <c r="A12225" s="164">
        <v>2026</v>
      </c>
      <c r="B12225" s="164">
        <v>3</v>
      </c>
      <c r="C12225" s="164">
        <v>25</v>
      </c>
      <c r="D12225" s="164">
        <f t="shared" si="1348"/>
        <v>46106</v>
      </c>
      <c r="E12225" s="235">
        <f t="shared" si="1349"/>
        <v>46106</v>
      </c>
      <c r="F12225" s="480"/>
      <c r="G12225" s="208" t="s">
        <v>86</v>
      </c>
      <c r="H12225" s="208"/>
      <c r="J12225" s="165" t="s">
        <v>199</v>
      </c>
      <c r="K12225" s="263">
        <v>3120064.4</v>
      </c>
      <c r="L12225" s="205"/>
      <c r="M12225" s="263"/>
      <c r="N12225" s="263"/>
    </row>
    <row r="12226" spans="1:14" ht="11.25" customHeight="1" x14ac:dyDescent="0.2">
      <c r="A12226" s="164">
        <v>2026</v>
      </c>
      <c r="B12226" s="164">
        <v>3</v>
      </c>
      <c r="C12226" s="164">
        <v>25</v>
      </c>
      <c r="D12226" s="164">
        <f t="shared" si="1348"/>
        <v>46106</v>
      </c>
      <c r="E12226" s="235">
        <f t="shared" si="1349"/>
        <v>46106</v>
      </c>
      <c r="F12226" s="480"/>
      <c r="G12226" s="208" t="s">
        <v>86</v>
      </c>
      <c r="H12226" s="208"/>
      <c r="J12226" s="165" t="s">
        <v>200</v>
      </c>
      <c r="K12226" s="205"/>
      <c r="L12226" s="205">
        <v>225928.35</v>
      </c>
      <c r="M12226" s="263"/>
      <c r="N12226" s="263"/>
    </row>
    <row r="12227" spans="1:14" ht="11.25" customHeight="1" x14ac:dyDescent="0.2">
      <c r="A12227" s="540">
        <v>2026</v>
      </c>
      <c r="B12227" s="540">
        <v>3</v>
      </c>
      <c r="C12227" s="540">
        <v>25</v>
      </c>
      <c r="D12227" s="540">
        <f t="shared" si="1348"/>
        <v>46106</v>
      </c>
      <c r="E12227" s="542">
        <f t="shared" si="1349"/>
        <v>46106</v>
      </c>
      <c r="F12227" s="543"/>
      <c r="G12227" s="544" t="s">
        <v>86</v>
      </c>
      <c r="H12227" s="545"/>
      <c r="I12227" s="545"/>
      <c r="J12227" s="546" t="s">
        <v>80</v>
      </c>
      <c r="K12227" s="205"/>
      <c r="L12227" s="205">
        <v>3978131.45</v>
      </c>
      <c r="M12227" s="263"/>
      <c r="N12227" s="263"/>
    </row>
    <row r="12228" spans="1:14" ht="11.25" customHeight="1" x14ac:dyDescent="0.2">
      <c r="A12228" s="221">
        <v>2026</v>
      </c>
      <c r="B12228" s="221">
        <v>3</v>
      </c>
      <c r="C12228" s="221">
        <v>25</v>
      </c>
      <c r="D12228" s="231">
        <f t="shared" si="1348"/>
        <v>46106</v>
      </c>
      <c r="E12228" s="233">
        <f t="shared" si="1349"/>
        <v>46106</v>
      </c>
      <c r="F12228" s="478" t="s">
        <v>1849</v>
      </c>
      <c r="G12228" s="222" t="s">
        <v>1111</v>
      </c>
      <c r="H12228" s="223"/>
      <c r="I12228" s="223"/>
      <c r="J12228" s="224" t="s">
        <v>53</v>
      </c>
      <c r="K12228" s="225">
        <v>57500</v>
      </c>
      <c r="L12228" s="225"/>
    </row>
    <row r="12229" spans="1:14" ht="11.25" customHeight="1" x14ac:dyDescent="0.2">
      <c r="A12229" s="540">
        <v>2026</v>
      </c>
      <c r="B12229" s="540">
        <v>3</v>
      </c>
      <c r="C12229" s="540">
        <v>25</v>
      </c>
      <c r="D12229" s="541">
        <f t="shared" ref="D12229" si="1350">DATE(A12229,B12229,C12229)</f>
        <v>46106</v>
      </c>
      <c r="E12229" s="542">
        <f t="shared" ref="E12229" si="1351">DATE(A12229,B12229,C12229)</f>
        <v>46106</v>
      </c>
      <c r="F12229" s="543"/>
      <c r="G12229" s="544" t="s">
        <v>1111</v>
      </c>
      <c r="H12229" s="545"/>
      <c r="I12229" s="545"/>
      <c r="J12229" s="546" t="s">
        <v>478</v>
      </c>
      <c r="K12229" s="205"/>
      <c r="L12229" s="205">
        <f>K12228-L12230</f>
        <v>3750</v>
      </c>
    </row>
    <row r="12230" spans="1:14" ht="11.25" customHeight="1" x14ac:dyDescent="0.2">
      <c r="A12230" s="226">
        <v>2026</v>
      </c>
      <c r="B12230" s="226">
        <v>3</v>
      </c>
      <c r="C12230" s="226">
        <v>25</v>
      </c>
      <c r="D12230" s="232">
        <f t="shared" ref="D12230:D12233" si="1352">DATE(A12230,B12230,C12230)</f>
        <v>46106</v>
      </c>
      <c r="E12230" s="234">
        <f t="shared" ref="E12230:E12233" si="1353">DATE(A12230,B12230,C12230)</f>
        <v>46106</v>
      </c>
      <c r="F12230" s="479"/>
      <c r="G12230" s="227" t="s">
        <v>1111</v>
      </c>
      <c r="H12230" s="228"/>
      <c r="I12230" s="228"/>
      <c r="J12230" s="229" t="s">
        <v>55</v>
      </c>
      <c r="K12230" s="230"/>
      <c r="L12230" s="230">
        <v>53750</v>
      </c>
    </row>
    <row r="12231" spans="1:14" ht="11.25" customHeight="1" x14ac:dyDescent="0.2">
      <c r="A12231" s="221">
        <v>2026</v>
      </c>
      <c r="B12231" s="221">
        <v>3</v>
      </c>
      <c r="C12231" s="164">
        <v>25</v>
      </c>
      <c r="D12231" s="231">
        <f t="shared" si="1352"/>
        <v>46106</v>
      </c>
      <c r="E12231" s="233">
        <f t="shared" si="1353"/>
        <v>46106</v>
      </c>
      <c r="F12231" s="478" t="s">
        <v>1132</v>
      </c>
      <c r="G12231" s="222" t="s">
        <v>1111</v>
      </c>
      <c r="H12231" s="223"/>
      <c r="I12231" s="223"/>
      <c r="J12231" s="224" t="s">
        <v>55</v>
      </c>
      <c r="K12231" s="225">
        <v>10000</v>
      </c>
      <c r="L12231" s="225"/>
    </row>
    <row r="12232" spans="1:14" ht="11.25" customHeight="1" x14ac:dyDescent="0.2">
      <c r="A12232" s="164">
        <v>2026</v>
      </c>
      <c r="B12232" s="164">
        <v>3</v>
      </c>
      <c r="C12232" s="164">
        <v>25</v>
      </c>
      <c r="D12232" s="156">
        <f t="shared" si="1352"/>
        <v>46106</v>
      </c>
      <c r="E12232" s="235">
        <f t="shared" si="1353"/>
        <v>46106</v>
      </c>
      <c r="F12232" s="480"/>
      <c r="G12232" s="208" t="s">
        <v>1111</v>
      </c>
      <c r="J12232" s="165" t="s">
        <v>14</v>
      </c>
      <c r="K12232" s="205"/>
      <c r="L12232" s="205">
        <v>7990</v>
      </c>
    </row>
    <row r="12233" spans="1:14" ht="11.25" customHeight="1" x14ac:dyDescent="0.2">
      <c r="A12233" s="226">
        <v>2026</v>
      </c>
      <c r="B12233" s="226">
        <v>3</v>
      </c>
      <c r="C12233" s="164">
        <v>25</v>
      </c>
      <c r="D12233" s="232">
        <f t="shared" si="1352"/>
        <v>46106</v>
      </c>
      <c r="E12233" s="234">
        <f t="shared" si="1353"/>
        <v>46106</v>
      </c>
      <c r="F12233" s="479"/>
      <c r="G12233" s="227" t="s">
        <v>1111</v>
      </c>
      <c r="H12233" s="228"/>
      <c r="I12233" s="228"/>
      <c r="J12233" s="229" t="s">
        <v>1112</v>
      </c>
      <c r="K12233" s="230"/>
      <c r="L12233" s="230">
        <v>2010</v>
      </c>
      <c r="M12233" s="166"/>
    </row>
    <row r="12234" spans="1:14" ht="11.25" customHeight="1" x14ac:dyDescent="0.2">
      <c r="A12234" s="547">
        <v>2026</v>
      </c>
      <c r="B12234" s="547">
        <v>3</v>
      </c>
      <c r="C12234" s="547">
        <v>25</v>
      </c>
      <c r="D12234" s="548">
        <f t="shared" si="1346"/>
        <v>46106</v>
      </c>
      <c r="E12234" s="549">
        <f t="shared" si="1347"/>
        <v>46106</v>
      </c>
      <c r="F12234" s="550" t="s">
        <v>1584</v>
      </c>
      <c r="G12234" s="551" t="s">
        <v>86</v>
      </c>
      <c r="H12234" s="552"/>
      <c r="I12234" s="552"/>
      <c r="J12234" s="553" t="s">
        <v>131</v>
      </c>
      <c r="K12234" s="466">
        <v>1277.7777777777801</v>
      </c>
      <c r="L12234" s="466"/>
      <c r="M12234" s="401"/>
      <c r="N12234" s="166"/>
    </row>
    <row r="12235" spans="1:14" ht="11.25" customHeight="1" x14ac:dyDescent="0.2">
      <c r="A12235" s="287">
        <v>2026</v>
      </c>
      <c r="B12235" s="287">
        <v>3</v>
      </c>
      <c r="C12235" s="287">
        <v>25</v>
      </c>
      <c r="D12235" s="288">
        <f t="shared" si="1346"/>
        <v>46106</v>
      </c>
      <c r="E12235" s="289">
        <f t="shared" si="1347"/>
        <v>46106</v>
      </c>
      <c r="F12235" s="473"/>
      <c r="G12235" s="290" t="s">
        <v>86</v>
      </c>
      <c r="H12235" s="291"/>
      <c r="I12235" s="291"/>
      <c r="J12235" s="292" t="s">
        <v>1469</v>
      </c>
      <c r="K12235" s="293"/>
      <c r="L12235" s="293">
        <f>K12234</f>
        <v>1277.7777777777801</v>
      </c>
    </row>
    <row r="12236" spans="1:14" ht="11.25" customHeight="1" x14ac:dyDescent="0.2">
      <c r="A12236" s="280">
        <v>2026</v>
      </c>
      <c r="B12236" s="280">
        <v>3</v>
      </c>
      <c r="C12236" s="280">
        <v>25</v>
      </c>
      <c r="D12236" s="281">
        <f t="shared" si="1346"/>
        <v>46106</v>
      </c>
      <c r="E12236" s="282">
        <f t="shared" si="1347"/>
        <v>46106</v>
      </c>
      <c r="F12236" s="472" t="s">
        <v>1955</v>
      </c>
      <c r="G12236" s="283" t="s">
        <v>86</v>
      </c>
      <c r="H12236" s="284"/>
      <c r="I12236" s="284"/>
      <c r="J12236" s="285" t="s">
        <v>1978</v>
      </c>
      <c r="K12236" s="286">
        <v>6185.4395604395604</v>
      </c>
      <c r="L12236" s="286"/>
      <c r="M12236" s="401"/>
    </row>
    <row r="12237" spans="1:14" ht="11.25" customHeight="1" x14ac:dyDescent="0.2">
      <c r="A12237" s="287">
        <v>2026</v>
      </c>
      <c r="B12237" s="287">
        <v>3</v>
      </c>
      <c r="C12237" s="287">
        <v>25</v>
      </c>
      <c r="D12237" s="288">
        <f t="shared" si="1346"/>
        <v>46106</v>
      </c>
      <c r="E12237" s="289">
        <f t="shared" si="1347"/>
        <v>46106</v>
      </c>
      <c r="F12237" s="473"/>
      <c r="G12237" s="290" t="s">
        <v>86</v>
      </c>
      <c r="H12237" s="291"/>
      <c r="I12237" s="291"/>
      <c r="J12237" s="292" t="s">
        <v>1955</v>
      </c>
      <c r="K12237" s="293"/>
      <c r="L12237" s="293">
        <f>K12236</f>
        <v>6185.4395604395604</v>
      </c>
    </row>
    <row r="12238" spans="1:14" ht="11.25" customHeight="1" x14ac:dyDescent="0.2">
      <c r="A12238" s="341">
        <v>2026</v>
      </c>
      <c r="B12238" s="341">
        <v>3</v>
      </c>
      <c r="C12238" s="341">
        <v>25</v>
      </c>
      <c r="D12238" s="328">
        <f t="shared" si="1346"/>
        <v>46106</v>
      </c>
      <c r="E12238" s="329">
        <f t="shared" si="1347"/>
        <v>46106</v>
      </c>
      <c r="F12238" s="474" t="s">
        <v>1767</v>
      </c>
      <c r="G12238" s="330" t="s">
        <v>86</v>
      </c>
      <c r="H12238" s="332"/>
      <c r="I12238" s="332"/>
      <c r="J12238" s="342" t="s">
        <v>67</v>
      </c>
      <c r="K12238" s="343">
        <v>423.50456472222231</v>
      </c>
      <c r="L12238" s="343"/>
      <c r="M12238" s="166"/>
    </row>
    <row r="12239" spans="1:14" ht="11.25" customHeight="1" x14ac:dyDescent="0.2">
      <c r="A12239" s="344">
        <v>2026</v>
      </c>
      <c r="B12239" s="344">
        <v>3</v>
      </c>
      <c r="C12239" s="344">
        <v>25</v>
      </c>
      <c r="D12239" s="337">
        <f t="shared" si="1346"/>
        <v>46106</v>
      </c>
      <c r="E12239" s="338">
        <f t="shared" si="1347"/>
        <v>46106</v>
      </c>
      <c r="F12239" s="475"/>
      <c r="G12239" s="339" t="s">
        <v>86</v>
      </c>
      <c r="H12239" s="340"/>
      <c r="I12239" s="340"/>
      <c r="J12239" s="345" t="s">
        <v>1974</v>
      </c>
      <c r="K12239" s="346"/>
      <c r="L12239" s="346">
        <f>K12238</f>
        <v>423.50456472222231</v>
      </c>
    </row>
    <row r="12240" spans="1:14" ht="11.25" customHeight="1" x14ac:dyDescent="0.2">
      <c r="A12240" s="236">
        <v>2026</v>
      </c>
      <c r="B12240" s="236">
        <v>3</v>
      </c>
      <c r="C12240" s="236">
        <v>25</v>
      </c>
      <c r="D12240" s="237">
        <f t="shared" si="1346"/>
        <v>46106</v>
      </c>
      <c r="E12240" s="238">
        <f t="shared" si="1347"/>
        <v>46106</v>
      </c>
      <c r="F12240" s="476" t="s">
        <v>1118</v>
      </c>
      <c r="G12240" s="239" t="s">
        <v>86</v>
      </c>
      <c r="H12240" s="239"/>
      <c r="I12240" s="240"/>
      <c r="J12240" s="241" t="s">
        <v>98</v>
      </c>
      <c r="K12240" s="242">
        <v>387483.71000003815</v>
      </c>
      <c r="L12240" s="242"/>
      <c r="M12240" s="166"/>
    </row>
    <row r="12241" spans="1:13" ht="11.25" customHeight="1" x14ac:dyDescent="0.2">
      <c r="A12241" s="243">
        <v>2026</v>
      </c>
      <c r="B12241" s="243">
        <v>3</v>
      </c>
      <c r="C12241" s="243">
        <v>25</v>
      </c>
      <c r="D12241" s="248">
        <f t="shared" si="1346"/>
        <v>46106</v>
      </c>
      <c r="E12241" s="249">
        <f t="shared" si="1347"/>
        <v>46106</v>
      </c>
      <c r="F12241" s="477"/>
      <c r="G12241" s="244" t="s">
        <v>86</v>
      </c>
      <c r="H12241" s="244"/>
      <c r="I12241" s="245"/>
      <c r="J12241" s="246" t="s">
        <v>82</v>
      </c>
      <c r="K12241" s="247"/>
      <c r="L12241" s="247">
        <f>K12240</f>
        <v>387483.71000003815</v>
      </c>
    </row>
    <row r="12242" spans="1:13" ht="11.25" customHeight="1" x14ac:dyDescent="0.2">
      <c r="A12242" s="236">
        <v>2026</v>
      </c>
      <c r="B12242" s="236">
        <v>3</v>
      </c>
      <c r="C12242" s="236">
        <v>25</v>
      </c>
      <c r="D12242" s="237">
        <f t="shared" si="1346"/>
        <v>46106</v>
      </c>
      <c r="E12242" s="238">
        <f t="shared" si="1347"/>
        <v>46106</v>
      </c>
      <c r="F12242" s="476" t="s">
        <v>1999</v>
      </c>
      <c r="G12242" s="239" t="s">
        <v>86</v>
      </c>
      <c r="H12242" s="239"/>
      <c r="I12242" s="240"/>
      <c r="J12242" s="241" t="s">
        <v>87</v>
      </c>
      <c r="K12242" s="242">
        <v>392.46467817896399</v>
      </c>
      <c r="L12242" s="242"/>
      <c r="M12242" s="401"/>
    </row>
    <row r="12243" spans="1:13" ht="11.25" customHeight="1" x14ac:dyDescent="0.2">
      <c r="A12243" s="243">
        <v>2026</v>
      </c>
      <c r="B12243" s="243">
        <v>3</v>
      </c>
      <c r="C12243" s="243">
        <v>25</v>
      </c>
      <c r="D12243" s="248">
        <f t="shared" si="1346"/>
        <v>46106</v>
      </c>
      <c r="E12243" s="249">
        <f t="shared" si="1347"/>
        <v>46106</v>
      </c>
      <c r="F12243" s="477"/>
      <c r="G12243" s="244" t="s">
        <v>86</v>
      </c>
      <c r="H12243" s="244"/>
      <c r="I12243" s="245"/>
      <c r="J12243" s="246" t="s">
        <v>64</v>
      </c>
      <c r="K12243" s="247"/>
      <c r="L12243" s="247">
        <f>K12242</f>
        <v>392.46467817896399</v>
      </c>
    </row>
    <row r="12244" spans="1:13" ht="11.25" customHeight="1" x14ac:dyDescent="0.2">
      <c r="A12244" s="236">
        <v>2026</v>
      </c>
      <c r="B12244" s="236">
        <v>3</v>
      </c>
      <c r="C12244" s="236">
        <v>25</v>
      </c>
      <c r="D12244" s="237">
        <f t="shared" si="1346"/>
        <v>46106</v>
      </c>
      <c r="E12244" s="238">
        <f t="shared" si="1347"/>
        <v>46106</v>
      </c>
      <c r="F12244" s="476" t="s">
        <v>2000</v>
      </c>
      <c r="G12244" s="239" t="s">
        <v>86</v>
      </c>
      <c r="H12244" s="239"/>
      <c r="I12244" s="240"/>
      <c r="J12244" s="241" t="s">
        <v>89</v>
      </c>
      <c r="K12244" s="242"/>
      <c r="L12244" s="242"/>
      <c r="M12244" s="448"/>
    </row>
    <row r="12245" spans="1:13" ht="11.25" customHeight="1" x14ac:dyDescent="0.2">
      <c r="A12245" s="243">
        <v>2026</v>
      </c>
      <c r="B12245" s="243">
        <v>3</v>
      </c>
      <c r="C12245" s="243">
        <v>25</v>
      </c>
      <c r="D12245" s="248">
        <f t="shared" si="1346"/>
        <v>46106</v>
      </c>
      <c r="E12245" s="249">
        <f t="shared" si="1347"/>
        <v>46106</v>
      </c>
      <c r="F12245" s="477"/>
      <c r="G12245" s="244" t="s">
        <v>86</v>
      </c>
      <c r="H12245" s="244"/>
      <c r="I12245" s="245"/>
      <c r="J12245" s="246" t="s">
        <v>50</v>
      </c>
      <c r="K12245" s="247"/>
      <c r="L12245" s="247">
        <f>K12244</f>
        <v>0</v>
      </c>
      <c r="M12245" s="448"/>
    </row>
    <row r="12246" spans="1:13" ht="11.25" customHeight="1" x14ac:dyDescent="0.2">
      <c r="A12246" s="236">
        <v>2026</v>
      </c>
      <c r="B12246" s="236">
        <v>3</v>
      </c>
      <c r="C12246" s="236">
        <v>25</v>
      </c>
      <c r="D12246" s="237">
        <f t="shared" si="1346"/>
        <v>46106</v>
      </c>
      <c r="E12246" s="238">
        <f t="shared" si="1347"/>
        <v>46106</v>
      </c>
      <c r="F12246" s="476" t="s">
        <v>2001</v>
      </c>
      <c r="G12246" s="239" t="s">
        <v>86</v>
      </c>
      <c r="H12246" s="239"/>
      <c r="I12246" s="240"/>
      <c r="J12246" s="241" t="s">
        <v>91</v>
      </c>
      <c r="K12246" s="242"/>
      <c r="L12246" s="242"/>
    </row>
    <row r="12247" spans="1:13" ht="11.25" customHeight="1" x14ac:dyDescent="0.2">
      <c r="A12247" s="243">
        <v>2026</v>
      </c>
      <c r="B12247" s="243">
        <v>3</v>
      </c>
      <c r="C12247" s="243">
        <v>25</v>
      </c>
      <c r="D12247" s="248">
        <f t="shared" si="1346"/>
        <v>46106</v>
      </c>
      <c r="E12247" s="249">
        <f t="shared" si="1347"/>
        <v>46106</v>
      </c>
      <c r="F12247" s="477"/>
      <c r="G12247" s="244" t="s">
        <v>86</v>
      </c>
      <c r="H12247" s="244"/>
      <c r="I12247" s="245"/>
      <c r="J12247" s="246" t="s">
        <v>51</v>
      </c>
      <c r="K12247" s="247"/>
      <c r="L12247" s="247">
        <f>K12246</f>
        <v>0</v>
      </c>
    </row>
    <row r="12661" spans="13:15" ht="11.25" customHeight="1" x14ac:dyDescent="0.2">
      <c r="N12661" s="423"/>
      <c r="O12661" s="401"/>
    </row>
    <row r="12662" spans="13:15" ht="11.25" customHeight="1" x14ac:dyDescent="0.2">
      <c r="N12662" s="423"/>
      <c r="O12662" s="423"/>
    </row>
    <row r="12664" spans="13:15" ht="11.25" customHeight="1" x14ac:dyDescent="0.2">
      <c r="M12664" s="166"/>
    </row>
  </sheetData>
  <autoFilter ref="A7:L12660" xr:uid="{00000000-0009-0000-0000-000002000000}"/>
  <mergeCells count="5046">
    <mergeCell ref="F12223:F12227"/>
    <mergeCell ref="F12228:F12230"/>
    <mergeCell ref="F12231:F12233"/>
    <mergeCell ref="F11985:F11986"/>
    <mergeCell ref="F11987:F11988"/>
    <mergeCell ref="F11989:F11990"/>
    <mergeCell ref="F12048:F12052"/>
    <mergeCell ref="F12064:F12065"/>
    <mergeCell ref="F12066:F12067"/>
    <mergeCell ref="F11858:F11860"/>
    <mergeCell ref="F11861:F11865"/>
    <mergeCell ref="F11866:F11867"/>
    <mergeCell ref="F11908:F11909"/>
    <mergeCell ref="F11910:F11911"/>
    <mergeCell ref="F11912:F11914"/>
    <mergeCell ref="F11906:F11907"/>
    <mergeCell ref="F11922:F11923"/>
    <mergeCell ref="F11938:F11942"/>
    <mergeCell ref="F11915:F11919"/>
    <mergeCell ref="F11920:F11921"/>
    <mergeCell ref="F11898:F11899"/>
    <mergeCell ref="F11900:F11901"/>
    <mergeCell ref="F11902:F11903"/>
    <mergeCell ref="F11904:F11905"/>
    <mergeCell ref="F12011:F12012"/>
    <mergeCell ref="F12013:F12014"/>
    <mergeCell ref="F12015:F12016"/>
    <mergeCell ref="F11868:F11869"/>
    <mergeCell ref="F11870:F11871"/>
    <mergeCell ref="F11872:F11873"/>
    <mergeCell ref="F11874:F11875"/>
    <mergeCell ref="F11876:F11877"/>
    <mergeCell ref="F11878:F11879"/>
    <mergeCell ref="F11880:F11882"/>
    <mergeCell ref="F11883:F11884"/>
    <mergeCell ref="F11885:F11886"/>
    <mergeCell ref="F11887:F11888"/>
    <mergeCell ref="F11889:F11893"/>
    <mergeCell ref="F11894:F11895"/>
    <mergeCell ref="F11896:F11897"/>
    <mergeCell ref="F11848:F11849"/>
    <mergeCell ref="F11850:F11851"/>
    <mergeCell ref="F11852:F11854"/>
    <mergeCell ref="F11855:F11857"/>
    <mergeCell ref="F11846:F11847"/>
    <mergeCell ref="F11797:F11799"/>
    <mergeCell ref="F11800:F11802"/>
    <mergeCell ref="F11803:F11804"/>
    <mergeCell ref="F11805:F11806"/>
    <mergeCell ref="F11807:F11808"/>
    <mergeCell ref="F11809:F11810"/>
    <mergeCell ref="F11811:F11812"/>
    <mergeCell ref="F11813:F11814"/>
    <mergeCell ref="F11815:F11816"/>
    <mergeCell ref="F11817:F11818"/>
    <mergeCell ref="F11819:F11820"/>
    <mergeCell ref="F11821:F11822"/>
    <mergeCell ref="F11761:F11762"/>
    <mergeCell ref="F11763:F11765"/>
    <mergeCell ref="F11766:F11767"/>
    <mergeCell ref="F11768:F11772"/>
    <mergeCell ref="F11773:F11775"/>
    <mergeCell ref="F11779:F11780"/>
    <mergeCell ref="F11781:F11782"/>
    <mergeCell ref="F11783:F11784"/>
    <mergeCell ref="F11785:F11786"/>
    <mergeCell ref="F11787:F11788"/>
    <mergeCell ref="F11789:F11790"/>
    <mergeCell ref="F11791:F11792"/>
    <mergeCell ref="F11838:F11839"/>
    <mergeCell ref="F11840:F11841"/>
    <mergeCell ref="F11842:F11843"/>
    <mergeCell ref="F11844:F11845"/>
    <mergeCell ref="F11740:F11741"/>
    <mergeCell ref="F11823:F11825"/>
    <mergeCell ref="F11826:F11830"/>
    <mergeCell ref="F11834:F11835"/>
    <mergeCell ref="F11836:F11837"/>
    <mergeCell ref="F11742:F11743"/>
    <mergeCell ref="F11831:F11833"/>
    <mergeCell ref="F11710:F11712"/>
    <mergeCell ref="F11713:F11714"/>
    <mergeCell ref="F11715:F11716"/>
    <mergeCell ref="F11717:F11719"/>
    <mergeCell ref="F11720:F11724"/>
    <mergeCell ref="F11574:F11575"/>
    <mergeCell ref="F11491:F11492"/>
    <mergeCell ref="F11493:F11494"/>
    <mergeCell ref="F11495:F11496"/>
    <mergeCell ref="F11497:F11498"/>
    <mergeCell ref="F11499:F11500"/>
    <mergeCell ref="F11501:F11502"/>
    <mergeCell ref="F11503:F11504"/>
    <mergeCell ref="F11539:F11540"/>
    <mergeCell ref="F11611:F11612"/>
    <mergeCell ref="F11613:F11614"/>
    <mergeCell ref="F11512:F11513"/>
    <mergeCell ref="F11508:F11509"/>
    <mergeCell ref="F11510:F11511"/>
    <mergeCell ref="F11514:F11515"/>
    <mergeCell ref="F11469:F11470"/>
    <mergeCell ref="F11471:F11472"/>
    <mergeCell ref="F11564:F11565"/>
    <mergeCell ref="F11576:F11577"/>
    <mergeCell ref="F11533:F11534"/>
    <mergeCell ref="F11535:F11536"/>
    <mergeCell ref="F11537:F11538"/>
    <mergeCell ref="F11289:F11290"/>
    <mergeCell ref="F11291:F11292"/>
    <mergeCell ref="F11293:F11294"/>
    <mergeCell ref="F11295:F11296"/>
    <mergeCell ref="F11297:F11298"/>
    <mergeCell ref="F11302:F11304"/>
    <mergeCell ref="F11365:F11366"/>
    <mergeCell ref="F11367:F11368"/>
    <mergeCell ref="F11369:F11370"/>
    <mergeCell ref="F11516:F11517"/>
    <mergeCell ref="F11527:F11528"/>
    <mergeCell ref="F11529:F11530"/>
    <mergeCell ref="F11531:F11532"/>
    <mergeCell ref="F11344:F11345"/>
    <mergeCell ref="F11355:F11356"/>
    <mergeCell ref="F11357:F11358"/>
    <mergeCell ref="F11359:F11360"/>
    <mergeCell ref="F11331:F11332"/>
    <mergeCell ref="F11333:F11334"/>
    <mergeCell ref="F11335:F11336"/>
    <mergeCell ref="F11411:F11412"/>
    <mergeCell ref="F11413:F11417"/>
    <mergeCell ref="F11371:F11373"/>
    <mergeCell ref="F11374:F11375"/>
    <mergeCell ref="F11384:F11385"/>
    <mergeCell ref="F11440:F11441"/>
    <mergeCell ref="F11442:F11443"/>
    <mergeCell ref="F11444:F11445"/>
    <mergeCell ref="F11446:F11448"/>
    <mergeCell ref="F11461:F11462"/>
    <mergeCell ref="F11463:F11464"/>
    <mergeCell ref="F11465:F11466"/>
    <mergeCell ref="F11467:F11468"/>
    <mergeCell ref="F11421:F11423"/>
    <mergeCell ref="F11744:F11748"/>
    <mergeCell ref="F11307:F11308"/>
    <mergeCell ref="F11309:F11310"/>
    <mergeCell ref="F11311:F11315"/>
    <mergeCell ref="F11316:F11320"/>
    <mergeCell ref="F11321:F11322"/>
    <mergeCell ref="F11323:F11324"/>
    <mergeCell ref="F11325:F11326"/>
    <mergeCell ref="F11327:F11328"/>
    <mergeCell ref="F11329:F11330"/>
    <mergeCell ref="F11580:F11582"/>
    <mergeCell ref="F11381:F11383"/>
    <mergeCell ref="F11449:F11451"/>
    <mergeCell ref="F11337:F11339"/>
    <mergeCell ref="F11340:F11341"/>
    <mergeCell ref="F11342:F11343"/>
    <mergeCell ref="F11578:F11579"/>
    <mergeCell ref="F11655:F11659"/>
    <mergeCell ref="F11660:F11664"/>
    <mergeCell ref="F11665:F11666"/>
    <mergeCell ref="F11605:F11606"/>
    <mergeCell ref="F11607:F11608"/>
    <mergeCell ref="F11609:F11610"/>
    <mergeCell ref="F11473:F11474"/>
    <mergeCell ref="F11434:F11435"/>
    <mergeCell ref="F11562:F11563"/>
    <mergeCell ref="F10749:F10750"/>
    <mergeCell ref="F10751:F10752"/>
    <mergeCell ref="F10753:F10754"/>
    <mergeCell ref="F10755:F10756"/>
    <mergeCell ref="F10757:F10759"/>
    <mergeCell ref="F11196:F11200"/>
    <mergeCell ref="F11201:F11203"/>
    <mergeCell ref="F11204:F11205"/>
    <mergeCell ref="F11206:F11207"/>
    <mergeCell ref="F11213:F11214"/>
    <mergeCell ref="F11215:F11216"/>
    <mergeCell ref="F11217:F11218"/>
    <mergeCell ref="F10760:F10762"/>
    <mergeCell ref="F10763:F10764"/>
    <mergeCell ref="F10765:F10766"/>
    <mergeCell ref="F10767:F10771"/>
    <mergeCell ref="F10772:F10773"/>
    <mergeCell ref="F10774:F10775"/>
    <mergeCell ref="F10776:F10777"/>
    <mergeCell ref="F10778:F10779"/>
    <mergeCell ref="F10780:F10781"/>
    <mergeCell ref="F10782:F10783"/>
    <mergeCell ref="F10784:F10785"/>
    <mergeCell ref="F10786:F10787"/>
    <mergeCell ref="F10788:F10789"/>
    <mergeCell ref="F10790:F10794"/>
    <mergeCell ref="F10795:F10797"/>
    <mergeCell ref="F10798:F10799"/>
    <mergeCell ref="F10800:F10801"/>
    <mergeCell ref="F10802:F10803"/>
    <mergeCell ref="F10804:F10805"/>
    <mergeCell ref="F10806:F10807"/>
    <mergeCell ref="F10713:F10714"/>
    <mergeCell ref="F10715:F10716"/>
    <mergeCell ref="F10717:F10718"/>
    <mergeCell ref="F10719:F10720"/>
    <mergeCell ref="F11219:F11220"/>
    <mergeCell ref="F11221:F11222"/>
    <mergeCell ref="F11223:F11224"/>
    <mergeCell ref="F10721:F10722"/>
    <mergeCell ref="F10723:F10724"/>
    <mergeCell ref="F10725:F10726"/>
    <mergeCell ref="F10727:F10728"/>
    <mergeCell ref="F10729:F10730"/>
    <mergeCell ref="F10731:F10732"/>
    <mergeCell ref="F10733:F10735"/>
    <mergeCell ref="F10736:F10740"/>
    <mergeCell ref="F10741:F10742"/>
    <mergeCell ref="F10743:F10744"/>
    <mergeCell ref="F10745:F10746"/>
    <mergeCell ref="F10747:F10748"/>
    <mergeCell ref="F10808:F10809"/>
    <mergeCell ref="F10810:F10811"/>
    <mergeCell ref="F10812:F10813"/>
    <mergeCell ref="F10814:F10815"/>
    <mergeCell ref="F10816:F10817"/>
    <mergeCell ref="F10818:F10822"/>
    <mergeCell ref="F10823:F10824"/>
    <mergeCell ref="F10825:F10826"/>
    <mergeCell ref="F10827:F10828"/>
    <mergeCell ref="F10829:F10830"/>
    <mergeCell ref="F11225:F11226"/>
    <mergeCell ref="F11227:F11228"/>
    <mergeCell ref="F11140:F11142"/>
    <mergeCell ref="F11143:F11144"/>
    <mergeCell ref="F11145:F11146"/>
    <mergeCell ref="F11147:F11151"/>
    <mergeCell ref="F11152:F11153"/>
    <mergeCell ref="F11154:F11155"/>
    <mergeCell ref="F11156:F11157"/>
    <mergeCell ref="F11158:F11159"/>
    <mergeCell ref="F11160:F11161"/>
    <mergeCell ref="F11162:F11163"/>
    <mergeCell ref="F11164:F11165"/>
    <mergeCell ref="F11166:F11167"/>
    <mergeCell ref="F11177:F11179"/>
    <mergeCell ref="F11168:F11169"/>
    <mergeCell ref="F11170:F11171"/>
    <mergeCell ref="F11188:F11189"/>
    <mergeCell ref="F11190:F11191"/>
    <mergeCell ref="F11192:F11193"/>
    <mergeCell ref="F11194:F11195"/>
    <mergeCell ref="F11208:F11209"/>
    <mergeCell ref="F11210:F11212"/>
    <mergeCell ref="F11172:F11176"/>
    <mergeCell ref="F11180:F11181"/>
    <mergeCell ref="F10667:F10668"/>
    <mergeCell ref="F10669:F10670"/>
    <mergeCell ref="F10671:F10672"/>
    <mergeCell ref="F10673:F10674"/>
    <mergeCell ref="F10675:F10676"/>
    <mergeCell ref="F10677:F10678"/>
    <mergeCell ref="F10679:F10680"/>
    <mergeCell ref="F10681:F10682"/>
    <mergeCell ref="F10683:F10684"/>
    <mergeCell ref="F10685:F10686"/>
    <mergeCell ref="F10687:F10688"/>
    <mergeCell ref="F10689:F10690"/>
    <mergeCell ref="F10691:F10692"/>
    <mergeCell ref="F10693:F10694"/>
    <mergeCell ref="F10697:F10698"/>
    <mergeCell ref="F10699:F10700"/>
    <mergeCell ref="F10701:F10702"/>
    <mergeCell ref="F10703:F10704"/>
    <mergeCell ref="F10705:F10707"/>
    <mergeCell ref="F10708:F10712"/>
    <mergeCell ref="F10663:F10664"/>
    <mergeCell ref="F10412:F10413"/>
    <mergeCell ref="F10414:F10415"/>
    <mergeCell ref="F10416:F10417"/>
    <mergeCell ref="F10560:F10562"/>
    <mergeCell ref="F10563:F10565"/>
    <mergeCell ref="F10537:F10539"/>
    <mergeCell ref="F10554:F10555"/>
    <mergeCell ref="F10556:F10557"/>
    <mergeCell ref="F10558:F10559"/>
    <mergeCell ref="F10532:F10536"/>
    <mergeCell ref="F10566:F10567"/>
    <mergeCell ref="F10568:F10572"/>
    <mergeCell ref="F10573:F10574"/>
    <mergeCell ref="F10575:F10576"/>
    <mergeCell ref="F10577:F10578"/>
    <mergeCell ref="F10579:F10580"/>
    <mergeCell ref="F10581:F10582"/>
    <mergeCell ref="F10540:F10541"/>
    <mergeCell ref="F10542:F10543"/>
    <mergeCell ref="F10544:F10545"/>
    <mergeCell ref="F10546:F10547"/>
    <mergeCell ref="F10548:F10549"/>
    <mergeCell ref="F10550:F10551"/>
    <mergeCell ref="F10552:F10553"/>
    <mergeCell ref="F10512:F10513"/>
    <mergeCell ref="F10514:F10515"/>
    <mergeCell ref="F10516:F10517"/>
    <mergeCell ref="F10518:F10519"/>
    <mergeCell ref="F10520:F10521"/>
    <mergeCell ref="F10522:F10523"/>
    <mergeCell ref="F10524:F10525"/>
    <mergeCell ref="F10526:F10527"/>
    <mergeCell ref="F10528:F10529"/>
    <mergeCell ref="F10530:F10531"/>
    <mergeCell ref="F10457:F10458"/>
    <mergeCell ref="F10459:F10460"/>
    <mergeCell ref="F10461:F10462"/>
    <mergeCell ref="F10479:F10480"/>
    <mergeCell ref="F10481:F10482"/>
    <mergeCell ref="F10483:F10484"/>
    <mergeCell ref="F10485:F10486"/>
    <mergeCell ref="F10487:F10488"/>
    <mergeCell ref="F10489:F10490"/>
    <mergeCell ref="F10491:F10492"/>
    <mergeCell ref="F10493:F10494"/>
    <mergeCell ref="F10495:F10496"/>
    <mergeCell ref="F10472:F10476"/>
    <mergeCell ref="F10508:F10509"/>
    <mergeCell ref="F10466:F10468"/>
    <mergeCell ref="F10469:F10471"/>
    <mergeCell ref="F10434:F10435"/>
    <mergeCell ref="F10436:F10437"/>
    <mergeCell ref="F10438:F10439"/>
    <mergeCell ref="F10440:F10441"/>
    <mergeCell ref="F10442:F10443"/>
    <mergeCell ref="F10444:F10445"/>
    <mergeCell ref="F10446:F10447"/>
    <mergeCell ref="F10448:F10449"/>
    <mergeCell ref="F10450:F10451"/>
    <mergeCell ref="F10410:F10411"/>
    <mergeCell ref="F10420:F10421"/>
    <mergeCell ref="F10404:F10405"/>
    <mergeCell ref="F10406:F10407"/>
    <mergeCell ref="F10408:F10409"/>
    <mergeCell ref="F10497:F10499"/>
    <mergeCell ref="F10500:F10502"/>
    <mergeCell ref="F10503:F10507"/>
    <mergeCell ref="F10168:F10172"/>
    <mergeCell ref="F10177:F10178"/>
    <mergeCell ref="F10193:F10197"/>
    <mergeCell ref="F10198:F10202"/>
    <mergeCell ref="F10245:F10246"/>
    <mergeCell ref="F10247:F10248"/>
    <mergeCell ref="F10249:F10250"/>
    <mergeCell ref="F10251:F10252"/>
    <mergeCell ref="F10253:F10254"/>
    <mergeCell ref="F10226:F10227"/>
    <mergeCell ref="F10258:F10259"/>
    <mergeCell ref="F10392:F10395"/>
    <mergeCell ref="F10396:F10397"/>
    <mergeCell ref="F10418:F10419"/>
    <mergeCell ref="F10422:F10424"/>
    <mergeCell ref="F10425:F10429"/>
    <mergeCell ref="F10432:F10433"/>
    <mergeCell ref="F10283:F10284"/>
    <mergeCell ref="F10285:F10286"/>
    <mergeCell ref="F10287:F10288"/>
    <mergeCell ref="F10289:F10290"/>
    <mergeCell ref="F10291:F10292"/>
    <mergeCell ref="F10223:F10225"/>
    <mergeCell ref="F10228:F10232"/>
    <mergeCell ref="F10235:F10236"/>
    <mergeCell ref="F10237:F10238"/>
    <mergeCell ref="F10239:F10240"/>
    <mergeCell ref="F10241:F10242"/>
    <mergeCell ref="F10243:F10244"/>
    <mergeCell ref="F10173:F10174"/>
    <mergeCell ref="F10175:F10176"/>
    <mergeCell ref="F10187:F10188"/>
    <mergeCell ref="F10189:F10190"/>
    <mergeCell ref="F10191:F10192"/>
    <mergeCell ref="F10142:F10143"/>
    <mergeCell ref="F10144:F10145"/>
    <mergeCell ref="F10365:F10366"/>
    <mergeCell ref="F10367:F10368"/>
    <mergeCell ref="F10369:F10370"/>
    <mergeCell ref="F10371:F10372"/>
    <mergeCell ref="F10373:F10374"/>
    <mergeCell ref="F10320:F10321"/>
    <mergeCell ref="F10322:F10323"/>
    <mergeCell ref="F10324:F10328"/>
    <mergeCell ref="F10331:F10332"/>
    <mergeCell ref="F10333:F10334"/>
    <mergeCell ref="F10335:F10336"/>
    <mergeCell ref="F10337:F10338"/>
    <mergeCell ref="F10339:F10340"/>
    <mergeCell ref="F10341:F10342"/>
    <mergeCell ref="F10343:F10344"/>
    <mergeCell ref="F10345:F10346"/>
    <mergeCell ref="F10347:F10348"/>
    <mergeCell ref="F10349:F10350"/>
    <mergeCell ref="F10356:F10358"/>
    <mergeCell ref="F10273:F10274"/>
    <mergeCell ref="F10275:F10276"/>
    <mergeCell ref="F10277:F10278"/>
    <mergeCell ref="F10279:F10280"/>
    <mergeCell ref="F10181:F10182"/>
    <mergeCell ref="F10183:F10184"/>
    <mergeCell ref="F10185:F10186"/>
    <mergeCell ref="F10162:F10163"/>
    <mergeCell ref="F10164:F10165"/>
    <mergeCell ref="F10166:F10167"/>
    <mergeCell ref="F10281:F10282"/>
    <mergeCell ref="F10062:F10063"/>
    <mergeCell ref="F10064:F10065"/>
    <mergeCell ref="F10066:F10068"/>
    <mergeCell ref="F10069:F10071"/>
    <mergeCell ref="F10076:F10077"/>
    <mergeCell ref="F10078:F10079"/>
    <mergeCell ref="F10080:F10081"/>
    <mergeCell ref="F10140:F10141"/>
    <mergeCell ref="F10106:F10107"/>
    <mergeCell ref="F10108:F10109"/>
    <mergeCell ref="F10110:F10111"/>
    <mergeCell ref="F10112:F10113"/>
    <mergeCell ref="F10114:F10115"/>
    <mergeCell ref="F10116:F10117"/>
    <mergeCell ref="F10118:F10119"/>
    <mergeCell ref="F10120:F10121"/>
    <mergeCell ref="F10122:F10123"/>
    <mergeCell ref="F10124:F10125"/>
    <mergeCell ref="F10082:F10083"/>
    <mergeCell ref="F10084:F10085"/>
    <mergeCell ref="F10086:F10087"/>
    <mergeCell ref="F10088:F10089"/>
    <mergeCell ref="F10090:F10091"/>
    <mergeCell ref="F10092:F10093"/>
    <mergeCell ref="F10094:F10095"/>
    <mergeCell ref="F10137:F10139"/>
    <mergeCell ref="F10074:F10075"/>
    <mergeCell ref="F10096:F10097"/>
    <mergeCell ref="F10072:F10073"/>
    <mergeCell ref="F10132:F10133"/>
    <mergeCell ref="F10128:F10129"/>
    <mergeCell ref="F10134:F10136"/>
    <mergeCell ref="F10060:F10061"/>
    <mergeCell ref="F9982:F9983"/>
    <mergeCell ref="F9984:F9988"/>
    <mergeCell ref="F9989:F9990"/>
    <mergeCell ref="F9991:F9992"/>
    <mergeCell ref="F9993:F9994"/>
    <mergeCell ref="F9995:F9996"/>
    <mergeCell ref="F9997:F9998"/>
    <mergeCell ref="F9999:F10000"/>
    <mergeCell ref="F10001:F10002"/>
    <mergeCell ref="F10003:F10004"/>
    <mergeCell ref="F10005:F10006"/>
    <mergeCell ref="F10007:F10008"/>
    <mergeCell ref="F10009:F10010"/>
    <mergeCell ref="F10016:F10020"/>
    <mergeCell ref="F10011:F10015"/>
    <mergeCell ref="F10021:F10022"/>
    <mergeCell ref="F10023:F10024"/>
    <mergeCell ref="F10025:F10026"/>
    <mergeCell ref="F10027:F10028"/>
    <mergeCell ref="F10029:F10030"/>
    <mergeCell ref="F10031:F10032"/>
    <mergeCell ref="F10033:F10034"/>
    <mergeCell ref="F10035:F10036"/>
    <mergeCell ref="F10037:F10038"/>
    <mergeCell ref="F10039:F10040"/>
    <mergeCell ref="F10041:F10042"/>
    <mergeCell ref="F10043:F10045"/>
    <mergeCell ref="F10046:F10047"/>
    <mergeCell ref="F10048:F10049"/>
    <mergeCell ref="F10050:F10051"/>
    <mergeCell ref="F10052:F10053"/>
    <mergeCell ref="F10054:F10055"/>
    <mergeCell ref="F10056:F10057"/>
    <mergeCell ref="F10058:F10059"/>
    <mergeCell ref="F9697:F9698"/>
    <mergeCell ref="F9771:F9772"/>
    <mergeCell ref="F9744:F9748"/>
    <mergeCell ref="F9724:F9726"/>
    <mergeCell ref="F9727:F9728"/>
    <mergeCell ref="F9729:F9730"/>
    <mergeCell ref="F9731:F9733"/>
    <mergeCell ref="F9713:F9715"/>
    <mergeCell ref="F9705:F9706"/>
    <mergeCell ref="F9707:F9708"/>
    <mergeCell ref="F9709:F9710"/>
    <mergeCell ref="F9711:F9712"/>
    <mergeCell ref="F9749:F9750"/>
    <mergeCell ref="F9949:F9950"/>
    <mergeCell ref="F9808:F9809"/>
    <mergeCell ref="F9792:F9794"/>
    <mergeCell ref="F9716:F9718"/>
    <mergeCell ref="F9719:F9723"/>
    <mergeCell ref="F9980:F9981"/>
    <mergeCell ref="F9951:F9952"/>
    <mergeCell ref="F9953:F9954"/>
    <mergeCell ref="F9826:F9827"/>
    <mergeCell ref="F9863:F9864"/>
    <mergeCell ref="F9865:F9866"/>
    <mergeCell ref="F9867:F9868"/>
    <mergeCell ref="F9869:F9870"/>
    <mergeCell ref="F9871:F9872"/>
    <mergeCell ref="F9821:F9825"/>
    <mergeCell ref="F9787:F9791"/>
    <mergeCell ref="F9624:F9625"/>
    <mergeCell ref="F9742:F9743"/>
    <mergeCell ref="F9773:F9774"/>
    <mergeCell ref="F9775:F9776"/>
    <mergeCell ref="F9777:F9778"/>
    <mergeCell ref="F9779:F9780"/>
    <mergeCell ref="F9781:F9782"/>
    <mergeCell ref="F9783:F9784"/>
    <mergeCell ref="F9795:F9796"/>
    <mergeCell ref="F9802:F9803"/>
    <mergeCell ref="F9785:F9786"/>
    <mergeCell ref="F9799:F9801"/>
    <mergeCell ref="F9757:F9761"/>
    <mergeCell ref="F9762:F9766"/>
    <mergeCell ref="F9797:F9798"/>
    <mergeCell ref="F9804:F9805"/>
    <mergeCell ref="F9626:F9627"/>
    <mergeCell ref="F9628:F9629"/>
    <mergeCell ref="F9734:F9738"/>
    <mergeCell ref="F9690:F9692"/>
    <mergeCell ref="F9662:F9663"/>
    <mergeCell ref="F9806:F9807"/>
    <mergeCell ref="F9655:F9657"/>
    <mergeCell ref="F9666:F9670"/>
    <mergeCell ref="F9676:F9680"/>
    <mergeCell ref="F9640:F9641"/>
    <mergeCell ref="F9642:F9643"/>
    <mergeCell ref="F9644:F9645"/>
    <mergeCell ref="F9646:F9647"/>
    <mergeCell ref="F9648:F9649"/>
    <mergeCell ref="F9671:F9673"/>
    <mergeCell ref="F9658:F9659"/>
    <mergeCell ref="F9582:F9584"/>
    <mergeCell ref="F9585:F9587"/>
    <mergeCell ref="F9751:F9756"/>
    <mergeCell ref="F9739:F9741"/>
    <mergeCell ref="F9767:F9768"/>
    <mergeCell ref="F9769:F9770"/>
    <mergeCell ref="F9660:F9661"/>
    <mergeCell ref="F9664:F9665"/>
    <mergeCell ref="F9674:F9675"/>
    <mergeCell ref="F9650:F9654"/>
    <mergeCell ref="F9681:F9683"/>
    <mergeCell ref="F9684:F9686"/>
    <mergeCell ref="F9687:F9689"/>
    <mergeCell ref="F9693:F9694"/>
    <mergeCell ref="F9695:F9696"/>
    <mergeCell ref="F9699:F9700"/>
    <mergeCell ref="F9701:F9702"/>
    <mergeCell ref="F9703:F9704"/>
    <mergeCell ref="F9547:F9548"/>
    <mergeCell ref="F9549:F9550"/>
    <mergeCell ref="F9551:F9552"/>
    <mergeCell ref="F9553:F9554"/>
    <mergeCell ref="F9605:F9607"/>
    <mergeCell ref="F9615:F9616"/>
    <mergeCell ref="F9542:F9546"/>
    <mergeCell ref="F9638:F9639"/>
    <mergeCell ref="F9630:F9631"/>
    <mergeCell ref="F9636:F9637"/>
    <mergeCell ref="F9555:F9556"/>
    <mergeCell ref="F9557:F9558"/>
    <mergeCell ref="F9559:F9560"/>
    <mergeCell ref="F9599:F9601"/>
    <mergeCell ref="F9588:F9590"/>
    <mergeCell ref="F9591:F9595"/>
    <mergeCell ref="F9596:F9598"/>
    <mergeCell ref="F9617:F9618"/>
    <mergeCell ref="F9561:F9562"/>
    <mergeCell ref="F9563:F9564"/>
    <mergeCell ref="F9530:F9532"/>
    <mergeCell ref="F9498:F9499"/>
    <mergeCell ref="F9500:F9501"/>
    <mergeCell ref="F9481:F9485"/>
    <mergeCell ref="F9477:F9478"/>
    <mergeCell ref="F9486:F9487"/>
    <mergeCell ref="F9488:F9489"/>
    <mergeCell ref="F9438:F9441"/>
    <mergeCell ref="F9447:F9449"/>
    <mergeCell ref="F9580:F9581"/>
    <mergeCell ref="F9634:F9635"/>
    <mergeCell ref="F9527:F9529"/>
    <mergeCell ref="F9536:F9537"/>
    <mergeCell ref="F9538:F9539"/>
    <mergeCell ref="F9463:F9467"/>
    <mergeCell ref="F9472:F9476"/>
    <mergeCell ref="F9619:F9623"/>
    <mergeCell ref="F9610:F9611"/>
    <mergeCell ref="F9612:F9614"/>
    <mergeCell ref="F9632:F9633"/>
    <mergeCell ref="F9608:F9609"/>
    <mergeCell ref="F9524:F9526"/>
    <mergeCell ref="F9502:F9503"/>
    <mergeCell ref="F9565:F9567"/>
    <mergeCell ref="F9568:F9570"/>
    <mergeCell ref="F9573:F9574"/>
    <mergeCell ref="F9571:F9572"/>
    <mergeCell ref="F9575:F9579"/>
    <mergeCell ref="F9509:F9510"/>
    <mergeCell ref="F9602:F9604"/>
    <mergeCell ref="F9533:F9535"/>
    <mergeCell ref="F9540:F9541"/>
    <mergeCell ref="F9428:F9429"/>
    <mergeCell ref="F9392:F9394"/>
    <mergeCell ref="F9389:F9391"/>
    <mergeCell ref="F9450:F9452"/>
    <mergeCell ref="F9453:F9455"/>
    <mergeCell ref="F9461:F9462"/>
    <mergeCell ref="F9468:F9469"/>
    <mergeCell ref="F9470:F9471"/>
    <mergeCell ref="F9397:F9401"/>
    <mergeCell ref="F9406:F9410"/>
    <mergeCell ref="F9516:F9518"/>
    <mergeCell ref="F9504:F9508"/>
    <mergeCell ref="F9511:F9515"/>
    <mergeCell ref="F9519:F9523"/>
    <mergeCell ref="F9490:F9491"/>
    <mergeCell ref="F9492:F9493"/>
    <mergeCell ref="F9494:F9495"/>
    <mergeCell ref="F9496:F9497"/>
    <mergeCell ref="F9432:F9433"/>
    <mergeCell ref="F9434:F9435"/>
    <mergeCell ref="F9436:F9437"/>
    <mergeCell ref="F9404:F9405"/>
    <mergeCell ref="F9442:F9446"/>
    <mergeCell ref="F9456:F9460"/>
    <mergeCell ref="F9479:F9480"/>
    <mergeCell ref="F9413:F9414"/>
    <mergeCell ref="F9415:F9419"/>
    <mergeCell ref="F9420:F9421"/>
    <mergeCell ref="F9395:F9396"/>
    <mergeCell ref="F9422:F9423"/>
    <mergeCell ref="F9424:F9425"/>
    <mergeCell ref="F9426:F9427"/>
    <mergeCell ref="F9370:F9374"/>
    <mergeCell ref="F9358:F9359"/>
    <mergeCell ref="F9360:F9361"/>
    <mergeCell ref="F9362:F9363"/>
    <mergeCell ref="F9364:F9365"/>
    <mergeCell ref="F9366:F9367"/>
    <mergeCell ref="F9368:F9369"/>
    <mergeCell ref="F9348:F9351"/>
    <mergeCell ref="F9325:F9326"/>
    <mergeCell ref="F9327:F9329"/>
    <mergeCell ref="F9333:F9334"/>
    <mergeCell ref="F9335:F9336"/>
    <mergeCell ref="F9337:F9338"/>
    <mergeCell ref="F9378:F9379"/>
    <mergeCell ref="F9352:F9353"/>
    <mergeCell ref="F9354:F9355"/>
    <mergeCell ref="F9402:F9403"/>
    <mergeCell ref="F9375:F9377"/>
    <mergeCell ref="F9411:F9412"/>
    <mergeCell ref="F8952:F8953"/>
    <mergeCell ref="F8990:F8991"/>
    <mergeCell ref="F9028:F9032"/>
    <mergeCell ref="F9099:F9100"/>
    <mergeCell ref="F9128:F9129"/>
    <mergeCell ref="F9101:F9105"/>
    <mergeCell ref="F9106:F9110"/>
    <mergeCell ref="F9081:F9082"/>
    <mergeCell ref="F9089:F9090"/>
    <mergeCell ref="F9174:F9175"/>
    <mergeCell ref="F9176:F9177"/>
    <mergeCell ref="F9049:F9051"/>
    <mergeCell ref="F9047:F9048"/>
    <mergeCell ref="F9076:F9078"/>
    <mergeCell ref="F9079:F9080"/>
    <mergeCell ref="F9281:F9282"/>
    <mergeCell ref="F9247:F9248"/>
    <mergeCell ref="F9058:F9060"/>
    <mergeCell ref="F9052:F9054"/>
    <mergeCell ref="F9189:F9190"/>
    <mergeCell ref="F9180:F9181"/>
    <mergeCell ref="F9161:F9163"/>
    <mergeCell ref="F9198:F9199"/>
    <mergeCell ref="F9206:F9210"/>
    <mergeCell ref="F9182:F9183"/>
    <mergeCell ref="F9184:F9185"/>
    <mergeCell ref="F8970:F8971"/>
    <mergeCell ref="F8972:F8973"/>
    <mergeCell ref="F8980:F8984"/>
    <mergeCell ref="F9000:F9002"/>
    <mergeCell ref="F9003:F9004"/>
    <mergeCell ref="F9005:F9006"/>
    <mergeCell ref="F8810:F8811"/>
    <mergeCell ref="F8812:F8814"/>
    <mergeCell ref="F8857:F8859"/>
    <mergeCell ref="F8860:F8864"/>
    <mergeCell ref="F8830:F8831"/>
    <mergeCell ref="F8832:F8833"/>
    <mergeCell ref="F8913:F8914"/>
    <mergeCell ref="F8836:F8837"/>
    <mergeCell ref="F8900:F8902"/>
    <mergeCell ref="F8838:F8840"/>
    <mergeCell ref="F8834:F8835"/>
    <mergeCell ref="F8851:F8853"/>
    <mergeCell ref="F8854:F8856"/>
    <mergeCell ref="F8849:F8850"/>
    <mergeCell ref="F9036:F9038"/>
    <mergeCell ref="F9033:F9035"/>
    <mergeCell ref="F8841:F8845"/>
    <mergeCell ref="F8846:F8848"/>
    <mergeCell ref="F8932:F8933"/>
    <mergeCell ref="F9020:F9022"/>
    <mergeCell ref="F9023:F9024"/>
    <mergeCell ref="F8934:F8938"/>
    <mergeCell ref="F8915:F8916"/>
    <mergeCell ref="F8880:F8881"/>
    <mergeCell ref="F8882:F8883"/>
    <mergeCell ref="F8903:F8905"/>
    <mergeCell ref="F8917:F8919"/>
    <mergeCell ref="F8926:F8928"/>
    <mergeCell ref="F8923:F8925"/>
    <mergeCell ref="F9017:F9019"/>
    <mergeCell ref="F8865:F8866"/>
    <mergeCell ref="F8942:F8943"/>
    <mergeCell ref="F9007:F9010"/>
    <mergeCell ref="F9011:F9013"/>
    <mergeCell ref="F9014:F9016"/>
    <mergeCell ref="F8884:F8885"/>
    <mergeCell ref="F8886:F8887"/>
    <mergeCell ref="F8909:F8910"/>
    <mergeCell ref="F8888:F8890"/>
    <mergeCell ref="F9164:F9165"/>
    <mergeCell ref="F9095:F9096"/>
    <mergeCell ref="F8815:F8817"/>
    <mergeCell ref="F8911:F8912"/>
    <mergeCell ref="F8939:F8941"/>
    <mergeCell ref="F8948:F8949"/>
    <mergeCell ref="F8950:F8951"/>
    <mergeCell ref="F8944:F8945"/>
    <mergeCell ref="F8946:F8947"/>
    <mergeCell ref="F8962:F8966"/>
    <mergeCell ref="F8967:F8969"/>
    <mergeCell ref="F8988:F8989"/>
    <mergeCell ref="F8894:F8896"/>
    <mergeCell ref="F8897:F8899"/>
    <mergeCell ref="F8974:F8976"/>
    <mergeCell ref="F8977:F8979"/>
    <mergeCell ref="F8906:F8908"/>
    <mergeCell ref="F8994:F8996"/>
    <mergeCell ref="F8997:F8999"/>
    <mergeCell ref="F8954:F8955"/>
    <mergeCell ref="F8956:F8957"/>
    <mergeCell ref="F8958:F8959"/>
    <mergeCell ref="F8960:F8961"/>
    <mergeCell ref="F8920:F8922"/>
    <mergeCell ref="F9061:F9063"/>
    <mergeCell ref="F8805:F8806"/>
    <mergeCell ref="F8772:F8773"/>
    <mergeCell ref="F8720:F8721"/>
    <mergeCell ref="F8727:F8729"/>
    <mergeCell ref="F8646:F8648"/>
    <mergeCell ref="F8601:F8603"/>
    <mergeCell ref="F8677:F8678"/>
    <mergeCell ref="F8679:F8680"/>
    <mergeCell ref="F8745:F8746"/>
    <mergeCell ref="F8747:F8748"/>
    <mergeCell ref="F8749:F8750"/>
    <mergeCell ref="F8751:F8752"/>
    <mergeCell ref="F8753:F8754"/>
    <mergeCell ref="F8755:F8756"/>
    <mergeCell ref="F8757:F8758"/>
    <mergeCell ref="F8759:F8760"/>
    <mergeCell ref="F8785:F8789"/>
    <mergeCell ref="F8790:F8792"/>
    <mergeCell ref="F8793:F8795"/>
    <mergeCell ref="F8697:F8698"/>
    <mergeCell ref="F8699:F8700"/>
    <mergeCell ref="F8737:F8739"/>
    <mergeCell ref="F8740:F8742"/>
    <mergeCell ref="F8717:F8719"/>
    <mergeCell ref="F8796:F8797"/>
    <mergeCell ref="F8769:F8771"/>
    <mergeCell ref="F8711:F8713"/>
    <mergeCell ref="F8714:F8716"/>
    <mergeCell ref="F8604:F8605"/>
    <mergeCell ref="F8691:F8692"/>
    <mergeCell ref="F8657:F8658"/>
    <mergeCell ref="F8659:F8660"/>
    <mergeCell ref="F8661:F8663"/>
    <mergeCell ref="F8644:F8645"/>
    <mergeCell ref="F8798:F8800"/>
    <mergeCell ref="F8801:F8802"/>
    <mergeCell ref="F8543:F8547"/>
    <mergeCell ref="F8548:F8552"/>
    <mergeCell ref="F8509:F8511"/>
    <mergeCell ref="F8530:F8532"/>
    <mergeCell ref="F8535:F8536"/>
    <mergeCell ref="F8520:F8524"/>
    <mergeCell ref="F8525:F8529"/>
    <mergeCell ref="F8578:F8579"/>
    <mergeCell ref="F8580:F8581"/>
    <mergeCell ref="F8572:F8573"/>
    <mergeCell ref="F8574:F8575"/>
    <mergeCell ref="F8582:F8583"/>
    <mergeCell ref="F8561:F8565"/>
    <mergeCell ref="F8517:F8519"/>
    <mergeCell ref="F8533:F8534"/>
    <mergeCell ref="F8539:F8540"/>
    <mergeCell ref="F8537:F8538"/>
    <mergeCell ref="F8555:F8557"/>
    <mergeCell ref="F8616:F8617"/>
    <mergeCell ref="F8618:F8619"/>
    <mergeCell ref="F8620:F8622"/>
    <mergeCell ref="F8664:F8666"/>
    <mergeCell ref="F8667:F8668"/>
    <mergeCell ref="F8669:F8671"/>
    <mergeCell ref="F8672:F8674"/>
    <mergeCell ref="F8761:F8762"/>
    <mergeCell ref="F8763:F8764"/>
    <mergeCell ref="F8608:F8610"/>
    <mergeCell ref="F7860:F7861"/>
    <mergeCell ref="F8362:F8363"/>
    <mergeCell ref="F8344:F8345"/>
    <mergeCell ref="F8346:F8347"/>
    <mergeCell ref="F8348:F8349"/>
    <mergeCell ref="F8350:F8351"/>
    <mergeCell ref="F7967:F7969"/>
    <mergeCell ref="F7992:F7993"/>
    <mergeCell ref="F8215:F8217"/>
    <mergeCell ref="F8185:F8186"/>
    <mergeCell ref="F8192:F8193"/>
    <mergeCell ref="F8194:F8195"/>
    <mergeCell ref="F8196:F8198"/>
    <mergeCell ref="F8199:F8200"/>
    <mergeCell ref="F8332:F8336"/>
    <mergeCell ref="F8337:F8338"/>
    <mergeCell ref="F8257:F8258"/>
    <mergeCell ref="F8278:F8279"/>
    <mergeCell ref="F7889:F7891"/>
    <mergeCell ref="F7892:F7893"/>
    <mergeCell ref="F8218:F8219"/>
    <mergeCell ref="F8151:F8152"/>
    <mergeCell ref="F8153:F8154"/>
    <mergeCell ref="F8155:F8156"/>
    <mergeCell ref="F7908:F7909"/>
    <mergeCell ref="F7910:F7911"/>
    <mergeCell ref="F7912:F7913"/>
    <mergeCell ref="F7914:F7915"/>
    <mergeCell ref="F7916:F7917"/>
    <mergeCell ref="F7987:F7989"/>
    <mergeCell ref="F8024:F8026"/>
    <mergeCell ref="F8167:F8171"/>
    <mergeCell ref="F7501:F7502"/>
    <mergeCell ref="F7711:F7715"/>
    <mergeCell ref="F7716:F7719"/>
    <mergeCell ref="F7513:F7514"/>
    <mergeCell ref="F7555:F7556"/>
    <mergeCell ref="F7848:F7850"/>
    <mergeCell ref="F7851:F7853"/>
    <mergeCell ref="F7862:F7866"/>
    <mergeCell ref="F7867:F7869"/>
    <mergeCell ref="F7876:F7878"/>
    <mergeCell ref="F7578:F7579"/>
    <mergeCell ref="F7693:F7695"/>
    <mergeCell ref="F7825:F7826"/>
    <mergeCell ref="F7696:F7699"/>
    <mergeCell ref="F7672:F7673"/>
    <mergeCell ref="F7674:F7678"/>
    <mergeCell ref="F7585:F7586"/>
    <mergeCell ref="F7835:F7836"/>
    <mergeCell ref="F7837:F7838"/>
    <mergeCell ref="F7839:F7840"/>
    <mergeCell ref="F7664:F7668"/>
    <mergeCell ref="F7669:F7671"/>
    <mergeCell ref="F7567:F7568"/>
    <mergeCell ref="F7569:F7573"/>
    <mergeCell ref="F7747:F7748"/>
    <mergeCell ref="F7749:F7750"/>
    <mergeCell ref="F7635:F7636"/>
    <mergeCell ref="F7783:F7784"/>
    <mergeCell ref="F7785:F7786"/>
    <mergeCell ref="F7787:F7788"/>
    <mergeCell ref="F7654:F7658"/>
    <mergeCell ref="F7681:F7683"/>
    <mergeCell ref="F7684:F7686"/>
    <mergeCell ref="F7612:F7614"/>
    <mergeCell ref="F7707:F7708"/>
    <mergeCell ref="F7833:F7834"/>
    <mergeCell ref="F7679:F7680"/>
    <mergeCell ref="F7700:F7701"/>
    <mergeCell ref="F7831:F7832"/>
    <mergeCell ref="F7827:F7828"/>
    <mergeCell ref="F7823:F7824"/>
    <mergeCell ref="F7770:F7771"/>
    <mergeCell ref="F7772:F7773"/>
    <mergeCell ref="F7774:F7775"/>
    <mergeCell ref="F7733:F7734"/>
    <mergeCell ref="F7725:F7726"/>
    <mergeCell ref="F7727:F7729"/>
    <mergeCell ref="F7730:F7732"/>
    <mergeCell ref="F7639:F7640"/>
    <mergeCell ref="F7641:F7642"/>
    <mergeCell ref="F7661:F7663"/>
    <mergeCell ref="F7647:F7650"/>
    <mergeCell ref="F7629:F7630"/>
    <mergeCell ref="F7631:F7632"/>
    <mergeCell ref="F7633:F7634"/>
    <mergeCell ref="F7623:F7624"/>
    <mergeCell ref="F7776:F7777"/>
    <mergeCell ref="F7762:F7764"/>
    <mergeCell ref="F7765:F7767"/>
    <mergeCell ref="F7751:F7752"/>
    <mergeCell ref="F7486:F7487"/>
    <mergeCell ref="F7551:F7552"/>
    <mergeCell ref="F7553:F7554"/>
    <mergeCell ref="F7484:F7485"/>
    <mergeCell ref="F7563:F7566"/>
    <mergeCell ref="F7529:F7530"/>
    <mergeCell ref="F7574:F7575"/>
    <mergeCell ref="F7587:F7588"/>
    <mergeCell ref="F7601:F7602"/>
    <mergeCell ref="F7589:F7590"/>
    <mergeCell ref="F7743:F7744"/>
    <mergeCell ref="F7760:F7761"/>
    <mergeCell ref="F7745:F7746"/>
    <mergeCell ref="F7402:F7404"/>
    <mergeCell ref="F7523:F7524"/>
    <mergeCell ref="F7541:F7542"/>
    <mergeCell ref="F7508:F7512"/>
    <mergeCell ref="F7515:F7519"/>
    <mergeCell ref="F7421:F7423"/>
    <mergeCell ref="F7643:F7644"/>
    <mergeCell ref="F7603:F7604"/>
    <mergeCell ref="F7605:F7606"/>
    <mergeCell ref="F7702:F7703"/>
    <mergeCell ref="F7704:F7706"/>
    <mergeCell ref="F7610:F7611"/>
    <mergeCell ref="F7753:F7754"/>
    <mergeCell ref="F7755:F7756"/>
    <mergeCell ref="F7741:F7742"/>
    <mergeCell ref="F7627:F7628"/>
    <mergeCell ref="F7527:F7528"/>
    <mergeCell ref="F7531:F7535"/>
    <mergeCell ref="F7536:F7540"/>
    <mergeCell ref="F7405:F7407"/>
    <mergeCell ref="F7637:F7638"/>
    <mergeCell ref="F7292:F7293"/>
    <mergeCell ref="F7314:F7316"/>
    <mergeCell ref="F7279:F7282"/>
    <mergeCell ref="F7283:F7286"/>
    <mergeCell ref="F7735:F7736"/>
    <mergeCell ref="F7737:F7738"/>
    <mergeCell ref="F7739:F7740"/>
    <mergeCell ref="F7561:F7562"/>
    <mergeCell ref="F7659:F7660"/>
    <mergeCell ref="F7645:F7646"/>
    <mergeCell ref="F7689:F7692"/>
    <mergeCell ref="F7472:F7473"/>
    <mergeCell ref="F7474:F7475"/>
    <mergeCell ref="F7596:F7600"/>
    <mergeCell ref="F7651:F7653"/>
    <mergeCell ref="F7607:F7609"/>
    <mergeCell ref="F7396:F7397"/>
    <mergeCell ref="F7410:F7412"/>
    <mergeCell ref="F7398:F7401"/>
    <mergeCell ref="F7413:F7415"/>
    <mergeCell ref="F7416:F7420"/>
    <mergeCell ref="F7451:F7454"/>
    <mergeCell ref="F7455:F7459"/>
    <mergeCell ref="F7439:F7442"/>
    <mergeCell ref="F7445:F7447"/>
    <mergeCell ref="F7432:F7433"/>
    <mergeCell ref="F7559:F7560"/>
    <mergeCell ref="F7478:F7479"/>
    <mergeCell ref="F7480:F7481"/>
    <mergeCell ref="F7482:F7483"/>
    <mergeCell ref="F6938:F6939"/>
    <mergeCell ref="F6940:F6941"/>
    <mergeCell ref="F6942:F6943"/>
    <mergeCell ref="F6968:F6970"/>
    <mergeCell ref="F6956:F6957"/>
    <mergeCell ref="F7015:F7017"/>
    <mergeCell ref="F6958:F6959"/>
    <mergeCell ref="F6960:F6961"/>
    <mergeCell ref="F7018:F7019"/>
    <mergeCell ref="F7020:F7023"/>
    <mergeCell ref="F7027:F7030"/>
    <mergeCell ref="F7039:F7040"/>
    <mergeCell ref="F7041:F7042"/>
    <mergeCell ref="F7043:F7044"/>
    <mergeCell ref="F7034:F7036"/>
    <mergeCell ref="F7013:F7014"/>
    <mergeCell ref="F7024:F7026"/>
    <mergeCell ref="F7007:F7008"/>
    <mergeCell ref="F7009:F7010"/>
    <mergeCell ref="F7011:F7012"/>
    <mergeCell ref="F6966:F6967"/>
    <mergeCell ref="F6986:F6988"/>
    <mergeCell ref="F6989:F6990"/>
    <mergeCell ref="F7001:F7002"/>
    <mergeCell ref="F7003:F7004"/>
    <mergeCell ref="F7037:F7038"/>
    <mergeCell ref="F6980:F6982"/>
    <mergeCell ref="F6977:F6979"/>
    <mergeCell ref="F6983:F6985"/>
    <mergeCell ref="F6991:F6992"/>
    <mergeCell ref="F6993:F6994"/>
    <mergeCell ref="F6995:F6996"/>
    <mergeCell ref="F6880:F6881"/>
    <mergeCell ref="F6894:F6895"/>
    <mergeCell ref="F6910:F6911"/>
    <mergeCell ref="F6914:F6915"/>
    <mergeCell ref="F6916:F6917"/>
    <mergeCell ref="F6918:F6919"/>
    <mergeCell ref="F6920:F6921"/>
    <mergeCell ref="F6922:F6923"/>
    <mergeCell ref="F6924:F6925"/>
    <mergeCell ref="F6926:F6927"/>
    <mergeCell ref="F6928:F6929"/>
    <mergeCell ref="F6930:F6931"/>
    <mergeCell ref="F6932:F6933"/>
    <mergeCell ref="F6944:F6945"/>
    <mergeCell ref="F6891:F6893"/>
    <mergeCell ref="F6912:F6913"/>
    <mergeCell ref="F7348:F7349"/>
    <mergeCell ref="F7047:F7048"/>
    <mergeCell ref="F7005:F7006"/>
    <mergeCell ref="F7068:F7070"/>
    <mergeCell ref="F7084:F7086"/>
    <mergeCell ref="F7049:F7050"/>
    <mergeCell ref="F7051:F7052"/>
    <mergeCell ref="F7053:F7054"/>
    <mergeCell ref="F7055:F7056"/>
    <mergeCell ref="F7057:F7058"/>
    <mergeCell ref="F7338:F7340"/>
    <mergeCell ref="F7312:F7313"/>
    <mergeCell ref="F7296:F7297"/>
    <mergeCell ref="F7298:F7299"/>
    <mergeCell ref="F7300:F7301"/>
    <mergeCell ref="F7302:F7303"/>
    <mergeCell ref="F6746:F6747"/>
    <mergeCell ref="F6748:F6749"/>
    <mergeCell ref="F6754:F6755"/>
    <mergeCell ref="F6756:F6757"/>
    <mergeCell ref="F6758:F6759"/>
    <mergeCell ref="F6760:F6761"/>
    <mergeCell ref="F6762:F6763"/>
    <mergeCell ref="F6804:F6806"/>
    <mergeCell ref="F6771:F6774"/>
    <mergeCell ref="F6778:F6779"/>
    <mergeCell ref="F6780:F6781"/>
    <mergeCell ref="F6782:F6783"/>
    <mergeCell ref="F6784:F6785"/>
    <mergeCell ref="F6786:F6787"/>
    <mergeCell ref="F6788:F6789"/>
    <mergeCell ref="F6796:F6797"/>
    <mergeCell ref="F6798:F6799"/>
    <mergeCell ref="F6775:F6777"/>
    <mergeCell ref="F6764:F6765"/>
    <mergeCell ref="F6766:F6767"/>
    <mergeCell ref="F6768:F6770"/>
    <mergeCell ref="F6790:F6791"/>
    <mergeCell ref="F6792:F6793"/>
    <mergeCell ref="F6794:F6795"/>
    <mergeCell ref="F6848:F6849"/>
    <mergeCell ref="F6850:F6851"/>
    <mergeCell ref="F6807:F6809"/>
    <mergeCell ref="F7059:F7060"/>
    <mergeCell ref="F6971:F6973"/>
    <mergeCell ref="F6974:F6976"/>
    <mergeCell ref="F6731:F6732"/>
    <mergeCell ref="F6908:F6909"/>
    <mergeCell ref="F6665:F6667"/>
    <mergeCell ref="F6668:F6670"/>
    <mergeCell ref="F6671:F6672"/>
    <mergeCell ref="F6673:F6674"/>
    <mergeCell ref="F6679:F6680"/>
    <mergeCell ref="F6675:F6678"/>
    <mergeCell ref="F6681:F6684"/>
    <mergeCell ref="F6690:F6691"/>
    <mergeCell ref="F6692:F6693"/>
    <mergeCell ref="F6694:F6695"/>
    <mergeCell ref="F6696:F6697"/>
    <mergeCell ref="F6698:F6699"/>
    <mergeCell ref="F6700:F6701"/>
    <mergeCell ref="F6702:F6703"/>
    <mergeCell ref="F6704:F6705"/>
    <mergeCell ref="F6706:F6707"/>
    <mergeCell ref="F6708:F6709"/>
    <mergeCell ref="F6712:F6714"/>
    <mergeCell ref="F6721:F6723"/>
    <mergeCell ref="F6724:F6728"/>
    <mergeCell ref="F6715:F6716"/>
    <mergeCell ref="F6717:F6718"/>
    <mergeCell ref="F6742:F6743"/>
    <mergeCell ref="F6744:F6745"/>
    <mergeCell ref="F6406:F6407"/>
    <mergeCell ref="F6408:F6409"/>
    <mergeCell ref="F6410:F6411"/>
    <mergeCell ref="F6412:F6413"/>
    <mergeCell ref="F6414:F6415"/>
    <mergeCell ref="F6750:F6751"/>
    <mergeCell ref="F6752:F6753"/>
    <mergeCell ref="F6685:F6687"/>
    <mergeCell ref="F6868:F6869"/>
    <mergeCell ref="F6688:F6689"/>
    <mergeCell ref="F6882:F6883"/>
    <mergeCell ref="F6884:F6886"/>
    <mergeCell ref="F6887:F6890"/>
    <mergeCell ref="F6735:F6736"/>
    <mergeCell ref="F6719:F6720"/>
    <mergeCell ref="F6733:F6734"/>
    <mergeCell ref="F6737:F6738"/>
    <mergeCell ref="F6710:F6711"/>
    <mergeCell ref="F6739:F6741"/>
    <mergeCell ref="F6877:F6879"/>
    <mergeCell ref="F6647:F6648"/>
    <mergeCell ref="F6651:F6652"/>
    <mergeCell ref="F6653:F6654"/>
    <mergeCell ref="F6655:F6656"/>
    <mergeCell ref="F6657:F6658"/>
    <mergeCell ref="F6659:F6660"/>
    <mergeCell ref="F6661:F6662"/>
    <mergeCell ref="F6663:F6664"/>
    <mergeCell ref="F6649:F6650"/>
    <mergeCell ref="F6833:F6835"/>
    <mergeCell ref="F6838:F6839"/>
    <mergeCell ref="F6840:F6841"/>
    <mergeCell ref="F6132:F6133"/>
    <mergeCell ref="F6134:F6135"/>
    <mergeCell ref="F6143:F6144"/>
    <mergeCell ref="F6145:F6146"/>
    <mergeCell ref="F6147:F6148"/>
    <mergeCell ref="F6852:F6853"/>
    <mergeCell ref="F6854:F6855"/>
    <mergeCell ref="F6856:F6857"/>
    <mergeCell ref="F6729:F6730"/>
    <mergeCell ref="F6496:F6497"/>
    <mergeCell ref="F6362:F6363"/>
    <mergeCell ref="F6422:F6423"/>
    <mergeCell ref="F6424:F6425"/>
    <mergeCell ref="F6431:F6432"/>
    <mergeCell ref="F6433:F6434"/>
    <mergeCell ref="F6435:F6436"/>
    <mergeCell ref="F6437:F6438"/>
    <mergeCell ref="F6439:F6440"/>
    <mergeCell ref="F6441:F6442"/>
    <mergeCell ref="F6443:F6444"/>
    <mergeCell ref="F6445:F6446"/>
    <mergeCell ref="F6447:F6448"/>
    <mergeCell ref="F6449:F6450"/>
    <mergeCell ref="F6390:F6392"/>
    <mergeCell ref="F6518:F6519"/>
    <mergeCell ref="F6393:F6395"/>
    <mergeCell ref="F6384:F6385"/>
    <mergeCell ref="F6388:F6389"/>
    <mergeCell ref="F6386:F6387"/>
    <mergeCell ref="F6396:F6398"/>
    <mergeCell ref="F6402:F6403"/>
    <mergeCell ref="F6404:F6405"/>
    <mergeCell ref="F5893:F5894"/>
    <mergeCell ref="F5900:F5901"/>
    <mergeCell ref="F5907:F5908"/>
    <mergeCell ref="F5917:F5918"/>
    <mergeCell ref="F5898:F5899"/>
    <mergeCell ref="F6416:F6417"/>
    <mergeCell ref="F6418:F6419"/>
    <mergeCell ref="F6420:F6421"/>
    <mergeCell ref="F6429:F6430"/>
    <mergeCell ref="F6364:F6365"/>
    <mergeCell ref="F6366:F6367"/>
    <mergeCell ref="F6368:F6369"/>
    <mergeCell ref="F6370:F6371"/>
    <mergeCell ref="F6372:F6373"/>
    <mergeCell ref="F6374:F6375"/>
    <mergeCell ref="F6376:F6377"/>
    <mergeCell ref="F6378:F6379"/>
    <mergeCell ref="F6380:F6381"/>
    <mergeCell ref="F6382:F6383"/>
    <mergeCell ref="F6399:F6401"/>
    <mergeCell ref="F6113:F6115"/>
    <mergeCell ref="F6120:F6122"/>
    <mergeCell ref="F6116:F6117"/>
    <mergeCell ref="F6118:F6119"/>
    <mergeCell ref="F6123:F6124"/>
    <mergeCell ref="F6125:F6126"/>
    <mergeCell ref="F6127:F6128"/>
    <mergeCell ref="F6171:F6172"/>
    <mergeCell ref="F6173:F6174"/>
    <mergeCell ref="F6129:F6131"/>
    <mergeCell ref="F6138:F6142"/>
    <mergeCell ref="F6151:F6154"/>
    <mergeCell ref="F5865:F5867"/>
    <mergeCell ref="F5868:F5870"/>
    <mergeCell ref="F5853:F5854"/>
    <mergeCell ref="F5855:F5857"/>
    <mergeCell ref="F5849:F5850"/>
    <mergeCell ref="F6149:F6150"/>
    <mergeCell ref="F6155:F6156"/>
    <mergeCell ref="F6157:F6158"/>
    <mergeCell ref="F6159:F6160"/>
    <mergeCell ref="F6161:F6162"/>
    <mergeCell ref="F6163:F6164"/>
    <mergeCell ref="F6165:F6166"/>
    <mergeCell ref="F6167:F6168"/>
    <mergeCell ref="F6169:F6170"/>
    <mergeCell ref="F5887:F5888"/>
    <mergeCell ref="F5889:F5890"/>
    <mergeCell ref="F5931:F5932"/>
    <mergeCell ref="F5933:F5934"/>
    <mergeCell ref="F5935:F5936"/>
    <mergeCell ref="F5937:F5938"/>
    <mergeCell ref="F5895:F5897"/>
    <mergeCell ref="F5902:F5904"/>
    <mergeCell ref="F5909:F5911"/>
    <mergeCell ref="F5914:F5916"/>
    <mergeCell ref="F5891:F5892"/>
    <mergeCell ref="F5945:F5948"/>
    <mergeCell ref="F5961:F5962"/>
    <mergeCell ref="F5963:F5964"/>
    <mergeCell ref="F5939:F5940"/>
    <mergeCell ref="F5941:F5942"/>
    <mergeCell ref="F5943:F5944"/>
    <mergeCell ref="F5955:F5956"/>
    <mergeCell ref="F5743:F5744"/>
    <mergeCell ref="F5815:F5817"/>
    <mergeCell ref="F5822:F5824"/>
    <mergeCell ref="F5825:F5827"/>
    <mergeCell ref="F5818:F5819"/>
    <mergeCell ref="F5912:F5913"/>
    <mergeCell ref="F5919:F5920"/>
    <mergeCell ref="F5921:F5922"/>
    <mergeCell ref="F5923:F5924"/>
    <mergeCell ref="F5925:F5926"/>
    <mergeCell ref="F5927:F5928"/>
    <mergeCell ref="F5929:F5930"/>
    <mergeCell ref="F5949:F5951"/>
    <mergeCell ref="F5952:F5954"/>
    <mergeCell ref="F5820:F5821"/>
    <mergeCell ref="F5873:F5874"/>
    <mergeCell ref="F5875:F5876"/>
    <mergeCell ref="F5877:F5878"/>
    <mergeCell ref="F5879:F5880"/>
    <mergeCell ref="F5881:F5882"/>
    <mergeCell ref="F5883:F5884"/>
    <mergeCell ref="F5833:F5834"/>
    <mergeCell ref="F5835:F5836"/>
    <mergeCell ref="F5837:F5838"/>
    <mergeCell ref="F5839:F5840"/>
    <mergeCell ref="F5841:F5842"/>
    <mergeCell ref="F5843:F5844"/>
    <mergeCell ref="F5845:F5846"/>
    <mergeCell ref="F5847:F5848"/>
    <mergeCell ref="F5851:F5852"/>
    <mergeCell ref="F5831:F5832"/>
    <mergeCell ref="F5863:F5864"/>
    <mergeCell ref="F5806:F5807"/>
    <mergeCell ref="F5808:F5809"/>
    <mergeCell ref="F5803:F5805"/>
    <mergeCell ref="F5800:F5802"/>
    <mergeCell ref="F5777:F5778"/>
    <mergeCell ref="F5871:F5872"/>
    <mergeCell ref="F5885:F5886"/>
    <mergeCell ref="F5828:F5830"/>
    <mergeCell ref="F5858:F5862"/>
    <mergeCell ref="F5643:F5644"/>
    <mergeCell ref="F5648:F5651"/>
    <mergeCell ref="F5652:F5654"/>
    <mergeCell ref="F5655:F5656"/>
    <mergeCell ref="F5657:F5658"/>
    <mergeCell ref="F5667:F5668"/>
    <mergeCell ref="F5669:F5670"/>
    <mergeCell ref="F5677:F5678"/>
    <mergeCell ref="F5659:F5661"/>
    <mergeCell ref="F5741:F5742"/>
    <mergeCell ref="F5745:F5746"/>
    <mergeCell ref="F5709:F5711"/>
    <mergeCell ref="F5705:F5706"/>
    <mergeCell ref="F5707:F5708"/>
    <mergeCell ref="F5679:F5681"/>
    <mergeCell ref="F5721:F5722"/>
    <mergeCell ref="F5723:F5724"/>
    <mergeCell ref="F5725:F5726"/>
    <mergeCell ref="F5733:F5734"/>
    <mergeCell ref="F5735:F5736"/>
    <mergeCell ref="F5737:F5738"/>
    <mergeCell ref="F5739:F5740"/>
    <mergeCell ref="F5719:F5720"/>
    <mergeCell ref="F5308:F5309"/>
    <mergeCell ref="F5310:F5311"/>
    <mergeCell ref="F5312:F5313"/>
    <mergeCell ref="F5348:F5350"/>
    <mergeCell ref="F5351:F5353"/>
    <mergeCell ref="F5712:F5714"/>
    <mergeCell ref="F5702:F5704"/>
    <mergeCell ref="F5690:F5691"/>
    <mergeCell ref="F5692:F5693"/>
    <mergeCell ref="F5694:F5695"/>
    <mergeCell ref="F5810:F5814"/>
    <mergeCell ref="F5715:F5716"/>
    <mergeCell ref="F5717:F5718"/>
    <mergeCell ref="F5784:F5785"/>
    <mergeCell ref="F5781:F5783"/>
    <mergeCell ref="F5747:F5749"/>
    <mergeCell ref="F5750:F5754"/>
    <mergeCell ref="F5755:F5756"/>
    <mergeCell ref="F5757:F5758"/>
    <mergeCell ref="F5759:F5760"/>
    <mergeCell ref="F5761:F5762"/>
    <mergeCell ref="F5763:F5764"/>
    <mergeCell ref="F5765:F5766"/>
    <mergeCell ref="F5767:F5768"/>
    <mergeCell ref="F5769:F5770"/>
    <mergeCell ref="F5771:F5772"/>
    <mergeCell ref="F5773:F5774"/>
    <mergeCell ref="F5786:F5787"/>
    <mergeCell ref="F5794:F5796"/>
    <mergeCell ref="F5797:F5799"/>
    <mergeCell ref="F5788:F5790"/>
    <mergeCell ref="F5791:F5793"/>
    <mergeCell ref="F5265:F5266"/>
    <mergeCell ref="F5267:F5268"/>
    <mergeCell ref="F5269:F5270"/>
    <mergeCell ref="F5306:F5307"/>
    <mergeCell ref="F5295:F5297"/>
    <mergeCell ref="F5779:F5780"/>
    <mergeCell ref="F5775:F5776"/>
    <mergeCell ref="F5271:F5272"/>
    <mergeCell ref="F5273:F5274"/>
    <mergeCell ref="F5275:F5276"/>
    <mergeCell ref="F5286:F5288"/>
    <mergeCell ref="F5289:F5291"/>
    <mergeCell ref="F5292:F5294"/>
    <mergeCell ref="F5345:F5347"/>
    <mergeCell ref="F5388:F5389"/>
    <mergeCell ref="F5390:F5391"/>
    <mergeCell ref="F5394:F5395"/>
    <mergeCell ref="F5396:F5397"/>
    <mergeCell ref="F5314:F5316"/>
    <mergeCell ref="F5317:F5319"/>
    <mergeCell ref="F5320:F5322"/>
    <mergeCell ref="F5323:F5324"/>
    <mergeCell ref="F5325:F5326"/>
    <mergeCell ref="F5327:F5328"/>
    <mergeCell ref="F5329:F5330"/>
    <mergeCell ref="F5331:F5332"/>
    <mergeCell ref="F5333:F5334"/>
    <mergeCell ref="F5335:F5336"/>
    <mergeCell ref="F5337:F5338"/>
    <mergeCell ref="F5339:F5340"/>
    <mergeCell ref="F5341:F5342"/>
    <mergeCell ref="F5343:F5344"/>
    <mergeCell ref="F5221:F5222"/>
    <mergeCell ref="F5263:F5264"/>
    <mergeCell ref="F5204:F5205"/>
    <mergeCell ref="F5206:F5207"/>
    <mergeCell ref="F5208:F5209"/>
    <mergeCell ref="F5210:F5211"/>
    <mergeCell ref="F5212:F5214"/>
    <mergeCell ref="F5215:F5216"/>
    <mergeCell ref="F5217:F5218"/>
    <mergeCell ref="F5219:F5220"/>
    <mergeCell ref="F5223:F5224"/>
    <mergeCell ref="F5225:F5226"/>
    <mergeCell ref="F5227:F5228"/>
    <mergeCell ref="F5229:F5230"/>
    <mergeCell ref="F5231:F5232"/>
    <mergeCell ref="F5233:F5234"/>
    <mergeCell ref="F5235:F5237"/>
    <mergeCell ref="F5238:F5239"/>
    <mergeCell ref="F5248:F5249"/>
    <mergeCell ref="F5250:F5251"/>
    <mergeCell ref="F5252:F5254"/>
    <mergeCell ref="F5001:F5002"/>
    <mergeCell ref="F5003:F5005"/>
    <mergeCell ref="F5006:F5007"/>
    <mergeCell ref="F5240:F5243"/>
    <mergeCell ref="F5244:F5247"/>
    <mergeCell ref="F5255:F5258"/>
    <mergeCell ref="F5259:F5260"/>
    <mergeCell ref="F5261:F5262"/>
    <mergeCell ref="F5099:F5101"/>
    <mergeCell ref="F5079:F5081"/>
    <mergeCell ref="F5096:F5098"/>
    <mergeCell ref="F5102:F5103"/>
    <mergeCell ref="F5107:F5108"/>
    <mergeCell ref="F5109:F5110"/>
    <mergeCell ref="F5111:F5112"/>
    <mergeCell ref="F5113:F5114"/>
    <mergeCell ref="F5115:F5116"/>
    <mergeCell ref="F5117:F5118"/>
    <mergeCell ref="F5119:F5120"/>
    <mergeCell ref="F5172:F5175"/>
    <mergeCell ref="F5176:F5177"/>
    <mergeCell ref="F5160:F5161"/>
    <mergeCell ref="F5162:F5163"/>
    <mergeCell ref="F5164:F5165"/>
    <mergeCell ref="F5152:F5153"/>
    <mergeCell ref="F5145:F5147"/>
    <mergeCell ref="F5126:F5128"/>
    <mergeCell ref="F5129:F5130"/>
    <mergeCell ref="F5131:F5132"/>
    <mergeCell ref="F5133:F5136"/>
    <mergeCell ref="F5137:F5138"/>
    <mergeCell ref="F5150:F5151"/>
    <mergeCell ref="F5040:F5041"/>
    <mergeCell ref="F5042:F5043"/>
    <mergeCell ref="F5026:F5027"/>
    <mergeCell ref="F5020:F5022"/>
    <mergeCell ref="F5028:F5029"/>
    <mergeCell ref="F5023:F5025"/>
    <mergeCell ref="F5158:F5159"/>
    <mergeCell ref="F5166:F5167"/>
    <mergeCell ref="F5170:F5171"/>
    <mergeCell ref="F5168:F5169"/>
    <mergeCell ref="F5123:F5125"/>
    <mergeCell ref="F5068:F5070"/>
    <mergeCell ref="F5071:F5072"/>
    <mergeCell ref="F5077:F5078"/>
    <mergeCell ref="F5082:F5083"/>
    <mergeCell ref="F5084:F5085"/>
    <mergeCell ref="F5086:F5087"/>
    <mergeCell ref="F5088:F5089"/>
    <mergeCell ref="F5090:F5091"/>
    <mergeCell ref="F5092:F5093"/>
    <mergeCell ref="F5094:F5095"/>
    <mergeCell ref="F5073:F5074"/>
    <mergeCell ref="F5075:F5076"/>
    <mergeCell ref="F5148:F5149"/>
    <mergeCell ref="F5154:F5155"/>
    <mergeCell ref="F5156:F5157"/>
    <mergeCell ref="F5048:F5050"/>
    <mergeCell ref="F5060:F5062"/>
    <mergeCell ref="F5104:F5106"/>
    <mergeCell ref="F5121:F5122"/>
    <mergeCell ref="F5008:F5009"/>
    <mergeCell ref="F5010:F5011"/>
    <mergeCell ref="F5012:F5013"/>
    <mergeCell ref="F5014:F5015"/>
    <mergeCell ref="F5016:F5017"/>
    <mergeCell ref="F5018:F5019"/>
    <mergeCell ref="F5051:F5052"/>
    <mergeCell ref="F5053:F5055"/>
    <mergeCell ref="F5044:F5047"/>
    <mergeCell ref="F5063:F5065"/>
    <mergeCell ref="F5066:F5067"/>
    <mergeCell ref="F5058:F5059"/>
    <mergeCell ref="F5056:F5057"/>
    <mergeCell ref="F4951:F4953"/>
    <mergeCell ref="F4971:F4973"/>
    <mergeCell ref="F4954:F4956"/>
    <mergeCell ref="F4974:F4975"/>
    <mergeCell ref="F4976:F4977"/>
    <mergeCell ref="F4978:F4979"/>
    <mergeCell ref="F4980:F4981"/>
    <mergeCell ref="F4982:F4983"/>
    <mergeCell ref="F4984:F4985"/>
    <mergeCell ref="F4986:F4987"/>
    <mergeCell ref="F4994:F4997"/>
    <mergeCell ref="F4988:F4990"/>
    <mergeCell ref="F4998:F5000"/>
    <mergeCell ref="F5030:F5031"/>
    <mergeCell ref="F5032:F5033"/>
    <mergeCell ref="F5034:F5035"/>
    <mergeCell ref="F5036:F5037"/>
    <mergeCell ref="F4991:F4993"/>
    <mergeCell ref="F5038:F5039"/>
    <mergeCell ref="F4253:F4254"/>
    <mergeCell ref="F4312:F4315"/>
    <mergeCell ref="F4812:F4813"/>
    <mergeCell ref="F4838:F4839"/>
    <mergeCell ref="F4840:F4841"/>
    <mergeCell ref="F4286:F4287"/>
    <mergeCell ref="F4288:F4289"/>
    <mergeCell ref="F4433:F4435"/>
    <mergeCell ref="F4436:F4437"/>
    <mergeCell ref="F4412:F4413"/>
    <mergeCell ref="F4358:F4360"/>
    <mergeCell ref="F4790:F4793"/>
    <mergeCell ref="F4796:F4798"/>
    <mergeCell ref="F4758:F4759"/>
    <mergeCell ref="F4794:F4795"/>
    <mergeCell ref="F4762:F4763"/>
    <mergeCell ref="F4764:F4766"/>
    <mergeCell ref="F4767:F4769"/>
    <mergeCell ref="F4770:F4772"/>
    <mergeCell ref="F4773:F4774"/>
    <mergeCell ref="F4427:F4428"/>
    <mergeCell ref="F4301:F4303"/>
    <mergeCell ref="F4316:F4318"/>
    <mergeCell ref="F4319:F4321"/>
    <mergeCell ref="F4310:F4311"/>
    <mergeCell ref="F4290:F4294"/>
    <mergeCell ref="F4295:F4298"/>
    <mergeCell ref="F4306:F4309"/>
    <mergeCell ref="F4274:F4275"/>
    <mergeCell ref="F4409:F4411"/>
    <mergeCell ref="F4394:F4395"/>
    <mergeCell ref="F4399:F4401"/>
    <mergeCell ref="F4043:F4044"/>
    <mergeCell ref="F4045:F4048"/>
    <mergeCell ref="F4166:F4168"/>
    <mergeCell ref="F4169:F4171"/>
    <mergeCell ref="F4209:F4210"/>
    <mergeCell ref="F4211:F4212"/>
    <mergeCell ref="F4143:F4144"/>
    <mergeCell ref="F4135:F4136"/>
    <mergeCell ref="F4193:F4194"/>
    <mergeCell ref="F4195:F4196"/>
    <mergeCell ref="F4163:F4165"/>
    <mergeCell ref="F4123:F4124"/>
    <mergeCell ref="F4125:F4126"/>
    <mergeCell ref="F4127:F4128"/>
    <mergeCell ref="F4129:F4130"/>
    <mergeCell ref="F4221:F4222"/>
    <mergeCell ref="F4223:F4224"/>
    <mergeCell ref="F4113:F4114"/>
    <mergeCell ref="F4137:F4138"/>
    <mergeCell ref="F4095:F4096"/>
    <mergeCell ref="F4097:F4098"/>
    <mergeCell ref="F4091:F4092"/>
    <mergeCell ref="F4093:F4094"/>
    <mergeCell ref="F4133:F4134"/>
    <mergeCell ref="F4145:F4146"/>
    <mergeCell ref="F4147:F4148"/>
    <mergeCell ref="F4149:F4150"/>
    <mergeCell ref="F4131:F4132"/>
    <mergeCell ref="F4109:F4110"/>
    <mergeCell ref="F4103:F4104"/>
    <mergeCell ref="F4155:F4156"/>
    <mergeCell ref="F4157:F4160"/>
    <mergeCell ref="F4241:F4243"/>
    <mergeCell ref="F4205:F4208"/>
    <mergeCell ref="F4153:F4154"/>
    <mergeCell ref="F4006:F4007"/>
    <mergeCell ref="F4002:F4003"/>
    <mergeCell ref="F4804:F4805"/>
    <mergeCell ref="F4802:F4803"/>
    <mergeCell ref="F4806:F4807"/>
    <mergeCell ref="F4831:F4833"/>
    <mergeCell ref="F4429:F4430"/>
    <mergeCell ref="F4431:F4432"/>
    <mergeCell ref="F4376:F4377"/>
    <mergeCell ref="F4049:F4052"/>
    <mergeCell ref="F4215:F4218"/>
    <mergeCell ref="F4117:F4118"/>
    <mergeCell ref="F4115:F4116"/>
    <mergeCell ref="F4119:F4120"/>
    <mergeCell ref="F4121:F4122"/>
    <mergeCell ref="F4172:F4174"/>
    <mergeCell ref="F4175:F4178"/>
    <mergeCell ref="F4179:F4182"/>
    <mergeCell ref="F4191:F4192"/>
    <mergeCell ref="F4189:F4190"/>
    <mergeCell ref="F4185:F4186"/>
    <mergeCell ref="F4139:F4140"/>
    <mergeCell ref="F4141:F4142"/>
    <mergeCell ref="F4111:F4112"/>
    <mergeCell ref="F4244:F4246"/>
    <mergeCell ref="F4247:F4250"/>
    <mergeCell ref="F4264:F4267"/>
    <mergeCell ref="F4251:F4252"/>
    <mergeCell ref="F4227:F4228"/>
    <mergeCell ref="F4233:F4234"/>
    <mergeCell ref="F4151:F4152"/>
    <mergeCell ref="F3861:F3864"/>
    <mergeCell ref="F3970:F3973"/>
    <mergeCell ref="F3990:F3992"/>
    <mergeCell ref="F3988:F3989"/>
    <mergeCell ref="F3993:F3994"/>
    <mergeCell ref="F4008:F4009"/>
    <mergeCell ref="F4010:F4011"/>
    <mergeCell ref="F4004:F4005"/>
    <mergeCell ref="F4012:F4015"/>
    <mergeCell ref="F3950:F3951"/>
    <mergeCell ref="F3962:F3965"/>
    <mergeCell ref="F3952:F3953"/>
    <mergeCell ref="F3954:F3955"/>
    <mergeCell ref="F3956:F3958"/>
    <mergeCell ref="F3959:F3961"/>
    <mergeCell ref="F4085:F4086"/>
    <mergeCell ref="F4219:F4220"/>
    <mergeCell ref="F4083:F4084"/>
    <mergeCell ref="F3865:F3866"/>
    <mergeCell ref="F3867:F3868"/>
    <mergeCell ref="F3869:F3870"/>
    <mergeCell ref="F3871:F3872"/>
    <mergeCell ref="F3873:F3874"/>
    <mergeCell ref="F3875:F3876"/>
    <mergeCell ref="F3877:F3878"/>
    <mergeCell ref="F4105:F4106"/>
    <mergeCell ref="F4107:F4108"/>
    <mergeCell ref="F3995:F3996"/>
    <mergeCell ref="F3997:F3998"/>
    <mergeCell ref="F3999:F4001"/>
    <mergeCell ref="F4032:F4033"/>
    <mergeCell ref="F3858:F3860"/>
    <mergeCell ref="F3881:F3882"/>
    <mergeCell ref="F3883:F3886"/>
    <mergeCell ref="F4089:F4090"/>
    <mergeCell ref="F4071:F4073"/>
    <mergeCell ref="F4074:F4076"/>
    <mergeCell ref="F3915:F3916"/>
    <mergeCell ref="F3917:F3918"/>
    <mergeCell ref="F3919:F3920"/>
    <mergeCell ref="F3921:F3922"/>
    <mergeCell ref="F3923:F3924"/>
    <mergeCell ref="F3925:F3926"/>
    <mergeCell ref="F3927:F3928"/>
    <mergeCell ref="F3879:F3880"/>
    <mergeCell ref="F3946:F3947"/>
    <mergeCell ref="F3948:F3949"/>
    <mergeCell ref="F4053:F4056"/>
    <mergeCell ref="F4067:F4070"/>
    <mergeCell ref="F4077:F4078"/>
    <mergeCell ref="F4079:F4080"/>
    <mergeCell ref="F4081:F4082"/>
    <mergeCell ref="F4016:F4019"/>
    <mergeCell ref="F4022:F4023"/>
    <mergeCell ref="F4024:F4025"/>
    <mergeCell ref="F4026:F4027"/>
    <mergeCell ref="F4028:F4029"/>
    <mergeCell ref="F4034:F4035"/>
    <mergeCell ref="F4057:F4060"/>
    <mergeCell ref="F4061:F4063"/>
    <mergeCell ref="F4064:F4066"/>
    <mergeCell ref="F4036:F4038"/>
    <mergeCell ref="F4345:F4346"/>
    <mergeCell ref="F4347:F4348"/>
    <mergeCell ref="F4349:F4350"/>
    <mergeCell ref="F3913:F3914"/>
    <mergeCell ref="F3887:F3890"/>
    <mergeCell ref="F3891:F3894"/>
    <mergeCell ref="F3895:F3898"/>
    <mergeCell ref="F3899:F3902"/>
    <mergeCell ref="F3903:F3906"/>
    <mergeCell ref="F3907:F3910"/>
    <mergeCell ref="F3911:F3912"/>
    <mergeCell ref="F3966:F3969"/>
    <mergeCell ref="F4030:F4031"/>
    <mergeCell ref="F4020:F4021"/>
    <mergeCell ref="F4039:F4040"/>
    <mergeCell ref="F4041:F4042"/>
    <mergeCell ref="F4099:F4100"/>
    <mergeCell ref="F4101:F4102"/>
    <mergeCell ref="F3974:F3975"/>
    <mergeCell ref="F3976:F3977"/>
    <mergeCell ref="F3978:F3979"/>
    <mergeCell ref="F3980:F3981"/>
    <mergeCell ref="F3982:F3983"/>
    <mergeCell ref="F3984:F3985"/>
    <mergeCell ref="F3986:F3987"/>
    <mergeCell ref="F4087:F4088"/>
    <mergeCell ref="F3929:F3930"/>
    <mergeCell ref="F3931:F3934"/>
    <mergeCell ref="F3935:F3938"/>
    <mergeCell ref="F3939:F3941"/>
    <mergeCell ref="F3942:F3943"/>
    <mergeCell ref="F3944:F3945"/>
    <mergeCell ref="F3796:F3797"/>
    <mergeCell ref="F3801:F3802"/>
    <mergeCell ref="F3803:F3804"/>
    <mergeCell ref="F3805:F3806"/>
    <mergeCell ref="F3807:F3808"/>
    <mergeCell ref="F3809:F3810"/>
    <mergeCell ref="F3811:F3812"/>
    <mergeCell ref="F3813:F3814"/>
    <mergeCell ref="F3815:F3816"/>
    <mergeCell ref="F3853:F3855"/>
    <mergeCell ref="F3817:F3820"/>
    <mergeCell ref="F3826:F3829"/>
    <mergeCell ref="F3846:F3847"/>
    <mergeCell ref="F3851:F3852"/>
    <mergeCell ref="F3856:F3857"/>
    <mergeCell ref="F3832:F3833"/>
    <mergeCell ref="F3834:F3835"/>
    <mergeCell ref="F3836:F3837"/>
    <mergeCell ref="F3838:F3839"/>
    <mergeCell ref="F3840:F3841"/>
    <mergeCell ref="F3842:F3843"/>
    <mergeCell ref="F3844:F3845"/>
    <mergeCell ref="F3821:F3823"/>
    <mergeCell ref="F3824:F3825"/>
    <mergeCell ref="F3830:F3831"/>
    <mergeCell ref="F3848:F3850"/>
    <mergeCell ref="F3798:F3800"/>
    <mergeCell ref="F3607:F3608"/>
    <mergeCell ref="F3705:F3706"/>
    <mergeCell ref="F3707:F3708"/>
    <mergeCell ref="F3709:F3710"/>
    <mergeCell ref="F3711:F3712"/>
    <mergeCell ref="F3713:F3714"/>
    <mergeCell ref="F3715:F3716"/>
    <mergeCell ref="F3717:F3718"/>
    <mergeCell ref="F3719:F3720"/>
    <mergeCell ref="F3721:F3722"/>
    <mergeCell ref="F3609:F3613"/>
    <mergeCell ref="F3702:F3704"/>
    <mergeCell ref="F3637:F3639"/>
    <mergeCell ref="F3640:F3641"/>
    <mergeCell ref="F3635:F3636"/>
    <mergeCell ref="F3642:F3643"/>
    <mergeCell ref="F3644:F3645"/>
    <mergeCell ref="F3646:F3647"/>
    <mergeCell ref="F3648:F3649"/>
    <mergeCell ref="F3650:F3651"/>
    <mergeCell ref="F3652:F3653"/>
    <mergeCell ref="F3654:F3655"/>
    <mergeCell ref="F3656:F3657"/>
    <mergeCell ref="F3658:F3659"/>
    <mergeCell ref="F3660:F3661"/>
    <mergeCell ref="F3662:F3663"/>
    <mergeCell ref="F3630:F3632"/>
    <mergeCell ref="F3633:F3634"/>
    <mergeCell ref="F3664:F3665"/>
    <mergeCell ref="F3666:F3667"/>
    <mergeCell ref="F3674:F3675"/>
    <mergeCell ref="F3676:F3677"/>
    <mergeCell ref="F3794:F3795"/>
    <mergeCell ref="F3668:F3669"/>
    <mergeCell ref="F3670:F3671"/>
    <mergeCell ref="F3528:F3529"/>
    <mergeCell ref="F3530:F3531"/>
    <mergeCell ref="F3532:F3533"/>
    <mergeCell ref="F3534:F3535"/>
    <mergeCell ref="F3536:F3537"/>
    <mergeCell ref="F3548:F3549"/>
    <mergeCell ref="F3550:F3551"/>
    <mergeCell ref="F3552:F3553"/>
    <mergeCell ref="F3614:F3615"/>
    <mergeCell ref="F3616:F3617"/>
    <mergeCell ref="F3618:F3619"/>
    <mergeCell ref="F3620:F3621"/>
    <mergeCell ref="F3622:F3623"/>
    <mergeCell ref="F3624:F3625"/>
    <mergeCell ref="F3626:F3627"/>
    <mergeCell ref="F3628:F3629"/>
    <mergeCell ref="F3564:F3568"/>
    <mergeCell ref="F3569:F3573"/>
    <mergeCell ref="F3579:F3581"/>
    <mergeCell ref="F3586:F3587"/>
    <mergeCell ref="F3588:F3589"/>
    <mergeCell ref="F3590:F3591"/>
    <mergeCell ref="F3592:F3593"/>
    <mergeCell ref="F3594:F3595"/>
    <mergeCell ref="F3596:F3597"/>
    <mergeCell ref="F3598:F3599"/>
    <mergeCell ref="F3600:F3601"/>
    <mergeCell ref="F3554:F3555"/>
    <mergeCell ref="F3556:F3557"/>
    <mergeCell ref="F3558:F3559"/>
    <mergeCell ref="F3560:F3561"/>
    <mergeCell ref="F3546:F3547"/>
    <mergeCell ref="F3489:F3491"/>
    <mergeCell ref="F3492:F3494"/>
    <mergeCell ref="F3495:F3497"/>
    <mergeCell ref="F3498:F3500"/>
    <mergeCell ref="F3501:F3503"/>
    <mergeCell ref="F3504:F3506"/>
    <mergeCell ref="F3507:F3509"/>
    <mergeCell ref="F3582:F3585"/>
    <mergeCell ref="F3562:F3563"/>
    <mergeCell ref="F3469:F3470"/>
    <mergeCell ref="F3471:F3472"/>
    <mergeCell ref="F3473:F3474"/>
    <mergeCell ref="F3475:F3476"/>
    <mergeCell ref="F3477:F3478"/>
    <mergeCell ref="F3479:F3480"/>
    <mergeCell ref="F3481:F3482"/>
    <mergeCell ref="F3483:F3484"/>
    <mergeCell ref="F3485:F3486"/>
    <mergeCell ref="F3487:F3488"/>
    <mergeCell ref="F3544:F3545"/>
    <mergeCell ref="F3526:F3527"/>
    <mergeCell ref="F3510:F3511"/>
    <mergeCell ref="F3512:F3513"/>
    <mergeCell ref="F3514:F3515"/>
    <mergeCell ref="F3516:F3517"/>
    <mergeCell ref="F3518:F3519"/>
    <mergeCell ref="F3520:F3521"/>
    <mergeCell ref="F3522:F3523"/>
    <mergeCell ref="F3524:F3525"/>
    <mergeCell ref="F3538:F3539"/>
    <mergeCell ref="F3540:F3541"/>
    <mergeCell ref="F3542:F3543"/>
    <mergeCell ref="F3453:F3454"/>
    <mergeCell ref="F3455:F3456"/>
    <mergeCell ref="F3346:F3348"/>
    <mergeCell ref="F3349:F3351"/>
    <mergeCell ref="F3389:F3391"/>
    <mergeCell ref="F3425:F3426"/>
    <mergeCell ref="F3427:F3428"/>
    <mergeCell ref="F3429:F3430"/>
    <mergeCell ref="F3431:F3432"/>
    <mergeCell ref="F3457:F3458"/>
    <mergeCell ref="F3467:F3468"/>
    <mergeCell ref="F3459:F3461"/>
    <mergeCell ref="F3462:F3463"/>
    <mergeCell ref="F3464:F3466"/>
    <mergeCell ref="F3375:F3376"/>
    <mergeCell ref="F3377:F3379"/>
    <mergeCell ref="F3380:F3381"/>
    <mergeCell ref="F3382:F3383"/>
    <mergeCell ref="F3384:F3385"/>
    <mergeCell ref="F3386:F3388"/>
    <mergeCell ref="F3441:F3442"/>
    <mergeCell ref="F3443:F3444"/>
    <mergeCell ref="F3445:F3446"/>
    <mergeCell ref="F3447:F3448"/>
    <mergeCell ref="F3449:F3450"/>
    <mergeCell ref="F3451:F3452"/>
    <mergeCell ref="F3394:F3396"/>
    <mergeCell ref="F3397:F3399"/>
    <mergeCell ref="F3437:F3440"/>
    <mergeCell ref="F3423:F3424"/>
    <mergeCell ref="F3420:F3422"/>
    <mergeCell ref="F3392:F3393"/>
    <mergeCell ref="F3352:F3355"/>
    <mergeCell ref="F3400:F3401"/>
    <mergeCell ref="F3402:F3403"/>
    <mergeCell ref="F3404:F3405"/>
    <mergeCell ref="F3406:F3407"/>
    <mergeCell ref="F3408:F3409"/>
    <mergeCell ref="F3410:F3411"/>
    <mergeCell ref="F3416:F3417"/>
    <mergeCell ref="F3418:F3419"/>
    <mergeCell ref="F3435:F3436"/>
    <mergeCell ref="F3433:F3434"/>
    <mergeCell ref="F3412:F3413"/>
    <mergeCell ref="F3414:F3415"/>
    <mergeCell ref="F3356:F3358"/>
    <mergeCell ref="F3359:F3360"/>
    <mergeCell ref="F3361:F3362"/>
    <mergeCell ref="F3363:F3364"/>
    <mergeCell ref="F3365:F3366"/>
    <mergeCell ref="F3367:F3368"/>
    <mergeCell ref="F3369:F3370"/>
    <mergeCell ref="F3371:F3372"/>
    <mergeCell ref="F3373:F3374"/>
    <mergeCell ref="F3342:F3343"/>
    <mergeCell ref="F3344:F3345"/>
    <mergeCell ref="F3286:F3287"/>
    <mergeCell ref="F3288:F3289"/>
    <mergeCell ref="F3290:F3291"/>
    <mergeCell ref="F3292:F3293"/>
    <mergeCell ref="F3323:F3324"/>
    <mergeCell ref="F3317:F3318"/>
    <mergeCell ref="F3325:F3326"/>
    <mergeCell ref="F3319:F3322"/>
    <mergeCell ref="F3299:F3300"/>
    <mergeCell ref="F3296:F3298"/>
    <mergeCell ref="F3294:F3295"/>
    <mergeCell ref="F3315:F3316"/>
    <mergeCell ref="F3280:F3281"/>
    <mergeCell ref="F3301:F3302"/>
    <mergeCell ref="F3303:F3304"/>
    <mergeCell ref="F3305:F3306"/>
    <mergeCell ref="F3307:F3308"/>
    <mergeCell ref="F3309:F3310"/>
    <mergeCell ref="F3282:F3283"/>
    <mergeCell ref="F3284:F3285"/>
    <mergeCell ref="F3327:F3329"/>
    <mergeCell ref="F3330:F3331"/>
    <mergeCell ref="F3332:F3333"/>
    <mergeCell ref="F2577:F2578"/>
    <mergeCell ref="F2579:F2580"/>
    <mergeCell ref="F2581:F2582"/>
    <mergeCell ref="F2583:F2584"/>
    <mergeCell ref="F2585:F2586"/>
    <mergeCell ref="F2432:F2433"/>
    <mergeCell ref="F2436:F2437"/>
    <mergeCell ref="F2438:F2441"/>
    <mergeCell ref="F2557:F2558"/>
    <mergeCell ref="F2559:F2560"/>
    <mergeCell ref="F2565:F2567"/>
    <mergeCell ref="F2551:F2552"/>
    <mergeCell ref="F2553:F2554"/>
    <mergeCell ref="F2555:F2556"/>
    <mergeCell ref="F2547:F2548"/>
    <mergeCell ref="F2474:F2475"/>
    <mergeCell ref="F2478:F2481"/>
    <mergeCell ref="F2482:F2484"/>
    <mergeCell ref="F2487:F2488"/>
    <mergeCell ref="F2489:F2490"/>
    <mergeCell ref="F2491:F2492"/>
    <mergeCell ref="F2493:F2494"/>
    <mergeCell ref="F2495:F2496"/>
    <mergeCell ref="F2497:F2498"/>
    <mergeCell ref="F2462:F2463"/>
    <mergeCell ref="F2466:F2467"/>
    <mergeCell ref="F2464:F2465"/>
    <mergeCell ref="F2456:F2457"/>
    <mergeCell ref="F2485:F2486"/>
    <mergeCell ref="F2575:F2576"/>
    <mergeCell ref="F2573:F2574"/>
    <mergeCell ref="F2409:F2413"/>
    <mergeCell ref="F2422:F2423"/>
    <mergeCell ref="F2503:F2504"/>
    <mergeCell ref="F2450:F2451"/>
    <mergeCell ref="F2460:F2461"/>
    <mergeCell ref="F2458:F2459"/>
    <mergeCell ref="F2424:F2425"/>
    <mergeCell ref="F2416:F2417"/>
    <mergeCell ref="F2418:F2419"/>
    <mergeCell ref="F2420:F2421"/>
    <mergeCell ref="F2452:F2453"/>
    <mergeCell ref="F2454:F2455"/>
    <mergeCell ref="F2505:F2507"/>
    <mergeCell ref="F2508:F2510"/>
    <mergeCell ref="F2511:F2513"/>
    <mergeCell ref="F2568:F2569"/>
    <mergeCell ref="F2517:F2520"/>
    <mergeCell ref="F2521:F2524"/>
    <mergeCell ref="F2525:F2528"/>
    <mergeCell ref="F2529:F2532"/>
    <mergeCell ref="F2533:F2536"/>
    <mergeCell ref="F2537:F2540"/>
    <mergeCell ref="F2541:F2544"/>
    <mergeCell ref="F2430:F2431"/>
    <mergeCell ref="F2426:F2427"/>
    <mergeCell ref="F2428:F2429"/>
    <mergeCell ref="F2445:F2447"/>
    <mergeCell ref="F2174:F2175"/>
    <mergeCell ref="F2176:F2177"/>
    <mergeCell ref="F2185:F2187"/>
    <mergeCell ref="F2188:F2189"/>
    <mergeCell ref="F2234:F2235"/>
    <mergeCell ref="F2200:F2201"/>
    <mergeCell ref="F2204:F2205"/>
    <mergeCell ref="F2206:F2207"/>
    <mergeCell ref="F2190:F2191"/>
    <mergeCell ref="F2328:F2330"/>
    <mergeCell ref="F2331:F2333"/>
    <mergeCell ref="F2343:F2344"/>
    <mergeCell ref="F2345:F2346"/>
    <mergeCell ref="F2349:F2350"/>
    <mergeCell ref="F2351:F2352"/>
    <mergeCell ref="F2353:F2354"/>
    <mergeCell ref="F2216:F2217"/>
    <mergeCell ref="F2218:F2220"/>
    <mergeCell ref="F2230:F2231"/>
    <mergeCell ref="F2221:F2222"/>
    <mergeCell ref="F2223:F2224"/>
    <mergeCell ref="F2225:F2226"/>
    <mergeCell ref="F2227:F2229"/>
    <mergeCell ref="F2303:F2305"/>
    <mergeCell ref="F2295:F2297"/>
    <mergeCell ref="F2397:F2398"/>
    <mergeCell ref="F2399:F2400"/>
    <mergeCell ref="F2374:F2376"/>
    <mergeCell ref="F2265:F2266"/>
    <mergeCell ref="F2289:F2291"/>
    <mergeCell ref="F2341:F2342"/>
    <mergeCell ref="F2611:F2615"/>
    <mergeCell ref="F2561:F2562"/>
    <mergeCell ref="F2563:F2564"/>
    <mergeCell ref="F2570:F2572"/>
    <mergeCell ref="F2514:F2516"/>
    <mergeCell ref="F2603:F2605"/>
    <mergeCell ref="F2597:F2598"/>
    <mergeCell ref="F2594:F2596"/>
    <mergeCell ref="F2606:F2610"/>
    <mergeCell ref="F2442:F2444"/>
    <mergeCell ref="F2499:F2500"/>
    <mergeCell ref="F2501:F2502"/>
    <mergeCell ref="F2468:F2470"/>
    <mergeCell ref="F2471:F2473"/>
    <mergeCell ref="F2549:F2550"/>
    <mergeCell ref="F2448:F2449"/>
    <mergeCell ref="F2434:F2435"/>
    <mergeCell ref="F2591:F2593"/>
    <mergeCell ref="F2406:F2408"/>
    <mergeCell ref="F2368:F2370"/>
    <mergeCell ref="F2298:F2299"/>
    <mergeCell ref="F2357:F2358"/>
    <mergeCell ref="F2363:F2364"/>
    <mergeCell ref="F2365:F2367"/>
    <mergeCell ref="F2389:F2390"/>
    <mergeCell ref="F2476:F2477"/>
    <mergeCell ref="F2383:F2384"/>
    <mergeCell ref="F2414:F2415"/>
    <mergeCell ref="F2338:F2340"/>
    <mergeCell ref="F2319:F2321"/>
    <mergeCell ref="F2322:F2323"/>
    <mergeCell ref="F2324:F2325"/>
    <mergeCell ref="F2334:F2335"/>
    <mergeCell ref="F2336:F2337"/>
    <mergeCell ref="F2253:F2254"/>
    <mergeCell ref="F2255:F2256"/>
    <mergeCell ref="F2257:F2258"/>
    <mergeCell ref="F2259:F2260"/>
    <mergeCell ref="F2377:F2378"/>
    <mergeCell ref="F2379:F2382"/>
    <mergeCell ref="F2385:F2386"/>
    <mergeCell ref="F2359:F2360"/>
    <mergeCell ref="F2387:F2388"/>
    <mergeCell ref="F2300:F2302"/>
    <mergeCell ref="F2326:F2327"/>
    <mergeCell ref="F2317:F2318"/>
    <mergeCell ref="F2371:F2373"/>
    <mergeCell ref="F2306:F2310"/>
    <mergeCell ref="F2391:F2392"/>
    <mergeCell ref="F2393:F2394"/>
    <mergeCell ref="F2395:F2396"/>
    <mergeCell ref="F2315:F2316"/>
    <mergeCell ref="F2311:F2314"/>
    <mergeCell ref="F2292:F2294"/>
    <mergeCell ref="F2269:F2270"/>
    <mergeCell ref="F2271:F2272"/>
    <mergeCell ref="F2273:F2274"/>
    <mergeCell ref="F2361:F2362"/>
    <mergeCell ref="F2128:F2129"/>
    <mergeCell ref="F2168:F2169"/>
    <mergeCell ref="F2166:F2167"/>
    <mergeCell ref="F2170:F2171"/>
    <mergeCell ref="F2283:F2284"/>
    <mergeCell ref="F2285:F2286"/>
    <mergeCell ref="F2287:F2288"/>
    <mergeCell ref="F2275:F2276"/>
    <mergeCell ref="F2267:F2268"/>
    <mergeCell ref="F2236:F2237"/>
    <mergeCell ref="F2238:F2240"/>
    <mergeCell ref="F2261:F2262"/>
    <mergeCell ref="F2263:F2264"/>
    <mergeCell ref="F2247:F2248"/>
    <mergeCell ref="F2249:F2250"/>
    <mergeCell ref="F2243:F2244"/>
    <mergeCell ref="F2130:F2131"/>
    <mergeCell ref="F2192:F2194"/>
    <mergeCell ref="F2195:F2196"/>
    <mergeCell ref="F2178:F2180"/>
    <mergeCell ref="F2181:F2182"/>
    <mergeCell ref="F2183:F2184"/>
    <mergeCell ref="F2245:F2246"/>
    <mergeCell ref="F2232:F2233"/>
    <mergeCell ref="F2210:F2211"/>
    <mergeCell ref="F2212:F2213"/>
    <mergeCell ref="F2214:F2215"/>
    <mergeCell ref="F2251:F2252"/>
    <mergeCell ref="F2202:F2203"/>
    <mergeCell ref="F2241:F2242"/>
    <mergeCell ref="F2208:F2209"/>
    <mergeCell ref="F2172:F2173"/>
    <mergeCell ref="F2355:F2356"/>
    <mergeCell ref="F2404:F2405"/>
    <mergeCell ref="F2347:F2348"/>
    <mergeCell ref="F2277:F2280"/>
    <mergeCell ref="F2281:F2282"/>
    <mergeCell ref="F2100:F2103"/>
    <mergeCell ref="F2104:F2107"/>
    <mergeCell ref="F2108:F2111"/>
    <mergeCell ref="F2112:F2115"/>
    <mergeCell ref="F2116:F2117"/>
    <mergeCell ref="F2118:F2119"/>
    <mergeCell ref="F2120:F2121"/>
    <mergeCell ref="F2122:F2123"/>
    <mergeCell ref="F2124:F2125"/>
    <mergeCell ref="F2126:F2127"/>
    <mergeCell ref="F2164:F2165"/>
    <mergeCell ref="F2144:F2146"/>
    <mergeCell ref="F2149:F2151"/>
    <mergeCell ref="F2152:F2154"/>
    <mergeCell ref="F2157:F2159"/>
    <mergeCell ref="F2160:F2161"/>
    <mergeCell ref="F2147:F2148"/>
    <mergeCell ref="F2155:F2156"/>
    <mergeCell ref="F2162:F2163"/>
    <mergeCell ref="F2142:F2143"/>
    <mergeCell ref="F2138:F2139"/>
    <mergeCell ref="F2140:F2141"/>
    <mergeCell ref="F2132:F2133"/>
    <mergeCell ref="F2134:F2135"/>
    <mergeCell ref="F2197:F2199"/>
    <mergeCell ref="F2401:F2403"/>
    <mergeCell ref="F2136:F2137"/>
    <mergeCell ref="F1688:F1689"/>
    <mergeCell ref="F1690:F1691"/>
    <mergeCell ref="F1692:F1693"/>
    <mergeCell ref="F2063:F2065"/>
    <mergeCell ref="F2060:F2062"/>
    <mergeCell ref="F2057:F2059"/>
    <mergeCell ref="F2094:F2096"/>
    <mergeCell ref="F2097:F2099"/>
    <mergeCell ref="F2025:F2026"/>
    <mergeCell ref="F2050:F2051"/>
    <mergeCell ref="F2052:F2053"/>
    <mergeCell ref="F2048:F2049"/>
    <mergeCell ref="F2027:F2029"/>
    <mergeCell ref="F2030:F2031"/>
    <mergeCell ref="F2032:F2034"/>
    <mergeCell ref="F2046:F2047"/>
    <mergeCell ref="F2072:F2074"/>
    <mergeCell ref="F2069:F2071"/>
    <mergeCell ref="F2066:F2068"/>
    <mergeCell ref="F2082:F2085"/>
    <mergeCell ref="F2086:F2089"/>
    <mergeCell ref="F2090:F2093"/>
    <mergeCell ref="F2075:F2077"/>
    <mergeCell ref="F2078:F2081"/>
    <mergeCell ref="F2041:F2043"/>
    <mergeCell ref="F2035:F2036"/>
    <mergeCell ref="F2037:F2038"/>
    <mergeCell ref="F2039:F2040"/>
    <mergeCell ref="F2044:F2045"/>
    <mergeCell ref="F2054:F2056"/>
    <mergeCell ref="F1744:F1746"/>
    <mergeCell ref="F1759:F1760"/>
    <mergeCell ref="F1680:F1681"/>
    <mergeCell ref="F1728:F1729"/>
    <mergeCell ref="F1682:F1683"/>
    <mergeCell ref="F1684:F1685"/>
    <mergeCell ref="F1686:F1687"/>
    <mergeCell ref="F1650:F1652"/>
    <mergeCell ref="F1879:F1880"/>
    <mergeCell ref="F1881:F1883"/>
    <mergeCell ref="F1925:F1926"/>
    <mergeCell ref="F1927:F1928"/>
    <mergeCell ref="F1929:F1930"/>
    <mergeCell ref="F1931:F1932"/>
    <mergeCell ref="F1933:F1934"/>
    <mergeCell ref="F1892:F1893"/>
    <mergeCell ref="F1894:F1895"/>
    <mergeCell ref="F1896:F1897"/>
    <mergeCell ref="F1898:F1899"/>
    <mergeCell ref="F1900:F1901"/>
    <mergeCell ref="F1902:F1903"/>
    <mergeCell ref="F1904:F1906"/>
    <mergeCell ref="F1907:F1909"/>
    <mergeCell ref="F1912:F1915"/>
    <mergeCell ref="F1910:F1911"/>
    <mergeCell ref="F1890:F1891"/>
    <mergeCell ref="F1916:F1918"/>
    <mergeCell ref="F1919:F1920"/>
    <mergeCell ref="F1921:F1922"/>
    <mergeCell ref="F1884:F1886"/>
    <mergeCell ref="F1887:F1889"/>
    <mergeCell ref="F1867:F1868"/>
    <mergeCell ref="F1869:F1870"/>
    <mergeCell ref="F1871:F1872"/>
    <mergeCell ref="F1567:F1568"/>
    <mergeCell ref="F1569:F1570"/>
    <mergeCell ref="F1546:F1548"/>
    <mergeCell ref="F1541:F1543"/>
    <mergeCell ref="F1538:F1540"/>
    <mergeCell ref="F1638:F1639"/>
    <mergeCell ref="F1646:F1647"/>
    <mergeCell ref="F1791:F1792"/>
    <mergeCell ref="F1833:F1835"/>
    <mergeCell ref="F1842:F1844"/>
    <mergeCell ref="F1817:F1818"/>
    <mergeCell ref="F1836:F1837"/>
    <mergeCell ref="F1838:F1841"/>
    <mergeCell ref="F1831:F1832"/>
    <mergeCell ref="F1699:F1700"/>
    <mergeCell ref="F1701:F1702"/>
    <mergeCell ref="F1703:F1704"/>
    <mergeCell ref="F1705:F1706"/>
    <mergeCell ref="F1707:F1708"/>
    <mergeCell ref="F1709:F1710"/>
    <mergeCell ref="F1711:F1712"/>
    <mergeCell ref="F1765:F1767"/>
    <mergeCell ref="F1740:F1741"/>
    <mergeCell ref="F1726:F1727"/>
    <mergeCell ref="F1720:F1722"/>
    <mergeCell ref="F1723:F1725"/>
    <mergeCell ref="F1713:F1716"/>
    <mergeCell ref="F1648:F1649"/>
    <mergeCell ref="F1734:F1735"/>
    <mergeCell ref="F1642:F1643"/>
    <mergeCell ref="F1644:F1645"/>
    <mergeCell ref="F1640:F1641"/>
    <mergeCell ref="F1577:F1580"/>
    <mergeCell ref="F1581:F1582"/>
    <mergeCell ref="F1585:F1586"/>
    <mergeCell ref="F1587:F1588"/>
    <mergeCell ref="F1589:F1590"/>
    <mergeCell ref="F1591:F1592"/>
    <mergeCell ref="F1610:F1612"/>
    <mergeCell ref="F1633:F1635"/>
    <mergeCell ref="F1607:F1609"/>
    <mergeCell ref="F1593:F1595"/>
    <mergeCell ref="F1613:F1614"/>
    <mergeCell ref="F1627:F1629"/>
    <mergeCell ref="F1630:F1632"/>
    <mergeCell ref="F1615:F1616"/>
    <mergeCell ref="F1617:F1618"/>
    <mergeCell ref="F1619:F1620"/>
    <mergeCell ref="F1621:F1622"/>
    <mergeCell ref="F1623:F1624"/>
    <mergeCell ref="F1625:F1626"/>
    <mergeCell ref="F1636:F1637"/>
    <mergeCell ref="F1470:F1474"/>
    <mergeCell ref="F1475:F1476"/>
    <mergeCell ref="F1477:F1478"/>
    <mergeCell ref="F1596:F1597"/>
    <mergeCell ref="F1573:F1574"/>
    <mergeCell ref="F1583:F1584"/>
    <mergeCell ref="F1598:F1600"/>
    <mergeCell ref="F1601:F1603"/>
    <mergeCell ref="F1604:F1606"/>
    <mergeCell ref="F1511:F1512"/>
    <mergeCell ref="F1513:F1514"/>
    <mergeCell ref="F1500:F1501"/>
    <mergeCell ref="F1502:F1504"/>
    <mergeCell ref="F1520:F1524"/>
    <mergeCell ref="F1528:F1529"/>
    <mergeCell ref="F1530:F1531"/>
    <mergeCell ref="F1532:F1533"/>
    <mergeCell ref="F1479:F1480"/>
    <mergeCell ref="F1481:F1482"/>
    <mergeCell ref="F1515:F1517"/>
    <mergeCell ref="F1483:F1485"/>
    <mergeCell ref="F1486:F1487"/>
    <mergeCell ref="F1488:F1489"/>
    <mergeCell ref="F1490:F1494"/>
    <mergeCell ref="F1495:F1496"/>
    <mergeCell ref="F1505:F1506"/>
    <mergeCell ref="F1497:F1499"/>
    <mergeCell ref="F1507:F1508"/>
    <mergeCell ref="F1509:F1510"/>
    <mergeCell ref="F1518:F1519"/>
    <mergeCell ref="F1575:F1576"/>
    <mergeCell ref="F1382:F1384"/>
    <mergeCell ref="F1385:F1387"/>
    <mergeCell ref="F1400:F1402"/>
    <mergeCell ref="F1341:F1343"/>
    <mergeCell ref="F1344:F1347"/>
    <mergeCell ref="F1388:F1389"/>
    <mergeCell ref="F1390:F1391"/>
    <mergeCell ref="F1392:F1393"/>
    <mergeCell ref="F1394:F1395"/>
    <mergeCell ref="F1364:F1367"/>
    <mergeCell ref="F1377:F1381"/>
    <mergeCell ref="F1351:F1352"/>
    <mergeCell ref="F1466:F1469"/>
    <mergeCell ref="F1453:F1455"/>
    <mergeCell ref="F1456:F1458"/>
    <mergeCell ref="F1459:F1460"/>
    <mergeCell ref="F1461:F1462"/>
    <mergeCell ref="F1463:F1465"/>
    <mergeCell ref="F1414:F1416"/>
    <mergeCell ref="F1417:F1418"/>
    <mergeCell ref="F1419:F1420"/>
    <mergeCell ref="F1421:F1422"/>
    <mergeCell ref="F1432:F1436"/>
    <mergeCell ref="F1423:F1425"/>
    <mergeCell ref="F1426:F1428"/>
    <mergeCell ref="F1429:F1431"/>
    <mergeCell ref="F1447:F1448"/>
    <mergeCell ref="F1449:F1450"/>
    <mergeCell ref="F1451:F1452"/>
    <mergeCell ref="F1437:F1438"/>
    <mergeCell ref="F1439:F1440"/>
    <mergeCell ref="F1441:F1442"/>
    <mergeCell ref="F1253:F1255"/>
    <mergeCell ref="F1242:F1243"/>
    <mergeCell ref="F1053:F1057"/>
    <mergeCell ref="F1070:F1072"/>
    <mergeCell ref="F1058:F1059"/>
    <mergeCell ref="F1060:F1061"/>
    <mergeCell ref="F1087:F1088"/>
    <mergeCell ref="F1102:F1105"/>
    <mergeCell ref="F1108:F1109"/>
    <mergeCell ref="F1110:F1111"/>
    <mergeCell ref="F1098:F1099"/>
    <mergeCell ref="F1085:F1086"/>
    <mergeCell ref="F1062:F1063"/>
    <mergeCell ref="F1150:F1151"/>
    <mergeCell ref="F1274:F1276"/>
    <mergeCell ref="F1303:F1304"/>
    <mergeCell ref="F1319:F1320"/>
    <mergeCell ref="F1317:F1318"/>
    <mergeCell ref="F1268:F1270"/>
    <mergeCell ref="F1250:F1252"/>
    <mergeCell ref="F1002:F1003"/>
    <mergeCell ref="F1016:F1017"/>
    <mergeCell ref="F1213:F1214"/>
    <mergeCell ref="F1198:F1200"/>
    <mergeCell ref="F1229:F1231"/>
    <mergeCell ref="F1223:F1225"/>
    <mergeCell ref="F1215:F1216"/>
    <mergeCell ref="F1168:F1169"/>
    <mergeCell ref="F1165:F1167"/>
    <mergeCell ref="F1152:F1155"/>
    <mergeCell ref="F1117:F1119"/>
    <mergeCell ref="F1120:F1122"/>
    <mergeCell ref="F1106:F1107"/>
    <mergeCell ref="F1125:F1126"/>
    <mergeCell ref="F1156:F1157"/>
    <mergeCell ref="F1066:F1067"/>
    <mergeCell ref="F1162:F1164"/>
    <mergeCell ref="F1170:F1171"/>
    <mergeCell ref="F1089:F1091"/>
    <mergeCell ref="F1172:F1173"/>
    <mergeCell ref="F1041:F1043"/>
    <mergeCell ref="F1018:F1020"/>
    <mergeCell ref="F1021:F1022"/>
    <mergeCell ref="F1023:F1025"/>
    <mergeCell ref="F1026:F1027"/>
    <mergeCell ref="F1028:F1030"/>
    <mergeCell ref="F1031:F1033"/>
    <mergeCell ref="F1034:F1036"/>
    <mergeCell ref="F1037:F1038"/>
    <mergeCell ref="F1039:F1040"/>
    <mergeCell ref="F1195:F1197"/>
    <mergeCell ref="F1179:F1181"/>
    <mergeCell ref="F873:F874"/>
    <mergeCell ref="F897:F901"/>
    <mergeCell ref="F902:F903"/>
    <mergeCell ref="F893:F896"/>
    <mergeCell ref="F891:F892"/>
    <mergeCell ref="F825:F828"/>
    <mergeCell ref="F829:F833"/>
    <mergeCell ref="F788:F789"/>
    <mergeCell ref="F790:F791"/>
    <mergeCell ref="F767:F768"/>
    <mergeCell ref="F765:F766"/>
    <mergeCell ref="F773:F775"/>
    <mergeCell ref="F771:F772"/>
    <mergeCell ref="F776:F778"/>
    <mergeCell ref="F779:F781"/>
    <mergeCell ref="F782:F783"/>
    <mergeCell ref="F784:F785"/>
    <mergeCell ref="F786:F787"/>
    <mergeCell ref="F769:F770"/>
    <mergeCell ref="F801:F803"/>
    <mergeCell ref="F867:F868"/>
    <mergeCell ref="F869:F870"/>
    <mergeCell ref="F815:F816"/>
    <mergeCell ref="F804:F808"/>
    <mergeCell ref="F809:F810"/>
    <mergeCell ref="F811:F812"/>
    <mergeCell ref="F813:F814"/>
    <mergeCell ref="F817:F818"/>
    <mergeCell ref="F875:F877"/>
    <mergeCell ref="F878:F880"/>
    <mergeCell ref="F881:F882"/>
    <mergeCell ref="F823:F824"/>
    <mergeCell ref="F598:F600"/>
    <mergeCell ref="F619:F620"/>
    <mergeCell ref="F727:F729"/>
    <mergeCell ref="F730:F731"/>
    <mergeCell ref="F732:F733"/>
    <mergeCell ref="F734:F735"/>
    <mergeCell ref="F736:F737"/>
    <mergeCell ref="F738:F740"/>
    <mergeCell ref="F741:F743"/>
    <mergeCell ref="F744:F746"/>
    <mergeCell ref="F797:F798"/>
    <mergeCell ref="F799:F800"/>
    <mergeCell ref="F864:F866"/>
    <mergeCell ref="F834:F838"/>
    <mergeCell ref="F860:F861"/>
    <mergeCell ref="F862:F863"/>
    <mergeCell ref="F839:F840"/>
    <mergeCell ref="F751:F754"/>
    <mergeCell ref="F819:F820"/>
    <mergeCell ref="F821:F822"/>
    <mergeCell ref="F792:F796"/>
    <mergeCell ref="F763:F764"/>
    <mergeCell ref="F841:F842"/>
    <mergeCell ref="F848:F849"/>
    <mergeCell ref="F846:F847"/>
    <mergeCell ref="F843:F845"/>
    <mergeCell ref="F850:F852"/>
    <mergeCell ref="F853:F855"/>
    <mergeCell ref="F856:F857"/>
    <mergeCell ref="F858:F859"/>
    <mergeCell ref="F755:F759"/>
    <mergeCell ref="F714:F716"/>
    <mergeCell ref="F721:F723"/>
    <mergeCell ref="F702:F703"/>
    <mergeCell ref="F704:F705"/>
    <mergeCell ref="F692:F693"/>
    <mergeCell ref="F694:F695"/>
    <mergeCell ref="F675:F676"/>
    <mergeCell ref="F677:F679"/>
    <mergeCell ref="F657:F658"/>
    <mergeCell ref="F700:F701"/>
    <mergeCell ref="F685:F686"/>
    <mergeCell ref="F667:F669"/>
    <mergeCell ref="F670:F671"/>
    <mergeCell ref="F687:F689"/>
    <mergeCell ref="F690:F691"/>
    <mergeCell ref="F682:F684"/>
    <mergeCell ref="F680:F681"/>
    <mergeCell ref="F706:F707"/>
    <mergeCell ref="F672:F674"/>
    <mergeCell ref="F665:F666"/>
    <mergeCell ref="F659:F661"/>
    <mergeCell ref="F662:F664"/>
    <mergeCell ref="F708:F709"/>
    <mergeCell ref="F717:F718"/>
    <mergeCell ref="F696:F699"/>
    <mergeCell ref="F452:F453"/>
    <mergeCell ref="F456:F458"/>
    <mergeCell ref="F459:F460"/>
    <mergeCell ref="F461:F463"/>
    <mergeCell ref="F464:F465"/>
    <mergeCell ref="F454:F455"/>
    <mergeCell ref="F477:F479"/>
    <mergeCell ref="F466:F467"/>
    <mergeCell ref="F55:F56"/>
    <mergeCell ref="F430:F431"/>
    <mergeCell ref="F25:F26"/>
    <mergeCell ref="F27:F28"/>
    <mergeCell ref="F29:F30"/>
    <mergeCell ref="F31:F32"/>
    <mergeCell ref="F33:F34"/>
    <mergeCell ref="F35:F36"/>
    <mergeCell ref="F449:F451"/>
    <mergeCell ref="F445:F446"/>
    <mergeCell ref="F428:F429"/>
    <mergeCell ref="F102:F103"/>
    <mergeCell ref="F104:F106"/>
    <mergeCell ref="F432:F433"/>
    <mergeCell ref="F37:F38"/>
    <mergeCell ref="F39:F40"/>
    <mergeCell ref="F153:F154"/>
    <mergeCell ref="F155:F156"/>
    <mergeCell ref="F157:F158"/>
    <mergeCell ref="F137:F138"/>
    <mergeCell ref="F139:F140"/>
    <mergeCell ref="F109:F110"/>
    <mergeCell ref="F127:F128"/>
    <mergeCell ref="F129:F130"/>
    <mergeCell ref="G5:L5"/>
    <mergeCell ref="A2:F2"/>
    <mergeCell ref="A3:F3"/>
    <mergeCell ref="A5:F5"/>
    <mergeCell ref="F72:F73"/>
    <mergeCell ref="F74:F75"/>
    <mergeCell ref="F76:F77"/>
    <mergeCell ref="F78:F79"/>
    <mergeCell ref="F80:F81"/>
    <mergeCell ref="F82:F83"/>
    <mergeCell ref="F84:F85"/>
    <mergeCell ref="F86:F87"/>
    <mergeCell ref="F88:F89"/>
    <mergeCell ref="F107:F108"/>
    <mergeCell ref="A4:F4"/>
    <mergeCell ref="F13:F14"/>
    <mergeCell ref="F9:F10"/>
    <mergeCell ref="F11:F12"/>
    <mergeCell ref="F43:F44"/>
    <mergeCell ref="F45:F46"/>
    <mergeCell ref="F47:F48"/>
    <mergeCell ref="F49:F50"/>
    <mergeCell ref="F51:F52"/>
    <mergeCell ref="F53:F54"/>
    <mergeCell ref="F131:F132"/>
    <mergeCell ref="F133:F134"/>
    <mergeCell ref="F135:F136"/>
    <mergeCell ref="F111:F112"/>
    <mergeCell ref="F113:F114"/>
    <mergeCell ref="F115:F116"/>
    <mergeCell ref="F159:F160"/>
    <mergeCell ref="F161:F162"/>
    <mergeCell ref="F15:F16"/>
    <mergeCell ref="F17:F18"/>
    <mergeCell ref="F19:F20"/>
    <mergeCell ref="F21:F22"/>
    <mergeCell ref="F23:F24"/>
    <mergeCell ref="F1412:F1413"/>
    <mergeCell ref="F1348:F1350"/>
    <mergeCell ref="F1398:F1399"/>
    <mergeCell ref="F1353:F1355"/>
    <mergeCell ref="F1356:F1357"/>
    <mergeCell ref="F1358:F1360"/>
    <mergeCell ref="F1361:F1363"/>
    <mergeCell ref="F1294:F1296"/>
    <mergeCell ref="F1291:F1293"/>
    <mergeCell ref="F57:F58"/>
    <mergeCell ref="F59:F61"/>
    <mergeCell ref="F62:F63"/>
    <mergeCell ref="F64:F65"/>
    <mergeCell ref="F66:F67"/>
    <mergeCell ref="F68:F69"/>
    <mergeCell ref="F70:F71"/>
    <mergeCell ref="F41:F42"/>
    <mergeCell ref="F145:F146"/>
    <mergeCell ref="F147:F148"/>
    <mergeCell ref="F123:F124"/>
    <mergeCell ref="F125:F126"/>
    <mergeCell ref="F187:F188"/>
    <mergeCell ref="F189:F190"/>
    <mergeCell ref="F191:F192"/>
    <mergeCell ref="F193:F194"/>
    <mergeCell ref="F195:F196"/>
    <mergeCell ref="F219:F220"/>
    <mergeCell ref="F221:F222"/>
    <mergeCell ref="F223:F224"/>
    <mergeCell ref="F225:F226"/>
    <mergeCell ref="F1232:F1233"/>
    <mergeCell ref="F1262:F1264"/>
    <mergeCell ref="F1244:F1246"/>
    <mergeCell ref="F1237:F1239"/>
    <mergeCell ref="F515:F517"/>
    <mergeCell ref="F513:F514"/>
    <mergeCell ref="F418:F419"/>
    <mergeCell ref="F420:F421"/>
    <mergeCell ref="F422:F423"/>
    <mergeCell ref="F426:F427"/>
    <mergeCell ref="F424:F425"/>
    <mergeCell ref="F1256:F1258"/>
    <mergeCell ref="F1259:F1261"/>
    <mergeCell ref="F521:F523"/>
    <mergeCell ref="F524:F525"/>
    <mergeCell ref="F526:F527"/>
    <mergeCell ref="F555:F557"/>
    <mergeCell ref="F641:F642"/>
    <mergeCell ref="F608:F609"/>
    <mergeCell ref="F601:F602"/>
    <mergeCell ref="F603:F605"/>
    <mergeCell ref="F724:F726"/>
    <mergeCell ref="F149:F150"/>
    <mergeCell ref="F151:F152"/>
    <mergeCell ref="F1234:F1236"/>
    <mergeCell ref="F1280:F1281"/>
    <mergeCell ref="F1761:F1762"/>
    <mergeCell ref="F1763:F1764"/>
    <mergeCell ref="F1789:F1790"/>
    <mergeCell ref="F1771:F1772"/>
    <mergeCell ref="F1773:F1776"/>
    <mergeCell ref="F1288:F1290"/>
    <mergeCell ref="F1285:F1287"/>
    <mergeCell ref="F1247:F1249"/>
    <mergeCell ref="F1534:F1535"/>
    <mergeCell ref="F1305:F1306"/>
    <mergeCell ref="F1653:F1655"/>
    <mergeCell ref="F1656:F1658"/>
    <mergeCell ref="F1659:F1660"/>
    <mergeCell ref="F1661:F1663"/>
    <mergeCell ref="F1571:F1572"/>
    <mergeCell ref="F1556:F1557"/>
    <mergeCell ref="F1563:F1564"/>
    <mergeCell ref="F1565:F1566"/>
    <mergeCell ref="F1271:F1273"/>
    <mergeCell ref="F1403:F1405"/>
    <mergeCell ref="F1406:F1407"/>
    <mergeCell ref="F1408:F1409"/>
    <mergeCell ref="F1410:F1411"/>
    <mergeCell ref="F1777:F1778"/>
    <mergeCell ref="F1299:F1300"/>
    <mergeCell ref="F1301:F1302"/>
    <mergeCell ref="F1697:F1698"/>
    <mergeCell ref="F1694:F1696"/>
    <mergeCell ref="F1536:F1537"/>
    <mergeCell ref="F1551:F1555"/>
    <mergeCell ref="F1324:F1326"/>
    <mergeCell ref="F1747:F1750"/>
    <mergeCell ref="F1962:F1963"/>
    <mergeCell ref="F1742:F1743"/>
    <mergeCell ref="F1819:F1820"/>
    <mergeCell ref="F1821:F1822"/>
    <mergeCell ref="F1935:F1936"/>
    <mergeCell ref="F1801:F1802"/>
    <mergeCell ref="F1811:F1812"/>
    <mergeCell ref="F1873:F1874"/>
    <mergeCell ref="F1875:F1876"/>
    <mergeCell ref="F1755:F1756"/>
    <mergeCell ref="F1757:F1758"/>
    <mergeCell ref="F1730:F1731"/>
    <mergeCell ref="F1732:F1733"/>
    <mergeCell ref="F1396:F1397"/>
    <mergeCell ref="F1368:F1370"/>
    <mergeCell ref="F1371:F1373"/>
    <mergeCell ref="F1751:F1752"/>
    <mergeCell ref="F1672:F1673"/>
    <mergeCell ref="F1674:F1675"/>
    <mergeCell ref="F1443:F1444"/>
    <mergeCell ref="F1445:F1446"/>
    <mergeCell ref="F1668:F1669"/>
    <mergeCell ref="F1670:F1671"/>
    <mergeCell ref="F1558:F1562"/>
    <mergeCell ref="F1525:F1527"/>
    <mergeCell ref="F1327:F1329"/>
    <mergeCell ref="F1374:F1376"/>
    <mergeCell ref="F141:F142"/>
    <mergeCell ref="F143:F144"/>
    <mergeCell ref="F936:F937"/>
    <mergeCell ref="F934:F935"/>
    <mergeCell ref="F1044:F1046"/>
    <mergeCell ref="F1047:F1049"/>
    <mergeCell ref="F992:F993"/>
    <mergeCell ref="F984:F985"/>
    <mergeCell ref="F596:F597"/>
    <mergeCell ref="F543:F544"/>
    <mergeCell ref="F163:F164"/>
    <mergeCell ref="F165:F166"/>
    <mergeCell ref="F167:F168"/>
    <mergeCell ref="F169:F170"/>
    <mergeCell ref="F171:F172"/>
    <mergeCell ref="F173:F174"/>
    <mergeCell ref="F545:F547"/>
    <mergeCell ref="F175:F176"/>
    <mergeCell ref="F177:F178"/>
    <mergeCell ref="F179:F180"/>
    <mergeCell ref="F181:F182"/>
    <mergeCell ref="F183:F184"/>
    <mergeCell ref="F185:F186"/>
    <mergeCell ref="F285:F286"/>
    <mergeCell ref="F468:F469"/>
    <mergeCell ref="F470:F471"/>
    <mergeCell ref="F472:F473"/>
    <mergeCell ref="F474:F476"/>
    <mergeCell ref="F447:F448"/>
    <mergeCell ref="F434:F436"/>
    <mergeCell ref="F437:F438"/>
    <mergeCell ref="F439:F441"/>
    <mergeCell ref="F117:F118"/>
    <mergeCell ref="F119:F120"/>
    <mergeCell ref="F121:F122"/>
    <mergeCell ref="F90:F91"/>
    <mergeCell ref="F92:F93"/>
    <mergeCell ref="F94:F95"/>
    <mergeCell ref="F96:F97"/>
    <mergeCell ref="F98:F99"/>
    <mergeCell ref="F100:F101"/>
    <mergeCell ref="F197:F198"/>
    <mergeCell ref="F507:F509"/>
    <mergeCell ref="F510:F512"/>
    <mergeCell ref="F496:F497"/>
    <mergeCell ref="F501:F502"/>
    <mergeCell ref="F498:F500"/>
    <mergeCell ref="F503:F504"/>
    <mergeCell ref="F505:F506"/>
    <mergeCell ref="F279:F280"/>
    <mergeCell ref="F281:F282"/>
    <mergeCell ref="F293:F294"/>
    <mergeCell ref="F295:F296"/>
    <mergeCell ref="F297:F298"/>
    <mergeCell ref="F299:F300"/>
    <mergeCell ref="F301:F302"/>
    <mergeCell ref="F357:F358"/>
    <mergeCell ref="F367:F368"/>
    <mergeCell ref="F303:F304"/>
    <mergeCell ref="F215:F216"/>
    <mergeCell ref="F283:F284"/>
    <mergeCell ref="F287:F288"/>
    <mergeCell ref="F289:F290"/>
    <mergeCell ref="F199:F200"/>
    <mergeCell ref="F201:F202"/>
    <mergeCell ref="F203:F204"/>
    <mergeCell ref="F205:F206"/>
    <mergeCell ref="F207:F208"/>
    <mergeCell ref="F209:F210"/>
    <mergeCell ref="F211:F212"/>
    <mergeCell ref="F213:F214"/>
    <mergeCell ref="F217:F218"/>
    <mergeCell ref="F227:F228"/>
    <mergeCell ref="F540:F542"/>
    <mergeCell ref="F375:F376"/>
    <mergeCell ref="F377:F378"/>
    <mergeCell ref="F379:F380"/>
    <mergeCell ref="F483:F485"/>
    <mergeCell ref="F381:F382"/>
    <mergeCell ref="F383:F384"/>
    <mergeCell ref="F291:F292"/>
    <mergeCell ref="F538:F539"/>
    <mergeCell ref="F536:F537"/>
    <mergeCell ref="F530:F531"/>
    <mergeCell ref="F532:F533"/>
    <mergeCell ref="F534:F535"/>
    <mergeCell ref="F229:F230"/>
    <mergeCell ref="F231:F232"/>
    <mergeCell ref="F233:F234"/>
    <mergeCell ref="F235:F236"/>
    <mergeCell ref="F237:F238"/>
    <mergeCell ref="F239:F240"/>
    <mergeCell ref="F241:F242"/>
    <mergeCell ref="F277:F278"/>
    <mergeCell ref="F243:F244"/>
    <mergeCell ref="F245:F246"/>
    <mergeCell ref="F247:F248"/>
    <mergeCell ref="F359:F360"/>
    <mergeCell ref="F361:F362"/>
    <mergeCell ref="F363:F364"/>
    <mergeCell ref="F365:F366"/>
    <mergeCell ref="F371:F372"/>
    <mergeCell ref="F329:F330"/>
    <mergeCell ref="F385:F386"/>
    <mergeCell ref="F275:F276"/>
    <mergeCell ref="F373:F374"/>
    <mergeCell ref="F249:F250"/>
    <mergeCell ref="F251:F252"/>
    <mergeCell ref="F253:F254"/>
    <mergeCell ref="F255:F256"/>
    <mergeCell ref="F257:F258"/>
    <mergeCell ref="F259:F260"/>
    <mergeCell ref="F261:F262"/>
    <mergeCell ref="F263:F264"/>
    <mergeCell ref="F265:F266"/>
    <mergeCell ref="F267:F268"/>
    <mergeCell ref="F269:F270"/>
    <mergeCell ref="F271:F272"/>
    <mergeCell ref="F273:F274"/>
    <mergeCell ref="F331:F332"/>
    <mergeCell ref="F333:F334"/>
    <mergeCell ref="F305:F306"/>
    <mergeCell ref="F307:F308"/>
    <mergeCell ref="F309:F310"/>
    <mergeCell ref="F335:F336"/>
    <mergeCell ref="F337:F338"/>
    <mergeCell ref="F339:F340"/>
    <mergeCell ref="F341:F342"/>
    <mergeCell ref="F588:F590"/>
    <mergeCell ref="F591:F592"/>
    <mergeCell ref="F395:F396"/>
    <mergeCell ref="F397:F398"/>
    <mergeCell ref="F629:F630"/>
    <mergeCell ref="F610:F611"/>
    <mergeCell ref="F953:F956"/>
    <mergeCell ref="F631:F633"/>
    <mergeCell ref="F634:F635"/>
    <mergeCell ref="F612:F613"/>
    <mergeCell ref="F560:F562"/>
    <mergeCell ref="F563:F564"/>
    <mergeCell ref="F645:F646"/>
    <mergeCell ref="F647:F648"/>
    <mergeCell ref="F636:F638"/>
    <mergeCell ref="F639:F640"/>
    <mergeCell ref="F593:F595"/>
    <mergeCell ref="F576:F577"/>
    <mergeCell ref="F486:F488"/>
    <mergeCell ref="F493:F495"/>
    <mergeCell ref="F489:F490"/>
    <mergeCell ref="F491:F492"/>
    <mergeCell ref="F581:F582"/>
    <mergeCell ref="F548:F549"/>
    <mergeCell ref="F624:F625"/>
    <mergeCell ref="F621:F623"/>
    <mergeCell ref="F614:F615"/>
    <mergeCell ref="F550:F552"/>
    <mergeCell ref="F760:F762"/>
    <mergeCell ref="F747:F750"/>
    <mergeCell ref="F442:F444"/>
    <mergeCell ref="F528:F529"/>
    <mergeCell ref="F649:F650"/>
    <mergeCell ref="F393:F394"/>
    <mergeCell ref="F1068:F1069"/>
    <mergeCell ref="F1100:F1101"/>
    <mergeCell ref="F1095:F1097"/>
    <mergeCell ref="F1145:F1146"/>
    <mergeCell ref="F480:F482"/>
    <mergeCell ref="F387:F388"/>
    <mergeCell ref="F389:F390"/>
    <mergeCell ref="F391:F392"/>
    <mergeCell ref="F558:F559"/>
    <mergeCell ref="F573:F575"/>
    <mergeCell ref="F553:F554"/>
    <mergeCell ref="F567:F568"/>
    <mergeCell ref="F569:F570"/>
    <mergeCell ref="F586:F587"/>
    <mergeCell ref="F583:F585"/>
    <mergeCell ref="F578:F580"/>
    <mergeCell ref="F1131:F1132"/>
    <mergeCell ref="F1133:F1134"/>
    <mergeCell ref="F1135:F1136"/>
    <mergeCell ref="F1137:F1141"/>
    <mergeCell ref="F1142:F1144"/>
    <mergeCell ref="F719:F720"/>
    <mergeCell ref="F710:F713"/>
    <mergeCell ref="F616:F618"/>
    <mergeCell ref="F932:F933"/>
    <mergeCell ref="F651:F653"/>
    <mergeCell ref="F654:F656"/>
    <mergeCell ref="F871:F872"/>
    <mergeCell ref="F518:F520"/>
    <mergeCell ref="F883:F884"/>
    <mergeCell ref="F343:F344"/>
    <mergeCell ref="F1193:F1194"/>
    <mergeCell ref="F1210:F1212"/>
    <mergeCell ref="F1201:F1203"/>
    <mergeCell ref="F1204:F1206"/>
    <mergeCell ref="F1207:F1209"/>
    <mergeCell ref="F1311:F1312"/>
    <mergeCell ref="F1330:F1332"/>
    <mergeCell ref="F1333:F1335"/>
    <mergeCell ref="F1736:F1737"/>
    <mergeCell ref="F311:F312"/>
    <mergeCell ref="F313:F314"/>
    <mergeCell ref="F315:F316"/>
    <mergeCell ref="F317:F318"/>
    <mergeCell ref="F319:F320"/>
    <mergeCell ref="F1307:F1308"/>
    <mergeCell ref="F643:F644"/>
    <mergeCell ref="F606:F607"/>
    <mergeCell ref="F626:F628"/>
    <mergeCell ref="F1282:F1284"/>
    <mergeCell ref="F1217:F1218"/>
    <mergeCell ref="F1219:F1220"/>
    <mergeCell ref="F1127:F1128"/>
    <mergeCell ref="F1176:F1178"/>
    <mergeCell ref="F1226:F1228"/>
    <mergeCell ref="F1277:F1279"/>
    <mergeCell ref="F977:F981"/>
    <mergeCell ref="F928:F929"/>
    <mergeCell ref="F930:F931"/>
    <mergeCell ref="F1083:F1084"/>
    <mergeCell ref="F938:F940"/>
    <mergeCell ref="F941:F943"/>
    <mergeCell ref="F904:F905"/>
    <mergeCell ref="F926:F927"/>
    <mergeCell ref="F887:F888"/>
    <mergeCell ref="F889:F890"/>
    <mergeCell ref="F1073:F1076"/>
    <mergeCell ref="F1064:F1065"/>
    <mergeCell ref="F946:F950"/>
    <mergeCell ref="F951:F952"/>
    <mergeCell ref="F1014:F1015"/>
    <mergeCell ref="F957:F958"/>
    <mergeCell ref="F1114:F1116"/>
    <mergeCell ref="F1129:F1130"/>
    <mergeCell ref="F1158:F1161"/>
    <mergeCell ref="F1050:F1052"/>
    <mergeCell ref="F1147:F1149"/>
    <mergeCell ref="F990:F991"/>
    <mergeCell ref="F944:F945"/>
    <mergeCell ref="F959:F962"/>
    <mergeCell ref="F965:F967"/>
    <mergeCell ref="F968:F970"/>
    <mergeCell ref="F971:F973"/>
    <mergeCell ref="F974:F976"/>
    <mergeCell ref="F988:F989"/>
    <mergeCell ref="F963:F964"/>
    <mergeCell ref="F982:F983"/>
    <mergeCell ref="F998:F1001"/>
    <mergeCell ref="F1004:F1008"/>
    <mergeCell ref="F1009:F1011"/>
    <mergeCell ref="F1012:F1013"/>
    <mergeCell ref="F994:F995"/>
    <mergeCell ref="F919:F920"/>
    <mergeCell ref="F996:F997"/>
    <mergeCell ref="F321:F322"/>
    <mergeCell ref="F323:F324"/>
    <mergeCell ref="F325:F326"/>
    <mergeCell ref="F327:F328"/>
    <mergeCell ref="F1805:F1808"/>
    <mergeCell ref="F1793:F1796"/>
    <mergeCell ref="F1321:F1323"/>
    <mergeCell ref="F1738:F1739"/>
    <mergeCell ref="F1717:F1719"/>
    <mergeCell ref="F369:F370"/>
    <mergeCell ref="F355:F356"/>
    <mergeCell ref="F345:F346"/>
    <mergeCell ref="F347:F348"/>
    <mergeCell ref="F349:F350"/>
    <mergeCell ref="F351:F352"/>
    <mergeCell ref="F353:F354"/>
    <mergeCell ref="F1309:F1310"/>
    <mergeCell ref="F1077:F1079"/>
    <mergeCell ref="F1080:F1082"/>
    <mergeCell ref="F1549:F1550"/>
    <mergeCell ref="F1544:F1545"/>
    <mergeCell ref="F1676:F1677"/>
    <mergeCell ref="F1678:F1679"/>
    <mergeCell ref="F1664:F1667"/>
    <mergeCell ref="F1221:F1222"/>
    <mergeCell ref="F1240:F1241"/>
    <mergeCell ref="F1190:F1192"/>
    <mergeCell ref="F1188:F1189"/>
    <mergeCell ref="F1182:F1183"/>
    <mergeCell ref="F1184:F1185"/>
    <mergeCell ref="F1186:F1187"/>
    <mergeCell ref="F885:F886"/>
    <mergeCell ref="F2002:F2003"/>
    <mergeCell ref="F399:F400"/>
    <mergeCell ref="F401:F402"/>
    <mergeCell ref="F403:F404"/>
    <mergeCell ref="F405:F406"/>
    <mergeCell ref="F407:F408"/>
    <mergeCell ref="F415:F417"/>
    <mergeCell ref="F412:F414"/>
    <mergeCell ref="F409:F411"/>
    <mergeCell ref="F1297:F1298"/>
    <mergeCell ref="F1338:F1340"/>
    <mergeCell ref="F1336:F1337"/>
    <mergeCell ref="F1313:F1314"/>
    <mergeCell ref="F1174:F1175"/>
    <mergeCell ref="F1797:F1800"/>
    <mergeCell ref="F1803:F1804"/>
    <mergeCell ref="F571:F572"/>
    <mergeCell ref="F1315:F1316"/>
    <mergeCell ref="F1753:F1754"/>
    <mergeCell ref="F986:F987"/>
    <mergeCell ref="F1779:F1780"/>
    <mergeCell ref="F906:F910"/>
    <mergeCell ref="F1768:F1770"/>
    <mergeCell ref="F1112:F1113"/>
    <mergeCell ref="F565:F566"/>
    <mergeCell ref="F1092:F1094"/>
    <mergeCell ref="F1265:F1267"/>
    <mergeCell ref="F1123:F1124"/>
    <mergeCell ref="F911:F913"/>
    <mergeCell ref="F921:F923"/>
    <mergeCell ref="F924:F925"/>
    <mergeCell ref="F914:F918"/>
    <mergeCell ref="F2009:F2012"/>
    <mergeCell ref="F2013:F2014"/>
    <mergeCell ref="F2015:F2016"/>
    <mergeCell ref="F2017:F2018"/>
    <mergeCell ref="F2019:F2020"/>
    <mergeCell ref="F2021:F2022"/>
    <mergeCell ref="F2023:F2024"/>
    <mergeCell ref="F2007:F2008"/>
    <mergeCell ref="F1996:F1998"/>
    <mergeCell ref="F1783:F1784"/>
    <mergeCell ref="F1785:F1786"/>
    <mergeCell ref="F2004:F2006"/>
    <mergeCell ref="F1988:F1989"/>
    <mergeCell ref="F1990:F1991"/>
    <mergeCell ref="F1946:F1948"/>
    <mergeCell ref="F1949:F1951"/>
    <mergeCell ref="F1952:F1953"/>
    <mergeCell ref="F1954:F1955"/>
    <mergeCell ref="F1956:F1957"/>
    <mergeCell ref="F1972:F1974"/>
    <mergeCell ref="F1981:F1982"/>
    <mergeCell ref="F1983:F1984"/>
    <mergeCell ref="F1985:F1987"/>
    <mergeCell ref="F1958:F1959"/>
    <mergeCell ref="F1960:F1961"/>
    <mergeCell ref="F1964:F1965"/>
    <mergeCell ref="F1992:F1995"/>
    <mergeCell ref="F1966:F1968"/>
    <mergeCell ref="F1969:F1971"/>
    <mergeCell ref="F1975:F1977"/>
    <mergeCell ref="F1978:F1980"/>
    <mergeCell ref="F1999:F2001"/>
    <mergeCell ref="F2713:F2714"/>
    <mergeCell ref="F2715:F2716"/>
    <mergeCell ref="F2717:F2718"/>
    <mergeCell ref="F2719:F2720"/>
    <mergeCell ref="F2721:F2722"/>
    <mergeCell ref="F2587:F2588"/>
    <mergeCell ref="F2589:F2590"/>
    <mergeCell ref="F2545:F2546"/>
    <mergeCell ref="F2630:F2631"/>
    <mergeCell ref="F2632:F2633"/>
    <mergeCell ref="F1787:F1788"/>
    <mergeCell ref="F1781:F1782"/>
    <mergeCell ref="F1923:F1924"/>
    <mergeCell ref="F1944:F1945"/>
    <mergeCell ref="F1827:F1828"/>
    <mergeCell ref="F1829:F1830"/>
    <mergeCell ref="F1845:F1846"/>
    <mergeCell ref="F1853:F1856"/>
    <mergeCell ref="F1857:F1859"/>
    <mergeCell ref="F1877:F1878"/>
    <mergeCell ref="F1851:F1852"/>
    <mergeCell ref="F1860:F1862"/>
    <mergeCell ref="F1847:F1850"/>
    <mergeCell ref="F1939:F1940"/>
    <mergeCell ref="F1937:F1938"/>
    <mergeCell ref="F1941:F1943"/>
    <mergeCell ref="F1863:F1864"/>
    <mergeCell ref="F1865:F1866"/>
    <mergeCell ref="F1823:F1824"/>
    <mergeCell ref="F1825:F1826"/>
    <mergeCell ref="F1809:F1810"/>
    <mergeCell ref="F1813:F1816"/>
    <mergeCell ref="F2664:F2665"/>
    <mergeCell ref="F2666:F2667"/>
    <mergeCell ref="F2668:F2669"/>
    <mergeCell ref="F2670:F2671"/>
    <mergeCell ref="F2756:F2757"/>
    <mergeCell ref="F2642:F2644"/>
    <mergeCell ref="F2645:F2646"/>
    <mergeCell ref="F2688:F2691"/>
    <mergeCell ref="F2692:F2695"/>
    <mergeCell ref="F2656:F2657"/>
    <mergeCell ref="F2728:F2730"/>
    <mergeCell ref="F2735:F2736"/>
    <mergeCell ref="F2601:F2602"/>
    <mergeCell ref="F2599:F2600"/>
    <mergeCell ref="F2636:F2638"/>
    <mergeCell ref="F2639:F2641"/>
    <mergeCell ref="F2616:F2617"/>
    <mergeCell ref="F2620:F2621"/>
    <mergeCell ref="F2622:F2623"/>
    <mergeCell ref="F2624:F2625"/>
    <mergeCell ref="F2626:F2627"/>
    <mergeCell ref="F2628:F2629"/>
    <mergeCell ref="F2634:F2635"/>
    <mergeCell ref="F2618:F2619"/>
    <mergeCell ref="F2696:F2699"/>
    <mergeCell ref="F2684:F2685"/>
    <mergeCell ref="F2725:F2727"/>
    <mergeCell ref="F2700:F2702"/>
    <mergeCell ref="F2731:F2734"/>
    <mergeCell ref="F2723:F2724"/>
    <mergeCell ref="F2709:F2710"/>
    <mergeCell ref="F2711:F2712"/>
    <mergeCell ref="F2811:F2812"/>
    <mergeCell ref="F2813:F2814"/>
    <mergeCell ref="F2815:F2816"/>
    <mergeCell ref="F2817:F2818"/>
    <mergeCell ref="F2819:F2820"/>
    <mergeCell ref="F2821:F2822"/>
    <mergeCell ref="F2760:F2762"/>
    <mergeCell ref="F2763:F2764"/>
    <mergeCell ref="F2834:F2837"/>
    <mergeCell ref="F2838:F2840"/>
    <mergeCell ref="F2703:F2705"/>
    <mergeCell ref="F2793:F2794"/>
    <mergeCell ref="F2795:F2796"/>
    <mergeCell ref="F2797:F2798"/>
    <mergeCell ref="F2799:F2800"/>
    <mergeCell ref="F2808:F2810"/>
    <mergeCell ref="F2647:F2651"/>
    <mergeCell ref="F2652:F2655"/>
    <mergeCell ref="F2658:F2659"/>
    <mergeCell ref="F2758:F2759"/>
    <mergeCell ref="F2737:F2738"/>
    <mergeCell ref="F2739:F2742"/>
    <mergeCell ref="F2743:F2745"/>
    <mergeCell ref="F2746:F2747"/>
    <mergeCell ref="F2748:F2749"/>
    <mergeCell ref="F2750:F2751"/>
    <mergeCell ref="F2777:F2778"/>
    <mergeCell ref="F2779:F2780"/>
    <mergeCell ref="F2781:F2782"/>
    <mergeCell ref="F2660:F2661"/>
    <mergeCell ref="F2686:F2687"/>
    <mergeCell ref="F2662:F2663"/>
    <mergeCell ref="F2880:F2881"/>
    <mergeCell ref="F2882:F2883"/>
    <mergeCell ref="F2884:F2885"/>
    <mergeCell ref="F2843:F2844"/>
    <mergeCell ref="F2845:F2846"/>
    <mergeCell ref="F2672:F2673"/>
    <mergeCell ref="F2706:F2708"/>
    <mergeCell ref="F2674:F2676"/>
    <mergeCell ref="F2677:F2679"/>
    <mergeCell ref="F2680:F2683"/>
    <mergeCell ref="F2923:F2924"/>
    <mergeCell ref="F2925:F2926"/>
    <mergeCell ref="F2783:F2784"/>
    <mergeCell ref="F2769:F2770"/>
    <mergeCell ref="F2771:F2772"/>
    <mergeCell ref="F2773:F2774"/>
    <mergeCell ref="F2775:F2776"/>
    <mergeCell ref="F2827:F2830"/>
    <mergeCell ref="F2841:F2842"/>
    <mergeCell ref="F2765:F2766"/>
    <mergeCell ref="F2767:F2768"/>
    <mergeCell ref="F2801:F2803"/>
    <mergeCell ref="F2804:F2805"/>
    <mergeCell ref="F2785:F2786"/>
    <mergeCell ref="F2787:F2788"/>
    <mergeCell ref="F2789:F2790"/>
    <mergeCell ref="F2791:F2792"/>
    <mergeCell ref="F2752:F2753"/>
    <mergeCell ref="F2754:F2755"/>
    <mergeCell ref="F2831:F2833"/>
    <mergeCell ref="F2825:F2826"/>
    <mergeCell ref="F2806:F2807"/>
    <mergeCell ref="F3000:F3003"/>
    <mergeCell ref="F2984:F2985"/>
    <mergeCell ref="F2986:F2987"/>
    <mergeCell ref="F2972:F2973"/>
    <mergeCell ref="F2978:F2979"/>
    <mergeCell ref="F2865:F2866"/>
    <mergeCell ref="F2867:F2868"/>
    <mergeCell ref="F2869:F2870"/>
    <mergeCell ref="F2944:F2947"/>
    <mergeCell ref="F2915:F2916"/>
    <mergeCell ref="F2871:F2873"/>
    <mergeCell ref="F2874:F2877"/>
    <mergeCell ref="F2823:F2824"/>
    <mergeCell ref="F2855:F2856"/>
    <mergeCell ref="F2847:F2848"/>
    <mergeCell ref="F2849:F2850"/>
    <mergeCell ref="F2851:F2852"/>
    <mergeCell ref="F2853:F2854"/>
    <mergeCell ref="F2905:F2908"/>
    <mergeCell ref="F2909:F2912"/>
    <mergeCell ref="F2857:F2859"/>
    <mergeCell ref="F2862:F2864"/>
    <mergeCell ref="F2860:F2861"/>
    <mergeCell ref="F2878:F2879"/>
    <mergeCell ref="F2897:F2898"/>
    <mergeCell ref="F2903:F2904"/>
    <mergeCell ref="F2899:F2902"/>
    <mergeCell ref="F2931:F2932"/>
    <mergeCell ref="F2913:F2914"/>
    <mergeCell ref="F2917:F2918"/>
    <mergeCell ref="F2919:F2920"/>
    <mergeCell ref="F2921:F2922"/>
    <mergeCell ref="F3095:F3097"/>
    <mergeCell ref="F3022:F3025"/>
    <mergeCell ref="F3016:F3019"/>
    <mergeCell ref="F2992:F2994"/>
    <mergeCell ref="F3004:F3006"/>
    <mergeCell ref="F2886:F2887"/>
    <mergeCell ref="F2888:F2889"/>
    <mergeCell ref="F2890:F2891"/>
    <mergeCell ref="F2892:F2893"/>
    <mergeCell ref="F2894:F2896"/>
    <mergeCell ref="F3075:F3078"/>
    <mergeCell ref="F3059:F3061"/>
    <mergeCell ref="F3062:F3064"/>
    <mergeCell ref="F3065:F3067"/>
    <mergeCell ref="F2927:F2928"/>
    <mergeCell ref="F2929:F2930"/>
    <mergeCell ref="F3047:F3049"/>
    <mergeCell ref="F3050:F3052"/>
    <mergeCell ref="F3053:F3055"/>
    <mergeCell ref="F3056:F3058"/>
    <mergeCell ref="F3020:F3021"/>
    <mergeCell ref="F2933:F2934"/>
    <mergeCell ref="F3043:F3044"/>
    <mergeCell ref="F3045:F3046"/>
    <mergeCell ref="F3026:F3027"/>
    <mergeCell ref="F3028:F3029"/>
    <mergeCell ref="F2982:F2983"/>
    <mergeCell ref="F2974:F2977"/>
    <mergeCell ref="F3030:F3032"/>
    <mergeCell ref="F2995:F2996"/>
    <mergeCell ref="F2997:F2999"/>
    <mergeCell ref="F3007:F3008"/>
    <mergeCell ref="F2955:F2956"/>
    <mergeCell ref="F2957:F2961"/>
    <mergeCell ref="F2988:F2989"/>
    <mergeCell ref="F2990:F2991"/>
    <mergeCell ref="F3145:F3146"/>
    <mergeCell ref="F3138:F3139"/>
    <mergeCell ref="F3122:F3125"/>
    <mergeCell ref="F3132:F3133"/>
    <mergeCell ref="F3198:F3199"/>
    <mergeCell ref="F3200:F3201"/>
    <mergeCell ref="F2935:F2937"/>
    <mergeCell ref="F2938:F2939"/>
    <mergeCell ref="F2940:F2943"/>
    <mergeCell ref="F3079:F3080"/>
    <mergeCell ref="F3081:F3082"/>
    <mergeCell ref="F3083:F3084"/>
    <mergeCell ref="F3085:F3086"/>
    <mergeCell ref="F2953:F2954"/>
    <mergeCell ref="F3033:F3034"/>
    <mergeCell ref="F3087:F3088"/>
    <mergeCell ref="F3035:F3036"/>
    <mergeCell ref="F3039:F3040"/>
    <mergeCell ref="F3041:F3042"/>
    <mergeCell ref="F3073:F3074"/>
    <mergeCell ref="F3068:F3069"/>
    <mergeCell ref="F3070:F3072"/>
    <mergeCell ref="F3098:F3100"/>
    <mergeCell ref="F2962:F2965"/>
    <mergeCell ref="F2966:F2969"/>
    <mergeCell ref="F2970:F2971"/>
    <mergeCell ref="F3091:F3092"/>
    <mergeCell ref="F3093:F3094"/>
    <mergeCell ref="F3278:F3279"/>
    <mergeCell ref="F3334:F3335"/>
    <mergeCell ref="F3336:F3337"/>
    <mergeCell ref="F3338:F3339"/>
    <mergeCell ref="F3340:F3341"/>
    <mergeCell ref="F3009:F3011"/>
    <mergeCell ref="F3012:F3013"/>
    <mergeCell ref="F3014:F3015"/>
    <mergeCell ref="F2948:F2949"/>
    <mergeCell ref="F2950:F2952"/>
    <mergeCell ref="F3194:F3197"/>
    <mergeCell ref="F3101:F3102"/>
    <mergeCell ref="F3103:F3104"/>
    <mergeCell ref="F3105:F3109"/>
    <mergeCell ref="F3110:F3114"/>
    <mergeCell ref="F3115:F3119"/>
    <mergeCell ref="F3120:F3121"/>
    <mergeCell ref="F3126:F3127"/>
    <mergeCell ref="F3128:F3129"/>
    <mergeCell ref="F3130:F3131"/>
    <mergeCell ref="F3227:F3228"/>
    <mergeCell ref="F3140:F3141"/>
    <mergeCell ref="F3142:F3144"/>
    <mergeCell ref="F3174:F3175"/>
    <mergeCell ref="F3176:F3177"/>
    <mergeCell ref="F3178:F3179"/>
    <mergeCell ref="F3213:F3214"/>
    <mergeCell ref="F3215:F3216"/>
    <mergeCell ref="F3223:F3224"/>
    <mergeCell ref="F3158:F3159"/>
    <mergeCell ref="F3225:F3226"/>
    <mergeCell ref="F2980:F2981"/>
    <mergeCell ref="F3211:F3212"/>
    <mergeCell ref="F3155:F3157"/>
    <mergeCell ref="F3160:F3162"/>
    <mergeCell ref="F3602:F3604"/>
    <mergeCell ref="F3605:F3606"/>
    <mergeCell ref="F3147:F3150"/>
    <mergeCell ref="F3151:F3154"/>
    <mergeCell ref="F3037:F3038"/>
    <mergeCell ref="F3274:F3275"/>
    <mergeCell ref="F3276:F3277"/>
    <mergeCell ref="F3229:F3230"/>
    <mergeCell ref="F3188:F3189"/>
    <mergeCell ref="F3245:F3247"/>
    <mergeCell ref="F3574:F3578"/>
    <mergeCell ref="F3180:F3182"/>
    <mergeCell ref="F3183:F3185"/>
    <mergeCell ref="F3163:F3165"/>
    <mergeCell ref="F3166:F3167"/>
    <mergeCell ref="F3168:F3169"/>
    <mergeCell ref="F3170:F3171"/>
    <mergeCell ref="F3257:F3259"/>
    <mergeCell ref="F3260:F3261"/>
    <mergeCell ref="F3253:F3256"/>
    <mergeCell ref="F3262:F3263"/>
    <mergeCell ref="F3264:F3265"/>
    <mergeCell ref="F3241:F3244"/>
    <mergeCell ref="F3221:F3222"/>
    <mergeCell ref="F3186:F3187"/>
    <mergeCell ref="F3190:F3193"/>
    <mergeCell ref="F3172:F3173"/>
    <mergeCell ref="F3311:F3312"/>
    <mergeCell ref="F3313:F3314"/>
    <mergeCell ref="F3754:F3755"/>
    <mergeCell ref="F3756:F3757"/>
    <mergeCell ref="F3763:F3766"/>
    <mergeCell ref="F3789:F3790"/>
    <mergeCell ref="F3785:F3788"/>
    <mergeCell ref="F3678:F3679"/>
    <mergeCell ref="F3682:F3684"/>
    <mergeCell ref="F3687:F3689"/>
    <mergeCell ref="F3690:F3693"/>
    <mergeCell ref="F3694:F3697"/>
    <mergeCell ref="F3698:F3701"/>
    <mergeCell ref="F3685:F3686"/>
    <mergeCell ref="F3089:F3090"/>
    <mergeCell ref="F3672:F3673"/>
    <mergeCell ref="F3266:F3267"/>
    <mergeCell ref="F3268:F3269"/>
    <mergeCell ref="F3270:F3271"/>
    <mergeCell ref="F3272:F3273"/>
    <mergeCell ref="F3251:F3252"/>
    <mergeCell ref="F3231:F3232"/>
    <mergeCell ref="F3233:F3234"/>
    <mergeCell ref="F3248:F3250"/>
    <mergeCell ref="F3134:F3135"/>
    <mergeCell ref="F3136:F3137"/>
    <mergeCell ref="F3217:F3218"/>
    <mergeCell ref="F3219:F3220"/>
    <mergeCell ref="F3235:F3236"/>
    <mergeCell ref="F3237:F3240"/>
    <mergeCell ref="F3202:F3203"/>
    <mergeCell ref="F3204:F3205"/>
    <mergeCell ref="F3206:F3208"/>
    <mergeCell ref="F3209:F3210"/>
    <mergeCell ref="F4386:F4387"/>
    <mergeCell ref="F4388:F4389"/>
    <mergeCell ref="F4259:F4261"/>
    <mergeCell ref="F4262:F4263"/>
    <mergeCell ref="F4343:F4344"/>
    <mergeCell ref="F3791:F3793"/>
    <mergeCell ref="F3760:F3762"/>
    <mergeCell ref="F3680:F3681"/>
    <mergeCell ref="F3758:F3759"/>
    <mergeCell ref="F3767:F3768"/>
    <mergeCell ref="F3769:F3770"/>
    <mergeCell ref="F3771:F3772"/>
    <mergeCell ref="F3773:F3774"/>
    <mergeCell ref="F3775:F3776"/>
    <mergeCell ref="F3777:F3778"/>
    <mergeCell ref="F3779:F3780"/>
    <mergeCell ref="F3781:F3782"/>
    <mergeCell ref="F3783:F3784"/>
    <mergeCell ref="F3723:F3725"/>
    <mergeCell ref="F3726:F3728"/>
    <mergeCell ref="F3735:F3737"/>
    <mergeCell ref="F3729:F3730"/>
    <mergeCell ref="F3738:F3739"/>
    <mergeCell ref="F3733:F3734"/>
    <mergeCell ref="F3731:F3732"/>
    <mergeCell ref="F3740:F3741"/>
    <mergeCell ref="F3742:F3743"/>
    <mergeCell ref="F3744:F3745"/>
    <mergeCell ref="F3746:F3747"/>
    <mergeCell ref="F3748:F3749"/>
    <mergeCell ref="F3750:F3751"/>
    <mergeCell ref="F3752:F3753"/>
    <mergeCell ref="F4404:F4405"/>
    <mergeCell ref="F4339:F4340"/>
    <mergeCell ref="F4341:F4342"/>
    <mergeCell ref="F4438:F4441"/>
    <mergeCell ref="F4442:F4444"/>
    <mergeCell ref="F4161:F4162"/>
    <mergeCell ref="F4197:F4198"/>
    <mergeCell ref="F4238:F4240"/>
    <mergeCell ref="F4199:F4200"/>
    <mergeCell ref="F4201:F4202"/>
    <mergeCell ref="F4203:F4204"/>
    <mergeCell ref="F4183:F4184"/>
    <mergeCell ref="F4187:F4188"/>
    <mergeCell ref="F4213:F4214"/>
    <mergeCell ref="F4225:F4226"/>
    <mergeCell ref="F4235:F4237"/>
    <mergeCell ref="F4229:F4230"/>
    <mergeCell ref="F4231:F4232"/>
    <mergeCell ref="F4402:F4403"/>
    <mergeCell ref="F4255:F4256"/>
    <mergeCell ref="F4257:F4258"/>
    <mergeCell ref="F4268:F4271"/>
    <mergeCell ref="F4272:F4273"/>
    <mergeCell ref="F4278:F4279"/>
    <mergeCell ref="F4280:F4281"/>
    <mergeCell ref="F4282:F4283"/>
    <mergeCell ref="F4284:F4285"/>
    <mergeCell ref="F4396:F4398"/>
    <mergeCell ref="F4378:F4379"/>
    <mergeCell ref="F4380:F4381"/>
    <mergeCell ref="F4382:F4383"/>
    <mergeCell ref="F4384:F4385"/>
    <mergeCell ref="F4520:F4521"/>
    <mergeCell ref="F4522:F4524"/>
    <mergeCell ref="F4525:F4530"/>
    <mergeCell ref="F4531:F4532"/>
    <mergeCell ref="F4500:F4501"/>
    <mergeCell ref="F4390:F4393"/>
    <mergeCell ref="F4304:F4305"/>
    <mergeCell ref="F4351:F4352"/>
    <mergeCell ref="F4322:F4325"/>
    <mergeCell ref="F4276:F4277"/>
    <mergeCell ref="F4299:F4300"/>
    <mergeCell ref="F4421:F4422"/>
    <mergeCell ref="F4423:F4424"/>
    <mergeCell ref="F4425:F4426"/>
    <mergeCell ref="F4543:F4544"/>
    <mergeCell ref="F4326:F4330"/>
    <mergeCell ref="F4331:F4332"/>
    <mergeCell ref="F4333:F4334"/>
    <mergeCell ref="F4335:F4336"/>
    <mergeCell ref="F4337:F4338"/>
    <mergeCell ref="F4361:F4362"/>
    <mergeCell ref="F4363:F4367"/>
    <mergeCell ref="F4368:F4371"/>
    <mergeCell ref="F4372:F4375"/>
    <mergeCell ref="F4356:F4357"/>
    <mergeCell ref="F4353:F4355"/>
    <mergeCell ref="F4406:F4408"/>
    <mergeCell ref="F4414:F4416"/>
    <mergeCell ref="F4417:F4420"/>
    <mergeCell ref="F4464:F4465"/>
    <mergeCell ref="F4482:F4484"/>
    <mergeCell ref="F4466:F4467"/>
    <mergeCell ref="F4666:F4667"/>
    <mergeCell ref="F4668:F4669"/>
    <mergeCell ref="F4670:F4671"/>
    <mergeCell ref="F4672:F4673"/>
    <mergeCell ref="F4674:F4675"/>
    <mergeCell ref="F4445:F4446"/>
    <mergeCell ref="F4456:F4457"/>
    <mergeCell ref="F4458:F4459"/>
    <mergeCell ref="F4460:F4461"/>
    <mergeCell ref="F4462:F4463"/>
    <mergeCell ref="F4498:F4499"/>
    <mergeCell ref="F4507:F4509"/>
    <mergeCell ref="F4510:F4512"/>
    <mergeCell ref="F4492:F4493"/>
    <mergeCell ref="F4494:F4495"/>
    <mergeCell ref="F4496:F4497"/>
    <mergeCell ref="F4541:F4542"/>
    <mergeCell ref="F4468:F4469"/>
    <mergeCell ref="F4470:F4471"/>
    <mergeCell ref="F4447:F4448"/>
    <mergeCell ref="F4539:F4540"/>
    <mergeCell ref="F4472:F4473"/>
    <mergeCell ref="F4485:F4486"/>
    <mergeCell ref="F4487:F4488"/>
    <mergeCell ref="F4489:F4491"/>
    <mergeCell ref="F4480:F4481"/>
    <mergeCell ref="F4474:F4476"/>
    <mergeCell ref="F4477:F4479"/>
    <mergeCell ref="F4535:F4536"/>
    <mergeCell ref="F4513:F4515"/>
    <mergeCell ref="F4502:F4506"/>
    <mergeCell ref="F4516:F4519"/>
    <mergeCell ref="F4661:F4662"/>
    <mergeCell ref="F4592:F4595"/>
    <mergeCell ref="F4596:F4599"/>
    <mergeCell ref="F4631:F4634"/>
    <mergeCell ref="F4657:F4658"/>
    <mergeCell ref="F4659:F4660"/>
    <mergeCell ref="F4449:F4451"/>
    <mergeCell ref="F4452:F4455"/>
    <mergeCell ref="F4533:F4534"/>
    <mergeCell ref="F4820:F4821"/>
    <mergeCell ref="F4723:F4724"/>
    <mergeCell ref="F4725:F4726"/>
    <mergeCell ref="F4727:F4728"/>
    <mergeCell ref="F4729:F4730"/>
    <mergeCell ref="F4624:F4626"/>
    <mergeCell ref="F4627:F4630"/>
    <mergeCell ref="F4635:F4637"/>
    <mergeCell ref="F4638:F4640"/>
    <mergeCell ref="F4641:F4643"/>
    <mergeCell ref="F4644:F4646"/>
    <mergeCell ref="F4647:F4648"/>
    <mergeCell ref="F4649:F4650"/>
    <mergeCell ref="F4651:F4652"/>
    <mergeCell ref="F4653:F4654"/>
    <mergeCell ref="F4655:F4656"/>
    <mergeCell ref="F4680:F4682"/>
    <mergeCell ref="F4683:F4685"/>
    <mergeCell ref="F4562:F4565"/>
    <mergeCell ref="F4566:F4567"/>
    <mergeCell ref="F4568:F4570"/>
    <mergeCell ref="F4547:F4548"/>
    <mergeCell ref="F4574:F4575"/>
    <mergeCell ref="F4748:F4749"/>
    <mergeCell ref="F4731:F4732"/>
    <mergeCell ref="F4750:F4751"/>
    <mergeCell ref="F4695:F4698"/>
    <mergeCell ref="F4733:F4736"/>
    <mergeCell ref="F4557:F4558"/>
    <mergeCell ref="F4549:F4552"/>
    <mergeCell ref="F4553:F4554"/>
    <mergeCell ref="F4555:F4556"/>
    <mergeCell ref="F4559:F4561"/>
    <mergeCell ref="F4907:F4908"/>
    <mergeCell ref="F4920:F4922"/>
    <mergeCell ref="F4923:F4924"/>
    <mergeCell ref="F4537:F4538"/>
    <mergeCell ref="F4545:F4546"/>
    <mergeCell ref="F4571:F4573"/>
    <mergeCell ref="F4576:F4577"/>
    <mergeCell ref="F4578:F4579"/>
    <mergeCell ref="F4580:F4581"/>
    <mergeCell ref="F4582:F4583"/>
    <mergeCell ref="F4663:F4665"/>
    <mergeCell ref="F4584:F4585"/>
    <mergeCell ref="F4586:F4588"/>
    <mergeCell ref="F4589:F4591"/>
    <mergeCell ref="F4600:F4602"/>
    <mergeCell ref="F4603:F4605"/>
    <mergeCell ref="F4606:F4608"/>
    <mergeCell ref="F4609:F4611"/>
    <mergeCell ref="F4612:F4615"/>
    <mergeCell ref="F4622:F4623"/>
    <mergeCell ref="F4616:F4618"/>
    <mergeCell ref="F4619:F4621"/>
    <mergeCell ref="F4931:F4932"/>
    <mergeCell ref="F4929:F4930"/>
    <mergeCell ref="F4899:F4900"/>
    <mergeCell ref="F4901:F4902"/>
    <mergeCell ref="F4897:F4898"/>
    <mergeCell ref="F4686:F4688"/>
    <mergeCell ref="F4721:F4722"/>
    <mergeCell ref="F4719:F4720"/>
    <mergeCell ref="F4706:F4708"/>
    <mergeCell ref="F4713:F4716"/>
    <mergeCell ref="F4777:F4778"/>
    <mergeCell ref="F4779:F4780"/>
    <mergeCell ref="F4781:F4782"/>
    <mergeCell ref="F4783:F4784"/>
    <mergeCell ref="F4785:F4786"/>
    <mergeCell ref="F4818:F4819"/>
    <mergeCell ref="F4737:F4738"/>
    <mergeCell ref="F4739:F4740"/>
    <mergeCell ref="F4741:F4745"/>
    <mergeCell ref="F4701:F4702"/>
    <mergeCell ref="F4709:F4712"/>
    <mergeCell ref="F4814:F4815"/>
    <mergeCell ref="F4692:F4694"/>
    <mergeCell ref="F4799:F4801"/>
    <mergeCell ref="F4808:F4811"/>
    <mergeCell ref="F4775:F4776"/>
    <mergeCell ref="F4760:F4761"/>
    <mergeCell ref="F4752:F4753"/>
    <mergeCell ref="F4754:F4755"/>
    <mergeCell ref="F4756:F4757"/>
    <mergeCell ref="F4699:F4700"/>
    <mergeCell ref="F4717:F4718"/>
    <mergeCell ref="F4822:F4823"/>
    <mergeCell ref="F4824:F4825"/>
    <mergeCell ref="F4826:F4827"/>
    <mergeCell ref="F4892:F4894"/>
    <mergeCell ref="F4870:F4872"/>
    <mergeCell ref="F4873:F4875"/>
    <mergeCell ref="F4881:F4883"/>
    <mergeCell ref="F4876:F4877"/>
    <mergeCell ref="F4878:F4880"/>
    <mergeCell ref="F4884:F4885"/>
    <mergeCell ref="F4886:F4887"/>
    <mergeCell ref="F4888:F4889"/>
    <mergeCell ref="F4925:F4926"/>
    <mergeCell ref="F4909:F4910"/>
    <mergeCell ref="F4914:F4916"/>
    <mergeCell ref="F4911:F4913"/>
    <mergeCell ref="F4917:F4919"/>
    <mergeCell ref="F4895:F4896"/>
    <mergeCell ref="F4746:F4747"/>
    <mergeCell ref="F4948:F4950"/>
    <mergeCell ref="F4957:F4958"/>
    <mergeCell ref="F4959:F4960"/>
    <mergeCell ref="F4961:F4962"/>
    <mergeCell ref="F4963:F4964"/>
    <mergeCell ref="F4965:F4966"/>
    <mergeCell ref="F4940:F4944"/>
    <mergeCell ref="F4945:F4947"/>
    <mergeCell ref="F4903:F4904"/>
    <mergeCell ref="F4828:F4830"/>
    <mergeCell ref="F4967:F4968"/>
    <mergeCell ref="F4969:F4970"/>
    <mergeCell ref="F4842:F4844"/>
    <mergeCell ref="F4845:F4847"/>
    <mergeCell ref="F4848:F4850"/>
    <mergeCell ref="F4851:F4853"/>
    <mergeCell ref="F4854:F4855"/>
    <mergeCell ref="F4856:F4857"/>
    <mergeCell ref="F4858:F4859"/>
    <mergeCell ref="F4860:F4861"/>
    <mergeCell ref="F4862:F4863"/>
    <mergeCell ref="F4864:F4865"/>
    <mergeCell ref="F4866:F4867"/>
    <mergeCell ref="F4868:F4869"/>
    <mergeCell ref="F4834:F4835"/>
    <mergeCell ref="F4836:F4837"/>
    <mergeCell ref="F4905:F4906"/>
    <mergeCell ref="F4933:F4934"/>
    <mergeCell ref="F4937:F4939"/>
    <mergeCell ref="F4927:F4928"/>
    <mergeCell ref="F4890:F4891"/>
    <mergeCell ref="F5444:F5445"/>
    <mergeCell ref="F5446:F5447"/>
    <mergeCell ref="F5448:F5449"/>
    <mergeCell ref="F4676:F4677"/>
    <mergeCell ref="F4678:F4679"/>
    <mergeCell ref="F4689:F4691"/>
    <mergeCell ref="F4787:F4789"/>
    <mergeCell ref="F4816:F4817"/>
    <mergeCell ref="F5277:F5278"/>
    <mergeCell ref="F5279:F5280"/>
    <mergeCell ref="F5281:F5283"/>
    <mergeCell ref="F5284:F5285"/>
    <mergeCell ref="F5298:F5299"/>
    <mergeCell ref="F5300:F5301"/>
    <mergeCell ref="F5302:F5303"/>
    <mergeCell ref="F5304:F5305"/>
    <mergeCell ref="F5139:F5141"/>
    <mergeCell ref="F5142:F5144"/>
    <mergeCell ref="F5178:F5179"/>
    <mergeCell ref="F5180:F5181"/>
    <mergeCell ref="F5182:F5183"/>
    <mergeCell ref="F5184:F5185"/>
    <mergeCell ref="F5186:F5187"/>
    <mergeCell ref="F5188:F5189"/>
    <mergeCell ref="F5190:F5191"/>
    <mergeCell ref="F5202:F5203"/>
    <mergeCell ref="F5192:F5193"/>
    <mergeCell ref="F5194:F5195"/>
    <mergeCell ref="F5196:F5197"/>
    <mergeCell ref="F5198:F5199"/>
    <mergeCell ref="F5200:F5201"/>
    <mergeCell ref="F4935:F4936"/>
    <mergeCell ref="F5398:F5399"/>
    <mergeCell ref="F5400:F5401"/>
    <mergeCell ref="F5416:F5420"/>
    <mergeCell ref="F5421:F5422"/>
    <mergeCell ref="F5423:F5424"/>
    <mergeCell ref="F5425:F5426"/>
    <mergeCell ref="F5427:F5428"/>
    <mergeCell ref="F5429:F5430"/>
    <mergeCell ref="F5431:F5432"/>
    <mergeCell ref="F5402:F5403"/>
    <mergeCell ref="F5404:F5405"/>
    <mergeCell ref="F5392:F5393"/>
    <mergeCell ref="F5374:F5377"/>
    <mergeCell ref="F5385:F5387"/>
    <mergeCell ref="F5354:F5355"/>
    <mergeCell ref="F5358:F5359"/>
    <mergeCell ref="F5360:F5361"/>
    <mergeCell ref="F5362:F5363"/>
    <mergeCell ref="F5364:F5366"/>
    <mergeCell ref="F5378:F5379"/>
    <mergeCell ref="F5383:F5384"/>
    <mergeCell ref="F5367:F5369"/>
    <mergeCell ref="F5380:F5382"/>
    <mergeCell ref="F5406:F5410"/>
    <mergeCell ref="F5411:F5413"/>
    <mergeCell ref="F5414:F5415"/>
    <mergeCell ref="F5370:F5373"/>
    <mergeCell ref="F5356:F5357"/>
    <mergeCell ref="F5560:F5561"/>
    <mergeCell ref="F5562:F5563"/>
    <mergeCell ref="F5564:F5565"/>
    <mergeCell ref="F5566:F5567"/>
    <mergeCell ref="F5576:F5577"/>
    <mergeCell ref="F5568:F5569"/>
    <mergeCell ref="F5570:F5571"/>
    <mergeCell ref="F5572:F5575"/>
    <mergeCell ref="F5433:F5435"/>
    <mergeCell ref="F5458:F5462"/>
    <mergeCell ref="F5465:F5469"/>
    <mergeCell ref="F5474:F5478"/>
    <mergeCell ref="F5484:F5488"/>
    <mergeCell ref="F5463:F5464"/>
    <mergeCell ref="F5454:F5455"/>
    <mergeCell ref="F5456:F5457"/>
    <mergeCell ref="F5479:F5480"/>
    <mergeCell ref="F5489:F5490"/>
    <mergeCell ref="F5491:F5492"/>
    <mergeCell ref="F5493:F5494"/>
    <mergeCell ref="F5495:F5497"/>
    <mergeCell ref="F5481:F5483"/>
    <mergeCell ref="F5511:F5512"/>
    <mergeCell ref="F5513:F5514"/>
    <mergeCell ref="F5515:F5516"/>
    <mergeCell ref="F5436:F5437"/>
    <mergeCell ref="F5438:F5439"/>
    <mergeCell ref="F5440:F5441"/>
    <mergeCell ref="F5442:F5443"/>
    <mergeCell ref="F5472:F5473"/>
    <mergeCell ref="F5450:F5451"/>
    <mergeCell ref="F5452:F5453"/>
    <mergeCell ref="F5602:F5604"/>
    <mergeCell ref="F5605:F5606"/>
    <mergeCell ref="F5609:F5613"/>
    <mergeCell ref="F5614:F5616"/>
    <mergeCell ref="F5637:F5638"/>
    <mergeCell ref="F5639:F5640"/>
    <mergeCell ref="F5625:F5626"/>
    <mergeCell ref="F5641:F5642"/>
    <mergeCell ref="F5619:F5620"/>
    <mergeCell ref="F5578:F5580"/>
    <mergeCell ref="F5498:F5500"/>
    <mergeCell ref="F5501:F5503"/>
    <mergeCell ref="F5504:F5508"/>
    <mergeCell ref="F5509:F5510"/>
    <mergeCell ref="F5517:F5518"/>
    <mergeCell ref="F5519:F5520"/>
    <mergeCell ref="F5521:F5522"/>
    <mergeCell ref="F5523:F5524"/>
    <mergeCell ref="F5525:F5526"/>
    <mergeCell ref="F5527:F5528"/>
    <mergeCell ref="F5529:F5531"/>
    <mergeCell ref="F5543:F5544"/>
    <mergeCell ref="F5545:F5547"/>
    <mergeCell ref="F5532:F5533"/>
    <mergeCell ref="F5534:F5535"/>
    <mergeCell ref="F5536:F5537"/>
    <mergeCell ref="F5548:F5550"/>
    <mergeCell ref="F5538:F5542"/>
    <mergeCell ref="F5551:F5553"/>
    <mergeCell ref="F5554:F5555"/>
    <mergeCell ref="F5556:F5557"/>
    <mergeCell ref="F5558:F5559"/>
    <mergeCell ref="F5581:F5582"/>
    <mergeCell ref="F5583:F5584"/>
    <mergeCell ref="F5585:F5586"/>
    <mergeCell ref="F5590:F5592"/>
    <mergeCell ref="F5607:F5608"/>
    <mergeCell ref="F5617:F5618"/>
    <mergeCell ref="F5682:F5683"/>
    <mergeCell ref="F5684:F5685"/>
    <mergeCell ref="F5686:F5687"/>
    <mergeCell ref="F5688:F5689"/>
    <mergeCell ref="F5664:F5666"/>
    <mergeCell ref="F5662:F5663"/>
    <mergeCell ref="F5671:F5673"/>
    <mergeCell ref="F5674:F5676"/>
    <mergeCell ref="F5727:F5728"/>
    <mergeCell ref="F5729:F5730"/>
    <mergeCell ref="F5731:F5732"/>
    <mergeCell ref="F5621:F5622"/>
    <mergeCell ref="F5645:F5647"/>
    <mergeCell ref="F5623:F5624"/>
    <mergeCell ref="F5627:F5628"/>
    <mergeCell ref="F5629:F5630"/>
    <mergeCell ref="F5631:F5632"/>
    <mergeCell ref="F5633:F5634"/>
    <mergeCell ref="F5635:F5636"/>
    <mergeCell ref="F5593:F5595"/>
    <mergeCell ref="F5587:F5589"/>
    <mergeCell ref="F5596:F5598"/>
    <mergeCell ref="F5696:F5697"/>
    <mergeCell ref="F5698:F5699"/>
    <mergeCell ref="F5700:F5701"/>
    <mergeCell ref="F5599:F5601"/>
    <mergeCell ref="F5959:F5960"/>
    <mergeCell ref="F6008:F6009"/>
    <mergeCell ref="F5995:F5996"/>
    <mergeCell ref="F5997:F5999"/>
    <mergeCell ref="F5979:F5980"/>
    <mergeCell ref="F5981:F5984"/>
    <mergeCell ref="F5965:F5966"/>
    <mergeCell ref="F5967:F5968"/>
    <mergeCell ref="F5969:F5970"/>
    <mergeCell ref="F5971:F5972"/>
    <mergeCell ref="F5973:F5974"/>
    <mergeCell ref="F5975:F5976"/>
    <mergeCell ref="F6000:F6003"/>
    <mergeCell ref="F6004:F6007"/>
    <mergeCell ref="F5985:F5987"/>
    <mergeCell ref="F5988:F5990"/>
    <mergeCell ref="F5991:F5992"/>
    <mergeCell ref="F5993:F5994"/>
    <mergeCell ref="F5977:F5978"/>
    <mergeCell ref="F6050:F6052"/>
    <mergeCell ref="F6053:F6055"/>
    <mergeCell ref="F6056:F6058"/>
    <mergeCell ref="F6033:F6035"/>
    <mergeCell ref="F6059:F6060"/>
    <mergeCell ref="F6061:F6062"/>
    <mergeCell ref="F6046:F6047"/>
    <mergeCell ref="F6063:F6064"/>
    <mergeCell ref="F6069:F6070"/>
    <mergeCell ref="F6048:F6049"/>
    <mergeCell ref="F6036:F6037"/>
    <mergeCell ref="F6038:F6039"/>
    <mergeCell ref="F6040:F6042"/>
    <mergeCell ref="F6031:F6032"/>
    <mergeCell ref="F6028:F6030"/>
    <mergeCell ref="F6043:F6045"/>
    <mergeCell ref="F6010:F6011"/>
    <mergeCell ref="F6012:F6013"/>
    <mergeCell ref="F6014:F6015"/>
    <mergeCell ref="F6016:F6017"/>
    <mergeCell ref="F6018:F6019"/>
    <mergeCell ref="F6020:F6021"/>
    <mergeCell ref="F6022:F6023"/>
    <mergeCell ref="F6024:F6025"/>
    <mergeCell ref="F6026:F6027"/>
    <mergeCell ref="F6065:F6068"/>
    <mergeCell ref="F6071:F6075"/>
    <mergeCell ref="F6076:F6078"/>
    <mergeCell ref="F6079:F6080"/>
    <mergeCell ref="F6081:F6083"/>
    <mergeCell ref="F6084:F6086"/>
    <mergeCell ref="F6087:F6089"/>
    <mergeCell ref="F6090:F6092"/>
    <mergeCell ref="F6093:F6094"/>
    <mergeCell ref="F6095:F6096"/>
    <mergeCell ref="F6097:F6098"/>
    <mergeCell ref="F6099:F6100"/>
    <mergeCell ref="F6101:F6102"/>
    <mergeCell ref="F6103:F6104"/>
    <mergeCell ref="F6105:F6106"/>
    <mergeCell ref="F6107:F6108"/>
    <mergeCell ref="F6109:F6110"/>
    <mergeCell ref="F6111:F6112"/>
    <mergeCell ref="F6219:F6220"/>
    <mergeCell ref="F6221:F6222"/>
    <mergeCell ref="F6175:F6177"/>
    <mergeCell ref="F6200:F6202"/>
    <mergeCell ref="F6180:F6184"/>
    <mergeCell ref="F6185:F6187"/>
    <mergeCell ref="F6188:F6189"/>
    <mergeCell ref="F6190:F6193"/>
    <mergeCell ref="F6196:F6197"/>
    <mergeCell ref="F6198:F6199"/>
    <mergeCell ref="F6178:F6179"/>
    <mergeCell ref="F6203:F6204"/>
    <mergeCell ref="F6205:F6206"/>
    <mergeCell ref="F6207:F6208"/>
    <mergeCell ref="F6209:F6210"/>
    <mergeCell ref="F6211:F6212"/>
    <mergeCell ref="F6213:F6214"/>
    <mergeCell ref="F6215:F6216"/>
    <mergeCell ref="F6217:F6218"/>
    <mergeCell ref="F6297:F6298"/>
    <mergeCell ref="F6355:F6358"/>
    <mergeCell ref="F6271:F6272"/>
    <mergeCell ref="F6273:F6274"/>
    <mergeCell ref="F6236:F6238"/>
    <mergeCell ref="F6239:F6241"/>
    <mergeCell ref="F6242:F6243"/>
    <mergeCell ref="F6275:F6277"/>
    <mergeCell ref="F6278:F6279"/>
    <mergeCell ref="F6280:F6282"/>
    <mergeCell ref="F6286:F6288"/>
    <mergeCell ref="F6283:F6285"/>
    <mergeCell ref="F6294:F6296"/>
    <mergeCell ref="F6319:F6321"/>
    <mergeCell ref="F6253:F6254"/>
    <mergeCell ref="F6223:F6224"/>
    <mergeCell ref="F6225:F6226"/>
    <mergeCell ref="F6227:F6229"/>
    <mergeCell ref="F6244:F6246"/>
    <mergeCell ref="F6247:F6249"/>
    <mergeCell ref="F6250:F6252"/>
    <mergeCell ref="F6255:F6256"/>
    <mergeCell ref="F6257:F6258"/>
    <mergeCell ref="F6259:F6260"/>
    <mergeCell ref="F6261:F6262"/>
    <mergeCell ref="F6263:F6264"/>
    <mergeCell ref="F6265:F6266"/>
    <mergeCell ref="F6267:F6268"/>
    <mergeCell ref="F6269:F6270"/>
    <mergeCell ref="F6232:F6233"/>
    <mergeCell ref="F6234:F6235"/>
    <mergeCell ref="F6230:F6231"/>
    <mergeCell ref="F5905:F5906"/>
    <mergeCell ref="F5957:F5958"/>
    <mergeCell ref="F6136:F6137"/>
    <mergeCell ref="F6194:F6195"/>
    <mergeCell ref="F6359:F6361"/>
    <mergeCell ref="F6352:F6354"/>
    <mergeCell ref="F6329:F6331"/>
    <mergeCell ref="F6332:F6333"/>
    <mergeCell ref="F6334:F6335"/>
    <mergeCell ref="F6336:F6337"/>
    <mergeCell ref="F6338:F6339"/>
    <mergeCell ref="F6340:F6341"/>
    <mergeCell ref="F6342:F6343"/>
    <mergeCell ref="F6344:F6345"/>
    <mergeCell ref="F6346:F6347"/>
    <mergeCell ref="F6348:F6349"/>
    <mergeCell ref="F6350:F6351"/>
    <mergeCell ref="F6291:F6293"/>
    <mergeCell ref="F6289:F6290"/>
    <mergeCell ref="F6299:F6300"/>
    <mergeCell ref="F6301:F6302"/>
    <mergeCell ref="F6303:F6304"/>
    <mergeCell ref="F6305:F6306"/>
    <mergeCell ref="F6307:F6308"/>
    <mergeCell ref="F6309:F6310"/>
    <mergeCell ref="F6311:F6312"/>
    <mergeCell ref="F6313:F6314"/>
    <mergeCell ref="F6315:F6316"/>
    <mergeCell ref="F6317:F6318"/>
    <mergeCell ref="F6322:F6323"/>
    <mergeCell ref="F6324:F6325"/>
    <mergeCell ref="F6326:F6328"/>
    <mergeCell ref="F4703:F4705"/>
    <mergeCell ref="F6506:F6507"/>
    <mergeCell ref="F6508:F6509"/>
    <mergeCell ref="F6510:F6511"/>
    <mergeCell ref="F6512:F6513"/>
    <mergeCell ref="F6514:F6515"/>
    <mergeCell ref="F6516:F6517"/>
    <mergeCell ref="F6451:F6452"/>
    <mergeCell ref="F6457:F6459"/>
    <mergeCell ref="F6463:F6464"/>
    <mergeCell ref="F6453:F6454"/>
    <mergeCell ref="F6460:F6462"/>
    <mergeCell ref="F6481:F6483"/>
    <mergeCell ref="F6426:F6428"/>
    <mergeCell ref="F6465:F6466"/>
    <mergeCell ref="F6484:F6486"/>
    <mergeCell ref="F6500:F6501"/>
    <mergeCell ref="F6502:F6503"/>
    <mergeCell ref="F6504:F6505"/>
    <mergeCell ref="F6467:F6468"/>
    <mergeCell ref="F6469:F6470"/>
    <mergeCell ref="F6487:F6489"/>
    <mergeCell ref="F6490:F6491"/>
    <mergeCell ref="F6455:F6456"/>
    <mergeCell ref="F6471:F6472"/>
    <mergeCell ref="F6473:F6475"/>
    <mergeCell ref="F6478:F6480"/>
    <mergeCell ref="F6476:F6477"/>
    <mergeCell ref="F6492:F6493"/>
    <mergeCell ref="F6494:F6495"/>
    <mergeCell ref="F6498:F6499"/>
    <mergeCell ref="F5470:F5471"/>
    <mergeCell ref="F6613:F6614"/>
    <mergeCell ref="F6615:F6616"/>
    <mergeCell ref="F6617:F6618"/>
    <mergeCell ref="F6619:F6620"/>
    <mergeCell ref="F6621:F6622"/>
    <mergeCell ref="F6601:F6602"/>
    <mergeCell ref="F6623:F6624"/>
    <mergeCell ref="F6520:F6522"/>
    <mergeCell ref="F6523:F6524"/>
    <mergeCell ref="F6525:F6526"/>
    <mergeCell ref="F6531:F6533"/>
    <mergeCell ref="F6534:F6536"/>
    <mergeCell ref="F6537:F6538"/>
    <mergeCell ref="F6539:F6540"/>
    <mergeCell ref="F6541:F6542"/>
    <mergeCell ref="F6543:F6544"/>
    <mergeCell ref="F6545:F6546"/>
    <mergeCell ref="F6547:F6548"/>
    <mergeCell ref="F6549:F6550"/>
    <mergeCell ref="F6551:F6552"/>
    <mergeCell ref="F6553:F6554"/>
    <mergeCell ref="F6555:F6556"/>
    <mergeCell ref="F6557:F6558"/>
    <mergeCell ref="F6559:F6560"/>
    <mergeCell ref="F6527:F6528"/>
    <mergeCell ref="F6529:F6530"/>
    <mergeCell ref="F6872:F6874"/>
    <mergeCell ref="F6875:F6876"/>
    <mergeCell ref="F6896:F6897"/>
    <mergeCell ref="F6643:F6644"/>
    <mergeCell ref="F6645:F6646"/>
    <mergeCell ref="F6632:F6633"/>
    <mergeCell ref="F6842:F6843"/>
    <mergeCell ref="F6844:F6845"/>
    <mergeCell ref="F6846:F6847"/>
    <mergeCell ref="F6561:F6562"/>
    <mergeCell ref="F6563:F6564"/>
    <mergeCell ref="F6565:F6566"/>
    <mergeCell ref="F6569:F6571"/>
    <mergeCell ref="F6572:F6573"/>
    <mergeCell ref="F6574:F6575"/>
    <mergeCell ref="F6576:F6577"/>
    <mergeCell ref="F6578:F6579"/>
    <mergeCell ref="F6580:F6581"/>
    <mergeCell ref="F6582:F6583"/>
    <mergeCell ref="F6584:F6585"/>
    <mergeCell ref="F6586:F6587"/>
    <mergeCell ref="F6588:F6589"/>
    <mergeCell ref="F6590:F6591"/>
    <mergeCell ref="F6592:F6593"/>
    <mergeCell ref="F6594:F6595"/>
    <mergeCell ref="F6596:F6598"/>
    <mergeCell ref="F6599:F6600"/>
    <mergeCell ref="F6603:F6604"/>
    <mergeCell ref="F6605:F6606"/>
    <mergeCell ref="F6607:F6608"/>
    <mergeCell ref="F6609:F6610"/>
    <mergeCell ref="F6611:F6612"/>
    <mergeCell ref="F7187:F7188"/>
    <mergeCell ref="F7189:F7190"/>
    <mergeCell ref="F7183:F7184"/>
    <mergeCell ref="F7185:F7186"/>
    <mergeCell ref="F7218:F7219"/>
    <mergeCell ref="F7220:F7221"/>
    <mergeCell ref="F7197:F7200"/>
    <mergeCell ref="F7153:F7154"/>
    <mergeCell ref="F7222:F7223"/>
    <mergeCell ref="F6625:F6626"/>
    <mergeCell ref="F6627:F6628"/>
    <mergeCell ref="F6640:F6642"/>
    <mergeCell ref="F6629:F6631"/>
    <mergeCell ref="F6860:F6862"/>
    <mergeCell ref="F6863:F6865"/>
    <mergeCell ref="F6906:F6907"/>
    <mergeCell ref="F6904:F6905"/>
    <mergeCell ref="F6870:F6871"/>
    <mergeCell ref="F6858:F6859"/>
    <mergeCell ref="F6810:F6814"/>
    <mergeCell ref="F6815:F6819"/>
    <mergeCell ref="F6820:F6823"/>
    <mergeCell ref="F6800:F6801"/>
    <mergeCell ref="F6824:F6825"/>
    <mergeCell ref="F6826:F6828"/>
    <mergeCell ref="F6831:F6832"/>
    <mergeCell ref="F6802:F6803"/>
    <mergeCell ref="F6829:F6830"/>
    <mergeCell ref="F6898:F6900"/>
    <mergeCell ref="F6901:F6903"/>
    <mergeCell ref="F6836:F6837"/>
    <mergeCell ref="F6866:F6867"/>
    <mergeCell ref="F7113:F7114"/>
    <mergeCell ref="F7115:F7116"/>
    <mergeCell ref="F7117:F7118"/>
    <mergeCell ref="F7098:F7101"/>
    <mergeCell ref="F7091:F7093"/>
    <mergeCell ref="F7157:F7158"/>
    <mergeCell ref="F7108:F7110"/>
    <mergeCell ref="F7102:F7103"/>
    <mergeCell ref="F7104:F7105"/>
    <mergeCell ref="F7106:F7107"/>
    <mergeCell ref="F7119:F7120"/>
    <mergeCell ref="F7121:F7122"/>
    <mergeCell ref="F7066:F7067"/>
    <mergeCell ref="F7087:F7088"/>
    <mergeCell ref="F7082:F7083"/>
    <mergeCell ref="F7080:F7081"/>
    <mergeCell ref="F7071:F7074"/>
    <mergeCell ref="F7075:F7079"/>
    <mergeCell ref="F7142:F7143"/>
    <mergeCell ref="F7155:F7156"/>
    <mergeCell ref="F7125:F7126"/>
    <mergeCell ref="F7129:F7130"/>
    <mergeCell ref="F7131:F7132"/>
    <mergeCell ref="F7133:F7137"/>
    <mergeCell ref="F7144:F7148"/>
    <mergeCell ref="F7127:F7128"/>
    <mergeCell ref="F6634:F6635"/>
    <mergeCell ref="F6636:F6637"/>
    <mergeCell ref="F6638:F6639"/>
    <mergeCell ref="F6567:F6568"/>
    <mergeCell ref="F7164:F7166"/>
    <mergeCell ref="F7167:F7168"/>
    <mergeCell ref="F7171:F7172"/>
    <mergeCell ref="F7169:F7170"/>
    <mergeCell ref="F7173:F7174"/>
    <mergeCell ref="F7175:F7176"/>
    <mergeCell ref="F7177:F7178"/>
    <mergeCell ref="F7179:F7180"/>
    <mergeCell ref="F7181:F7182"/>
    <mergeCell ref="F6946:F6947"/>
    <mergeCell ref="F6948:F6949"/>
    <mergeCell ref="F6950:F6951"/>
    <mergeCell ref="F6952:F6953"/>
    <mergeCell ref="F6954:F6955"/>
    <mergeCell ref="F6962:F6965"/>
    <mergeCell ref="F6997:F6998"/>
    <mergeCell ref="F6999:F7000"/>
    <mergeCell ref="F7031:F7033"/>
    <mergeCell ref="F7094:F7097"/>
    <mergeCell ref="F7089:F7090"/>
    <mergeCell ref="F7045:F7046"/>
    <mergeCell ref="F7061:F7065"/>
    <mergeCell ref="F7138:F7139"/>
    <mergeCell ref="F7140:F7141"/>
    <mergeCell ref="F7149:F7150"/>
    <mergeCell ref="F7151:F7152"/>
    <mergeCell ref="F7111:F7112"/>
    <mergeCell ref="F7123:F7124"/>
    <mergeCell ref="F7306:F7307"/>
    <mergeCell ref="F7308:F7309"/>
    <mergeCell ref="F7310:F7311"/>
    <mergeCell ref="F7341:F7343"/>
    <mergeCell ref="F7394:F7395"/>
    <mergeCell ref="F7356:F7359"/>
    <mergeCell ref="F7317:F7321"/>
    <mergeCell ref="F7322:F7325"/>
    <mergeCell ref="F7326:F7328"/>
    <mergeCell ref="F7331:F7333"/>
    <mergeCell ref="F7334:F7335"/>
    <mergeCell ref="F7260:F7262"/>
    <mergeCell ref="F7263:F7266"/>
    <mergeCell ref="F7273:F7274"/>
    <mergeCell ref="F7376:F7377"/>
    <mergeCell ref="F7378:F7379"/>
    <mergeCell ref="F7380:F7381"/>
    <mergeCell ref="F7382:F7383"/>
    <mergeCell ref="F7384:F7385"/>
    <mergeCell ref="F7362:F7363"/>
    <mergeCell ref="F7287:F7288"/>
    <mergeCell ref="F7267:F7268"/>
    <mergeCell ref="F7289:F7291"/>
    <mergeCell ref="F7275:F7276"/>
    <mergeCell ref="F7269:F7272"/>
    <mergeCell ref="F7408:F7409"/>
    <mergeCell ref="F7424:F7425"/>
    <mergeCell ref="F7426:F7427"/>
    <mergeCell ref="F7428:F7429"/>
    <mergeCell ref="F7430:F7431"/>
    <mergeCell ref="F7211:F7213"/>
    <mergeCell ref="F7205:F7206"/>
    <mergeCell ref="F7207:F7208"/>
    <mergeCell ref="F7209:F7210"/>
    <mergeCell ref="F7242:F7243"/>
    <mergeCell ref="F7386:F7387"/>
    <mergeCell ref="F7388:F7389"/>
    <mergeCell ref="F7390:F7391"/>
    <mergeCell ref="F7253:F7254"/>
    <mergeCell ref="F7234:F7235"/>
    <mergeCell ref="F7224:F7225"/>
    <mergeCell ref="F7226:F7227"/>
    <mergeCell ref="F7228:F7229"/>
    <mergeCell ref="F7230:F7231"/>
    <mergeCell ref="F7232:F7233"/>
    <mergeCell ref="F7346:F7347"/>
    <mergeCell ref="F7392:F7393"/>
    <mergeCell ref="F7354:F7355"/>
    <mergeCell ref="F7360:F7361"/>
    <mergeCell ref="F7238:F7239"/>
    <mergeCell ref="F7350:F7351"/>
    <mergeCell ref="F7352:F7353"/>
    <mergeCell ref="F7364:F7367"/>
    <mergeCell ref="F7368:F7371"/>
    <mergeCell ref="F7240:F7241"/>
    <mergeCell ref="F7244:F7248"/>
    <mergeCell ref="F7255:F7259"/>
    <mergeCell ref="F7203:F7204"/>
    <mergeCell ref="F7214:F7215"/>
    <mergeCell ref="F7191:F7192"/>
    <mergeCell ref="F7193:F7194"/>
    <mergeCell ref="F7195:F7196"/>
    <mergeCell ref="F7162:F7163"/>
    <mergeCell ref="F7499:F7500"/>
    <mergeCell ref="F7470:F7471"/>
    <mergeCell ref="F7294:F7295"/>
    <mergeCell ref="F7625:F7626"/>
    <mergeCell ref="F7619:F7620"/>
    <mergeCell ref="F7621:F7622"/>
    <mergeCell ref="F7615:F7618"/>
    <mergeCell ref="F7543:F7544"/>
    <mergeCell ref="F7545:F7546"/>
    <mergeCell ref="F7547:F7548"/>
    <mergeCell ref="F7549:F7550"/>
    <mergeCell ref="F7488:F7491"/>
    <mergeCell ref="F7492:F7496"/>
    <mergeCell ref="F7503:F7507"/>
    <mergeCell ref="F7576:F7577"/>
    <mergeCell ref="F7520:F7522"/>
    <mergeCell ref="F7497:F7498"/>
    <mergeCell ref="F7304:F7305"/>
    <mergeCell ref="F7336:F7337"/>
    <mergeCell ref="F7448:F7450"/>
    <mergeCell ref="F7468:F7469"/>
    <mergeCell ref="F7476:F7477"/>
    <mergeCell ref="F7466:F7467"/>
    <mergeCell ref="F7372:F7375"/>
    <mergeCell ref="F7344:F7345"/>
    <mergeCell ref="F7216:F7217"/>
    <mergeCell ref="F7945:F7946"/>
    <mergeCell ref="F7960:F7961"/>
    <mergeCell ref="F7845:F7847"/>
    <mergeCell ref="F6934:F6937"/>
    <mergeCell ref="F7757:F7759"/>
    <mergeCell ref="F7829:F7830"/>
    <mergeCell ref="F7201:F7202"/>
    <mergeCell ref="F7720:F7722"/>
    <mergeCell ref="F7723:F7724"/>
    <mergeCell ref="F7557:F7558"/>
    <mergeCell ref="F7329:F7330"/>
    <mergeCell ref="F7778:F7782"/>
    <mergeCell ref="F7799:F7802"/>
    <mergeCell ref="F7803:F7806"/>
    <mergeCell ref="F7807:F7809"/>
    <mergeCell ref="F7810:F7812"/>
    <mergeCell ref="F7813:F7815"/>
    <mergeCell ref="F7816:F7817"/>
    <mergeCell ref="F7687:F7688"/>
    <mergeCell ref="F7789:F7792"/>
    <mergeCell ref="F7580:F7584"/>
    <mergeCell ref="F7434:F7438"/>
    <mergeCell ref="F7236:F7237"/>
    <mergeCell ref="F7249:F7250"/>
    <mergeCell ref="F7251:F7252"/>
    <mergeCell ref="F7277:F7278"/>
    <mergeCell ref="F7464:F7465"/>
    <mergeCell ref="F7443:F7444"/>
    <mergeCell ref="F7460:F7461"/>
    <mergeCell ref="F7462:F7463"/>
    <mergeCell ref="F7525:F7526"/>
    <mergeCell ref="F7159:F7161"/>
    <mergeCell ref="F8371:F8372"/>
    <mergeCell ref="F7918:F7919"/>
    <mergeCell ref="F7920:F7921"/>
    <mergeCell ref="F7591:F7595"/>
    <mergeCell ref="F7793:F7795"/>
    <mergeCell ref="F7796:F7798"/>
    <mergeCell ref="F7768:F7769"/>
    <mergeCell ref="F7956:F7957"/>
    <mergeCell ref="F7964:F7966"/>
    <mergeCell ref="F7970:F7973"/>
    <mergeCell ref="F7974:F7977"/>
    <mergeCell ref="F7709:F7710"/>
    <mergeCell ref="F7820:F7822"/>
    <mergeCell ref="F7818:F7819"/>
    <mergeCell ref="F7881:F7882"/>
    <mergeCell ref="F8106:F8108"/>
    <mergeCell ref="F8122:F8123"/>
    <mergeCell ref="F8006:F8007"/>
    <mergeCell ref="F7885:F7886"/>
    <mergeCell ref="F7990:F7991"/>
    <mergeCell ref="F7940:F7942"/>
    <mergeCell ref="F7978:F7981"/>
    <mergeCell ref="F8008:F8009"/>
    <mergeCell ref="F8021:F8023"/>
    <mergeCell ref="F8010:F8011"/>
    <mergeCell ref="F7958:F7959"/>
    <mergeCell ref="F7962:F7963"/>
    <mergeCell ref="F8017:F8020"/>
    <mergeCell ref="F7982:F7984"/>
    <mergeCell ref="F7985:F7986"/>
    <mergeCell ref="F7994:F7995"/>
    <mergeCell ref="F7943:F7944"/>
    <mergeCell ref="F8049:F8051"/>
    <mergeCell ref="F7996:F7997"/>
    <mergeCell ref="F7998:F7999"/>
    <mergeCell ref="F7841:F7842"/>
    <mergeCell ref="F7843:F7844"/>
    <mergeCell ref="F7879:F7880"/>
    <mergeCell ref="F7883:F7884"/>
    <mergeCell ref="F7894:F7895"/>
    <mergeCell ref="F8623:F8625"/>
    <mergeCell ref="F8606:F8607"/>
    <mergeCell ref="F8589:F8593"/>
    <mergeCell ref="F8224:F8225"/>
    <mergeCell ref="F7926:F7930"/>
    <mergeCell ref="F7931:F7935"/>
    <mergeCell ref="F7936:F7939"/>
    <mergeCell ref="F7947:F7951"/>
    <mergeCell ref="F7952:F7955"/>
    <mergeCell ref="F8000:F8001"/>
    <mergeCell ref="F8002:F8003"/>
    <mergeCell ref="F8004:F8005"/>
    <mergeCell ref="F7896:F7897"/>
    <mergeCell ref="F7898:F7899"/>
    <mergeCell ref="F7906:F7907"/>
    <mergeCell ref="F7900:F7902"/>
    <mergeCell ref="F7903:F7905"/>
    <mergeCell ref="F8373:F8375"/>
    <mergeCell ref="F8419:F8421"/>
    <mergeCell ref="F8425:F8427"/>
    <mergeCell ref="F8388:F8389"/>
    <mergeCell ref="F8416:F8418"/>
    <mergeCell ref="F8364:F8368"/>
    <mergeCell ref="F8369:F8370"/>
    <mergeCell ref="F8230:F8231"/>
    <mergeCell ref="F8276:F8277"/>
    <mergeCell ref="F8286:F8287"/>
    <mergeCell ref="F7854:F7855"/>
    <mergeCell ref="F7856:F7857"/>
    <mergeCell ref="F7858:F7859"/>
    <mergeCell ref="F7870:F7871"/>
    <mergeCell ref="F7872:F7875"/>
    <mergeCell ref="F8117:F8119"/>
    <mergeCell ref="F8126:F8129"/>
    <mergeCell ref="F8130:F8134"/>
    <mergeCell ref="F8179:F8180"/>
    <mergeCell ref="F8255:F8256"/>
    <mergeCell ref="F7922:F7923"/>
    <mergeCell ref="F7924:F7925"/>
    <mergeCell ref="F8012:F8016"/>
    <mergeCell ref="F7887:F7888"/>
    <mergeCell ref="F8073:F8075"/>
    <mergeCell ref="F8102:F8103"/>
    <mergeCell ref="F8027:F8028"/>
    <mergeCell ref="F8029:F8030"/>
    <mergeCell ref="F8031:F8032"/>
    <mergeCell ref="F8033:F8034"/>
    <mergeCell ref="F8137:F8138"/>
    <mergeCell ref="F8079:F8080"/>
    <mergeCell ref="F8114:F8116"/>
    <mergeCell ref="F8181:F8182"/>
    <mergeCell ref="F8183:F8184"/>
    <mergeCell ref="F8035:F8036"/>
    <mergeCell ref="F8037:F8041"/>
    <mergeCell ref="F8042:F8045"/>
    <mergeCell ref="F8046:F8048"/>
    <mergeCell ref="F8052:F8053"/>
    <mergeCell ref="F8054:F8055"/>
    <mergeCell ref="F8056:F8057"/>
    <mergeCell ref="F8068:F8070"/>
    <mergeCell ref="F8071:F8072"/>
    <mergeCell ref="F8109:F8111"/>
    <mergeCell ref="F8112:F8113"/>
    <mergeCell ref="F8120:F8121"/>
    <mergeCell ref="F8063:F8065"/>
    <mergeCell ref="F8081:F8082"/>
    <mergeCell ref="F8177:F8178"/>
    <mergeCell ref="F8143:F8144"/>
    <mergeCell ref="F8145:F8146"/>
    <mergeCell ref="F8147:F8148"/>
    <mergeCell ref="F8282:F8283"/>
    <mergeCell ref="F8307:F8311"/>
    <mergeCell ref="F8312:F8316"/>
    <mergeCell ref="F8294:F8298"/>
    <mergeCell ref="F8149:F8150"/>
    <mergeCell ref="F8124:F8125"/>
    <mergeCell ref="F8240:F8244"/>
    <mergeCell ref="F8245:F8249"/>
    <mergeCell ref="F8250:F8254"/>
    <mergeCell ref="F8261:F8265"/>
    <mergeCell ref="F8220:F8221"/>
    <mergeCell ref="F8206:F8210"/>
    <mergeCell ref="F8211:F8214"/>
    <mergeCell ref="F8234:F8235"/>
    <mergeCell ref="F8236:F8237"/>
    <mergeCell ref="F8238:F8239"/>
    <mergeCell ref="F8288:F8289"/>
    <mergeCell ref="F8284:F8285"/>
    <mergeCell ref="F8141:F8142"/>
    <mergeCell ref="F8172:F8176"/>
    <mergeCell ref="F8135:F8136"/>
    <mergeCell ref="F8161:F8162"/>
    <mergeCell ref="F8396:F8400"/>
    <mergeCell ref="F8401:F8404"/>
    <mergeCell ref="F8448:F8449"/>
    <mergeCell ref="F8482:F8486"/>
    <mergeCell ref="F8458:F8459"/>
    <mergeCell ref="F8505:F8506"/>
    <mergeCell ref="F8470:F8472"/>
    <mergeCell ref="F8266:F8270"/>
    <mergeCell ref="F8460:F8461"/>
    <mergeCell ref="F8462:F8463"/>
    <mergeCell ref="F8159:F8160"/>
    <mergeCell ref="F8157:F8158"/>
    <mergeCell ref="F8139:F8140"/>
    <mergeCell ref="F8358:F8359"/>
    <mergeCell ref="F8360:F8361"/>
    <mergeCell ref="F8352:F8353"/>
    <mergeCell ref="F8187:F8191"/>
    <mergeCell ref="F8201:F8205"/>
    <mergeCell ref="F8299:F8300"/>
    <mergeCell ref="F8301:F8302"/>
    <mergeCell ref="F8226:F8227"/>
    <mergeCell ref="F8339:F8341"/>
    <mergeCell ref="F8327:F8331"/>
    <mergeCell ref="F8319:F8320"/>
    <mergeCell ref="F8290:F8293"/>
    <mergeCell ref="F8303:F8304"/>
    <mergeCell ref="F8305:F8306"/>
    <mergeCell ref="F8317:F8318"/>
    <mergeCell ref="F8410:F8411"/>
    <mergeCell ref="F8412:F8413"/>
    <mergeCell ref="F8428:F8429"/>
    <mergeCell ref="F8394:F8395"/>
    <mergeCell ref="F8058:F8059"/>
    <mergeCell ref="F8060:F8062"/>
    <mergeCell ref="F8066:F8067"/>
    <mergeCell ref="F8222:F8223"/>
    <mergeCell ref="F8098:F8099"/>
    <mergeCell ref="F8076:F8078"/>
    <mergeCell ref="F8104:F8105"/>
    <mergeCell ref="F8232:F8233"/>
    <mergeCell ref="F8376:F8378"/>
    <mergeCell ref="F8228:F8229"/>
    <mergeCell ref="F8280:F8281"/>
    <mergeCell ref="F8083:F8085"/>
    <mergeCell ref="F8086:F8087"/>
    <mergeCell ref="F8088:F8090"/>
    <mergeCell ref="F8091:F8092"/>
    <mergeCell ref="F8093:F8094"/>
    <mergeCell ref="F8271:F8275"/>
    <mergeCell ref="F8259:F8260"/>
    <mergeCell ref="F8321:F8322"/>
    <mergeCell ref="F8342:F8343"/>
    <mergeCell ref="F8354:F8355"/>
    <mergeCell ref="F8356:F8357"/>
    <mergeCell ref="F8323:F8324"/>
    <mergeCell ref="F8325:F8326"/>
    <mergeCell ref="F8163:F8164"/>
    <mergeCell ref="F8165:F8166"/>
    <mergeCell ref="F8095:F8097"/>
    <mergeCell ref="F8100:F8101"/>
    <mergeCell ref="F8626:F8627"/>
    <mergeCell ref="F8576:F8577"/>
    <mergeCell ref="F8570:F8571"/>
    <mergeCell ref="F8541:F8542"/>
    <mergeCell ref="F8379:F8383"/>
    <mergeCell ref="F8445:F8447"/>
    <mergeCell ref="F8442:F8444"/>
    <mergeCell ref="F8473:F8475"/>
    <mergeCell ref="F8476:F8477"/>
    <mergeCell ref="F8390:F8391"/>
    <mergeCell ref="F8392:F8393"/>
    <mergeCell ref="F8422:F8424"/>
    <mergeCell ref="F8464:F8465"/>
    <mergeCell ref="F8466:F8467"/>
    <mergeCell ref="F8405:F8409"/>
    <mergeCell ref="F8384:F8385"/>
    <mergeCell ref="F8386:F8387"/>
    <mergeCell ref="F8468:F8469"/>
    <mergeCell ref="F8512:F8513"/>
    <mergeCell ref="F8490:F8491"/>
    <mergeCell ref="F8492:F8493"/>
    <mergeCell ref="F8494:F8495"/>
    <mergeCell ref="F8498:F8499"/>
    <mergeCell ref="F8496:F8497"/>
    <mergeCell ref="F8507:F8508"/>
    <mergeCell ref="F8500:F8504"/>
    <mergeCell ref="F8434:F8436"/>
    <mergeCell ref="F8437:F8441"/>
    <mergeCell ref="F8450:F8451"/>
    <mergeCell ref="F8452:F8453"/>
    <mergeCell ref="F8454:F8455"/>
    <mergeCell ref="F8456:F8457"/>
    <mergeCell ref="F8681:F8682"/>
    <mergeCell ref="F8683:F8684"/>
    <mergeCell ref="F8685:F8686"/>
    <mergeCell ref="F8687:F8688"/>
    <mergeCell ref="F8689:F8690"/>
    <mergeCell ref="F8414:F8415"/>
    <mergeCell ref="F8432:F8433"/>
    <mergeCell ref="F8566:F8567"/>
    <mergeCell ref="F8568:F8569"/>
    <mergeCell ref="F8651:F8653"/>
    <mergeCell ref="F8654:F8656"/>
    <mergeCell ref="F8628:F8630"/>
    <mergeCell ref="F8631:F8633"/>
    <mergeCell ref="F8634:F8636"/>
    <mergeCell ref="F8553:F8554"/>
    <mergeCell ref="F8675:F8676"/>
    <mergeCell ref="F8649:F8650"/>
    <mergeCell ref="F8637:F8641"/>
    <mergeCell ref="F8514:F8516"/>
    <mergeCell ref="F8594:F8596"/>
    <mergeCell ref="F8611:F8613"/>
    <mergeCell ref="F8597:F8598"/>
    <mergeCell ref="F8642:F8643"/>
    <mergeCell ref="F8599:F8600"/>
    <mergeCell ref="F8614:F8615"/>
    <mergeCell ref="F8487:F8489"/>
    <mergeCell ref="F8430:F8431"/>
    <mergeCell ref="F8558:F8560"/>
    <mergeCell ref="F8478:F8479"/>
    <mergeCell ref="F8480:F8481"/>
    <mergeCell ref="F8584:F8585"/>
    <mergeCell ref="F8586:F8588"/>
    <mergeCell ref="F8693:F8694"/>
    <mergeCell ref="F8695:F8696"/>
    <mergeCell ref="F9042:F9044"/>
    <mergeCell ref="F9039:F9041"/>
    <mergeCell ref="F8985:F8987"/>
    <mergeCell ref="F8818:F8819"/>
    <mergeCell ref="F8820:F8821"/>
    <mergeCell ref="F8822:F8823"/>
    <mergeCell ref="F8824:F8825"/>
    <mergeCell ref="F8992:F8993"/>
    <mergeCell ref="F9025:F9027"/>
    <mergeCell ref="F8929:F8931"/>
    <mergeCell ref="F8867:F8869"/>
    <mergeCell ref="F8870:F8874"/>
    <mergeCell ref="F8875:F8879"/>
    <mergeCell ref="F8891:F8893"/>
    <mergeCell ref="F8774:F8776"/>
    <mergeCell ref="F8765:F8766"/>
    <mergeCell ref="F8767:F8768"/>
    <mergeCell ref="F8780:F8781"/>
    <mergeCell ref="F8782:F8784"/>
    <mergeCell ref="F8826:F8827"/>
    <mergeCell ref="F8828:F8829"/>
    <mergeCell ref="F8777:F8779"/>
    <mergeCell ref="F8807:F8809"/>
    <mergeCell ref="F8743:F8744"/>
    <mergeCell ref="F8730:F8731"/>
    <mergeCell ref="F8701:F8705"/>
    <mergeCell ref="F8706:F8710"/>
    <mergeCell ref="F8722:F8726"/>
    <mergeCell ref="F8732:F8736"/>
    <mergeCell ref="F8803:F8804"/>
    <mergeCell ref="F9055:F9057"/>
    <mergeCell ref="F9310:F9311"/>
    <mergeCell ref="F9249:F9253"/>
    <mergeCell ref="F9262:F9266"/>
    <mergeCell ref="F9221:F9222"/>
    <mergeCell ref="F9223:F9224"/>
    <mergeCell ref="F9045:F9046"/>
    <mergeCell ref="F9087:F9088"/>
    <mergeCell ref="F9158:F9160"/>
    <mergeCell ref="F9200:F9202"/>
    <mergeCell ref="F9203:F9205"/>
    <mergeCell ref="F9097:F9098"/>
    <mergeCell ref="F9119:F9123"/>
    <mergeCell ref="F9066:F9067"/>
    <mergeCell ref="F9068:F9069"/>
    <mergeCell ref="F9070:F9071"/>
    <mergeCell ref="F9072:F9073"/>
    <mergeCell ref="F9074:F9075"/>
    <mergeCell ref="F9154:F9155"/>
    <mergeCell ref="F9156:F9157"/>
    <mergeCell ref="F9166:F9167"/>
    <mergeCell ref="F9136:F9137"/>
    <mergeCell ref="F9147:F9148"/>
    <mergeCell ref="F9064:F9065"/>
    <mergeCell ref="F9083:F9084"/>
    <mergeCell ref="F9085:F9086"/>
    <mergeCell ref="F9091:F9092"/>
    <mergeCell ref="F9111:F9113"/>
    <mergeCell ref="F9093:F9094"/>
    <mergeCell ref="F9259:F9261"/>
    <mergeCell ref="F9219:F9220"/>
    <mergeCell ref="F9254:F9256"/>
    <mergeCell ref="F9114:F9118"/>
    <mergeCell ref="F9302:F9303"/>
    <mergeCell ref="F9304:F9305"/>
    <mergeCell ref="F9306:F9307"/>
    <mergeCell ref="F9308:F9309"/>
    <mergeCell ref="F9295:F9299"/>
    <mergeCell ref="F9142:F9143"/>
    <mergeCell ref="F9133:F9135"/>
    <mergeCell ref="F9144:F9146"/>
    <mergeCell ref="F9178:F9179"/>
    <mergeCell ref="F9300:F9301"/>
    <mergeCell ref="F9229:F9230"/>
    <mergeCell ref="F9231:F9232"/>
    <mergeCell ref="F9233:F9234"/>
    <mergeCell ref="F9235:F9236"/>
    <mergeCell ref="F9237:F9238"/>
    <mergeCell ref="F9193:F9197"/>
    <mergeCell ref="F9257:F9258"/>
    <mergeCell ref="F9227:F9228"/>
    <mergeCell ref="F9191:F9192"/>
    <mergeCell ref="F9211:F9215"/>
    <mergeCell ref="F9274:F9276"/>
    <mergeCell ref="F9239:F9241"/>
    <mergeCell ref="F9168:F9169"/>
    <mergeCell ref="F9170:F9171"/>
    <mergeCell ref="F9172:F9173"/>
    <mergeCell ref="F9186:F9188"/>
    <mergeCell ref="F9242:F9244"/>
    <mergeCell ref="F9277:F9278"/>
    <mergeCell ref="F9279:F9280"/>
    <mergeCell ref="F9267:F9268"/>
    <mergeCell ref="F9216:F9218"/>
    <mergeCell ref="F9124:F9125"/>
    <mergeCell ref="F9126:F9127"/>
    <mergeCell ref="F9130:F9132"/>
    <mergeCell ref="F9138:F9139"/>
    <mergeCell ref="F9140:F9141"/>
    <mergeCell ref="F9149:F9153"/>
    <mergeCell ref="F9815:F9817"/>
    <mergeCell ref="F9818:F9820"/>
    <mergeCell ref="F9810:F9812"/>
    <mergeCell ref="F9813:F9814"/>
    <mergeCell ref="F9225:F9226"/>
    <mergeCell ref="F9283:F9287"/>
    <mergeCell ref="F9318:F9319"/>
    <mergeCell ref="F9320:F9324"/>
    <mergeCell ref="F9356:F9357"/>
    <mergeCell ref="F9339:F9340"/>
    <mergeCell ref="F9346:F9347"/>
    <mergeCell ref="F9341:F9343"/>
    <mergeCell ref="F9344:F9345"/>
    <mergeCell ref="F9330:F9332"/>
    <mergeCell ref="F9312:F9313"/>
    <mergeCell ref="F9245:F9246"/>
    <mergeCell ref="F9269:F9273"/>
    <mergeCell ref="F9386:F9388"/>
    <mergeCell ref="F9383:F9385"/>
    <mergeCell ref="F9380:F9382"/>
    <mergeCell ref="F9291:F9292"/>
    <mergeCell ref="F9293:F9294"/>
    <mergeCell ref="F9288:F9290"/>
    <mergeCell ref="F9314:F9315"/>
    <mergeCell ref="F9316:F9317"/>
    <mergeCell ref="F9430:F9431"/>
    <mergeCell ref="F9873:F9874"/>
    <mergeCell ref="F9875:F9876"/>
    <mergeCell ref="F9877:F9878"/>
    <mergeCell ref="F9879:F9880"/>
    <mergeCell ref="F9848:F9849"/>
    <mergeCell ref="F9850:F9851"/>
    <mergeCell ref="F9845:F9847"/>
    <mergeCell ref="F9842:F9844"/>
    <mergeCell ref="F9852:F9854"/>
    <mergeCell ref="F9855:F9859"/>
    <mergeCell ref="F9860:F9862"/>
    <mergeCell ref="F9960:F9961"/>
    <mergeCell ref="F9962:F9963"/>
    <mergeCell ref="F9964:F9965"/>
    <mergeCell ref="F9966:F9967"/>
    <mergeCell ref="F9968:F9969"/>
    <mergeCell ref="F9970:F9971"/>
    <mergeCell ref="F9894:F9896"/>
    <mergeCell ref="F9897:F9899"/>
    <mergeCell ref="F9972:F9973"/>
    <mergeCell ref="F9974:F9975"/>
    <mergeCell ref="F9976:F9977"/>
    <mergeCell ref="F9978:F9979"/>
    <mergeCell ref="F9955:F9959"/>
    <mergeCell ref="F9902:F9903"/>
    <mergeCell ref="F9881:F9882"/>
    <mergeCell ref="F9828:F9829"/>
    <mergeCell ref="F9830:F9831"/>
    <mergeCell ref="F9832:F9833"/>
    <mergeCell ref="F9834:F9835"/>
    <mergeCell ref="F9836:F9838"/>
    <mergeCell ref="F9839:F9841"/>
    <mergeCell ref="F9900:F9901"/>
    <mergeCell ref="F9936:F9938"/>
    <mergeCell ref="F9921:F9922"/>
    <mergeCell ref="F9926:F9927"/>
    <mergeCell ref="F9923:F9925"/>
    <mergeCell ref="F9928:F9932"/>
    <mergeCell ref="F9939:F9943"/>
    <mergeCell ref="F9944:F9948"/>
    <mergeCell ref="F9883:F9884"/>
    <mergeCell ref="F9885:F9886"/>
    <mergeCell ref="F9890:F9891"/>
    <mergeCell ref="F9887:F9889"/>
    <mergeCell ref="F9904:F9905"/>
    <mergeCell ref="F9892:F9893"/>
    <mergeCell ref="F9906:F9907"/>
    <mergeCell ref="F9908:F9912"/>
    <mergeCell ref="F9913:F9917"/>
    <mergeCell ref="F9918:F9920"/>
    <mergeCell ref="F9933:F9935"/>
    <mergeCell ref="F10314:F10315"/>
    <mergeCell ref="F10316:F10317"/>
    <mergeCell ref="F10318:F10319"/>
    <mergeCell ref="F10351:F10355"/>
    <mergeCell ref="F10359:F10360"/>
    <mergeCell ref="F10361:F10362"/>
    <mergeCell ref="F10363:F10364"/>
    <mergeCell ref="F10454:F10456"/>
    <mergeCell ref="F10452:F10453"/>
    <mergeCell ref="F10098:F10102"/>
    <mergeCell ref="F10103:F10105"/>
    <mergeCell ref="F10203:F10204"/>
    <mergeCell ref="F10205:F10206"/>
    <mergeCell ref="F10207:F10208"/>
    <mergeCell ref="F10209:F10210"/>
    <mergeCell ref="F10211:F10212"/>
    <mergeCell ref="F10213:F10214"/>
    <mergeCell ref="F10215:F10216"/>
    <mergeCell ref="F10217:F10218"/>
    <mergeCell ref="F10219:F10220"/>
    <mergeCell ref="F10221:F10222"/>
    <mergeCell ref="F10146:F10147"/>
    <mergeCell ref="F10148:F10149"/>
    <mergeCell ref="F10150:F10151"/>
    <mergeCell ref="F10152:F10153"/>
    <mergeCell ref="F10154:F10155"/>
    <mergeCell ref="F10156:F10157"/>
    <mergeCell ref="F10158:F10159"/>
    <mergeCell ref="F10160:F10161"/>
    <mergeCell ref="F10179:F10180"/>
    <mergeCell ref="F10130:F10131"/>
    <mergeCell ref="F10126:F10127"/>
    <mergeCell ref="F10639:F10640"/>
    <mergeCell ref="F10641:F10643"/>
    <mergeCell ref="F10644:F10645"/>
    <mergeCell ref="F10603:F10604"/>
    <mergeCell ref="F10658:F10660"/>
    <mergeCell ref="F10260:F10261"/>
    <mergeCell ref="F10233:F10234"/>
    <mergeCell ref="F10264:F10265"/>
    <mergeCell ref="F10255:F10257"/>
    <mergeCell ref="F10266:F10270"/>
    <mergeCell ref="F10262:F10263"/>
    <mergeCell ref="F10293:F10297"/>
    <mergeCell ref="F10463:F10465"/>
    <mergeCell ref="F10298:F10299"/>
    <mergeCell ref="F10300:F10301"/>
    <mergeCell ref="F10302:F10303"/>
    <mergeCell ref="F10304:F10305"/>
    <mergeCell ref="F10306:F10307"/>
    <mergeCell ref="F10308:F10309"/>
    <mergeCell ref="F10271:F10272"/>
    <mergeCell ref="F10375:F10376"/>
    <mergeCell ref="F10377:F10378"/>
    <mergeCell ref="F10379:F10381"/>
    <mergeCell ref="F10430:F10431"/>
    <mergeCell ref="F10382:F10384"/>
    <mergeCell ref="F10385:F10386"/>
    <mergeCell ref="F10387:F10391"/>
    <mergeCell ref="F10398:F10399"/>
    <mergeCell ref="F10400:F10401"/>
    <mergeCell ref="F10402:F10403"/>
    <mergeCell ref="F10310:F10311"/>
    <mergeCell ref="F10312:F10313"/>
    <mergeCell ref="F10661:F10662"/>
    <mergeCell ref="F10651:F10653"/>
    <mergeCell ref="F10654:F10655"/>
    <mergeCell ref="F10656:F10657"/>
    <mergeCell ref="F10329:F10330"/>
    <mergeCell ref="F10477:F10478"/>
    <mergeCell ref="F10624:F10626"/>
    <mergeCell ref="F10621:F10623"/>
    <mergeCell ref="F10627:F10628"/>
    <mergeCell ref="F10629:F10630"/>
    <mergeCell ref="F10631:F10635"/>
    <mergeCell ref="F10665:F10666"/>
    <mergeCell ref="F10589:F10591"/>
    <mergeCell ref="F10592:F10596"/>
    <mergeCell ref="F10597:F10598"/>
    <mergeCell ref="F10599:F10600"/>
    <mergeCell ref="F10605:F10606"/>
    <mergeCell ref="F10607:F10608"/>
    <mergeCell ref="F10609:F10610"/>
    <mergeCell ref="F10611:F10612"/>
    <mergeCell ref="F10646:F10648"/>
    <mergeCell ref="F10649:F10650"/>
    <mergeCell ref="F10510:F10511"/>
    <mergeCell ref="F10601:F10602"/>
    <mergeCell ref="F10613:F10614"/>
    <mergeCell ref="F10615:F10616"/>
    <mergeCell ref="F10617:F10618"/>
    <mergeCell ref="F10619:F10620"/>
    <mergeCell ref="F10583:F10584"/>
    <mergeCell ref="F10585:F10586"/>
    <mergeCell ref="F10587:F10588"/>
    <mergeCell ref="F10636:F10638"/>
    <mergeCell ref="F10931:F10932"/>
    <mergeCell ref="F10831:F10832"/>
    <mergeCell ref="F10833:F10834"/>
    <mergeCell ref="F10835:F10836"/>
    <mergeCell ref="F10837:F10838"/>
    <mergeCell ref="F10839:F10840"/>
    <mergeCell ref="F10841:F10842"/>
    <mergeCell ref="F10843:F10844"/>
    <mergeCell ref="F10845:F10846"/>
    <mergeCell ref="F10847:F10851"/>
    <mergeCell ref="F10852:F10853"/>
    <mergeCell ref="F10854:F10855"/>
    <mergeCell ref="F10856:F10857"/>
    <mergeCell ref="F10858:F10859"/>
    <mergeCell ref="F10860:F10861"/>
    <mergeCell ref="F10862:F10863"/>
    <mergeCell ref="F10864:F10865"/>
    <mergeCell ref="F10866:F10867"/>
    <mergeCell ref="F10986:F10987"/>
    <mergeCell ref="F10868:F10870"/>
    <mergeCell ref="F10871:F10873"/>
    <mergeCell ref="F10874:F10875"/>
    <mergeCell ref="F10876:F10877"/>
    <mergeCell ref="F10878:F10882"/>
    <mergeCell ref="F10883:F10884"/>
    <mergeCell ref="F10885:F10886"/>
    <mergeCell ref="F10887:F10888"/>
    <mergeCell ref="F10889:F10890"/>
    <mergeCell ref="F10891:F10892"/>
    <mergeCell ref="F10893:F10894"/>
    <mergeCell ref="F10935:F10936"/>
    <mergeCell ref="F10937:F10938"/>
    <mergeCell ref="F10939:F10940"/>
    <mergeCell ref="F10941:F10942"/>
    <mergeCell ref="F10943:F10944"/>
    <mergeCell ref="F10895:F10896"/>
    <mergeCell ref="F10897:F10898"/>
    <mergeCell ref="F10899:F10900"/>
    <mergeCell ref="F10901:F10902"/>
    <mergeCell ref="F10903:F10907"/>
    <mergeCell ref="F10908:F10909"/>
    <mergeCell ref="F10910:F10911"/>
    <mergeCell ref="F10912:F10913"/>
    <mergeCell ref="F10914:F10915"/>
    <mergeCell ref="F10916:F10917"/>
    <mergeCell ref="F10918:F10919"/>
    <mergeCell ref="F10920:F10921"/>
    <mergeCell ref="F10922:F10923"/>
    <mergeCell ref="F10924:F10928"/>
    <mergeCell ref="F10929:F10930"/>
    <mergeCell ref="F10984:F10985"/>
    <mergeCell ref="F10990:F10991"/>
    <mergeCell ref="F10992:F10993"/>
    <mergeCell ref="F10994:F10995"/>
    <mergeCell ref="F10996:F10997"/>
    <mergeCell ref="F10998:F10999"/>
    <mergeCell ref="F11000:F11001"/>
    <mergeCell ref="F11002:F11003"/>
    <mergeCell ref="F11004:F11005"/>
    <mergeCell ref="F11006:F11007"/>
    <mergeCell ref="F11016:F11017"/>
    <mergeCell ref="F11018:F11019"/>
    <mergeCell ref="F11020:F11021"/>
    <mergeCell ref="F11022:F11023"/>
    <mergeCell ref="F11024:F11025"/>
    <mergeCell ref="F11026:F11027"/>
    <mergeCell ref="F10933:F10934"/>
    <mergeCell ref="F10945:F10947"/>
    <mergeCell ref="F10948:F10950"/>
    <mergeCell ref="F10976:F10978"/>
    <mergeCell ref="F10951:F10955"/>
    <mergeCell ref="F10960:F10961"/>
    <mergeCell ref="F10962:F10963"/>
    <mergeCell ref="F10964:F10965"/>
    <mergeCell ref="F10966:F10967"/>
    <mergeCell ref="F10968:F10969"/>
    <mergeCell ref="F10970:F10971"/>
    <mergeCell ref="F10972:F10973"/>
    <mergeCell ref="F10974:F10975"/>
    <mergeCell ref="F10956:F10957"/>
    <mergeCell ref="F10958:F10959"/>
    <mergeCell ref="F10979:F10983"/>
    <mergeCell ref="F11126:F11127"/>
    <mergeCell ref="F11046:F11047"/>
    <mergeCell ref="F11048:F11049"/>
    <mergeCell ref="F11050:F11051"/>
    <mergeCell ref="F11052:F11053"/>
    <mergeCell ref="F11054:F11055"/>
    <mergeCell ref="F11056:F11057"/>
    <mergeCell ref="F11058:F11059"/>
    <mergeCell ref="F11060:F11061"/>
    <mergeCell ref="F11062:F11063"/>
    <mergeCell ref="F11064:F11068"/>
    <mergeCell ref="F11069:F11070"/>
    <mergeCell ref="F11039:F11043"/>
    <mergeCell ref="F11044:F11045"/>
    <mergeCell ref="F11085:F11086"/>
    <mergeCell ref="F11087:F11091"/>
    <mergeCell ref="F10988:F10989"/>
    <mergeCell ref="F11109:F11110"/>
    <mergeCell ref="F11028:F11029"/>
    <mergeCell ref="F11030:F11031"/>
    <mergeCell ref="F11008:F11012"/>
    <mergeCell ref="F11013:F11015"/>
    <mergeCell ref="F11032:F11033"/>
    <mergeCell ref="F11034:F11038"/>
    <mergeCell ref="F11071:F11072"/>
    <mergeCell ref="F11073:F11074"/>
    <mergeCell ref="F11075:F11076"/>
    <mergeCell ref="F11095:F11096"/>
    <mergeCell ref="F11097:F11098"/>
    <mergeCell ref="F11115:F11116"/>
    <mergeCell ref="F11117:F11118"/>
    <mergeCell ref="F11119:F11120"/>
    <mergeCell ref="F11121:F11123"/>
    <mergeCell ref="F11124:F11125"/>
    <mergeCell ref="F11477:F11481"/>
    <mergeCell ref="F11099:F11100"/>
    <mergeCell ref="F11101:F11102"/>
    <mergeCell ref="F11103:F11104"/>
    <mergeCell ref="F11105:F11106"/>
    <mergeCell ref="F11077:F11078"/>
    <mergeCell ref="F11079:F11080"/>
    <mergeCell ref="F11081:F11082"/>
    <mergeCell ref="F11083:F11084"/>
    <mergeCell ref="F11257:F11258"/>
    <mergeCell ref="F11432:F11433"/>
    <mergeCell ref="F11407:F11408"/>
    <mergeCell ref="F11376:F11380"/>
    <mergeCell ref="F11388:F11389"/>
    <mergeCell ref="F11390:F11391"/>
    <mergeCell ref="F11392:F11393"/>
    <mergeCell ref="F11394:F11395"/>
    <mergeCell ref="F11396:F11397"/>
    <mergeCell ref="F11398:F11399"/>
    <mergeCell ref="F11400:F11402"/>
    <mergeCell ref="F11403:F11404"/>
    <mergeCell ref="F11405:F11406"/>
    <mergeCell ref="F11409:F11410"/>
    <mergeCell ref="F11136:F11137"/>
    <mergeCell ref="F11138:F11139"/>
    <mergeCell ref="F11092:F11094"/>
    <mergeCell ref="F11386:F11387"/>
    <mergeCell ref="F11361:F11362"/>
    <mergeCell ref="F11363:F11364"/>
    <mergeCell ref="F11428:F11429"/>
    <mergeCell ref="F11430:F11431"/>
    <mergeCell ref="F11107:F11108"/>
    <mergeCell ref="F11231:F11232"/>
    <mergeCell ref="F11111:F11112"/>
    <mergeCell ref="F11113:F11114"/>
    <mergeCell ref="F11128:F11129"/>
    <mergeCell ref="F11130:F11131"/>
    <mergeCell ref="F11251:F11252"/>
    <mergeCell ref="F11253:F11254"/>
    <mergeCell ref="F11255:F11256"/>
    <mergeCell ref="F11346:F11350"/>
    <mergeCell ref="F11351:F11354"/>
    <mergeCell ref="F11518:F11522"/>
    <mergeCell ref="F11523:F11526"/>
    <mergeCell ref="F11418:F11420"/>
    <mergeCell ref="F11259:F11260"/>
    <mergeCell ref="F11261:F11262"/>
    <mergeCell ref="F11263:F11264"/>
    <mergeCell ref="F11265:F11266"/>
    <mergeCell ref="F11245:F11247"/>
    <mergeCell ref="F11248:F11250"/>
    <mergeCell ref="F11267:F11268"/>
    <mergeCell ref="F11269:F11270"/>
    <mergeCell ref="F11299:F11301"/>
    <mergeCell ref="F11305:F11306"/>
    <mergeCell ref="F11271:F11272"/>
    <mergeCell ref="F11273:F11277"/>
    <mergeCell ref="F11436:F11437"/>
    <mergeCell ref="F11457:F11458"/>
    <mergeCell ref="F11485:F11486"/>
    <mergeCell ref="F11438:F11439"/>
    <mergeCell ref="F11482:F11484"/>
    <mergeCell ref="F11424:F11425"/>
    <mergeCell ref="F11452:F11454"/>
    <mergeCell ref="F11638:F11639"/>
    <mergeCell ref="F11278:F11282"/>
    <mergeCell ref="F11283:F11284"/>
    <mergeCell ref="F11285:F11286"/>
    <mergeCell ref="F11287:F11288"/>
    <mergeCell ref="F11588:F11590"/>
    <mergeCell ref="F11591:F11592"/>
    <mergeCell ref="F11593:F11595"/>
    <mergeCell ref="F11596:F11598"/>
    <mergeCell ref="F11599:F11600"/>
    <mergeCell ref="F11601:F11602"/>
    <mergeCell ref="F11704:F11705"/>
    <mergeCell ref="F10695:F10696"/>
    <mergeCell ref="F11541:F11545"/>
    <mergeCell ref="F11546:F11550"/>
    <mergeCell ref="F11505:F11507"/>
    <mergeCell ref="F11551:F11553"/>
    <mergeCell ref="F11554:F11556"/>
    <mergeCell ref="F11557:F11559"/>
    <mergeCell ref="F11560:F11561"/>
    <mergeCell ref="F11566:F11567"/>
    <mergeCell ref="F11568:F11569"/>
    <mergeCell ref="F11570:F11571"/>
    <mergeCell ref="F11475:F11476"/>
    <mergeCell ref="F11455:F11456"/>
    <mergeCell ref="F11487:F11488"/>
    <mergeCell ref="F11489:F11490"/>
    <mergeCell ref="F11459:F11460"/>
    <mergeCell ref="F11182:F11183"/>
    <mergeCell ref="F11184:F11185"/>
    <mergeCell ref="F11186:F11187"/>
    <mergeCell ref="F11229:F11230"/>
    <mergeCell ref="F12009:F12010"/>
    <mergeCell ref="F11776:F11778"/>
    <mergeCell ref="F11793:F11794"/>
    <mergeCell ref="F11795:F11796"/>
    <mergeCell ref="F11749:F11750"/>
    <mergeCell ref="F11725:F11729"/>
    <mergeCell ref="F11730:F11731"/>
    <mergeCell ref="F11732:F11733"/>
    <mergeCell ref="F11734:F11735"/>
    <mergeCell ref="F11736:F11737"/>
    <mergeCell ref="F11738:F11739"/>
    <mergeCell ref="F11751:F11752"/>
    <mergeCell ref="F11753:F11754"/>
    <mergeCell ref="F11755:F11756"/>
    <mergeCell ref="F11757:F11758"/>
    <mergeCell ref="F11759:F11760"/>
    <mergeCell ref="F11132:F11133"/>
    <mergeCell ref="F11134:F11135"/>
    <mergeCell ref="F11235:F11239"/>
    <mergeCell ref="F11240:F11244"/>
    <mergeCell ref="F11233:F11234"/>
    <mergeCell ref="F11706:F11707"/>
    <mergeCell ref="F11708:F11709"/>
    <mergeCell ref="F11648:F11650"/>
    <mergeCell ref="F11651:F11652"/>
    <mergeCell ref="F11653:F11654"/>
    <mergeCell ref="F11667:F11668"/>
    <mergeCell ref="F11669:F11670"/>
    <mergeCell ref="F11671:F11672"/>
    <mergeCell ref="F11673:F11674"/>
    <mergeCell ref="F11675:F11676"/>
    <mergeCell ref="F11677:F11678"/>
    <mergeCell ref="F11983:F11984"/>
    <mergeCell ref="F11426:F11427"/>
    <mergeCell ref="F11572:F11573"/>
    <mergeCell ref="F11622:F11623"/>
    <mergeCell ref="F11583:F11587"/>
    <mergeCell ref="F11702:F11703"/>
    <mergeCell ref="F11640:F11641"/>
    <mergeCell ref="F11642:F11643"/>
    <mergeCell ref="F11644:F11645"/>
    <mergeCell ref="F11681:F11685"/>
    <mergeCell ref="F11686:F11688"/>
    <mergeCell ref="F11689:F11691"/>
    <mergeCell ref="F11692:F11693"/>
    <mergeCell ref="F11995:F11997"/>
    <mergeCell ref="F11998:F12000"/>
    <mergeCell ref="F12001:F12003"/>
    <mergeCell ref="F12007:F12008"/>
    <mergeCell ref="F11679:F11680"/>
    <mergeCell ref="F11603:F11604"/>
    <mergeCell ref="F11694:F11695"/>
    <mergeCell ref="F11696:F11697"/>
    <mergeCell ref="F11698:F11699"/>
    <mergeCell ref="F11700:F11701"/>
    <mergeCell ref="F11615:F11619"/>
    <mergeCell ref="F11620:F11621"/>
    <mergeCell ref="F11646:F11647"/>
    <mergeCell ref="F11624:F11626"/>
    <mergeCell ref="F11627:F11629"/>
    <mergeCell ref="F11630:F11631"/>
    <mergeCell ref="F11632:F11633"/>
    <mergeCell ref="F11634:F11635"/>
    <mergeCell ref="F11636:F11637"/>
    <mergeCell ref="F12061:F12063"/>
    <mergeCell ref="F12004:F12006"/>
    <mergeCell ref="F12056:F12057"/>
    <mergeCell ref="F12058:F12060"/>
    <mergeCell ref="F12017:F12018"/>
    <mergeCell ref="F12019:F12020"/>
    <mergeCell ref="F11924:F11925"/>
    <mergeCell ref="F11926:F11927"/>
    <mergeCell ref="F11928:F11929"/>
    <mergeCell ref="F11930:F11931"/>
    <mergeCell ref="F11932:F11933"/>
    <mergeCell ref="F11991:F11992"/>
    <mergeCell ref="F11993:F11994"/>
    <mergeCell ref="F11968:F11972"/>
    <mergeCell ref="F11973:F11975"/>
    <mergeCell ref="F11976:F11977"/>
    <mergeCell ref="F11978:F11980"/>
    <mergeCell ref="F11949:F11950"/>
    <mergeCell ref="F11951:F11952"/>
    <mergeCell ref="F11953:F11954"/>
    <mergeCell ref="F11955:F11956"/>
    <mergeCell ref="F11957:F11958"/>
    <mergeCell ref="F11934:F11935"/>
    <mergeCell ref="F11936:F11937"/>
    <mergeCell ref="F11945:F11946"/>
    <mergeCell ref="F11947:F11948"/>
    <mergeCell ref="F11959:F11961"/>
    <mergeCell ref="F11943:F11944"/>
    <mergeCell ref="F11962:F11963"/>
    <mergeCell ref="F11964:F11965"/>
    <mergeCell ref="F11966:F11967"/>
    <mergeCell ref="F11981:F11982"/>
    <mergeCell ref="F12107:F12109"/>
    <mergeCell ref="F12110:F12111"/>
    <mergeCell ref="F12112:F12113"/>
    <mergeCell ref="F12143:F12145"/>
    <mergeCell ref="F12116:F12117"/>
    <mergeCell ref="F12091:F12092"/>
    <mergeCell ref="F12118:F12120"/>
    <mergeCell ref="F12126:F12127"/>
    <mergeCell ref="F12128:F12129"/>
    <mergeCell ref="F12130:F12131"/>
    <mergeCell ref="F12132:F12133"/>
    <mergeCell ref="F12134:F12135"/>
    <mergeCell ref="F12136:F12137"/>
    <mergeCell ref="F12138:F12139"/>
    <mergeCell ref="F12121:F12125"/>
    <mergeCell ref="F12021:F12023"/>
    <mergeCell ref="F12024:F12026"/>
    <mergeCell ref="F12027:F12028"/>
    <mergeCell ref="F12034:F12035"/>
    <mergeCell ref="F12036:F12037"/>
    <mergeCell ref="F12038:F12039"/>
    <mergeCell ref="F12040:F12041"/>
    <mergeCell ref="F12042:F12043"/>
    <mergeCell ref="F12044:F12045"/>
    <mergeCell ref="F12046:F12047"/>
    <mergeCell ref="F12029:F12033"/>
    <mergeCell ref="F12068:F12069"/>
    <mergeCell ref="F12070:F12071"/>
    <mergeCell ref="F12072:F12073"/>
    <mergeCell ref="F12074:F12075"/>
    <mergeCell ref="F12076:F12077"/>
    <mergeCell ref="F12053:F12055"/>
    <mergeCell ref="F12078:F12079"/>
    <mergeCell ref="F12080:F12081"/>
    <mergeCell ref="F12082:F12083"/>
    <mergeCell ref="F12084:F12085"/>
    <mergeCell ref="F12183:F12187"/>
    <mergeCell ref="F12180:F12182"/>
    <mergeCell ref="F12177:F12179"/>
    <mergeCell ref="F12140:F12142"/>
    <mergeCell ref="F12146:F12148"/>
    <mergeCell ref="F12168:F12170"/>
    <mergeCell ref="F12171:F12172"/>
    <mergeCell ref="F12173:F12174"/>
    <mergeCell ref="F12175:F12176"/>
    <mergeCell ref="F12114:F12115"/>
    <mergeCell ref="F12202:F12203"/>
    <mergeCell ref="F12204:F12208"/>
    <mergeCell ref="F12093:F12094"/>
    <mergeCell ref="F12095:F12096"/>
    <mergeCell ref="F12097:F12098"/>
    <mergeCell ref="F12099:F12100"/>
    <mergeCell ref="F12101:F12102"/>
    <mergeCell ref="F12103:F12104"/>
    <mergeCell ref="F12105:F12106"/>
    <mergeCell ref="F12086:F12090"/>
    <mergeCell ref="F12149:F12153"/>
    <mergeCell ref="F12154:F12155"/>
    <mergeCell ref="F12156:F12157"/>
    <mergeCell ref="F12158:F12159"/>
    <mergeCell ref="F12160:F12161"/>
    <mergeCell ref="F12162:F12163"/>
    <mergeCell ref="F12164:F12165"/>
    <mergeCell ref="F12166:F12167"/>
    <mergeCell ref="F12234:F12235"/>
    <mergeCell ref="F12236:F12237"/>
    <mergeCell ref="F12238:F12239"/>
    <mergeCell ref="F12240:F12241"/>
    <mergeCell ref="F12242:F12243"/>
    <mergeCell ref="F12244:F12245"/>
    <mergeCell ref="F12246:F12247"/>
    <mergeCell ref="F12209:F12210"/>
    <mergeCell ref="F12211:F12212"/>
    <mergeCell ref="F12213:F12214"/>
    <mergeCell ref="F12215:F12216"/>
    <mergeCell ref="F12217:F12218"/>
    <mergeCell ref="F12219:F12220"/>
    <mergeCell ref="F12221:F12222"/>
    <mergeCell ref="F12188:F12189"/>
    <mergeCell ref="F12190:F12191"/>
    <mergeCell ref="F12192:F12193"/>
    <mergeCell ref="F12194:F12195"/>
    <mergeCell ref="F12196:F12197"/>
    <mergeCell ref="F12198:F12199"/>
    <mergeCell ref="F12200:F12201"/>
  </mergeCells>
  <phoneticPr fontId="15" type="noConversion"/>
  <conditionalFormatting sqref="G2:L4">
    <cfRule type="cellIs" dxfId="25" priority="25" operator="notBetween">
      <formula>0.01</formula>
      <formula>-0.01</formula>
    </cfRule>
  </conditionalFormatting>
  <conditionalFormatting sqref="G2:L5">
    <cfRule type="cellIs" dxfId="24" priority="28" operator="between">
      <formula>0.01</formula>
      <formula>-0.01</formula>
    </cfRule>
  </conditionalFormatting>
  <conditionalFormatting sqref="M10 M11632:M11633">
    <cfRule type="cellIs" dxfId="23" priority="20" operator="lessThan">
      <formula>0</formula>
    </cfRule>
  </conditionalFormatting>
  <conditionalFormatting sqref="M4525:M4530">
    <cfRule type="cellIs" dxfId="22" priority="19" operator="lessThan">
      <formula>0</formula>
    </cfRule>
  </conditionalFormatting>
  <conditionalFormatting sqref="M4624:M4626">
    <cfRule type="cellIs" dxfId="21" priority="18" operator="lessThan">
      <formula>0</formula>
    </cfRule>
  </conditionalFormatting>
  <conditionalFormatting sqref="M4628">
    <cfRule type="cellIs" dxfId="20" priority="17" operator="lessThan">
      <formula>0</formula>
    </cfRule>
  </conditionalFormatting>
  <conditionalFormatting sqref="M4632">
    <cfRule type="cellIs" dxfId="19" priority="16" operator="lessThan">
      <formula>0</formula>
    </cfRule>
  </conditionalFormatting>
  <conditionalFormatting sqref="M4692:M4698">
    <cfRule type="cellIs" dxfId="18" priority="15" operator="lessThan">
      <formula>0</formula>
    </cfRule>
  </conditionalFormatting>
  <conditionalFormatting sqref="M4713:M4716">
    <cfRule type="cellIs" dxfId="17" priority="14" operator="lessThan">
      <formula>0</formula>
    </cfRule>
  </conditionalFormatting>
  <conditionalFormatting sqref="M4733:M4738">
    <cfRule type="cellIs" dxfId="16" priority="13" operator="lessThan">
      <formula>0</formula>
    </cfRule>
  </conditionalFormatting>
  <conditionalFormatting sqref="M4762:M4763">
    <cfRule type="cellIs" dxfId="15" priority="12" operator="lessThan">
      <formula>0</formula>
    </cfRule>
  </conditionalFormatting>
  <conditionalFormatting sqref="M4790:M4793">
    <cfRule type="cellIs" dxfId="14" priority="11" operator="lessThan">
      <formula>0</formula>
    </cfRule>
  </conditionalFormatting>
  <conditionalFormatting sqref="M4840:M4841">
    <cfRule type="cellIs" dxfId="13" priority="10" operator="lessThan">
      <formula>0</formula>
    </cfRule>
  </conditionalFormatting>
  <conditionalFormatting sqref="M5044:M5047">
    <cfRule type="cellIs" dxfId="12" priority="9" operator="lessThan">
      <formula>0</formula>
    </cfRule>
  </conditionalFormatting>
  <conditionalFormatting sqref="M5058:M5059">
    <cfRule type="cellIs" dxfId="11" priority="8" operator="lessThan">
      <formula>0</formula>
    </cfRule>
  </conditionalFormatting>
  <conditionalFormatting sqref="M5172:M5175">
    <cfRule type="cellIs" dxfId="10" priority="7" operator="lessThan">
      <formula>0</formula>
    </cfRule>
  </conditionalFormatting>
  <conditionalFormatting sqref="M5240:M5247">
    <cfRule type="cellIs" dxfId="9" priority="5" operator="lessThan">
      <formula>0</formula>
    </cfRule>
  </conditionalFormatting>
  <conditionalFormatting sqref="M5255:M5258">
    <cfRule type="cellIs" dxfId="8" priority="4" operator="lessThan">
      <formula>0</formula>
    </cfRule>
  </conditionalFormatting>
  <conditionalFormatting sqref="M5370:M5377">
    <cfRule type="cellIs" dxfId="7" priority="3" operator="lessThan">
      <formula>0</formula>
    </cfRule>
  </conditionalFormatting>
  <conditionalFormatting sqref="M12180 M12182">
    <cfRule type="cellIs" dxfId="6" priority="1" operator="lessThan">
      <formula>0</formula>
    </cfRule>
  </conditionalFormatting>
  <dataValidations count="1">
    <dataValidation type="list" allowBlank="1" showInputMessage="1" showErrorMessage="1" sqref="I1:I7" xr:uid="{00000000-0002-0000-0200-000000000000}">
      <formula1>#REF!</formula1>
    </dataValidation>
  </dataValidations>
  <pageMargins left="0.7" right="0.7" top="0.75" bottom="0.75" header="0.3" footer="0.3"/>
  <pageSetup paperSize="9" scale="10"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2000000}">
          <x14:formula1>
            <xm:f>INVESTORS_LIST!$B:$B</xm:f>
          </x14:formula1>
          <xm:sqref>I8:I9 I573:I1171 I1176:I1236 I409:I570 I13:I14 I27:I30 I21:I22 I37:I44 I53:I54 I62:I67 I72:I73 I78:I79 I86:I89 I92:I93 I98:I99 I117:I118 I151:I154 I229:I232 I329:I330 I381:I384 I391:I392 I397:I398 I1240:I3046 I3068:I3244 I3248:I4150 I4209:I4210 I4326:I4330 I4244:I4246 I4253:I4258 I4274:I4275 I4310:I4311 I4290:I4294 I4353:I4357 I6319:I6321 I4586:I4591 I4433:I4437 I4447:I4451 I4442:I4444 I4458:I4461 I4489:I4491 I4520:I4524 I4502:I4515 I4474:I4486 I4547:I4548 I4557:I4561 I4568:I4573 I4394:I4405 I4600:I4611 I4616:I4621 I4635:I4646 I4661:I4665 I4676:I4716 I4733:I4747 I4762:I4772 I4787:I4801 I4804:I4813 I4828:I4855 I4870:I4885 I4888:I4894 I4909:I4922 I4937:I4956 I4971:I4973 I4988:I5005 I5020:I5029 I5044:I5055 I5058:I5081 I5096:I5106 I5121:I5128 I5131:I5147 I5150:I5151 I5172:I5177 I5238:I5247 I5255:I5258 I5281:I5297 I5314:I5326 I5345:I5353 I5356:I5382 I5385:I5387 I5433:I5435 I5406:I5428 I5458:I5462 I5454:I5455 I6388:I6401 I5484:I5492 I5501:I5508 I5495:I5497 I5538:I5544 I5532:I5535 I5548:I5553 I5587:I5595 I5607:I5620 I5572:I5584 I5641:I5642 I5645:I5654 I5657:I5670 I5702:I5706 I5679:I5681 I5715:I5716 I5709:I5711 I5474:I5478 I5750:I5754 I5781:I5783 I5786:I5830 I5865:I5870 I5855:I5862 I5891:I5892 I5895:I5897 I5745:I5746 I5914:I5918 I5939:I5942 I5945:I5951 I5981:I5984 I6028:I6030 I5995:I6007 I6033:I6035 I6065:I6068 I6040:I6047 I6050:I6062 I6071:I6078 I6081:I6092 I6113:I6117 I6120:I6124 I6129:I6131 I6138:I6142 I6151:I6154 I6225:I6235 I6180:I6187 I5907:I5911 I6496:I6497 I6275:I6277 I6280:I6285 I6291:I6296 I6326:I6328 I6384:I6385 I6190:I6193 I5465:I5469 I5741:I5742 I5900:I5904 I6244:I6252 I6422:I6428 I6355:I6361 I6492:I6493 I4531:I4536 I4363:I4364 I4366:I4375 I6601:I6602 I6623:I6624 I6629:I6635 I6665:I6667 I6675:I6684 I6724:I6728 I6768:I6770 I6518:I6519 I6772:I6773 I6804:I6806 I6810:I6823 I6827 I6833:I6835 I6860:I6865 I6877:I6879 I6891:I6893 I6898:I6903 I6888:I6889 I6934:I6939 I6966:I6967 I6963:I6964 I6974:I6988 I7027:I7030 I7020:I7023 I7061:I7065 I7091:I7101 I7068:I7079 I7084:I7086 I7133:I7137 I7144:I7148 I7159:I7161 I7108:I7110 I7164:I7166 I8126:I8136 I7211:I7213 I7244:I7248 I7255:I7259 I7269:I7274 I7279:I7286 I7205:I7208 I7338:I7343 I7356:I7359 I7362:I7375 I7398:I7407 I7410:I7423 I7434:I7442 I7445:I7459 I7488:I7496 I7503:I7512 I7515:I7522 I7529:I7540 I7525:I7526 I7563:I7573 I7580:I7584 I7587:I7604 I7607:I7609 I7615:I7618 I7647:I7658 I7664:I7671 I7789:I7795 I7711:I7719 I7689:I7699 I7681:I7686 I7317:I7328 I7776:I7782 I7725:I7732 I7799:I7822 I7845:I7853 I7862:I7869 I7876:I7878 I7889:I7893 I7958:I7959 I7926:I7942 I7762:I7767 I7964:I7981 I7898:I7905 I7947:I7955 I8114:I8121 I7987:I7989 I8185:I8191 I9283:I9290 I7197:I7200 I7757:I7759 I8199:I8217 I8240:I8254 I8261:I8277 I8290:I8298 I8280:I8283 I8286:I8287 I8301:I8322 I8339:I8343 I8327:I8336 I8364:I8368 I8371:I8383 I8396:I8409 I8386:I8387 I8419:I8427 I8434:I8447 I8470:I8475 I8494:I8495 I8509:I8511 I8482:I8489 I8500:I8504 I8514:I8532 I8543:I8552 I8555:I8565 I8586:I8596 I8661:I8666 I8608:I8613 I8601:I8605 I8623:I8625 I8628:I8641 I8651:I8656 I8701:I8744 I8774:I8779 I8769:I8771 I8782:I8795 I8798:I8800 I8974:I8987 I8807:I8809 I8838:I8848 I8867:I8879 I8851:I8864 I8812:I8814 I8886:I8908 I8917:I8931 I8934:I8943 I8962:I8969 I8990:I8991 I8994:I9002 I9007:I9044 I9047:I9063 I9076:I9078 I9101:I9123 I9133:I9135 I9144:I9146 I9149:I9153 I9158:I9163 I9186:I9188 I9193:I9197 I9249:I9256 I9200:I9218 I9239:I9244 I9262:I9276 I9279:I9280 I9295:I9299 I8167:I8176 I8179:I8182 I9320:I9324 I9327:I9336 I9341:I9343 I9346:I9351 I9370:I9394 I9397:I9403 I9406:I9412 I9415:I9419 I9442:I9446 I9453:I9469 I9472:I9476 I9481:I9485 I9504:I9508 I9542:I9546 I9511:I9532 I9565:I9570 I9757:I9766 I10532:I10536 I9650:I9659 I9666:I9692 I9713:I9726 I9732 I9575:I9607 I9836:I9847 I9744:I9750 I9787:I9794 I9813:I9825 I9852:I9862 I9799:I9803 I9734:I9741 I9955:I9959 I9908:I9920 I9923:I9925 I9928:I9950 I9894:I9899 I9980:I9988 I10009:I10020 I10041:I10045 I10066:I10075 I10098:I10105 I10193:I10202 I10162:I10163 I10168:I10172 I10134:I10139 I10255:I10259 I10223:I10225 I10228:I10234 I9619:I9625 I10262:I10263 I10293:I10297 I10663:I10664 I10351:I10358 I10379:I10384 I10396:I10397 I10387:I10391 I10422:I10429 I10454:I10456 I10463:I10465 I10472:I10476 I10500:I10507 I10266:I10270 I10560:I10565 I10568:I10572 I10589:I10596 I10621:I10626 I10631:I10635 I10324:I10328 I11121:I11123 I11201:I11203 I11233:I11234 I11248:I11250 I11267:I11268 I11299:I11306 I11337:I11341 I11371:I11373 I11400:I11404 I11440:I11441 I11421:I11423 I11452:I11454 I11482:I11488 I11505:I11513 I11551:I11559 I10695:I10696 I11692:I11693 I11713:I11714 I11763:I11767 I11793:I11794 I11880:I11882 I12107:I12109 I12248:I1048576 I12228:I12230</xm:sqref>
        </x14:dataValidation>
        <x14:dataValidation type="list" allowBlank="1" showInputMessage="1" showErrorMessage="1" xr:uid="{B77984E5-8DD8-4114-BBAA-8F4EF96A81C5}">
          <x14:formula1>
            <xm:f>'Chart of Accounts'!$B$3:$B$100</xm:f>
          </x14:formula1>
          <xm:sqref>J8:J11207 J11564:J11582 J11755:J11756 J11632:J11633 J11665:J11666 J11653:J11654 J11692:J11693 J11713:J11714 J11717:J11719 J11213:J11561 J11736:J11737 J11763:J11767 J11785:J11786 J11793:J11794 J11797:J11799 J11809:J11810 J11817:J11818 J11840:J11841 J11848:J11849 J11872:J11873 J11880:J11884 J11900:J11901 J11908:J11909 J11951:J11952 J11926:J11927 J11934:J11935 J11962:J11963 J11966:J11967 J11987:J11988 J12040:J12041 J12013:J12014 J12099:J12100 J12070:J12071 J12078:J12079 J12056:J12060 J12107:J12109 J12112:J12115 J12132:J12133 J12091:J12092 J12146:J12148 J12160:J12161 J12177:J12182 J12194:J12195 J12173:J12174 J12202:J12203 J12215:J12216 J12240:J12241 J12248:J1048576 J12228:J12230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V67"/>
  <sheetViews>
    <sheetView topLeftCell="B1" zoomScale="115" zoomScaleNormal="115" workbookViewId="0">
      <pane ySplit="3" topLeftCell="A37" activePane="bottomLeft" state="frozen"/>
      <selection activeCell="L2689" sqref="L2689"/>
      <selection pane="bottomLeft" activeCell="G53" sqref="G53"/>
    </sheetView>
  </sheetViews>
  <sheetFormatPr defaultColWidth="8.88671875" defaultRowHeight="11.4" x14ac:dyDescent="0.2"/>
  <cols>
    <col min="1" max="1" width="10.33203125" style="139" customWidth="1"/>
    <col min="2" max="2" width="10.44140625" style="139" customWidth="1"/>
    <col min="3" max="3" width="12" style="139" bestFit="1" customWidth="1"/>
    <col min="4" max="4" width="12.44140625" style="139" bestFit="1" customWidth="1"/>
    <col min="5" max="5" width="11.6640625" style="139" hidden="1" customWidth="1"/>
    <col min="6" max="6" width="10.5546875" style="139" hidden="1" customWidth="1"/>
    <col min="7" max="7" width="39.109375" style="139" bestFit="1" customWidth="1"/>
    <col min="8" max="8" width="14.5546875" style="214" bestFit="1" customWidth="1"/>
    <col min="9" max="9" width="15.6640625" style="214" bestFit="1" customWidth="1"/>
    <col min="10" max="11" width="23.33203125" style="139" bestFit="1" customWidth="1"/>
    <col min="12" max="13" width="13.33203125" style="139" bestFit="1" customWidth="1"/>
    <col min="14" max="14" width="13.88671875" style="139" bestFit="1" customWidth="1"/>
    <col min="15" max="15" width="12" style="139" bestFit="1" customWidth="1"/>
    <col min="16" max="16" width="12.44140625" style="139" bestFit="1" customWidth="1"/>
    <col min="17" max="18" width="14.5546875" style="139" bestFit="1" customWidth="1"/>
    <col min="19" max="20" width="13.5546875" style="139" bestFit="1" customWidth="1"/>
    <col min="21" max="16384" width="8.88671875" style="139"/>
  </cols>
  <sheetData>
    <row r="1" spans="1:22" x14ac:dyDescent="0.2">
      <c r="A1" s="502" t="s">
        <v>110</v>
      </c>
      <c r="B1" s="502"/>
      <c r="C1" s="502"/>
      <c r="D1" s="502"/>
      <c r="G1" s="500">
        <f>SUM(H7:H88)-SUM(I7:I88)</f>
        <v>3.5499945282936096E-2</v>
      </c>
      <c r="H1" s="500"/>
      <c r="I1" s="500"/>
      <c r="J1" s="500"/>
      <c r="K1" s="500"/>
      <c r="L1" s="500"/>
      <c r="M1" s="500"/>
      <c r="N1" s="500"/>
      <c r="O1" s="500"/>
    </row>
    <row r="2" spans="1:22" x14ac:dyDescent="0.2">
      <c r="A2" s="502" t="s">
        <v>111</v>
      </c>
      <c r="B2" s="502"/>
      <c r="C2" s="502"/>
      <c r="D2" s="502"/>
      <c r="G2" s="501">
        <f>BS!C25-BS!C41</f>
        <v>0</v>
      </c>
      <c r="H2" s="501"/>
      <c r="I2" s="501"/>
      <c r="J2" s="501"/>
      <c r="K2" s="501"/>
      <c r="L2" s="501"/>
      <c r="M2" s="501"/>
      <c r="N2" s="501"/>
      <c r="O2" s="501"/>
    </row>
    <row r="3" spans="1:22" x14ac:dyDescent="0.2">
      <c r="A3" s="502" t="s">
        <v>112</v>
      </c>
      <c r="B3" s="502"/>
      <c r="C3" s="502"/>
      <c r="D3" s="502"/>
      <c r="G3" s="501">
        <f>BS!C23-CF!B44</f>
        <v>-3620314.1100556124</v>
      </c>
      <c r="H3" s="501"/>
      <c r="I3" s="501"/>
      <c r="J3" s="501"/>
      <c r="K3" s="501"/>
      <c r="L3" s="501"/>
      <c r="M3" s="501"/>
      <c r="N3" s="501"/>
      <c r="O3" s="501"/>
      <c r="Q3" s="211"/>
      <c r="R3" s="211"/>
      <c r="S3" s="211"/>
      <c r="T3" s="211"/>
      <c r="U3" s="211"/>
      <c r="V3" s="211"/>
    </row>
    <row r="4" spans="1:22" x14ac:dyDescent="0.2">
      <c r="A4" s="140"/>
      <c r="H4" s="141"/>
      <c r="I4" s="142"/>
      <c r="K4" s="141"/>
      <c r="L4" s="143"/>
      <c r="M4" s="143"/>
    </row>
    <row r="5" spans="1:22" ht="12" x14ac:dyDescent="0.25">
      <c r="A5" s="144"/>
      <c r="B5" s="498" t="s">
        <v>108</v>
      </c>
      <c r="C5" s="498"/>
      <c r="D5" s="498"/>
      <c r="H5" s="499" t="s">
        <v>109</v>
      </c>
      <c r="I5" s="499"/>
      <c r="J5" s="499" t="s">
        <v>106</v>
      </c>
      <c r="K5" s="499"/>
      <c r="L5" s="499"/>
      <c r="M5" s="499"/>
      <c r="N5" s="499" t="s">
        <v>107</v>
      </c>
      <c r="O5" s="499"/>
    </row>
    <row r="6" spans="1:22" s="147" customFormat="1" ht="12" x14ac:dyDescent="0.25">
      <c r="A6" s="145"/>
      <c r="B6" s="146" t="s">
        <v>68</v>
      </c>
      <c r="C6" s="146" t="s">
        <v>69</v>
      </c>
      <c r="D6" s="146" t="s">
        <v>70</v>
      </c>
      <c r="E6" s="147" t="s">
        <v>71</v>
      </c>
      <c r="F6" s="147" t="s">
        <v>71</v>
      </c>
      <c r="G6" s="148" t="s">
        <v>61</v>
      </c>
      <c r="H6" s="219" t="s">
        <v>58</v>
      </c>
      <c r="I6" s="220" t="s">
        <v>59</v>
      </c>
      <c r="J6" s="148" t="s">
        <v>99</v>
      </c>
      <c r="K6" s="148" t="s">
        <v>99</v>
      </c>
      <c r="L6" s="148" t="s">
        <v>132</v>
      </c>
      <c r="M6" s="148" t="s">
        <v>132</v>
      </c>
      <c r="N6" s="219" t="s">
        <v>58</v>
      </c>
      <c r="O6" s="219" t="s">
        <v>59</v>
      </c>
    </row>
    <row r="7" spans="1:22" x14ac:dyDescent="0.2">
      <c r="A7" s="149" t="s">
        <v>104</v>
      </c>
      <c r="B7" s="150">
        <v>2026</v>
      </c>
      <c r="C7" s="150">
        <v>1</v>
      </c>
      <c r="D7" s="150">
        <v>1</v>
      </c>
      <c r="E7" s="139">
        <f>DATE(B7,C7,D7)-1</f>
        <v>46022</v>
      </c>
      <c r="F7" s="139">
        <f>DATE(B7,C7,D7)</f>
        <v>46023</v>
      </c>
      <c r="G7" s="139" t="str">
        <f>'Chart of Accounts'!B3</f>
        <v>Investments in stock</v>
      </c>
      <c r="H7" s="347">
        <f>MAX(0,SUMIFS(Journals!$K$9:$K$1005679,Journals!$D$9:$D$1005679,"&gt;"&amp;$E$7,Journals!$D$9:$D$1005679,"&lt;"&amp;$E$8,Journals!$J$9:$J$1005679,"investments in stock")-SUMIFS(Journals!$L$9:$L$1005679,Journals!$D$9:$D$1005679,"&gt;"&amp;$E$7,Journals!$D$9:$D$1005679,"&lt;"&amp;$E$8,Journals!$J$9:$J$1005679,"investments in stock"))</f>
        <v>34499329.62000002</v>
      </c>
      <c r="I7" s="347">
        <f>MAX(0,SUMIFS(Journals!$L$9:$L$1005679,Journals!$D$9:$D$1005679,"&gt;"&amp;$E$7,Journals!$D$9:$D$1005679,"&lt;"&amp;$E$8,Journals!$J$9:$J$1005679,"Investments in stock")-SUMIFS(Journals!$K$9:$K$1005679,Journals!$D$9:$D$1005679,"&gt;"&amp;$E$7,Journals!$D$9:$D$1005679,"&lt;"&amp;$E$8,Journals!$J$9:$J$1005679,"Investments in stock"))</f>
        <v>0</v>
      </c>
      <c r="J7" s="155">
        <f>SUMIFS(Journals!$K$9:$K$1005679,Journals!$D$9:$D$1005679,"&lt;"&amp;$F$7,Journals!$J$9:$J$1005679,"investments in stock")-SUMIFS(Journals!$L$9:$L$1005679,Journals!$D$9:$D$1005679,"&lt;"&amp;$F$7,Journals!$J$9:$J$1005679,"investments in stock")</f>
        <v>203279178.41000062</v>
      </c>
      <c r="K7" s="155"/>
      <c r="L7" s="155">
        <f>J7+H7-I7</f>
        <v>237778508.03000063</v>
      </c>
      <c r="M7" s="155"/>
      <c r="N7" s="155"/>
      <c r="O7" s="155"/>
      <c r="Q7" s="214"/>
      <c r="R7" s="214"/>
      <c r="S7" s="214"/>
      <c r="T7" s="214"/>
    </row>
    <row r="8" spans="1:22" x14ac:dyDescent="0.2">
      <c r="A8" s="149" t="s">
        <v>105</v>
      </c>
      <c r="B8" s="150">
        <v>2026</v>
      </c>
      <c r="C8" s="150">
        <v>12</v>
      </c>
      <c r="D8" s="150">
        <v>31</v>
      </c>
      <c r="E8" s="139">
        <f>DATE(B8,C8,D8)+1</f>
        <v>46388</v>
      </c>
      <c r="F8" s="139">
        <f>DATE(B8,C8,D8)</f>
        <v>46387</v>
      </c>
      <c r="G8" s="152" t="str">
        <f>'Chart of Accounts'!B4</f>
        <v>Interest Receivables from Bank A/C</v>
      </c>
      <c r="H8" s="154">
        <f>MAX(0,SUMIFS(Journals!$K$9:$K$1005679,Journals!$D$9:$D$1005679,"&gt;"&amp;$E$7,Journals!$D$9:$D$1005679,"&lt;"&amp;$E$8,Journals!$J$9:$J$1005679,"Interest Receivables from Bank A/C")-SUMIFS(Journals!$L$9:$L$1005679,Journals!$D$9:$D$1005679,"&gt;"&amp;$E$7,Journals!$D$9:$D$1005679,"&lt;"&amp;$E$8,Journals!$J$9:$J$1005679,"Interest Receivables from Bank A/C"))</f>
        <v>75951.561677083344</v>
      </c>
      <c r="I8" s="154">
        <f>MAX(0,SUMIFS(Journals!$L$9:$L$1005679,Journals!$D$9:$D$1005679,"&gt;"&amp;$E$7,Journals!$D$9:$D$1005679,"&lt;"&amp;$E$8,Journals!$J$9:$J$1005679,"Interest Receivables from Bank A/C")-SUMIFS(Journals!$K$9:$K$1005679,Journals!$D$9:$D$1005679,"&gt;"&amp;$E$7,Journals!$D$9:$D$1005679,"&lt;"&amp;$E$8,Journals!$J$9:$J$1005679,"Interest Receivables from Bank A/C"))</f>
        <v>0</v>
      </c>
      <c r="J8" s="153">
        <f>SUMIFS(Journals!$K$9:$K$1005679,Journals!$D$9:$D$1005679,"&lt;"&amp;$F$7,Journals!$J$9:$J$1005679,"Interest Receivables from Bank A/C")-SUMIFS(Journals!$L$9:$L$1005679,Journals!$D$9:$D$1005679,"&lt;"&amp;$F$7,Journals!$J$9:$J$1005679,"Interest Receivables from Bank A/C")</f>
        <v>10693.788209641585</v>
      </c>
      <c r="K8" s="153"/>
      <c r="L8" s="153">
        <f>J8+H8-I8</f>
        <v>86645.349886724929</v>
      </c>
      <c r="M8" s="153"/>
      <c r="N8" s="153"/>
      <c r="O8" s="153"/>
      <c r="P8" s="151"/>
      <c r="Q8" s="214"/>
      <c r="R8" s="214"/>
      <c r="S8" s="214"/>
      <c r="T8" s="214"/>
    </row>
    <row r="9" spans="1:22" x14ac:dyDescent="0.2">
      <c r="G9" s="152" t="str">
        <f>'Chart of Accounts'!B5</f>
        <v>Preliminary &amp; issue expenses</v>
      </c>
      <c r="H9" s="154">
        <f>MAX(0,SUMIFS(Journals!$K$9:$K$1005679,Journals!$D$9:$D$1005679,"&gt;"&amp;$E$7,Journals!$D$9:$D$1005679,"&lt;"&amp;$E$8,Journals!$J$9:$J$1005679,"Preliminary &amp; issue expenses")-SUMIFS(Journals!$L$9:$L$1005679,Journals!$D$9:$D$1005679,"&gt;"&amp;$E$7,Journals!$D$9:$D$1005679,"&lt;"&amp;$E$8,Journals!$J$9:$J$1005679,"Preliminary &amp; issue expenses"))</f>
        <v>0</v>
      </c>
      <c r="I9" s="154">
        <f>MAX(0,SUMIFS(Journals!$L$9:$L$1005679,Journals!$D$9:$D$1005679,"&gt;"&amp;$E$7,Journals!$D$9:$D$1005679,"&lt;"&amp;$E$8,Journals!$J$9:$J$1005679,"Preliminary &amp; issue expenses")-SUMIFS(Journals!$K$9:$K$1005679,Journals!$D$9:$D$1005679,"&gt;"&amp;$E$7,Journals!$D$9:$D$1005679,"&lt;"&amp;$E$8,Journals!$J$9:$J$1005679,"Preliminary &amp; issue expenses"))</f>
        <v>32967.032967032952</v>
      </c>
      <c r="J9" s="153">
        <f>SUMIFS(Journals!$K$9:$K$1005679,Journals!$D$9:$D$1005679,"&lt;"&amp;$F$7,Journals!$J$9:$J$1005679,"Preliminary &amp; issue expenses")-SUMIFS(Journals!$L$9:$L$1005679,Journals!$D$9:$D$1005679,"&lt;"&amp;$F$7,Journals!$J$9:$J$1005679,"Preliminary &amp; issue expenses")</f>
        <v>445054.94780219591</v>
      </c>
      <c r="K9" s="153"/>
      <c r="L9" s="153">
        <f>J9+H9-I9</f>
        <v>412087.91483516293</v>
      </c>
      <c r="M9" s="153"/>
      <c r="N9" s="153"/>
      <c r="O9" s="153"/>
      <c r="P9" s="402"/>
      <c r="Q9" s="214"/>
      <c r="R9" s="214"/>
      <c r="S9" s="214"/>
      <c r="T9" s="214"/>
    </row>
    <row r="10" spans="1:22" x14ac:dyDescent="0.2">
      <c r="C10" s="151"/>
      <c r="G10" s="152" t="str">
        <f>'Chart of Accounts'!B6</f>
        <v>Accrued Management Fee</v>
      </c>
      <c r="H10" s="154">
        <f>SUMIFS(Journals!$K$9:$K$1005679,Journals!$D$9:$D$1005679,"&gt;"&amp;$E$7,Journals!$D$9:$D$1005679,"&lt;"&amp;$E$8,Journals!$J$9:$J$1005679,"Accrued Management Fee")</f>
        <v>1235848</v>
      </c>
      <c r="I10" s="154">
        <f>MAX(0,SUMIFS(Journals!$L$9:$L$1005679,Journals!$D$9:$D$1005679,"&gt;"&amp;$E$7,Journals!$D$9:$D$1005679,"&lt;"&amp;$E$8,Journals!$J$9:$J$1005679,"Accrued Management Fee"))</f>
        <v>1183783.6499910913</v>
      </c>
      <c r="J10" s="153"/>
      <c r="K10" s="153">
        <f>SUMIFS(Journals!$L$9:$L$1005679,Journals!$D$9:$D$1005679,"&lt;"&amp;$F$7,Journals!$J$9:$J$1005679,"Accrued Management Fee")-SUMIFS(Journals!$K$9:$K$1005679,Journals!$D$9:$D$1005679,"&lt;"&amp;$F$7,Journals!$J$9:$J$1005679,"Accrued Management Fee")</f>
        <v>775470.13839447126</v>
      </c>
      <c r="L10" s="153"/>
      <c r="M10" s="153">
        <f t="shared" ref="M10:M15" si="0">K10+I10-H10</f>
        <v>723405.7883855626</v>
      </c>
      <c r="N10" s="153"/>
      <c r="O10" s="153"/>
      <c r="Q10" s="214"/>
      <c r="R10" s="214"/>
      <c r="S10" s="214"/>
      <c r="T10" s="214"/>
    </row>
    <row r="11" spans="1:22" x14ac:dyDescent="0.2">
      <c r="C11" s="470"/>
      <c r="G11" s="152" t="s">
        <v>51</v>
      </c>
      <c r="H11" s="154">
        <f>SUMIFS(Journals!$K$9:$K$1005679,Journals!$D$9:$D$1005679,"&gt;"&amp;$E$7,Journals!$D$9:$D$1005679,"&lt;"&amp;$E$8,Journals!$J$9:$J$1005679,"Accrued Trustee Fee")</f>
        <v>0</v>
      </c>
      <c r="I11" s="154">
        <f>MAX(0,SUMIFS(Journals!$L$9:$L$1005679,Journals!$D$9:$D$1005679,"&gt;"&amp;$E$7,Journals!$D$9:$D$1005679,"&lt;"&amp;$E$8,Journals!$J$9:$J$1005679,"Accrued Trustee Fee"))</f>
        <v>56977.770188301845</v>
      </c>
      <c r="J11" s="153"/>
      <c r="K11" s="153">
        <f>SUMIFS(Journals!$L$9:$L$1005679,Journals!$D$9:$D$1005679,"&lt;"&amp;$F$7,Journals!$J$9:$J$1005679,"Accrued Trustee Fee")-SUMIFS(Journals!$K$9:$K$1005679,Journals!$D$9:$D$1005679,"&lt;"&amp;$F$7,Journals!$J$9:$J$1005679,"Accrued Trustee Fee")</f>
        <v>108026.57897488913</v>
      </c>
      <c r="L11" s="153"/>
      <c r="M11" s="153">
        <f t="shared" si="0"/>
        <v>165004.34916319099</v>
      </c>
      <c r="N11" s="153"/>
      <c r="O11" s="153"/>
      <c r="Q11" s="214"/>
      <c r="R11" s="214"/>
      <c r="S11" s="214"/>
      <c r="T11" s="214"/>
    </row>
    <row r="12" spans="1:22" x14ac:dyDescent="0.2">
      <c r="C12" s="151"/>
      <c r="E12" s="444"/>
      <c r="G12" s="152" t="str">
        <f>'Chart of Accounts'!B8</f>
        <v>Accrued Custodian Fee</v>
      </c>
      <c r="H12" s="154">
        <f>MAX(0,SUMIFS(Journals!$K$9:$K$1005679,Journals!$D$9:$D$1005679,"&gt;"&amp;$E$7,Journals!$D$9:$D$1005679,"&lt;"&amp;$E$8,Journals!$J$9:$J$1005679,"accrued custodian fee")-SUMIFS(Journals!$L$9:$L$1005679,Journals!$D$9:$D$1005679,"&gt;"&amp;$E$7,Journals!$D$9:$D$1005679,"&lt;"&amp;$E$8,Journals!$J$9:$J$1005679,"accrued custodian fee"))</f>
        <v>0</v>
      </c>
      <c r="I12" s="154">
        <f>MAX(0,SUMIFS(Journals!$L$9:$L$1005679,Journals!$D$9:$D$1005679,"&gt;"&amp;$E$7,Journals!$D$9:$D$1005679,"&lt;"&amp;$E$8,Journals!$J$9:$J$1005679,"accrued custodian fee")-SUMIFS(Journals!$K$9:$K$1005679,Journals!$D$9:$D$1005679,"&gt;"&amp;$E$7,Journals!$D$9:$D$1005679,"&lt;"&amp;$E$8,Journals!$J$9:$J$1005679,"accrued custodian fee"))</f>
        <v>0</v>
      </c>
      <c r="J12" s="153"/>
      <c r="K12" s="153">
        <f>SUMIFS(Journals!$L$9:$L$1005679,Journals!$D$9:$D$1005679,"&lt;"&amp;$F$7,Journals!$J$9:$J$1005679,"Accrued Custodian Fee")-SUMIFS(Journals!$K$9:$K$1005679,Journals!$D$9:$D$1005679,"&lt;"&amp;$F$7,Journals!$J$9:$J$1005679,"Accrued Custodian Fee")</f>
        <v>0</v>
      </c>
      <c r="L12" s="153"/>
      <c r="M12" s="153">
        <f t="shared" si="0"/>
        <v>0</v>
      </c>
      <c r="N12" s="153"/>
      <c r="O12" s="153"/>
      <c r="Q12" s="214"/>
      <c r="R12" s="214"/>
      <c r="S12" s="214"/>
      <c r="T12" s="214"/>
    </row>
    <row r="13" spans="1:22" x14ac:dyDescent="0.2">
      <c r="E13" s="151"/>
      <c r="G13" s="152" t="str">
        <f>'Chart of Accounts'!B9</f>
        <v>Accrued BSEC fee</v>
      </c>
      <c r="H13" s="154">
        <f>MAX(0,SUMIFS(Journals!$K$9:$K$1005679,Journals!$D$9:$D$1005679,"&gt;"&amp;$E$7,Journals!$D$9:$D$1005679,"&lt;"&amp;$E$8,Journals!$J$9:$J$1005679,"accrued bsec fee")-SUMIFS(Journals!$L$9:$L$1005679,Journals!$D$9:$D$1005679,"&gt;"&amp;$E$7,Journals!$D$9:$D$1005679,"&lt;"&amp;$E$8,Journals!$J$9:$J$1005679,"accrued bsec fee"))</f>
        <v>0</v>
      </c>
      <c r="I13" s="154">
        <f>MAX(0,SUMIFS(Journals!$L$9:$L$1005679,Journals!$D$9:$D$1005679,"&gt;"&amp;$E$7,Journals!$D$9:$D$1005679,"&lt;"&amp;$E$8,Journals!$J$9:$J$1005679,"accrued bsec fee")-SUMIFS(Journals!$K$9:$K$1005679,Journals!$D$9:$D$1005679,"&gt;"&amp;$E$7,Journals!$D$9:$D$1005679,"&lt;"&amp;$E$8,Journals!$J$9:$J$1005679,"accrued bsec fee"))</f>
        <v>0</v>
      </c>
      <c r="J13" s="153"/>
      <c r="K13" s="153">
        <f>SUMIFS(Journals!$L$9:$L$1005679,Journals!$D$9:$D$1005679,"&lt;"&amp;$F$7,Journals!$J$9:$J$1005679,"accrued bsec fee")-SUMIFS(Journals!$K$9:$K$1005679,Journals!$D$9:$D$1005679,"&lt;"&amp;$F$7,Journals!$J$9:$J$1005679,"accrued bsec fee")</f>
        <v>0</v>
      </c>
      <c r="L13" s="153"/>
      <c r="M13" s="153">
        <f t="shared" si="0"/>
        <v>0</v>
      </c>
      <c r="N13" s="153"/>
      <c r="O13" s="153"/>
      <c r="Q13" s="214"/>
      <c r="R13" s="214"/>
      <c r="S13" s="214"/>
      <c r="T13" s="214"/>
    </row>
    <row r="14" spans="1:22" x14ac:dyDescent="0.2">
      <c r="B14" s="151"/>
      <c r="G14" s="152" t="str">
        <f>'Chart of Accounts'!B10</f>
        <v>Accrued Audit Fee</v>
      </c>
      <c r="H14" s="154">
        <f>MAX(0,SUMIFS(Journals!$K$9:$K$1005679,Journals!$D$9:$D$1005679,"&gt;"&amp;$E$7,Journals!$D$9:$D$1005679,"&lt;"&amp;$E$8,Journals!$J$9:$J$1005679,"accrued audit fee"))</f>
        <v>57500</v>
      </c>
      <c r="I14" s="154">
        <f>MAX(0,SUMIFS(Journals!$L$9:$L$1005679,Journals!$D$9:$D$1005679,"&gt;"&amp;$E$7,Journals!$D$9:$D$1005679,"&lt;"&amp;$E$8,Journals!$J$9:$J$1005679,"accrued audit fee"))</f>
        <v>0</v>
      </c>
      <c r="J14" s="153"/>
      <c r="K14" s="153">
        <f>SUMIFS(Journals!$L$9:$L$1005679,Journals!$D$9:$D$1005679,"&lt;"&amp;$F$7,Journals!$J$9:$J$1005679,"accrued audit fee")-SUMIFS(Journals!$K$9:$K$1005679,Journals!$D$9:$D$1005679,"&lt;"&amp;$F$7,Journals!$J$9:$J$1005679,"accrued audit fee")</f>
        <v>57500</v>
      </c>
      <c r="L14" s="153"/>
      <c r="M14" s="153">
        <f t="shared" si="0"/>
        <v>0</v>
      </c>
      <c r="N14" s="153"/>
      <c r="O14" s="153"/>
      <c r="Q14" s="214"/>
      <c r="R14" s="214"/>
      <c r="S14" s="214"/>
      <c r="T14" s="214"/>
    </row>
    <row r="15" spans="1:22" x14ac:dyDescent="0.2">
      <c r="G15" s="152" t="str">
        <f>'Chart of Accounts'!B11</f>
        <v>Accrued CDBL Fee</v>
      </c>
      <c r="H15" s="154">
        <f>MAX(0,SUMIFS(Journals!$K$9:$K$1005679,Journals!$D$9:$D$1005679,"&gt;"&amp;$E$7,Journals!$D$9:$D$1005679,"&lt;"&amp;$E$8,Journals!$J$9:$J$1005679,"accrued CDBL fee")-SUMIFS(Journals!$L$9:$L$1005679,Journals!$D$9:$D$1005679,"&gt;"&amp;$E$7,Journals!$D$9:$D$1005679,"&lt;"&amp;$E$8,Journals!$J$9:$J$1005679,"accrued CDBL fee"))</f>
        <v>0</v>
      </c>
      <c r="I15" s="154">
        <f>MAX(0,SUMIFS(Journals!$L$9:$L$1005679,Journals!$D$9:$D$1005679,"&gt;"&amp;$E$7,Journals!$D$9:$D$1005679,"&lt;"&amp;$E$8,Journals!$J$9:$J$1005679,"accrued CDBL fee")-SUMIFS(Journals!$K$9:$K$1005679,Journals!$D$9:$D$1005679,"&gt;"&amp;$E$7,Journals!$D$9:$D$1005679,"&lt;"&amp;$E$8,Journals!$J$9:$J$1005679,"accrued CDBL fee"))</f>
        <v>0</v>
      </c>
      <c r="J15" s="153"/>
      <c r="K15" s="153">
        <f>SUMIFS(Journals!$L$9:$L$1005679,Journals!$D$9:$D$1005679,"&lt;"&amp;$F$7,Journals!$J$9:$J$1005679,"accrued cdbl fee")-SUMIFS(Journals!$K$9:$K$1005679,Journals!$D$9:$D$1005679,"&lt;"&amp;$F$7,Journals!$J$9:$J$1005679,"accrued cdbl fee")</f>
        <v>0</v>
      </c>
      <c r="L15" s="153"/>
      <c r="M15" s="153">
        <f t="shared" si="0"/>
        <v>0</v>
      </c>
      <c r="N15" s="153"/>
      <c r="O15" s="153"/>
      <c r="Q15" s="214"/>
      <c r="R15" s="214"/>
      <c r="S15" s="214"/>
      <c r="T15" s="214"/>
    </row>
    <row r="16" spans="1:22" x14ac:dyDescent="0.2">
      <c r="G16" s="152" t="str">
        <f>'Chart of Accounts'!B12</f>
        <v>Fixed Deposit Receipts (FDR)</v>
      </c>
      <c r="H16" s="154">
        <f>MAX(0,SUMIFS(Journals!$K$9:$K$1005679,Journals!$D$9:$D$1005679,"&gt;"&amp;$E$7,Journals!$D$9:$D$1005679,"&lt;"&amp;$E$8,Journals!$J$9:$J$1005679,"Fixed Deposit Receipts (FDR)")-SUMIFS(Journals!$L$9:$L$1005679,Journals!$D$9:$D$1005679,"&gt;"&amp;$E$7,Journals!$D$9:$D$1005679,"&lt;"&amp;$E$8,Journals!$J$9:$J$1005679,"Fixed Deposit Receipts (FDR)"))</f>
        <v>0</v>
      </c>
      <c r="I16" s="154">
        <f>MAX(0,SUMIFS(Journals!$L$9:$L$1005679,Journals!$D$9:$D$1005679,"&gt;"&amp;$E$7,Journals!$D$9:$D$1005679,"&lt;"&amp;$E$8,Journals!$J$9:$J$1005679,"Fixed Deposit Receipts (FDR)")-SUMIFS(Journals!$K$9:$K$1005679,Journals!$D$9:$D$1005679,"&gt;"&amp;$E$7,Journals!$D$9:$D$1005679,"&lt;"&amp;$E$8,Journals!$J$9:$J$1005679,"Fixed Deposit Receipts (FDR)"))</f>
        <v>9000000</v>
      </c>
      <c r="J16" s="153">
        <f>SUMIFS(Journals!$K$9:$K$1005679,Journals!$D$9:$D$1005679,"&lt;"&amp;$F$7,Journals!$J$9:$J$1005679,"Fixed Deposit Receipts (FDR)")-SUMIFS(Journals!$L$9:$L$1005679,Journals!$D$9:$D$1005679,"&lt;"&amp;$F$7,Journals!$J$9:$J$1005679,"Fixed Deposit Receipts (FDR)")</f>
        <v>13000000.007044792</v>
      </c>
      <c r="K16" s="153"/>
      <c r="L16" s="153">
        <f>J16+H16-I16</f>
        <v>4000000.0070447922</v>
      </c>
      <c r="M16" s="153"/>
      <c r="N16" s="153"/>
      <c r="O16" s="153"/>
      <c r="Q16" s="214"/>
      <c r="R16" s="214"/>
      <c r="S16" s="214"/>
      <c r="T16" s="214"/>
    </row>
    <row r="17" spans="1:20" x14ac:dyDescent="0.2">
      <c r="D17" s="141"/>
      <c r="G17" s="152" t="str">
        <f>'Chart of Accounts'!B13</f>
        <v>Cash and cash equivalents</v>
      </c>
      <c r="H17" s="154">
        <f>MAX(0,SUMIFS(Journals!$K$9:$K$1005679,Journals!$D$9:$D$1005679,"&gt;"&amp;$E$7,Journals!$D$9:$D$1005679,"&lt;"&amp;$E$8,Journals!$J$9:$J$1005679,"Cash and cash equivalents")-SUMIFS(Journals!$L$9:$L$1005679,Journals!$D$9:$D$1005679,"&gt;"&amp;$E$7,Journals!$D$9:$D$1005679,"&lt;"&amp;$E$8,Journals!$J$9:$J$1005679,"Cash and cash equivalents"))</f>
        <v>1793057.9900000095</v>
      </c>
      <c r="I17" s="154">
        <f>MAX(0,SUMIFS(Journals!$L$9:$L$1005679,Journals!$D$9:$D$1005679,"&gt;"&amp;$E$7,Journals!$D$9:$D$1005679,"&lt;"&amp;$E$8,Journals!$J$9:$J$1005679,"Cash and cash equivalents")-SUMIFS(Journals!$K$9:$K$1005679,Journals!$D$9:$D$1005679,"&gt;"&amp;$E$7,Journals!$D$9:$D$1005679,"&lt;"&amp;$E$8,Journals!$J$9:$J$1005679,"Cash and cash equivalents"))</f>
        <v>0</v>
      </c>
      <c r="J17" s="153">
        <f>SUMIFS(Journals!$K$9:$K$1005679,Journals!$D$9:$D$1005679,"&lt;"&amp;$F$7,Journals!$J$9:$J$1005679,"Cash and cash equivalents")-SUMIFS(Journals!$L$9:$L$1005679,Journals!$D$9:$D$1005679,"&lt;"&amp;$F$7,Journals!$J$9:$J$1005679,"Cash and cash equivalents")</f>
        <v>512242.08009672165</v>
      </c>
      <c r="K17" s="153"/>
      <c r="L17" s="153">
        <f>J17+H17-I17</f>
        <v>2305300.0700967312</v>
      </c>
      <c r="M17" s="153"/>
      <c r="N17" s="153"/>
      <c r="O17" s="153"/>
      <c r="Q17" s="214"/>
      <c r="R17" s="214"/>
      <c r="S17" s="214"/>
      <c r="T17" s="214"/>
    </row>
    <row r="18" spans="1:20" x14ac:dyDescent="0.2">
      <c r="G18" s="152" t="str">
        <f>'Chart of Accounts'!B14</f>
        <v>Unit Capital</v>
      </c>
      <c r="H18" s="154">
        <f>SUMIFS(Journals!$K$9:$K$1005679,Journals!$D$9:$D$1005679,"&gt;"&amp;$E$7,Journals!$D$9:$D$1005679,"&lt;"&amp;$E$8,Journals!$J$9:$J$1005679,"unit capital")</f>
        <v>10022120</v>
      </c>
      <c r="I18" s="154">
        <f>MAX(0,SUMIFS(Journals!$L$9:$L$1005679,Journals!$D$9:$D$1005679,"&gt;"&amp;$E$7,Journals!$D$9:$D$1005679,"&lt;"&amp;$E$8,Journals!$J$9:$J$1005679,"unit capital"))</f>
        <v>29659190</v>
      </c>
      <c r="J18" s="153"/>
      <c r="K18" s="153">
        <f>SUMIFS(Journals!$L$9:$L$1005679,Journals!$D$9:$D$1005679,"&lt;"&amp;$F$7,Journals!$J$9:$J$1005679,"unit capital")-SUMIFS(Journals!$K$9:$K$1005679,Journals!$D$9:$D$1005679,"&lt;"&amp;$F$7,Journals!$J$9:$J$1005679,"unit capital")</f>
        <v>188935970</v>
      </c>
      <c r="L18" s="153"/>
      <c r="M18" s="153">
        <f>K18+I18-H18</f>
        <v>208573040</v>
      </c>
      <c r="N18" s="153"/>
      <c r="O18" s="153"/>
      <c r="Q18" s="214"/>
      <c r="R18" s="214"/>
      <c r="S18" s="214"/>
      <c r="T18" s="214"/>
    </row>
    <row r="19" spans="1:20" ht="12" x14ac:dyDescent="0.25">
      <c r="B19" s="454"/>
      <c r="G19" s="152" t="str">
        <f>'Chart of Accounts'!B15</f>
        <v>Unit premium reserve</v>
      </c>
      <c r="H19" s="154">
        <f>SUMIFS(Journals!$K$9:$K$1005679,Journals!$D$9:$D$1005679,"&gt;"&amp;$E$7,Journals!$D$9:$D$1005679,"&lt;"&amp;$E$8,Journals!$J$9:$J$1005679,"unit premium reserve")</f>
        <v>2739914.0100000002</v>
      </c>
      <c r="I19" s="154">
        <f>SUMIFS(Journals!$L$9:$L$1005679,Journals!$D$9:$D$1005679,"&gt;"&amp;$E$7,Journals!$D$9:$D$1005679,"&lt;"&amp;$E$8,Journals!$J$9:$J$1005679,"unit premium reserve")</f>
        <v>7480353.8999999994</v>
      </c>
      <c r="J19" s="153"/>
      <c r="K19" s="153">
        <f>SUMIFS(Journals!$L$9:$L$1005679,Journals!$D$9:$D$1005679,"&lt;"&amp;$F$7,Journals!$J$9:$J$1005679,"unit premium reserve")-SUMIFS(Journals!$K$9:$K$1005679,Journals!$D$9:$D$1005679,"&lt;"&amp;$F$7,Journals!$J$9:$J$1005679,"unit premium reserve")</f>
        <v>2503906.2700000005</v>
      </c>
      <c r="L19" s="153"/>
      <c r="M19" s="153">
        <f>K19+I19-H19</f>
        <v>7244346.1600000001</v>
      </c>
      <c r="N19" s="153"/>
      <c r="O19" s="153"/>
      <c r="Q19" s="214"/>
      <c r="R19" s="214"/>
      <c r="S19" s="214"/>
      <c r="T19" s="214"/>
    </row>
    <row r="20" spans="1:20" ht="12" x14ac:dyDescent="0.25">
      <c r="B20" s="454"/>
      <c r="G20" s="152" t="str">
        <f>'Chart of Accounts'!B16</f>
        <v>Interest income</v>
      </c>
      <c r="H20" s="154">
        <f>MAX(0,SUMIFS(Journals!$K$9:$K$1005679,Journals!$D$9:$D$1005679,"&gt;"&amp;$E$7,Journals!$D$9:$D$1005679,"&lt;"&amp;$E$8,Journals!$J$9:$J$1005679,"interest income")-SUMIFS(Journals!$L$9:$L$1005679,Journals!$D$9:$D$1005679,"&gt;"&amp;$E$7,Journals!$D$9:$D$1005679,"&lt;"&amp;$E$8,Journals!$J$9:$J$1005679,"interest income"))</f>
        <v>0</v>
      </c>
      <c r="I20" s="154">
        <f>MAX(0,SUMIFS(Journals!$L$9:$L$1005679,Journals!$D$9:$D$1005679,"&gt;"&amp;$E$7,Journals!$D$9:$D$1005679,"&lt;"&amp;$E$8,Journals!$J$9:$J$1005679,"interest income")-SUMIFS(Journals!$K$9:$K$1005679,Journals!$D$9:$D$1005679,"&gt;"&amp;$E$7,Journals!$D$9:$D$1005679,"&lt;"&amp;$E$8,Journals!$J$9:$J$1005679,"interest income"))</f>
        <v>0</v>
      </c>
      <c r="J20" s="153"/>
      <c r="K20" s="153"/>
      <c r="L20" s="153"/>
      <c r="M20" s="153"/>
      <c r="N20" s="153"/>
      <c r="O20" s="153">
        <f>SUMIFS(Journals!$L$9:$L$1011558,Journals!$D$9:$D$1011558,"&lt;"&amp;$F$7,Journals!$J$9:$J$1011558,"interest income")-SUMIFS(Journals!$K$9:$K$1011558,Journals!$D$9:$D$1011558,"&lt;"&amp;$F$7,Journals!$J$9:$J$1011558,"interest income")</f>
        <v>21944826.434244968</v>
      </c>
      <c r="Q20" s="214"/>
      <c r="R20" s="214"/>
      <c r="S20" s="214"/>
      <c r="T20" s="214"/>
    </row>
    <row r="21" spans="1:20" ht="12" x14ac:dyDescent="0.25">
      <c r="B21" s="454"/>
      <c r="G21" s="152" t="s">
        <v>1469</v>
      </c>
      <c r="H21" s="154">
        <f>MAX(0,SUMIFS(Journals!$K$9:$K$1005679,Journals!$D$9:$D$1005679,"&gt;"&amp;$E$7,Journals!$D$9:$D$1005679,"&lt;"&amp;$E$8,Journals!$J$9:$J$1005679,"Interest Income from FDR")-SUMIFS(Journals!$L$9:$L$1005679,Journals!$D$9:$D$1005679,"&gt;"&amp;$E$7,Journals!$D$9:$D$1005679,"&lt;"&amp;$E$8,Journals!$J$9:$J$1005679,"Interest Income from FDR"))</f>
        <v>0</v>
      </c>
      <c r="I21" s="154">
        <f>MAX(0,SUMIFS(Journals!$L$9:$L$1005679,Journals!$D$9:$D$1005679,"&gt;"&amp;$E$7,Journals!$D$9:$D$1005679,"&lt;"&amp;$E$8,Journals!$J$9:$J$1005679,"Interest Income from FDR")-SUMIFS(Journals!$K$9:$K$1005679,Journals!$D$9:$D$1005679,"&gt;"&amp;$E$7,Journals!$D$9:$D$1005679,"&lt;"&amp;$E$8,Journals!$J$9:$J$1005679,"Interest Income from FDR"))</f>
        <v>334458.33333333279</v>
      </c>
      <c r="J21" s="153"/>
      <c r="K21" s="153"/>
      <c r="L21" s="153"/>
      <c r="M21" s="153"/>
      <c r="N21" s="153"/>
      <c r="O21" s="153">
        <f>SUMIFS(Journals!$L$9:$L$1005679,Journals!$D$9:$D$1005679,"&lt;"&amp;$F$7,Journals!$J$9:$J$1005679,"Interest Income from FDR")-SUMIFS(Journals!$K$9:$K$1005679,Journals!$D$9:$D$1005679,"&lt;"&amp;$F$7,Journals!$J$9:$J$1005679,"Interest Income from FDR")</f>
        <v>0</v>
      </c>
      <c r="Q21" s="214"/>
      <c r="R21" s="214"/>
      <c r="S21" s="214"/>
      <c r="T21" s="214"/>
    </row>
    <row r="22" spans="1:20" ht="12" x14ac:dyDescent="0.25">
      <c r="B22" s="454"/>
      <c r="G22" s="152" t="s">
        <v>1955</v>
      </c>
      <c r="H22" s="154">
        <f>MAX(0,SUMIFS(Journals!$K$9:$K$1005679,Journals!$D$9:$D$1005679,"&gt;"&amp;$E$7,Journals!$D$9:$D$1005679,"&lt;"&amp;$E$8,Journals!$J$9:$J$1005679,"Interest Income from Renata Pre. Share")-SUMIFS(Journals!$L$9:$L$1005679,Journals!$D$9:$D$1005679,"&gt;"&amp;$E$7,Journals!$D$9:$D$1005679,"&lt;"&amp;$E$8,Journals!$J$9:$J$1005679,"Interest Income from Renata Pre. Share"))</f>
        <v>0</v>
      </c>
      <c r="I22" s="154">
        <f>MAX(0,SUMIFS(Journals!$L$9:$L$1005679,Journals!$D$9:$D$1005679,"&gt;"&amp;$E$7,Journals!$D$9:$D$1005679,"&lt;"&amp;$E$8,Journals!$J$9:$J$1005679,"Interest Income from Renata Pre. Share")-SUMIFS(Journals!$K$9:$K$1005679,Journals!$D$9:$D$1005679,"&gt;"&amp;$E$7,Journals!$D$9:$D$1005679,"&lt;"&amp;$E$8,Journals!$J$9:$J$1005679,"Interest Income from Renata Pre. Share"))</f>
        <v>519576.92307692283</v>
      </c>
      <c r="J22" s="153"/>
      <c r="K22" s="153"/>
      <c r="L22" s="153"/>
      <c r="M22" s="153"/>
      <c r="N22" s="153"/>
      <c r="O22" s="153">
        <f>SUMIFS(Journals!$L$9:$L$1005679,Journals!$D$9:$D$1005679,"&lt;"&amp;$F$7,Journals!$J$9:$J$1005679,"Interest Income from Renata Pre. Share")-SUMIFS(Journals!$K$9:$K$1005679,Journals!$D$9:$D$1005679,"&lt;"&amp;$F$7,Journals!$J$9:$J$1005679,"Interest Income from Renata Pre. Share")</f>
        <v>402053.57142857125</v>
      </c>
      <c r="Q22" s="214"/>
      <c r="R22" s="214"/>
      <c r="S22" s="214"/>
      <c r="T22" s="214"/>
    </row>
    <row r="23" spans="1:20" ht="12" x14ac:dyDescent="0.25">
      <c r="B23" s="454"/>
      <c r="G23" s="152" t="s">
        <v>1974</v>
      </c>
      <c r="H23" s="154">
        <f>MAX(0,SUMIFS(Journals!$K$9:$K$1005679,Journals!$D$9:$D$1005679,"&gt;"&amp;$E$7,Journals!$D$9:$D$1005679,"&lt;"&amp;$E$8,Journals!$J$9:$J$1005679,"Interest Income from Bank Acc")-SUMIFS(Journals!$L$9:$L$1005679,Journals!$D$9:$D$1005679,"&gt;"&amp;$E$7,Journals!$D$9:$D$1005679,"&lt;"&amp;$E$8,Journals!$J$9:$J$1005679,"Interest Income from Bank Acc"))</f>
        <v>0</v>
      </c>
      <c r="I23" s="154">
        <f>MAX(0,SUMIFS(Journals!$L$9:$L$1005679,Journals!$D$9:$D$1005679,"&gt;"&amp;$E$7,Journals!$D$9:$D$1005679,"&lt;"&amp;$E$8,Journals!$J$9:$J$1005679,"Interest Income from Bank Acc")-SUMIFS(Journals!$K$9:$K$1005679,Journals!$D$9:$D$1005679,"&gt;"&amp;$E$7,Journals!$D$9:$D$1005679,"&lt;"&amp;$E$8,Journals!$J$9:$J$1005679,"Interest Income from Bank Acc"))</f>
        <v>75951.561677083344</v>
      </c>
      <c r="J23" s="153"/>
      <c r="K23" s="153"/>
      <c r="L23" s="153"/>
      <c r="M23" s="153"/>
      <c r="N23" s="153"/>
      <c r="O23" s="153">
        <f>SUMIFS(Journals!$L$9:$L$1005679,Journals!$D$9:$D$1005679,"&lt;"&amp;$F$7,Journals!$J$9:$J$1005679,"Interest Income from Bank Acc")-SUMIFS(Journals!$K$9:$K$1005679,Journals!$D$9:$D$1005679,"&lt;"&amp;$F$7,Journals!$J$9:$J$1005679,"Interest Income from Bank Acc")</f>
        <v>0</v>
      </c>
      <c r="Q23" s="214"/>
      <c r="R23" s="214"/>
      <c r="S23" s="214"/>
      <c r="T23" s="214"/>
    </row>
    <row r="24" spans="1:20" ht="12" x14ac:dyDescent="0.25">
      <c r="B24" s="454"/>
      <c r="G24" s="152" t="s">
        <v>1468</v>
      </c>
      <c r="H24" s="154">
        <f>MAX(0,SUMIFS(Journals!$K$9:$K$1005679,Journals!$D$9:$D$1005679,"&gt;"&amp;$E$7,Journals!$D$9:$D$1005679,"&lt;"&amp;$E$8,Journals!$J$9:$J$1005679,"Interest Income from T-Bill")-SUMIFS(Journals!$L$9:$L$1005679,Journals!$D$9:$D$1005679,"&gt;"&amp;$E$7,Journals!$D$9:$D$1005679,"&lt;"&amp;$E$8,Journals!$J$9:$J$1005679,"Interest Income from T-Bill"))</f>
        <v>0</v>
      </c>
      <c r="I24" s="154">
        <f>MAX(0,SUMIFS(Journals!$L$9:$L$1005679,Journals!$D$9:$D$1005679,"&gt;"&amp;$E$7,Journals!$D$9:$D$1005679,"&lt;"&amp;$E$8,Journals!$J$9:$J$1005679,"Interest Income from T-Bill")-SUMIFS(Journals!$K$9:$K$1005679,Journals!$D$9:$D$1005679,"&gt;"&amp;$E$7,Journals!$D$9:$D$1005679,"&lt;"&amp;$E$8,Journals!$J$9:$J$1005679,"Interest Income from T-Bill"))</f>
        <v>0</v>
      </c>
      <c r="J24" s="153"/>
      <c r="K24" s="153"/>
      <c r="L24" s="153"/>
      <c r="M24" s="153"/>
      <c r="N24" s="153"/>
      <c r="O24" s="153">
        <f>SUMIFS(Journals!$L$9:$L$1005679,Journals!$D$9:$D$1005679,"&lt;"&amp;$F$7,Journals!$J$9:$J$1005679,"Interest Income from T-Bill")-SUMIFS(Journals!$K$9:$K$1005679,Journals!$D$9:$D$1005679,"&lt;"&amp;$F$7,Journals!$J$9:$J$1005679,"Interest Income from T-Bill")</f>
        <v>0</v>
      </c>
      <c r="Q24" s="214"/>
      <c r="R24" s="214"/>
      <c r="S24" s="214"/>
      <c r="T24" s="214"/>
    </row>
    <row r="25" spans="1:20" ht="12" x14ac:dyDescent="0.25">
      <c r="B25" s="454"/>
      <c r="G25" s="152" t="s">
        <v>1616</v>
      </c>
      <c r="H25" s="154">
        <f>MAX(0,SUMIFS(Journals!$K$9:$K$1005679,Journals!$D$9:$D$1005679,"&gt;"&amp;$E$7,Journals!$D$9:$D$1005679,"&lt;"&amp;$E$8,Journals!$J$9:$J$1005679,"Interest Income from T-Bond")-SUMIFS(Journals!$L$9:$L$1005679,Journals!$D$9:$D$1005679,"&gt;"&amp;$E$7,Journals!$D$9:$D$1005679,"&lt;"&amp;$E$8,Journals!$J$9:$J$1005679,"Interest Income from T-Bond"))</f>
        <v>0</v>
      </c>
      <c r="I25" s="154">
        <f>MAX(0,SUMIFS(Journals!$L$9:$L$1005679,Journals!$D$9:$D$1005679,"&gt;"&amp;$E$7,Journals!$D$9:$D$1005679,"&lt;"&amp;$E$8,Journals!$J$9:$J$1005679,"Interest Income from T-Bond")-SUMIFS(Journals!$K$9:$K$1005679,Journals!$D$9:$D$1005679,"&gt;"&amp;$E$7,Journals!$D$9:$D$1005679,"&lt;"&amp;$E$8,Journals!$J$9:$J$1005679,"Interest Income from T-Bond"))</f>
        <v>0</v>
      </c>
      <c r="J25" s="153"/>
      <c r="K25" s="153"/>
      <c r="L25" s="153"/>
      <c r="M25" s="153"/>
      <c r="N25" s="153"/>
      <c r="O25" s="153">
        <f>SUMIFS(Journals!$L$9:$L$1005679,Journals!$D$9:$D$1005679,"&lt;"&amp;$F$7,Journals!$J$9:$J$1005679,"Interest Income from T-Bond")-SUMIFS(Journals!$K$9:$K$1005679,Journals!$D$9:$D$1005679,"&lt;"&amp;$F$7,Journals!$J$9:$J$1005679,"Interest Income from T-Bond")</f>
        <v>1841200</v>
      </c>
      <c r="Q25" s="214"/>
      <c r="R25" s="214"/>
      <c r="S25" s="214"/>
      <c r="T25" s="214"/>
    </row>
    <row r="26" spans="1:20" x14ac:dyDescent="0.2">
      <c r="G26" s="152" t="str">
        <f>'Chart of Accounts'!B17</f>
        <v>Bank charges and excise duties</v>
      </c>
      <c r="H26" s="154">
        <f>MAX(0,SUMIFS(Journals!$K$9:$K$1005679,Journals!$D$9:$D$1005679,"&gt;"&amp;$E$7,Journals!$D$9:$D$1005679,"&lt;"&amp;$E$8,Journals!$J$9:$J$1005679,"Bank charges and excise duties")-SUMIFS(Journals!$L$9:$L$1005679,Journals!$D$9:$D$1005679,"&gt;"&amp;$E$7,Journals!$D$9:$D$1005679,"&lt;"&amp;$E$8,Journals!$J$9:$J$1005679,"Bank charges and excise duties"))</f>
        <v>25803</v>
      </c>
      <c r="I26" s="154">
        <f>MAX(0,SUMIFS(Journals!$L$9:$L$1005679,Journals!$D$9:$D$1005679,"&gt;"&amp;$E$7,Journals!$D$9:$D$1005679,"&lt;"&amp;$E$8,Journals!$J$9:$J$1005679,"Bank charges and excise duties")-SUMIFS(Journals!$K$9:$K$1005679,Journals!$D$9:$D$1005679,"&gt;"&amp;$E$7,Journals!$D$9:$D$1005679,"&lt;"&amp;$E$8,Journals!$J$9:$J$1005679,"Bank charges and excise duties"))</f>
        <v>0</v>
      </c>
      <c r="J26" s="153"/>
      <c r="K26" s="153"/>
      <c r="L26" s="153"/>
      <c r="M26" s="153"/>
      <c r="N26" s="153">
        <f>SUMIFS(Journals!$K$9:$K$1005679,Journals!$D$9:$D$1005679,"&lt;"&amp;$F$7,Journals!$J$9:$J$1005679,"Bank charges and excise duties")-SUMIFS(Journals!$L$9:$L$1005679,Journals!$D$9:$D$1005679,"&lt;"&amp;$F$7,Journals!$J$9:$J$1005679,"Bank charges and excise duties")</f>
        <v>702242.75652658066</v>
      </c>
      <c r="O26" s="153"/>
      <c r="Q26" s="214"/>
      <c r="R26" s="214"/>
      <c r="S26" s="214"/>
      <c r="T26" s="214"/>
    </row>
    <row r="27" spans="1:20" x14ac:dyDescent="0.2">
      <c r="G27" s="152" t="str">
        <f>'Chart of Accounts'!B18</f>
        <v>Brokerage commission</v>
      </c>
      <c r="H27" s="154">
        <f>MAX(0,SUMIFS(Journals!$K$9:$K$1005679,Journals!$D$9:$D$1005679,"&gt;"&amp;$E$7,Journals!$D$9:$D$1005679,"&lt;"&amp;$E$8,Journals!$J$9:$J$1005679,"brokerage commission")-SUMIFS(Journals!$L$9:$L$1005679,Journals!$D$9:$D$1005679,"&gt;"&amp;$E$7,Journals!$D$9:$D$1005679,"&lt;"&amp;$E$8,Journals!$J$9:$J$1005679,"brokerage commission"))</f>
        <v>479495.28550000006</v>
      </c>
      <c r="I27" s="154">
        <f>MAX(0,SUMIFS(Journals!$L$9:$L$1005679,Journals!$D$9:$D$1005679,"&gt;"&amp;$E$7,Journals!$D$9:$D$1005679,"&lt;"&amp;$E$8,Journals!$J$9:$J$1005679,"brokerage commission")-SUMIFS(Journals!$K$9:$K$1005679,Journals!$D$9:$D$1005679,"&gt;"&amp;$E$7,Journals!$D$9:$D$1005679,"&lt;"&amp;$E$8,Journals!$J$9:$J$1005679,"brokerage commission"))</f>
        <v>0</v>
      </c>
      <c r="J27" s="153"/>
      <c r="K27" s="153"/>
      <c r="L27" s="153"/>
      <c r="M27" s="153"/>
      <c r="N27" s="153">
        <f>SUMIFS(Journals!$K$9:$K$1005679,Journals!$D$9:$D$1005679,"&lt;"&amp;$F$7,Journals!$J$9:$J$1005679,"brokerage commission")-SUMIFS(Journals!$L$9:$L$1005679,Journals!$D$9:$D$1005679,"&lt;"&amp;$F$7,Journals!$J$9:$J$1005679,"brokerage commission")</f>
        <v>1991875.7581041502</v>
      </c>
      <c r="O27" s="153"/>
      <c r="Q27" s="214"/>
      <c r="R27" s="214"/>
      <c r="S27" s="214"/>
      <c r="T27" s="214"/>
    </row>
    <row r="28" spans="1:20" x14ac:dyDescent="0.2">
      <c r="A28" s="155"/>
      <c r="D28" s="151"/>
      <c r="G28" s="152" t="str">
        <f>'Chart of Accounts'!B19</f>
        <v>Unrealized gain on securities</v>
      </c>
      <c r="H28" s="154">
        <f>MAX(0,SUMIFS(Journals!$K$9:$K$1005679,Journals!$D$9:$D$1005679,"&gt;"&amp;$E$7,Journals!$D$9:$D$1005679,"&lt;"&amp;$E$8,Journals!$J$9:$J$1005679,"Unrealized gain on securities")-SUMIFS(Journals!$L$9:$L$1005679,Journals!$D$9:$D$1005679,"&gt;"&amp;$E$7,Journals!$D$9:$D$1005679,"&lt;"&amp;$E$8,Journals!$J$9:$J$1005679,"Unrealized gain on securities"))</f>
        <v>0</v>
      </c>
      <c r="I28" s="154">
        <f>MAX(0,SUMIFS(Journals!$L$9:$L$1005679,Journals!$D$9:$D$1005679,"&gt;"&amp;$E$7,Journals!$D$9:$D$1005679,"&lt;"&amp;$E$8,Journals!$J$9:$J$1005679,"Unrealized gain on securities")-SUMIFS(Journals!$K$9:$K$1005679,Journals!$D$9:$D$1005679,"&gt;"&amp;$E$7,Journals!$D$9:$D$1005679,"&lt;"&amp;$E$8,Journals!$J$9:$J$1005679,"Unrealized gain on securities"))</f>
        <v>8735993.5599994808</v>
      </c>
      <c r="J28" s="153"/>
      <c r="K28" s="153"/>
      <c r="L28" s="153"/>
      <c r="M28" s="153"/>
      <c r="N28" s="153"/>
      <c r="O28" s="153">
        <f>SUMIFS(Journals!$L$9:$L$1005679,Journals!$D$9:$D$1005679,"&lt;"&amp;$F$7,Journals!$J$9:$J$1005679,"unrealized gain on securities")-SUMIFS(Journals!$K$9:$K$1005679,Journals!$D$9:$D$1005679,"&lt;"&amp;$F$7,Journals!$J$9:$J$1005679,"unrealized gain on securities")</f>
        <v>6922812.5899999142</v>
      </c>
      <c r="Q28" s="214"/>
      <c r="R28" s="214"/>
      <c r="S28" s="214"/>
      <c r="T28" s="214"/>
    </row>
    <row r="29" spans="1:20" x14ac:dyDescent="0.2">
      <c r="A29" s="155"/>
      <c r="D29" s="151"/>
      <c r="G29" s="152" t="s">
        <v>1613</v>
      </c>
      <c r="H29" s="154">
        <f>MAX(0,SUMIFS(Journals!$K$9:$K$1005679,Journals!$D$9:$D$1005679,"&gt;"&amp;$E$7,Journals!$D$9:$D$1005679,"&lt;"&amp;$E$8,Journals!$J$9:$J$1005679,"Unrealized gain on T-Bill")-SUMIFS(Journals!$L$9:$L$1005679,Journals!$D$9:$D$1005679,"&gt;"&amp;$E$7,Journals!$D$9:$D$1005679,"&lt;"&amp;$E$8,Journals!$J$9:$J$1005679,"Unrealized gain on T-Bill"))</f>
        <v>0</v>
      </c>
      <c r="I29" s="154">
        <f>MAX(0,SUMIFS(Journals!$L$9:$L$1005679,Journals!$D$9:$D$1005679,"&gt;"&amp;$E$7,Journals!$D$9:$D$1005679,"&lt;"&amp;$E$8,Journals!$J$9:$J$1005679,"Unrealized gain on T-Bill")-SUMIFS(Journals!$K$9:$K$1005679,Journals!$D$9:$D$1005679,"&gt;"&amp;$E$7,Journals!$D$9:$D$1005679,"&lt;"&amp;$E$8,Journals!$J$9:$J$1005679,"Unrealized gain on T-Bill"))</f>
        <v>0</v>
      </c>
      <c r="J29" s="153"/>
      <c r="K29" s="153"/>
      <c r="L29" s="153"/>
      <c r="M29" s="153"/>
      <c r="N29" s="153"/>
      <c r="O29" s="153">
        <f>SUMIFS(Journals!$L$9:$L$1005679,Journals!$D$9:$D$1005679,"&lt;"&amp;$F$7,Journals!$J$9:$J$1005679,"Unrealized gain on T-Bill")-SUMIFS(Journals!$K$9:$K$1005679,Journals!$D$9:$D$1005679,"&lt;"&amp;$F$7,Journals!$J$9:$J$1005679,"Unrealized gain on T-Bill")</f>
        <v>0</v>
      </c>
      <c r="Q29" s="214"/>
      <c r="R29" s="214"/>
      <c r="S29" s="214"/>
      <c r="T29" s="214"/>
    </row>
    <row r="30" spans="1:20" x14ac:dyDescent="0.2">
      <c r="A30" s="155"/>
      <c r="D30" s="151"/>
      <c r="G30" s="152" t="s">
        <v>1614</v>
      </c>
      <c r="H30" s="154">
        <f>MAX(0,SUMIFS(Journals!$K$9:$K$1005679,Journals!$D$9:$D$1005679,"&gt;"&amp;$E$7,Journals!$D$9:$D$1005679,"&lt;"&amp;$E$8,Journals!$J$9:$J$1005679,"Unrealized gain on T-Bond")-SUMIFS(Journals!$L$9:$L$1005679,Journals!$D$9:$D$1005679,"&gt;"&amp;$E$7,Journals!$D$9:$D$1005679,"&lt;"&amp;$E$8,Journals!$J$9:$J$1005679,"Unrealized gain on T-Bond"))</f>
        <v>0</v>
      </c>
      <c r="I30" s="154">
        <f>MAX(0,SUMIFS(Journals!$L$9:$L$1005679,Journals!$D$9:$D$1005679,"&gt;"&amp;$E$7,Journals!$D$9:$D$1005679,"&lt;"&amp;$E$8,Journals!$J$9:$J$1005679,"Unrealized gain on T-Bond")-SUMIFS(Journals!$K$9:$K$1005679,Journals!$D$9:$D$1005679,"&gt;"&amp;$E$7,Journals!$D$9:$D$1005679,"&lt;"&amp;$E$8,Journals!$J$9:$J$1005679,"Unrealized gain on T-Bond"))</f>
        <v>0</v>
      </c>
      <c r="J30" s="153"/>
      <c r="K30" s="153"/>
      <c r="L30" s="153"/>
      <c r="M30" s="153"/>
      <c r="N30" s="153"/>
      <c r="O30" s="153">
        <f>SUMIFS(Journals!$L$9:$L$1005679,Journals!$D$9:$D$1005679,"&lt;"&amp;$F$7,Journals!$J$9:$J$1005679,"Unrealized gain on T-Bond")-SUMIFS(Journals!$K$9:$K$1005679,Journals!$D$9:$D$1005679,"&lt;"&amp;$F$7,Journals!$J$9:$J$1005679,"Unrealized gain on T-Bond")</f>
        <v>0</v>
      </c>
      <c r="Q30" s="214"/>
      <c r="R30" s="214"/>
      <c r="S30" s="214"/>
      <c r="T30" s="214"/>
    </row>
    <row r="31" spans="1:20" x14ac:dyDescent="0.2">
      <c r="B31" s="141"/>
      <c r="G31" s="152" t="str">
        <f>'Chart of Accounts'!B22</f>
        <v>Unrealized loss on securities</v>
      </c>
      <c r="H31" s="154">
        <f>MAX(0,SUMIFS(Journals!$K$9:$K$1005679,Journals!$D$9:$D$1005679,"&gt;"&amp;$E$7,Journals!$D$9:$D$1005679,"&lt;"&amp;$E$8,Journals!$J$9:$J$1005679,"Unrealized loss on securities")-SUMIFS(Journals!$L$9:$L$1005679,Journals!$D$9:$D$1005679,"&gt;"&amp;$E$7,Journals!$D$9:$D$1005679,"&lt;"&amp;$E$8,Journals!$J$9:$J$1005679,"Unrealized loss on securities"))</f>
        <v>0</v>
      </c>
      <c r="I31" s="154">
        <f>MAX(0,SUMIFS(Journals!$L$9:$L$1005679,Journals!$D$9:$D$1005679,"&gt;"&amp;$E$7,Journals!$D$9:$D$1005679,"&lt;"&amp;$E$8,Journals!$J$9:$J$1005679,"Unrealized loss on securities")-SUMIFS(Journals!$K$9:$K$1005679,Journals!$D$9:$D$1005679,"&gt;"&amp;$E$7,Journals!$D$9:$D$1005679,"&lt;"&amp;$E$8,Journals!$J$9:$J$1005679,"Unrealized loss on securities"))</f>
        <v>0</v>
      </c>
      <c r="J31" s="153"/>
      <c r="K31" s="153"/>
      <c r="L31" s="153"/>
      <c r="M31" s="153"/>
      <c r="N31" s="153">
        <f>SUMIFS(Journals!K9:K1005679,Journals!D9:D1005679,"&lt;"&amp;F7,Journals!J9:J1005679,"unrealized loss on securities")-SUMIFS(Journals!L9:L1005679,Journals!D9:D1005679,"&lt;"&amp;F7,Journals!J9:J1005679,"unrealized loss on securities")</f>
        <v>2262855.2999999998</v>
      </c>
      <c r="O31" s="153"/>
      <c r="Q31" s="214"/>
      <c r="R31" s="214"/>
      <c r="S31" s="214"/>
      <c r="T31" s="214"/>
    </row>
    <row r="32" spans="1:20" x14ac:dyDescent="0.2">
      <c r="G32" s="152" t="str">
        <f>'Chart of Accounts'!B23</f>
        <v>Amortization of preliminary and issue expense</v>
      </c>
      <c r="H32" s="154">
        <f>MAX(0,SUMIFS(Journals!$K$9:$K$1005679,Journals!$D$9:$D$1005679,"&gt;"&amp;$E$7,Journals!$D$9:$D$1005679,"&lt;"&amp;$E$8,Journals!$J$9:$J$1005679,"Amortization of preliminary and issue expense")-SUMIFS(Journals!$L$9:$L$1005679,Journals!$D$9:$D$1005679,"&gt;"&amp;$E$7,Journals!$D$9:$D$1005679,"&lt;"&amp;$E$8,Journals!$J$9:$J$1005679,"Amortization of preliminary and issue expense"))</f>
        <v>32967.032967032952</v>
      </c>
      <c r="I32" s="154">
        <f>MAX(0,SUMIFS(Journals!$L$9:$L$1005679,Journals!$D$9:$D$1005679,"&gt;"&amp;$E$7,Journals!$D$9:$D$1005679,"&lt;"&amp;$E$8,Journals!$J$9:$J$1005679,"Amortization of preliminary and issue expense")-SUMIFS(Journals!$K$9:$K$1005679,Journals!$D$9:$D$1005679,"&gt;"&amp;$E$7,Journals!$D$9:$D$1005679,"&lt;"&amp;$E$8,Journals!$J$9:$J$1005679,"Amortization of preliminary and issue expense"))</f>
        <v>0</v>
      </c>
      <c r="J32" s="153"/>
      <c r="K32" s="153"/>
      <c r="L32" s="153"/>
      <c r="M32" s="153"/>
      <c r="N32" s="153">
        <f>SUMIFS(Journals!$K$9:$K$1005679,Journals!$D$9:$D$1005679,"&lt;"&amp;$F$7,Journals!$J$9:$J$1005679,"Amortization of preliminary and issue expense")-SUMIFS(Journals!$L$9:$L$1005679,Journals!$D$9:$D$1005679,"&lt;"&amp;$F$7,Journals!$J$9:$J$1005679,"Amortization of preliminary and issue expense")</f>
        <v>554945.05219780409</v>
      </c>
      <c r="O32" s="153"/>
      <c r="Q32" s="214"/>
      <c r="R32" s="214"/>
      <c r="S32" s="214"/>
      <c r="T32" s="214"/>
    </row>
    <row r="33" spans="2:20" x14ac:dyDescent="0.2">
      <c r="B33" s="151"/>
      <c r="G33" s="152" t="str">
        <f>'Chart of Accounts'!B24</f>
        <v>Management Fee</v>
      </c>
      <c r="H33" s="154">
        <f>MAX(0,SUMIFS(Journals!$K$9:$K$1005679,Journals!$D$9:$D$1005679,"&gt;"&amp;$E$7,Journals!$D$9:$D$1005679,"&lt;"&amp;$E$8,Journals!$J$9:$J$1005679,"management fee")-SUMIFS(Journals!$L$9:$L$1005679,Journals!$D$9:$D$1005679,"&gt;"&amp;$E$7,Journals!$D$9:$D$1005679,"&lt;"&amp;$E$8,Journals!$J$9:$J$1005679,"management fee"))</f>
        <v>1183783.6499910913</v>
      </c>
      <c r="I33" s="154">
        <f>MAX(0,SUMIFS(Journals!$L$9:$L$1005679,Journals!$D$9:$D$1005679,"&gt;"&amp;$E$7,Journals!$D$9:$D$1005679,"&lt;"&amp;$E$8,Journals!$J$9:$J$1005679,"management fee")-SUMIFS(Journals!$K$9:$K$1005679,Journals!$D$9:$D$1005679,"&gt;"&amp;$E$7,Journals!$D$9:$D$1005679,"&lt;"&amp;$E$8,Journals!$J$9:$J$1005679,"management fee"))</f>
        <v>0</v>
      </c>
      <c r="J33" s="153"/>
      <c r="K33" s="153"/>
      <c r="L33" s="153"/>
      <c r="M33" s="153"/>
      <c r="N33" s="153">
        <f>SUMIFS(Journals!$K$9:$K$1005679,Journals!$D$9:$D$1005679,"&lt;"&amp;$F$7,Journals!$J$9:$J$1005679,"management fee")-SUMIFS(Journals!$L$9:$L$1005679,Journals!$D$9:$D$1005679,"&lt;"&amp;$F$7,Journals!$J$9:$J$1005679,"management fee")</f>
        <v>14959459.021540338</v>
      </c>
      <c r="O33" s="153"/>
      <c r="Q33" s="214"/>
      <c r="R33" s="214"/>
      <c r="S33" s="214"/>
      <c r="T33" s="214"/>
    </row>
    <row r="34" spans="2:20" x14ac:dyDescent="0.2">
      <c r="B34" s="151"/>
      <c r="G34" s="152" t="str">
        <f>'Chart of Accounts'!B25</f>
        <v>Trustee fee</v>
      </c>
      <c r="H34" s="154">
        <f>MAX(0,SUMIFS(Journals!$K$9:$K$1005679,Journals!$D$9:$D$1005679,"&gt;"&amp;$E$7,Journals!$D$9:$D$1005679,"&lt;"&amp;$E$8,Journals!$J$9:$J$1005679,"trustee fee")-SUMIFS(Journals!$L$9:$L$1005679,Journals!$D$9:$D$1005679,"&gt;"&amp;$E$7,Journals!$D$9:$D$1005679,"&lt;"&amp;$E$8,Journals!$J$9:$J$1005679,"trustee fee"))</f>
        <v>56977.770188301845</v>
      </c>
      <c r="I34" s="154">
        <f>MAX(0,SUMIFS(Journals!$L$9:$L$1005679,Journals!$D$9:$D$1005679,"&gt;"&amp;$E$7,Journals!$D$9:$D$1005679,"&lt;"&amp;$E$8,Journals!$J$9:$J$1005679,"trustee fee")-SUMIFS(Journals!$K$9:$K$1005679,Journals!$D$9:$D$1005679,"&gt;"&amp;$E$7,Journals!$D$9:$D$1005679,"&lt;"&amp;$E$8,Journals!$J$9:$J$1005679,"trustee fee"))</f>
        <v>0</v>
      </c>
      <c r="J34" s="153"/>
      <c r="K34" s="153"/>
      <c r="L34" s="153"/>
      <c r="M34" s="153"/>
      <c r="N34" s="153">
        <f>SUMIFS(Journals!$K$9:$K$1005679,Journals!$D$9:$D$1005679,"&lt;"&amp;$F$7,Journals!$J$9:$J$1005679,"trustee fee")-SUMIFS(Journals!$L$9:$L$1005679,Journals!$D$9:$D$1005679,"&lt;"&amp;$F$7,Journals!$J$9:$J$1005679,"trustee fee")</f>
        <v>755462.36330943508</v>
      </c>
      <c r="O34" s="153"/>
      <c r="Q34" s="214"/>
      <c r="R34" s="214"/>
      <c r="S34" s="214"/>
      <c r="T34" s="214"/>
    </row>
    <row r="35" spans="2:20" x14ac:dyDescent="0.2">
      <c r="G35" s="152" t="str">
        <f>'Chart of Accounts'!B26</f>
        <v>BSEC Annual Fee</v>
      </c>
      <c r="H35" s="154">
        <f>MAX(0,SUMIFS(Journals!$K$9:$K$1005679,Journals!$D$9:$D$1005679,"&gt;"&amp;$E$7,Journals!$D$9:$D$1005679,"&lt;"&amp;$E$8,Journals!$J$9:$J$1005679,"bsec annual fee")-SUMIFS(Journals!$L$9:$L$1005679,Journals!$D$9:$D$1005679,"&gt;"&amp;$E$7,Journals!$D$9:$D$1005679,"&lt;"&amp;$E$8,Journals!$J$9:$J$1005679,"bsec annual fee"))</f>
        <v>0</v>
      </c>
      <c r="I35" s="154">
        <f>MAX(0,SUMIFS(Journals!$L$9:$L$1005679,Journals!$D$9:$D$1005679,"&gt;"&amp;$E$7,Journals!$D$9:$D$1005679,"&lt;"&amp;$E$8,Journals!$J$9:$J$1005679,"bsec annual fee")-SUMIFS(Journals!$K$9:$K$1005679,Journals!$D$9:$D$1005679,"&gt;"&amp;$E$7,Journals!$D$9:$D$1005679,"&lt;"&amp;$E$8,Journals!$J$9:$J$1005679,"bsec annual fee"))</f>
        <v>0</v>
      </c>
      <c r="J35" s="153"/>
      <c r="K35" s="153"/>
      <c r="L35" s="153"/>
      <c r="M35" s="153"/>
      <c r="N35" s="153">
        <f>SUMIFS(Journals!$K$9:$K$1005679,Journals!$D$9:$D$1005679,"&lt;"&amp;$F$7,Journals!$J$9:$J$1005679,"bsec annual fee")-SUMIFS(Journals!$L$9:$L$1005679,Journals!$D$9:$D$1005679,"&lt;"&amp;$F$7,Journals!$J$9:$J$1005679,"bsec annual fee")</f>
        <v>759042.18</v>
      </c>
      <c r="O35" s="153"/>
      <c r="Q35" s="214"/>
      <c r="R35" s="214"/>
      <c r="S35" s="214"/>
      <c r="T35" s="214"/>
    </row>
    <row r="36" spans="2:20" x14ac:dyDescent="0.2">
      <c r="G36" s="152" t="str">
        <f>'Chart of Accounts'!B27</f>
        <v>Audit fee</v>
      </c>
      <c r="H36" s="154">
        <f>MAX(0,SUMIFS(Journals!$K$9:$K$1005679,Journals!$D$9:$D$1005679,"&gt;"&amp;$E$7,Journals!$D$9:$D$1005679,"&lt;"&amp;$E$8,Journals!$J$9:$J$1005679,"audit fee")-SUMIFS(Journals!$L$9:$L$1005679,Journals!$D$9:$D$1005679,"&gt;"&amp;$E$7,Journals!$D$9:$D$1005679,"&lt;"&amp;$E$8,Journals!$J$9:$J$1005679,"audit fee"))</f>
        <v>0</v>
      </c>
      <c r="I36" s="154">
        <f>MAX(0,SUMIFS(Journals!$L$9:$L$1005679,Journals!$D$9:$D$1005679,"&gt;"&amp;$E$7,Journals!$D$9:$D$1005679,"&lt;"&amp;$E$8,Journals!$J$9:$J$1005679,"audit fee")-SUMIFS(Journals!$K$9:$K$1005679,Journals!$D$9:$D$1005679,"&gt;"&amp;$E$7,Journals!$D$9:$D$1005679,"&lt;"&amp;$E$8,Journals!$J$9:$J$1005679,"audit fee"))</f>
        <v>0</v>
      </c>
      <c r="J36" s="153"/>
      <c r="K36" s="153"/>
      <c r="L36" s="153"/>
      <c r="M36" s="153"/>
      <c r="N36" s="153">
        <f>SUMIFS(Journals!$K$9:$K$1005679,Journals!$D$9:$D$1005679,"&lt;"&amp;$F$7,Journals!$J$9:$J$1005679,"audit fee")-SUMIFS(Journals!$L$9:$L$1005679,Journals!$D$9:$D$1005679,"&lt;"&amp;$F$7,Journals!$J$9:$J$1005679,"audit fee")</f>
        <v>166750</v>
      </c>
      <c r="O36" s="153"/>
      <c r="Q36" s="214"/>
      <c r="R36" s="214"/>
      <c r="S36" s="214"/>
      <c r="T36" s="214"/>
    </row>
    <row r="37" spans="2:20" x14ac:dyDescent="0.2">
      <c r="G37" s="152" t="str">
        <f>'Chart of Accounts'!B28</f>
        <v>CDBL charges</v>
      </c>
      <c r="H37" s="154">
        <f>MAX(0,SUMIFS(Journals!$K$9:$K$1005679,Journals!$D$9:$D$1005679,"&gt;"&amp;$E$7,Journals!$D$9:$D$1005679,"&lt;"&amp;$E$8,Journals!$J$9:$J$1005679,"cdbl charges")-SUMIFS(Journals!$L$9:$L$1005679,Journals!$D$9:$D$1005679,"&gt;"&amp;$E$7,Journals!$D$9:$D$1005679,"&lt;"&amp;$E$8,Journals!$J$9:$J$1005679,"cdbl charges"))</f>
        <v>13947.744444444445</v>
      </c>
      <c r="I37" s="154">
        <f>MAX(0,SUMIFS(Journals!$L$9:$L$1005679,Journals!$D$9:$D$1005679,"&gt;"&amp;$E$7,Journals!$D$9:$D$1005679,"&lt;"&amp;$E$8,Journals!$J$9:$J$1005679,"cdbl charges")-SUMIFS(Journals!$K$9:$K$1005679,Journals!$D$9:$D$1005679,"&gt;"&amp;$E$7,Journals!$D$9:$D$1005679,"&lt;"&amp;$E$8,Journals!$J$9:$J$1005679,"cdbl charges"))</f>
        <v>0</v>
      </c>
      <c r="J37" s="153"/>
      <c r="K37" s="153"/>
      <c r="L37" s="153"/>
      <c r="M37" s="153"/>
      <c r="N37" s="153">
        <f>SUMIFS(Journals!$K$9:$K$1005679,Journals!$D$9:$D$1005679,"&lt;"&amp;$F$7,Journals!$J$9:$J$1005679,"cdbl charges")-SUMIFS(Journals!$L$9:$L$1005679,Journals!$D$9:$D$1005679,"&lt;"&amp;$F$7,Journals!$J$9:$J$1005679,"cdbl charges")</f>
        <v>351946.43000000005</v>
      </c>
      <c r="O37" s="153"/>
      <c r="Q37" s="214"/>
      <c r="R37" s="214"/>
      <c r="S37" s="214"/>
      <c r="T37" s="214"/>
    </row>
    <row r="38" spans="2:20" x14ac:dyDescent="0.2">
      <c r="G38" s="152" t="str">
        <f>'Chart of Accounts'!B29</f>
        <v>Fair value adjustment</v>
      </c>
      <c r="H38" s="154">
        <f>MAX(0,SUMIFS(Journals!$K$9:$K$1011420,Journals!$D$9:$D$1011420,"&gt;"&amp;$E$7,Journals!$D$9:$D$1011420,"&lt;"&amp;$E$8,Journals!$J$9:$J$1011420,"Fair value adjustment")-SUMIFS(Journals!$L$9:$L$1011420,Journals!$D$9:$D$1011420,"&gt;"&amp;$E$7,Journals!$D$9:$D$1011420,"&lt;"&amp;$E$8,Journals!$J$9:$J$1011420,"Fair value adjustment"))</f>
        <v>8735993.5599994808</v>
      </c>
      <c r="I38" s="154">
        <f>MAX(0,SUMIFS(Journals!$L$9:$L$1011420,Journals!$D$9:$D$1011420,"&gt;"&amp;$E$7,Journals!$D$9:$D$1011420,"&lt;"&amp;$E$8,Journals!$J$9:$J$1011420,"fair value adjustment")-SUMIFS(Journals!$K$9:$K$1011420,Journals!$D$9:$D$1011420,"&gt;"&amp;$E$7,Journals!$D$9:$D$1011420,"&lt;"&amp;$E$8,Journals!$J$9:$J$1011420,"fair value adjustment"))</f>
        <v>0</v>
      </c>
      <c r="J38" s="153">
        <f>MAX(0,SUMIFS(Journals!K9:K1005679,Journals!D9:D1005679,"&lt;"&amp;F7,Journals!J9:J1005679,"fair value adjustment")-SUMIFS(Journals!L9:L1005679,Journals!D9:D1005679,"&lt;"&amp;F7,Journals!J9:J1005679,"fair value adjustment"))</f>
        <v>4659957.2899999171</v>
      </c>
      <c r="K38" s="153">
        <f>MAX(0,SUMIFS(Journals!L9:L1005679,Journals!D9:D1005679,"&lt;"&amp;F7,Journals!J9:J1005679,"Fair value adjustment")-SUMIFS(Journals!K9:K1005679,Journals!D9:D1005679,"&lt;"&amp;F7,Journals!J9:J1005679,"fair value adjustment"))</f>
        <v>0</v>
      </c>
      <c r="L38" s="153">
        <f>MAX(0,H38-I38+J38-K38)</f>
        <v>13395950.849999398</v>
      </c>
      <c r="M38" s="153">
        <f>MAX(0,I38-H38-J38+K38)</f>
        <v>0</v>
      </c>
      <c r="N38" s="153"/>
      <c r="O38" s="153"/>
      <c r="Q38" s="214"/>
      <c r="R38" s="214"/>
      <c r="S38" s="214"/>
      <c r="T38" s="214"/>
    </row>
    <row r="39" spans="2:20" x14ac:dyDescent="0.2">
      <c r="G39" s="152" t="s">
        <v>1621</v>
      </c>
      <c r="H39" s="154">
        <f>MAX(0,SUMIFS(Journals!$K$9:$K$1011420,Journals!$D$9:$D$1011420,"&gt;"&amp;$E$7,Journals!$D$9:$D$1011420,"&lt;"&amp;$E$8,Journals!$J$9:$J$1011420,"Fair value adjustment T-Bill")-SUMIFS(Journals!$L$9:$L$1011420,Journals!$D$9:$D$1011420,"&gt;"&amp;$E$7,Journals!$D$9:$D$1011420,"&lt;"&amp;$E$8,Journals!$J$9:$J$1011420,"Fair value adjustment T-Bill"))</f>
        <v>0</v>
      </c>
      <c r="I39" s="154">
        <f>MAX(0,SUMIFS(Journals!$L$9:$L$1011420,Journals!$D$9:$D$1011420,"&gt;"&amp;$E$7,Journals!$D$9:$D$1011420,"&lt;"&amp;$E$8,Journals!$J$9:$J$1011420,"fair value adjustment T-Bill")-SUMIFS(Journals!$K$9:$K$1011420,Journals!$D$9:$D$1011420,"&gt;"&amp;$E$7,Journals!$D$9:$D$1011420,"&lt;"&amp;$E$8,Journals!$J$9:$J$1011420,"fair value adjustment T-Bill"))</f>
        <v>0</v>
      </c>
      <c r="J39" s="153">
        <f>MAX(0,SUMIFS(Journals!K9:K1005679,Journals!D9:D1005679,"&lt;"&amp;F7,Journals!J9:J1005679,"fair value adjustment T-Bill")-SUMIFS(Journals!L9:L1005679,Journals!D9:D1005679,"&lt;"&amp;F7,Journals!J9:J1005679,"fair value adjustment T-Bill"))</f>
        <v>0</v>
      </c>
      <c r="K39" s="153">
        <f>MAX(0,SUMIFS(Journals!L9:L1005679,Journals!D9:D1005679,"&lt;"&amp;F7,Journals!J9:J1005679,"Fair value adjustment T-Bill")-SUMIFS(Journals!K9:K1005679,Journals!D9:D1005679,"&lt;"&amp;F7,Journals!J9:J1005679,"fair value adjustment T-Bill"))</f>
        <v>0</v>
      </c>
      <c r="L39" s="153">
        <f>MAX(0,H39-I39+J39-K39)</f>
        <v>0</v>
      </c>
      <c r="M39" s="153">
        <f>MAX(0,I39-H39-J39+K39)</f>
        <v>0</v>
      </c>
      <c r="N39" s="153"/>
      <c r="O39" s="153"/>
      <c r="Q39" s="214"/>
      <c r="R39" s="214"/>
      <c r="S39" s="214"/>
      <c r="T39" s="214"/>
    </row>
    <row r="40" spans="2:20" x14ac:dyDescent="0.2">
      <c r="G40" s="152" t="s">
        <v>1622</v>
      </c>
      <c r="H40" s="154">
        <f>MAX(0,SUMIFS(Journals!$K$9:$K$1011420,Journals!$D$9:$D$1011420,"&gt;"&amp;$E$7,Journals!$D$9:$D$1011420,"&lt;"&amp;$E$8,Journals!$J$9:$J$1011420,"Fair value adjustment T-Bond")-SUMIFS(Journals!$L$9:$L$1011420,Journals!$D$9:$D$1011420,"&gt;"&amp;$E$7,Journals!$D$9:$D$1011420,"&lt;"&amp;$E$8,Journals!$J$9:$J$1011420,"Fair value adjustment T-Bond"))</f>
        <v>0</v>
      </c>
      <c r="I40" s="154">
        <f>MAX(0,SUMIFS(Journals!$L$9:$L$1011420,Journals!$D$9:$D$1011420,"&gt;"&amp;$E$7,Journals!$D$9:$D$1011420,"&lt;"&amp;$E$8,Journals!$J$9:$J$1011420,"fair value adjustment T-Bond")-SUMIFS(Journals!$K$9:$K$1011420,Journals!$D$9:$D$1011420,"&gt;"&amp;$E$7,Journals!$D$9:$D$1011420,"&lt;"&amp;$E$8,Journals!$J$9:$J$1011420,"fair value adjustment T-Bond"))</f>
        <v>0</v>
      </c>
      <c r="J40" s="153">
        <f>MAX(0,SUMIFS(Journals!K9:K1005679,Journals!D9:D1005679,"&lt;"&amp;F7,Journals!J9:J1005679,"fair value adjustment T-Bond")-SUMIFS(Journals!L9:L1005679,Journals!D9:D1005679,"&lt;"&amp;F7,Journals!J9:J1005679,"fair value adjustment T-Bond"))</f>
        <v>0</v>
      </c>
      <c r="K40" s="153">
        <f>MAX(0,SUMIFS(Journals!L9:L1005679,Journals!D9:D1005679,"&lt;"&amp;F7,Journals!J9:J1005679,"Fair value adjustment T-Bond")-SUMIFS(Journals!K9:K1005679,Journals!D9:D1005679,"&lt;"&amp;F7,Journals!J9:J1005679,"fair value adjustment T-Bond"))</f>
        <v>0</v>
      </c>
      <c r="L40" s="153">
        <f>MAX(0,H40-I40+J40-K40)</f>
        <v>0</v>
      </c>
      <c r="M40" s="153">
        <f>MAX(0,I40-H40-J40+K40)</f>
        <v>0</v>
      </c>
      <c r="N40" s="153"/>
      <c r="O40" s="153"/>
      <c r="Q40" s="214"/>
      <c r="R40" s="214"/>
      <c r="S40" s="214"/>
      <c r="T40" s="214"/>
    </row>
    <row r="41" spans="2:20" x14ac:dyDescent="0.2">
      <c r="G41" s="152" t="s">
        <v>131</v>
      </c>
      <c r="H41" s="154">
        <f>MAX(0,SUMIFS(Journals!$K$9:$K$1005679,Journals!$D$9:$D$1005679,"&gt;"&amp;$E$7,Journals!$D$9:$D$1005679,"&lt;"&amp;$E$8,Journals!$J$9:$J$1005679,"Interest receivables from FDR")-SUMIFS(Journals!$L$9:$L$1005679,Journals!$D$9:$D$1005679,"&gt;"&amp;$E$7,Journals!$D$9:$D$1005679,"&lt;"&amp;$E$8,Journals!$J$9:$J$1005679,"Interest receivables from FDR"))</f>
        <v>0</v>
      </c>
      <c r="I41" s="154">
        <f>MAX(0,SUMIFS(Journals!$L$9:$L$1005679,Journals!$D$9:$D$1005679,"&gt;"&amp;$E$7,Journals!$D$9:$D$1005679,"&lt;"&amp;$E$8,Journals!$J$9:$J$1005679,"Interest receivables from FDR")-SUMIFS(Journals!$K$9:$K$1005679,Journals!$D$9:$D$1005679,"&gt;"&amp;$E$7,Journals!$D$9:$D$1005679,"&lt;"&amp;$E$8,Journals!$J$9:$J$1005679,"Interest receivables from FDR"))</f>
        <v>70916.66666666721</v>
      </c>
      <c r="J41" s="153">
        <f>SUMIFS(Journals!$K$9:$K$1005679,Journals!$D$9:$D$1005679,"&lt;"&amp;$F$7,Journals!$J$9:$J$1005679,"Interest receivables from FDR")-SUMIFS(Journals!$L$9:$L$1005679,Journals!$D$9:$D$1005679,"&lt;"&amp;$F$7,Journals!$J$9:$J$1005679,"Interest receivables from FDR")</f>
        <v>184638.8900000006</v>
      </c>
      <c r="K41" s="153"/>
      <c r="L41" s="153">
        <f>J41+H41-I41</f>
        <v>113722.22333333339</v>
      </c>
      <c r="M41" s="153"/>
      <c r="N41" s="153"/>
      <c r="O41" s="153"/>
      <c r="Q41" s="214"/>
      <c r="R41" s="214"/>
      <c r="S41" s="214"/>
      <c r="T41" s="214"/>
    </row>
    <row r="42" spans="2:20" x14ac:dyDescent="0.2">
      <c r="G42" s="152" t="s">
        <v>1978</v>
      </c>
      <c r="H42" s="154">
        <f>MAX(0,SUMIFS(Journals!$K$9:$K$1005679,Journals!$D$9:$D$1005679,"&gt;"&amp;$E$7,Journals!$D$9:$D$1005679,"&lt;"&amp;$E$8,Journals!$J$9:$J$1005679,"Interest receivables from Renata Pre. Share")-SUMIFS(Journals!$L$9:$L$1005679,Journals!$D$9:$D$1005679,"&gt;"&amp;$E$7,Journals!$D$9:$D$1005679,"&lt;"&amp;$E$8,Journals!$J$9:$J$1005679,"Interest receivables from Renata Pre. Share"))</f>
        <v>519576.92307692283</v>
      </c>
      <c r="I42" s="154">
        <f>MAX(0,SUMIFS(Journals!$L$9:$L$1005679,Journals!$D$9:$D$1005679,"&gt;"&amp;$E$7,Journals!$D$9:$D$1005679,"&lt;"&amp;$E$8,Journals!$J$9:$J$1005679,"Interest receivables from Renata Pre. Share")-SUMIFS(Journals!$K$9:$K$1005679,Journals!$D$9:$D$1005679,"&gt;"&amp;$E$7,Journals!$D$9:$D$1005679,"&lt;"&amp;$E$8,Journals!$J$9:$J$1005679,"Interest receivables from Renata Pre. Share"))</f>
        <v>0</v>
      </c>
      <c r="J42" s="153">
        <f>SUMIFS(Journals!$K$9:$K$1005679,Journals!$D$9:$D$1005679,"&lt;"&amp;$F$7,Journals!$J$9:$J$1005679,"Interest receivables from Renata Pre. Share")-SUMIFS(Journals!$L$9:$L$1005679,Journals!$D$9:$D$1005679,"&lt;"&amp;$F$7,Journals!$J$9:$J$1005679,"Interest receivables from Renata Pre. Share")</f>
        <v>402053.57142857125</v>
      </c>
      <c r="K42" s="153"/>
      <c r="L42" s="153">
        <f>J42+H42-I42</f>
        <v>921630.49450549413</v>
      </c>
      <c r="M42" s="153"/>
      <c r="N42" s="153"/>
      <c r="O42" s="153"/>
      <c r="Q42" s="214"/>
      <c r="R42" s="214"/>
      <c r="S42" s="214"/>
      <c r="T42" s="214"/>
    </row>
    <row r="43" spans="2:20" x14ac:dyDescent="0.2">
      <c r="B43" s="141"/>
      <c r="G43" s="152" t="str">
        <f>'Chart of Accounts'!B33</f>
        <v>Payable to broker</v>
      </c>
      <c r="H43" s="154">
        <f>MAX(0,SUMIFS(Journals!$K$9:$K$1005679,Journals!$D$9:$D$1005679,"&gt;"&amp;$E$7,Journals!$D$9:$D$1005679,"&lt;"&amp;$E$8,Journals!$J$9:$J$1005679,"payable to broker")-SUMIFS(Journals!$L$9:$L$1005679,Journals!$D$9:$D$1005679,"&gt;"&amp;$E$7,Journals!$D$9:$D$1005679,"&lt;"&amp;$E$8,Journals!$J$9:$J$1005679,"payable to broker"))</f>
        <v>384972.13999991864</v>
      </c>
      <c r="I43" s="154">
        <f>MAX(0,SUMIFS(Journals!$L$9:$L$1005679,Journals!$D$9:$D$1005679,"&gt;"&amp;$E$7,Journals!$D$9:$D$1005679,"&lt;"&amp;$E$8,Journals!$J$9:$J$1005679,"payable to broker")-SUMIFS(Journals!$K$9:$K$1005679,Journals!$D$9:$D$1005679,"&gt;"&amp;$E$7,Journals!$D$9:$D$1005679,"&lt;"&amp;$E$8,Journals!$J$9:$J$1005679,"payable to broker"))</f>
        <v>0</v>
      </c>
      <c r="J43" s="153"/>
      <c r="K43" s="153">
        <f>SUMIFS(Journals!$L$9:$L$1005679,Journals!$D$9:$D$1005679,"&lt;"&amp;$F$7,Journals!$J$9:$J$1005679,"payable to broker")-SUMIFS(Journals!$K$9:$K$1005679,Journals!$D$9:$D$1005679,"&lt;"&amp;$F$7,Journals!$J$9:$J$1005679,"payable to broker")</f>
        <v>377790.14999991655</v>
      </c>
      <c r="L43" s="153"/>
      <c r="M43" s="154">
        <f>K43+I43-H43</f>
        <v>-7181.9900000020862</v>
      </c>
      <c r="N43" s="153"/>
      <c r="O43" s="153"/>
      <c r="P43" s="141"/>
      <c r="Q43" s="214"/>
      <c r="R43" s="214"/>
      <c r="S43" s="214"/>
      <c r="T43" s="214"/>
    </row>
    <row r="44" spans="2:20" x14ac:dyDescent="0.2">
      <c r="G44" s="152" t="str">
        <f>'Chart of Accounts'!B34</f>
        <v>Other operating expenses</v>
      </c>
      <c r="H44" s="154">
        <f>MAX(0,SUMIFS(Journals!$K$9:$K$1005679,Journals!$D$9:$D$1005679,"&gt;"&amp;$E$7,Journals!$D$9:$D$1005679,"&lt;"&amp;$E$8,Journals!$J$9:$J$1005679,"OTHER OPERATING EXPENSES")-SUMIFS(Journals!$L$9:$L$1005679,Journals!$D$9:$D$1005679,"&gt;"&amp;$E$7,Journals!$D$9:$D$1005679,"&lt;"&amp;$E$8,Journals!$J$9:$J$1005679,"OTHER OPERATING EXPENSES"))</f>
        <v>4725</v>
      </c>
      <c r="I44" s="154">
        <f>MAX(0,SUMIFS(Journals!$L$9:$L$1005679,Journals!$D$9:$D$1005679,"&gt;"&amp;$E$7,Journals!$D$9:$D$1005679,"&lt;"&amp;$E$8,Journals!$J$9:$J$1005679,"OTHER OPERATING EXPENSES")-SUMIFS(Journals!$K$9:$K$1005679,Journals!$D$9:$D$1005679,"&gt;"&amp;$E$7,Journals!$D$9:$D$1005679,"&lt;"&amp;$E$8,Journals!$J$9:$J$1005679,"OTHER OPERATING EXPENSES"))</f>
        <v>0</v>
      </c>
      <c r="J44" s="153"/>
      <c r="K44" s="153"/>
      <c r="L44" s="153"/>
      <c r="M44" s="153"/>
      <c r="N44" s="153">
        <f>SUMIFS(Journals!$K$9:$K$1005679,Journals!$D$9:$D$1005679,"&lt;"&amp;$F$7,Journals!$J$9:$J$1005679,"OTHER OPERATING EXPENSES")-SUMIFS(Journals!$L$9:$L$1005679,Journals!$D$9:$D$1005679,"&lt;"&amp;$F$7,Journals!$J$9:$J$1005679,"OTHER OPERATING EXPENSES")</f>
        <v>403975</v>
      </c>
      <c r="O44" s="153"/>
      <c r="Q44" s="214"/>
      <c r="R44" s="214"/>
      <c r="S44" s="214"/>
      <c r="T44" s="214"/>
    </row>
    <row r="45" spans="2:20" x14ac:dyDescent="0.2">
      <c r="G45" s="152" t="str">
        <f>'Chart of Accounts'!B35</f>
        <v>Dividend income</v>
      </c>
      <c r="H45" s="154">
        <f>MAX(0,SUMIFS(Journals!$K$9:$K$1005679,Journals!$D$9:$D$1005679,"&gt;"&amp;$E$7,Journals!$D$9:$D$1005679,"&lt;"&amp;$E$8,Journals!$J$9:$J$1005679,"dividend income"))</f>
        <v>0</v>
      </c>
      <c r="I45" s="154">
        <f>MAX(0,SUMIFS(Journals!$L$9:$L$1005679,Journals!$D$9:$D$1005679,"&gt;"&amp;$E$7,Journals!$D$9:$D$1005679,"&lt;"&amp;$E$8,Journals!$J$9:$J$1005679,"dividend income"))</f>
        <v>365596.5</v>
      </c>
      <c r="J45" s="153"/>
      <c r="K45" s="153"/>
      <c r="L45" s="153"/>
      <c r="M45" s="153"/>
      <c r="N45" s="153"/>
      <c r="O45" s="153">
        <f>SUMIFS(Journals!$L$9:$L$1005679,Journals!$D$9:$D$1005679,"&lt;"&amp;$F$7,Journals!$J$9:$J$1005679,"dividend income")-SUMIFS(Journals!$K$9:$K$1005679,Journals!$D$9:$D$1005679,"&lt;"&amp;$F$7,Journals!$J$9:$J$1005679,"dividend income")</f>
        <v>13838510.84</v>
      </c>
      <c r="P45" s="141"/>
      <c r="Q45" s="214"/>
      <c r="R45" s="214"/>
      <c r="S45" s="214"/>
      <c r="T45" s="214"/>
    </row>
    <row r="46" spans="2:20" x14ac:dyDescent="0.2">
      <c r="E46" s="214">
        <f>I46-H46</f>
        <v>1341806</v>
      </c>
      <c r="G46" s="152" t="str">
        <f>'Chart of Accounts'!B36</f>
        <v>Dividend receivable</v>
      </c>
      <c r="H46" s="154">
        <f>MAX(0,SUMIFS(Journals!$K$9:$K$1005679,Journals!$D$9:$D$1005679,"&gt;"&amp;$E$7,Journals!$D$9:$D$1005679,"&lt;"&amp;$E$8,Journals!$J$9:$J$1005679,"dividend receivable"))</f>
        <v>220542.5</v>
      </c>
      <c r="I46" s="154">
        <f>MAX(0,SUMIFS(Journals!$L$9:$L$1005679,Journals!$D$9:$D$1005679,"&gt;"&amp;$E$7,Journals!$D$9:$D$1005679,"&lt;"&amp;$E$8,Journals!$J$9:$J$1005679,"dividend receivable"))</f>
        <v>1562348.5</v>
      </c>
      <c r="J46" s="153">
        <f>SUMIFS(Journals!$K$9:$K$1005679,Journals!$D$9:$D$1005679,"&lt;"&amp;$F$7,Journals!$J$9:$J$1005679,"dividend receivable")-SUMIFS(Journals!$L$9:$L$1005679,Journals!$D$9:$D$1005679,"&lt;"&amp;$F$7,Journals!$J$9:$J$1005679,"dividend receivable")</f>
        <v>1341805.995000001</v>
      </c>
      <c r="K46" s="153"/>
      <c r="L46" s="153">
        <f>J46+H46-I46</f>
        <v>-4.9999989569187164E-3</v>
      </c>
      <c r="M46" s="153"/>
      <c r="N46" s="153"/>
      <c r="O46" s="153"/>
      <c r="Q46" s="214"/>
      <c r="R46" s="214"/>
      <c r="S46" s="214"/>
      <c r="T46" s="214"/>
    </row>
    <row r="47" spans="2:20" x14ac:dyDescent="0.2">
      <c r="G47" s="152" t="str">
        <f>'Chart of Accounts'!B37</f>
        <v>Custodian fee</v>
      </c>
      <c r="H47" s="154">
        <f>MAX(0,SUMIFS(Journals!$K$9:$K$1005679,Journals!$D$9:$D$1005679,"&gt;"&amp;$E$7,Journals!$D$9:$D$1005679,"&lt;"&amp;$E$8,Journals!$J$9:$J$1005679,"custodian fee")-SUMIFS(Journals!$L$9:$L$1005679,Journals!$D$9:$D$1005679,"&gt;"&amp;$E$7,Journals!$D$9:$D$1005679,"&lt;"&amp;$E$8,Journals!$J$9:$J$1005679,"custodian fee"))</f>
        <v>0</v>
      </c>
      <c r="I47" s="154"/>
      <c r="J47" s="153"/>
      <c r="K47" s="153"/>
      <c r="L47" s="153"/>
      <c r="M47" s="153"/>
      <c r="N47" s="153">
        <f>SUMIFS(Journals!$K$9:$K$1005679,Journals!$D$9:$D$1005679,"&lt;"&amp;$F$7,Journals!$J$9:$J$1005679,"custodian fee")-SUMIFS(Journals!$L$9:$L$1005679,Journals!$D$9:$D$1005679,"&lt;"&amp;$F$7,Journals!$J$9:$J$1005679,"custodian fee")</f>
        <v>487042.22999999992</v>
      </c>
      <c r="O47" s="153"/>
      <c r="P47" s="141"/>
      <c r="Q47" s="214"/>
      <c r="R47" s="214"/>
      <c r="S47" s="214"/>
      <c r="T47" s="214"/>
    </row>
    <row r="48" spans="2:20" x14ac:dyDescent="0.2">
      <c r="G48" s="152" t="str">
        <f>'Chart of Accounts'!B38</f>
        <v>IPO Application</v>
      </c>
      <c r="H48" s="154">
        <f>MAX(0,SUMIFS(Journals!$K$9:$K$1005679,Journals!$D$9:$D$1005679,"&gt;"&amp;$E$7,Journals!$D$9:$D$1005679,"&lt;"&amp;$E$8,Journals!$J$9:$J$1005679,"IPO APPLICATION")-SUMIFS(Journals!$L$9:$L$1005679,Journals!$D$9:$D$1005679,"&gt;"&amp;$E$7,Journals!$D$9:$D$1005679,"&lt;"&amp;$E$8,Journals!$J$9:$J$1005679,"IPO APPLICATION"))</f>
        <v>0</v>
      </c>
      <c r="I48" s="154">
        <f>MAX(0,SUMIFS(Journals!$L$9:$L$1005679,Journals!$D$9:$D$1005679,"&gt;"&amp;$E$7,Journals!$D$9:$D$1005679,"&lt;"&amp;$E$8,Journals!$J$9:$J$1005679,"IPO APPLICATION")-SUMIFS(Journals!$K$9:$K$1005679,Journals!$D$9:$D$1005679,"&gt;"&amp;$E$7,Journals!$D$9:$D$1005679,"&lt;"&amp;$E$8,Journals!$J$9:$J$1005679,"IPO APPLICATION"))</f>
        <v>0</v>
      </c>
      <c r="J48" s="153">
        <f>SUMIFS(Journals!$K$9:$K$1005679,Journals!$D$9:$D$1005679,"&lt;"&amp;$F$7,Journals!$J$9:$J$1005679,"IPO APPLICATION")-SUMIFS(Journals!$L$9:$L$1005679,Journals!$D$9:$D$1005679,"&lt;"&amp;$F$7,Journals!$J$9:$J$1005679,"IPO APPLICATION")</f>
        <v>0</v>
      </c>
      <c r="K48" s="153"/>
      <c r="L48" s="153">
        <f>J48+H48-I48</f>
        <v>0</v>
      </c>
      <c r="M48" s="153"/>
      <c r="N48" s="153"/>
      <c r="O48" s="153"/>
      <c r="Q48" s="214"/>
      <c r="R48" s="214"/>
      <c r="S48" s="214"/>
      <c r="T48" s="214"/>
    </row>
    <row r="49" spans="1:20" x14ac:dyDescent="0.2">
      <c r="C49" s="151"/>
      <c r="G49" s="152" t="str">
        <f>'Chart of Accounts'!B39</f>
        <v>IPO Application Fee</v>
      </c>
      <c r="H49" s="154">
        <f>MAX(0,SUMIFS(Journals!$K$9:$K$1005679,Journals!$D$9:$D$1005679,"&gt;"&amp;$E$7,Journals!$D$9:$D$1005679,"&lt;"&amp;$E$8,Journals!$J$9:$J$1005679,"IPO APPLICATION FEE")-SUMIFS(Journals!$L$9:$L$1005679,Journals!$D$9:$D$1005679,"&gt;"&amp;$E$7,Journals!$D$9:$D$1005679,"&lt;"&amp;$E$8,Journals!$J$9:$J$1005679,"IPO APPLICATION FEE"))</f>
        <v>0</v>
      </c>
      <c r="I49" s="154"/>
      <c r="J49" s="153"/>
      <c r="K49" s="153"/>
      <c r="L49" s="153"/>
      <c r="M49" s="153"/>
      <c r="N49" s="153">
        <f>SUMIFS(Journals!$K$9:$K$1005679,Journals!$D$9:$D$1005679,"&lt;"&amp;$F$7,Journals!$J$9:$J$1005679,"IPO APPLICATION FEE")-SUMIFS(Journals!$L$9:$L$1005679,Journals!$D$9:$D$1005679,"&lt;"&amp;$F$7,Journals!$J$9:$J$1005679,"IPO APPLICATION FEE")</f>
        <v>36000</v>
      </c>
      <c r="O49" s="153"/>
      <c r="Q49" s="214"/>
      <c r="R49" s="214"/>
      <c r="S49" s="214"/>
      <c r="T49" s="214"/>
    </row>
    <row r="50" spans="1:20" x14ac:dyDescent="0.2">
      <c r="B50" s="151"/>
      <c r="G50" s="152" t="s">
        <v>200</v>
      </c>
      <c r="H50" s="154">
        <f>MAX(0,SUMIFS(Journals!$K$9:$K$1005679,Journals!$D$9:$D$1005679,"&gt;"&amp;$E$7,Journals!$D$9:$D$1005679,"&lt;"&amp;$E$8,Journals!$J$9:$J$1005679,"realized gain")-SUMIFS(Journals!$L$9:$L$1005679,Journals!$D$9:$D$1005679,"&gt;"&amp;$E$7,Journals!$D$9:$D$1005679,"&lt;"&amp;$E$8,Journals!$J$9:$J$1005679,"realized gain"))</f>
        <v>0</v>
      </c>
      <c r="I50" s="154">
        <f>MAX(0,SUMIFS(Journals!$L$9:$L$1005679,Journals!$D$9:$D$1005679,"&gt;"&amp;$E$7,Journals!$D$9:$D$1005679,"&lt;"&amp;$E$8,Journals!$J$9:$J$1005679,"realized gain")-SUMIFS(Journals!$K$9:$K$1005679,Journals!$D$9:$D$1005679,"&gt;"&amp;$E$7,Journals!$D$9:$D$1005679,"&lt;"&amp;$E$8,Journals!$J$9:$J$1005679,"realized gain"))</f>
        <v>11929558.919999998</v>
      </c>
      <c r="J50" s="153"/>
      <c r="K50" s="153"/>
      <c r="L50" s="153"/>
      <c r="M50" s="153"/>
      <c r="N50" s="153"/>
      <c r="O50" s="153">
        <f>SUMIFS(Journals!$L$9:$L$1005679,Journals!$D$9:$D$1005679,"&lt;"&amp;$F$7,Journals!$J$9:$J$1005679,"realized gain")-SUMIFS(Journals!$K$9:$K$1005679,Journals!$D$9:$D$1005679,"&lt;"&amp;$F$7,Journals!$J$9:$J$1005679,"realized gain")</f>
        <v>13446887.780000005</v>
      </c>
      <c r="Q50" s="214"/>
      <c r="R50" s="214"/>
      <c r="S50" s="214"/>
      <c r="T50" s="214"/>
    </row>
    <row r="51" spans="1:20" x14ac:dyDescent="0.2">
      <c r="B51" s="151"/>
      <c r="G51" s="152" t="s">
        <v>1617</v>
      </c>
      <c r="H51" s="154">
        <f>MAX(0,SUMIFS(Journals!$K$9:$K$1005679,Journals!$D$9:$D$1005679,"&gt;"&amp;$E$7,Journals!$D$9:$D$1005679,"&lt;"&amp;$E$8,Journals!$J$9:$J$1005679,"Realized gain on T-Bill")-SUMIFS(Journals!$L$9:$L$1005679,Journals!$D$9:$D$1005679,"&gt;"&amp;$E$7,Journals!$D$9:$D$1005679,"&lt;"&amp;$E$8,Journals!$J$9:$J$1005679,"Realized gain on T-Bill"))</f>
        <v>0</v>
      </c>
      <c r="I51" s="154">
        <f>MAX(0,SUMIFS(Journals!$L$9:$L$1005679,Journals!$D$9:$D$1005679,"&gt;"&amp;$E$7,Journals!$D$9:$D$1005679,"&lt;"&amp;$E$8,Journals!$J$9:$J$1005679,"Realized gain on T-Bill")-SUMIFS(Journals!$K$9:$K$1005679,Journals!$D$9:$D$1005679,"&gt;"&amp;$E$7,Journals!$D$9:$D$1005679,"&lt;"&amp;$E$8,Journals!$J$9:$J$1005679,"Realized gain on T-Bill"))</f>
        <v>0</v>
      </c>
      <c r="J51" s="153"/>
      <c r="K51" s="153"/>
      <c r="L51" s="153"/>
      <c r="M51" s="153"/>
      <c r="N51" s="153"/>
      <c r="O51" s="153">
        <f>SUMIFS(Journals!$L$9:$L$1005679,Journals!$D$9:$D$1005679,"&lt;"&amp;$F$7,Journals!$J$9:$J$1005679,"Realized gain on T-Bill")-SUMIFS(Journals!$K$9:$K$1005679,Journals!$D$9:$D$1005679,"&lt;"&amp;$F$7,Journals!$J$9:$J$1005679,"Realized gain on T-Bill")</f>
        <v>4268649.2</v>
      </c>
      <c r="Q51" s="214"/>
      <c r="R51" s="214"/>
      <c r="S51" s="214"/>
      <c r="T51" s="214"/>
    </row>
    <row r="52" spans="1:20" x14ac:dyDescent="0.2">
      <c r="B52" s="151"/>
      <c r="G52" s="152" t="s">
        <v>1618</v>
      </c>
      <c r="H52" s="154">
        <f>MAX(0,SUMIFS(Journals!$K$9:$K$1005679,Journals!$D$9:$D$1005679,"&gt;"&amp;$E$7,Journals!$D$9:$D$1005679,"&lt;"&amp;$E$8,Journals!$J$9:$J$1005679,"Realized gain on T-Bond")-SUMIFS(Journals!$L$9:$L$1005679,Journals!$D$9:$D$1005679,"&gt;"&amp;$E$7,Journals!$D$9:$D$1005679,"&lt;"&amp;$E$8,Journals!$J$9:$J$1005679,"Realized gain on T-Bond"))</f>
        <v>0</v>
      </c>
      <c r="I52" s="154">
        <f>MAX(0,SUMIFS(Journals!$L$9:$L$1005679,Journals!$D$9:$D$1005679,"&gt;"&amp;$E$7,Journals!$D$9:$D$1005679,"&lt;"&amp;$E$8,Journals!$J$9:$J$1005679,"Realized gain on T-Bond")-SUMIFS(Journals!$K$9:$K$1005679,Journals!$D$9:$D$1005679,"&gt;"&amp;$E$7,Journals!$D$9:$D$1005679,"&lt;"&amp;$E$8,Journals!$J$9:$J$1005679,"Realized gain on T-Bond"))</f>
        <v>0</v>
      </c>
      <c r="J52" s="153"/>
      <c r="K52" s="153"/>
      <c r="L52" s="153"/>
      <c r="M52" s="153"/>
      <c r="N52" s="153"/>
      <c r="O52" s="153">
        <f>SUMIFS(Journals!$L$9:$L$1005679,Journals!$D$9:$D$1005679,"&lt;"&amp;$F$7,Journals!$J$9:$J$1005679,"Realized gain on T-Bond")-SUMIFS(Journals!$K$9:$K$1005679,Journals!$D$9:$D$1005679,"&lt;"&amp;$F$7,Journals!$J$9:$J$1005679,"Realized gain on T-Bond")</f>
        <v>5506443.2949411757</v>
      </c>
      <c r="Q52" s="214"/>
      <c r="R52" s="214"/>
      <c r="S52" s="214"/>
      <c r="T52" s="214"/>
    </row>
    <row r="53" spans="1:20" x14ac:dyDescent="0.2">
      <c r="A53" s="444"/>
      <c r="B53" s="151"/>
      <c r="C53" s="444"/>
      <c r="D53" s="151">
        <f>L53-M43</f>
        <v>4424637.7000000216</v>
      </c>
      <c r="G53" s="152" t="s">
        <v>199</v>
      </c>
      <c r="H53" s="154">
        <f>MAX(0,SUMIFS(Journals!$K$9:$K$1005679,Journals!$D$9:$D$1005679,"&gt;"&amp;$E$7,Journals!$D$9:$D$1005679,"&lt;"&amp;$E$8,Journals!$J$9:$J$1005679,"receivable from broker")-SUMIFS(Journals!$L$9:$L$1005679,Journals!$D$9:$D$1005679,"&gt;"&amp;$E$7,Journals!$D$9:$D$1005679,"&lt;"&amp;$E$8,Journals!$J$9:$J$1005679,"receivable from broker"))</f>
        <v>3059734.9199999981</v>
      </c>
      <c r="I53" s="154">
        <f>MAX(0,SUMIFS(Journals!$L$9:$L$1005679,Journals!$D$9:$D$1005679,"&gt;"&amp;$E$7,Journals!$D$9:$D$1005679,"&lt;"&amp;$E$8,Journals!$J$9:$J$1005679,"Receivable from broker")-SUMIFS(Journals!$K$9:$K$1005679,Journals!$D$9:$D$1005679,"&gt;"&amp;$E$7,Journals!$D$9:$D$1005679,"&lt;"&amp;$E$8,Journals!$J$9:$J$1005679,"Receivable from broker"))</f>
        <v>0</v>
      </c>
      <c r="J53" s="153">
        <f>SUMIFS(Journals!$K$9:$K$1005679,Journals!$D$9:$D$1005679,"&lt;"&amp;$F$7,Journals!$J$9:$J$1005679,"receivable from broker")-SUMIFS(Journals!$L$9:$L$1005679,Journals!$D$9:$D$1005679,"&lt;"&amp;$F$7,Journals!$J$9:$J$1005679,"receivable from broker")</f>
        <v>1357720.7900000215</v>
      </c>
      <c r="K53" s="153"/>
      <c r="L53" s="153">
        <f>J53+H53-I53</f>
        <v>4417455.7100000195</v>
      </c>
      <c r="M53" s="153"/>
      <c r="N53" s="153"/>
      <c r="O53" s="153"/>
      <c r="P53" s="151"/>
      <c r="Q53" s="214"/>
      <c r="R53" s="214"/>
      <c r="S53" s="214"/>
      <c r="T53" s="214"/>
    </row>
    <row r="54" spans="1:20" x14ac:dyDescent="0.2">
      <c r="G54" s="152" t="s">
        <v>314</v>
      </c>
      <c r="H54" s="154">
        <f>MAX(0,SUMIFS(Journals!$K$9:$K$1005679,Journals!$D$9:$D$1005679,"&gt;"&amp;$E$7,Journals!$D$9:$D$1005679,"&lt;"&amp;$E$8,Journals!$J$9:$J$1005679,"Dividend Equalization Reserve")-SUMIFS(Journals!$L$9:$L$1005679,Journals!$D$9:$D$1005679,"&gt;"&amp;$E$7,Journals!$D$9:$D$1005679,"&lt;"&amp;$E$8,Journals!$J$9:$J$1005679,"Dividend Equalization Reserve"))</f>
        <v>0</v>
      </c>
      <c r="I54" s="154">
        <f>MAX(0,SUMIFS(Journals!$L$9:$L$1005679,Journals!$D$9:$D$1005679,"&gt;"&amp;$E$7,Journals!$D$9:$D$1005679,"&lt;"&amp;$E$8,Journals!$J$9:$J$1005679,"Dividend Equalization Reserve")-SUMIFS(Journals!$K$9:$K$1005679,Journals!$D$9:$D$1005679,"&gt;"&amp;$E$7,Journals!$D$9:$D$1005679,"&lt;"&amp;$E$8,Journals!$J$9:$J$1005679,"Dividend Equalization Reserve"))</f>
        <v>0</v>
      </c>
      <c r="J54" s="153"/>
      <c r="K54" s="153">
        <f>SUMIFS(Journals!$L$9:$L$1005679,Journals!$D$9:$D$1005679,"&lt;"&amp;$F$7,Journals!$J$9:$J$1005679,"Dividend Equalization Reserve")-SUMIFS(Journals!$K$9:$K$1005679,Journals!$D$9:$D$1005679,"&lt;"&amp;$F$7,Journals!$J$9:$J$1005679,"Dividend Equalization Reserve")</f>
        <v>0</v>
      </c>
      <c r="L54" s="153"/>
      <c r="M54" s="153">
        <f>K54+I54-H54</f>
        <v>0</v>
      </c>
      <c r="N54" s="153"/>
      <c r="O54" s="153"/>
      <c r="P54" s="151"/>
      <c r="Q54" s="214"/>
      <c r="R54" s="214"/>
      <c r="S54" s="214"/>
      <c r="T54" s="214"/>
    </row>
    <row r="55" spans="1:20" x14ac:dyDescent="0.2">
      <c r="G55" s="152" t="s">
        <v>317</v>
      </c>
      <c r="H55" s="154">
        <f>MAX(0,SUMIFS(Journals!$K$9:$K$1005679,Journals!$D$9:$D$1005679,"&gt;"&amp;$E$7,Journals!$D$9:$D$1005679,"&lt;"&amp;$E$8,Journals!$J$9:$J$1005679,"Retained Earnings")-SUMIFS(Journals!$L$9:$L$1005679,Journals!$D$9:$D$1005679,"&gt;"&amp;$E$7,Journals!$D$9:$D$1005679,"&lt;"&amp;$E$8,Journals!$J$9:$J$1005679,"Retained Earnings"))</f>
        <v>6612758.9499999993</v>
      </c>
      <c r="I55" s="154">
        <f>MAX(0,SUMIFS(Journals!$L$9:$L$1005679,Journals!$D$9:$D$1005679,"&gt;"&amp;$E$7,Journals!$D$9:$D$1005679,"&lt;"&amp;$E$8,Journals!$J$9:$J$1005679,"Retained Earnigs")-SUMIFS(Journals!$K$9:$K$1005679,Journals!$D$9:$D$1005679,"&gt;"&amp;$E$7,Journals!$D$9:$D$1005679,"&lt;"&amp;$E$8,Journals!$J$9:$J$1005679,"Retained Earnigs"))</f>
        <v>0</v>
      </c>
      <c r="J55" s="153"/>
      <c r="K55" s="153"/>
      <c r="L55" s="153"/>
      <c r="M55" s="153"/>
      <c r="N55" s="153"/>
      <c r="O55" s="153"/>
      <c r="Q55" s="214"/>
      <c r="R55" s="214"/>
      <c r="S55" s="214"/>
      <c r="T55" s="214"/>
    </row>
    <row r="56" spans="1:20" x14ac:dyDescent="0.2">
      <c r="B56" s="141"/>
      <c r="G56" s="152" t="s">
        <v>316</v>
      </c>
      <c r="H56" s="154">
        <f>SUMIFS(Journals!$K$9:$K$1005679,Journals!$D$9:$D$1005679,"&gt;"&amp;$E$7,Journals!$D$9:$D$1005679,"&lt;"&amp;$E$8,Journals!$J$9:$J$1005679,"Dividend Payable")</f>
        <v>6612758.9499999993</v>
      </c>
      <c r="I56" s="154">
        <f>MAX(0,SUMIFS(Journals!$L$9:$L$1005679,Journals!$D$9:$D$1005679,"&gt;"&amp;$E$7,Journals!$D$9:$D$1005679,"&lt;"&amp;$E$8,Journals!$J$9:$J$1005679,"Dividend Payable"))</f>
        <v>6612758.9499999993</v>
      </c>
      <c r="J56" s="153">
        <f>SUMIFS(Journals!$K$9:$K$1005679,Journals!$D$9:$D$1005679,"&lt;"&amp;$F$7,Journals!$J$9:$J$1005679,"Dividend Payable")</f>
        <v>12305680</v>
      </c>
      <c r="K56" s="153">
        <f>SUMIFS(Journals!$L$9:$L$1005679,Journals!$D$9:$D$1005679,"&lt;"&amp;$F$7,Journals!$J$9:$J$1005679,"Dividend Payable")</f>
        <v>12305680</v>
      </c>
      <c r="L56" s="153"/>
      <c r="M56" s="153">
        <f>I56-H56</f>
        <v>0</v>
      </c>
      <c r="N56" s="153">
        <f>J56</f>
        <v>12305680</v>
      </c>
      <c r="O56" s="153"/>
      <c r="P56" s="151"/>
      <c r="Q56" s="214"/>
      <c r="R56" s="214"/>
      <c r="S56" s="214"/>
      <c r="T56" s="214"/>
    </row>
    <row r="57" spans="1:20" x14ac:dyDescent="0.2">
      <c r="C57" s="151"/>
      <c r="G57" s="152" t="s">
        <v>478</v>
      </c>
      <c r="H57" s="154">
        <f>SUMIFS(Journals!$K$9:$K$1005679,Journals!$D$9:$D$1005679,"&gt;"&amp;$E$7,Journals!$D$9:$D$1005679,"&lt;"&amp;$E$8,Journals!$J$9:$J$1005679,"Withholding Tax Payable")</f>
        <v>1394.77</v>
      </c>
      <c r="I57" s="154">
        <f>MAX(0,SUMIFS(Journals!$L$9:$L$1005679,Journals!$D$9:$D$1005679,"&gt;"&amp;$E$7,Journals!$D$9:$D$1005679,"&lt;"&amp;$E$8,Journals!$J$9:$J$1005679,"Withholding Tax Payable"))</f>
        <v>190521.9744444445</v>
      </c>
      <c r="J57" s="153">
        <f>SUMIFS(Journals!$K$9:$K$1005679,Journals!$D$9:$D$1005679,"&lt;"&amp;$F$7,Journals!$J$9:$J$1005679,"Withholding Tax Payable")-SUMIFS(Journals!$L$9:$L$1005679,Journals!$D$9:$D$1005679,"&lt;"&amp;$F$7,Journals!$J$9:$J$1005679,"Withholding Tax Payable")</f>
        <v>-4.4718803837895393E-3</v>
      </c>
      <c r="K57" s="153">
        <f>SUMIFS(Journals!$L$9:$L$1005679,Journals!$D$9:$D$1005679,"&lt;"&amp;$F$7,Journals!$J$9:$J$1005679,"Withholding Tax Payable")-SUMIFS(Journals!$K$9:$K$1005679,Journals!$D$9:$D$1005679,"&lt;"&amp;$F$7,Journals!$J$9:$J$1005679,"Withholding Tax Payable")</f>
        <v>4.4718803837895393E-3</v>
      </c>
      <c r="L57" s="153"/>
      <c r="M57" s="153">
        <f>K57+I57-H57</f>
        <v>189127.20891632489</v>
      </c>
      <c r="N57" s="153"/>
      <c r="O57" s="153"/>
      <c r="Q57" s="214"/>
      <c r="R57" s="214"/>
      <c r="S57" s="214"/>
      <c r="T57" s="214"/>
    </row>
    <row r="58" spans="1:20" x14ac:dyDescent="0.2">
      <c r="C58" s="151"/>
      <c r="G58" s="152" t="s">
        <v>1708</v>
      </c>
      <c r="H58" s="154">
        <f>SUMIFS(Journals!$K$9:$K$1005679,Journals!$D$9:$D$1005679,"&gt;"&amp;$E$7,Journals!$D$9:$D$1005679,"&lt;"&amp;$E$8,Journals!$J$9:$J$1005679,"Withholding Tax Payable for News Paper")</f>
        <v>500</v>
      </c>
      <c r="I58" s="154">
        <f>MAX(0,SUMIFS(Journals!$L$9:$L$1005679,Journals!$D$9:$D$1005679,"&gt;"&amp;$E$7,Journals!$D$9:$D$1005679,"&lt;"&amp;$E$8,Journals!$J$9:$J$1005679,"Withholding Tax Payable for News Paper"))</f>
        <v>0</v>
      </c>
      <c r="J58" s="153">
        <f>SUMIFS(Journals!$K$9:$K$1005679,Journals!$D$9:$D$1005679,"&lt;"&amp;$F$7,Journals!$J$9:$J$1005679,"Withholding Tax Payable for News Paper")-SUMIFS(Journals!$L$9:$L$1005679,Journals!$D$9:$D$1005679,"&lt;"&amp;$F$7,Journals!$J$9:$J$1005679,"Withholding Tax Payable for News Paper")</f>
        <v>-500</v>
      </c>
      <c r="K58" s="153">
        <f>SUMIFS(Journals!$L$9:$L$1005679,Journals!$D$9:$D$1005679,"&lt;"&amp;$F$7,Journals!$J$9:$J$1005679,"Withholding Tax Payable for News Paper")-SUMIFS(Journals!$K$9:$K$1005679,Journals!$D$9:$D$1005679,"&lt;"&amp;$F$7,Journals!$J$9:$J$1005679,"Withholding Tax Payable for News Paper")</f>
        <v>500</v>
      </c>
      <c r="L58" s="153"/>
      <c r="M58" s="153">
        <f t="shared" ref="M58:M59" si="1">K58+I58-H58</f>
        <v>0</v>
      </c>
      <c r="N58" s="153"/>
      <c r="O58" s="153"/>
      <c r="Q58" s="214"/>
      <c r="R58" s="214"/>
      <c r="S58" s="214"/>
      <c r="T58" s="214"/>
    </row>
    <row r="59" spans="1:20" x14ac:dyDescent="0.2">
      <c r="C59" s="151"/>
      <c r="G59" s="152" t="s">
        <v>1707</v>
      </c>
      <c r="H59" s="154">
        <f>SUMIFS(Journals!$K$9:$K$1005679,Journals!$D$9:$D$1005679,"&gt;"&amp;$E$7,Journals!$D$9:$D$1005679,"&lt;"&amp;$E$8,Journals!$J$9:$J$1005679,"Withholding Tax Payable for Telnet")</f>
        <v>75</v>
      </c>
      <c r="I59" s="154">
        <f>MAX(0,SUMIFS(Journals!$L$9:$L$1005679,Journals!$D$9:$D$1005679,"&gt;"&amp;$E$7,Journals!$D$9:$D$1005679,"&lt;"&amp;$E$8,Journals!$J$9:$J$1005679,"Withholding Tax Payable for Telnet"))</f>
        <v>558774.1</v>
      </c>
      <c r="J59" s="153">
        <f>SUMIFS(Journals!$K$9:$K$1005679,Journals!$D$9:$D$1005679,"&lt;"&amp;$F$7,Journals!$J$9:$J$1005679,"Withholding Tax Payable for Telnet")-SUMIFS(Journals!$L$9:$L$1005679,Journals!$D$9:$D$1005679,"&lt;"&amp;$F$7,Journals!$J$9:$J$1005679,"Withholding Tax Payable for Telnet")</f>
        <v>-75</v>
      </c>
      <c r="K59" s="153">
        <f>SUMIFS(Journals!$L$9:$L$1005679,Journals!$D$9:$D$1005679,"&lt;"&amp;$F$7,Journals!$J$9:$J$1005679,"Withholding Tax Payable for Telnet")-SUMIFS(Journals!$K$9:$K$1005679,Journals!$D$9:$D$1005679,"&lt;"&amp;$F$7,Journals!$J$9:$J$1005679,"Withholding Tax Payable for Telnet")</f>
        <v>75</v>
      </c>
      <c r="L59" s="153"/>
      <c r="M59" s="153">
        <f t="shared" si="1"/>
        <v>558774.1</v>
      </c>
      <c r="N59" s="153"/>
      <c r="O59" s="153"/>
      <c r="Q59" s="214"/>
      <c r="R59" s="214"/>
      <c r="S59" s="214"/>
      <c r="T59" s="214"/>
    </row>
    <row r="60" spans="1:20" x14ac:dyDescent="0.2">
      <c r="G60" s="152" t="s">
        <v>1457</v>
      </c>
      <c r="H60" s="154">
        <f>MAX(0,SUMIFS(Journals!$K$9:$K$1005679,Journals!$D$9:$D$1005679,"&gt;"&amp;$E$7,Journals!$D$9:$D$1005679,"&lt;"&amp;$E$8,Journals!$J$9:$J$1005679,"Receivable from FDR")-SUMIFS(Journals!$L$9:$L$1005679,Journals!$D$9:$D$1005679,"&gt;"&amp;$E$7,Journals!$D$9:$D$1005679,"&lt;"&amp;$E$8,Journals!$J$9:$J$1005679,"Receivable from FDR"))</f>
        <v>0</v>
      </c>
      <c r="I60" s="154">
        <f>MAX(0,SUMIFS(Journals!$L$9:$L$1005679,Journals!$D$9:$D$1005679,"&gt;"&amp;$E$7,Journals!$D$9:$D$1005679,"&lt;"&amp;$E$8,Journals!$J$9:$J$1005679,"Receivable from FDR")-SUMIFS(Journals!$K$9:$K$1005679,Journals!$D$9:$D$1005679,"&gt;"&amp;$E$7,Journals!$D$9:$D$1005679,"&lt;"&amp;$E$8,Journals!$J$9:$J$1005679,"Receivable from FDR"))</f>
        <v>0</v>
      </c>
      <c r="J60" s="153">
        <f>SUMIFS(Journals!$K$9:$K$1005679,Journals!$D$9:$D$1005679,"&lt;"&amp;$F$7,Journals!$J$9:$J$1005679,"Receivable from FDR")-SUMIFS(Journals!$L$9:$L$1005679,Journals!$D$9:$D$1005679,"&lt;"&amp;$F$7,Journals!$J$9:$J$1005679,"Receivable from FDR")</f>
        <v>0</v>
      </c>
      <c r="K60" s="153"/>
      <c r="L60" s="153">
        <f>J60+H60-I60</f>
        <v>0</v>
      </c>
      <c r="M60" s="153"/>
      <c r="N60" s="153"/>
      <c r="O60" s="153"/>
      <c r="Q60" s="214"/>
      <c r="R60" s="214"/>
    </row>
    <row r="61" spans="1:20" x14ac:dyDescent="0.2">
      <c r="G61" s="152" t="s">
        <v>1615</v>
      </c>
      <c r="H61" s="154">
        <f>MAX(0,SUMIFS(Journals!$K$9:$K$1003252,Journals!$D$9:$D$1003252,"&gt;"&amp;$E$7,Journals!$D$9:$D$1003252,"&lt;"&amp;$E$8,Journals!$J$9:$J$1003252,"Investments in T-Bond")-SUMIFS(Journals!$L$9:$L$1003252,Journals!$D$9:$D$1003252,"&gt;"&amp;$E$7,Journals!$D$9:$D$1003252,"&lt;"&amp;$E$8,Journals!$J$9:$J$1003252,"Investments in T-Bond"))</f>
        <v>0</v>
      </c>
      <c r="I61" s="154">
        <f>MAX(0,SUMIFS(Journals!$L$9:$L$1003252,Journals!$D$9:$D$1003252,"&gt;"&amp;$E$7,Journals!$D$9:$D$1003252,"&lt;"&amp;$E$8,Journals!$J$9:$J$1003252,"Investments in T-Bond")-SUMIFS(Journals!$K$9:$K$1003252,Journals!$D$9:$D$1003252,"&gt;"&amp;$E$7,Journals!$D$9:$D$1003252,"&lt;"&amp;$E$8,Journals!$J$9:$J$1003252,"Investments in T-Bond"))</f>
        <v>0</v>
      </c>
      <c r="J61" s="153">
        <f>SUMIFS(Journals!$K$9:$K$1003252,Journals!$D$9:$D$1003252,"&lt;"&amp;$F$7,Journals!$J$9:$J$1003252,"Investments in T-Bond")-SUMIFS(Journals!$L$9:$L$1003252,Journals!$D$9:$D$1003252,"&lt;"&amp;$F$7,Journals!$J$9:$J$1003252,"Investments in T-Bond")</f>
        <v>0</v>
      </c>
      <c r="K61" s="153"/>
      <c r="L61" s="153">
        <f>J61+H61-I61</f>
        <v>0</v>
      </c>
      <c r="M61" s="153"/>
      <c r="N61" s="153"/>
      <c r="O61" s="153"/>
      <c r="Q61" s="214"/>
      <c r="R61" s="214"/>
    </row>
    <row r="62" spans="1:20" x14ac:dyDescent="0.2">
      <c r="G62" s="152" t="s">
        <v>1461</v>
      </c>
      <c r="H62" s="154">
        <f>SUMIFS(Journals!$K$9:$K$1003252,Journals!$D$9:$D$1003252,"&gt;"&amp;$E$7,Journals!$D$9:$D$1003252,"&lt;"&amp;$E$8,Journals!$J$9:$J$1003252,"Bond Premium")</f>
        <v>0</v>
      </c>
      <c r="I62" s="154">
        <f>MAX(0,SUMIFS(Journals!$L$9:$L$1003252,Journals!$D$9:$D$1003252,"&gt;"&amp;$E$7,Journals!$D$9:$D$1003252,"&lt;"&amp;$E$8,Journals!$J$9:$J$1003252,"Bond Premium"))</f>
        <v>0</v>
      </c>
      <c r="J62" s="153">
        <f>SUMIFS(Journals!$K$9:$K$1003252,Journals!$D$9:$D$1003252,"&lt;"&amp;$F$7,Journals!$J$9:$J$1003252,"Bond Premium")-SUMIFS(Journals!$L$9:$L$1003252,Journals!$D$9:$D$1003252,"&lt;"&amp;$F$7,Journals!$J$9:$J$1003252,"Bond Premium")</f>
        <v>0</v>
      </c>
      <c r="K62" s="153"/>
      <c r="L62" s="326">
        <f>J62+H62-I62</f>
        <v>0</v>
      </c>
      <c r="M62" s="153"/>
      <c r="N62" s="153"/>
      <c r="O62" s="153"/>
      <c r="Q62" s="214"/>
      <c r="R62" s="214"/>
    </row>
    <row r="63" spans="1:20" x14ac:dyDescent="0.2">
      <c r="G63" s="152" t="s">
        <v>1462</v>
      </c>
      <c r="H63" s="154">
        <f>MAX(0,SUMIFS(Journals!$K$9:$K$1003252,Journals!$D$9:$D$1003252,"&gt;"&amp;$E$7,Journals!$D$9:$D$1003252,"&lt;"&amp;$E$8,Journals!$J$9:$J$1003252,"Redemption Receivable")-SUMIFS(Journals!$L$9:$L$1003252,Journals!$D$9:$D$1003252,"&gt;"&amp;$E$7,Journals!$D$9:$D$1003252,"&lt;"&amp;$E$8,Journals!$J$9:$J$1003252,"Redemption Receivable"))</f>
        <v>0</v>
      </c>
      <c r="I63" s="154">
        <f>MAX(0,SUMIFS(Journals!$L$9:$L$1003252,Journals!$D$9:$D$1003252,"&gt;"&amp;$E$7,Journals!$D$9:$D$1003252,"&lt;"&amp;$E$8,Journals!$J$9:$J$1003252,"Redemption Receivable")-SUMIFS(Journals!$K$9:$K$1003252,Journals!$D$9:$D$1003252,"&gt;"&amp;$E$7,Journals!$D$9:$D$1003252,"&lt;"&amp;$E$8,Journals!$J$9:$J$1003252,"Redemption Receivable"))</f>
        <v>0</v>
      </c>
      <c r="J63" s="153">
        <f>SUMIFS(Journals!$K$9:$K$1003252,Journals!$D$9:$D$1003252,"&lt;"&amp;$F$7,Journals!$J$9:$J$1003252,"Redemption Receivable")-SUMIFS(Journals!$L$9:$L$1003252,Journals!$D$9:$D$1003252,"&lt;"&amp;$F$7,Journals!$J$9:$J$1003252,"Redemption Receivable")</f>
        <v>0</v>
      </c>
      <c r="K63" s="153"/>
      <c r="L63" s="326">
        <f>J63+H63-I63</f>
        <v>0</v>
      </c>
      <c r="M63" s="153"/>
      <c r="N63" s="153"/>
      <c r="O63" s="153"/>
      <c r="Q63" s="214"/>
      <c r="R63" s="214"/>
    </row>
    <row r="64" spans="1:20" x14ac:dyDescent="0.2">
      <c r="G64" s="152" t="s">
        <v>1463</v>
      </c>
      <c r="H64" s="154">
        <f>MAX(0,SUMIFS(Journals!$K$9:$K$1003252,Journals!$D$9:$D$1003252,"&gt;"&amp;$E$7,Journals!$D$9:$D$1003252,"&lt;"&amp;$E$8,Journals!$J$9:$J$1003252,"Redemption of Investment")-SUMIFS(Journals!$L$9:$L$1003252,Journals!$D$9:$D$1003252,"&gt;"&amp;$E$7,Journals!$D$9:$D$1003252,"&lt;"&amp;$E$8,Journals!$J$9:$J$1003252,"Redemption of Investment"))</f>
        <v>0</v>
      </c>
      <c r="I64" s="154">
        <f>MAX(0,SUMIFS(Journals!$L$9:$L$1003252,Journals!$D$9:$D$1003252,"&gt;"&amp;$E$7,Journals!$D$9:$D$1003252,"&lt;"&amp;$E$8,Journals!$J$9:$J$1003252,"Redemption of Investment")-SUMIFS(Journals!$K$9:$K$1003252,Journals!$D$9:$D$1003252,"&gt;"&amp;$E$7,Journals!$D$9:$D$1003252,"&lt;"&amp;$E$8,Journals!$J$9:$J$1003252,"Redemption of Investment"))</f>
        <v>0</v>
      </c>
      <c r="J64" s="153"/>
      <c r="K64" s="153"/>
      <c r="L64" s="153"/>
      <c r="M64" s="153"/>
      <c r="N64" s="153"/>
      <c r="O64" s="153"/>
      <c r="Q64" s="214"/>
      <c r="R64" s="214"/>
    </row>
    <row r="65" spans="7:18" x14ac:dyDescent="0.2">
      <c r="G65" s="152" t="s">
        <v>1612</v>
      </c>
      <c r="H65" s="154">
        <f>MAX(0,SUMIFS(Journals!$K$9:$K$1003252,Journals!$D$9:$D$1003252,"&gt;"&amp;$E$7,Journals!$D$9:$D$1003252,"&lt;"&amp;$E$8,Journals!$J$9:$J$1003252,"Interest Receivables from T-Bond")-SUMIFS(Journals!$L$9:$L$1003252,Journals!$D$9:$D$1003252,"&gt;"&amp;$E$7,Journals!$D$9:$D$1003252,"&lt;"&amp;$E$8,Journals!$J$9:$J$1003252,"Interest Receivables from T-Bond"))</f>
        <v>0</v>
      </c>
      <c r="I65" s="154">
        <f>MAX(0,SUMIFS(Journals!$L$9:$L$1003252,Journals!$D$9:$D$1003252,"&gt;"&amp;$E$7,Journals!$D$9:$D$1003252,"&lt;"&amp;$E$8,Journals!$J$9:$J$1003252,"Interest Receivables from Bond")-SUMIFS(Journals!$K$9:$K$1003252,Journals!$D$9:$D$1003252,"&gt;"&amp;$E$7,Journals!$D$9:$D$1003252,"&lt;"&amp;$E$8,Journals!$J$9:$J$1003252,"Interest Receivables from Bond"))</f>
        <v>0</v>
      </c>
      <c r="J65" s="153">
        <f>SUMIFS(Journals!$K$9:$K$1003252,Journals!$D$9:$D$1003252,"&lt;"&amp;$F$7,Journals!$J$9:$J$1003252,"Interest Receivables from Bond")-SUMIFS(Journals!$L$9:$L$1003252,Journals!$D$9:$D$1003252,"&lt;"&amp;$F$7,Journals!$J$9:$J$1003252,"Interest Receivables from Bond")</f>
        <v>0</v>
      </c>
      <c r="K65" s="153"/>
      <c r="L65" s="153">
        <f>H65+J65-I65</f>
        <v>0</v>
      </c>
      <c r="M65" s="153"/>
      <c r="N65" s="153"/>
      <c r="O65" s="153"/>
      <c r="Q65" s="214"/>
      <c r="R65" s="214"/>
    </row>
    <row r="66" spans="7:18" x14ac:dyDescent="0.2">
      <c r="G66" s="152" t="s">
        <v>1465</v>
      </c>
      <c r="H66" s="154">
        <f>MAX(0,SUMIFS(Journals!$K$9:$K$1005679,Journals!$D$9:$D$1005679,"&gt;"&amp;$E$7,Journals!$D$9:$D$1005679,"&lt;"&amp;$E$8,Journals!$J$9:$J$1005679,"Investment in T-Bill")-SUMIFS(Journals!$L$9:$L$1005679,Journals!$D$9:$D$1005679,"&gt;"&amp;$E$7,Journals!$D$9:$D$1005679,"&lt;"&amp;$E$8,Journals!$J$9:$J$1005679,"Investment in T-Bill"))</f>
        <v>0</v>
      </c>
      <c r="I66" s="154">
        <f>MAX(0,SUMIFS(Journals!$L$9:$L$1003252,Journals!$D$9:$D$1003252,"&gt;"&amp;$E$7,Journals!$D$9:$D$1003252,"&lt;"&amp;$E$8,Journals!$J$9:$J$1003252,"Investment in T-Bill")-SUMIFS(Journals!$K$9:$K$1003252,Journals!$D$9:$D$1003252,"&gt;"&amp;$E$7,Journals!$D$9:$D$1003252,"&lt;"&amp;$E$8,Journals!$J$9:$J$1003252,"Investment in T-Bill"))</f>
        <v>0</v>
      </c>
      <c r="J66" s="153">
        <f>SUMIFS(Journals!$K$9:$K$1003252,Journals!$D$9:$D$1003252,"&lt;"&amp;$F$7,Journals!$J$9:$J$1003252,"Investment in T-Bill")-SUMIFS(Journals!$L$9:$L$1003252,Journals!$D$9:$D$1003252,"&lt;"&amp;$F$7,Journals!$J$9:$J$1003252,"Investment in T-Bill")</f>
        <v>0</v>
      </c>
      <c r="K66" s="153"/>
      <c r="L66" s="153">
        <f t="shared" ref="L66:L67" si="2">H66+J66-I66</f>
        <v>0</v>
      </c>
      <c r="M66" s="153"/>
      <c r="N66" s="153"/>
      <c r="O66" s="153"/>
      <c r="Q66" s="214"/>
      <c r="R66" s="214"/>
    </row>
    <row r="67" spans="7:18" x14ac:dyDescent="0.2">
      <c r="G67" s="152" t="s">
        <v>1466</v>
      </c>
      <c r="H67" s="154">
        <f>MAX(0,SUMIFS(Journals!$K$9:$K$1003252,Journals!$D$9:$D$1003252,"&gt;"&amp;$E$7,Journals!$D$9:$D$1003252,"&lt;"&amp;$E$8,Journals!$J$9:$J$1003252,"Interest Receivables from T-Bill")-SUMIFS(Journals!$L$9:$L$1003252,Journals!$D$9:$D$1003252,"&gt;"&amp;$E$7,Journals!$D$9:$D$1003252,"&lt;"&amp;$E$8,Journals!$J$9:$J$1003252,"Interest Receivables from T-Bill"))</f>
        <v>0</v>
      </c>
      <c r="I67" s="154">
        <f>MAX(0,SUMIFS(Journals!$L$9:$L$1003252,Journals!$D$9:$D$1003252,"&gt;"&amp;$E$7,Journals!$D$9:$D$1003252,"&lt;"&amp;$E$8,Journals!$J$9:$J$1003252,"Interest Receivables from T-Bill")-SUMIFS(Journals!$K$9:$K$1003252,Journals!$D$9:$D$1003252,"&gt;"&amp;$E$7,Journals!$D$9:$D$1003252,"&lt;"&amp;$E$8,Journals!$J$9:$J$1003252,"Interest Receivables from T-Bill"))</f>
        <v>0</v>
      </c>
      <c r="J67" s="153">
        <f>SUMIFS(Journals!$K$9:$K$1003252,Journals!$D$9:$D$1003252,"&lt;"&amp;$F$7,Journals!$J$9:$J$1003252,"Interest Receivables from T-Bill")-SUMIFS(Journals!$L$9:$L$1003252,Journals!$D$9:$D$1003252,"&lt;"&amp;$F$7,Journals!$J$9:$J$1003252,"Interest Receivables from T-Bill")</f>
        <v>0</v>
      </c>
      <c r="K67" s="153"/>
      <c r="L67" s="153">
        <f t="shared" si="2"/>
        <v>0</v>
      </c>
      <c r="M67" s="153"/>
      <c r="N67" s="153"/>
      <c r="O67" s="153"/>
      <c r="Q67" s="214"/>
      <c r="R67" s="214"/>
    </row>
  </sheetData>
  <autoFilter ref="G6:O6" xr:uid="{00000000-0009-0000-0000-000003000000}"/>
  <mergeCells count="10">
    <mergeCell ref="B5:D5"/>
    <mergeCell ref="H5:I5"/>
    <mergeCell ref="N5:O5"/>
    <mergeCell ref="G1:O1"/>
    <mergeCell ref="G2:O2"/>
    <mergeCell ref="G3:O3"/>
    <mergeCell ref="A1:D1"/>
    <mergeCell ref="A2:D2"/>
    <mergeCell ref="A3:D3"/>
    <mergeCell ref="J5:M5"/>
  </mergeCells>
  <conditionalFormatting sqref="G1:O3">
    <cfRule type="cellIs" dxfId="5" priority="1" operator="notEqual">
      <formula>0</formula>
    </cfRule>
    <cfRule type="cellIs" dxfId="4" priority="2" operator="equal">
      <formula>0</formula>
    </cfRule>
  </conditionalFormatting>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AC67"/>
  <sheetViews>
    <sheetView zoomScaleNormal="100" workbookViewId="0">
      <pane ySplit="3" topLeftCell="A13" activePane="bottomLeft" state="frozen"/>
      <selection activeCell="D26" sqref="D26"/>
      <selection pane="bottomLeft" activeCell="L41" sqref="L41"/>
    </sheetView>
  </sheetViews>
  <sheetFormatPr defaultColWidth="8.88671875" defaultRowHeight="13.2" x14ac:dyDescent="0.25"/>
  <cols>
    <col min="1" max="1" width="13.6640625" style="2" bestFit="1" customWidth="1"/>
    <col min="2" max="2" width="9.44140625" style="2" bestFit="1" customWidth="1"/>
    <col min="3" max="3" width="8.88671875" style="2"/>
    <col min="4" max="4" width="11.33203125" style="2" bestFit="1" customWidth="1"/>
    <col min="5" max="6" width="10.5546875" style="2" hidden="1" customWidth="1"/>
    <col min="7" max="7" width="39.109375" style="2" bestFit="1" customWidth="1"/>
    <col min="8" max="8" width="14.88671875" style="2" bestFit="1" customWidth="1"/>
    <col min="9" max="9" width="16.5546875" style="68" bestFit="1" customWidth="1"/>
    <col min="10" max="11" width="23.33203125" style="2" bestFit="1" customWidth="1"/>
    <col min="12" max="12" width="12.6640625" style="57" bestFit="1" customWidth="1"/>
    <col min="13" max="13" width="13.44140625" style="57" bestFit="1" customWidth="1"/>
    <col min="14" max="14" width="13.88671875" style="2" bestFit="1" customWidth="1"/>
    <col min="15" max="15" width="12.33203125" style="2" bestFit="1" customWidth="1"/>
    <col min="16" max="16" width="11.6640625" style="2" bestFit="1" customWidth="1"/>
    <col min="17" max="17" width="14" style="2" bestFit="1" customWidth="1"/>
    <col min="18" max="18" width="15.44140625" style="2" bestFit="1" customWidth="1"/>
    <col min="19" max="19" width="11.6640625" style="2" bestFit="1" customWidth="1"/>
    <col min="20" max="16384" width="8.88671875" style="2"/>
  </cols>
  <sheetData>
    <row r="1" spans="1:19" x14ac:dyDescent="0.25">
      <c r="A1" s="507" t="s">
        <v>110</v>
      </c>
      <c r="B1" s="507"/>
      <c r="C1" s="507"/>
      <c r="D1" s="507"/>
      <c r="G1" s="508">
        <f>SUM(H7:H85)-SUM(I7:I85)</f>
        <v>4.303276538848877E-3</v>
      </c>
      <c r="H1" s="508"/>
      <c r="I1" s="508"/>
      <c r="J1" s="508"/>
      <c r="K1" s="508"/>
      <c r="L1" s="508"/>
      <c r="M1" s="508"/>
      <c r="N1" s="508"/>
      <c r="O1" s="508"/>
    </row>
    <row r="2" spans="1:19" x14ac:dyDescent="0.25">
      <c r="A2" s="507" t="s">
        <v>111</v>
      </c>
      <c r="B2" s="507"/>
      <c r="C2" s="507"/>
      <c r="D2" s="507"/>
      <c r="G2" s="509">
        <f>BS!C25-BS!C41</f>
        <v>0</v>
      </c>
      <c r="H2" s="509"/>
      <c r="I2" s="509"/>
      <c r="J2" s="509"/>
      <c r="K2" s="509"/>
      <c r="L2" s="509"/>
      <c r="M2" s="509"/>
      <c r="N2" s="509"/>
      <c r="O2" s="509"/>
    </row>
    <row r="3" spans="1:19" x14ac:dyDescent="0.25">
      <c r="A3" s="507" t="s">
        <v>112</v>
      </c>
      <c r="B3" s="507"/>
      <c r="C3" s="507"/>
      <c r="D3" s="507"/>
      <c r="G3" s="510">
        <f>BS!C23-CF!B44</f>
        <v>-3620314.1100556124</v>
      </c>
      <c r="H3" s="510"/>
      <c r="I3" s="510"/>
      <c r="J3" s="510"/>
      <c r="K3" s="510"/>
      <c r="L3" s="510"/>
      <c r="M3" s="510"/>
      <c r="N3" s="510"/>
      <c r="O3" s="510"/>
    </row>
    <row r="4" spans="1:19" x14ac:dyDescent="0.25">
      <c r="A4" s="3"/>
      <c r="H4" s="5"/>
      <c r="K4" s="5"/>
      <c r="L4" s="53"/>
      <c r="M4" s="53"/>
    </row>
    <row r="5" spans="1:19" x14ac:dyDescent="0.25">
      <c r="A5" s="39"/>
      <c r="B5" s="503" t="s">
        <v>108</v>
      </c>
      <c r="C5" s="503"/>
      <c r="D5" s="503"/>
      <c r="H5" s="504" t="s">
        <v>109</v>
      </c>
      <c r="I5" s="504"/>
      <c r="J5" s="505" t="s">
        <v>106</v>
      </c>
      <c r="K5" s="505"/>
      <c r="L5" s="505"/>
      <c r="M5" s="505"/>
      <c r="N5" s="506" t="s">
        <v>107</v>
      </c>
      <c r="O5" s="506"/>
    </row>
    <row r="6" spans="1:19" s="1" customFormat="1" x14ac:dyDescent="0.25">
      <c r="A6" s="40"/>
      <c r="B6" s="41" t="s">
        <v>68</v>
      </c>
      <c r="C6" s="41" t="s">
        <v>69</v>
      </c>
      <c r="D6" s="41" t="s">
        <v>70</v>
      </c>
      <c r="E6" s="1" t="s">
        <v>71</v>
      </c>
      <c r="F6" s="1" t="s">
        <v>71</v>
      </c>
      <c r="G6" s="30" t="s">
        <v>61</v>
      </c>
      <c r="H6" s="32" t="s">
        <v>58</v>
      </c>
      <c r="I6" s="104" t="s">
        <v>59</v>
      </c>
      <c r="J6" s="35" t="s">
        <v>99</v>
      </c>
      <c r="K6" s="35" t="s">
        <v>99</v>
      </c>
      <c r="L6" s="54" t="s">
        <v>132</v>
      </c>
      <c r="M6" s="54" t="s">
        <v>132</v>
      </c>
      <c r="N6" s="44" t="s">
        <v>58</v>
      </c>
      <c r="O6" s="44" t="s">
        <v>59</v>
      </c>
    </row>
    <row r="7" spans="1:19" x14ac:dyDescent="0.25">
      <c r="A7" s="42" t="s">
        <v>104</v>
      </c>
      <c r="B7" s="43">
        <v>2025</v>
      </c>
      <c r="C7" s="43">
        <v>1</v>
      </c>
      <c r="D7" s="43">
        <v>1</v>
      </c>
      <c r="E7" s="2">
        <f>DATE(B7,C7,D7)-1</f>
        <v>45657</v>
      </c>
      <c r="F7" s="2">
        <f>DATE(B7,C7,D7)</f>
        <v>45658</v>
      </c>
      <c r="G7" s="2" t="str">
        <f>'Chart of Accounts'!B3</f>
        <v>Investments in stock</v>
      </c>
      <c r="H7" s="33">
        <f>MAX(0,SUMIFS(Journals!$K$9:$K$1005679,Journals!$D$9:$D$1005679,"&gt;"&amp;$E$7,Journals!$D$9:$D$1005679,"&lt;"&amp;$E$8,Journals!$J$9:$J$1005679,"investments in stock")-SUMIFS(Journals!$L$9:$L$1005679,Journals!$D$9:$D$1005679,"&gt;"&amp;$E$7,Journals!$D$9:$D$1005679,"&lt;"&amp;$E$8,Journals!$J$9:$J$1005679,"investments in stock"))</f>
        <v>103388755.87</v>
      </c>
      <c r="I7" s="105">
        <f>MAX(0,SUMIFS(Journals!$L$9:$L$1005679,Journals!$D$9:$D$1005679,"&gt;"&amp;$E$7,Journals!$D$9:$D$1005679,"&lt;"&amp;$E$8,Journals!$J$9:$J$1005679,"Investments in stock")-SUMIFS(Journals!$K$9:$K$1005679,Journals!$D$9:$D$1005679,"&gt;"&amp;$E$7,Journals!$D$9:$D$1005679,"&lt;"&amp;$E$8,Journals!$J$9:$J$1005679,"Investments in stock"))</f>
        <v>0</v>
      </c>
      <c r="J7" s="36">
        <f>SUMIFS(Journals!$K$9:$K$1005679,Journals!$D$9:$D$1005679,"&lt;"&amp;$F$7,Journals!$J$9:$J$1005679,"investments in stock")-SUMIFS(Journals!$L$9:$L$1005679,Journals!$D$9:$D$1005679,"&lt;"&amp;$F$7,Journals!$J$9:$J$1005679,"investments in stock")</f>
        <v>99890422.540000081</v>
      </c>
      <c r="K7" s="36"/>
      <c r="L7" s="55">
        <f>J7+H7-I7</f>
        <v>203279178.41000009</v>
      </c>
      <c r="M7" s="55"/>
      <c r="N7" s="38"/>
      <c r="O7" s="38"/>
      <c r="R7" s="5"/>
      <c r="S7" s="26"/>
    </row>
    <row r="8" spans="1:19" x14ac:dyDescent="0.25">
      <c r="A8" s="42" t="s">
        <v>105</v>
      </c>
      <c r="B8" s="43">
        <v>2025</v>
      </c>
      <c r="C8" s="43">
        <v>12</v>
      </c>
      <c r="D8" s="43">
        <v>31</v>
      </c>
      <c r="E8" s="2">
        <f>DATE(B8,C8,D8)+1</f>
        <v>46023</v>
      </c>
      <c r="F8" s="2">
        <f>DATE(B8,C8,D8)</f>
        <v>46022</v>
      </c>
      <c r="G8" s="31" t="str">
        <f>'Chart of Accounts'!B4</f>
        <v>Interest Receivables from Bank A/C</v>
      </c>
      <c r="H8" s="34">
        <f>MAX(0,SUMIFS(Journals!$K$9:$K$1005679,Journals!$D$9:$D$1005679,"&gt;"&amp;$E$7,Journals!$D$9:$D$1005679,"&lt;"&amp;$E$8,Journals!$J$9:$J$1005679,"Interest Receivables from Bank A/C")-SUMIFS(Journals!$L$9:$L$1005679,Journals!$D$9:$D$1005679,"&gt;"&amp;$E$7,Journals!$D$9:$D$1005679,"&lt;"&amp;$E$8,Journals!$J$9:$J$1005679,"Interest Receivables from Bank A/C"))</f>
        <v>8231.328209641506</v>
      </c>
      <c r="I8" s="106">
        <f>MAX(0,SUMIFS(Journals!$L$9:$L$1005679,Journals!$D$9:$D$1005679,"&gt;"&amp;$E$7,Journals!$D$9:$D$1005679,"&lt;"&amp;$E$8,Journals!$J$9:$J$1005679,"Interest Receivables from Bank A/C")-SUMIFS(Journals!$K$9:$K$1005679,Journals!$D$9:$D$1005679,"&gt;"&amp;$E$7,Journals!$D$9:$D$1005679,"&lt;"&amp;$E$8,Journals!$J$9:$J$1005679,"Interest Receivables from Bank A/C"))</f>
        <v>0</v>
      </c>
      <c r="J8" s="37">
        <f>SUMIFS(Journals!$K$9:$K$1005679,Journals!$D$9:$D$1005679,"&lt;"&amp;$F$7,Journals!$J$9:$J$1005679,"Interest Receivables from Bank A/C")-SUMIFS(Journals!$L$9:$L$1005679,Journals!$D$9:$D$1005679,"&lt;"&amp;$F$7,Journals!$J$9:$J$1005679,"Interest Receivables from Bank A/C")</f>
        <v>2462.4599999999627</v>
      </c>
      <c r="K8" s="37"/>
      <c r="L8" s="56">
        <f>J8+H8-I8</f>
        <v>10693.788209641469</v>
      </c>
      <c r="M8" s="56"/>
      <c r="N8" s="38"/>
      <c r="O8" s="38"/>
      <c r="P8" s="26"/>
      <c r="R8" s="5"/>
      <c r="S8" s="26"/>
    </row>
    <row r="9" spans="1:19" x14ac:dyDescent="0.25">
      <c r="G9" s="31" t="str">
        <f>'Chart of Accounts'!B5</f>
        <v>Preliminary &amp; issue expenses</v>
      </c>
      <c r="H9" s="34">
        <f>MAX(0,SUMIFS(Journals!$K$9:$K$1005679,Journals!$D$9:$D$1005679,"&gt;"&amp;$E$7,Journals!$D$9:$D$1005679,"&lt;"&amp;$E$8,Journals!$J$9:$J$1005679,"Preliminary &amp; issue expenses")-SUMIFS(Journals!$L$9:$L$1005679,Journals!$D$9:$D$1005679,"&gt;"&amp;$E$7,Journals!$D$9:$D$1005679,"&lt;"&amp;$E$8,Journals!$J$9:$J$1005679,"Preliminary &amp; issue expenses"))</f>
        <v>0</v>
      </c>
      <c r="I9" s="106">
        <f>MAX(0,SUMIFS(Journals!$L$9:$L$1005679,Journals!$D$9:$D$1005679,"&gt;"&amp;$E$7,Journals!$D$9:$D$1005679,"&lt;"&amp;$E$8,Journals!$J$9:$J$1005679,"Preliminary &amp; issue expenses")-SUMIFS(Journals!$K$9:$K$1005679,Journals!$D$9:$D$1005679,"&gt;"&amp;$E$7,Journals!$D$9:$D$1005679,"&lt;"&amp;$E$8,Journals!$J$9:$J$1005679,"Preliminary &amp; issue expenses"))</f>
        <v>142464.67817896401</v>
      </c>
      <c r="J9" s="37">
        <f>SUMIFS(Journals!$K$9:$K$1005679,Journals!$D$9:$D$1005679,"&lt;"&amp;$F$7,Journals!$J$9:$J$1005679,"Preliminary &amp; issue expenses")-SUMIFS(Journals!$L$9:$L$1005679,Journals!$D$9:$D$1005679,"&lt;"&amp;$F$7,Journals!$J$9:$J$1005679,"Preliminary &amp; issue expenses")</f>
        <v>587519.62598116067</v>
      </c>
      <c r="K9" s="37"/>
      <c r="L9" s="56">
        <f>J9+H9-I9</f>
        <v>445054.94780219666</v>
      </c>
      <c r="M9" s="56"/>
      <c r="N9" s="38"/>
      <c r="O9" s="38"/>
      <c r="R9" s="5"/>
      <c r="S9" s="26"/>
    </row>
    <row r="10" spans="1:19" x14ac:dyDescent="0.25">
      <c r="G10" s="31" t="str">
        <f>'Chart of Accounts'!B6</f>
        <v>Accrued Management Fee</v>
      </c>
      <c r="H10" s="34">
        <f>MAX(0,SUMIFS(Journals!$K$9:$K$1005679,Journals!$D$9:$D$1005679,"&gt;"&amp;$E$7,Journals!$D$9:$D$1005679,"&lt;"&amp;$E$8,Journals!$J$9:$J$1005679,"Accrued Management Fee")-SUMIFS(Journals!$L$9:$L$1005679,Journals!$D$9:$D$1005679,"&gt;"&amp;$E$7,Journals!$D$9:$D$1005679,"&lt;"&amp;$E$8,Journals!$J$9:$J$1005679,"Accrued Management Fee"))</f>
        <v>0</v>
      </c>
      <c r="I10" s="106">
        <f>MAX(0,SUMIFS(Journals!$L$9:$L$1005679,Journals!$D$9:$D$1005679,"&gt;"&amp;$E$7,Journals!$D$9:$D$1005679,"&lt;"&amp;$E$8,Journals!$J$9:$J$1005679,"Accrued Management Fee")-SUMIFS(Journals!$K$9:$K$1005679,Journals!$D$9:$D$1005679,"&gt;"&amp;$E$7,Journals!$D$9:$D$1005679,"&lt;"&amp;$E$8,Journals!$J$9:$J$1005679,"Accrued Management Fee"))</f>
        <v>165061.78301026439</v>
      </c>
      <c r="J10" s="37"/>
      <c r="K10" s="37">
        <f>SUMIFS(Journals!$L$9:$L$1005679,Journals!$D$9:$D$1005679,"&lt;"&amp;$F$7,Journals!$J$9:$J$1005679,"Accrued Management Fee")-SUMIFS(Journals!$K$9:$K$1005679,Journals!$D$9:$D$1005679,"&lt;"&amp;$F$7,Journals!$J$9:$J$1005679,"Accrued Management Fee")</f>
        <v>610408.35538419336</v>
      </c>
      <c r="L10" s="56"/>
      <c r="M10" s="56">
        <f t="shared" ref="M10:M19" si="0">K10+I10-H10</f>
        <v>775470.13839445775</v>
      </c>
      <c r="N10" s="38"/>
      <c r="O10" s="38"/>
      <c r="R10" s="5"/>
      <c r="S10" s="26"/>
    </row>
    <row r="11" spans="1:19" x14ac:dyDescent="0.25">
      <c r="G11" s="31" t="str">
        <f>'Chart of Accounts'!B7</f>
        <v>Accrued Trustee Fee</v>
      </c>
      <c r="H11" s="34">
        <f>MAX(0,SUMIFS(Journals!$K$9:$K$1005679,Journals!$D$9:$D$1005679,"&gt;"&amp;$E$7,Journals!$D$9:$D$1005679,"&lt;"&amp;$E$8,Journals!$J$9:$J$1005679,"accrued trustee fee")-SUMIFS(Journals!$L$9:$L$1005679,Journals!$D$9:$D$1005679,"&gt;"&amp;$E$7,Journals!$D$9:$D$1005679,"&lt;"&amp;$E$8,Journals!$J$9:$J$1005679,"accrued trustee fee"))</f>
        <v>0</v>
      </c>
      <c r="I11" s="106">
        <f>MAX(0,SUMIFS(Journals!$L$9:$L$1005679,Journals!$D$9:$D$1005679,"&gt;"&amp;$E$7,Journals!$D$9:$D$1005679,"&lt;"&amp;$E$8,Journals!$J$9:$J$1005679,"accrued trustee fee")-SUMIFS(Journals!$K$9:$K$1005679,Journals!$D$9:$D$1005679,"&gt;"&amp;$E$7,Journals!$D$9:$D$1005679,"&lt;"&amp;$E$8,Journals!$J$9:$J$1005679,"accrued trustee fee"))</f>
        <v>19610.443132601562</v>
      </c>
      <c r="J11" s="37"/>
      <c r="K11" s="37">
        <f>SUMIFS(Journals!$L$9:$L$1005679,Journals!$D$9:$D$1005679,"&lt;"&amp;$F$7,Journals!$J$9:$J$1005679,"Accrued Trustee Fee")-SUMIFS(Journals!$K$9:$K$1005679,Journals!$D$9:$D$1005679,"&lt;"&amp;$F$7,Journals!$J$9:$J$1005679,"Accrued Trustee Fee")</f>
        <v>88416.135842287622</v>
      </c>
      <c r="L11" s="56"/>
      <c r="M11" s="56">
        <f t="shared" si="0"/>
        <v>108026.57897488918</v>
      </c>
      <c r="N11" s="38"/>
      <c r="O11" s="38"/>
      <c r="R11" s="5"/>
      <c r="S11" s="26"/>
    </row>
    <row r="12" spans="1:19" x14ac:dyDescent="0.25">
      <c r="G12" s="31" t="str">
        <f>'Chart of Accounts'!B8</f>
        <v>Accrued Custodian Fee</v>
      </c>
      <c r="H12" s="34">
        <f>MAX(0,SUMIFS(Journals!$K$9:$K$1005679,Journals!$D$9:$D$1005679,"&gt;"&amp;$E$7,Journals!$D$9:$D$1005679,"&lt;"&amp;$E$8,Journals!$J$9:$J$1005679,"accrued custodian fee")-SUMIFS(Journals!$L$9:$L$1005679,Journals!$D$9:$D$1005679,"&gt;"&amp;$E$7,Journals!$D$9:$D$1005679,"&lt;"&amp;$E$8,Journals!$J$9:$J$1005679,"accrued custodian fee"))</f>
        <v>0</v>
      </c>
      <c r="I12" s="106">
        <f>MAX(0,SUMIFS(Journals!$L$9:$L$1005679,Journals!$D$9:$D$1005679,"&gt;"&amp;$E$7,Journals!$D$9:$D$1005679,"&lt;"&amp;$E$8,Journals!$J$9:$J$1005679,"accrued custodian fee")-SUMIFS(Journals!$K$9:$K$1005679,Journals!$D$9:$D$1005679,"&gt;"&amp;$E$7,Journals!$D$9:$D$1005679,"&lt;"&amp;$E$8,Journals!$J$9:$J$1005679,"accrued custodian fee"))</f>
        <v>0</v>
      </c>
      <c r="J12" s="37"/>
      <c r="K12" s="37">
        <f>SUMIFS(Journals!$L$9:$L$1005679,Journals!$D$9:$D$1005679,"&lt;"&amp;$F$7,Journals!$J$9:$J$1005679,"Accrued Custodian Fee")-SUMIFS(Journals!$K$9:$K$1005679,Journals!$D$9:$D$1005679,"&lt;"&amp;$F$7,Journals!$J$9:$J$1005679,"Accrued Custodian Fee")</f>
        <v>0</v>
      </c>
      <c r="L12" s="56"/>
      <c r="M12" s="56">
        <f t="shared" si="0"/>
        <v>0</v>
      </c>
      <c r="N12" s="38"/>
      <c r="O12" s="38"/>
      <c r="R12" s="127"/>
      <c r="S12" s="26"/>
    </row>
    <row r="13" spans="1:19" x14ac:dyDescent="0.25">
      <c r="G13" s="31" t="str">
        <f>'Chart of Accounts'!B9</f>
        <v>Accrued BSEC fee</v>
      </c>
      <c r="H13" s="34">
        <f>MAX(0,SUMIFS(Journals!$K$9:$K$1005679,Journals!$D$9:$D$1005679,"&gt;"&amp;$E$7,Journals!$D$9:$D$1005679,"&lt;"&amp;$E$8,Journals!$J$9:$J$1005679,"accrued bsec fee")-SUMIFS(Journals!$L$9:$L$1005679,Journals!$D$9:$D$1005679,"&gt;"&amp;$E$7,Journals!$D$9:$D$1005679,"&lt;"&amp;$E$8,Journals!$J$9:$J$1005679,"accrued bsec fee"))</f>
        <v>0</v>
      </c>
      <c r="I13" s="106">
        <f>MAX(0,SUMIFS(Journals!$L$9:$L$1005679,Journals!$D$9:$D$1005679,"&gt;"&amp;$E$7,Journals!$D$9:$D$1005679,"&lt;"&amp;$E$8,Journals!$J$9:$J$1005679,"accrued bsec fee")-SUMIFS(Journals!$K$9:$K$1005679,Journals!$D$9:$D$1005679,"&gt;"&amp;$E$7,Journals!$D$9:$D$1005679,"&lt;"&amp;$E$8,Journals!$J$9:$J$1005679,"accrued bsec fee"))</f>
        <v>0</v>
      </c>
      <c r="J13" s="37"/>
      <c r="K13" s="37">
        <f>SUMIFS(Journals!$L$9:$L$1005679,Journals!$D$9:$D$1005679,"&lt;"&amp;$F$7,Journals!$J$9:$J$1005679,"accrued bsec fee")-SUMIFS(Journals!$K$9:$K$1005679,Journals!$D$9:$D$1005679,"&lt;"&amp;$F$7,Journals!$J$9:$J$1005679,"accrued bsec fee")</f>
        <v>0</v>
      </c>
      <c r="L13" s="56"/>
      <c r="M13" s="56">
        <f t="shared" si="0"/>
        <v>0</v>
      </c>
      <c r="N13" s="38"/>
      <c r="O13" s="38"/>
      <c r="Q13" s="3"/>
      <c r="R13" s="3"/>
      <c r="S13" s="26"/>
    </row>
    <row r="14" spans="1:19" x14ac:dyDescent="0.25">
      <c r="G14" s="31" t="str">
        <f>'Chart of Accounts'!B10</f>
        <v>Accrued Audit Fee</v>
      </c>
      <c r="H14" s="34">
        <f>MAX(0,SUMIFS(Journals!$K$9:$K$1005679,Journals!$D$9:$D$1005679,"&gt;"&amp;$E$7,Journals!$D$9:$D$1005679,"&lt;"&amp;$E$8,Journals!$J$9:$J$1005679,"accrued audit fee")-SUMIFS(Journals!$L$9:$L$1005679,Journals!$D$9:$D$1005679,"&gt;"&amp;$E$7,Journals!$D$9:$D$1005679,"&lt;"&amp;$E$8,Journals!$J$9:$J$1005679,"accrued audit fee"))</f>
        <v>0</v>
      </c>
      <c r="I14" s="106">
        <f>MAX(0,SUMIFS(Journals!$L$9:$L$1005679,Journals!$D$9:$D$1005679,"&gt;"&amp;$E$7,Journals!$D$9:$D$1005679,"&lt;"&amp;$E$8,Journals!$J$9:$J$1005679,"accrued audit fee")-SUMIFS(Journals!$K$9:$K$1005679,Journals!$D$9:$D$1005679,"&gt;"&amp;$E$7,Journals!$D$9:$D$1005679,"&lt;"&amp;$E$8,Journals!$J$9:$J$1005679,"accrued audit fee"))</f>
        <v>17250</v>
      </c>
      <c r="J14" s="37"/>
      <c r="K14" s="37">
        <f>SUMIFS(Journals!$L$9:$L$1005679,Journals!$D$9:$D$1005679,"&lt;"&amp;$F$7,Journals!$J$9:$J$1005679,"accrued audit fee")-SUMIFS(Journals!$K$9:$K$1005679,Journals!$D$9:$D$1005679,"&lt;"&amp;$F$7,Journals!$J$9:$J$1005679,"accrued audit fee")</f>
        <v>40250</v>
      </c>
      <c r="L14" s="56"/>
      <c r="M14" s="56">
        <f t="shared" si="0"/>
        <v>57500</v>
      </c>
      <c r="N14" s="38"/>
      <c r="O14" s="38"/>
      <c r="Q14" s="3"/>
      <c r="R14" s="3"/>
      <c r="S14" s="26"/>
    </row>
    <row r="15" spans="1:19" x14ac:dyDescent="0.25">
      <c r="G15" s="31" t="str">
        <f>'Chart of Accounts'!B11</f>
        <v>Accrued CDBL Fee</v>
      </c>
      <c r="H15" s="34">
        <f>MAX(0,SUMIFS(Journals!$K$9:$K$1005679,Journals!$D$9:$D$1005679,"&gt;"&amp;$E$7,Journals!$D$9:$D$1005679,"&lt;"&amp;$E$8,Journals!$J$9:$J$1005679,"accrued CDBL fee")-SUMIFS(Journals!$L$9:$L$1005679,Journals!$D$9:$D$1005679,"&gt;"&amp;$E$7,Journals!$D$9:$D$1005679,"&lt;"&amp;$E$8,Journals!$J$9:$J$1005679,"accrued CDBL fee"))</f>
        <v>0</v>
      </c>
      <c r="I15" s="106">
        <f>MAX(0,SUMIFS(Journals!$L$9:$L$1005679,Journals!$D$9:$D$1005679,"&gt;"&amp;$E$7,Journals!$D$9:$D$1005679,"&lt;"&amp;$E$8,Journals!$J$9:$J$1005679,"accrued CDBL fee")-SUMIFS(Journals!$K$9:$K$1005679,Journals!$D$9:$D$1005679,"&gt;"&amp;$E$7,Journals!$D$9:$D$1005679,"&lt;"&amp;$E$8,Journals!$J$9:$J$1005679,"accrued CDBL fee"))</f>
        <v>0</v>
      </c>
      <c r="J15" s="37"/>
      <c r="K15" s="37">
        <f>SUMIFS(Journals!$L$9:$L$1005679,Journals!$D$9:$D$1005679,"&lt;"&amp;$F$7,Journals!$J$9:$J$1005679,"accrued cdbl fee")-SUMIFS(Journals!$K$9:$K$1005679,Journals!$D$9:$D$1005679,"&lt;"&amp;$F$7,Journals!$J$9:$J$1005679,"accrued cdbl fee")</f>
        <v>0</v>
      </c>
      <c r="L15" s="56"/>
      <c r="M15" s="56">
        <f t="shared" si="0"/>
        <v>0</v>
      </c>
      <c r="N15" s="38"/>
      <c r="O15" s="38"/>
      <c r="R15" s="5"/>
      <c r="S15" s="26"/>
    </row>
    <row r="16" spans="1:19" x14ac:dyDescent="0.25">
      <c r="G16" s="31" t="str">
        <f>'Chart of Accounts'!B12</f>
        <v>Fixed Deposit Receipts (FDR)</v>
      </c>
      <c r="H16" s="34">
        <f>MAX(0,SUMIFS(Journals!$K$9:$K$1005679,Journals!$D$9:$D$1005679,"&gt;"&amp;$E$7,Journals!$D$9:$D$1005679,"&lt;"&amp;$E$8,Journals!$J$9:$J$1005679,"Fixed Deposit Receipts (FDR)")-SUMIFS(Journals!$L$9:$L$1005679,Journals!$D$9:$D$1005679,"&gt;"&amp;$E$7,Journals!$D$9:$D$1005679,"&lt;"&amp;$E$8,Journals!$J$9:$J$1005679,"Fixed Deposit Receipts (FDR)"))</f>
        <v>0</v>
      </c>
      <c r="I16" s="106">
        <f>MAX(0,SUMIFS(Journals!$L$9:$L$1005679,Journals!$D$9:$D$1005679,"&gt;"&amp;$E$7,Journals!$D$9:$D$1005679,"&lt;"&amp;$E$8,Journals!$J$9:$J$1005679,"Fixed Deposit Receipts (FDR)")-SUMIFS(Journals!$K$9:$K$1005679,Journals!$D$9:$D$1005679,"&gt;"&amp;$E$7,Journals!$D$9:$D$1005679,"&lt;"&amp;$E$8,Journals!$J$9:$J$1005679,"Fixed Deposit Receipts (FDR)"))</f>
        <v>2060500</v>
      </c>
      <c r="J16" s="37">
        <f>SUMIFS(Journals!$K$9:$K$1005679,Journals!$D$9:$D$1005679,"&lt;"&amp;$F$7,Journals!$J$9:$J$1005679,"Fixed Deposit Receipts (FDR)")-SUMIFS(Journals!$L$9:$L$1005679,Journals!$D$9:$D$1005679,"&lt;"&amp;$F$7,Journals!$J$9:$J$1005679,"Fixed Deposit Receipts (FDR)")</f>
        <v>15060500.007044792</v>
      </c>
      <c r="K16" s="37"/>
      <c r="L16" s="56">
        <f>J16+H16-I16</f>
        <v>13000000.007044792</v>
      </c>
      <c r="M16" s="56"/>
      <c r="N16" s="38"/>
      <c r="O16" s="38"/>
      <c r="R16" s="5"/>
      <c r="S16" s="26"/>
    </row>
    <row r="17" spans="2:21" x14ac:dyDescent="0.25">
      <c r="D17" s="5"/>
      <c r="G17" s="31" t="str">
        <f>'Chart of Accounts'!B13</f>
        <v>Cash and cash equivalents</v>
      </c>
      <c r="H17" s="34">
        <f>MAX(0,SUMIFS(Journals!$K$9:$K$1005679,Journals!$D$9:$D$1005679,"&gt;"&amp;$E$7,Journals!$D$9:$D$1005679,"&lt;"&amp;$E$8,Journals!$J$9:$J$1005679,"Cash and cash equivalents")-SUMIFS(Journals!$L$9:$L$1005679,Journals!$D$9:$D$1005679,"&gt;"&amp;$E$7,Journals!$D$9:$D$1005679,"&lt;"&amp;$E$8,Journals!$J$9:$J$1005679,"Cash and cash equivalents"))</f>
        <v>0</v>
      </c>
      <c r="I17" s="106">
        <f>MAX(0,SUMIFS(Journals!$L$9:$L$1005679,Journals!$D$9:$D$1005679,"&gt;"&amp;$E$7,Journals!$D$9:$D$1005679,"&lt;"&amp;$E$8,Journals!$J$9:$J$1005679,"Cash and cash equivalents")-SUMIFS(Journals!$K$9:$K$1005679,Journals!$D$9:$D$1005679,"&gt;"&amp;$E$7,Journals!$D$9:$D$1005679,"&lt;"&amp;$E$8,Journals!$J$9:$J$1005679,"Cash and cash equivalents"))</f>
        <v>33907914.249101639</v>
      </c>
      <c r="J17" s="37">
        <f>SUMIFS(Journals!$K$9:$K$1005679,Journals!$D$9:$D$1005679,"&lt;"&amp;$F$7,Journals!$J$9:$J$1005679,"Cash and cash equivalents")-SUMIFS(Journals!$L$9:$L$1005679,Journals!$D$9:$D$1005679,"&lt;"&amp;$F$7,Journals!$J$9:$J$1005679,"Cash and cash equivalents")</f>
        <v>34420156.329200625</v>
      </c>
      <c r="K17" s="37"/>
      <c r="L17" s="56">
        <f>J17+H17-I17</f>
        <v>512242.08009898663</v>
      </c>
      <c r="M17" s="56"/>
      <c r="N17" s="38"/>
      <c r="O17" s="38"/>
      <c r="R17" s="5"/>
      <c r="S17" s="26"/>
    </row>
    <row r="18" spans="2:21" x14ac:dyDescent="0.25">
      <c r="G18" s="31" t="str">
        <f>'Chart of Accounts'!B14</f>
        <v>Unit Capital</v>
      </c>
      <c r="H18" s="34">
        <f>MAX(0,SUMIFS(Journals!$K$9:$K$1005679,Journals!$D$9:$D$1005679,"&gt;"&amp;$E$7,Journals!$D$9:$D$1005679,"&lt;"&amp;$E$8,Journals!$J$9:$J$1005679,"unit capital"))</f>
        <v>12592430</v>
      </c>
      <c r="I18" s="106">
        <f>MAX(0,SUMIFS(Journals!$L$9:$L$1005679,Journals!$D$9:$D$1005679,"&gt;"&amp;$E$7,Journals!$D$9:$D$1005679,"&lt;"&amp;$E$8,Journals!$J$9:$J$1005679,"unit capital"))</f>
        <v>40652580</v>
      </c>
      <c r="J18" s="37"/>
      <c r="K18" s="37">
        <f>SUMIFS(Journals!$L$9:$L$1005679,Journals!$D$9:$D$1005679,"&lt;"&amp;$F$7,Journals!$J$9:$J$1005679,"unit capital")-SUMIFS(Journals!$K$9:$K$1005679,Journals!$D$9:$D$1005679,"&lt;"&amp;$F$7,Journals!$J$9:$J$1005679,"unit capital")</f>
        <v>160875820</v>
      </c>
      <c r="L18" s="56"/>
      <c r="M18" s="56">
        <f t="shared" si="0"/>
        <v>188935970</v>
      </c>
      <c r="N18" s="38"/>
      <c r="O18" s="38"/>
      <c r="R18" s="5"/>
      <c r="S18" s="26"/>
    </row>
    <row r="19" spans="2:21" ht="14.4" x14ac:dyDescent="0.3">
      <c r="B19"/>
      <c r="G19" s="31" t="str">
        <f>'Chart of Accounts'!B15</f>
        <v>Unit premium reserve</v>
      </c>
      <c r="H19" s="34">
        <f>MAX(0,SUMIFS(Journals!$K$9:$K$1005679,Journals!$D$9:$D$1005679,"&gt;"&amp;$E$7,Journals!$D$9:$D$1005679,"&lt;"&amp;$E$8,Journals!$J$9:$J$1005679,"Unit premium reserve"))</f>
        <v>2008403.9799999997</v>
      </c>
      <c r="I19" s="106">
        <f>MAX(0,SUMIFS(Journals!$L$9:$L$1005679,Journals!$D$9:$D$1005679,"&gt;"&amp;$E$7,Journals!$D$9:$D$1005679,"&lt;"&amp;$E$8,Journals!$J$9:$J$1005679,"unit premium reserve"))</f>
        <v>7019419.9199999999</v>
      </c>
      <c r="J19" s="37"/>
      <c r="K19" s="37">
        <f>SUMIFS(Journals!$L$9:$L$1005679,Journals!$D$9:$D$1005679,"&lt;"&amp;$F$7,Journals!$J$9:$J$1005679,"unit premium reserve")-SUMIFS(Journals!$K$9:$K$1005679,Journals!$D$9:$D$1005679,"&lt;"&amp;$F$7,Journals!$J$9:$J$1005679,"unit premium reserve")</f>
        <v>-2507109.6699999995</v>
      </c>
      <c r="L19" s="56"/>
      <c r="M19" s="56">
        <f t="shared" si="0"/>
        <v>2503906.2700000005</v>
      </c>
      <c r="N19" s="38"/>
      <c r="O19" s="38"/>
      <c r="R19" s="5"/>
      <c r="S19" s="26"/>
    </row>
    <row r="20" spans="2:21" ht="14.4" x14ac:dyDescent="0.3">
      <c r="B20"/>
      <c r="G20" s="31" t="str">
        <f>'Chart of Accounts'!B16</f>
        <v>Interest income</v>
      </c>
      <c r="H20" s="34">
        <f>MAX(0,SUMIFS(Journals!$K$9:$K$1001598,Journals!$D$9:$D$1001598,"&gt;"&amp;$E$7,Journals!$D$9:$D$1001598,"&lt;"&amp;$E$8,Journals!$J$9:$J$1001598,"interest income")-SUMIFS(Journals!$L$9:$L$1001598,Journals!$D$9:$D$1001598,"&gt;"&amp;$E$7,Journals!$D$9:$D$1001598,"&lt;"&amp;$E$8,Journals!$J$9:$J$1001598,"interest income"))</f>
        <v>0</v>
      </c>
      <c r="I20" s="106">
        <f>MAX(0,SUMIFS(Journals!$L$9:$L$1001598,Journals!$D$9:$D$1001598,"&gt;"&amp;$E$7,Journals!$D$9:$D$1001598,"&lt;"&amp;$E$8,Journals!$J$9:$J$1001598,"interest income")-SUMIFS(Journals!$K$9:$K$1001598,Journals!$D$9:$D$1001598,"&gt;"&amp;$E$7,Journals!$D$9:$D$1001598,"&lt;"&amp;$E$8,Journals!$J$9:$J$1001598,"interest income"))</f>
        <v>2854862.0358814783</v>
      </c>
      <c r="J20" s="37"/>
      <c r="K20" s="37"/>
      <c r="L20" s="56"/>
      <c r="M20" s="56"/>
      <c r="N20" s="38"/>
      <c r="O20" s="38">
        <f>SUMIFS(Journals!$L$9:$L$1005679,Journals!$D$9:$D$1005679,"&lt;"&amp;$F$7,Journals!$J$9:$J$1005679,"interest income")-SUMIFS(Journals!$K$9:$K$1005679,Journals!$D$9:$D$1005679,"&lt;"&amp;$F$7,Journals!$J$9:$J$1005679,"interest income")</f>
        <v>19089964.39836359</v>
      </c>
      <c r="Q20" s="3"/>
      <c r="R20" s="3"/>
      <c r="S20" s="26"/>
      <c r="T20" s="5"/>
      <c r="U20" s="5"/>
    </row>
    <row r="21" spans="2:21" ht="14.4" x14ac:dyDescent="0.3">
      <c r="B21"/>
      <c r="G21" s="31" t="s">
        <v>1469</v>
      </c>
      <c r="H21" s="34">
        <f>MAX(0,SUMIFS(Journals!$K$9:$K$1005679,Journals!$D$9:$D$1005679,"&gt;"&amp;$E$7,Journals!$D$9:$D$1005679,"&lt;"&amp;$E$8,Journals!$J$9:$J$1005679,"Interest Income from FDR")-SUMIFS(Journals!$L$9:$L$1005679,Journals!$D$9:$D$1005679,"&gt;"&amp;$E$7,Journals!$D$9:$D$1005679,"&lt;"&amp;$E$8,Journals!$J$9:$J$1005679,"Interest Income from FDR"))</f>
        <v>0</v>
      </c>
      <c r="I21" s="106">
        <f>MAX(0,SUMIFS(Journals!$L$9:$L$1005679,Journals!$D$9:$D$1005679,"&gt;"&amp;$E$7,Journals!$D$9:$D$1005679,"&lt;"&amp;$E$8,Journals!$J$9:$J$1005679,"Interest Income from FDR")-SUMIFS(Journals!$K$9:$K$1005679,Journals!$D$9:$D$1005679,"&gt;"&amp;$E$7,Journals!$D$9:$D$1005679,"&lt;"&amp;$E$8,Journals!$J$9:$J$1005679,"Interest Income from FDR"))</f>
        <v>0</v>
      </c>
      <c r="J21" s="37"/>
      <c r="K21" s="37"/>
      <c r="L21" s="56"/>
      <c r="M21" s="56"/>
      <c r="N21" s="38"/>
      <c r="O21" s="38">
        <f>SUMIFS(Journals!$L$9:$L$1005679,Journals!$D$9:$D$1005679,"&lt;"&amp;$F$7,Journals!$J$9:$J$1005679,"Interest Income from FDR")-SUMIFS(Journals!$K$9:$K$1005679,Journals!$D$9:$D$1005679,"&lt;"&amp;$F$7,Journals!$J$9:$J$1005679,"Interest Income from FDR")</f>
        <v>0</v>
      </c>
      <c r="Q21" s="3"/>
      <c r="R21" s="3"/>
      <c r="S21" s="26"/>
      <c r="T21" s="5"/>
      <c r="U21" s="5"/>
    </row>
    <row r="22" spans="2:21" ht="14.4" x14ac:dyDescent="0.3">
      <c r="B22"/>
      <c r="G22" s="31" t="s">
        <v>1955</v>
      </c>
      <c r="H22" s="34">
        <f>MAX(0,SUMIFS(Journals!$K$9:$K$1005679,Journals!$D$9:$D$1005679,"&gt;"&amp;$E$7,Journals!$D$9:$D$1005679,"&lt;"&amp;$E$8,Journals!$J$9:$J$1005679,"Interest Income from Renata Pre. Share")-SUMIFS(Journals!$L$9:$L$1005679,Journals!$D$9:$D$1005679,"&gt;"&amp;$E$7,Journals!$D$9:$D$1005679,"&lt;"&amp;$E$8,Journals!$J$9:$J$1005679,"Interest Income from Renata Pre. Share"))</f>
        <v>0</v>
      </c>
      <c r="I22" s="106">
        <f>MAX(0,SUMIFS(Journals!$L$9:$L$1005679,Journals!$D$9:$D$1005679,"&gt;"&amp;$E$7,Journals!$D$9:$D$1005679,"&lt;"&amp;$E$8,Journals!$J$9:$J$1005679,"Interest Income from Renata Pre. Share")-SUMIFS(Journals!$K$9:$K$1005679,Journals!$D$9:$D$1005679,"&gt;"&amp;$E$7,Journals!$D$9:$D$1005679,"&lt;"&amp;$E$8,Journals!$J$9:$J$1005679,"Interest Income from Renata Pre. Share"))</f>
        <v>402053.57142857125</v>
      </c>
      <c r="J22" s="37"/>
      <c r="K22" s="37"/>
      <c r="L22" s="56"/>
      <c r="M22" s="56"/>
      <c r="N22" s="38"/>
      <c r="O22" s="38">
        <f>SUMIFS(Journals!$L$9:$L$1005679,Journals!$D$9:$D$1005679,"&lt;"&amp;$F$7,Journals!$J$9:$J$1005679,"Interest Income from Renata Pre. Share")-SUMIFS(Journals!$K$9:$K$1005679,Journals!$D$9:$D$1005679,"&lt;"&amp;$F$7,Journals!$J$9:$J$1005679,"Interest Income from Renata Pre. Share")</f>
        <v>0</v>
      </c>
      <c r="Q22" s="3"/>
      <c r="R22" s="3"/>
      <c r="S22" s="26"/>
      <c r="T22" s="5"/>
      <c r="U22" s="5"/>
    </row>
    <row r="23" spans="2:21" ht="14.4" x14ac:dyDescent="0.3">
      <c r="B23"/>
      <c r="G23" s="31" t="s">
        <v>1974</v>
      </c>
      <c r="H23" s="34">
        <f>MAX(0,SUMIFS(Journals!$K$9:$K$1005679,Journals!$D$9:$D$1005679,"&gt;"&amp;$E$7,Journals!$D$9:$D$1005679,"&lt;"&amp;$E$8,Journals!$J$9:$J$1005679,"Interest Income from Bank Acc")-SUMIFS(Journals!$L$9:$L$1005679,Journals!$D$9:$D$1005679,"&gt;"&amp;$E$7,Journals!$D$9:$D$1005679,"&lt;"&amp;$E$8,Journals!$J$9:$J$1005679,"Interest Income from Bank Acc"))</f>
        <v>0</v>
      </c>
      <c r="I23" s="106">
        <f>MAX(0,SUMIFS(Journals!$L$9:$L$1005679,Journals!$D$9:$D$1005679,"&gt;"&amp;$E$7,Journals!$D$9:$D$1005679,"&lt;"&amp;$E$8,Journals!$J$9:$J$1005679,"Interest Income from Bank Acc")-SUMIFS(Journals!$K$9:$K$1005679,Journals!$D$9:$D$1005679,"&gt;"&amp;$E$7,Journals!$D$9:$D$1005679,"&lt;"&amp;$E$8,Journals!$J$9:$J$1005679,"Interest Income from Bank Acc"))</f>
        <v>0</v>
      </c>
      <c r="J23" s="37"/>
      <c r="K23" s="37"/>
      <c r="L23" s="56"/>
      <c r="M23" s="56"/>
      <c r="N23" s="38"/>
      <c r="O23" s="38">
        <f>SUMIFS(Journals!$L$9:$L$1005679,Journals!$D$9:$D$1005679,"&lt;"&amp;$F$7,Journals!$J$9:$J$1005679,"Interest Income from Bank Acc")-SUMIFS(Journals!$K$9:$K$1005679,Journals!$D$9:$D$1005679,"&lt;"&amp;$F$7,Journals!$J$9:$J$1005679,"Interest Income from Bank Acc")</f>
        <v>0</v>
      </c>
      <c r="Q23" s="3"/>
      <c r="R23" s="3"/>
      <c r="S23" s="26"/>
      <c r="T23" s="5"/>
      <c r="U23" s="5"/>
    </row>
    <row r="24" spans="2:21" ht="14.4" x14ac:dyDescent="0.3">
      <c r="B24"/>
      <c r="G24" s="31" t="s">
        <v>1468</v>
      </c>
      <c r="H24" s="34">
        <f>MAX(0,SUMIFS(Journals!$K$9:$K$1005679,Journals!$D$9:$D$1005679,"&gt;"&amp;$E$7,Journals!$D$9:$D$1005679,"&lt;"&amp;$E$8,Journals!$J$9:$J$1005679,"Interest Income from T-Bill")-SUMIFS(Journals!$L$9:$L$1005679,Journals!$D$9:$D$1005679,"&gt;"&amp;$E$7,Journals!$D$9:$D$1005679,"&lt;"&amp;$E$8,Journals!$J$9:$J$1005679,"Interest Income from T-Bill"))</f>
        <v>0</v>
      </c>
      <c r="I24" s="106">
        <f>MAX(0,SUMIFS(Journals!$L$9:$L$1005679,Journals!$D$9:$D$1005679,"&gt;"&amp;$E$7,Journals!$D$9:$D$1005679,"&lt;"&amp;$E$8,Journals!$J$9:$J$1005679,"Interest Income from T-Bill")-SUMIFS(Journals!$K$9:$K$1005679,Journals!$D$9:$D$1005679,"&gt;"&amp;$E$7,Journals!$D$9:$D$1005679,"&lt;"&amp;$E$8,Journals!$J$9:$J$1005679,"Interest Income from T-Bill"))</f>
        <v>0</v>
      </c>
      <c r="J24" s="37"/>
      <c r="K24" s="37"/>
      <c r="L24" s="56"/>
      <c r="M24" s="56"/>
      <c r="N24" s="38"/>
      <c r="O24" s="38">
        <f>SUMIFS(Journals!$L$9:$L$1005679,Journals!$D$9:$D$1005679,"&lt;"&amp;$F$7,Journals!$J$9:$J$1005679,"Interest Income from T-Bill")-SUMIFS(Journals!$K$9:$K$1005679,Journals!$D$9:$D$1005679,"&lt;"&amp;$F$7,Journals!$J$9:$J$1005679,"Interest Income from T-Bill")</f>
        <v>0</v>
      </c>
      <c r="Q24" s="3"/>
      <c r="R24" s="3"/>
      <c r="S24" s="26"/>
      <c r="T24" s="5"/>
      <c r="U24" s="5"/>
    </row>
    <row r="25" spans="2:21" ht="14.4" x14ac:dyDescent="0.3">
      <c r="B25"/>
      <c r="G25" s="31" t="s">
        <v>1616</v>
      </c>
      <c r="H25" s="34">
        <f>MAX(0,SUMIFS(Journals!$K$9:$K$1005679,Journals!$D$9:$D$1005679,"&gt;"&amp;$E$7,Journals!$D$9:$D$1005679,"&lt;"&amp;$E$8,Journals!$J$9:$J$1005679,"Interest Income from T-Bond")-SUMIFS(Journals!$L$9:$L$1005679,Journals!$D$9:$D$1005679,"&gt;"&amp;$E$7,Journals!$D$9:$D$1005679,"&lt;"&amp;$E$8,Journals!$J$9:$J$1005679,"Interest Income from T-Bond"))</f>
        <v>0</v>
      </c>
      <c r="I25" s="106">
        <f>MAX(0,SUMIFS(Journals!$L$9:$L$1005679,Journals!$D$9:$D$1005679,"&gt;"&amp;$E$7,Journals!$D$9:$D$1005679,"&lt;"&amp;$E$8,Journals!$J$9:$J$1005679,"Interest Income from T-Bond")-SUMIFS(Journals!$K$9:$K$1005679,Journals!$D$9:$D$1005679,"&gt;"&amp;$E$7,Journals!$D$9:$D$1005679,"&lt;"&amp;$E$8,Journals!$J$9:$J$1005679,"Interest Income from T-Bond"))</f>
        <v>1841200</v>
      </c>
      <c r="J25" s="37"/>
      <c r="K25" s="37"/>
      <c r="L25" s="56"/>
      <c r="M25" s="56"/>
      <c r="N25" s="38"/>
      <c r="O25" s="38">
        <f>SUMIFS(Journals!$L$9:$L$1005679,Journals!$D$9:$D$1005679,"&lt;"&amp;$F$7,Journals!$J$9:$J$1005679,"Interest Income from T-Bond")-SUMIFS(Journals!$K$9:$K$1005679,Journals!$D$9:$D$1005679,"&lt;"&amp;$F$7,Journals!$J$9:$J$1005679,"Interest Income from T-Bond")</f>
        <v>0</v>
      </c>
      <c r="Q25" s="3"/>
      <c r="R25" s="3"/>
      <c r="S25" s="26"/>
      <c r="T25" s="5"/>
      <c r="U25" s="5"/>
    </row>
    <row r="26" spans="2:21" x14ac:dyDescent="0.25">
      <c r="G26" s="31" t="str">
        <f>'Chart of Accounts'!B17</f>
        <v>Bank charges and excise duties</v>
      </c>
      <c r="H26" s="34">
        <f>MAX(0,SUMIFS(Journals!$K$9:$K$1005679,Journals!$D$9:$D$1005679,"&gt;"&amp;$E$7,Journals!$D$9:$D$1005679,"&lt;"&amp;$E$8,Journals!$J$9:$J$1005679,"Bank charges and excise duties")-SUMIFS(Journals!$L$9:$L$1005679,Journals!$D$9:$D$1005679,"&gt;"&amp;$E$7,Journals!$D$9:$D$1005679,"&lt;"&amp;$E$8,Journals!$J$9:$J$1005679,"Bank charges and excise duties"))</f>
        <v>86441.061526660036</v>
      </c>
      <c r="I26" s="106">
        <f>MAX(0,SUMIFS(Journals!$L$9:$L$1005679,Journals!$D$9:$D$1005679,"&gt;"&amp;$E$7,Journals!$D$9:$D$1005679,"&lt;"&amp;$E$8,Journals!$J$9:$J$1005679,"Bank charges and excise duties")-SUMIFS(Journals!$K$9:$K$1005679,Journals!$D$9:$D$1005679,"&gt;"&amp;$E$7,Journals!$D$9:$D$1005679,"&lt;"&amp;$E$8,Journals!$J$9:$J$1005679,"Bank charges and excise duties"))</f>
        <v>0</v>
      </c>
      <c r="J26" s="37"/>
      <c r="K26" s="37"/>
      <c r="L26" s="56"/>
      <c r="M26" s="56"/>
      <c r="N26" s="38">
        <f>SUMIFS(Journals!$K$9:$K$1005679,Journals!$D$9:$D$1005679,"&lt;"&amp;$F$7,Journals!$J$9:$J$1005679,"Bank charges and excise duties")-SUMIFS(Journals!$L$9:$L$1005679,Journals!$D$9:$D$1005679,"&lt;"&amp;$F$7,Journals!$J$9:$J$1005679,"Bank charges and excise duties")</f>
        <v>615801.69499992067</v>
      </c>
      <c r="O26" s="38"/>
      <c r="Q26" s="3"/>
      <c r="R26" s="3"/>
      <c r="S26" s="26"/>
      <c r="T26" s="5"/>
      <c r="U26" s="5"/>
    </row>
    <row r="27" spans="2:21" x14ac:dyDescent="0.25">
      <c r="G27" s="31" t="str">
        <f>'Chart of Accounts'!B18</f>
        <v>Brokerage commission</v>
      </c>
      <c r="H27" s="34">
        <f>MAX(0,SUMIFS(Journals!$K$9:$K$1005679,Journals!$D$9:$D$1005679,"&gt;"&amp;$E$7,Journals!$D$9:$D$1005679,"&lt;"&amp;$E$8,Journals!$J$9:$J$1005679,"brokerage commission")-SUMIFS(Journals!$L$9:$L$1005679,Journals!$D$9:$D$1005679,"&gt;"&amp;$E$7,Journals!$D$9:$D$1005679,"&lt;"&amp;$E$8,Journals!$J$9:$J$1005679,"brokerage commission"))</f>
        <v>978116.70350159099</v>
      </c>
      <c r="I27" s="106">
        <f>MAX(0,SUMIFS(Journals!$L$9:$L$1005679,Journals!$D$9:$D$1005679,"&gt;"&amp;$E$7,Journals!$D$9:$D$1005679,"&lt;"&amp;$E$8,Journals!$J$9:$J$1005679,"brokerage commission")-SUMIFS(Journals!$K$9:$K$1005679,Journals!$D$9:$D$1005679,"&gt;"&amp;$E$7,Journals!$D$9:$D$1005679,"&lt;"&amp;$E$8,Journals!$J$9:$J$1005679,"brokerage commission"))</f>
        <v>0</v>
      </c>
      <c r="J27" s="37"/>
      <c r="K27" s="37"/>
      <c r="L27" s="56"/>
      <c r="M27" s="56"/>
      <c r="N27" s="38">
        <f>SUMIFS(Journals!$K$9:$K$1005679,Journals!$D$9:$D$1005679,"&lt;"&amp;$F$7,Journals!$J$9:$J$1005679,"brokerage commission")-SUMIFS(Journals!$L$9:$L$1005679,Journals!$D$9:$D$1005679,"&lt;"&amp;$F$7,Journals!$J$9:$J$1005679,"brokerage commission")</f>
        <v>1013759.0546025588</v>
      </c>
      <c r="O27" s="38"/>
      <c r="Q27" s="3"/>
      <c r="R27" s="3"/>
      <c r="S27" s="26"/>
      <c r="T27" s="5"/>
      <c r="U27" s="5"/>
    </row>
    <row r="28" spans="2:21" x14ac:dyDescent="0.25">
      <c r="D28" s="26"/>
      <c r="G28" s="31" t="str">
        <f>'Chart of Accounts'!B19</f>
        <v>Unrealized gain on securities</v>
      </c>
      <c r="H28" s="34">
        <f>MAX(0,SUMIFS(Journals!$K$9:$K$1005679,Journals!$D$9:$D$1005679,"&gt;"&amp;$E$7,Journals!$D$9:$D$1005679,"&lt;"&amp;$E$8,Journals!$J$9:$J$1005679,"Unrealized gain on securities")-SUMIFS(Journals!$L$9:$L$1005679,Journals!$D$9:$D$1005679,"&gt;"&amp;$E$7,Journals!$D$9:$D$1005679,"&lt;"&amp;$E$8,Journals!$J$9:$J$1005679,"Unrealized gain on securities"))</f>
        <v>0</v>
      </c>
      <c r="I28" s="106">
        <f>MAX(0,SUMIFS(Journals!$L$9:$L$1005679,Journals!$D$9:$D$1005679,"&gt;"&amp;$E$7,Journals!$D$9:$D$1005679,"&lt;"&amp;$E$8,Journals!$J$9:$J$1005679,"Unrealized gain on securities")-SUMIFS(Journals!$K$9:$K$1005679,Journals!$D$9:$D$1005679,"&gt;"&amp;$E$7,Journals!$D$9:$D$1005679,"&lt;"&amp;$E$8,Journals!$J$9:$J$1005679,"Unrealized gain on securities"))</f>
        <v>4306713.3699999154</v>
      </c>
      <c r="J28" s="37"/>
      <c r="K28" s="37"/>
      <c r="L28" s="56"/>
      <c r="M28" s="56"/>
      <c r="N28" s="38"/>
      <c r="O28" s="38">
        <f>SUMIFS(Journals!$L$9:$L$1005679,Journals!$D$9:$D$1005679,"&lt;"&amp;$F$7,Journals!$J$9:$J$1005679,"unrealized gain on securities")-SUMIFS(Journals!$K$9:$K$1005679,Journals!$D$9:$D$1005679,"&lt;"&amp;$F$7,Journals!$J$9:$J$1005679,"unrealized gain on securities")</f>
        <v>2616099.2199999914</v>
      </c>
      <c r="Q28" s="3"/>
      <c r="R28" s="3"/>
      <c r="S28" s="26"/>
      <c r="T28" s="5"/>
      <c r="U28" s="5"/>
    </row>
    <row r="29" spans="2:21" x14ac:dyDescent="0.25">
      <c r="D29" s="26"/>
      <c r="G29" s="31" t="s">
        <v>1613</v>
      </c>
      <c r="H29" s="34">
        <f>MAX(0,SUMIFS(Journals!$K$9:$K$1005679,Journals!$D$9:$D$1005679,"&gt;"&amp;$E$7,Journals!$D$9:$D$1005679,"&lt;"&amp;$E$8,Journals!$J$9:$J$1005679,"Unrealized gain on T-Bill")-SUMIFS(Journals!$L$9:$L$1005679,Journals!$D$9:$D$1005679,"&gt;"&amp;$E$7,Journals!$D$9:$D$1005679,"&lt;"&amp;$E$8,Journals!$J$9:$J$1005679,"Unrealized gain on T-Bill"))</f>
        <v>0</v>
      </c>
      <c r="I29" s="106">
        <f>MAX(0,SUMIFS(Journals!$L$9:$L$1005679,Journals!$D$9:$D$1005679,"&gt;"&amp;$E$7,Journals!$D$9:$D$1005679,"&lt;"&amp;$E$8,Journals!$J$9:$J$1005679,"Unrealized gain on T-Bill")-SUMIFS(Journals!$K$9:$K$1005679,Journals!$D$9:$D$1005679,"&gt;"&amp;$E$7,Journals!$D$9:$D$1005679,"&lt;"&amp;$E$8,Journals!$J$9:$J$1005679,"Unrealized gain on T-Bill"))</f>
        <v>0</v>
      </c>
      <c r="J29" s="37"/>
      <c r="K29" s="37"/>
      <c r="L29" s="56"/>
      <c r="M29" s="56"/>
      <c r="N29" s="38"/>
      <c r="O29" s="38">
        <f>SUMIFS(Journals!$L$9:$L$1005679,Journals!$D$9:$D$1005679,"&lt;"&amp;$F$7,Journals!$J$9:$J$1005679,"Unrealized gain on T-Bill")-SUMIFS(Journals!$K$9:$K$1005679,Journals!$D$9:$D$1005679,"&lt;"&amp;$F$7,Journals!$J$9:$J$1005679,"Unrealized gain on T-Bill")</f>
        <v>0</v>
      </c>
      <c r="Q29" s="3"/>
      <c r="R29" s="3"/>
      <c r="S29" s="26"/>
      <c r="T29" s="5"/>
      <c r="U29" s="5"/>
    </row>
    <row r="30" spans="2:21" x14ac:dyDescent="0.25">
      <c r="D30" s="26"/>
      <c r="G30" s="31" t="s">
        <v>1614</v>
      </c>
      <c r="H30" s="34">
        <f>MAX(0,SUMIFS(Journals!$K$9:$K$1005679,Journals!$D$9:$D$1005679,"&gt;"&amp;$E$7,Journals!$D$9:$D$1005679,"&lt;"&amp;$E$8,Journals!$J$9:$J$1005679,"Unrealized gain on T-Bond")-SUMIFS(Journals!$L$9:$L$1005679,Journals!$D$9:$D$1005679,"&gt;"&amp;$E$7,Journals!$D$9:$D$1005679,"&lt;"&amp;$E$8,Journals!$J$9:$J$1005679,"Unrealized gain on T-Bond"))</f>
        <v>178264.58705884591</v>
      </c>
      <c r="I30" s="106">
        <f>MAX(0,SUMIFS(Journals!$L$9:$L$1005679,Journals!$D$9:$D$1005679,"&gt;"&amp;$E$7,Journals!$D$9:$D$1005679,"&lt;"&amp;$E$8,Journals!$J$9:$J$1005679,"Unrealized gain on T-Bond")-SUMIFS(Journals!$K$9:$K$1005679,Journals!$D$9:$D$1005679,"&gt;"&amp;$E$7,Journals!$D$9:$D$1005679,"&lt;"&amp;$E$8,Journals!$J$9:$J$1005679,"Unrealized gain on T-Bond"))</f>
        <v>0</v>
      </c>
      <c r="J30" s="37"/>
      <c r="K30" s="37"/>
      <c r="L30" s="56"/>
      <c r="M30" s="56"/>
      <c r="N30" s="38"/>
      <c r="O30" s="38">
        <f>SUMIFS(Journals!$L$9:$L$1005679,Journals!$D$9:$D$1005679,"&lt;"&amp;$F$7,Journals!$J$9:$J$1005679,"Unrealized gain on T-Bond")-SUMIFS(Journals!$K$9:$K$1005679,Journals!$D$9:$D$1005679,"&lt;"&amp;$F$7,Journals!$J$9:$J$1005679,"Unrealized gain on T-Bond")</f>
        <v>178264.58705884591</v>
      </c>
      <c r="Q30" s="3"/>
      <c r="R30" s="3"/>
      <c r="S30" s="26"/>
      <c r="T30" s="5"/>
      <c r="U30" s="5"/>
    </row>
    <row r="31" spans="2:21" x14ac:dyDescent="0.25">
      <c r="B31" s="5"/>
      <c r="G31" s="31" t="str">
        <f>'Chart of Accounts'!B22</f>
        <v>Unrealized loss on securities</v>
      </c>
      <c r="H31" s="34">
        <f>MAX(0,SUMIFS(Journals!$K$9:$K$1005679,Journals!$D$9:$D$1005679,"&gt;"&amp;$E$7,Journals!$D$9:$D$1005679,"&lt;"&amp;$E$8,Journals!$J$9:$J$1005679,"Unrealized loss on securities")-SUMIFS(Journals!$L$9:$L$1005679,Journals!$D$9:$D$1005679,"&gt;"&amp;$E$7,Journals!$D$9:$D$1005679,"&lt;"&amp;$E$8,Journals!$J$9:$J$1005679,"Unrealized loss on securities"))</f>
        <v>0</v>
      </c>
      <c r="I31" s="106">
        <f>MAX(0,SUMIFS(Journals!$L$9:$L$1005679,Journals!$D$9:$D$1005679,"&gt;"&amp;$E$7,Journals!$D$9:$D$1005679,"&lt;"&amp;$E$8,Journals!$J$9:$J$1005679,"Unrealized loss on securities")-SUMIFS(Journals!$K$9:$K$1005679,Journals!$D$9:$D$1005679,"&gt;"&amp;$E$7,Journals!$D$9:$D$1005679,"&lt;"&amp;$E$8,Journals!$J$9:$J$1005679,"Unrealized loss on securities"))</f>
        <v>0</v>
      </c>
      <c r="J31" s="37"/>
      <c r="K31" s="37"/>
      <c r="L31" s="56"/>
      <c r="M31" s="56"/>
      <c r="N31" s="38">
        <f>SUMIFS(Journals!K9:K1005679,Journals!D9:D1005679,"&lt;"&amp;F7,Journals!J9:J1005679,"unrealized loss on securities")-SUMIFS(Journals!L9:L1005679,Journals!D9:D1005679,"&lt;"&amp;F7,Journals!J9:J1005679,"unrealized loss on securities")</f>
        <v>2262855.2999999998</v>
      </c>
      <c r="O31" s="38"/>
      <c r="Q31" s="3"/>
      <c r="R31" s="3"/>
      <c r="S31" s="26"/>
      <c r="T31" s="5"/>
      <c r="U31" s="5"/>
    </row>
    <row r="32" spans="2:21" x14ac:dyDescent="0.25">
      <c r="G32" s="31" t="str">
        <f>'Chart of Accounts'!B23</f>
        <v>Amortization of preliminary and issue expense</v>
      </c>
      <c r="H32" s="34">
        <f>MAX(0,SUMIFS(Journals!$K$9:$K$1005679,Journals!$D$9:$D$1005679,"&gt;"&amp;$E$7,Journals!$D$9:$D$1005679,"&lt;"&amp;$E$8,Journals!$J$9:$J$1005679,"Amortization of preliminary and issue expense")-SUMIFS(Journals!$L$9:$L$1005679,Journals!$D$9:$D$1005679,"&gt;"&amp;$E$7,Journals!$D$9:$D$1005679,"&lt;"&amp;$E$8,Journals!$J$9:$J$1005679,"Amortization of preliminary and issue expense"))</f>
        <v>142464.67817896401</v>
      </c>
      <c r="I32" s="106">
        <f>MAX(0,SUMIFS(Journals!$L$9:$L$1005679,Journals!$D$9:$D$1005679,"&gt;"&amp;$E$7,Journals!$D$9:$D$1005679,"&lt;"&amp;$E$8,Journals!$J$9:$J$1005679,"Amortization of preliminary and issue expense")-SUMIFS(Journals!$K$9:$K$1005679,Journals!$D$9:$D$1005679,"&gt;"&amp;$E$7,Journals!$D$9:$D$1005679,"&lt;"&amp;$E$8,Journals!$J$9:$J$1005679,"Amortization of preliminary and issue expense"))</f>
        <v>0</v>
      </c>
      <c r="J32" s="37"/>
      <c r="K32" s="37"/>
      <c r="L32" s="56"/>
      <c r="M32" s="56"/>
      <c r="N32" s="38">
        <f>SUMIFS(Journals!$K$9:$K$1005679,Journals!$D$9:$D$1005679,"&lt;"&amp;$F$7,Journals!$J$9:$J$1005679,"Amortization of preliminary and issue expense")-SUMIFS(Journals!$L$9:$L$1005679,Journals!$D$9:$D$1005679,"&lt;"&amp;$F$7,Journals!$J$9:$J$1005679,"Amortization of preliminary and issue expense")</f>
        <v>412480.37401883927</v>
      </c>
      <c r="O32" s="38"/>
      <c r="Q32" s="3"/>
      <c r="R32" s="3"/>
      <c r="S32" s="26"/>
      <c r="T32" s="5"/>
      <c r="U32" s="5"/>
    </row>
    <row r="33" spans="2:21" x14ac:dyDescent="0.25">
      <c r="G33" s="31" t="str">
        <f>'Chart of Accounts'!B24</f>
        <v>Management Fee</v>
      </c>
      <c r="H33" s="34">
        <f>MAX(0,SUMIFS(Journals!$K$9:$K$1005679,Journals!$D$9:$D$1005679,"&gt;"&amp;$E$7,Journals!$D$9:$D$1005679,"&lt;"&amp;$E$8,Journals!$J$9:$J$1005679,"management fee")-SUMIFS(Journals!$L$9:$L$1005679,Journals!$D$9:$D$1005679,"&gt;"&amp;$E$7,Journals!$D$9:$D$1005679,"&lt;"&amp;$E$8,Journals!$J$9:$J$1005679,"management fee"))</f>
        <v>4093753.5361561342</v>
      </c>
      <c r="I33" s="106">
        <f>MAX(0,SUMIFS(Journals!$L$9:$L$1005679,Journals!$D$9:$D$1005679,"&gt;"&amp;$E$7,Journals!$D$9:$D$1005679,"&lt;"&amp;$E$8,Journals!$J$9:$J$1005679,"management fee")-SUMIFS(Journals!$K$9:$K$1005679,Journals!$D$9:$D$1005679,"&gt;"&amp;$E$7,Journals!$D$9:$D$1005679,"&lt;"&amp;$E$8,Journals!$J$9:$J$1005679,"management fee"))</f>
        <v>0</v>
      </c>
      <c r="J33" s="37"/>
      <c r="K33" s="37"/>
      <c r="L33" s="56"/>
      <c r="M33" s="56"/>
      <c r="N33" s="38">
        <f>SUMIFS(Journals!$K$9:$K$1005679,Journals!$D$9:$D$1005679,"&lt;"&amp;$F$7,Journals!$J$9:$J$1005679,"management fee")-SUMIFS(Journals!$L$9:$L$1005679,Journals!$D$9:$D$1005679,"&lt;"&amp;$F$7,Journals!$J$9:$J$1005679,"management fee")</f>
        <v>10865705.485384192</v>
      </c>
      <c r="O33" s="38"/>
      <c r="Q33" s="3"/>
      <c r="R33" s="3"/>
      <c r="S33" s="26"/>
      <c r="T33" s="5"/>
      <c r="U33" s="5"/>
    </row>
    <row r="34" spans="2:21" x14ac:dyDescent="0.25">
      <c r="G34" s="31" t="str">
        <f>'Chart of Accounts'!B25</f>
        <v>Trustee fee</v>
      </c>
      <c r="H34" s="34">
        <f>MAX(0,SUMIFS(Journals!$K$9:$K$1005679,Journals!$D$9:$D$1005679,"&gt;"&amp;$E$7,Journals!$D$9:$D$1005679,"&lt;"&amp;$E$8,Journals!$J$9:$J$1005679,"trustee fee")-SUMIFS(Journals!$L$9:$L$1005679,Journals!$D$9:$D$1005679,"&gt;"&amp;$E$7,Journals!$D$9:$D$1005679,"&lt;"&amp;$E$8,Journals!$J$9:$J$1005679,"trustee fee"))</f>
        <v>192222.01746714744</v>
      </c>
      <c r="I34" s="106">
        <f>MAX(0,SUMIFS(Journals!$L$9:$L$1005679,Journals!$D$9:$D$1005679,"&gt;"&amp;$E$7,Journals!$D$9:$D$1005679,"&lt;"&amp;$E$8,Journals!$J$9:$J$1005679,"trustee fee")-SUMIFS(Journals!$K$9:$K$1005679,Journals!$D$9:$D$1005679,"&gt;"&amp;$E$7,Journals!$D$9:$D$1005679,"&lt;"&amp;$E$8,Journals!$J$9:$J$1005679,"trustee fee"))</f>
        <v>0</v>
      </c>
      <c r="J34" s="37"/>
      <c r="K34" s="37"/>
      <c r="L34" s="56"/>
      <c r="M34" s="56"/>
      <c r="N34" s="38">
        <f>SUMIFS(Journals!$K$9:$K$1005679,Journals!$D$9:$D$1005679,"&lt;"&amp;$F$7,Journals!$J$9:$J$1005679,"trustee fee")-SUMIFS(Journals!$L$9:$L$1005679,Journals!$D$9:$D$1005679,"&lt;"&amp;$F$7,Journals!$J$9:$J$1005679,"trustee fee")</f>
        <v>563240.34584228764</v>
      </c>
      <c r="O34" s="38"/>
      <c r="Q34" s="3"/>
      <c r="R34" s="3"/>
      <c r="S34" s="26"/>
      <c r="T34" s="5"/>
      <c r="U34" s="5"/>
    </row>
    <row r="35" spans="2:21" x14ac:dyDescent="0.25">
      <c r="G35" s="31" t="str">
        <f>'Chart of Accounts'!B26</f>
        <v>BSEC Annual Fee</v>
      </c>
      <c r="H35" s="34">
        <f>MAX(0,SUMIFS(Journals!$K$9:$K$1005679,Journals!$D$9:$D$1005679,"&gt;"&amp;$E$7,Journals!$D$9:$D$1005679,"&lt;"&amp;$E$8,Journals!$J$9:$J$1005679,"bsec annual fee")-SUMIFS(Journals!$L$9:$L$1005679,Journals!$D$9:$D$1005679,"&gt;"&amp;$E$7,Journals!$D$9:$D$1005679,"&lt;"&amp;$E$8,Journals!$J$9:$J$1005679,"bsec annual fee"))</f>
        <v>180112.35</v>
      </c>
      <c r="I35" s="106">
        <f>MAX(0,SUMIFS(Journals!$L$9:$L$1005679,Journals!$D$9:$D$1005679,"&gt;"&amp;$E$7,Journals!$D$9:$D$1005679,"&lt;"&amp;$E$8,Journals!$J$9:$J$1005679,"bsec annual fee")-SUMIFS(Journals!$K$9:$K$1005679,Journals!$D$9:$D$1005679,"&gt;"&amp;$E$7,Journals!$D$9:$D$1005679,"&lt;"&amp;$E$8,Journals!$J$9:$J$1005679,"bsec annual fee"))</f>
        <v>0</v>
      </c>
      <c r="J35" s="37"/>
      <c r="K35" s="37"/>
      <c r="L35" s="56"/>
      <c r="M35" s="56"/>
      <c r="N35" s="38">
        <f>SUMIFS(Journals!$K$9:$K$1005679,Journals!$D$9:$D$1005679,"&lt;"&amp;$F$7,Journals!$J$9:$J$1005679,"bsec annual fee")-SUMIFS(Journals!$L$9:$L$1005679,Journals!$D$9:$D$1005679,"&lt;"&amp;$F$7,Journals!$J$9:$J$1005679,"bsec annual fee")</f>
        <v>578929.83000000007</v>
      </c>
      <c r="O35" s="38"/>
      <c r="Q35" s="3"/>
      <c r="R35" s="3"/>
      <c r="S35" s="26"/>
      <c r="T35" s="5"/>
      <c r="U35" s="5"/>
    </row>
    <row r="36" spans="2:21" x14ac:dyDescent="0.25">
      <c r="G36" s="31" t="str">
        <f>'Chart of Accounts'!B27</f>
        <v>Audit fee</v>
      </c>
      <c r="H36" s="34">
        <f>MAX(0,SUMIFS(Journals!$K$9:$K$1005679,Journals!$D$9:$D$1005679,"&gt;"&amp;$E$7,Journals!$D$9:$D$1005679,"&lt;"&amp;$E$8,Journals!$J$9:$J$1005679,"audit fee")-SUMIFS(Journals!$L$9:$L$1005679,Journals!$D$9:$D$1005679,"&gt;"&amp;$E$7,Journals!$D$9:$D$1005679,"&lt;"&amp;$E$8,Journals!$J$9:$J$1005679,"audit fee"))</f>
        <v>57500</v>
      </c>
      <c r="I36" s="106">
        <f>MAX(0,SUMIFS(Journals!$L$9:$L$1005679,Journals!$D$9:$D$1005679,"&gt;"&amp;$E$7,Journals!$D$9:$D$1005679,"&lt;"&amp;$E$8,Journals!$J$9:$J$1005679,"audit fee")-SUMIFS(Journals!$K$9:$K$1005679,Journals!$D$9:$D$1005679,"&gt;"&amp;$E$7,Journals!$D$9:$D$1005679,"&lt;"&amp;$E$8,Journals!$J$9:$J$1005679,"audit fee"))</f>
        <v>0</v>
      </c>
      <c r="J36" s="37"/>
      <c r="K36" s="37"/>
      <c r="L36" s="56"/>
      <c r="M36" s="56"/>
      <c r="N36" s="38">
        <f>SUMIFS(Journals!$K$9:$K$1005679,Journals!$D$9:$D$1005679,"&lt;"&amp;$F$7,Journals!$J$9:$J$1005679,"audit fee")-SUMIFS(Journals!$L$9:$L$1005679,Journals!$D$9:$D$1005679,"&lt;"&amp;$F$7,Journals!$J$9:$J$1005679,"audit fee")</f>
        <v>109250</v>
      </c>
      <c r="O36" s="38"/>
      <c r="Q36" s="3"/>
      <c r="R36" s="3"/>
      <c r="S36" s="26"/>
      <c r="T36" s="5"/>
      <c r="U36" s="5"/>
    </row>
    <row r="37" spans="2:21" x14ac:dyDescent="0.25">
      <c r="G37" s="31" t="str">
        <f>'Chart of Accounts'!B28</f>
        <v>CDBL charges</v>
      </c>
      <c r="H37" s="34">
        <f>MAX(0,SUMIFS(Journals!$K$9:$K$1005679,Journals!$D$9:$D$1005679,"&gt;"&amp;$E$7,Journals!$D$9:$D$1005679,"&lt;"&amp;$E$8,Journals!$J$9:$J$1005679,"cdbl charges")-SUMIFS(Journals!$L$9:$L$1005679,Journals!$D$9:$D$1005679,"&gt;"&amp;$E$7,Journals!$D$9:$D$1005679,"&lt;"&amp;$E$8,Journals!$J$9:$J$1005679,"cdbl charges"))</f>
        <v>156183.05999999997</v>
      </c>
      <c r="I37" s="106">
        <f>MAX(0,SUMIFS(Journals!$L$9:$L$1005679,Journals!$D$9:$D$1005679,"&gt;"&amp;$E$7,Journals!$D$9:$D$1005679,"&lt;"&amp;$E$8,Journals!$J$9:$J$1005679,"cdbl charges")-SUMIFS(Journals!$K$9:$K$1005679,Journals!$D$9:$D$1005679,"&gt;"&amp;$E$7,Journals!$D$9:$D$1005679,"&lt;"&amp;$E$8,Journals!$J$9:$J$1005679,"cdbl charges"))</f>
        <v>0</v>
      </c>
      <c r="J37" s="37"/>
      <c r="K37" s="37"/>
      <c r="L37" s="56"/>
      <c r="M37" s="56"/>
      <c r="N37" s="38">
        <f>SUMIFS(Journals!$K$9:$K$1005679,Journals!$D$9:$D$1005679,"&lt;"&amp;$F$7,Journals!$J$9:$J$1005679,"cdbl charges")-SUMIFS(Journals!$L$9:$L$1005679,Journals!$D$9:$D$1005679,"&lt;"&amp;$F$7,Journals!$J$9:$J$1005679,"cdbl charges")</f>
        <v>195763.37</v>
      </c>
      <c r="O37" s="38"/>
      <c r="Q37" s="3"/>
      <c r="R37" s="3"/>
      <c r="S37" s="26"/>
      <c r="T37" s="5"/>
      <c r="U37" s="5"/>
    </row>
    <row r="38" spans="2:21" x14ac:dyDescent="0.25">
      <c r="G38" s="31" t="str">
        <f>'Chart of Accounts'!B29</f>
        <v>Fair value adjustment</v>
      </c>
      <c r="H38" s="34">
        <f>MAX(0,SUMIFS(Journals!$K$9:$K$1005679,Journals!$D$9:$D$1005679,"&gt;"&amp;$E$7,Journals!$D$9:$D$1005679,"&lt;"&amp;$E$8,Journals!$J$9:$J$1005679,"Fair value adjustment")-SUMIFS(Journals!$L$9:$L$1005679,Journals!$D$9:$D$1005679,"&gt;"&amp;$E$7,Journals!$D$9:$D$1005679,"&lt;"&amp;$E$8,Journals!$J$9:$J$1005679,"Fair value adjustment"))</f>
        <v>4306713.3699999154</v>
      </c>
      <c r="I38" s="106">
        <f>MAX(0,SUMIFS(Journals!$L$9:$L$1005679,Journals!$D$9:$D$1005679,"&gt;"&amp;$E$7,Journals!$D$9:$D$1005679,"&lt;"&amp;$E$8,Journals!$J$9:$J$1005679,"fair value adjustment")-SUMIFS(Journals!$K$9:$K$1005679,Journals!$D$9:$D$1005679,"&gt;"&amp;$E$7,Journals!$D$9:$D$1005679,"&lt;"&amp;$E$8,Journals!$J$9:$J$1005679,"fair value adjustment"))</f>
        <v>0</v>
      </c>
      <c r="J38" s="37">
        <f>MAX(0,SUMIFS(Journals!K9:K1005679,Journals!D9:D1005679,"&lt;"&amp;F7,Journals!J9:J1005679,"fair value adjustment")-SUMIFS(Journals!L9:L1005679,Journals!D9:D1005679,"&lt;"&amp;F7,Journals!J9:J1005679,"fair value adjustment"))</f>
        <v>353243.91999998689</v>
      </c>
      <c r="K38" s="37">
        <f>MAX(0,SUMIFS(Journals!L9:L1005679,Journals!D9:D1005679,"&lt;"&amp;F7,Journals!J9:J1005679,"Fair value adjustment")-SUMIFS(Journals!K9:K1005679,Journals!D9:D1005679,"&lt;"&amp;F7,Journals!J9:J1005679,"fair value adjustment"))</f>
        <v>0</v>
      </c>
      <c r="L38" s="56">
        <f>MAX(0,H38+J38-K38)</f>
        <v>4659957.2899999022</v>
      </c>
      <c r="M38" s="56">
        <f>MAX(0,I38+K38-H38)</f>
        <v>0</v>
      </c>
      <c r="N38" s="38"/>
      <c r="O38" s="38"/>
      <c r="Q38" s="3"/>
      <c r="R38" s="3"/>
      <c r="S38" s="26"/>
      <c r="T38" s="5"/>
      <c r="U38" s="5"/>
    </row>
    <row r="39" spans="2:21" x14ac:dyDescent="0.25">
      <c r="G39" s="31" t="s">
        <v>1621</v>
      </c>
      <c r="H39" s="34">
        <f>MAX(0,SUMIFS(Journals!$K$9:$K$1011420,Journals!$D$9:$D$1011420,"&gt;"&amp;$E$7,Journals!$D$9:$D$1011420,"&lt;"&amp;$E$8,Journals!$J$9:$J$1011420,"Fair value adjustment T-Bill")-SUMIFS(Journals!$L$9:$L$1011420,Journals!$D$9:$D$1011420,"&gt;"&amp;$E$7,Journals!$D$9:$D$1011420,"&lt;"&amp;$E$8,Journals!$J$9:$J$1011420,"Fair value adjustment T-Bill"))</f>
        <v>0</v>
      </c>
      <c r="I39" s="106">
        <f>MAX(0,SUMIFS(Journals!$L$9:$L$1011420,Journals!$D$9:$D$1011420,"&gt;"&amp;$E$7,Journals!$D$9:$D$1011420,"&lt;"&amp;$E$8,Journals!$J$9:$J$1011420,"fair value adjustment T-Bill")-SUMIFS(Journals!$K$9:$K$1011420,Journals!$D$9:$D$1011420,"&gt;"&amp;$E$7,Journals!$D$9:$D$1011420,"&lt;"&amp;$E$8,Journals!$J$9:$J$1011420,"fair value adjustment T-Bill"))</f>
        <v>0</v>
      </c>
      <c r="J39" s="37">
        <f>MAX(0,SUMIFS(Journals!K9:K1005679,Journals!D9:D1005679,"&lt;"&amp;F7,Journals!J9:J1005679,"fair value adjustment T-Bill")-SUMIFS(Journals!L9:L1005679,Journals!D9:D1005679,"&lt;"&amp;F7,Journals!J9:J1005679,"fair value adjustment T-Bill"))</f>
        <v>0</v>
      </c>
      <c r="K39" s="37">
        <f>MAX(0,SUMIFS(Journals!L9:L1005679,Journals!D9:D1005679,"&lt;"&amp;F7,Journals!J9:J1005679,"Fair value adjustment T-Bill")-SUMIFS(Journals!K9:K1005679,Journals!D9:D1005679,"&lt;"&amp;F7,Journals!J9:J1005679,"fair value adjustment T-Bill"))</f>
        <v>0</v>
      </c>
      <c r="L39" s="56">
        <f>MAX(0,H39-I39+J39-K39)</f>
        <v>0</v>
      </c>
      <c r="M39" s="56">
        <f>MAX(0,I39-H39-J39+K39)</f>
        <v>0</v>
      </c>
      <c r="N39" s="38"/>
      <c r="O39" s="38"/>
      <c r="Q39" s="3"/>
      <c r="R39" s="3"/>
      <c r="S39" s="26"/>
      <c r="T39" s="5"/>
      <c r="U39" s="5"/>
    </row>
    <row r="40" spans="2:21" x14ac:dyDescent="0.25">
      <c r="G40" s="31" t="s">
        <v>1622</v>
      </c>
      <c r="H40" s="34">
        <f>MAX(0,SUMIFS(Journals!$K$9:$K$1011420,Journals!$D$9:$D$1011420,"&gt;"&amp;$E$7,Journals!$D$9:$D$1011420,"&lt;"&amp;$E$8,Journals!$J$9:$J$1011420,"Fair value adjustment T-Bond")-SUMIFS(Journals!$L$9:$L$1011420,Journals!$D$9:$D$1011420,"&gt;"&amp;$E$7,Journals!$D$9:$D$1011420,"&lt;"&amp;$E$8,Journals!$J$9:$J$1011420,"Fair value adjustment T-Bond"))</f>
        <v>0</v>
      </c>
      <c r="I40" s="106">
        <f>MAX(0,SUMIFS(Journals!$L$9:$L$1011420,Journals!$D$9:$D$1011420,"&gt;"&amp;$E$7,Journals!$D$9:$D$1011420,"&lt;"&amp;$E$8,Journals!$J$9:$J$1011420,"fair value adjustment T-Bond")-SUMIFS(Journals!$K$9:$K$1011420,Journals!$D$9:$D$1011420,"&gt;"&amp;$E$7,Journals!$D$9:$D$1011420,"&lt;"&amp;$E$8,Journals!$J$9:$J$1011420,"fair value adjustment T-Bond"))</f>
        <v>178264.58705884591</v>
      </c>
      <c r="J40" s="37">
        <f>MAX(0,SUMIFS(Journals!K9:K1005679,Journals!D9:D1005679,"&lt;"&amp;F7,Journals!J9:J1005679,"fair value adjustment T-Bond")-SUMIFS(Journals!L9:L1005679,Journals!D9:D1005679,"&lt;"&amp;F7,Journals!J9:J1005679,"fair value adjustment T-Bond"))</f>
        <v>178264.58705884591</v>
      </c>
      <c r="K40" s="37">
        <f>MAX(0,SUMIFS(Journals!L9:L1005679,Journals!D9:D1005679,"&lt;"&amp;F7,Journals!J9:J1005679,"Fair value adjustment T-Bond")-SUMIFS(Journals!K9:K1005679,Journals!D9:D1005679,"&lt;"&amp;F7,Journals!J9:J1005679,"fair value adjustment T-Bond"))</f>
        <v>0</v>
      </c>
      <c r="L40" s="56">
        <f>MAX(0,H40-I40+J40-K40)</f>
        <v>0</v>
      </c>
      <c r="M40" s="56">
        <f>MAX(0,I40-H40-J40+K40)</f>
        <v>0</v>
      </c>
      <c r="N40" s="38"/>
      <c r="O40" s="38"/>
      <c r="Q40" s="3"/>
      <c r="R40" s="3"/>
      <c r="S40" s="26"/>
      <c r="T40" s="5"/>
      <c r="U40" s="5"/>
    </row>
    <row r="41" spans="2:21" x14ac:dyDescent="0.25">
      <c r="G41" s="31" t="str">
        <f>'Chart of Accounts'!B32</f>
        <v>Interest receivables from FDR</v>
      </c>
      <c r="H41" s="34">
        <f>MAX(0,SUMIFS(Journals!$K$9:$K$1005679,Journals!$D$9:$D$1005679,"&gt;"&amp;$E$7,Journals!$D$9:$D$1005679,"&lt;"&amp;$E$8,Journals!$J$9:$J$1005679,"Interest receivables from FDR")-SUMIFS(Journals!$L$9:$L$1005679,Journals!$D$9:$D$1005679,"&gt;"&amp;$E$7,Journals!$D$9:$D$1005679,"&lt;"&amp;$E$8,Journals!$J$9:$J$1005679,"Interest receivables from FDR"))</f>
        <v>0</v>
      </c>
      <c r="I41" s="106">
        <f>MAX(0,SUMIFS(Journals!$L$9:$L$1005679,Journals!$D$9:$D$1005679,"&gt;"&amp;$E$7,Journals!$D$9:$D$1005679,"&lt;"&amp;$E$8,Journals!$J$9:$J$1005679,"Interest receivables from FDR")-SUMIFS(Journals!$K$9:$K$1005679,Journals!$D$9:$D$1005679,"&gt;"&amp;$E$7,Journals!$D$9:$D$1005679,"&lt;"&amp;$E$8,Journals!$J$9:$J$1005679,"Interest receivables from FDR"))</f>
        <v>249658.02131872228</v>
      </c>
      <c r="J41" s="37">
        <f>SUMIFS(Journals!$K$9:$K$1005679,Journals!$D$9:$D$1005679,"&lt;"&amp;$F$7,Journals!$J$9:$J$1005679,"Interest receivables from FDR")-SUMIFS(Journals!$L$9:$L$1005679,Journals!$D$9:$D$1005679,"&lt;"&amp;$F$7,Journals!$J$9:$J$1005679,"Interest receivables from FDR")</f>
        <v>434296.91131870262</v>
      </c>
      <c r="K41" s="37"/>
      <c r="L41" s="56">
        <f>J41+H41-I41</f>
        <v>184638.88999998034</v>
      </c>
      <c r="M41" s="56"/>
      <c r="N41" s="38"/>
      <c r="O41" s="38"/>
      <c r="Q41" s="3"/>
      <c r="R41" s="3"/>
      <c r="T41" s="5"/>
      <c r="U41" s="5"/>
    </row>
    <row r="42" spans="2:21" x14ac:dyDescent="0.25">
      <c r="G42" s="31" t="s">
        <v>1978</v>
      </c>
      <c r="H42" s="34">
        <f>MAX(0,SUMIFS(Journals!$K$9:$K$1005679,Journals!$D$9:$D$1005679,"&gt;"&amp;$E$7,Journals!$D$9:$D$1005679,"&lt;"&amp;$E$8,Journals!$J$9:$J$1005679,"Interest receivables from Renata Pre. Share")-SUMIFS(Journals!$L$9:$L$1005679,Journals!$D$9:$D$1005679,"&gt;"&amp;$E$7,Journals!$D$9:$D$1005679,"&lt;"&amp;$E$8,Journals!$J$9:$J$1005679,"Interest receivables from Renata Pre. Share"))</f>
        <v>402053.57142857125</v>
      </c>
      <c r="I42" s="106">
        <f>MAX(0,SUMIFS(Journals!$L$9:$L$1005679,Journals!$D$9:$D$1005679,"&gt;"&amp;$E$7,Journals!$D$9:$D$1005679,"&lt;"&amp;$E$8,Journals!$J$9:$J$1005679,"Interest receivables from Renata Pre. Share")-SUMIFS(Journals!$K$9:$K$1005679,Journals!$D$9:$D$1005679,"&gt;"&amp;$E$7,Journals!$D$9:$D$1005679,"&lt;"&amp;$E$8,Journals!$J$9:$J$1005679,"Interest receivables from Renata Pre. Share"))</f>
        <v>0</v>
      </c>
      <c r="J42" s="37">
        <f>SUMIFS(Journals!$K$9:$K$1005679,Journals!$D$9:$D$1005679,"&lt;"&amp;$F$7,Journals!$J$9:$J$1005679,"Interest receivables from Renata Pre. Share")-SUMIFS(Journals!$L$9:$L$1005679,Journals!$D$9:$D$1005679,"&lt;"&amp;$F$7,Journals!$J$9:$J$1005679,"Interest receivables from Renata Pre. Share")</f>
        <v>0</v>
      </c>
      <c r="K42" s="37"/>
      <c r="L42" s="56">
        <f>J42+H42-I42</f>
        <v>402053.57142857125</v>
      </c>
      <c r="M42" s="56"/>
      <c r="N42" s="38"/>
      <c r="O42" s="38"/>
      <c r="P42" s="3"/>
      <c r="Q42" s="3"/>
      <c r="R42" s="3"/>
      <c r="T42" s="5"/>
      <c r="U42" s="5"/>
    </row>
    <row r="43" spans="2:21" x14ac:dyDescent="0.25">
      <c r="B43" s="5"/>
      <c r="G43" s="31" t="str">
        <f>'Chart of Accounts'!B33</f>
        <v>Payable to broker</v>
      </c>
      <c r="H43" s="34">
        <f>MAX(0,SUMIFS(Journals!$K$9:$K$1005679,Journals!$D$9:$D$1005679,"&gt;"&amp;$E$7,Journals!$D$9:$D$1005679,"&lt;"&amp;$E$8,Journals!$J$9:$J$1005679,"payable to broker")-SUMIFS(Journals!$L$9:$L$1005679,Journals!$D$9:$D$1005679,"&gt;"&amp;$E$7,Journals!$D$9:$D$1005679,"&lt;"&amp;$E$8,Journals!$J$9:$J$1005679,"payable to broker"))</f>
        <v>0</v>
      </c>
      <c r="I43" s="106">
        <f>MAX(0,SUMIFS(Journals!$L$9:$L$1005679,Journals!$D$9:$D$1005679,"&gt;"&amp;$E$7,Journals!$D$9:$D$1005679,"&lt;"&amp;$E$8,Journals!$J$9:$J$1005679,"payable to broker")-SUMIFS(Journals!$K$9:$K$1005679,Journals!$D$9:$D$1005679,"&gt;"&amp;$E$7,Journals!$D$9:$D$1005679,"&lt;"&amp;$E$8,Journals!$J$9:$J$1005679,"payable to broker"))</f>
        <v>377790.14710000157</v>
      </c>
      <c r="J43" s="37"/>
      <c r="K43" s="37">
        <f>SUMIFS(Journals!$L$9:$L$1005679,Journals!$D$9:$D$1005679,"&lt;"&amp;$F$7,Journals!$J$9:$J$1005679,"payable to broker")-SUMIFS(Journals!$K$9:$K$1005679,Journals!$D$9:$D$1005679,"&lt;"&amp;$F$7,Journals!$J$9:$J$1005679,"payable to broker")</f>
        <v>2.9000043869018555E-3</v>
      </c>
      <c r="L43" s="56"/>
      <c r="M43" s="56">
        <f>K43+I43-H43</f>
        <v>377790.15000000596</v>
      </c>
      <c r="N43" s="38"/>
      <c r="O43" s="38"/>
      <c r="P43" s="5"/>
      <c r="Q43" s="3"/>
      <c r="R43" s="3"/>
      <c r="T43" s="5"/>
      <c r="U43" s="5"/>
    </row>
    <row r="44" spans="2:21" x14ac:dyDescent="0.25">
      <c r="G44" s="31" t="str">
        <f>'Chart of Accounts'!B34</f>
        <v>Other operating expenses</v>
      </c>
      <c r="H44" s="34">
        <f>MAX(0,SUMIFS(Journals!$K$9:$K$1005679,Journals!$D$9:$D$1005679,"&gt;"&amp;$E$7,Journals!$D$9:$D$1005679,"&lt;"&amp;$E$8,Journals!$J$9:$J$1005679,"OTHER OPERATING EXPENSES")-SUMIFS(Journals!$L$9:$L$1005679,Journals!$D$9:$D$1005679,"&gt;"&amp;$E$7,Journals!$D$9:$D$1005679,"&lt;"&amp;$E$8,Journals!$J$9:$J$1005679,"OTHER OPERATING EXPENSES"))</f>
        <v>85900</v>
      </c>
      <c r="I44" s="106">
        <f>MAX(0,SUMIFS(Journals!$L$9:$L$1005679,Journals!$D$9:$D$1005679,"&gt;"&amp;$E$7,Journals!$D$9:$D$1005679,"&lt;"&amp;$E$8,Journals!$J$9:$J$1005679,"OTHER OPERATING EXPENSES")-SUMIFS(Journals!$K$9:$K$1005679,Journals!$D$9:$D$1005679,"&gt;"&amp;$E$7,Journals!$D$9:$D$1005679,"&lt;"&amp;$E$8,Journals!$J$9:$J$1005679,"OTHER OPERATING EXPENSES"))</f>
        <v>0</v>
      </c>
      <c r="J44" s="37"/>
      <c r="K44" s="37"/>
      <c r="L44" s="56"/>
      <c r="M44" s="56"/>
      <c r="N44" s="38">
        <f>SUMIFS(Journals!$K$9:$K$1005679,Journals!$D$9:$D$1005679,"&lt;"&amp;$F$7,Journals!$J$9:$J$1005679,"OTHER OPERATING EXPENSES")-SUMIFS(Journals!$L$9:$L$1005679,Journals!$D$9:$D$1005679,"&lt;"&amp;$F$7,Journals!$J$9:$J$1005679,"OTHER OPERATING EXPENSES")</f>
        <v>318075</v>
      </c>
      <c r="O44" s="38"/>
      <c r="Q44" s="3"/>
      <c r="R44" s="3"/>
      <c r="T44" s="5"/>
      <c r="U44" s="5"/>
    </row>
    <row r="45" spans="2:21" x14ac:dyDescent="0.25">
      <c r="G45" s="31" t="str">
        <f>'Chart of Accounts'!B35</f>
        <v>Dividend income</v>
      </c>
      <c r="H45" s="34">
        <f>MAX(0,SUMIFS(Journals!$K$9:$K$1005679,Journals!$D$9:$D$1005679,"&gt;"&amp;$E$7,Journals!$D$9:$D$1005679,"&lt;"&amp;$E$8,Journals!$J$9:$J$1005679,"dividend income")-SUMIFS(Journals!$L$9:$L$1005679,Journals!$D$9:$D$1005679,"&gt;"&amp;$E$7,Journals!$D$9:$D$1005679,"&lt;"&amp;$E$8,Journals!$J$9:$J$1005679,"dividend income"))</f>
        <v>0</v>
      </c>
      <c r="I45" s="106">
        <f>MAX(0,SUMIFS(Journals!$L$9:$L$1005679,Journals!$D$9:$D$1005679,"&gt;"&amp;$E$7,Journals!$D$9:$D$1005679,"&lt;"&amp;$E$8,Journals!$J$9:$J$1005679,"dividend income")-SUMIFS(Journals!$K$9:$K$1005679,Journals!$D$9:$D$1005679,"&gt;"&amp;$E$7,Journals!$D$9:$D$1005679,"&lt;"&amp;$E$8,Journals!$J$9:$J$1005679,"dividend income"))</f>
        <v>6250543.1199999992</v>
      </c>
      <c r="J45" s="37"/>
      <c r="K45" s="37"/>
      <c r="L45" s="56"/>
      <c r="M45" s="56"/>
      <c r="N45" s="38"/>
      <c r="O45" s="38">
        <f>SUMIFS(Journals!$L$9:$L$1005679,Journals!$D$9:$D$1005679,"&lt;"&amp;$F$7,Journals!$J$9:$J$1005679,"dividend income")-SUMIFS(Journals!$K$9:$K$1005679,Journals!$D$9:$D$1005679,"&lt;"&amp;$F$7,Journals!$J$9:$J$1005679,"dividend income")</f>
        <v>7587967.7200000007</v>
      </c>
      <c r="P45" s="5"/>
      <c r="Q45" s="3"/>
      <c r="R45" s="3"/>
      <c r="T45" s="5"/>
      <c r="U45" s="5"/>
    </row>
    <row r="46" spans="2:21" x14ac:dyDescent="0.25">
      <c r="G46" s="31" t="str">
        <f>'Chart of Accounts'!B36</f>
        <v>Dividend receivable</v>
      </c>
      <c r="H46" s="34">
        <f>MAX(0,SUMIFS(Journals!$K$9:$K$1005679,Journals!$D$9:$D$1005679,"&gt;"&amp;$E$7,Journals!$D$9:$D$1005679,"&lt;"&amp;$E$8,Journals!$J$9:$J$1005679,"dividend receivable")-SUMIFS(Journals!$L$9:$L$1005679,Journals!$D$9:$D$1005679,"&gt;"&amp;$E$7,Journals!$D$9:$D$1005679,"&lt;"&amp;$E$8,Journals!$J$9:$J$1005679,"dividend receivable"))</f>
        <v>301059.59999999963</v>
      </c>
      <c r="I46" s="106">
        <f>MAX(0,SUMIFS(Journals!$L$9:$L$1005679,Journals!$D$9:$D$1005679,"&gt;"&amp;$E$7,Journals!$D$9:$D$1005679,"&lt;"&amp;$E$8,Journals!$J$9:$J$1005679,"dividend receivable")-SUMIFS(Journals!$K$9:$K$1005679,Journals!$D$9:$D$1005679,"&gt;"&amp;$E$7,Journals!$D$9:$D$1005679,"&lt;"&amp;$E$8,Journals!$J$9:$J$1005679,"dividend receivable"))</f>
        <v>0</v>
      </c>
      <c r="J46" s="37">
        <f>SUMIFS(Journals!$K$9:$K$1005679,Journals!$D$9:$D$1005679,"&lt;"&amp;$F$7,Journals!$J$9:$J$1005679,"dividend receivable")-SUMIFS(Journals!$L$9:$L$1005679,Journals!$D$9:$D$1005679,"&lt;"&amp;$F$7,Journals!$J$9:$J$1005679,"dividend receivable")</f>
        <v>1040746.3950000005</v>
      </c>
      <c r="K46" s="37"/>
      <c r="L46" s="56">
        <f>J46+H46-I46</f>
        <v>1341805.9950000001</v>
      </c>
      <c r="M46" s="56"/>
      <c r="N46" s="38"/>
      <c r="O46" s="38"/>
      <c r="Q46" s="3"/>
      <c r="R46" s="3"/>
      <c r="T46" s="5"/>
      <c r="U46" s="5"/>
    </row>
    <row r="47" spans="2:21" x14ac:dyDescent="0.25">
      <c r="G47" s="31" t="str">
        <f>'Chart of Accounts'!B37</f>
        <v>Custodian fee</v>
      </c>
      <c r="H47" s="34">
        <f>MAX(0,SUMIFS(Journals!$K$9:$K$1005679,Journals!$D$9:$D$1005679,"&gt;"&amp;$E$7,Journals!$D$9:$D$1005679,"&lt;"&amp;$E$8,Journals!$J$9:$J$1005679,"custodian fee")-SUMIFS(Journals!$L$9:$L$1005679,Journals!$D$9:$D$1005679,"&gt;"&amp;$E$7,Journals!$D$9:$D$1005679,"&lt;"&amp;$E$8,Journals!$J$9:$J$1005679,"custodian fee"))</f>
        <v>128051.13</v>
      </c>
      <c r="I47" s="106"/>
      <c r="J47" s="37"/>
      <c r="K47" s="37"/>
      <c r="L47" s="56"/>
      <c r="M47" s="56"/>
      <c r="N47" s="38">
        <f>SUMIFS(Journals!$K$9:$K$1005679,Journals!$D$9:$D$1005679,"&lt;"&amp;$F$7,Journals!$J$9:$J$1005679,"custodian fee")-SUMIFS(Journals!$L$9:$L$1005679,Journals!$D$9:$D$1005679,"&lt;"&amp;$F$7,Journals!$J$9:$J$1005679,"custodian fee")</f>
        <v>358991.09999999992</v>
      </c>
      <c r="O47" s="38"/>
      <c r="P47" s="5"/>
      <c r="Q47" s="3"/>
      <c r="R47" s="3"/>
      <c r="S47" s="5"/>
      <c r="T47" s="5"/>
      <c r="U47" s="5"/>
    </row>
    <row r="48" spans="2:21" x14ac:dyDescent="0.25">
      <c r="G48" s="31" t="str">
        <f>'Chart of Accounts'!B38</f>
        <v>IPO Application</v>
      </c>
      <c r="H48" s="34">
        <f>MAX(0,SUMIFS(Journals!$K$9:$K$1005679,Journals!$D$9:$D$1005679,"&gt;"&amp;$E$7,Journals!$D$9:$D$1005679,"&lt;"&amp;$E$8,Journals!$J$9:$J$1005679,"IPO APPLICATION")-SUMIFS(Journals!$L$9:$L$1005679,Journals!$D$9:$D$1005679,"&gt;"&amp;$E$7,Journals!$D$9:$D$1005679,"&lt;"&amp;$E$8,Journals!$J$9:$J$1005679,"IPO APPLICATION"))</f>
        <v>0</v>
      </c>
      <c r="I48" s="106">
        <f>MAX(0,SUMIFS(Journals!$L$9:$L$1005679,Journals!$D$9:$D$1005679,"&gt;"&amp;$E$7,Journals!$D$9:$D$1005679,"&lt;"&amp;$E$8,Journals!$J$9:$J$1005679,"IPO APPLICATION")-SUMIFS(Journals!$K$9:$K$1005679,Journals!$D$9:$D$1005679,"&gt;"&amp;$E$7,Journals!$D$9:$D$1005679,"&lt;"&amp;$E$8,Journals!$J$9:$J$1005679,"IPO APPLICATION"))</f>
        <v>0</v>
      </c>
      <c r="J48" s="37">
        <f>SUMIFS(Journals!$K$9:$K$1005679,Journals!$D$9:$D$1005679,"&lt;"&amp;$F$7,Journals!$J$9:$J$1005679,"IPO APPLICATION")-SUMIFS(Journals!$L$9:$L$1005679,Journals!$D$9:$D$1005679,"&lt;"&amp;$F$7,Journals!$J$9:$J$1005679,"IPO APPLICATION")</f>
        <v>0</v>
      </c>
      <c r="K48" s="37"/>
      <c r="L48" s="56">
        <f>J48+H48-I48</f>
        <v>0</v>
      </c>
      <c r="M48" s="56"/>
      <c r="N48" s="38"/>
      <c r="O48" s="38"/>
      <c r="Q48" s="3"/>
      <c r="R48" s="3"/>
      <c r="T48" s="5"/>
      <c r="U48" s="5"/>
    </row>
    <row r="49" spans="3:29" x14ac:dyDescent="0.25">
      <c r="G49" s="31" t="str">
        <f>'Chart of Accounts'!B39</f>
        <v>IPO Application Fee</v>
      </c>
      <c r="H49" s="34">
        <f>MAX(0,SUMIFS(Journals!$K$9:$K$1005679,Journals!$D$9:$D$1005679,"&gt;"&amp;$E$7,Journals!$D$9:$D$1005679,"&lt;"&amp;$E$8,Journals!$J$9:$J$1005679,"IPO APPLICATION FEE")-SUMIFS(Journals!$L$9:$L$1005679,Journals!$D$9:$D$1005679,"&gt;"&amp;$E$7,Journals!$D$9:$D$1005679,"&lt;"&amp;$E$8,Journals!$J$9:$J$1005679,"IPO APPLICATION FEE"))</f>
        <v>0</v>
      </c>
      <c r="I49" s="106"/>
      <c r="J49" s="37"/>
      <c r="K49" s="37"/>
      <c r="L49" s="56"/>
      <c r="M49" s="56"/>
      <c r="N49" s="38">
        <f>SUMIFS(Journals!$K$9:$K$1005679,Journals!$D$9:$D$1005679,"&lt;"&amp;$F$7,Journals!$J$9:$J$1005679,"IPO APPLICATION FEE")-SUMIFS(Journals!$L$9:$L$1005679,Journals!$D$9:$D$1005679,"&lt;"&amp;$F$7,Journals!$J$9:$J$1005679,"IPO APPLICATION FEE")</f>
        <v>36000</v>
      </c>
      <c r="O49" s="38"/>
      <c r="Q49" s="3"/>
      <c r="R49" s="3"/>
      <c r="T49" s="5"/>
      <c r="U49" s="5"/>
    </row>
    <row r="50" spans="3:29" x14ac:dyDescent="0.25">
      <c r="G50" s="31" t="s">
        <v>200</v>
      </c>
      <c r="H50" s="34">
        <f>MAX(0,SUMIFS(Journals!$K$9:$K$1005679,Journals!$D$9:$D$1005679,"&gt;"&amp;$E$7,Journals!$D$9:$D$1005679,"&lt;"&amp;$E$8,Journals!$J$9:$J$1005679,"realized gain")-SUMIFS(Journals!$L$9:$L$1005679,Journals!$D$9:$D$1005679,"&gt;"&amp;$E$7,Journals!$D$9:$D$1005679,"&lt;"&amp;$E$8,Journals!$J$9:$J$1005679,"realized gain"))</f>
        <v>0</v>
      </c>
      <c r="I50" s="106">
        <f>MAX(0,SUMIFS(Journals!$L$9:$L$1005679,Journals!$D$9:$D$1005679,"&gt;"&amp;$E$7,Journals!$D$9:$D$1005679,"&lt;"&amp;$E$8,Journals!$J$9:$J$1005679,"realized gain")-SUMIFS(Journals!$K$9:$K$1005679,Journals!$D$9:$D$1005679,"&gt;"&amp;$E$7,Journals!$D$9:$D$1005679,"&lt;"&amp;$E$8,Journals!$J$9:$J$1005679,"realized gain"))</f>
        <v>12035291.820000004</v>
      </c>
      <c r="J50" s="37"/>
      <c r="K50" s="37"/>
      <c r="L50" s="56"/>
      <c r="M50" s="56"/>
      <c r="N50" s="38"/>
      <c r="O50" s="38">
        <f>SUMIFS(Journals!$L$9:$L$1005679,Journals!$D$9:$D$1005679,"&lt;"&amp;$F$7,Journals!$J$9:$J$1005679,"realized gain")-SUMIFS(Journals!$K$9:$K$1005679,Journals!$D$9:$D$1005679,"&lt;"&amp;$F$7,Journals!$J$9:$J$1005679,"realized gain")</f>
        <v>1411595.9599999972</v>
      </c>
      <c r="Q50" s="3"/>
      <c r="R50" s="3"/>
      <c r="T50" s="5"/>
      <c r="U50" s="5"/>
    </row>
    <row r="51" spans="3:29" x14ac:dyDescent="0.25">
      <c r="G51" s="31" t="s">
        <v>1617</v>
      </c>
      <c r="H51" s="34">
        <f>MAX(0,SUMIFS(Journals!$K$9:$K$1005679,Journals!$D$9:$D$1005679,"&gt;"&amp;$E$7,Journals!$D$9:$D$1005679,"&lt;"&amp;$E$8,Journals!$J$9:$J$1005679,"Realized gain on T-Bill")-SUMIFS(Journals!$L$9:$L$1005679,Journals!$D$9:$D$1005679,"&gt;"&amp;$E$7,Journals!$D$9:$D$1005679,"&lt;"&amp;$E$8,Journals!$J$9:$J$1005679,"Realized gain on T-Bill"))</f>
        <v>0</v>
      </c>
      <c r="I51" s="106">
        <f>MAX(0,SUMIFS(Journals!$L$9:$L$1005679,Journals!$D$9:$D$1005679,"&gt;"&amp;$E$7,Journals!$D$9:$D$1005679,"&lt;"&amp;$E$8,Journals!$J$9:$J$1005679,"Realized gain on T-Bill")-SUMIFS(Journals!$K$9:$K$1005679,Journals!$D$9:$D$1005679,"&gt;"&amp;$E$7,Journals!$D$9:$D$1005679,"&lt;"&amp;$E$8,Journals!$J$9:$J$1005679,"Realized gain on T-Bill"))</f>
        <v>0</v>
      </c>
      <c r="J51" s="37"/>
      <c r="K51" s="37"/>
      <c r="L51" s="56"/>
      <c r="M51" s="56"/>
      <c r="N51" s="38"/>
      <c r="O51" s="38">
        <f>SUMIFS(Journals!$L$9:$L$1005679,Journals!$D$9:$D$1005679,"&lt;"&amp;$F$7,Journals!$J$9:$J$1005679,"Realized gain on T-Bill")-SUMIFS(Journals!$K$9:$K$1005679,Journals!$D$9:$D$1005679,"&lt;"&amp;$F$7,Journals!$J$9:$J$1005679,"Realized gain on T-Bill")</f>
        <v>4268649.2</v>
      </c>
      <c r="Q51" s="3"/>
      <c r="R51" s="3"/>
      <c r="T51" s="5"/>
      <c r="U51" s="5"/>
    </row>
    <row r="52" spans="3:29" x14ac:dyDescent="0.25">
      <c r="G52" s="31" t="s">
        <v>1618</v>
      </c>
      <c r="H52" s="34">
        <f>MAX(0,SUMIFS(Journals!$K$9:$K$1005679,Journals!$D$9:$D$1005679,"&gt;"&amp;$E$7,Journals!$D$9:$D$1005679,"&lt;"&amp;$E$8,Journals!$J$9:$J$1005679,"Realized gain on T-Bill")-SUMIFS(Journals!$L$9:$L$1005679,Journals!$D$9:$D$1005679,"&gt;"&amp;$E$7,Journals!$D$9:$D$1005679,"&lt;"&amp;$E$8,Journals!$J$9:$J$1005679,"Realized gain on T-Bill"))</f>
        <v>0</v>
      </c>
      <c r="I52" s="106">
        <f>MAX(0,SUMIFS(Journals!$L$9:$L$1005679,Journals!$D$9:$D$1005679,"&gt;"&amp;$E$7,Journals!$D$9:$D$1005679,"&lt;"&amp;$E$8,Journals!$J$9:$J$1005679,"Realized gain on T-Bond")-SUMIFS(Journals!$K$9:$K$1005679,Journals!$D$9:$D$1005679,"&gt;"&amp;$E$7,Journals!$D$9:$D$1005679,"&lt;"&amp;$E$8,Journals!$J$9:$J$1005679,"Realized gain on T-Bond"))</f>
        <v>4345089.472000001</v>
      </c>
      <c r="J52" s="37"/>
      <c r="K52" s="37"/>
      <c r="L52" s="56"/>
      <c r="M52" s="56"/>
      <c r="N52" s="38"/>
      <c r="O52" s="38">
        <f>SUMIFS(Journals!$L$9:$L$1005679,Journals!$D$9:$D$1005679,"&lt;"&amp;$F$7,Journals!$J$9:$J$1005679,"Realized gain on T-Bond")-SUMIFS(Journals!$K$9:$K$1005679,Journals!$D$9:$D$1005679,"&lt;"&amp;$F$7,Journals!$J$9:$J$1005679,"Realized gain on T-Bond")</f>
        <v>1161353.8229411759</v>
      </c>
      <c r="Q52" s="3"/>
      <c r="R52" s="3"/>
      <c r="T52" s="5"/>
      <c r="U52" s="5"/>
    </row>
    <row r="53" spans="3:29" x14ac:dyDescent="0.25">
      <c r="G53" s="31" t="s">
        <v>199</v>
      </c>
      <c r="H53" s="34">
        <f>MAX(0,SUMIFS(Journals!$K$9:$K$1005679,Journals!$D$9:$D$1005679,"&gt;"&amp;$E$7,Journals!$D$9:$D$1005679,"&lt;"&amp;$E$8,Journals!$J$9:$J$1005679,"receivable from broker")-SUMIFS(Journals!$L$9:$L$1005679,Journals!$D$9:$D$1005679,"&gt;"&amp;$E$7,Journals!$D$9:$D$1005679,"&lt;"&amp;$E$8,Journals!$J$9:$J$1005679,"receivable from broker"))</f>
        <v>1357722.111399889</v>
      </c>
      <c r="I53" s="106">
        <f>MAX(0,SUMIFS(Journals!$L$9:$L$1005679,Journals!$D$9:$D$1005679,"&gt;"&amp;$E$7,Journals!$D$9:$D$1005679,"&lt;"&amp;$E$8,Journals!$J$9:$J$1005679,"Receivable from broker")-SUMIFS(Journals!$K$9:$K$1005679,Journals!$D$9:$D$1005679,"&gt;"&amp;$E$7,Journals!$D$9:$D$1005679,"&lt;"&amp;$E$8,Journals!$J$9:$J$1005679,"Receivable from broker"))</f>
        <v>0</v>
      </c>
      <c r="J53" s="37">
        <f>SUMIFS(Journals!$K$9:$K$1005679,Journals!$D$9:$D$1005679,"&lt;"&amp;$F$7,Journals!$J$9:$J$1005679,"receivable from broker")-SUMIFS(Journals!$L$9:$L$1005679,Journals!$D$9:$D$1005679,"&lt;"&amp;$F$7,Journals!$J$9:$J$1005679,"receivable from broker")</f>
        <v>-1.3213998973369598</v>
      </c>
      <c r="K53" s="37"/>
      <c r="L53" s="56">
        <f>J53+H53-I53</f>
        <v>1357720.7899999917</v>
      </c>
      <c r="M53" s="56"/>
      <c r="N53" s="38"/>
      <c r="O53" s="38"/>
    </row>
    <row r="54" spans="3:29" x14ac:dyDescent="0.25">
      <c r="G54" s="31" t="s">
        <v>314</v>
      </c>
      <c r="H54" s="34">
        <f>MAX(0,SUMIFS(Journals!$K$9:$K$1005679,Journals!$D$9:$D$1005679,"&gt;"&amp;$E$7,Journals!$D$9:$D$1005679,"&lt;"&amp;$E$8,Journals!$J$9:$J$1005679,"dividend equalization reserve"))</f>
        <v>0</v>
      </c>
      <c r="I54" s="106">
        <f>MAX(0,SUMIFS(Journals!$L$9:$L$1005679,Journals!$D$9:$D$1005679,"&gt;"&amp;$E$7,Journals!$D$9:$D$1005679,"&lt;"&amp;$E$8,Journals!$J$9:$J$1005679,"dividend equalization reserve"))</f>
        <v>0</v>
      </c>
      <c r="J54" s="37"/>
      <c r="K54" s="37">
        <f>SUMIFS(Journals!$L$9:$L$1005679,Journals!$D$9:$D$1005679,"&lt;"&amp;$F$7,Journals!$J$9:$J$1005679,"Dividend Equalization Reserve")-SUMIFS(Journals!$K$9:$K$1005679,Journals!$D$9:$D$1005679,"&lt;"&amp;$F$7,Journals!$J$9:$J$1005679,"Dividend Equalization Reserve")</f>
        <v>0</v>
      </c>
      <c r="L54" s="56">
        <f>H54</f>
        <v>0</v>
      </c>
      <c r="M54" s="56">
        <f>I54</f>
        <v>0</v>
      </c>
      <c r="N54" s="38"/>
      <c r="O54" s="38"/>
    </row>
    <row r="55" spans="3:29" x14ac:dyDescent="0.25">
      <c r="G55" s="31" t="s">
        <v>317</v>
      </c>
      <c r="H55" s="34">
        <f>MAX(0,SUMIFS(Journals!$K$9:$K$1005679,Journals!$D$9:$D$1005679,"&gt;"&amp;$E$7,Journals!$D$9:$D$1005679,"&lt;"&amp;$E$8,Journals!$J$9:$J$1005679,"retained earnings")-SUMIFS(Journals!$L$9:$L$1005679,Journals!$D$9:$D$1005679,"&gt;"&amp;$E$7,Journals!$D$9:$D$1005679,"&lt;"&amp;$E$8,Journals!$J$9:$J$1005679,"retained earnings"))</f>
        <v>8043791</v>
      </c>
      <c r="I55" s="106">
        <f>MAX(0,SUMIFS(Journals!$L$9:$L$1005679,Journals!$D$9:$D$1005679,"&gt;"&amp;$E$7,Journals!$D$9:$D$1005679,"&lt;"&amp;$E$8,Journals!$J$9:$J$1005679,"retained earnings")-SUMIFS(Journals!$K$9:$K$1005679,Journals!$D$9:$D$1005679,"&gt;"&amp;$E$7,Journals!$D$9:$D$1005679,"&lt;"&amp;$E$8,Journals!$J$9:$J$1005679,"retained earnings"))</f>
        <v>0</v>
      </c>
      <c r="J55" s="37"/>
      <c r="K55" s="37"/>
      <c r="L55" s="56"/>
      <c r="M55" s="56"/>
      <c r="N55" s="38"/>
      <c r="O55" s="38"/>
    </row>
    <row r="56" spans="3:29" x14ac:dyDescent="0.25">
      <c r="G56" s="31" t="s">
        <v>316</v>
      </c>
      <c r="H56" s="34">
        <f>MAX(0,SUMIFS(Journals!$K$9:$K$1005679,Journals!$D$9:$D$1005679,"&gt;"&amp;$E$7,Journals!$D$9:$D$1005679,"&lt;"&amp;$E$8,Journals!$J$9:$J$1005679,"dividend payable"))</f>
        <v>8043791</v>
      </c>
      <c r="I56" s="106">
        <f>MAX(0,SUMIFS(Journals!$L$9:$L$1005679,Journals!$D$9:$D$1005679,"&gt;"&amp;$E$7,Journals!$D$9:$D$1005679,"&lt;"&amp;$E$8,Journals!$J$9:$J$1005679,"dividend payable"))</f>
        <v>8043791</v>
      </c>
      <c r="J56" s="37">
        <f>SUMIFS(Journals!$K$9:$K$1005679,Journals!$D$9:$D$1005679,"&lt;"&amp;$F$7,Journals!$J$9:$J$1005679,"Dividend Payable")</f>
        <v>4261889</v>
      </c>
      <c r="K56" s="37">
        <f>SUMIFS(Journals!$L$9:$L$1005679,Journals!$D$9:$D$1005679,"&lt;"&amp;$F$7,Journals!$J$9:$J$1005679,"Dividend Payable")</f>
        <v>4261889</v>
      </c>
      <c r="L56" s="56"/>
      <c r="M56" s="56"/>
      <c r="N56" s="38">
        <f>J56</f>
        <v>4261889</v>
      </c>
      <c r="O56" s="38"/>
    </row>
    <row r="57" spans="3:29" x14ac:dyDescent="0.25">
      <c r="G57" s="31" t="s">
        <v>478</v>
      </c>
      <c r="H57" s="34">
        <f>MAX(0,SUMIFS(Journals!$K$9:$K$1005679,Journals!$D$9:$D$1005679,"&gt;"&amp;$E$7,Journals!$D$9:$D$1005679,"&lt;"&amp;$E$8,Journals!$J$9:$J$1005679,"Withholding Tax Payable"))</f>
        <v>2118139.2224334544</v>
      </c>
      <c r="I57" s="106">
        <f>MAX(0,SUMIFS(Journals!$L$9:$L$1005679,Journals!$D$9:$D$1005679,"&gt;"&amp;$E$7,Journals!$D$9:$D$1005679,"&lt;"&amp;$E$8,Journals!$J$9:$J$1005679,"Withholding Tax Payable"))</f>
        <v>1953923.536905335</v>
      </c>
      <c r="J57" s="37">
        <f>SUMIFS(Journals!$K$9:$K$1005679,Journals!$D$9:$D$1005679,"&lt;"&amp;$F$7,Journals!$J$9:$J$1005679,"Withholding Tax Payable")-SUMIFS(Journals!$L$9:$L$1005679,Journals!$D$9:$D$1005679,"&lt;"&amp;$F$7,Journals!$J$9:$J$1005679,"Withholding Tax Payable")</f>
        <v>-164215.69000000018</v>
      </c>
      <c r="K57" s="37">
        <f>SUMIFS(Journals!$L$9:$L$1005679,Journals!$D$9:$D$1005679,"&lt;"&amp;$F$7,Journals!$J$9:$J$1005679,"Withholding Tax Payable")-SUMIFS(Journals!$K$9:$K$1005679,Journals!$D$9:$D$1005679,"&lt;"&amp;$F$7,Journals!$J$9:$J$1005679,"Withholding Tax Payable")</f>
        <v>164215.69000000018</v>
      </c>
      <c r="L57" s="56"/>
      <c r="M57" s="56">
        <f t="shared" ref="M57" si="1">K57+I57-H57</f>
        <v>4.4718808494508266E-3</v>
      </c>
      <c r="N57" s="38"/>
      <c r="O57" s="38"/>
    </row>
    <row r="58" spans="3:29" s="139" customFormat="1" x14ac:dyDescent="0.25">
      <c r="C58" s="151"/>
      <c r="G58" s="152" t="s">
        <v>1708</v>
      </c>
      <c r="H58" s="34">
        <f>SUMIFS(Journals!$K$9:$K$1005679,Journals!$D$9:$D$1005679,"&gt;"&amp;$E$7,Journals!$D$9:$D$1005679,"&lt;"&amp;$E$8,Journals!$J$9:$J$1005679,"Withholding Tax Payable for News Paper")</f>
        <v>2500</v>
      </c>
      <c r="I58" s="106">
        <f>MAX(0,SUMIFS(Journals!$L$9:$L$1005679,Journals!$D$9:$D$1005679,"&gt;"&amp;$E$7,Journals!$D$9:$D$1005679,"&lt;"&amp;$E$8,Journals!$J$9:$J$1005679,"Withholding Tax Payable for News Paper"))</f>
        <v>2750</v>
      </c>
      <c r="J58" s="37">
        <f>SUMIFS(Journals!$K$9:$K$1005679,Journals!$D$9:$D$1005679,"&lt;"&amp;$F$7,Journals!$J$9:$J$1005679,"Withholding Tax Payable for News Paper")-SUMIFS(Journals!$L$9:$L$1005679,Journals!$D$9:$D$1005679,"&lt;"&amp;$F$7,Journals!$J$9:$J$1005679,"Withholding Tax Payable for News Paper")</f>
        <v>-250</v>
      </c>
      <c r="K58" s="37">
        <f>SUMIFS(Journals!$L$9:$L$1005679,Journals!$D$9:$D$1005679,"&lt;"&amp;$F$7,Journals!$J$9:$J$1005679,"Withholding Tax Payable for News Paper")-SUMIFS(Journals!$K$9:$K$1005679,Journals!$D$9:$D$1005679,"&lt;"&amp;$F$7,Journals!$J$9:$J$1005679,"Withholding Tax Payable for News Paper")</f>
        <v>250</v>
      </c>
      <c r="L58" s="56"/>
      <c r="M58" s="56">
        <f t="shared" ref="M58:M59" si="2">K58+I58-H58</f>
        <v>500</v>
      </c>
      <c r="N58" s="38"/>
      <c r="O58" s="38"/>
      <c r="S58" s="151"/>
      <c r="T58" s="151"/>
      <c r="V58" s="151"/>
      <c r="X58" s="214"/>
      <c r="Y58" s="214"/>
      <c r="Z58" s="214"/>
      <c r="AA58" s="214"/>
      <c r="AB58" s="214"/>
      <c r="AC58" s="214"/>
    </row>
    <row r="59" spans="3:29" s="139" customFormat="1" x14ac:dyDescent="0.25">
      <c r="C59" s="151"/>
      <c r="G59" s="152" t="s">
        <v>1707</v>
      </c>
      <c r="H59" s="34">
        <f>SUMIFS(Journals!$K$9:$K$1005679,Journals!$D$9:$D$1005679,"&gt;"&amp;$E$7,Journals!$D$9:$D$1005679,"&lt;"&amp;$E$8,Journals!$J$9:$J$1005679,"Withholding Tax Payable for Telnet")</f>
        <v>1575</v>
      </c>
      <c r="I59" s="106">
        <f>MAX(0,SUMIFS(Journals!$L$9:$L$1005679,Journals!$D$9:$D$1005679,"&gt;"&amp;$E$7,Journals!$D$9:$D$1005679,"&lt;"&amp;$E$8,Journals!$J$9:$J$1005679,"Withholding Tax Payable for Telnet"))</f>
        <v>1650</v>
      </c>
      <c r="J59" s="37">
        <f>SUMIFS(Journals!$K$9:$K$1005679,Journals!$D$9:$D$1005679,"&lt;"&amp;$F$7,Journals!$J$9:$J$1005679,"Withholding Tax Payable for Telnet")-SUMIFS(Journals!$L$9:$L$1005679,Journals!$D$9:$D$1005679,"&lt;"&amp;$F$7,Journals!$J$9:$J$1005679,"Withholding Tax Payable for Telnet")</f>
        <v>0</v>
      </c>
      <c r="K59" s="37">
        <f>SUMIFS(Journals!$L$9:$L$1005679,Journals!$D$9:$D$1005679,"&lt;"&amp;$F$7,Journals!$J$9:$J$1005679,"Withholding Tax Payable for Telnet")-SUMIFS(Journals!$K$9:$K$1005679,Journals!$D$9:$D$1005679,"&lt;"&amp;$F$7,Journals!$J$9:$J$1005679,"Withholding Tax Payable for Telnet")</f>
        <v>0</v>
      </c>
      <c r="L59" s="56"/>
      <c r="M59" s="56">
        <f t="shared" si="2"/>
        <v>75</v>
      </c>
      <c r="N59" s="38"/>
      <c r="O59" s="38"/>
      <c r="S59" s="151"/>
      <c r="T59" s="151"/>
      <c r="V59" s="151"/>
      <c r="X59" s="214"/>
      <c r="Y59" s="214"/>
      <c r="Z59" s="214"/>
      <c r="AA59" s="214"/>
      <c r="AB59" s="214"/>
      <c r="AC59" s="214"/>
    </row>
    <row r="60" spans="3:29" x14ac:dyDescent="0.25">
      <c r="G60" s="31" t="s">
        <v>1457</v>
      </c>
      <c r="H60" s="34">
        <f>MAX(0,SUMIFS(Journals!$K$9:$K$1005679,Journals!$D$9:$D$1005679,"&gt;"&amp;$E$7,Journals!$D$9:$D$1005679,"&lt;"&amp;$E$8,Journals!$J$9:$J$1005679,"Receivable from FDR")-SUMIFS(Journals!$L$9:$L$1005679,Journals!$D$9:$D$1005679,"&gt;"&amp;$E$7,Journals!$D$9:$D$1005679,"&lt;"&amp;$E$8,Journals!$J$9:$J$1005679,"Receivable from FDR"))</f>
        <v>0</v>
      </c>
      <c r="I60" s="106">
        <f>MAX(0,SUMIFS(Journals!$L$9:$L$1005679,Journals!$D$9:$D$1005679,"&gt;"&amp;$E$7,Journals!$D$9:$D$1005679,"&lt;"&amp;$E$8,Journals!$J$9:$J$1005679,"Receivable from FDR")-SUMIFS(Journals!$K$9:$K$1005679,Journals!$D$9:$D$1005679,"&gt;"&amp;$E$7,Journals!$D$9:$D$1005679,"&lt;"&amp;$E$8,Journals!$J$9:$J$1005679,"Receivable from FDR"))</f>
        <v>0</v>
      </c>
      <c r="J60" s="37">
        <f>SUMIFS(Journals!$K$9:$K$1005679,Journals!$D$9:$D$1005679,"&lt;"&amp;$F$7,Journals!$J$9:$J$1005679,"Receivable from FDR")-SUMIFS(Journals!$L$9:$L$1005679,Journals!$D$9:$D$1005679,"&lt;"&amp;$F$7,Journals!$J$9:$J$1005679,"Receivable from FDR")</f>
        <v>0</v>
      </c>
      <c r="K60" s="37"/>
      <c r="L60" s="56">
        <f>J60+H60-I60</f>
        <v>0</v>
      </c>
      <c r="M60" s="56"/>
      <c r="N60" s="38"/>
      <c r="O60" s="38"/>
    </row>
    <row r="61" spans="3:29" x14ac:dyDescent="0.25">
      <c r="G61" s="31" t="s">
        <v>1615</v>
      </c>
      <c r="H61" s="34">
        <f>MAX(0,SUMIFS(Journals!$K$9:$K$1003252,Journals!$D$9:$D$1003252,"&gt;"&amp;$E$7,Journals!$D$9:$D$1003252,"&lt;"&amp;$E$8,Journals!$J$9:$J$1003252,"Investments in T-Bond")-SUMIFS(Journals!$L$9:$L$1003252,Journals!$D$9:$D$1003252,"&gt;"&amp;$E$7,Journals!$D$9:$D$1003252,"&lt;"&amp;$E$8,Journals!$J$9:$J$1003252,"Investments in T-Bond"))</f>
        <v>0</v>
      </c>
      <c r="I61" s="106">
        <f>MAX(0,SUMIFS(Journals!$L$9:$L$1003252,Journals!$D$9:$D$1003252,"&gt;"&amp;$E$7,Journals!$D$9:$D$1003252,"&lt;"&amp;$E$8,Journals!$J$9:$J$1003252,"Investments in T-Bond")-SUMIFS(Journals!$K$9:$K$1003252,Journals!$D$9:$D$1003252,"&gt;"&amp;$E$7,Journals!$D$9:$D$1003252,"&lt;"&amp;$E$8,Journals!$J$9:$J$1003252,"Investments in T-Bond"))</f>
        <v>22025793.417941153</v>
      </c>
      <c r="J61" s="37">
        <f>SUMIFS(Journals!$K$9:$K$1003252,Journals!$D$9:$D$1003252,"&lt;"&amp;$F$7,Journals!$J$9:$J$1003252,"Investments in T-Bond")-SUMIFS(Journals!$L$9:$L$1003252,Journals!$D$9:$D$1003252,"&lt;"&amp;$F$7,Journals!$J$9:$J$1003252,"Investments in T-Bond")</f>
        <v>22025793.417941153</v>
      </c>
      <c r="K61" s="37"/>
      <c r="L61" s="56">
        <f>J61+H61-I61</f>
        <v>0</v>
      </c>
      <c r="M61" s="56"/>
      <c r="N61" s="38"/>
      <c r="O61" s="38"/>
    </row>
    <row r="62" spans="3:29" x14ac:dyDescent="0.25">
      <c r="G62" s="31" t="s">
        <v>1461</v>
      </c>
      <c r="H62" s="106">
        <f>SUMIFS(Journals!$K$9:$K$1003252,Journals!$D$9:$D$1003252,"&gt;"&amp;$E$7,Journals!$D$9:$D$1003252,"&lt;"&amp;$E$8,Journals!$J$9:$J$1003252,"Bond Premium")</f>
        <v>0</v>
      </c>
      <c r="I62" s="106">
        <f>MAX(0,SUMIFS(Journals!$L$9:$L$1003252,Journals!$D$9:$D$1003252,"&gt;"&amp;$E$7,Journals!$D$9:$D$1003252,"&lt;"&amp;$E$8,Journals!$J$9:$J$1003252,"Bond Premium"))</f>
        <v>0</v>
      </c>
      <c r="J62" s="37">
        <f>SUMIFS(Journals!$K$9:$K$1003252,Journals!$D$9:$D$1003252,"&lt;"&amp;$F$7,Journals!$J$9:$J$1003252,"Bond Premium")-SUMIFS(Journals!$L$9:$L$1003252,Journals!$D$9:$D$1003252,"&lt;"&amp;$F$7,Journals!$J$9:$J$1003252,"Bond Premium")</f>
        <v>0</v>
      </c>
      <c r="K62" s="37"/>
      <c r="L62" s="56">
        <f>J62+H62-I62</f>
        <v>0</v>
      </c>
      <c r="M62" s="56"/>
      <c r="N62" s="38"/>
      <c r="O62" s="38"/>
    </row>
    <row r="63" spans="3:29" x14ac:dyDescent="0.25">
      <c r="G63" s="31" t="s">
        <v>1462</v>
      </c>
      <c r="H63" s="106">
        <f>MAX(0,SUMIFS(Journals!$K$9:$K$1003252,Journals!$D$9:$D$1003252,"&gt;"&amp;$E$7,Journals!$D$9:$D$1003252,"&lt;"&amp;$E$8,Journals!$J$9:$J$1003252,"Redemption Receivable")-SUMIFS(Journals!$L$9:$L$1003252,Journals!$D$9:$D$1003252,"&gt;"&amp;$E$7,Journals!$D$9:$D$1003252,"&lt;"&amp;$E$8,Journals!$J$9:$J$1003252,"Redemption Receivable"))</f>
        <v>0</v>
      </c>
      <c r="I63" s="106">
        <f>MAX(0,SUMIFS(Journals!$L$9:$L$1003252,Journals!$D$9:$D$1003252,"&gt;"&amp;$E$7,Journals!$D$9:$D$1003252,"&lt;"&amp;$E$8,Journals!$J$9:$J$1003252,"Redemption Receivable")-SUMIFS(Journals!$K$9:$K$1003252,Journals!$D$9:$D$1003252,"&gt;"&amp;$E$7,Journals!$D$9:$D$1003252,"&lt;"&amp;$E$8,Journals!$J$9:$J$1003252,"Redemption Receivable"))</f>
        <v>0</v>
      </c>
      <c r="J63" s="37">
        <f>SUMIFS(Journals!$K$9:$K$1003252,Journals!$D$9:$D$1003252,"&lt;"&amp;$F$7,Journals!$J$9:$J$1003252,"Redemption Receivable")-SUMIFS(Journals!$L$9:$L$1003252,Journals!$D$9:$D$1003252,"&lt;"&amp;$F$7,Journals!$J$9:$J$1003252,"Redemption Receivable")</f>
        <v>0</v>
      </c>
      <c r="K63" s="37"/>
      <c r="L63" s="56">
        <f>J63+H63-I63</f>
        <v>0</v>
      </c>
      <c r="M63" s="56"/>
      <c r="N63" s="38"/>
      <c r="O63" s="38"/>
    </row>
    <row r="64" spans="3:29" x14ac:dyDescent="0.25">
      <c r="G64" s="31" t="s">
        <v>1463</v>
      </c>
      <c r="H64" s="106">
        <f>MAX(0,SUMIFS(Journals!$K$9:$K$1003252,Journals!$D$9:$D$1003252,"&gt;"&amp;$E$7,Journals!$D$9:$D$1003252,"&lt;"&amp;$E$8,Journals!$J$9:$J$1003252,"Redemption of Investment")-SUMIFS(Journals!$L$9:$L$1003252,Journals!$D$9:$D$1003252,"&gt;"&amp;$E$7,Journals!$D$9:$D$1003252,"&lt;"&amp;$E$8,Journals!$J$9:$J$1003252,"Redemption of Investment"))</f>
        <v>0</v>
      </c>
      <c r="I64" s="106">
        <f>MAX(0,SUMIFS(Journals!$L$9:$L$1003252,Journals!$D$9:$D$1003252,"&gt;"&amp;$E$7,Journals!$D$9:$D$1003252,"&lt;"&amp;$E$8,Journals!$J$9:$J$1003252,"Redemption of Investment")-SUMIFS(Journals!$K$9:$K$1003252,Journals!$D$9:$D$1003252,"&gt;"&amp;$E$7,Journals!$D$9:$D$1003252,"&lt;"&amp;$E$8,Journals!$J$9:$J$1003252,"Redemption of Investment"))</f>
        <v>0</v>
      </c>
      <c r="J64" s="37"/>
      <c r="K64" s="37"/>
      <c r="L64" s="56"/>
      <c r="M64" s="56"/>
      <c r="N64" s="38"/>
      <c r="O64" s="38"/>
    </row>
    <row r="65" spans="7:15" x14ac:dyDescent="0.25">
      <c r="G65" s="31" t="s">
        <v>1464</v>
      </c>
      <c r="H65" s="106">
        <f>MAX(0,SUMIFS(Journals!$K$9:$K$1003252,Journals!$D$9:$D$1003252,"&gt;"&amp;$E$7,Journals!$D$9:$D$1003252,"&lt;"&amp;$E$8,Journals!$J$9:$J$1003252,"Interest Receivables from Bond")-SUMIFS(Journals!$L$9:$L$1003252,Journals!$D$9:$D$1003252,"&gt;"&amp;$E$7,Journals!$D$9:$D$1003252,"&lt;"&amp;$E$8,Journals!$J$9:$J$1003252,"Interest Receivables from Bond"))</f>
        <v>0</v>
      </c>
      <c r="I65" s="106">
        <f>MAX(0,SUMIFS(Journals!$L$9:$L$1003252,Journals!$D$9:$D$1003252,"&gt;"&amp;$E$7,Journals!$D$9:$D$1003252,"&lt;"&amp;$E$8,Journals!$J$9:$J$1003252,"Interest Receivables from Bond")-SUMIFS(Journals!$K$9:$K$1003252,Journals!$D$9:$D$1003252,"&gt;"&amp;$E$7,Journals!$D$9:$D$1003252,"&lt;"&amp;$E$8,Journals!$J$9:$J$1003252,"Interest Receivables from Bond"))</f>
        <v>0</v>
      </c>
      <c r="J65" s="37">
        <f>SUMIFS(Journals!$K$9:$K$1003252,Journals!$D$9:$D$1003252,"&lt;"&amp;$F$7,Journals!$J$9:$J$1003252,"Interest Receivables from Bond")-SUMIFS(Journals!$L$9:$L$1003252,Journals!$D$9:$D$1003252,"&lt;"&amp;$F$7,Journals!$J$9:$J$1003252,"Interest Receivables from Bond")</f>
        <v>0</v>
      </c>
      <c r="K65" s="37"/>
      <c r="L65" s="56">
        <f>H65+J65-I65</f>
        <v>0</v>
      </c>
      <c r="M65" s="56"/>
      <c r="N65" s="38"/>
      <c r="O65" s="38"/>
    </row>
    <row r="66" spans="7:15" x14ac:dyDescent="0.25">
      <c r="G66" s="31" t="s">
        <v>1465</v>
      </c>
      <c r="H66" s="106">
        <f>MAX(0,SUMIFS(Journals!$K$9:$K$1003252,Journals!$D$9:$D$1003252,"&gt;"&amp;$E$7,Journals!$D$9:$D$1003252,"&lt;"&amp;$E$8,Journals!$J$9:$J$1003252,"Investment in T-Bill")-SUMIFS(Journals!$L$9:$L$1003252,Journals!$D$9:$D$1003252,"&gt;"&amp;$E$7,Journals!$D$9:$D$1003252,"&lt;"&amp;$E$8,Journals!$J$9:$J$1003252,"Investment in T-Bill"))</f>
        <v>0</v>
      </c>
      <c r="I66" s="106">
        <f>MAX(0,SUMIFS(Journals!$L$9:$L$1003252,Journals!$D$9:$D$1003252,"&gt;"&amp;$E$7,Journals!$D$9:$D$1003252,"&lt;"&amp;$E$8,Journals!$J$9:$J$1003252,"Investment in T-Bill")-SUMIFS(Journals!$K$9:$K$1003252,Journals!$D$9:$D$1003252,"&gt;"&amp;$E$7,Journals!$D$9:$D$1003252,"&lt;"&amp;$E$8,Journals!$J$9:$J$1003252,"Investment in T-Bill"))</f>
        <v>0</v>
      </c>
      <c r="J66" s="37">
        <f>SUMIFS(Journals!$K$9:$K$1003252,Journals!$D$9:$D$1003252,"&lt;"&amp;$F$7,Journals!$J$9:$J$1003252,"Investment in T-Bill")-SUMIFS(Journals!$L$9:$L$1003252,Journals!$D$9:$D$1003252,"&lt;"&amp;$F$7,Journals!$J$9:$J$1003252,"Investment in T-Bill")</f>
        <v>0</v>
      </c>
      <c r="K66" s="37"/>
      <c r="L66" s="56">
        <f t="shared" ref="L66:L67" si="3">H66+J66-I66</f>
        <v>0</v>
      </c>
      <c r="M66" s="56"/>
      <c r="N66" s="38"/>
      <c r="O66" s="38"/>
    </row>
    <row r="67" spans="7:15" x14ac:dyDescent="0.25">
      <c r="G67" s="31" t="s">
        <v>1466</v>
      </c>
      <c r="H67" s="106">
        <f>MAX(0,SUMIFS(Journals!$K$9:$K$1003252,Journals!$D$9:$D$1003252,"&gt;"&amp;$E$7,Journals!$D$9:$D$1003252,"&lt;"&amp;$E$8,Journals!$J$9:$J$1003252,"Interest Receivables from T-Bill")-SUMIFS(Journals!$L$9:$L$1003252,Journals!$D$9:$D$1003252,"&gt;"&amp;$E$7,Journals!$D$9:$D$1003252,"&lt;"&amp;$E$8,Journals!$J$9:$J$1003252,"Interest Receivables from T-Bill"))</f>
        <v>0</v>
      </c>
      <c r="I67" s="106">
        <f>MAX(0,SUMIFS(Journals!$L$9:$L$1003252,Journals!$D$9:$D$1003252,"&gt;"&amp;$E$7,Journals!$D$9:$D$1003252,"&lt;"&amp;$E$8,Journals!$J$9:$J$1003252,"Interest Receivables from T-Bill")-SUMIFS(Journals!$K$9:$K$1003252,Journals!$D$9:$D$1003252,"&gt;"&amp;$E$7,Journals!$D$9:$D$1003252,"&lt;"&amp;$E$8,Journals!$J$9:$J$1003252,"Interest Receivables from T-Bill"))</f>
        <v>0</v>
      </c>
      <c r="J67" s="37">
        <f>SUMIFS(Journals!$K$9:$K$1003252,Journals!$D$9:$D$1003252,"&lt;"&amp;$F$7,Journals!$J$9:$J$1003252,"Interest Receivables from T-Bill")-SUMIFS(Journals!$L$9:$L$1003252,Journals!$D$9:$D$1003252,"&lt;"&amp;$F$7,Journals!$J$9:$J$1003252,"Interest Receivables from T-Bill")</f>
        <v>0</v>
      </c>
      <c r="K67" s="37"/>
      <c r="L67" s="56">
        <f t="shared" si="3"/>
        <v>0</v>
      </c>
      <c r="M67" s="56"/>
      <c r="N67" s="38"/>
      <c r="O67" s="38"/>
    </row>
  </sheetData>
  <mergeCells count="10">
    <mergeCell ref="B5:D5"/>
    <mergeCell ref="H5:I5"/>
    <mergeCell ref="J5:M5"/>
    <mergeCell ref="N5:O5"/>
    <mergeCell ref="A1:D1"/>
    <mergeCell ref="G1:O1"/>
    <mergeCell ref="A2:D2"/>
    <mergeCell ref="G2:O2"/>
    <mergeCell ref="A3:D3"/>
    <mergeCell ref="G3:O3"/>
  </mergeCells>
  <conditionalFormatting sqref="G1:O3">
    <cfRule type="cellIs" dxfId="3" priority="1" operator="notEqual">
      <formula>0</formula>
    </cfRule>
    <cfRule type="cellIs" dxfId="2" priority="2" operator="equal">
      <formula>0</formula>
    </cfRule>
  </conditionalFormatting>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pageSetUpPr fitToPage="1"/>
  </sheetPr>
  <dimension ref="A1:K74"/>
  <sheetViews>
    <sheetView showGridLines="0" topLeftCell="A4" zoomScale="130" zoomScaleNormal="130" zoomScaleSheetLayoutView="100" workbookViewId="0">
      <selection activeCell="C10" sqref="C10"/>
    </sheetView>
  </sheetViews>
  <sheetFormatPr defaultColWidth="8.88671875" defaultRowHeight="13.2" x14ac:dyDescent="0.25"/>
  <cols>
    <col min="1" max="1" width="42.44140625" style="2" bestFit="1" customWidth="1"/>
    <col min="2" max="2" width="8" style="9" customWidth="1"/>
    <col min="3" max="3" width="18.6640625" style="2" customWidth="1"/>
    <col min="4" max="4" width="0.5546875" style="2" customWidth="1"/>
    <col min="5" max="5" width="18.88671875" style="2" customWidth="1"/>
    <col min="6" max="6" width="11.33203125" style="2" bestFit="1" customWidth="1"/>
    <col min="7" max="7" width="14" style="2" bestFit="1" customWidth="1"/>
    <col min="8" max="8" width="11.6640625" style="2" customWidth="1"/>
    <col min="9" max="9" width="8.88671875" style="2"/>
    <col min="10" max="10" width="11.33203125" style="2" bestFit="1" customWidth="1"/>
    <col min="11" max="11" width="14" style="2" bestFit="1" customWidth="1"/>
    <col min="12" max="16384" width="8.88671875" style="2"/>
  </cols>
  <sheetData>
    <row r="1" spans="1:11" x14ac:dyDescent="0.25">
      <c r="A1" s="511" t="s">
        <v>1387</v>
      </c>
      <c r="B1" s="511"/>
      <c r="C1" s="511"/>
      <c r="D1" s="511"/>
      <c r="E1" s="511"/>
      <c r="F1" s="19"/>
      <c r="G1" s="19"/>
      <c r="H1" s="19"/>
    </row>
    <row r="2" spans="1:11" x14ac:dyDescent="0.25">
      <c r="A2" s="512" t="s">
        <v>251</v>
      </c>
      <c r="B2" s="512"/>
      <c r="C2" s="512"/>
      <c r="D2" s="512"/>
      <c r="E2" s="512"/>
    </row>
    <row r="3" spans="1:11" x14ac:dyDescent="0.25">
      <c r="A3" s="512" t="s">
        <v>1378</v>
      </c>
      <c r="B3" s="512"/>
      <c r="C3" s="512"/>
      <c r="D3" s="512"/>
      <c r="E3" s="512"/>
    </row>
    <row r="5" spans="1:11" ht="28.5" customHeight="1" x14ac:dyDescent="0.25">
      <c r="A5" s="513" t="s">
        <v>0</v>
      </c>
      <c r="B5" s="513" t="s">
        <v>18</v>
      </c>
      <c r="C5" s="217" t="s">
        <v>1379</v>
      </c>
      <c r="D5" s="91"/>
      <c r="E5" s="217" t="s">
        <v>804</v>
      </c>
    </row>
    <row r="6" spans="1:11" ht="15.75" customHeight="1" x14ac:dyDescent="0.25">
      <c r="A6" s="513"/>
      <c r="B6" s="513"/>
      <c r="C6" s="92" t="s">
        <v>19</v>
      </c>
      <c r="D6" s="9"/>
      <c r="E6" s="92" t="s">
        <v>20</v>
      </c>
    </row>
    <row r="7" spans="1:11" ht="4.5" customHeight="1" x14ac:dyDescent="0.25">
      <c r="A7" s="1"/>
      <c r="B7" s="4"/>
      <c r="C7" s="3"/>
      <c r="D7" s="6"/>
      <c r="E7" s="3"/>
    </row>
    <row r="8" spans="1:11" x14ac:dyDescent="0.25">
      <c r="A8" s="21" t="s">
        <v>21</v>
      </c>
      <c r="B8" s="69"/>
      <c r="C8" s="6"/>
      <c r="D8" s="6"/>
      <c r="E8" s="6"/>
    </row>
    <row r="9" spans="1:11" ht="13.8" thickBot="1" x14ac:dyDescent="0.3">
      <c r="A9" s="8" t="s">
        <v>22</v>
      </c>
      <c r="B9" s="109">
        <v>12</v>
      </c>
      <c r="C9" s="77">
        <f>SUM('TB-C'!I20:I25)</f>
        <v>929986.81808733894</v>
      </c>
      <c r="D9" s="6"/>
      <c r="E9" s="77">
        <f>SUM('TB-P'!I20:I25)</f>
        <v>5098115.6073100492</v>
      </c>
    </row>
    <row r="10" spans="1:11" ht="13.8" thickBot="1" x14ac:dyDescent="0.3">
      <c r="A10" s="2" t="s">
        <v>23</v>
      </c>
      <c r="B10" s="110">
        <v>13</v>
      </c>
      <c r="C10" s="79">
        <f>IF('TB-C'!I50&gt;0,'TB-C'!I50,-'TB-C'!H50)</f>
        <v>11929558.919999998</v>
      </c>
      <c r="D10" s="6"/>
      <c r="E10" s="79">
        <f>IF('TB-P'!I50&gt;0,'TB-P'!I50,-'TB-P'!H50)</f>
        <v>12035291.820000004</v>
      </c>
      <c r="G10" s="212">
        <f>((C9+C10+C13)-C34)*0.7</f>
        <v>7999209.9284975268</v>
      </c>
      <c r="H10" s="213" t="s">
        <v>671</v>
      </c>
      <c r="K10" s="5"/>
    </row>
    <row r="11" spans="1:11" ht="13.8" thickBot="1" x14ac:dyDescent="0.3">
      <c r="A11" s="2" t="s">
        <v>1625</v>
      </c>
      <c r="B11" s="110">
        <v>14</v>
      </c>
      <c r="C11" s="79">
        <f>IF('TB-C'!I51&gt;0,'TB-C'!I51,-'TB-C'!H51)</f>
        <v>0</v>
      </c>
      <c r="D11" s="6"/>
      <c r="E11" s="79">
        <f>IF('TB-P'!I51&gt;0,'TB-P'!I51,-'TB-P'!H51)</f>
        <v>0</v>
      </c>
      <c r="G11" s="212"/>
      <c r="K11" s="5"/>
    </row>
    <row r="12" spans="1:11" ht="13.8" thickBot="1" x14ac:dyDescent="0.3">
      <c r="A12" s="2" t="s">
        <v>1626</v>
      </c>
      <c r="B12" s="110">
        <v>15</v>
      </c>
      <c r="C12" s="79">
        <f>IF('TB-C'!I52&gt;0,'TB-C'!I52,-'TB-C'!H52)</f>
        <v>0</v>
      </c>
      <c r="D12" s="6"/>
      <c r="E12" s="79">
        <f>IF('TB-P'!I52&gt;0,'TB-P'!I52,-'TB-P'!H52)</f>
        <v>4345089.472000001</v>
      </c>
      <c r="G12" s="212"/>
      <c r="K12" s="5"/>
    </row>
    <row r="13" spans="1:11" ht="13.8" thickBot="1" x14ac:dyDescent="0.3">
      <c r="A13" s="2" t="s">
        <v>24</v>
      </c>
      <c r="B13" s="110">
        <v>14</v>
      </c>
      <c r="C13" s="79">
        <f>'TB-C'!$I$45</f>
        <v>365596.5</v>
      </c>
      <c r="D13" s="6"/>
      <c r="E13" s="79">
        <f>'TB-P'!$I$45</f>
        <v>6250543.1199999992</v>
      </c>
      <c r="G13" s="218">
        <f>G10/C41</f>
        <v>0.38352080060287402</v>
      </c>
      <c r="H13" s="2" t="s">
        <v>672</v>
      </c>
      <c r="K13" s="26"/>
    </row>
    <row r="14" spans="1:11" x14ac:dyDescent="0.25">
      <c r="A14" s="2" t="s">
        <v>1834</v>
      </c>
      <c r="B14" s="110">
        <v>15</v>
      </c>
      <c r="C14" s="79">
        <f>-'TB-C'!H45</f>
        <v>0</v>
      </c>
      <c r="D14" s="6"/>
      <c r="E14" s="79">
        <v>0</v>
      </c>
      <c r="G14" s="417"/>
      <c r="K14" s="26"/>
    </row>
    <row r="15" spans="1:11" x14ac:dyDescent="0.25">
      <c r="A15" s="2" t="s">
        <v>77</v>
      </c>
      <c r="B15" s="110">
        <v>15</v>
      </c>
      <c r="C15" s="79">
        <f>IF('TB-C'!I38&gt;0,-'TB-C'!I38,'TB-C'!H38)</f>
        <v>8735993.5599994808</v>
      </c>
      <c r="D15" s="6"/>
      <c r="E15" s="79">
        <f>IF('TB-P'!$I$38&gt;0,-'TB-P'!$I$38,'TB-P'!$H$38)</f>
        <v>4306713.3699999154</v>
      </c>
      <c r="J15" s="5"/>
      <c r="K15" s="26"/>
    </row>
    <row r="16" spans="1:11" x14ac:dyDescent="0.25">
      <c r="A16" s="2" t="s">
        <v>1619</v>
      </c>
      <c r="B16" s="110">
        <v>16</v>
      </c>
      <c r="C16" s="79">
        <f>IF('TB-C'!I39&gt;0,-'TB-C'!I39,'TB-C'!H39)</f>
        <v>0</v>
      </c>
      <c r="D16" s="6"/>
      <c r="E16" s="79">
        <f>IF('TB-P'!I39&gt;0,-'TB-P'!I39,'TB-P'!H39)</f>
        <v>0</v>
      </c>
      <c r="J16" s="5"/>
      <c r="K16" s="26"/>
    </row>
    <row r="17" spans="1:11" x14ac:dyDescent="0.25">
      <c r="A17" s="2" t="s">
        <v>1620</v>
      </c>
      <c r="B17" s="110">
        <v>17</v>
      </c>
      <c r="C17" s="78">
        <f>IF('TB-C'!I40&gt;0,-'TB-C'!I40,'TB-C'!H40)</f>
        <v>0</v>
      </c>
      <c r="D17" s="6"/>
      <c r="E17" s="78">
        <f>IF('TB-P'!I40&gt;0,-'TB-P'!I40,'TB-P'!H40)</f>
        <v>-178264.58705884591</v>
      </c>
      <c r="J17" s="5"/>
      <c r="K17" s="26"/>
    </row>
    <row r="18" spans="1:11" x14ac:dyDescent="0.25">
      <c r="A18" s="4" t="s">
        <v>25</v>
      </c>
      <c r="B18" s="4"/>
      <c r="C18" s="100">
        <f>SUM(C9:C17)</f>
        <v>21961135.798086818</v>
      </c>
      <c r="D18" s="7">
        <f>SUM(D9:D13)</f>
        <v>0</v>
      </c>
      <c r="E18" s="100">
        <f>SUM(E9:E17)</f>
        <v>31857488.802251119</v>
      </c>
    </row>
    <row r="19" spans="1:11" x14ac:dyDescent="0.25">
      <c r="C19" s="6"/>
      <c r="D19" s="6"/>
      <c r="E19" s="6"/>
    </row>
    <row r="20" spans="1:11" x14ac:dyDescent="0.25">
      <c r="A20" s="1" t="s">
        <v>26</v>
      </c>
      <c r="B20" s="4"/>
      <c r="G20" s="5"/>
    </row>
    <row r="21" spans="1:11" ht="17.399999999999999" customHeight="1" x14ac:dyDescent="0.25">
      <c r="A21" s="2" t="s">
        <v>142</v>
      </c>
      <c r="C21" s="77">
        <f>'TB-C'!$H$33</f>
        <v>1183783.6499910913</v>
      </c>
      <c r="E21" s="77">
        <f>'TB-P'!$H$33</f>
        <v>4093753.5361561342</v>
      </c>
      <c r="G21" s="26"/>
    </row>
    <row r="22" spans="1:11" x14ac:dyDescent="0.25">
      <c r="A22" s="2" t="s">
        <v>141</v>
      </c>
      <c r="C22" s="79">
        <f>'TB-C'!$H$35</f>
        <v>0</v>
      </c>
      <c r="E22" s="79">
        <f>'TB-P'!$H$35</f>
        <v>180112.35</v>
      </c>
    </row>
    <row r="23" spans="1:11" x14ac:dyDescent="0.25">
      <c r="A23" s="2" t="s">
        <v>140</v>
      </c>
      <c r="C23" s="79">
        <f>'TB-C'!$H$32</f>
        <v>32967.032967032952</v>
      </c>
      <c r="E23" s="79">
        <f>'TB-P'!$H$32</f>
        <v>142464.67817896401</v>
      </c>
      <c r="G23" s="5"/>
    </row>
    <row r="24" spans="1:11" x14ac:dyDescent="0.25">
      <c r="A24" s="8" t="s">
        <v>139</v>
      </c>
      <c r="B24" s="70"/>
      <c r="C24" s="79">
        <v>0</v>
      </c>
      <c r="E24" s="79">
        <v>0</v>
      </c>
    </row>
    <row r="25" spans="1:11" x14ac:dyDescent="0.25">
      <c r="A25" s="2" t="s">
        <v>138</v>
      </c>
      <c r="C25" s="79">
        <f>'TB-C'!$H$37</f>
        <v>13947.744444444445</v>
      </c>
      <c r="E25" s="79">
        <f>'TB-P'!$H$37</f>
        <v>156183.05999999997</v>
      </c>
    </row>
    <row r="26" spans="1:11" x14ac:dyDescent="0.25">
      <c r="A26" s="2" t="s">
        <v>27</v>
      </c>
      <c r="C26" s="79">
        <f>'TB-C'!$H$34</f>
        <v>56977.770188301845</v>
      </c>
      <c r="E26" s="79">
        <f>'TB-P'!$H$34</f>
        <v>192222.01746714744</v>
      </c>
    </row>
    <row r="27" spans="1:11" x14ac:dyDescent="0.25">
      <c r="A27" s="2" t="s">
        <v>28</v>
      </c>
      <c r="C27" s="79">
        <f>'TB-C'!$H$47</f>
        <v>0</v>
      </c>
      <c r="E27" s="79">
        <f>'TB-P'!$H$47</f>
        <v>128051.13</v>
      </c>
    </row>
    <row r="28" spans="1:11" ht="13.5" customHeight="1" x14ac:dyDescent="0.25">
      <c r="A28" s="2" t="s">
        <v>29</v>
      </c>
      <c r="C28" s="79">
        <f>'TB-C'!$H$49</f>
        <v>0</v>
      </c>
      <c r="E28" s="79">
        <f>'TB-P'!$H$49</f>
        <v>0</v>
      </c>
    </row>
    <row r="29" spans="1:11" ht="13.5" customHeight="1" x14ac:dyDescent="0.25">
      <c r="A29" s="2" t="s">
        <v>30</v>
      </c>
      <c r="C29" s="79">
        <f>'TB-C'!$H$27</f>
        <v>479495.28550000006</v>
      </c>
      <c r="E29" s="79">
        <f>'TB-P'!$H$27</f>
        <v>978116.70350159099</v>
      </c>
    </row>
    <row r="30" spans="1:11" ht="13.95" customHeight="1" x14ac:dyDescent="0.25">
      <c r="A30" s="2" t="s">
        <v>31</v>
      </c>
      <c r="C30" s="79">
        <f>'TB-C'!$H$36</f>
        <v>0</v>
      </c>
      <c r="E30" s="79">
        <f>'TB-P'!$H$36</f>
        <v>57500</v>
      </c>
    </row>
    <row r="31" spans="1:11" x14ac:dyDescent="0.25">
      <c r="A31" s="2" t="s">
        <v>32</v>
      </c>
      <c r="C31" s="79">
        <f>'TB-C'!$H$26</f>
        <v>25803</v>
      </c>
      <c r="E31" s="79">
        <f>'TB-P'!$H$26</f>
        <v>86441.061526660036</v>
      </c>
    </row>
    <row r="32" spans="1:11" x14ac:dyDescent="0.25">
      <c r="A32" s="2" t="s">
        <v>33</v>
      </c>
      <c r="C32" s="79">
        <v>0</v>
      </c>
      <c r="E32" s="79">
        <v>0</v>
      </c>
    </row>
    <row r="33" spans="1:7" ht="13.5" customHeight="1" x14ac:dyDescent="0.25">
      <c r="A33" s="2" t="s">
        <v>34</v>
      </c>
      <c r="C33" s="78">
        <f>'TB-C'!$H$44</f>
        <v>4725</v>
      </c>
      <c r="E33" s="78">
        <f>'TB-P'!$H$44</f>
        <v>85900</v>
      </c>
    </row>
    <row r="34" spans="1:7" x14ac:dyDescent="0.25">
      <c r="A34" s="4" t="s">
        <v>225</v>
      </c>
      <c r="B34" s="4"/>
      <c r="C34" s="90">
        <f>SUM(C21:C33)</f>
        <v>1797699.4830908705</v>
      </c>
      <c r="D34" s="7">
        <f>SUM(D21:D33)</f>
        <v>0</v>
      </c>
      <c r="E34" s="90">
        <f>SUM(E21:E33)</f>
        <v>6100744.536830496</v>
      </c>
      <c r="G34" s="5"/>
    </row>
    <row r="35" spans="1:7" ht="7.2" customHeight="1" x14ac:dyDescent="0.25">
      <c r="A35" s="4"/>
      <c r="B35" s="4"/>
      <c r="C35" s="90"/>
      <c r="E35" s="90"/>
    </row>
    <row r="36" spans="1:7" ht="13.8" thickBot="1" x14ac:dyDescent="0.3">
      <c r="A36" s="4" t="s">
        <v>13</v>
      </c>
      <c r="B36" s="4"/>
      <c r="C36" s="80">
        <f>C18-C34</f>
        <v>20163436.314995948</v>
      </c>
      <c r="E36" s="80">
        <f>E18-E34</f>
        <v>25756744.265420623</v>
      </c>
    </row>
    <row r="37" spans="1:7" ht="14.4" thickTop="1" thickBot="1" x14ac:dyDescent="0.3">
      <c r="A37" s="4"/>
      <c r="B37" s="4"/>
    </row>
    <row r="38" spans="1:7" ht="13.8" thickBot="1" x14ac:dyDescent="0.3">
      <c r="A38" s="4" t="s">
        <v>185</v>
      </c>
      <c r="B38" s="4">
        <v>16</v>
      </c>
      <c r="C38" s="52">
        <f>C36/C41</f>
        <v>0.96673262829155426</v>
      </c>
      <c r="E38" s="52">
        <f>E36/E41</f>
        <v>1.3632525487561009</v>
      </c>
    </row>
    <row r="39" spans="1:7" x14ac:dyDescent="0.25">
      <c r="A39" s="4"/>
      <c r="B39" s="4"/>
      <c r="C39" s="66"/>
      <c r="E39" s="66"/>
    </row>
    <row r="40" spans="1:7" ht="13.95" customHeight="1" x14ac:dyDescent="0.25">
      <c r="A40" s="516" t="s">
        <v>186</v>
      </c>
      <c r="B40" s="516"/>
      <c r="C40" s="516"/>
      <c r="D40" s="516"/>
      <c r="E40" s="516"/>
    </row>
    <row r="41" spans="1:7" s="1" customFormat="1" x14ac:dyDescent="0.25">
      <c r="A41" s="1" t="s">
        <v>84</v>
      </c>
      <c r="B41" s="4"/>
      <c r="C41" s="25">
        <f>BS!C50</f>
        <v>20857304</v>
      </c>
      <c r="E41" s="25">
        <f>BS!E50</f>
        <v>18893597</v>
      </c>
      <c r="F41" s="20"/>
    </row>
    <row r="43" spans="1:7" x14ac:dyDescent="0.25">
      <c r="F43" s="5"/>
    </row>
    <row r="44" spans="1:7" x14ac:dyDescent="0.25">
      <c r="A44" s="5"/>
      <c r="C44" s="5"/>
      <c r="D44" s="5"/>
      <c r="E44" s="5"/>
    </row>
    <row r="45" spans="1:7" x14ac:dyDescent="0.25">
      <c r="A45" s="5" t="s">
        <v>1382</v>
      </c>
      <c r="C45" s="514" t="s">
        <v>49</v>
      </c>
      <c r="D45" s="514"/>
      <c r="E45" s="514"/>
    </row>
    <row r="46" spans="1:7" x14ac:dyDescent="0.25">
      <c r="A46" s="5" t="s">
        <v>1383</v>
      </c>
      <c r="C46" s="514" t="s">
        <v>1383</v>
      </c>
      <c r="D46" s="514"/>
      <c r="E46" s="514"/>
    </row>
    <row r="47" spans="1:7" x14ac:dyDescent="0.25">
      <c r="A47" s="5"/>
      <c r="C47" s="5"/>
      <c r="D47" s="5"/>
      <c r="E47" s="5"/>
      <c r="F47" s="51"/>
    </row>
    <row r="48" spans="1:7" x14ac:dyDescent="0.25">
      <c r="A48" s="5"/>
      <c r="C48" s="5"/>
      <c r="D48" s="5"/>
      <c r="E48" s="5"/>
    </row>
    <row r="49" spans="1:5" x14ac:dyDescent="0.25">
      <c r="A49" s="5"/>
      <c r="C49" s="5"/>
      <c r="D49" s="5"/>
      <c r="E49" s="5"/>
    </row>
    <row r="50" spans="1:5" x14ac:dyDescent="0.25">
      <c r="A50" s="5"/>
      <c r="C50" s="5"/>
      <c r="D50" s="5"/>
      <c r="E50" s="5"/>
    </row>
    <row r="51" spans="1:5" x14ac:dyDescent="0.25">
      <c r="A51" s="515" t="s">
        <v>1384</v>
      </c>
      <c r="B51" s="515"/>
      <c r="C51" s="515"/>
      <c r="D51" s="515"/>
      <c r="E51" s="515"/>
    </row>
    <row r="52" spans="1:5" x14ac:dyDescent="0.25">
      <c r="A52" s="515" t="s">
        <v>1385</v>
      </c>
      <c r="B52" s="515"/>
      <c r="C52" s="515"/>
      <c r="D52" s="515"/>
      <c r="E52" s="515"/>
    </row>
    <row r="66" spans="3:3" x14ac:dyDescent="0.25">
      <c r="C66" s="26">
        <f>C41*0.8</f>
        <v>16685843.200000001</v>
      </c>
    </row>
    <row r="69" spans="3:3" x14ac:dyDescent="0.25">
      <c r="C69" s="5">
        <f>C36-C15</f>
        <v>11427442.754996467</v>
      </c>
    </row>
    <row r="74" spans="3:3" x14ac:dyDescent="0.25">
      <c r="C74" s="26">
        <f>C69-C66</f>
        <v>-5258400.4450035337</v>
      </c>
    </row>
  </sheetData>
  <mergeCells count="10">
    <mergeCell ref="C45:E45"/>
    <mergeCell ref="C46:E46"/>
    <mergeCell ref="A51:E51"/>
    <mergeCell ref="A52:E52"/>
    <mergeCell ref="A40:E40"/>
    <mergeCell ref="A1:E1"/>
    <mergeCell ref="A2:E2"/>
    <mergeCell ref="A3:E3"/>
    <mergeCell ref="A5:A6"/>
    <mergeCell ref="B5:B6"/>
  </mergeCells>
  <pageMargins left="0.7" right="0.7" top="0.75" bottom="0.75" header="0.3" footer="0.3"/>
  <pageSetup paperSize="9" scale="76"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dimension ref="A1:P85"/>
  <sheetViews>
    <sheetView showGridLines="0" tabSelected="1" zoomScale="115" zoomScaleNormal="115" workbookViewId="0">
      <selection activeCell="K15" sqref="K15"/>
    </sheetView>
  </sheetViews>
  <sheetFormatPr defaultColWidth="8.88671875" defaultRowHeight="13.2" x14ac:dyDescent="0.25"/>
  <cols>
    <col min="1" max="1" width="37.6640625" style="5" customWidth="1"/>
    <col min="2" max="2" width="6.6640625" style="9" customWidth="1"/>
    <col min="3" max="3" width="18.109375" style="5" customWidth="1"/>
    <col min="4" max="4" width="0.5546875" style="5" customWidth="1"/>
    <col min="5" max="5" width="18.88671875" style="5" bestFit="1" customWidth="1"/>
    <col min="6" max="6" width="14.33203125" style="5" customWidth="1"/>
    <col min="7" max="7" width="15.109375" style="5" customWidth="1"/>
    <col min="8" max="8" width="18.44140625" style="2" customWidth="1"/>
    <col min="9" max="9" width="15" style="2" bestFit="1" customWidth="1"/>
    <col min="10" max="10" width="17.88671875" style="2" bestFit="1" customWidth="1"/>
    <col min="11" max="12" width="13.5546875" style="2" bestFit="1" customWidth="1"/>
    <col min="13" max="13" width="11.88671875" style="2" bestFit="1" customWidth="1"/>
    <col min="14" max="14" width="14.88671875" style="2" bestFit="1" customWidth="1"/>
    <col min="15" max="16" width="11.88671875" style="2" bestFit="1" customWidth="1"/>
    <col min="17" max="16384" width="8.88671875" style="2"/>
  </cols>
  <sheetData>
    <row r="1" spans="1:13" x14ac:dyDescent="0.25">
      <c r="F1" s="471">
        <f>C34-C11-C14-C17</f>
        <v>248406220.29393288</v>
      </c>
    </row>
    <row r="2" spans="1:13" x14ac:dyDescent="0.25">
      <c r="H2" s="5"/>
    </row>
    <row r="3" spans="1:13" x14ac:dyDescent="0.25">
      <c r="A3" s="518" t="s">
        <v>1387</v>
      </c>
      <c r="B3" s="518"/>
      <c r="C3" s="518"/>
      <c r="D3" s="518"/>
      <c r="E3" s="518"/>
      <c r="F3" s="458">
        <v>237778508.14154565</v>
      </c>
      <c r="G3" s="18"/>
      <c r="I3" s="49">
        <f>I4/NAV</f>
        <v>0.95940556101007501</v>
      </c>
    </row>
    <row r="4" spans="1:13" x14ac:dyDescent="0.25">
      <c r="A4" s="519" t="s">
        <v>250</v>
      </c>
      <c r="B4" s="519"/>
      <c r="C4" s="519"/>
      <c r="D4" s="519"/>
      <c r="E4" s="519"/>
      <c r="F4" s="17">
        <f>F3-C10</f>
        <v>0.11154502630233765</v>
      </c>
      <c r="I4" s="216">
        <v>251174458.88000003</v>
      </c>
      <c r="J4" s="215">
        <f ca="1">TODAY()</f>
        <v>46106</v>
      </c>
    </row>
    <row r="5" spans="1:13" x14ac:dyDescent="0.25">
      <c r="A5" s="519" t="s">
        <v>1456</v>
      </c>
      <c r="B5" s="519"/>
      <c r="C5" s="519"/>
      <c r="D5" s="519"/>
      <c r="E5" s="519"/>
      <c r="F5" s="17"/>
      <c r="I5" s="216">
        <v>0</v>
      </c>
    </row>
    <row r="6" spans="1:13" x14ac:dyDescent="0.25">
      <c r="I6" s="216">
        <v>0</v>
      </c>
    </row>
    <row r="7" spans="1:13" s="1" customFormat="1" x14ac:dyDescent="0.25">
      <c r="A7" s="517" t="s">
        <v>0</v>
      </c>
      <c r="B7" s="513" t="s">
        <v>18</v>
      </c>
      <c r="C7" s="84">
        <v>45016</v>
      </c>
      <c r="D7" s="83"/>
      <c r="E7" s="84">
        <v>44926</v>
      </c>
      <c r="F7" s="461"/>
      <c r="G7" s="15"/>
      <c r="M7" s="112"/>
    </row>
    <row r="8" spans="1:13" s="1" customFormat="1" x14ac:dyDescent="0.25">
      <c r="A8" s="517"/>
      <c r="B8" s="513"/>
      <c r="C8" s="85" t="s">
        <v>19</v>
      </c>
      <c r="D8" s="17"/>
      <c r="E8" s="85" t="s">
        <v>20</v>
      </c>
      <c r="F8" s="17"/>
      <c r="G8" s="15"/>
      <c r="I8" s="73">
        <f>ABS(I10)</f>
        <v>0</v>
      </c>
      <c r="L8" s="73"/>
    </row>
    <row r="9" spans="1:13" x14ac:dyDescent="0.25">
      <c r="A9" s="17" t="s">
        <v>1</v>
      </c>
      <c r="C9" s="3"/>
      <c r="D9" s="6"/>
      <c r="E9" s="3"/>
      <c r="F9" s="3"/>
      <c r="H9" s="115" t="s">
        <v>227</v>
      </c>
      <c r="I9" s="115" t="s">
        <v>228</v>
      </c>
      <c r="J9" s="115" t="s">
        <v>229</v>
      </c>
      <c r="L9" s="73"/>
      <c r="M9" s="1"/>
    </row>
    <row r="10" spans="1:13" x14ac:dyDescent="0.25">
      <c r="A10" s="15" t="s">
        <v>96</v>
      </c>
      <c r="C10" s="376">
        <f>'TB-C'!$L$7</f>
        <v>237778508.03000063</v>
      </c>
      <c r="D10" s="6"/>
      <c r="E10" s="376">
        <f>'TB-P'!$L$7</f>
        <v>203279178.41000009</v>
      </c>
      <c r="F10" s="376"/>
      <c r="H10" s="192">
        <f>I4-C10</f>
        <v>13395950.849999398</v>
      </c>
      <c r="I10" s="193">
        <f>H10-C11</f>
        <v>0</v>
      </c>
      <c r="J10" s="194">
        <f>C34+I10+I12+I15</f>
        <v>261802171.14393228</v>
      </c>
      <c r="L10" s="3"/>
      <c r="M10" s="3"/>
    </row>
    <row r="11" spans="1:13" ht="15" customHeight="1" x14ac:dyDescent="0.25">
      <c r="A11" s="15" t="s">
        <v>97</v>
      </c>
      <c r="C11" s="376">
        <f>IF('TB-C'!$L$38&gt;0,'TB-C'!$L$38,-'TB-C'!$M$38)</f>
        <v>13395950.849999398</v>
      </c>
      <c r="D11" s="6"/>
      <c r="E11" s="376">
        <f>IF('TB-P'!$L$38&gt;0,'TB-P'!$L$38,-'TB-P'!$M$38)</f>
        <v>4659957.2899999022</v>
      </c>
      <c r="F11" s="376"/>
      <c r="H11" s="520">
        <f>J10/C50</f>
        <v>12.552061912888275</v>
      </c>
      <c r="I11" s="520"/>
      <c r="J11" s="520"/>
    </row>
    <row r="12" spans="1:13" x14ac:dyDescent="0.25">
      <c r="A12" s="16" t="s">
        <v>1598</v>
      </c>
      <c r="B12" s="9">
        <v>1</v>
      </c>
      <c r="C12" s="77">
        <f>C10+C11</f>
        <v>251174458.88000003</v>
      </c>
      <c r="D12" s="6"/>
      <c r="E12" s="77">
        <f>E10+E11</f>
        <v>207939135.69999999</v>
      </c>
      <c r="F12" s="6"/>
      <c r="G12" s="49"/>
      <c r="H12" s="26" t="s">
        <v>1623</v>
      </c>
      <c r="I12" s="73">
        <f>ABS(I14)</f>
        <v>0</v>
      </c>
    </row>
    <row r="13" spans="1:13" x14ac:dyDescent="0.25">
      <c r="A13" s="15" t="s">
        <v>1608</v>
      </c>
      <c r="C13" s="359">
        <f>'TB-C'!L66</f>
        <v>0</v>
      </c>
      <c r="D13" s="6"/>
      <c r="E13" s="359">
        <f>'TB-P'!L66</f>
        <v>0</v>
      </c>
      <c r="F13" s="462"/>
      <c r="G13" s="49"/>
      <c r="H13" s="360" t="s">
        <v>227</v>
      </c>
      <c r="I13" s="361" t="s">
        <v>228</v>
      </c>
    </row>
    <row r="14" spans="1:13" x14ac:dyDescent="0.25">
      <c r="A14" s="15" t="s">
        <v>1611</v>
      </c>
      <c r="C14" s="359">
        <f>IF('TB-C'!$L$39&gt;0,'TB-C'!$L$39,-'TB-C'!$M$39)</f>
        <v>0</v>
      </c>
      <c r="D14" s="6"/>
      <c r="E14" s="359">
        <f>IF('TB-P'!$L$39&gt;0,'TB-P'!$L$39,-'TB-P'!$M$39)</f>
        <v>0</v>
      </c>
      <c r="F14" s="462"/>
      <c r="G14" s="49"/>
      <c r="H14" s="362">
        <f>I5-C13</f>
        <v>0</v>
      </c>
      <c r="I14" s="363">
        <f>H14-C14</f>
        <v>0</v>
      </c>
    </row>
    <row r="15" spans="1:13" x14ac:dyDescent="0.25">
      <c r="A15" s="16" t="s">
        <v>1603</v>
      </c>
      <c r="B15" s="9">
        <v>1</v>
      </c>
      <c r="C15" s="79">
        <f>C14+C13</f>
        <v>0</v>
      </c>
      <c r="D15" s="6"/>
      <c r="E15" s="79">
        <f>E14+E13</f>
        <v>0</v>
      </c>
      <c r="F15" s="6"/>
      <c r="G15" s="49"/>
      <c r="H15" s="26" t="s">
        <v>1624</v>
      </c>
      <c r="I15" s="73">
        <f>ABS(I17)</f>
        <v>0</v>
      </c>
    </row>
    <row r="16" spans="1:13" x14ac:dyDescent="0.25">
      <c r="A16" s="15" t="s">
        <v>1610</v>
      </c>
      <c r="C16" s="359">
        <f>'TB-C'!L61</f>
        <v>0</v>
      </c>
      <c r="D16" s="6"/>
      <c r="E16" s="359">
        <f>'TB-P'!L61</f>
        <v>0</v>
      </c>
      <c r="F16" s="462"/>
      <c r="G16" s="49"/>
      <c r="H16" s="360" t="s">
        <v>227</v>
      </c>
      <c r="I16" s="361" t="s">
        <v>228</v>
      </c>
    </row>
    <row r="17" spans="1:16" x14ac:dyDescent="0.25">
      <c r="A17" s="15" t="s">
        <v>1609</v>
      </c>
      <c r="C17" s="359">
        <f>IF('TB-C'!$L$40&gt;0,'TB-C'!$L$40,-'TB-C'!$M$40)</f>
        <v>0</v>
      </c>
      <c r="D17" s="6"/>
      <c r="E17" s="359">
        <f>IF('TB-P'!$L$40&gt;0,'TB-P'!$L$40,-'TB-P'!$M$40)</f>
        <v>0</v>
      </c>
      <c r="F17" s="462"/>
      <c r="G17" s="49"/>
      <c r="H17" s="362">
        <f>I6-C16</f>
        <v>0</v>
      </c>
      <c r="I17" s="363">
        <f>H17-C17</f>
        <v>0</v>
      </c>
    </row>
    <row r="18" spans="1:16" x14ac:dyDescent="0.25">
      <c r="A18" s="16" t="s">
        <v>1607</v>
      </c>
      <c r="B18" s="9">
        <v>1</v>
      </c>
      <c r="C18" s="79">
        <f>C17+C16</f>
        <v>0</v>
      </c>
      <c r="D18" s="6"/>
      <c r="E18" s="79">
        <f>E17+E16</f>
        <v>0</v>
      </c>
      <c r="F18" s="6"/>
      <c r="G18" s="49"/>
      <c r="H18" s="26"/>
      <c r="I18" s="26"/>
    </row>
    <row r="19" spans="1:16" x14ac:dyDescent="0.25">
      <c r="A19" s="16" t="s">
        <v>178</v>
      </c>
      <c r="B19" s="9">
        <v>2</v>
      </c>
      <c r="C19" s="79">
        <f>'TB-C'!$L$16</f>
        <v>4000000.0070447922</v>
      </c>
      <c r="D19" s="6"/>
      <c r="E19" s="79">
        <f>'TB-P'!$L$16</f>
        <v>13000000.007044792</v>
      </c>
      <c r="F19" s="6"/>
      <c r="G19" s="49"/>
      <c r="H19" s="26"/>
      <c r="I19" s="26"/>
      <c r="J19" s="26"/>
    </row>
    <row r="20" spans="1:16" x14ac:dyDescent="0.25">
      <c r="A20" s="16" t="s">
        <v>198</v>
      </c>
      <c r="B20" s="9">
        <v>3</v>
      </c>
      <c r="C20" s="79">
        <f>'TB-C'!$L$48</f>
        <v>0</v>
      </c>
      <c r="D20" s="6"/>
      <c r="E20" s="79">
        <f>'TB-P'!$L$48</f>
        <v>0</v>
      </c>
      <c r="F20" s="6"/>
      <c r="G20" s="368" t="s">
        <v>1666</v>
      </c>
      <c r="H20" s="369" t="s">
        <v>1454</v>
      </c>
      <c r="I20" s="372">
        <v>81988.800000000003</v>
      </c>
      <c r="J20" s="68">
        <f>SUM(I20:I28)</f>
        <v>2305300.0799999996</v>
      </c>
      <c r="K20" s="26"/>
      <c r="M20" s="70"/>
      <c r="N20" s="70"/>
      <c r="O20" s="70"/>
      <c r="P20" s="70"/>
    </row>
    <row r="21" spans="1:16" x14ac:dyDescent="0.25">
      <c r="A21" s="5" t="s">
        <v>6</v>
      </c>
      <c r="B21" s="9">
        <v>4</v>
      </c>
      <c r="C21" s="79">
        <f>'TB-C'!L8+SUM('TB-C'!L41:L42)+'TB-C'!$L$46+'TB-C'!$L$53+'TB-C'!H60+'TB-C'!L67</f>
        <v>5539453.7727255728</v>
      </c>
      <c r="D21" s="6"/>
      <c r="E21" s="79">
        <f>'TB-P'!L8+SUM('TB-P'!L41:L42)+'TB-P'!$L$46+'TB-P'!$L$53+'TB-P'!H60+'TB-P'!L67</f>
        <v>3296913.0346381851</v>
      </c>
      <c r="F21" s="6"/>
      <c r="G21" s="353"/>
      <c r="H21" s="369" t="s">
        <v>1455</v>
      </c>
      <c r="I21" s="372">
        <v>1748546.97</v>
      </c>
      <c r="J21" s="68">
        <f>J20-C23</f>
        <v>9.9032684229314327E-3</v>
      </c>
      <c r="K21" s="26"/>
      <c r="M21" s="277"/>
      <c r="N21" s="277"/>
      <c r="O21" s="68"/>
      <c r="P21" s="68"/>
    </row>
    <row r="22" spans="1:16" x14ac:dyDescent="0.25">
      <c r="A22" s="5" t="s">
        <v>1599</v>
      </c>
      <c r="C22" s="79">
        <v>0</v>
      </c>
      <c r="D22" s="6"/>
      <c r="E22" s="79">
        <v>0</v>
      </c>
      <c r="F22" s="6"/>
      <c r="G22" s="353" t="s">
        <v>1665</v>
      </c>
      <c r="H22" s="369" t="s">
        <v>1653</v>
      </c>
      <c r="I22" s="373">
        <v>102656.91</v>
      </c>
      <c r="J22" s="26"/>
      <c r="K22" s="26"/>
      <c r="N22" s="70"/>
    </row>
    <row r="23" spans="1:16" x14ac:dyDescent="0.25">
      <c r="A23" s="5" t="s">
        <v>1600</v>
      </c>
      <c r="B23" s="9">
        <v>5</v>
      </c>
      <c r="C23" s="79">
        <f>'TB-C'!$L$17</f>
        <v>2305300.0700967312</v>
      </c>
      <c r="D23" s="6"/>
      <c r="E23" s="79">
        <f>'TB-P'!$L$17</f>
        <v>512242.08009898663</v>
      </c>
      <c r="F23" s="6"/>
      <c r="G23" s="354"/>
      <c r="H23" s="369" t="s">
        <v>1654</v>
      </c>
      <c r="I23" s="372">
        <v>183067.45</v>
      </c>
      <c r="J23" s="26"/>
      <c r="K23" s="207"/>
      <c r="N23" s="191"/>
    </row>
    <row r="24" spans="1:16" x14ac:dyDescent="0.25">
      <c r="A24" s="5" t="s">
        <v>7</v>
      </c>
      <c r="B24" s="9">
        <v>6</v>
      </c>
      <c r="C24" s="78">
        <f>'TB-C'!$L$9</f>
        <v>412087.91483516293</v>
      </c>
      <c r="D24" s="6"/>
      <c r="E24" s="78">
        <f>'TB-P'!$L$9</f>
        <v>445054.94780219666</v>
      </c>
      <c r="F24" s="6"/>
      <c r="G24" s="353" t="s">
        <v>1667</v>
      </c>
      <c r="H24" s="369" t="s">
        <v>1521</v>
      </c>
      <c r="I24" s="373">
        <v>74188.59</v>
      </c>
      <c r="J24" s="26"/>
    </row>
    <row r="25" spans="1:16" ht="13.8" thickBot="1" x14ac:dyDescent="0.3">
      <c r="A25" s="15" t="s">
        <v>8</v>
      </c>
      <c r="C25" s="80">
        <f>ROUND(SUM(C19:C24)+C12+C15+C18,1)</f>
        <v>263431300.59999999</v>
      </c>
      <c r="D25" s="7"/>
      <c r="E25" s="80">
        <f>ROUND(SUM(E19:E24)+E12+E15+E18,1)</f>
        <v>225193345.80000001</v>
      </c>
      <c r="F25" s="7"/>
      <c r="G25" s="352" t="s">
        <v>1668</v>
      </c>
      <c r="H25" s="369">
        <v>2130001431</v>
      </c>
      <c r="I25" s="373">
        <v>2715.57</v>
      </c>
      <c r="J25" s="26"/>
    </row>
    <row r="26" spans="1:16" ht="13.5" customHeight="1" thickTop="1" x14ac:dyDescent="0.25">
      <c r="G26" s="352" t="s">
        <v>1669</v>
      </c>
      <c r="H26" s="369" t="s">
        <v>1655</v>
      </c>
      <c r="I26" s="373">
        <v>88488.83</v>
      </c>
      <c r="J26" s="26"/>
    </row>
    <row r="27" spans="1:16" x14ac:dyDescent="0.25">
      <c r="A27" s="17" t="s">
        <v>2</v>
      </c>
      <c r="G27" s="5">
        <f>E25-E41</f>
        <v>0</v>
      </c>
      <c r="H27" s="369" t="s">
        <v>1737</v>
      </c>
      <c r="I27" s="373">
        <v>23646.959999999999</v>
      </c>
      <c r="J27" s="26"/>
    </row>
    <row r="28" spans="1:16" ht="14.4" x14ac:dyDescent="0.3">
      <c r="A28" s="101" t="s">
        <v>179</v>
      </c>
      <c r="G28" s="5">
        <f>C25-C41</f>
        <v>0</v>
      </c>
      <c r="H28"/>
      <c r="I28" s="68">
        <v>0</v>
      </c>
      <c r="J28" s="250"/>
    </row>
    <row r="29" spans="1:16" ht="3.75" customHeight="1" x14ac:dyDescent="0.3">
      <c r="A29" s="103" t="s">
        <v>183</v>
      </c>
      <c r="H29"/>
      <c r="I29"/>
    </row>
    <row r="30" spans="1:16" x14ac:dyDescent="0.25">
      <c r="A30" s="5" t="s">
        <v>184</v>
      </c>
      <c r="B30" s="9">
        <v>7</v>
      </c>
      <c r="C30" s="86">
        <f>'TB-C'!$M$18</f>
        <v>208573040</v>
      </c>
      <c r="E30" s="86">
        <f>'TB-P'!$M$18</f>
        <v>188935970</v>
      </c>
      <c r="J30" s="207"/>
      <c r="N30" s="68"/>
      <c r="O30" s="26"/>
    </row>
    <row r="31" spans="1:16" x14ac:dyDescent="0.25">
      <c r="A31" s="5" t="s">
        <v>9</v>
      </c>
      <c r="B31" s="9">
        <v>8</v>
      </c>
      <c r="C31" s="87">
        <f>'TB-C'!$M$19</f>
        <v>7244346.1600000001</v>
      </c>
      <c r="E31" s="87">
        <f>'TB-P'!$M$19</f>
        <v>2503906.2700000005</v>
      </c>
      <c r="I31" s="26"/>
    </row>
    <row r="32" spans="1:16" x14ac:dyDescent="0.25">
      <c r="A32" s="5" t="s">
        <v>315</v>
      </c>
      <c r="C32" s="87">
        <f>E!E15</f>
        <v>0</v>
      </c>
      <c r="E32" s="87">
        <f>E!G15</f>
        <v>0</v>
      </c>
    </row>
    <row r="33" spans="1:11" x14ac:dyDescent="0.25">
      <c r="A33" s="5" t="s">
        <v>10</v>
      </c>
      <c r="C33" s="88">
        <f>E!$D$15</f>
        <v>45984784.983932279</v>
      </c>
      <c r="E33" s="88">
        <f>E!D29</f>
        <v>32434107.618936427</v>
      </c>
      <c r="H33" s="207"/>
      <c r="I33" s="5"/>
      <c r="K33" s="108"/>
    </row>
    <row r="34" spans="1:11" s="1" customFormat="1" x14ac:dyDescent="0.25">
      <c r="A34" s="15" t="s">
        <v>176</v>
      </c>
      <c r="B34" s="4"/>
      <c r="C34" s="89">
        <f>SUM(C30:C33)</f>
        <v>261802171.14393228</v>
      </c>
      <c r="D34" s="15">
        <f>SUM(D30:D33)</f>
        <v>0</v>
      </c>
      <c r="E34" s="89">
        <f>SUM(E30:E33)</f>
        <v>223873983.88893643</v>
      </c>
      <c r="F34" s="15"/>
      <c r="G34" s="15"/>
      <c r="H34" s="20"/>
      <c r="I34" s="15"/>
    </row>
    <row r="35" spans="1:11" x14ac:dyDescent="0.25">
      <c r="A35" s="15" t="s">
        <v>3</v>
      </c>
    </row>
    <row r="36" spans="1:11" ht="16.2" customHeight="1" x14ac:dyDescent="0.25">
      <c r="A36" s="5" t="s">
        <v>90</v>
      </c>
      <c r="C36" s="77">
        <f>'TB-C'!$M$43+'TB-C'!M57+'TB-C'!M58+'TB-C'!M59</f>
        <v>740719.31891632278</v>
      </c>
      <c r="E36" s="77">
        <f>'TB-P'!$M$43+'TB-P'!M57+'TB-P'!M58+'TB-P'!M59</f>
        <v>378365.15447188681</v>
      </c>
      <c r="F36" s="6"/>
      <c r="H36" s="296"/>
    </row>
    <row r="37" spans="1:11" ht="16.2" customHeight="1" x14ac:dyDescent="0.25">
      <c r="A37" s="5" t="s">
        <v>318</v>
      </c>
      <c r="C37" s="79">
        <f>'TB-C'!M56</f>
        <v>0</v>
      </c>
      <c r="E37" s="79"/>
      <c r="F37" s="6"/>
    </row>
    <row r="38" spans="1:11" ht="16.2" customHeight="1" x14ac:dyDescent="0.25">
      <c r="A38" s="5" t="s">
        <v>1601</v>
      </c>
      <c r="B38" s="9">
        <v>9</v>
      </c>
      <c r="C38" s="74">
        <f>SUM('TB-C'!$M$10:$M$15)</f>
        <v>888410.13754875353</v>
      </c>
      <c r="E38" s="74">
        <f>SUM('TB-P'!$M$10:$M$15)</f>
        <v>940996.71736934688</v>
      </c>
      <c r="F38" s="6"/>
      <c r="J38" s="5"/>
    </row>
    <row r="39" spans="1:11" ht="17.399999999999999" customHeight="1" x14ac:dyDescent="0.25">
      <c r="A39" s="15" t="s">
        <v>187</v>
      </c>
      <c r="C39" s="100">
        <f>SUM(C36:C38)</f>
        <v>1629129.4564650762</v>
      </c>
      <c r="D39" s="7">
        <f>SUM(D36)</f>
        <v>0</v>
      </c>
      <c r="E39" s="100">
        <f>SUM(E36:E38)</f>
        <v>1319361.8718412337</v>
      </c>
      <c r="F39" s="7"/>
      <c r="K39" s="5"/>
    </row>
    <row r="40" spans="1:11" ht="7.2" customHeight="1" x14ac:dyDescent="0.25">
      <c r="A40" s="17"/>
      <c r="C40" s="90"/>
      <c r="E40" s="90"/>
      <c r="F40" s="7"/>
    </row>
    <row r="41" spans="1:11" ht="13.8" thickBot="1" x14ac:dyDescent="0.3">
      <c r="A41" s="15" t="s">
        <v>4</v>
      </c>
      <c r="C41" s="80">
        <f>ROUND(C34+C39,1)</f>
        <v>263431300.59999999</v>
      </c>
      <c r="D41" s="7">
        <f>D34+D39</f>
        <v>0</v>
      </c>
      <c r="E41" s="80">
        <f>ROUND(E34+E39,1)</f>
        <v>225193345.80000001</v>
      </c>
      <c r="F41" s="7"/>
      <c r="H41" s="5"/>
      <c r="I41" s="5"/>
    </row>
    <row r="42" spans="1:11" ht="13.8" thickTop="1" x14ac:dyDescent="0.25">
      <c r="C42" s="102"/>
      <c r="E42" s="102"/>
      <c r="I42" s="26"/>
    </row>
    <row r="43" spans="1:11" x14ac:dyDescent="0.25">
      <c r="A43" s="15" t="s">
        <v>5</v>
      </c>
      <c r="C43" s="90">
        <f>C34</f>
        <v>261802171.14393228</v>
      </c>
      <c r="D43" s="7"/>
      <c r="E43" s="90">
        <f>E34</f>
        <v>223873983.88893643</v>
      </c>
      <c r="F43" s="7"/>
      <c r="H43" s="5"/>
      <c r="I43" s="5"/>
    </row>
    <row r="44" spans="1:11" x14ac:dyDescent="0.25">
      <c r="A44" s="15"/>
      <c r="C44" s="7"/>
      <c r="E44" s="7"/>
      <c r="F44" s="7"/>
    </row>
    <row r="45" spans="1:11" x14ac:dyDescent="0.25">
      <c r="A45" s="15" t="s">
        <v>177</v>
      </c>
      <c r="C45" s="309">
        <f>IFERROR(C43/C50,0)</f>
        <v>12.552061912888275</v>
      </c>
      <c r="E45" s="309">
        <f>IFERROR(E43/E50,0)</f>
        <v>11.849198640626051</v>
      </c>
      <c r="F45" s="309"/>
      <c r="G45" s="26"/>
    </row>
    <row r="46" spans="1:11" x14ac:dyDescent="0.25">
      <c r="A46" s="5" t="s">
        <v>11</v>
      </c>
      <c r="B46" s="9">
        <v>10</v>
      </c>
      <c r="C46" s="310">
        <f>IFERROR((C34-C11-C14-C17)/C50,0)</f>
        <v>11.909795258962179</v>
      </c>
      <c r="E46" s="310">
        <f>IFERROR((E34-E11)/E50,0)</f>
        <v>11.602556495670809</v>
      </c>
      <c r="F46" s="310"/>
      <c r="H46" s="26"/>
    </row>
    <row r="47" spans="1:11" x14ac:dyDescent="0.25">
      <c r="A47" s="5" t="s">
        <v>12</v>
      </c>
      <c r="B47" s="9">
        <v>11</v>
      </c>
      <c r="C47" s="310">
        <f>IFERROR((C34)/(C50),0)</f>
        <v>12.552061912888275</v>
      </c>
      <c r="E47" s="310">
        <f>IFERROR((E34)/(E50),0)</f>
        <v>11.849198640626051</v>
      </c>
      <c r="F47" s="310"/>
      <c r="G47" s="310">
        <f>C47+0.35</f>
        <v>12.902061912888275</v>
      </c>
    </row>
    <row r="49" spans="1:9" x14ac:dyDescent="0.25">
      <c r="A49" s="516" t="s">
        <v>186</v>
      </c>
      <c r="B49" s="516"/>
      <c r="C49" s="516"/>
      <c r="D49" s="516"/>
      <c r="E49" s="516"/>
      <c r="F49" s="460"/>
    </row>
    <row r="50" spans="1:9" s="1" customFormat="1" x14ac:dyDescent="0.25">
      <c r="A50" s="15" t="s">
        <v>84</v>
      </c>
      <c r="B50" s="4"/>
      <c r="C50" s="15">
        <f>ROUND(C30/10,0)</f>
        <v>20857304</v>
      </c>
      <c r="D50" s="15"/>
      <c r="E50" s="15">
        <f>ROUND(E30/10,0)</f>
        <v>18893597</v>
      </c>
      <c r="F50" s="15"/>
      <c r="G50" s="15"/>
    </row>
    <row r="51" spans="1:9" s="1" customFormat="1" x14ac:dyDescent="0.25">
      <c r="A51" s="15"/>
      <c r="B51" s="4"/>
      <c r="C51" s="15"/>
      <c r="D51" s="15"/>
      <c r="E51" s="15"/>
      <c r="F51" s="15"/>
      <c r="G51" s="15"/>
    </row>
    <row r="52" spans="1:9" s="1" customFormat="1" x14ac:dyDescent="0.25">
      <c r="A52" s="15"/>
      <c r="B52" s="4"/>
      <c r="C52" s="15"/>
      <c r="D52" s="15"/>
      <c r="E52" s="15"/>
      <c r="F52" s="15"/>
      <c r="G52" s="15"/>
    </row>
    <row r="54" spans="1:9" x14ac:dyDescent="0.25">
      <c r="H54" s="3"/>
      <c r="I54" s="3"/>
    </row>
    <row r="55" spans="1:9" x14ac:dyDescent="0.25">
      <c r="A55" s="5" t="s">
        <v>1382</v>
      </c>
      <c r="C55" s="514" t="s">
        <v>49</v>
      </c>
      <c r="D55" s="514"/>
      <c r="E55" s="514"/>
      <c r="F55" s="352"/>
    </row>
    <row r="56" spans="1:9" x14ac:dyDescent="0.25">
      <c r="A56" s="5" t="s">
        <v>1383</v>
      </c>
      <c r="C56" s="514" t="s">
        <v>1383</v>
      </c>
      <c r="D56" s="514"/>
      <c r="E56" s="514"/>
      <c r="F56" s="352"/>
      <c r="H56" s="5"/>
      <c r="I56" s="5"/>
    </row>
    <row r="59" spans="1:9" x14ac:dyDescent="0.25">
      <c r="I59" s="26"/>
    </row>
    <row r="61" spans="1:9" x14ac:dyDescent="0.25">
      <c r="A61" s="515" t="s">
        <v>1384</v>
      </c>
      <c r="B61" s="515"/>
      <c r="C61" s="515"/>
      <c r="D61" s="515"/>
      <c r="E61" s="515"/>
      <c r="F61" s="459"/>
    </row>
    <row r="62" spans="1:9" x14ac:dyDescent="0.25">
      <c r="A62" s="515" t="s">
        <v>1385</v>
      </c>
      <c r="B62" s="515"/>
      <c r="C62" s="515"/>
      <c r="D62" s="515"/>
      <c r="E62" s="515"/>
      <c r="F62" s="459"/>
    </row>
    <row r="85" spans="9:10" x14ac:dyDescent="0.25">
      <c r="I85" s="49"/>
      <c r="J85" s="49"/>
    </row>
  </sheetData>
  <dataConsolidate/>
  <mergeCells count="11">
    <mergeCell ref="C55:E55"/>
    <mergeCell ref="C56:E56"/>
    <mergeCell ref="A61:E61"/>
    <mergeCell ref="A62:E62"/>
    <mergeCell ref="H11:J11"/>
    <mergeCell ref="A49:E49"/>
    <mergeCell ref="A7:A8"/>
    <mergeCell ref="B7:B8"/>
    <mergeCell ref="A3:E3"/>
    <mergeCell ref="A4:E4"/>
    <mergeCell ref="A5:E5"/>
  </mergeCells>
  <conditionalFormatting sqref="C25">
    <cfRule type="cellIs" dxfId="1" priority="4" operator="equal">
      <formula>$C$41</formula>
    </cfRule>
  </conditionalFormatting>
  <conditionalFormatting sqref="E25:F25">
    <cfRule type="cellIs" dxfId="0" priority="1" operator="equal">
      <formula>$C$41</formula>
    </cfRule>
  </conditionalFormatting>
  <printOptions horizontalCentered="1"/>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pageSetUpPr fitToPage="1"/>
  </sheetPr>
  <dimension ref="A1:L42"/>
  <sheetViews>
    <sheetView showGridLines="0" zoomScaleSheetLayoutView="100" workbookViewId="0">
      <selection activeCell="D8" sqref="D8"/>
    </sheetView>
  </sheetViews>
  <sheetFormatPr defaultColWidth="9.109375" defaultRowHeight="13.2" x14ac:dyDescent="0.25"/>
  <cols>
    <col min="1" max="1" width="31.109375" style="2" customWidth="1"/>
    <col min="2" max="2" width="17.109375" style="2" customWidth="1"/>
    <col min="3" max="3" width="17.33203125" style="2" customWidth="1"/>
    <col min="4" max="5" width="13" style="2" customWidth="1"/>
    <col min="6" max="6" width="14" style="2" customWidth="1"/>
    <col min="7" max="11" width="9.109375" style="2"/>
    <col min="12" max="12" width="11.33203125" style="2" bestFit="1" customWidth="1"/>
    <col min="13" max="16384" width="9.109375" style="2"/>
  </cols>
  <sheetData>
    <row r="1" spans="1:8" x14ac:dyDescent="0.25">
      <c r="A1" s="511" t="s">
        <v>1387</v>
      </c>
      <c r="B1" s="511"/>
      <c r="C1" s="511"/>
      <c r="D1" s="511"/>
      <c r="E1" s="511"/>
      <c r="F1" s="511"/>
    </row>
    <row r="2" spans="1:8" x14ac:dyDescent="0.25">
      <c r="A2" s="512" t="s">
        <v>252</v>
      </c>
      <c r="B2" s="512"/>
      <c r="C2" s="512"/>
      <c r="D2" s="512"/>
      <c r="E2" s="512"/>
      <c r="F2" s="512"/>
    </row>
    <row r="3" spans="1:8" x14ac:dyDescent="0.25">
      <c r="A3" s="512" t="s">
        <v>1377</v>
      </c>
      <c r="B3" s="512"/>
      <c r="C3" s="512"/>
      <c r="D3" s="512"/>
      <c r="E3" s="512"/>
      <c r="F3" s="512"/>
    </row>
    <row r="4" spans="1:8" ht="3" customHeight="1" x14ac:dyDescent="0.25">
      <c r="A4" s="4"/>
      <c r="B4" s="4"/>
      <c r="C4" s="4"/>
    </row>
    <row r="5" spans="1:8" ht="6" customHeight="1" x14ac:dyDescent="0.25">
      <c r="A5" s="4"/>
      <c r="B5" s="4"/>
      <c r="C5" s="4"/>
    </row>
    <row r="6" spans="1:8" ht="39.6" x14ac:dyDescent="0.25">
      <c r="A6" s="93" t="s">
        <v>0</v>
      </c>
      <c r="B6" s="94" t="s">
        <v>14</v>
      </c>
      <c r="C6" s="95" t="s">
        <v>79</v>
      </c>
      <c r="D6" s="95" t="s">
        <v>35</v>
      </c>
      <c r="E6" s="95" t="s">
        <v>314</v>
      </c>
      <c r="F6" s="95" t="s">
        <v>15</v>
      </c>
    </row>
    <row r="7" spans="1:8" ht="2.4" customHeight="1" thickBot="1" x14ac:dyDescent="0.3">
      <c r="A7" s="58"/>
      <c r="B7" s="59"/>
      <c r="C7" s="60"/>
    </row>
    <row r="8" spans="1:8" x14ac:dyDescent="0.25">
      <c r="A8" s="10" t="s">
        <v>72</v>
      </c>
      <c r="B8" s="11">
        <f>'TB-C'!$K$18</f>
        <v>188935970</v>
      </c>
      <c r="C8" s="11">
        <f>'TB-C'!K19</f>
        <v>2503906.2700000005</v>
      </c>
      <c r="D8" s="11">
        <f>SUM('TB-C'!$O$7:$O$218)-SUM('TB-C'!$N$7:$N$218)</f>
        <v>32434107.61893633</v>
      </c>
      <c r="E8" s="11">
        <v>0</v>
      </c>
      <c r="F8" s="22">
        <f>SUM(B8:E8)</f>
        <v>223873983.88893634</v>
      </c>
      <c r="H8" s="5"/>
    </row>
    <row r="9" spans="1:8" x14ac:dyDescent="0.25">
      <c r="A9" s="12" t="s">
        <v>73</v>
      </c>
      <c r="B9" s="6">
        <f>'TB-C'!D18</f>
        <v>0</v>
      </c>
      <c r="C9" s="6">
        <f>'TB-C'!I19</f>
        <v>7480353.8999999994</v>
      </c>
      <c r="D9" s="6">
        <v>0</v>
      </c>
      <c r="E9" s="6">
        <v>0</v>
      </c>
      <c r="F9" s="23">
        <f t="shared" ref="F9:F14" si="0">SUM(B9:E9)</f>
        <v>7480353.8999999994</v>
      </c>
    </row>
    <row r="10" spans="1:8" x14ac:dyDescent="0.25">
      <c r="A10" s="12" t="s">
        <v>74</v>
      </c>
      <c r="B10" s="6">
        <f>-'TB-C'!C18</f>
        <v>0</v>
      </c>
      <c r="C10" s="6">
        <f>-'TB-C'!H19</f>
        <v>-2739914.0100000002</v>
      </c>
      <c r="D10" s="6">
        <v>0</v>
      </c>
      <c r="E10" s="6">
        <v>0</v>
      </c>
      <c r="F10" s="23">
        <f t="shared" si="0"/>
        <v>-2739914.0100000002</v>
      </c>
    </row>
    <row r="11" spans="1:8" x14ac:dyDescent="0.25">
      <c r="A11" s="12" t="s">
        <v>314</v>
      </c>
      <c r="B11" s="6">
        <v>0</v>
      </c>
      <c r="C11" s="6">
        <v>0</v>
      </c>
      <c r="D11" s="6">
        <f>-'TB-C'!M54</f>
        <v>0</v>
      </c>
      <c r="E11" s="6">
        <f>'TB-C'!M54</f>
        <v>0</v>
      </c>
      <c r="F11" s="23">
        <f t="shared" si="0"/>
        <v>0</v>
      </c>
    </row>
    <row r="12" spans="1:8" x14ac:dyDescent="0.25">
      <c r="A12" s="12" t="s">
        <v>316</v>
      </c>
      <c r="B12" s="6">
        <v>0</v>
      </c>
      <c r="C12" s="6">
        <v>0</v>
      </c>
      <c r="D12" s="6">
        <f>-'TB-C'!M56</f>
        <v>0</v>
      </c>
      <c r="E12" s="6">
        <v>0</v>
      </c>
      <c r="F12" s="23">
        <f t="shared" si="0"/>
        <v>0</v>
      </c>
    </row>
    <row r="13" spans="1:8" x14ac:dyDescent="0.25">
      <c r="A13" s="12" t="s">
        <v>100</v>
      </c>
      <c r="B13" s="6">
        <v>0</v>
      </c>
      <c r="C13" s="6">
        <v>0</v>
      </c>
      <c r="D13" s="6">
        <f>-'TB-C'!H56</f>
        <v>-6612758.9499999993</v>
      </c>
      <c r="E13" s="6">
        <v>0</v>
      </c>
      <c r="F13" s="23">
        <f t="shared" si="0"/>
        <v>-6612758.9499999993</v>
      </c>
    </row>
    <row r="14" spans="1:8" ht="13.8" thickBot="1" x14ac:dyDescent="0.3">
      <c r="A14" s="213" t="s">
        <v>75</v>
      </c>
      <c r="B14" s="13">
        <v>0</v>
      </c>
      <c r="C14" s="13">
        <v>0</v>
      </c>
      <c r="D14" s="13">
        <f>IS!$C$36</f>
        <v>20163436.314995948</v>
      </c>
      <c r="E14" s="13">
        <v>0</v>
      </c>
      <c r="F14" s="306">
        <f t="shared" si="0"/>
        <v>20163436.314995948</v>
      </c>
    </row>
    <row r="15" spans="1:8" ht="13.8" thickBot="1" x14ac:dyDescent="0.3">
      <c r="A15" s="96" t="s">
        <v>76</v>
      </c>
      <c r="B15" s="76">
        <f>SUM(B8:B14)</f>
        <v>188935970</v>
      </c>
      <c r="C15" s="76">
        <f>SUM(C8:C14)</f>
        <v>7244346.1600000001</v>
      </c>
      <c r="D15" s="76">
        <f>SUM(D8:D14)</f>
        <v>45984784.983932279</v>
      </c>
      <c r="E15" s="76">
        <f>SUM(E8:E14)</f>
        <v>0</v>
      </c>
      <c r="F15" s="76">
        <f>SUM(F8:F14)</f>
        <v>242165101.14393231</v>
      </c>
    </row>
    <row r="16" spans="1:8" ht="13.8" thickTop="1" x14ac:dyDescent="0.25">
      <c r="A16" s="4"/>
      <c r="B16" s="7"/>
      <c r="C16" s="6"/>
    </row>
    <row r="17" spans="1:12" ht="3.6" customHeight="1" x14ac:dyDescent="0.25">
      <c r="A17" s="9"/>
      <c r="B17" s="7"/>
    </row>
    <row r="18" spans="1:12" x14ac:dyDescent="0.25">
      <c r="A18" s="512" t="s">
        <v>803</v>
      </c>
      <c r="B18" s="512"/>
      <c r="C18" s="512"/>
      <c r="D18" s="512"/>
      <c r="E18" s="512"/>
      <c r="F18" s="512"/>
    </row>
    <row r="19" spans="1:12" x14ac:dyDescent="0.25">
      <c r="A19" s="4"/>
      <c r="B19" s="4"/>
      <c r="C19" s="4"/>
      <c r="L19" s="3"/>
    </row>
    <row r="20" spans="1:12" ht="39.6" x14ac:dyDescent="0.25">
      <c r="A20" s="93" t="s">
        <v>0</v>
      </c>
      <c r="B20" s="94" t="s">
        <v>14</v>
      </c>
      <c r="C20" s="95" t="s">
        <v>79</v>
      </c>
      <c r="D20" s="95" t="s">
        <v>35</v>
      </c>
      <c r="E20" s="95" t="s">
        <v>314</v>
      </c>
      <c r="F20" s="95" t="s">
        <v>15</v>
      </c>
    </row>
    <row r="21" spans="1:12" ht="3" customHeight="1" thickBot="1" x14ac:dyDescent="0.3">
      <c r="A21" s="58"/>
      <c r="B21" s="59"/>
      <c r="C21" s="60"/>
    </row>
    <row r="22" spans="1:12" x14ac:dyDescent="0.25">
      <c r="A22" s="10" t="s">
        <v>72</v>
      </c>
      <c r="B22" s="11">
        <f>'TB-P'!$K$18</f>
        <v>160875820</v>
      </c>
      <c r="C22" s="11">
        <f>'TB-P'!K19</f>
        <v>-2507109.6699999995</v>
      </c>
      <c r="D22" s="11">
        <f>SUM('TB-P'!$O$7:$O$211)-SUM('TB-P'!$N$7:$N$211)</f>
        <v>14721154.353515804</v>
      </c>
      <c r="E22" s="11">
        <f>'TB-P'!K54</f>
        <v>0</v>
      </c>
      <c r="F22" s="22">
        <f>SUM(B22:E22)</f>
        <v>173089864.68351582</v>
      </c>
    </row>
    <row r="23" spans="1:12" x14ac:dyDescent="0.25">
      <c r="A23" s="12" t="s">
        <v>73</v>
      </c>
      <c r="B23" s="6">
        <f>'TB-P'!I18</f>
        <v>40652580</v>
      </c>
      <c r="C23" s="6">
        <f>'TB-P'!I19</f>
        <v>7019419.9199999999</v>
      </c>
      <c r="D23" s="6">
        <v>0</v>
      </c>
      <c r="E23" s="6">
        <v>0</v>
      </c>
      <c r="F23" s="23">
        <f t="shared" ref="F23:F28" si="1">SUM(B23:E23)</f>
        <v>47671999.920000002</v>
      </c>
    </row>
    <row r="24" spans="1:12" x14ac:dyDescent="0.25">
      <c r="A24" s="12" t="s">
        <v>74</v>
      </c>
      <c r="B24" s="6">
        <f>-'TB-P'!H18</f>
        <v>-12592430</v>
      </c>
      <c r="C24" s="6">
        <f>-'TB-P'!H19</f>
        <v>-2008403.9799999997</v>
      </c>
      <c r="D24" s="6">
        <v>0</v>
      </c>
      <c r="E24" s="6">
        <v>0</v>
      </c>
      <c r="F24" s="23">
        <f t="shared" si="1"/>
        <v>-14600833.98</v>
      </c>
    </row>
    <row r="25" spans="1:12" x14ac:dyDescent="0.25">
      <c r="A25" s="12" t="s">
        <v>314</v>
      </c>
      <c r="B25" s="6">
        <v>0</v>
      </c>
      <c r="C25" s="6">
        <v>0</v>
      </c>
      <c r="D25" s="6">
        <f>-'TB-P'!K54</f>
        <v>0</v>
      </c>
      <c r="E25" s="6">
        <f>'TB-P'!I54</f>
        <v>0</v>
      </c>
      <c r="F25" s="23">
        <f t="shared" si="1"/>
        <v>0</v>
      </c>
    </row>
    <row r="26" spans="1:12" x14ac:dyDescent="0.25">
      <c r="A26" s="12" t="s">
        <v>316</v>
      </c>
      <c r="B26" s="6">
        <v>0</v>
      </c>
      <c r="C26" s="6">
        <v>0</v>
      </c>
      <c r="D26" s="6">
        <f>'TB-P'!H56-'TB-P'!I56</f>
        <v>0</v>
      </c>
      <c r="E26" s="6">
        <v>0</v>
      </c>
      <c r="F26" s="23">
        <f t="shared" si="1"/>
        <v>0</v>
      </c>
    </row>
    <row r="27" spans="1:12" x14ac:dyDescent="0.25">
      <c r="A27" s="12" t="s">
        <v>100</v>
      </c>
      <c r="B27" s="6">
        <v>0</v>
      </c>
      <c r="C27" s="6">
        <v>0</v>
      </c>
      <c r="D27" s="6">
        <f>-'TB-P'!H56</f>
        <v>-8043791</v>
      </c>
      <c r="E27" s="6">
        <v>0</v>
      </c>
      <c r="F27" s="23">
        <f t="shared" si="1"/>
        <v>-8043791</v>
      </c>
    </row>
    <row r="28" spans="1:12" ht="13.8" thickBot="1" x14ac:dyDescent="0.3">
      <c r="A28" s="213" t="s">
        <v>75</v>
      </c>
      <c r="B28" s="13">
        <v>0</v>
      </c>
      <c r="C28" s="13">
        <v>0</v>
      </c>
      <c r="D28" s="13">
        <f>IS!$E$36</f>
        <v>25756744.265420623</v>
      </c>
      <c r="E28" s="13">
        <v>0</v>
      </c>
      <c r="F28" s="306">
        <f t="shared" si="1"/>
        <v>25756744.265420623</v>
      </c>
    </row>
    <row r="29" spans="1:12" ht="13.8" thickBot="1" x14ac:dyDescent="0.3">
      <c r="A29" s="96" t="s">
        <v>76</v>
      </c>
      <c r="B29" s="76">
        <f>SUM(B22:B28)</f>
        <v>188935970</v>
      </c>
      <c r="C29" s="76">
        <f>SUM(C22:C28)</f>
        <v>2503906.2700000005</v>
      </c>
      <c r="D29" s="76">
        <f>SUM(D22:D28)</f>
        <v>32434107.618936427</v>
      </c>
      <c r="E29" s="76">
        <f>SUM(E22:E28)</f>
        <v>0</v>
      </c>
      <c r="F29" s="76">
        <f>SUM(F22:F28)</f>
        <v>223873983.88893643</v>
      </c>
    </row>
    <row r="30" spans="1:12" ht="13.8" thickTop="1" x14ac:dyDescent="0.25">
      <c r="A30" s="1"/>
      <c r="B30" s="7"/>
      <c r="C30" s="7"/>
      <c r="D30" s="7"/>
      <c r="E30" s="7"/>
      <c r="F30" s="7"/>
    </row>
    <row r="31" spans="1:12" ht="12" customHeight="1" x14ac:dyDescent="0.25">
      <c r="A31" s="521" t="s">
        <v>1386</v>
      </c>
      <c r="B31" s="521"/>
      <c r="C31" s="521"/>
      <c r="D31" s="521"/>
      <c r="E31" s="521"/>
      <c r="F31" s="521"/>
    </row>
    <row r="34" spans="1:6" x14ac:dyDescent="0.25">
      <c r="A34" s="5"/>
      <c r="B34" s="9"/>
      <c r="C34" s="5"/>
      <c r="D34" s="5"/>
      <c r="E34" s="5"/>
    </row>
    <row r="35" spans="1:6" x14ac:dyDescent="0.25">
      <c r="A35" s="5" t="s">
        <v>1382</v>
      </c>
      <c r="B35" s="9"/>
      <c r="C35" s="514" t="s">
        <v>49</v>
      </c>
      <c r="D35" s="514"/>
      <c r="E35" s="514"/>
      <c r="F35" s="514"/>
    </row>
    <row r="36" spans="1:6" x14ac:dyDescent="0.25">
      <c r="A36" s="5" t="s">
        <v>1383</v>
      </c>
      <c r="B36" s="9"/>
      <c r="C36" s="514" t="s">
        <v>1383</v>
      </c>
      <c r="D36" s="514"/>
      <c r="E36" s="514"/>
      <c r="F36" s="514"/>
    </row>
    <row r="37" spans="1:6" x14ac:dyDescent="0.25">
      <c r="A37" s="5"/>
      <c r="B37" s="9"/>
      <c r="C37" s="5"/>
      <c r="D37" s="5"/>
      <c r="E37" s="5"/>
    </row>
    <row r="38" spans="1:6" x14ac:dyDescent="0.25">
      <c r="A38" s="5"/>
      <c r="B38" s="9"/>
      <c r="C38" s="5"/>
      <c r="D38" s="5"/>
      <c r="E38" s="5"/>
    </row>
    <row r="39" spans="1:6" x14ac:dyDescent="0.25">
      <c r="A39" s="5"/>
      <c r="B39" s="9"/>
      <c r="C39" s="5"/>
      <c r="D39" s="5"/>
      <c r="E39" s="5"/>
    </row>
    <row r="40" spans="1:6" x14ac:dyDescent="0.25">
      <c r="A40" s="5"/>
      <c r="B40" s="9"/>
      <c r="C40" s="5"/>
      <c r="D40" s="5"/>
      <c r="E40" s="5"/>
    </row>
    <row r="41" spans="1:6" x14ac:dyDescent="0.25">
      <c r="A41" s="515" t="s">
        <v>1384</v>
      </c>
      <c r="B41" s="515"/>
      <c r="C41" s="515"/>
      <c r="D41" s="515"/>
      <c r="E41" s="515"/>
      <c r="F41" s="515"/>
    </row>
    <row r="42" spans="1:6" x14ac:dyDescent="0.25">
      <c r="A42" s="515" t="s">
        <v>1385</v>
      </c>
      <c r="B42" s="515"/>
      <c r="C42" s="515"/>
      <c r="D42" s="515"/>
      <c r="E42" s="515"/>
      <c r="F42" s="515"/>
    </row>
  </sheetData>
  <mergeCells count="9">
    <mergeCell ref="C36:F36"/>
    <mergeCell ref="A41:F41"/>
    <mergeCell ref="A42:F42"/>
    <mergeCell ref="A31:F31"/>
    <mergeCell ref="A1:F1"/>
    <mergeCell ref="A2:F2"/>
    <mergeCell ref="A3:F3"/>
    <mergeCell ref="A18:F18"/>
    <mergeCell ref="C35:F35"/>
  </mergeCells>
  <printOptions horizontalCentered="1"/>
  <pageMargins left="0.7" right="0.7" top="0.75" bottom="0.75" header="0.3" footer="0.3"/>
  <pageSetup paperSize="9" scale="8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pageSetUpPr fitToPage="1"/>
  </sheetPr>
  <dimension ref="A1:I61"/>
  <sheetViews>
    <sheetView showGridLines="0" zoomScale="115" zoomScaleNormal="115" zoomScaleSheetLayoutView="100" workbookViewId="0">
      <selection activeCell="E16" sqref="E16"/>
    </sheetView>
  </sheetViews>
  <sheetFormatPr defaultColWidth="8.88671875" defaultRowHeight="13.2" x14ac:dyDescent="0.25"/>
  <cols>
    <col min="1" max="1" width="58" style="3" bestFit="1" customWidth="1"/>
    <col min="2" max="2" width="18.6640625" style="129" customWidth="1"/>
    <col min="3" max="3" width="0.5546875" style="6" customWidth="1"/>
    <col min="4" max="4" width="18.5546875" style="3" customWidth="1"/>
    <col min="5" max="5" width="8.88671875" style="2"/>
    <col min="6" max="6" width="10" style="2" customWidth="1"/>
    <col min="7" max="7" width="9.5546875" style="2" bestFit="1" customWidth="1"/>
    <col min="8" max="8" width="15" style="2" bestFit="1" customWidth="1"/>
    <col min="9" max="9" width="15.33203125" style="2" customWidth="1"/>
    <col min="10" max="16384" width="8.88671875" style="2"/>
  </cols>
  <sheetData>
    <row r="1" spans="1:9" x14ac:dyDescent="0.25">
      <c r="A1" s="522" t="s">
        <v>1387</v>
      </c>
      <c r="B1" s="522"/>
      <c r="C1" s="522"/>
      <c r="D1" s="522"/>
      <c r="E1" s="19"/>
      <c r="F1" s="19"/>
      <c r="G1" s="19"/>
    </row>
    <row r="2" spans="1:9" x14ac:dyDescent="0.25">
      <c r="A2" s="523" t="s">
        <v>253</v>
      </c>
      <c r="B2" s="523"/>
      <c r="C2" s="523"/>
      <c r="D2" s="523"/>
    </row>
    <row r="3" spans="1:9" x14ac:dyDescent="0.25">
      <c r="A3" s="523" t="s">
        <v>1380</v>
      </c>
      <c r="B3" s="523"/>
      <c r="C3" s="523"/>
      <c r="D3" s="523"/>
    </row>
    <row r="4" spans="1:9" ht="6" customHeight="1" x14ac:dyDescent="0.25"/>
    <row r="5" spans="1:9" ht="28.5" customHeight="1" thickBot="1" x14ac:dyDescent="0.3">
      <c r="A5" s="524" t="s">
        <v>0</v>
      </c>
      <c r="B5" s="217" t="s">
        <v>1379</v>
      </c>
      <c r="C5" s="91"/>
      <c r="D5" s="217" t="s">
        <v>804</v>
      </c>
    </row>
    <row r="6" spans="1:9" ht="13.8" thickBot="1" x14ac:dyDescent="0.3">
      <c r="A6" s="524"/>
      <c r="B6" s="130" t="s">
        <v>19</v>
      </c>
      <c r="C6" s="98"/>
      <c r="D6" s="99" t="s">
        <v>20</v>
      </c>
      <c r="G6" s="307" t="s">
        <v>1388</v>
      </c>
      <c r="H6" s="348">
        <f>BS!C23</f>
        <v>2305300.0700967312</v>
      </c>
      <c r="I6" s="356">
        <f>BS!E23</f>
        <v>512242.08009898663</v>
      </c>
    </row>
    <row r="7" spans="1:9" ht="5.25" customHeight="1" thickBot="1" x14ac:dyDescent="0.3">
      <c r="A7" s="25"/>
    </row>
    <row r="8" spans="1:9" ht="13.8" thickBot="1" x14ac:dyDescent="0.3">
      <c r="A8" s="61" t="s">
        <v>36</v>
      </c>
      <c r="B8" s="131"/>
      <c r="D8" s="6"/>
      <c r="G8" s="307" t="s">
        <v>1389</v>
      </c>
      <c r="H8" s="308">
        <f>H6-B44</f>
        <v>-3620314.1100556124</v>
      </c>
      <c r="I8" s="355" t="e">
        <f>D44-BS!E23</f>
        <v>#REF!</v>
      </c>
    </row>
    <row r="9" spans="1:9" x14ac:dyDescent="0.25">
      <c r="A9" s="3" t="s">
        <v>37</v>
      </c>
      <c r="B9" s="132">
        <v>4773015.45</v>
      </c>
      <c r="D9" s="132" t="e">
        <f>'TB-P'!I20-'TB-P'!H41+'TB-P'!#REF!-'TB-P'!#REF!</f>
        <v>#REF!</v>
      </c>
    </row>
    <row r="10" spans="1:9" x14ac:dyDescent="0.25">
      <c r="A10" s="3" t="s">
        <v>1661</v>
      </c>
      <c r="B10" s="133">
        <f>IS!C10</f>
        <v>11929558.919999998</v>
      </c>
      <c r="D10" s="133">
        <f>IS!E10</f>
        <v>12035291.820000004</v>
      </c>
    </row>
    <row r="11" spans="1:9" x14ac:dyDescent="0.25">
      <c r="A11" s="3" t="s">
        <v>1662</v>
      </c>
      <c r="B11" s="133">
        <f>IS!C11</f>
        <v>0</v>
      </c>
      <c r="D11" s="133"/>
    </row>
    <row r="12" spans="1:9" x14ac:dyDescent="0.25">
      <c r="A12" s="3" t="s">
        <v>1664</v>
      </c>
      <c r="B12" s="133">
        <f>IS!C12</f>
        <v>0</v>
      </c>
      <c r="D12" s="133"/>
    </row>
    <row r="13" spans="1:9" x14ac:dyDescent="0.25">
      <c r="A13" s="3" t="s">
        <v>38</v>
      </c>
      <c r="B13" s="133">
        <f>'TB-C'!I46+('TB-C'!I45-'TB-C'!H46)</f>
        <v>1707402.5</v>
      </c>
      <c r="D13" s="133">
        <f>'TB-P'!I46+('TB-P'!I45-'TB-P'!H46)</f>
        <v>5949483.5199999996</v>
      </c>
      <c r="F13" s="128"/>
      <c r="H13" s="128"/>
    </row>
    <row r="14" spans="1:9" x14ac:dyDescent="0.25">
      <c r="A14" s="3" t="s">
        <v>39</v>
      </c>
      <c r="B14" s="133">
        <f>-'TB-C'!H10</f>
        <v>-1235848</v>
      </c>
      <c r="C14" s="7"/>
      <c r="D14" s="133">
        <f>'TB-P'!I10-'TB-P'!H33</f>
        <v>-3928691.7531458698</v>
      </c>
      <c r="E14" s="26"/>
    </row>
    <row r="15" spans="1:9" x14ac:dyDescent="0.25">
      <c r="A15" s="3" t="s">
        <v>40</v>
      </c>
      <c r="B15" s="133">
        <f>-'TB-C'!H11</f>
        <v>0</v>
      </c>
      <c r="D15" s="133">
        <f>-IF('TB-P'!I11='TB-P'!H34,0,IF('TB-P'!I11=0,'TB-P'!H11+'TB-P'!H34,'TB-P'!H34-'TB-P'!I11))</f>
        <v>-172611.57433454588</v>
      </c>
      <c r="H15" s="453"/>
      <c r="I15" s="68"/>
    </row>
    <row r="16" spans="1:9" x14ac:dyDescent="0.25">
      <c r="A16" s="3" t="s">
        <v>181</v>
      </c>
      <c r="B16" s="133">
        <f>-IF('TB-C'!I13='TB-C'!H35,0,IF('TB-C'!I13=0,'TB-C'!H13+'TB-C'!H35,'TB-C'!H35-'TB-C'!H13))</f>
        <v>0</v>
      </c>
      <c r="D16" s="133">
        <f>-IF('TB-P'!I13='TB-P'!H35,0,IF('TB-P'!I13=0,'TB-P'!H13+'TB-P'!H35,'TB-P'!H35-'TB-P'!H13))</f>
        <v>-180112.35</v>
      </c>
      <c r="E16" s="128"/>
      <c r="H16" s="453"/>
    </row>
    <row r="17" spans="1:8" x14ac:dyDescent="0.25">
      <c r="A17" s="3" t="s">
        <v>85</v>
      </c>
      <c r="B17" s="133">
        <f>-IS!$C$29</f>
        <v>-479495.28550000006</v>
      </c>
      <c r="D17" s="133">
        <f>-IS!E29</f>
        <v>-978116.70350159099</v>
      </c>
    </row>
    <row r="18" spans="1:8" ht="13.95" customHeight="1" x14ac:dyDescent="0.25">
      <c r="A18" s="3" t="s">
        <v>41</v>
      </c>
      <c r="B18" s="133">
        <f>-IS!$C$31</f>
        <v>-25803</v>
      </c>
      <c r="D18" s="133">
        <f>-IS!E31</f>
        <v>-86441.061526660036</v>
      </c>
    </row>
    <row r="19" spans="1:8" ht="13.95" customHeight="1" x14ac:dyDescent="0.25">
      <c r="A19" s="3" t="s">
        <v>193</v>
      </c>
      <c r="B19" s="133">
        <f>-IF('TB-C'!I126='TB-C'!H37,0,IF('TB-C'!I15=0,'TB-C'!H15+'TB-C'!H37,'TB-C'!H37-'TB-C'!H15))</f>
        <v>-13947.744444444445</v>
      </c>
      <c r="D19" s="133">
        <f>-IF('TB-P'!I127='TB-P'!H37,0,IF('TB-P'!I15=0,'TB-P'!H15+'TB-P'!H37,'TB-P'!H37-'TB-P'!H15))</f>
        <v>-156183.05999999997</v>
      </c>
      <c r="E19" s="128"/>
    </row>
    <row r="20" spans="1:8" ht="13.95" customHeight="1" x14ac:dyDescent="0.25">
      <c r="A20" s="3" t="s">
        <v>195</v>
      </c>
      <c r="B20" s="133">
        <f>-'TB-C'!H47</f>
        <v>0</v>
      </c>
      <c r="D20" s="133">
        <f>-IF('TB-P'!I12='TB-P'!H47,0,IF('TB-P'!I12=0,'TB-P'!H12+'TB-P'!H47,'TB-P'!H47-'TB-P'!H12))</f>
        <v>-128051.13</v>
      </c>
      <c r="E20" s="128"/>
    </row>
    <row r="21" spans="1:8" ht="13.95" customHeight="1" x14ac:dyDescent="0.25">
      <c r="A21" s="3" t="s">
        <v>202</v>
      </c>
      <c r="B21" s="133">
        <f>-'TB-C'!$H$49</f>
        <v>0</v>
      </c>
      <c r="D21" s="133">
        <f>-'TB-P'!$H$49</f>
        <v>0</v>
      </c>
    </row>
    <row r="22" spans="1:8" ht="13.95" customHeight="1" x14ac:dyDescent="0.25">
      <c r="A22" s="3" t="s">
        <v>610</v>
      </c>
      <c r="B22" s="133">
        <f>-'TB-C'!$H$36-'TB-C'!$H$14+'TB-C'!I14</f>
        <v>-57500</v>
      </c>
      <c r="D22" s="133">
        <f>-'TB-P'!H14</f>
        <v>0</v>
      </c>
    </row>
    <row r="23" spans="1:8" ht="13.95" customHeight="1" x14ac:dyDescent="0.25">
      <c r="A23" s="3" t="s">
        <v>190</v>
      </c>
      <c r="B23" s="134">
        <f>-'TB-C'!$H$44</f>
        <v>-4725</v>
      </c>
      <c r="D23" s="134">
        <f>-'TB-P'!$H$44</f>
        <v>-85900</v>
      </c>
    </row>
    <row r="24" spans="1:8" x14ac:dyDescent="0.25">
      <c r="A24" s="62" t="s">
        <v>16</v>
      </c>
      <c r="B24" s="173">
        <f>SUM(B9:B23)</f>
        <v>16592657.840055553</v>
      </c>
      <c r="C24" s="7">
        <f>SUM(C9:C18)</f>
        <v>0</v>
      </c>
      <c r="D24" s="173" t="e">
        <f>SUM(D9:D23)</f>
        <v>#REF!</v>
      </c>
    </row>
    <row r="25" spans="1:8" ht="13.95" customHeight="1" x14ac:dyDescent="0.25">
      <c r="A25" s="6"/>
      <c r="B25" s="174"/>
      <c r="D25" s="6"/>
    </row>
    <row r="26" spans="1:8" x14ac:dyDescent="0.25">
      <c r="A26" s="61" t="s">
        <v>42</v>
      </c>
      <c r="B26" s="174"/>
      <c r="D26" s="6"/>
      <c r="G26" s="49"/>
    </row>
    <row r="27" spans="1:8" x14ac:dyDescent="0.25">
      <c r="A27" s="3" t="s">
        <v>43</v>
      </c>
      <c r="B27" s="450">
        <f>IF('TB-C'!$H$7&gt;0,-'TB-C'!$H$7,'TB-C'!$I$7)+'TB-C'!I43-'TB-C'!H43+'TB-C'!I53-'TB-C'!H53</f>
        <v>-37944036.679999933</v>
      </c>
      <c r="D27" s="77">
        <f>IF('TB-P'!$H$7&gt;0,-'TB-P'!$H$7,'TB-P'!$I$7)+'TB-P'!$I$43-'TB-P'!$H$53-'TB-P'!H66</f>
        <v>-104368687.83429989</v>
      </c>
      <c r="F27" s="5"/>
    </row>
    <row r="28" spans="1:8" x14ac:dyDescent="0.25">
      <c r="A28" s="3" t="s">
        <v>1663</v>
      </c>
      <c r="B28" s="451">
        <f>'TB-C'!I66-'TB-C'!H66</f>
        <v>0</v>
      </c>
      <c r="D28" s="79">
        <v>0</v>
      </c>
      <c r="F28" s="5"/>
    </row>
    <row r="29" spans="1:8" x14ac:dyDescent="0.25">
      <c r="A29" s="3" t="s">
        <v>1826</v>
      </c>
      <c r="B29" s="451">
        <f>'TB-C'!I61-'TB-C'!H61</f>
        <v>0</v>
      </c>
      <c r="D29" s="79">
        <v>0</v>
      </c>
      <c r="F29" s="5"/>
    </row>
    <row r="30" spans="1:8" x14ac:dyDescent="0.25">
      <c r="A30" s="3" t="s">
        <v>201</v>
      </c>
      <c r="B30" s="451">
        <f>'TB-C'!I48-'TB-C'!H48</f>
        <v>0</v>
      </c>
      <c r="D30" s="79">
        <f>-'TB-P'!$H$48</f>
        <v>0</v>
      </c>
      <c r="G30" s="128"/>
    </row>
    <row r="31" spans="1:8" x14ac:dyDescent="0.25">
      <c r="A31" s="3" t="s">
        <v>1827</v>
      </c>
      <c r="B31" s="451">
        <f>'TB-C'!I16-'TB-C'!H16</f>
        <v>9000000</v>
      </c>
      <c r="D31" s="133">
        <f>-'TB-C'!J16</f>
        <v>-13000000.007044792</v>
      </c>
      <c r="G31" s="128"/>
      <c r="H31" s="128"/>
    </row>
    <row r="32" spans="1:8" x14ac:dyDescent="0.25">
      <c r="A32" s="3" t="s">
        <v>44</v>
      </c>
      <c r="B32" s="297">
        <f>'TB-C'!I60</f>
        <v>0</v>
      </c>
      <c r="D32" s="297">
        <v>0</v>
      </c>
    </row>
    <row r="33" spans="1:8" x14ac:dyDescent="0.25">
      <c r="A33" s="3" t="s">
        <v>101</v>
      </c>
      <c r="B33" s="452">
        <f>-SUMIFS(Journals!$K$9:$K$16452,Journals!$D$9:$D$16452,"&gt;"&amp;'TB-C'!$E$7,Journals!$D$9:$D$16452,"&lt;"&amp;'TB-C'!$E$8,Journals!$G$9:$G$16452,"c",Journals!$J$9:$J$16452,"Preliminary &amp; issue expenses")</f>
        <v>0</v>
      </c>
      <c r="D33" s="134">
        <f>-'TB-P'!H9-'TB-P'!H32</f>
        <v>-142464.67817896401</v>
      </c>
    </row>
    <row r="34" spans="1:8" x14ac:dyDescent="0.25">
      <c r="A34" s="25" t="s">
        <v>45</v>
      </c>
      <c r="B34" s="173">
        <f>SUM(B27:B33)</f>
        <v>-28944036.679999933</v>
      </c>
      <c r="C34" s="7">
        <f>SUM(C27:C33)</f>
        <v>0</v>
      </c>
      <c r="D34" s="173">
        <f>SUM(D27:D33)</f>
        <v>-117511152.51952365</v>
      </c>
    </row>
    <row r="35" spans="1:8" ht="16.2" customHeight="1" x14ac:dyDescent="0.25">
      <c r="A35" s="6"/>
      <c r="B35" s="174"/>
      <c r="D35" s="6"/>
    </row>
    <row r="36" spans="1:8" ht="17.399999999999999" customHeight="1" x14ac:dyDescent="0.25">
      <c r="A36" s="61" t="s">
        <v>46</v>
      </c>
      <c r="B36" s="174"/>
      <c r="D36" s="6"/>
    </row>
    <row r="37" spans="1:8" ht="14.4" customHeight="1" x14ac:dyDescent="0.25">
      <c r="A37" s="63" t="s">
        <v>133</v>
      </c>
      <c r="B37" s="132">
        <f>'TB-C'!I18+'TB-C'!I19</f>
        <v>37139543.899999999</v>
      </c>
      <c r="D37" s="132">
        <f>'TB-P'!I18+'TB-P'!I19</f>
        <v>47671999.920000002</v>
      </c>
      <c r="H37" s="5"/>
    </row>
    <row r="38" spans="1:8" ht="14.4" customHeight="1" x14ac:dyDescent="0.25">
      <c r="A38" s="63" t="s">
        <v>134</v>
      </c>
      <c r="B38" s="133">
        <f>-('TB-C'!H18+'TB-C'!H19)</f>
        <v>-12762034.01</v>
      </c>
      <c r="D38" s="133">
        <f>-'TB-P'!H18-'TB-P'!H19</f>
        <v>-14600833.98</v>
      </c>
      <c r="H38" s="5"/>
    </row>
    <row r="39" spans="1:8" hidden="1" x14ac:dyDescent="0.25">
      <c r="A39" s="3" t="s">
        <v>135</v>
      </c>
      <c r="B39" s="134">
        <f>-'TB-C'!H56</f>
        <v>-6612758.9499999993</v>
      </c>
      <c r="D39" s="134">
        <f>-'TB-C'!J56</f>
        <v>-12305680</v>
      </c>
    </row>
    <row r="40" spans="1:8" x14ac:dyDescent="0.25">
      <c r="A40" s="25" t="s">
        <v>47</v>
      </c>
      <c r="B40" s="175">
        <f>SUM(B37:B39)</f>
        <v>17764750.940000001</v>
      </c>
      <c r="C40" s="6">
        <f>C39</f>
        <v>0</v>
      </c>
      <c r="D40" s="175">
        <f>SUM(D37:D39)</f>
        <v>20765485.940000001</v>
      </c>
      <c r="F40" s="26"/>
    </row>
    <row r="41" spans="1:8" ht="6" customHeight="1" x14ac:dyDescent="0.25">
      <c r="A41" s="6"/>
      <c r="B41" s="175"/>
      <c r="D41" s="81"/>
    </row>
    <row r="42" spans="1:8" x14ac:dyDescent="0.25">
      <c r="A42" s="61" t="s">
        <v>17</v>
      </c>
      <c r="B42" s="174">
        <f>SUM(B24,B34,B40)</f>
        <v>5413372.1000556219</v>
      </c>
      <c r="C42" s="6">
        <f>SUM(C24,C34,C40)</f>
        <v>0</v>
      </c>
      <c r="D42" s="6" t="e">
        <f>SUM(D24,D34,D40)</f>
        <v>#REF!</v>
      </c>
    </row>
    <row r="43" spans="1:8" x14ac:dyDescent="0.25">
      <c r="A43" s="3" t="s">
        <v>136</v>
      </c>
      <c r="B43" s="176">
        <f>'TB-C'!J17</f>
        <v>512242.08009672165</v>
      </c>
      <c r="D43" s="97">
        <f>'TB-P'!J17</f>
        <v>34420156.329200625</v>
      </c>
      <c r="F43" s="5"/>
    </row>
    <row r="44" spans="1:8" s="1" customFormat="1" ht="15" customHeight="1" thickBot="1" x14ac:dyDescent="0.3">
      <c r="A44" s="25" t="s">
        <v>137</v>
      </c>
      <c r="B44" s="135">
        <f>B42+B43</f>
        <v>5925614.1801523436</v>
      </c>
      <c r="C44" s="7">
        <f>C42+C43</f>
        <v>0</v>
      </c>
      <c r="D44" s="111" t="e">
        <f>D42+D43</f>
        <v>#REF!</v>
      </c>
      <c r="F44" s="20"/>
      <c r="G44" s="20"/>
    </row>
    <row r="45" spans="1:8" ht="13.8" thickTop="1" x14ac:dyDescent="0.25">
      <c r="B45" s="136"/>
      <c r="D45" s="6"/>
    </row>
    <row r="46" spans="1:8" ht="16.2" customHeight="1" x14ac:dyDescent="0.25">
      <c r="A46" s="64" t="s">
        <v>48</v>
      </c>
      <c r="B46" s="349">
        <f>B24/B48</f>
        <v>0.79553224328779759</v>
      </c>
      <c r="C46" s="67"/>
      <c r="D46" s="66">
        <f>IFERROR(D24/D48,0)</f>
        <v>0</v>
      </c>
      <c r="F46" s="26"/>
    </row>
    <row r="47" spans="1:8" x14ac:dyDescent="0.25">
      <c r="A47" s="65"/>
      <c r="B47" s="131"/>
      <c r="D47" s="6"/>
    </row>
    <row r="48" spans="1:8" hidden="1" x14ac:dyDescent="0.25">
      <c r="A48" s="65" t="s">
        <v>84</v>
      </c>
      <c r="B48" s="136">
        <f>BS!C50</f>
        <v>20857304</v>
      </c>
      <c r="D48" s="7">
        <f>BS!E50</f>
        <v>18893597</v>
      </c>
    </row>
    <row r="49" spans="1:5" x14ac:dyDescent="0.25">
      <c r="A49" s="521" t="s">
        <v>1386</v>
      </c>
      <c r="B49" s="521"/>
      <c r="C49" s="521"/>
      <c r="D49" s="521"/>
    </row>
    <row r="50" spans="1:5" x14ac:dyDescent="0.25">
      <c r="A50" s="305"/>
      <c r="B50" s="305"/>
      <c r="C50" s="305"/>
      <c r="D50" s="305"/>
    </row>
    <row r="51" spans="1:5" x14ac:dyDescent="0.25">
      <c r="A51" s="305"/>
      <c r="B51" s="305"/>
      <c r="C51" s="305"/>
      <c r="D51" s="305"/>
    </row>
    <row r="52" spans="1:5" ht="12.6" customHeight="1" x14ac:dyDescent="0.25">
      <c r="E52" s="5"/>
    </row>
    <row r="53" spans="1:5" x14ac:dyDescent="0.25">
      <c r="A53" s="5"/>
      <c r="B53" s="9"/>
      <c r="C53" s="5"/>
      <c r="D53" s="5"/>
      <c r="E53" s="5"/>
    </row>
    <row r="54" spans="1:5" x14ac:dyDescent="0.25">
      <c r="A54" s="5" t="s">
        <v>1382</v>
      </c>
      <c r="B54" s="514" t="s">
        <v>49</v>
      </c>
      <c r="C54" s="514"/>
      <c r="D54" s="514"/>
      <c r="E54" s="5"/>
    </row>
    <row r="55" spans="1:5" x14ac:dyDescent="0.25">
      <c r="A55" s="5" t="s">
        <v>1383</v>
      </c>
      <c r="B55" s="514" t="s">
        <v>1383</v>
      </c>
      <c r="C55" s="514"/>
      <c r="D55" s="514"/>
      <c r="E55" s="5"/>
    </row>
    <row r="56" spans="1:5" x14ac:dyDescent="0.25">
      <c r="A56" s="5"/>
      <c r="B56" s="9"/>
      <c r="C56" s="5"/>
      <c r="D56" s="5"/>
    </row>
    <row r="57" spans="1:5" x14ac:dyDescent="0.25">
      <c r="A57" s="5"/>
      <c r="B57" s="9"/>
      <c r="C57" s="5"/>
      <c r="D57" s="5"/>
      <c r="E57" s="5"/>
    </row>
    <row r="58" spans="1:5" x14ac:dyDescent="0.25">
      <c r="A58" s="5"/>
      <c r="B58" s="9"/>
      <c r="C58" s="5"/>
      <c r="D58" s="5"/>
      <c r="E58" s="5"/>
    </row>
    <row r="59" spans="1:5" x14ac:dyDescent="0.25">
      <c r="A59" s="5"/>
      <c r="B59" s="9"/>
      <c r="C59" s="5"/>
      <c r="D59" s="5"/>
      <c r="E59" s="5"/>
    </row>
    <row r="60" spans="1:5" x14ac:dyDescent="0.25">
      <c r="A60" s="515" t="s">
        <v>1384</v>
      </c>
      <c r="B60" s="515"/>
      <c r="C60" s="515"/>
      <c r="D60" s="515"/>
      <c r="E60" s="5"/>
    </row>
    <row r="61" spans="1:5" x14ac:dyDescent="0.25">
      <c r="A61" s="515" t="s">
        <v>1385</v>
      </c>
      <c r="B61" s="515"/>
      <c r="C61" s="515"/>
      <c r="D61" s="515"/>
      <c r="E61" s="15"/>
    </row>
  </sheetData>
  <mergeCells count="9">
    <mergeCell ref="B55:D55"/>
    <mergeCell ref="A60:D60"/>
    <mergeCell ref="A61:D61"/>
    <mergeCell ref="A49:D49"/>
    <mergeCell ref="A1:D1"/>
    <mergeCell ref="A2:D2"/>
    <mergeCell ref="A3:D3"/>
    <mergeCell ref="A5:A6"/>
    <mergeCell ref="B54:D54"/>
  </mergeCells>
  <printOptions horizontalCentered="1"/>
  <pageMargins left="0.7" right="0.7" top="0.75" bottom="0.75" header="0.3" footer="0.3"/>
  <pageSetup paperSize="9" scale="73"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dimension ref="C4:AB39"/>
  <sheetViews>
    <sheetView topLeftCell="A15" workbookViewId="0">
      <selection activeCell="E35" sqref="E35:E36"/>
    </sheetView>
  </sheetViews>
  <sheetFormatPr defaultColWidth="8.88671875" defaultRowHeight="13.2" x14ac:dyDescent="0.25"/>
  <cols>
    <col min="1" max="2" width="8.88671875" style="2"/>
    <col min="3" max="3" width="27.5546875" style="2" bestFit="1" customWidth="1"/>
    <col min="4" max="4" width="15" style="2" bestFit="1" customWidth="1"/>
    <col min="5" max="5" width="13.6640625" style="2" customWidth="1"/>
    <col min="6" max="6" width="15.5546875" style="2" bestFit="1" customWidth="1"/>
    <col min="7" max="7" width="16" style="2" bestFit="1" customWidth="1"/>
    <col min="8" max="8" width="15.44140625" style="2" customWidth="1"/>
    <col min="9" max="9" width="15" style="2" bestFit="1" customWidth="1"/>
    <col min="10" max="10" width="20.5546875" style="2" bestFit="1" customWidth="1"/>
    <col min="11" max="11" width="12.88671875" style="2" bestFit="1" customWidth="1"/>
    <col min="12" max="12" width="10.33203125" style="2" bestFit="1" customWidth="1"/>
    <col min="13" max="13" width="8.88671875" style="2"/>
    <col min="14" max="14" width="9.109375" style="2" bestFit="1" customWidth="1"/>
    <col min="15" max="26" width="13.6640625" style="2" customWidth="1"/>
    <col min="27" max="27" width="11.33203125" style="2" bestFit="1" customWidth="1"/>
    <col min="28" max="28" width="15" style="2" bestFit="1" customWidth="1"/>
    <col min="29" max="16384" width="8.88671875" style="2"/>
  </cols>
  <sheetData>
    <row r="4" spans="3:28" x14ac:dyDescent="0.25">
      <c r="C4" s="2" t="s">
        <v>116</v>
      </c>
      <c r="D4" s="46">
        <f ca="1">TODAY()</f>
        <v>46106</v>
      </c>
      <c r="E4" s="46"/>
    </row>
    <row r="5" spans="3:28" x14ac:dyDescent="0.25">
      <c r="C5" s="2" t="s">
        <v>130</v>
      </c>
      <c r="D5" s="46">
        <v>43908</v>
      </c>
      <c r="E5" s="46"/>
    </row>
    <row r="6" spans="3:28" ht="14.4" x14ac:dyDescent="0.3">
      <c r="C6" t="s">
        <v>125</v>
      </c>
      <c r="D6" s="46">
        <v>44196</v>
      </c>
    </row>
    <row r="7" spans="3:28" ht="14.4" x14ac:dyDescent="0.3">
      <c r="C7"/>
      <c r="D7" s="46"/>
    </row>
    <row r="8" spans="3:28" x14ac:dyDescent="0.25">
      <c r="C8" s="2" t="s">
        <v>117</v>
      </c>
      <c r="D8" s="3">
        <f>BS!C34</f>
        <v>261802171.14393228</v>
      </c>
      <c r="E8" s="3"/>
      <c r="F8" s="3"/>
      <c r="G8" s="3"/>
      <c r="H8" s="3"/>
      <c r="I8" s="3"/>
      <c r="J8" s="3"/>
      <c r="K8" s="3"/>
      <c r="L8" s="3"/>
      <c r="M8" s="3"/>
      <c r="N8" s="3"/>
      <c r="O8" s="3"/>
    </row>
    <row r="9" spans="3:28" x14ac:dyDescent="0.25">
      <c r="C9" s="2" t="s">
        <v>118</v>
      </c>
      <c r="D9" s="3">
        <v>1000000</v>
      </c>
      <c r="E9" s="3"/>
      <c r="F9" s="3"/>
      <c r="G9" s="3"/>
      <c r="H9" s="3"/>
      <c r="I9" s="3"/>
      <c r="J9" s="3"/>
      <c r="K9" s="3"/>
      <c r="L9" s="3"/>
      <c r="M9" s="3"/>
      <c r="N9" s="3"/>
      <c r="O9" s="3"/>
    </row>
    <row r="10" spans="3:28" x14ac:dyDescent="0.25">
      <c r="C10" s="2" t="s">
        <v>119</v>
      </c>
      <c r="D10" s="3"/>
      <c r="E10" s="3"/>
      <c r="F10" s="3"/>
      <c r="G10" s="3"/>
      <c r="H10" s="3"/>
      <c r="I10" s="3"/>
      <c r="J10" s="3"/>
      <c r="K10" s="3"/>
      <c r="L10" s="3"/>
      <c r="M10" s="3"/>
      <c r="N10" s="3"/>
      <c r="O10" s="3"/>
    </row>
    <row r="11" spans="3:28" s="1" customFormat="1" x14ac:dyDescent="0.25">
      <c r="C11" s="30" t="s">
        <v>120</v>
      </c>
      <c r="D11" s="47" t="s">
        <v>121</v>
      </c>
      <c r="E11" s="47" t="s">
        <v>122</v>
      </c>
      <c r="F11" s="30" t="s">
        <v>1172</v>
      </c>
      <c r="G11" s="47" t="s">
        <v>1173</v>
      </c>
      <c r="H11" s="47" t="s">
        <v>123</v>
      </c>
      <c r="I11" s="47" t="s">
        <v>124</v>
      </c>
      <c r="J11" s="47" t="s">
        <v>1174</v>
      </c>
      <c r="K11" s="273" t="s">
        <v>1175</v>
      </c>
      <c r="L11" s="273" t="s">
        <v>1176</v>
      </c>
      <c r="M11" s="25"/>
      <c r="N11" s="25"/>
      <c r="O11" s="25">
        <v>8000000</v>
      </c>
      <c r="P11" s="25">
        <v>8000000</v>
      </c>
      <c r="Q11" s="1">
        <v>6000000</v>
      </c>
      <c r="R11" s="1">
        <v>6000000</v>
      </c>
      <c r="S11" s="25">
        <v>8000000</v>
      </c>
      <c r="T11" s="25">
        <v>8000000</v>
      </c>
      <c r="U11" s="1">
        <v>5000000</v>
      </c>
      <c r="V11" s="1">
        <v>5000000</v>
      </c>
      <c r="W11" s="1">
        <v>5000000</v>
      </c>
      <c r="X11" s="25">
        <v>8000000</v>
      </c>
      <c r="Y11" s="25">
        <v>8000000</v>
      </c>
      <c r="AA11" s="5">
        <f t="shared" ref="AA11:AA13" si="0">SUM(O11:Z11)</f>
        <v>75000000</v>
      </c>
    </row>
    <row r="12" spans="3:28" x14ac:dyDescent="0.25">
      <c r="C12" s="2" t="s">
        <v>1170</v>
      </c>
      <c r="D12" s="3">
        <v>80000000</v>
      </c>
      <c r="E12" s="49">
        <v>6.5000000000000002E-2</v>
      </c>
      <c r="F12" s="26">
        <f>(D12*E12)/12</f>
        <v>433333.33333333331</v>
      </c>
      <c r="G12" s="3">
        <f>F12*3</f>
        <v>1300000</v>
      </c>
      <c r="H12" s="50">
        <v>44622</v>
      </c>
      <c r="I12" s="48">
        <v>3</v>
      </c>
      <c r="J12" s="50">
        <f ca="1">MIN(TODAY(),44714)</f>
        <v>44714</v>
      </c>
      <c r="K12" s="3">
        <f ca="1">G12*((J12-H12)/(30*I12))</f>
        <v>1328888.8888888888</v>
      </c>
      <c r="L12" s="3"/>
      <c r="M12" s="3"/>
      <c r="N12" s="48"/>
      <c r="O12" s="3">
        <v>130000</v>
      </c>
      <c r="P12" s="26">
        <v>130000</v>
      </c>
      <c r="Q12" s="2">
        <v>97500</v>
      </c>
      <c r="R12" s="2">
        <v>97500</v>
      </c>
      <c r="S12" s="3">
        <v>130000</v>
      </c>
      <c r="T12" s="68">
        <v>130000</v>
      </c>
      <c r="U12" s="2">
        <v>81250</v>
      </c>
      <c r="V12" s="2">
        <v>81250</v>
      </c>
      <c r="W12" s="2">
        <v>81250</v>
      </c>
      <c r="X12" s="3">
        <v>130000</v>
      </c>
      <c r="Y12" s="26">
        <v>130000</v>
      </c>
      <c r="AA12" s="5">
        <f t="shared" si="0"/>
        <v>1218750</v>
      </c>
    </row>
    <row r="13" spans="3:28" x14ac:dyDescent="0.25">
      <c r="C13" s="2" t="s">
        <v>1171</v>
      </c>
      <c r="D13" s="3">
        <v>40000000</v>
      </c>
      <c r="E13" s="49">
        <v>6.5500000000000003E-2</v>
      </c>
      <c r="F13" s="26">
        <f t="shared" ref="F13:F14" si="1">(D13*E13)/12</f>
        <v>218333.33333333334</v>
      </c>
      <c r="G13" s="3">
        <f t="shared" ref="G13:G14" si="2">F13*3</f>
        <v>655000</v>
      </c>
      <c r="H13" s="50">
        <v>44629</v>
      </c>
      <c r="I13" s="48">
        <v>3</v>
      </c>
      <c r="J13" s="50">
        <f ca="1">MIN(TODAY(),44720)</f>
        <v>44720</v>
      </c>
      <c r="K13" s="3">
        <f ca="1">G13*((J13-H13)/(30*I13))</f>
        <v>662277.77777777775</v>
      </c>
      <c r="L13" s="3"/>
      <c r="M13" s="3"/>
      <c r="N13" s="48"/>
      <c r="O13" s="3">
        <v>6500</v>
      </c>
      <c r="P13" s="3">
        <v>6500</v>
      </c>
      <c r="Q13" s="207">
        <v>4875</v>
      </c>
      <c r="R13" s="207">
        <v>4875</v>
      </c>
      <c r="S13" s="3">
        <v>6500</v>
      </c>
      <c r="T13" s="3">
        <v>6500</v>
      </c>
      <c r="U13" s="207">
        <v>4062.5</v>
      </c>
      <c r="V13" s="207">
        <v>4062.5</v>
      </c>
      <c r="W13" s="207">
        <v>4062.5</v>
      </c>
      <c r="X13" s="3">
        <v>6500</v>
      </c>
      <c r="Y13" s="3">
        <v>6500</v>
      </c>
      <c r="Z13" s="207"/>
      <c r="AA13" s="5">
        <f t="shared" si="0"/>
        <v>60937.5</v>
      </c>
    </row>
    <row r="14" spans="3:28" x14ac:dyDescent="0.25">
      <c r="C14" s="2" t="s">
        <v>115</v>
      </c>
      <c r="D14" s="3">
        <v>5000000</v>
      </c>
      <c r="E14" s="49">
        <v>0.06</v>
      </c>
      <c r="F14" s="26">
        <f t="shared" si="1"/>
        <v>25000</v>
      </c>
      <c r="G14" s="3">
        <f t="shared" si="2"/>
        <v>75000</v>
      </c>
      <c r="H14" s="50">
        <v>44629</v>
      </c>
      <c r="I14" s="48">
        <v>3</v>
      </c>
      <c r="J14" s="50">
        <f ca="1">MIN(TODAY(),44720)</f>
        <v>44720</v>
      </c>
      <c r="K14" s="3">
        <f ca="1">G14*((J14-H14)/(30*I14))</f>
        <v>75833.333333333328</v>
      </c>
      <c r="L14" s="3"/>
      <c r="M14" s="3"/>
      <c r="N14" s="48"/>
      <c r="O14" s="3">
        <f>O11+O12-O13</f>
        <v>8123500</v>
      </c>
      <c r="P14" s="3">
        <f t="shared" ref="P14:Y14" si="3">P11+P12-P13</f>
        <v>8123500</v>
      </c>
      <c r="Q14" s="3">
        <f t="shared" si="3"/>
        <v>6092625</v>
      </c>
      <c r="R14" s="3">
        <f t="shared" si="3"/>
        <v>6092625</v>
      </c>
      <c r="S14" s="3">
        <f t="shared" si="3"/>
        <v>8123500</v>
      </c>
      <c r="T14" s="3">
        <f t="shared" si="3"/>
        <v>8123500</v>
      </c>
      <c r="U14" s="68">
        <f t="shared" si="3"/>
        <v>5077187.5</v>
      </c>
      <c r="V14" s="3">
        <f t="shared" si="3"/>
        <v>5077187.5</v>
      </c>
      <c r="W14" s="3">
        <f t="shared" si="3"/>
        <v>5077187.5</v>
      </c>
      <c r="X14" s="3">
        <f t="shared" si="3"/>
        <v>8123500</v>
      </c>
      <c r="Y14" s="3">
        <f t="shared" si="3"/>
        <v>8123500</v>
      </c>
      <c r="Z14" s="3"/>
      <c r="AA14" s="5">
        <f>SUM(O14:Z14)</f>
        <v>76157812.5</v>
      </c>
      <c r="AB14" s="26">
        <f>AA14+SUM(O16:U16)+U17</f>
        <v>116239687.5</v>
      </c>
    </row>
    <row r="15" spans="3:28" x14ac:dyDescent="0.25">
      <c r="D15" s="3"/>
      <c r="E15" s="48"/>
      <c r="F15" s="49"/>
      <c r="G15" s="274">
        <f>SUM(G12:G14)</f>
        <v>2030000</v>
      </c>
      <c r="H15" s="50"/>
      <c r="I15" s="45"/>
      <c r="J15" s="45"/>
      <c r="K15" s="274">
        <f ca="1">SUM(K12:K14)</f>
        <v>2066999.9999999998</v>
      </c>
      <c r="L15" s="274">
        <f ca="1">SUMIFS(Journals!$K:$K,Journals!$J:$J,"Interest Receivables from FDR",Journals!$D:$D,"&gt;="&amp;H12,Journals!$D:$D,"&lt;="&amp;J12)</f>
        <v>2024861.1111111108</v>
      </c>
      <c r="M15" s="275">
        <f ca="1">K15-L15</f>
        <v>42138.888888888992</v>
      </c>
      <c r="N15" s="3"/>
      <c r="O15" s="3"/>
      <c r="Z15" s="5"/>
    </row>
    <row r="16" spans="3:28" x14ac:dyDescent="0.25">
      <c r="D16" s="3"/>
      <c r="E16" s="48"/>
      <c r="F16" s="49"/>
      <c r="G16" s="3"/>
      <c r="H16" s="50"/>
      <c r="I16" s="45"/>
      <c r="J16" s="45"/>
      <c r="K16" s="3"/>
      <c r="L16" s="3"/>
      <c r="M16" s="3"/>
      <c r="N16" s="3"/>
      <c r="O16" s="3">
        <v>5000000</v>
      </c>
      <c r="P16" s="2">
        <v>6000000</v>
      </c>
      <c r="Q16" s="2">
        <v>6000000</v>
      </c>
      <c r="R16" s="2">
        <v>6000000</v>
      </c>
      <c r="S16" s="2">
        <v>7000000</v>
      </c>
      <c r="T16" s="2">
        <v>5000000</v>
      </c>
      <c r="U16" s="2">
        <v>5000000</v>
      </c>
    </row>
    <row r="17" spans="3:21" x14ac:dyDescent="0.25">
      <c r="D17" s="3"/>
      <c r="E17" s="48"/>
      <c r="F17" s="49"/>
      <c r="G17" s="3"/>
      <c r="H17" s="50"/>
      <c r="I17" s="45"/>
      <c r="J17" s="45"/>
      <c r="K17" s="3"/>
      <c r="L17" s="3"/>
      <c r="M17" s="3"/>
      <c r="N17" s="3"/>
      <c r="O17" s="3">
        <v>81875</v>
      </c>
      <c r="P17" s="207">
        <v>98250</v>
      </c>
      <c r="Q17" s="207">
        <v>98250</v>
      </c>
      <c r="R17" s="207">
        <v>98250</v>
      </c>
      <c r="S17" s="207">
        <v>114625</v>
      </c>
      <c r="T17" s="207">
        <v>81875</v>
      </c>
      <c r="U17" s="207">
        <v>81875</v>
      </c>
    </row>
    <row r="18" spans="3:21" x14ac:dyDescent="0.25">
      <c r="D18" s="3"/>
      <c r="E18" s="48"/>
      <c r="F18" s="49"/>
      <c r="G18" s="3"/>
      <c r="H18" s="50"/>
      <c r="I18" s="45"/>
      <c r="J18" s="45"/>
      <c r="K18" s="3"/>
      <c r="L18" s="3"/>
      <c r="M18" s="3"/>
      <c r="N18" s="3"/>
      <c r="O18" s="3" t="s">
        <v>1251</v>
      </c>
      <c r="P18" s="3" t="s">
        <v>1251</v>
      </c>
      <c r="Q18" s="3" t="s">
        <v>1251</v>
      </c>
      <c r="R18" s="3" t="s">
        <v>1251</v>
      </c>
      <c r="S18" s="2" t="s">
        <v>1251</v>
      </c>
      <c r="T18" s="2" t="s">
        <v>1251</v>
      </c>
    </row>
    <row r="19" spans="3:21" x14ac:dyDescent="0.25">
      <c r="D19" s="3"/>
      <c r="E19" s="48"/>
      <c r="F19" s="3"/>
      <c r="G19" s="3"/>
      <c r="H19" s="3"/>
      <c r="I19" s="3"/>
      <c r="J19" s="279"/>
      <c r="K19" s="3"/>
      <c r="L19" s="3"/>
      <c r="M19" s="3"/>
      <c r="N19" s="3"/>
      <c r="O19" s="3"/>
    </row>
    <row r="20" spans="3:21" x14ac:dyDescent="0.25">
      <c r="D20" s="3"/>
      <c r="E20" s="48"/>
      <c r="F20" s="3"/>
      <c r="G20" s="3"/>
      <c r="H20" s="3"/>
      <c r="I20" s="3"/>
      <c r="J20" s="3"/>
      <c r="K20" s="3"/>
      <c r="L20" s="3"/>
      <c r="M20" s="3"/>
      <c r="N20" s="3"/>
      <c r="O20" s="3"/>
    </row>
    <row r="21" spans="3:21" x14ac:dyDescent="0.25">
      <c r="D21" s="3"/>
      <c r="E21" s="48"/>
      <c r="F21" s="3"/>
      <c r="G21" s="3"/>
      <c r="H21" s="3"/>
      <c r="I21" s="3"/>
      <c r="J21" s="3"/>
      <c r="K21" s="3"/>
      <c r="L21" s="3"/>
      <c r="M21" s="3"/>
      <c r="N21" s="3"/>
      <c r="O21" s="3"/>
    </row>
    <row r="22" spans="3:21" x14ac:dyDescent="0.25">
      <c r="D22" s="3"/>
      <c r="E22" s="48"/>
      <c r="F22" s="3"/>
      <c r="G22" s="3"/>
      <c r="H22" s="3"/>
      <c r="I22" s="3"/>
      <c r="J22" s="3"/>
      <c r="K22" s="3"/>
      <c r="L22" s="3"/>
      <c r="M22" s="3"/>
      <c r="N22" s="3"/>
      <c r="O22" s="3"/>
    </row>
    <row r="23" spans="3:21" x14ac:dyDescent="0.25">
      <c r="D23" s="3"/>
      <c r="E23" s="48"/>
      <c r="F23" s="3"/>
      <c r="G23" s="3"/>
      <c r="H23" s="3"/>
      <c r="I23" s="3"/>
      <c r="J23" s="3"/>
      <c r="K23" s="3"/>
      <c r="L23" s="3"/>
      <c r="M23" s="3"/>
      <c r="N23" s="3"/>
      <c r="O23" s="3"/>
    </row>
    <row r="24" spans="3:21" x14ac:dyDescent="0.25">
      <c r="D24" s="3"/>
      <c r="E24" s="48"/>
      <c r="F24" s="3"/>
      <c r="G24" s="3"/>
      <c r="H24" s="3"/>
      <c r="I24" s="3"/>
      <c r="J24" s="3"/>
      <c r="K24" s="3"/>
      <c r="L24" s="3"/>
      <c r="M24" s="3"/>
      <c r="N24" s="3"/>
      <c r="O24" s="3"/>
    </row>
    <row r="25" spans="3:21" x14ac:dyDescent="0.25">
      <c r="D25" s="3"/>
      <c r="E25" s="48"/>
      <c r="F25" s="3"/>
      <c r="G25" s="3"/>
      <c r="H25" s="3"/>
      <c r="I25" s="3"/>
      <c r="J25" s="3"/>
      <c r="K25" s="3"/>
      <c r="L25" s="3"/>
      <c r="M25" s="3"/>
      <c r="N25" s="3"/>
      <c r="O25" s="3"/>
    </row>
    <row r="28" spans="3:21" x14ac:dyDescent="0.25">
      <c r="Q28" s="5">
        <f>SUM(O11:Z11)-Z11</f>
        <v>75000000</v>
      </c>
    </row>
    <row r="30" spans="3:21" ht="13.8" thickBot="1" x14ac:dyDescent="0.3">
      <c r="C30" s="14"/>
      <c r="D30" s="14"/>
      <c r="E30" s="14"/>
      <c r="F30" s="14"/>
      <c r="G30" s="14"/>
      <c r="H30" s="14"/>
      <c r="I30" s="14"/>
      <c r="J30" s="14"/>
    </row>
    <row r="31" spans="3:21" x14ac:dyDescent="0.25">
      <c r="D31" s="5">
        <f>SUM(D12:D30)</f>
        <v>125000000</v>
      </c>
      <c r="G31" s="5">
        <f>SUM(G12:G30)</f>
        <v>4060000</v>
      </c>
    </row>
    <row r="33" spans="3:8" x14ac:dyDescent="0.25">
      <c r="C33" s="1" t="s">
        <v>126</v>
      </c>
      <c r="E33" s="2" t="s">
        <v>1966</v>
      </c>
    </row>
    <row r="34" spans="3:8" x14ac:dyDescent="0.25">
      <c r="C34" s="2" t="s">
        <v>118</v>
      </c>
      <c r="D34" s="26">
        <f>D9/(52*7)</f>
        <v>2747.2527472527472</v>
      </c>
      <c r="E34" s="68">
        <f>D34/7</f>
        <v>392.46467817896388</v>
      </c>
    </row>
    <row r="35" spans="3:8" x14ac:dyDescent="0.25">
      <c r="C35" s="2" t="s">
        <v>89</v>
      </c>
      <c r="D35" s="68">
        <f>(IF(NAV&lt;50000001,NAV*2.5%,IF(NAV&lt;250000001,(50000000*2.5%)+(NAV-50000000)*2%,IF(NAV&lt;500000001,(50000000*2.5%)+(200000000*2%)+((NAV-250000000)*1.5%),(50000000*2.5%)+(200000000*2%)+(250000000*1.5%)+((NAV-500000000)*1%)))))/52</f>
        <v>104366.01090690354</v>
      </c>
      <c r="E35" s="68">
        <f>(IF(NAV&lt;50000001,NAV*2.5%,IF(NAV&lt;250000001,(50000000*2.5%)+(NAV-50000000)*2%,IF(NAV&lt;500000001,(50000000*2.5%)+(200000000*2%)+((NAV-250000000)*1.5%),(50000000*2.5%)+(200000000*2%)+(250000000*1.5%)+((NAV-500000000)*1%)))))/365</f>
        <v>14868.582375778038</v>
      </c>
      <c r="F35" s="26"/>
      <c r="G35" s="68">
        <f>50000000*2.5%</f>
        <v>1250000</v>
      </c>
      <c r="H35" s="26">
        <f>G35/52</f>
        <v>24038.461538461539</v>
      </c>
    </row>
    <row r="36" spans="3:8" x14ac:dyDescent="0.25">
      <c r="C36" s="2" t="s">
        <v>127</v>
      </c>
      <c r="D36" s="26">
        <f>BS!C34*0.1%/52</f>
        <v>5034.6571373833131</v>
      </c>
      <c r="E36" s="68">
        <f>BS!C34*0.1%/365</f>
        <v>717.26622231214333</v>
      </c>
      <c r="G36" s="68">
        <f>200000000*2%</f>
        <v>4000000</v>
      </c>
      <c r="H36" s="26">
        <f>G36/52</f>
        <v>76923.076923076922</v>
      </c>
    </row>
    <row r="37" spans="3:8" x14ac:dyDescent="0.25">
      <c r="C37" s="2" t="s">
        <v>92</v>
      </c>
      <c r="D37" s="26">
        <f>MAX(50000,BS!C25*0.1%)*7/('W C &amp; I'!D6-'W C &amp; I'!D5)</f>
        <v>6402.8441118055562</v>
      </c>
      <c r="G37" s="68"/>
      <c r="H37" s="26">
        <f>SUM(H35:H36)</f>
        <v>100961.53846153847</v>
      </c>
    </row>
    <row r="38" spans="3:8" x14ac:dyDescent="0.25">
      <c r="C38" s="2" t="s">
        <v>128</v>
      </c>
      <c r="D38" s="26">
        <f>30000*7/(D6-D5)</f>
        <v>729.16666666666663</v>
      </c>
      <c r="G38" s="68"/>
    </row>
    <row r="39" spans="3:8" x14ac:dyDescent="0.25">
      <c r="C39" s="2" t="s">
        <v>129</v>
      </c>
      <c r="D39" s="26">
        <v>0</v>
      </c>
    </row>
  </sheetData>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57595-6A23-4564-ADCE-C4C93C820896}">
  <dimension ref="A1:R640"/>
  <sheetViews>
    <sheetView zoomScaleNormal="100" workbookViewId="0">
      <pane xSplit="2" ySplit="3" topLeftCell="C627" activePane="bottomRight" state="frozen"/>
      <selection pane="topRight" activeCell="C1" sqref="C1"/>
      <selection pane="bottomLeft" activeCell="A4" sqref="A4"/>
      <selection pane="bottomRight" activeCell="A640" sqref="A640"/>
    </sheetView>
  </sheetViews>
  <sheetFormatPr defaultColWidth="9.109375" defaultRowHeight="14.4" x14ac:dyDescent="0.3"/>
  <cols>
    <col min="1" max="1" width="12.44140625" customWidth="1"/>
    <col min="2" max="2" width="13.33203125" customWidth="1"/>
    <col min="3" max="3" width="18.44140625" style="396" customWidth="1"/>
    <col min="4" max="4" width="11.44140625" style="114" customWidth="1"/>
    <col min="5" max="5" width="18.44140625" style="399" customWidth="1"/>
    <col min="6" max="6" width="11.44140625" style="398" customWidth="1"/>
    <col min="7" max="7" width="18.44140625" style="396" customWidth="1"/>
    <col min="8" max="8" width="11.44140625" style="114" customWidth="1"/>
    <col min="9" max="9" width="18.44140625" style="399" customWidth="1"/>
    <col min="10" max="10" width="11.44140625" style="398" customWidth="1"/>
    <col min="11" max="11" width="18.44140625" style="396" customWidth="1"/>
    <col min="12" max="12" width="11.44140625" style="398" customWidth="1"/>
    <col min="13" max="13" width="18.44140625" style="396" customWidth="1"/>
    <col min="14" max="14" width="11.44140625" style="398" customWidth="1"/>
    <col min="15" max="15" width="18.44140625" style="396" customWidth="1"/>
    <col min="16" max="16" width="11.44140625" style="398" customWidth="1"/>
    <col min="17" max="17" width="18.44140625" style="396" customWidth="1"/>
    <col min="18" max="18" width="11.44140625" style="398" customWidth="1"/>
    <col min="19" max="16384" width="9.109375" style="250"/>
  </cols>
  <sheetData>
    <row r="1" spans="1:18" customFormat="1" ht="15" thickBot="1" x14ac:dyDescent="0.35">
      <c r="C1" s="525" t="s">
        <v>1666</v>
      </c>
      <c r="D1" s="526"/>
      <c r="E1" s="526"/>
      <c r="F1" s="527"/>
      <c r="G1" s="525" t="s">
        <v>1765</v>
      </c>
      <c r="H1" s="526"/>
      <c r="I1" s="526"/>
      <c r="J1" s="527"/>
      <c r="K1" s="525" t="s">
        <v>1667</v>
      </c>
      <c r="L1" s="527"/>
      <c r="M1" s="525" t="s">
        <v>1668</v>
      </c>
      <c r="N1" s="527"/>
      <c r="O1" s="525" t="s">
        <v>1669</v>
      </c>
      <c r="P1" s="527"/>
      <c r="Q1" s="525" t="s">
        <v>1766</v>
      </c>
      <c r="R1" s="527"/>
    </row>
    <row r="2" spans="1:18" customFormat="1" ht="15" thickBot="1" x14ac:dyDescent="0.35">
      <c r="A2" s="393">
        <f ca="1">TODAY()</f>
        <v>46106</v>
      </c>
      <c r="B2" s="528" t="s">
        <v>116</v>
      </c>
      <c r="C2" s="529" t="s">
        <v>1454</v>
      </c>
      <c r="D2" s="530"/>
      <c r="E2" s="529" t="s">
        <v>1455</v>
      </c>
      <c r="F2" s="530"/>
      <c r="G2" s="529" t="s">
        <v>1653</v>
      </c>
      <c r="H2" s="530"/>
      <c r="I2" s="529" t="s">
        <v>1654</v>
      </c>
      <c r="J2" s="530"/>
      <c r="K2" s="529" t="s">
        <v>1521</v>
      </c>
      <c r="L2" s="530"/>
      <c r="M2" s="529">
        <v>2130001431</v>
      </c>
      <c r="N2" s="530"/>
      <c r="O2" s="529" t="s">
        <v>1655</v>
      </c>
      <c r="P2" s="530"/>
      <c r="Q2" s="525" t="s">
        <v>1737</v>
      </c>
      <c r="R2" s="527"/>
    </row>
    <row r="3" spans="1:18" customFormat="1" ht="15" thickBot="1" x14ac:dyDescent="0.35">
      <c r="B3" s="528"/>
      <c r="C3" s="394" t="s">
        <v>121</v>
      </c>
      <c r="D3" s="395" t="s">
        <v>1764</v>
      </c>
      <c r="E3" s="394" t="s">
        <v>121</v>
      </c>
      <c r="F3" s="395" t="s">
        <v>1764</v>
      </c>
      <c r="G3" s="394" t="s">
        <v>121</v>
      </c>
      <c r="H3" s="395" t="s">
        <v>1764</v>
      </c>
      <c r="I3" s="394" t="s">
        <v>121</v>
      </c>
      <c r="J3" s="395" t="s">
        <v>1764</v>
      </c>
      <c r="K3" s="394" t="s">
        <v>121</v>
      </c>
      <c r="L3" s="395" t="s">
        <v>1764</v>
      </c>
      <c r="M3" s="394" t="s">
        <v>121</v>
      </c>
      <c r="N3" s="395" t="s">
        <v>1764</v>
      </c>
      <c r="O3" s="394" t="s">
        <v>121</v>
      </c>
      <c r="P3" s="395" t="s">
        <v>1764</v>
      </c>
      <c r="Q3" s="394" t="s">
        <v>121</v>
      </c>
      <c r="R3" s="395" t="s">
        <v>1764</v>
      </c>
    </row>
    <row r="4" spans="1:18" x14ac:dyDescent="0.3">
      <c r="B4" s="393">
        <v>45474</v>
      </c>
      <c r="C4" s="396">
        <v>96518.52</v>
      </c>
      <c r="D4" s="114">
        <f>(C4*7.5%)/360</f>
        <v>20.108025000000001</v>
      </c>
      <c r="E4" s="397">
        <v>26185530.640000001</v>
      </c>
      <c r="F4" s="114">
        <f>(E4*7.5%)/360</f>
        <v>5455.3188833333334</v>
      </c>
      <c r="G4" s="396">
        <v>41250.71</v>
      </c>
      <c r="H4" s="114">
        <f>(G4*4.5%)/360</f>
        <v>5.1563387499999997</v>
      </c>
      <c r="I4" s="397">
        <v>174968.3</v>
      </c>
      <c r="J4" s="114">
        <f>(I4*4.5%)/360</f>
        <v>21.8710375</v>
      </c>
      <c r="K4" s="396">
        <v>75338.59</v>
      </c>
      <c r="L4" s="114">
        <f>(K4*6.5%)/360</f>
        <v>13.602800972222223</v>
      </c>
      <c r="M4" s="396">
        <v>3567.32</v>
      </c>
      <c r="N4" s="114">
        <f>(M4*2.5%)/360</f>
        <v>0.24773055555555556</v>
      </c>
      <c r="O4" s="396">
        <v>92838.69</v>
      </c>
      <c r="P4" s="114">
        <f>(O4*6.5%)/360</f>
        <v>16.762541250000002</v>
      </c>
      <c r="Q4" s="396">
        <v>7512779.8899999997</v>
      </c>
      <c r="R4" s="398">
        <f>(Q4*8%)/360</f>
        <v>1669.5066422222221</v>
      </c>
    </row>
    <row r="5" spans="1:18" x14ac:dyDescent="0.3">
      <c r="B5" s="393">
        <f>B4+1</f>
        <v>45475</v>
      </c>
      <c r="C5" s="396">
        <v>111139.67</v>
      </c>
      <c r="D5" s="114">
        <f t="shared" ref="D5:D58" si="0">(C5*7.5%)/360</f>
        <v>23.154097916666665</v>
      </c>
      <c r="E5" s="399">
        <v>26179780.640000001</v>
      </c>
      <c r="F5" s="114">
        <f t="shared" ref="F5:F58" si="1">(E5*7.5%)/360</f>
        <v>5454.1209666666664</v>
      </c>
      <c r="G5" s="396">
        <v>41250.71</v>
      </c>
      <c r="H5" s="114">
        <f t="shared" ref="H5:H37" si="2">(G5*4.5%)/360</f>
        <v>5.1563387499999997</v>
      </c>
      <c r="I5" s="399">
        <v>174968.3</v>
      </c>
      <c r="J5" s="114">
        <f t="shared" ref="J5:J37" si="3">(I5*4.5%)/360</f>
        <v>21.8710375</v>
      </c>
      <c r="K5" s="396">
        <v>75338.59</v>
      </c>
      <c r="L5" s="114">
        <f t="shared" ref="L5:L37" si="4">(K5*6.5%)/360</f>
        <v>13.602800972222223</v>
      </c>
      <c r="M5" s="396">
        <v>3567.32</v>
      </c>
      <c r="N5" s="114">
        <f t="shared" ref="N5:N37" si="5">(M5*2.5%)/360</f>
        <v>0.24773055555555556</v>
      </c>
      <c r="O5" s="396">
        <v>92838.69</v>
      </c>
      <c r="P5" s="114">
        <f t="shared" ref="P5:P37" si="6">(O5*6.5%)/360</f>
        <v>16.762541250000002</v>
      </c>
      <c r="Q5" s="396">
        <v>7512779.8899999997</v>
      </c>
      <c r="R5" s="398">
        <f t="shared" ref="R5:R37" si="7">(Q5*8%)/360</f>
        <v>1669.5066422222221</v>
      </c>
    </row>
    <row r="6" spans="1:18" x14ac:dyDescent="0.3">
      <c r="B6" s="393">
        <f t="shared" ref="B6:B37" si="8">B5+1</f>
        <v>45476</v>
      </c>
      <c r="C6" s="396">
        <v>111039.67</v>
      </c>
      <c r="D6" s="114">
        <f t="shared" si="0"/>
        <v>23.133264583333332</v>
      </c>
      <c r="E6" s="399">
        <v>20179780.640000001</v>
      </c>
      <c r="F6" s="114">
        <f t="shared" si="1"/>
        <v>4204.1209666666664</v>
      </c>
      <c r="G6" s="396">
        <v>41250.71</v>
      </c>
      <c r="H6" s="114">
        <f t="shared" si="2"/>
        <v>5.1563387499999997</v>
      </c>
      <c r="I6" s="399">
        <v>174968.3</v>
      </c>
      <c r="J6" s="114">
        <f t="shared" si="3"/>
        <v>21.8710375</v>
      </c>
      <c r="K6" s="396">
        <v>75338.59</v>
      </c>
      <c r="L6" s="114">
        <f t="shared" si="4"/>
        <v>13.602800972222223</v>
      </c>
      <c r="M6" s="396">
        <v>3567.32</v>
      </c>
      <c r="N6" s="114">
        <f t="shared" si="5"/>
        <v>0.24773055555555556</v>
      </c>
      <c r="O6" s="396">
        <v>92838.69</v>
      </c>
      <c r="P6" s="114">
        <f t="shared" si="6"/>
        <v>16.762541250000002</v>
      </c>
      <c r="Q6" s="396">
        <v>7512779.8899999997</v>
      </c>
      <c r="R6" s="398">
        <f t="shared" si="7"/>
        <v>1669.5066422222221</v>
      </c>
    </row>
    <row r="7" spans="1:18" x14ac:dyDescent="0.3">
      <c r="B7" s="393">
        <f t="shared" si="8"/>
        <v>45477</v>
      </c>
      <c r="C7" s="396">
        <v>5111039.67</v>
      </c>
      <c r="D7" s="114">
        <f t="shared" si="0"/>
        <v>1064.7999312499999</v>
      </c>
      <c r="E7" s="399">
        <v>23988609.190000001</v>
      </c>
      <c r="F7" s="114">
        <f t="shared" si="1"/>
        <v>4997.6269145833339</v>
      </c>
      <c r="G7" s="396">
        <v>41250.71</v>
      </c>
      <c r="H7" s="114">
        <f t="shared" si="2"/>
        <v>5.1563387499999997</v>
      </c>
      <c r="I7" s="399">
        <v>174968.3</v>
      </c>
      <c r="J7" s="114">
        <f t="shared" si="3"/>
        <v>21.8710375</v>
      </c>
      <c r="K7" s="396">
        <v>75338.59</v>
      </c>
      <c r="L7" s="114">
        <f t="shared" si="4"/>
        <v>13.602800972222223</v>
      </c>
      <c r="M7" s="396">
        <v>3567.32</v>
      </c>
      <c r="N7" s="114">
        <f t="shared" si="5"/>
        <v>0.24773055555555556</v>
      </c>
      <c r="O7" s="396">
        <v>92838.69</v>
      </c>
      <c r="P7" s="114">
        <f t="shared" si="6"/>
        <v>16.762541250000002</v>
      </c>
      <c r="Q7" s="396">
        <v>7512779.8899999997</v>
      </c>
      <c r="R7" s="398">
        <f t="shared" si="7"/>
        <v>1669.5066422222221</v>
      </c>
    </row>
    <row r="8" spans="1:18" x14ac:dyDescent="0.3">
      <c r="B8" s="393">
        <f t="shared" si="8"/>
        <v>45478</v>
      </c>
      <c r="C8" s="396">
        <v>5111039.67</v>
      </c>
      <c r="D8" s="114">
        <f t="shared" si="0"/>
        <v>1064.7999312499999</v>
      </c>
      <c r="E8" s="399">
        <v>23988609.190000001</v>
      </c>
      <c r="F8" s="114">
        <f t="shared" si="1"/>
        <v>4997.6269145833339</v>
      </c>
      <c r="G8" s="396">
        <v>41250.71</v>
      </c>
      <c r="H8" s="114">
        <f t="shared" si="2"/>
        <v>5.1563387499999997</v>
      </c>
      <c r="I8" s="399">
        <v>174968.3</v>
      </c>
      <c r="J8" s="114">
        <f t="shared" si="3"/>
        <v>21.8710375</v>
      </c>
      <c r="K8" s="396">
        <v>75338.59</v>
      </c>
      <c r="L8" s="114">
        <f t="shared" si="4"/>
        <v>13.602800972222223</v>
      </c>
      <c r="M8" s="396">
        <v>3567.32</v>
      </c>
      <c r="N8" s="114">
        <f t="shared" si="5"/>
        <v>0.24773055555555556</v>
      </c>
      <c r="O8" s="396">
        <v>92838.69</v>
      </c>
      <c r="P8" s="114">
        <f t="shared" si="6"/>
        <v>16.762541250000002</v>
      </c>
      <c r="Q8" s="396">
        <v>7512779.8899999997</v>
      </c>
      <c r="R8" s="398">
        <f t="shared" si="7"/>
        <v>1669.5066422222221</v>
      </c>
    </row>
    <row r="9" spans="1:18" x14ac:dyDescent="0.3">
      <c r="B9" s="393">
        <f t="shared" si="8"/>
        <v>45479</v>
      </c>
      <c r="C9" s="396">
        <v>5111039.67</v>
      </c>
      <c r="D9" s="114">
        <f t="shared" si="0"/>
        <v>1064.7999312499999</v>
      </c>
      <c r="E9" s="399">
        <v>23988609.190000001</v>
      </c>
      <c r="F9" s="114">
        <f t="shared" si="1"/>
        <v>4997.6269145833339</v>
      </c>
      <c r="G9" s="396">
        <v>41250.71</v>
      </c>
      <c r="H9" s="114">
        <f t="shared" si="2"/>
        <v>5.1563387499999997</v>
      </c>
      <c r="I9" s="399">
        <v>174968.3</v>
      </c>
      <c r="J9" s="114">
        <f t="shared" si="3"/>
        <v>21.8710375</v>
      </c>
      <c r="K9" s="396">
        <v>75338.59</v>
      </c>
      <c r="L9" s="114">
        <f t="shared" si="4"/>
        <v>13.602800972222223</v>
      </c>
      <c r="M9" s="396">
        <v>3567.32</v>
      </c>
      <c r="N9" s="114">
        <f t="shared" si="5"/>
        <v>0.24773055555555556</v>
      </c>
      <c r="O9" s="396">
        <v>92838.69</v>
      </c>
      <c r="P9" s="114">
        <f t="shared" si="6"/>
        <v>16.762541250000002</v>
      </c>
      <c r="Q9" s="396">
        <v>7512779.8899999997</v>
      </c>
      <c r="R9" s="398">
        <f t="shared" si="7"/>
        <v>1669.5066422222221</v>
      </c>
    </row>
    <row r="10" spans="1:18" x14ac:dyDescent="0.3">
      <c r="B10" s="393">
        <f t="shared" si="8"/>
        <v>45480</v>
      </c>
      <c r="C10" s="396">
        <v>5111039.67</v>
      </c>
      <c r="D10" s="114">
        <f t="shared" si="0"/>
        <v>1064.7999312499999</v>
      </c>
      <c r="E10" s="399">
        <v>23988609.190000001</v>
      </c>
      <c r="F10" s="114">
        <f t="shared" si="1"/>
        <v>4997.6269145833339</v>
      </c>
      <c r="G10" s="396">
        <v>41250.71</v>
      </c>
      <c r="H10" s="114">
        <f t="shared" si="2"/>
        <v>5.1563387499999997</v>
      </c>
      <c r="I10" s="400">
        <v>174968.3</v>
      </c>
      <c r="J10" s="114">
        <f t="shared" si="3"/>
        <v>21.8710375</v>
      </c>
      <c r="K10" s="396">
        <v>75338.59</v>
      </c>
      <c r="L10" s="114">
        <f t="shared" si="4"/>
        <v>13.602800972222223</v>
      </c>
      <c r="M10" s="396">
        <v>3567.32</v>
      </c>
      <c r="N10" s="114">
        <f t="shared" si="5"/>
        <v>0.24773055555555556</v>
      </c>
      <c r="O10" s="396">
        <v>92838.69</v>
      </c>
      <c r="P10" s="114">
        <f t="shared" si="6"/>
        <v>16.762541250000002</v>
      </c>
      <c r="Q10" s="396">
        <v>7512779.8899999997</v>
      </c>
      <c r="R10" s="398">
        <f t="shared" si="7"/>
        <v>1669.5066422222221</v>
      </c>
    </row>
    <row r="11" spans="1:18" x14ac:dyDescent="0.3">
      <c r="B11" s="393">
        <f t="shared" si="8"/>
        <v>45481</v>
      </c>
      <c r="C11" s="396">
        <v>5111039.67</v>
      </c>
      <c r="D11" s="114">
        <f t="shared" si="0"/>
        <v>1064.7999312499999</v>
      </c>
      <c r="E11" s="399">
        <v>23988609.190000001</v>
      </c>
      <c r="F11" s="114">
        <f t="shared" si="1"/>
        <v>4997.6269145833339</v>
      </c>
      <c r="G11" s="396">
        <v>41250.71</v>
      </c>
      <c r="H11" s="114">
        <f t="shared" si="2"/>
        <v>5.1563387499999997</v>
      </c>
      <c r="I11" s="399">
        <v>174968.3</v>
      </c>
      <c r="J11" s="114">
        <f t="shared" si="3"/>
        <v>21.8710375</v>
      </c>
      <c r="K11" s="396">
        <v>75338.59</v>
      </c>
      <c r="L11" s="114">
        <f t="shared" si="4"/>
        <v>13.602800972222223</v>
      </c>
      <c r="M11" s="396">
        <v>3567.32</v>
      </c>
      <c r="N11" s="114">
        <f t="shared" si="5"/>
        <v>0.24773055555555556</v>
      </c>
      <c r="O11" s="396">
        <v>92838.69</v>
      </c>
      <c r="P11" s="114">
        <f t="shared" si="6"/>
        <v>16.762541250000002</v>
      </c>
      <c r="Q11" s="396">
        <v>7512779.8899999997</v>
      </c>
      <c r="R11" s="398">
        <f t="shared" si="7"/>
        <v>1669.5066422222221</v>
      </c>
    </row>
    <row r="12" spans="1:18" x14ac:dyDescent="0.3">
      <c r="B12" s="393">
        <f t="shared" si="8"/>
        <v>45482</v>
      </c>
      <c r="C12" s="396">
        <v>5111039.67</v>
      </c>
      <c r="D12" s="114">
        <f t="shared" si="0"/>
        <v>1064.7999312499999</v>
      </c>
      <c r="E12" s="399">
        <v>23702315.16</v>
      </c>
      <c r="F12" s="114">
        <f t="shared" si="1"/>
        <v>4937.9823249999999</v>
      </c>
      <c r="G12" s="396">
        <v>41250.71</v>
      </c>
      <c r="H12" s="114">
        <f t="shared" si="2"/>
        <v>5.1563387499999997</v>
      </c>
      <c r="I12" s="399">
        <v>174968.3</v>
      </c>
      <c r="J12" s="114">
        <f t="shared" si="3"/>
        <v>21.8710375</v>
      </c>
      <c r="K12" s="396">
        <v>75338.59</v>
      </c>
      <c r="L12" s="114">
        <f t="shared" si="4"/>
        <v>13.602800972222223</v>
      </c>
      <c r="M12" s="396">
        <v>3567.32</v>
      </c>
      <c r="N12" s="114">
        <f t="shared" si="5"/>
        <v>0.24773055555555556</v>
      </c>
      <c r="O12" s="396">
        <v>92838.69</v>
      </c>
      <c r="P12" s="114">
        <f t="shared" si="6"/>
        <v>16.762541250000002</v>
      </c>
      <c r="Q12" s="396">
        <v>7512779.8899999997</v>
      </c>
      <c r="R12" s="398">
        <f t="shared" si="7"/>
        <v>1669.5066422222221</v>
      </c>
    </row>
    <row r="13" spans="1:18" x14ac:dyDescent="0.3">
      <c r="B13" s="393">
        <f t="shared" si="8"/>
        <v>45483</v>
      </c>
      <c r="C13" s="396">
        <v>5111039.67</v>
      </c>
      <c r="D13" s="114">
        <f t="shared" si="0"/>
        <v>1064.7999312499999</v>
      </c>
      <c r="E13" s="399">
        <v>23702315.16</v>
      </c>
      <c r="F13" s="114">
        <f t="shared" si="1"/>
        <v>4937.9823249999999</v>
      </c>
      <c r="G13" s="396">
        <v>41250.71</v>
      </c>
      <c r="H13" s="114">
        <f t="shared" si="2"/>
        <v>5.1563387499999997</v>
      </c>
      <c r="I13" s="399">
        <v>174968.3</v>
      </c>
      <c r="J13" s="114">
        <f t="shared" si="3"/>
        <v>21.8710375</v>
      </c>
      <c r="K13" s="396">
        <v>75338.59</v>
      </c>
      <c r="L13" s="114">
        <f t="shared" si="4"/>
        <v>13.602800972222223</v>
      </c>
      <c r="M13" s="396">
        <v>3567.32</v>
      </c>
      <c r="N13" s="114">
        <f t="shared" si="5"/>
        <v>0.24773055555555556</v>
      </c>
      <c r="O13" s="396">
        <v>92838.69</v>
      </c>
      <c r="P13" s="114">
        <f t="shared" si="6"/>
        <v>16.762541250000002</v>
      </c>
      <c r="Q13" s="396">
        <v>7512779.8899999997</v>
      </c>
      <c r="R13" s="398">
        <f t="shared" si="7"/>
        <v>1669.5066422222221</v>
      </c>
    </row>
    <row r="14" spans="1:18" x14ac:dyDescent="0.3">
      <c r="B14" s="393">
        <f t="shared" si="8"/>
        <v>45484</v>
      </c>
      <c r="C14" s="396">
        <v>3602639.67</v>
      </c>
      <c r="D14" s="114">
        <f t="shared" si="0"/>
        <v>750.54993124999987</v>
      </c>
      <c r="E14" s="399">
        <v>24614470.32</v>
      </c>
      <c r="F14" s="114">
        <f t="shared" si="1"/>
        <v>5128.0146500000001</v>
      </c>
      <c r="G14" s="396">
        <v>41250.71</v>
      </c>
      <c r="H14" s="114">
        <f t="shared" si="2"/>
        <v>5.1563387499999997</v>
      </c>
      <c r="I14" s="399">
        <v>277458.3</v>
      </c>
      <c r="J14" s="114">
        <f t="shared" si="3"/>
        <v>34.682287500000001</v>
      </c>
      <c r="K14" s="396">
        <v>75338.59</v>
      </c>
      <c r="L14" s="114">
        <f t="shared" si="4"/>
        <v>13.602800972222223</v>
      </c>
      <c r="M14" s="396">
        <v>3567.32</v>
      </c>
      <c r="N14" s="114">
        <f t="shared" si="5"/>
        <v>0.24773055555555556</v>
      </c>
      <c r="O14" s="396">
        <v>92838.69</v>
      </c>
      <c r="P14" s="114">
        <f t="shared" si="6"/>
        <v>16.762541250000002</v>
      </c>
      <c r="Q14" s="396">
        <v>7512779.8899999997</v>
      </c>
      <c r="R14" s="398">
        <f t="shared" si="7"/>
        <v>1669.5066422222221</v>
      </c>
    </row>
    <row r="15" spans="1:18" x14ac:dyDescent="0.3">
      <c r="B15" s="393">
        <f t="shared" si="8"/>
        <v>45485</v>
      </c>
      <c r="C15" s="396">
        <v>3602639.67</v>
      </c>
      <c r="D15" s="114">
        <f t="shared" si="0"/>
        <v>750.54993124999987</v>
      </c>
      <c r="E15" s="399">
        <v>24614470.32</v>
      </c>
      <c r="F15" s="114">
        <f t="shared" si="1"/>
        <v>5128.0146500000001</v>
      </c>
      <c r="G15" s="396">
        <v>41250.71</v>
      </c>
      <c r="H15" s="114">
        <f t="shared" si="2"/>
        <v>5.1563387499999997</v>
      </c>
      <c r="I15" s="399">
        <v>277458.3</v>
      </c>
      <c r="J15" s="114">
        <f t="shared" si="3"/>
        <v>34.682287500000001</v>
      </c>
      <c r="K15" s="396">
        <v>75338.59</v>
      </c>
      <c r="L15" s="114">
        <f t="shared" si="4"/>
        <v>13.602800972222223</v>
      </c>
      <c r="M15" s="396">
        <v>3567.32</v>
      </c>
      <c r="N15" s="114">
        <f t="shared" si="5"/>
        <v>0.24773055555555556</v>
      </c>
      <c r="O15" s="396">
        <v>92838.69</v>
      </c>
      <c r="P15" s="114">
        <f t="shared" si="6"/>
        <v>16.762541250000002</v>
      </c>
      <c r="Q15" s="396">
        <v>7512779.8899999997</v>
      </c>
      <c r="R15" s="398">
        <f t="shared" si="7"/>
        <v>1669.5066422222221</v>
      </c>
    </row>
    <row r="16" spans="1:18" x14ac:dyDescent="0.3">
      <c r="B16" s="393">
        <f t="shared" si="8"/>
        <v>45486</v>
      </c>
      <c r="C16" s="396">
        <v>3602639.67</v>
      </c>
      <c r="D16" s="114">
        <f t="shared" si="0"/>
        <v>750.54993124999987</v>
      </c>
      <c r="E16" s="399">
        <v>24614470.32</v>
      </c>
      <c r="F16" s="114">
        <f t="shared" si="1"/>
        <v>5128.0146500000001</v>
      </c>
      <c r="G16" s="396">
        <v>41250.71</v>
      </c>
      <c r="H16" s="114">
        <f t="shared" si="2"/>
        <v>5.1563387499999997</v>
      </c>
      <c r="I16" s="399">
        <v>277458.3</v>
      </c>
      <c r="J16" s="114">
        <f t="shared" si="3"/>
        <v>34.682287500000001</v>
      </c>
      <c r="K16" s="396">
        <v>75338.59</v>
      </c>
      <c r="L16" s="114">
        <f t="shared" si="4"/>
        <v>13.602800972222223</v>
      </c>
      <c r="M16" s="396">
        <v>3567.32</v>
      </c>
      <c r="N16" s="114">
        <f t="shared" si="5"/>
        <v>0.24773055555555556</v>
      </c>
      <c r="O16" s="396">
        <v>92838.69</v>
      </c>
      <c r="P16" s="114">
        <f t="shared" si="6"/>
        <v>16.762541250000002</v>
      </c>
      <c r="Q16" s="396">
        <v>7512779.8899999997</v>
      </c>
      <c r="R16" s="398">
        <f t="shared" si="7"/>
        <v>1669.5066422222221</v>
      </c>
    </row>
    <row r="17" spans="2:18" x14ac:dyDescent="0.3">
      <c r="B17" s="393">
        <f t="shared" si="8"/>
        <v>45487</v>
      </c>
      <c r="C17" s="396">
        <v>3602639.67</v>
      </c>
      <c r="D17" s="114">
        <f t="shared" si="0"/>
        <v>750.54993124999987</v>
      </c>
      <c r="E17" s="399">
        <v>26710390.859999999</v>
      </c>
      <c r="F17" s="114">
        <f t="shared" si="1"/>
        <v>5564.6647624999996</v>
      </c>
      <c r="G17" s="396">
        <v>41250.71</v>
      </c>
      <c r="H17" s="114">
        <f t="shared" si="2"/>
        <v>5.1563387499999997</v>
      </c>
      <c r="I17" s="399">
        <v>277458.3</v>
      </c>
      <c r="J17" s="114">
        <f t="shared" si="3"/>
        <v>34.682287500000001</v>
      </c>
      <c r="K17" s="396">
        <v>75338.59</v>
      </c>
      <c r="L17" s="114">
        <f t="shared" si="4"/>
        <v>13.602800972222223</v>
      </c>
      <c r="M17" s="396">
        <v>3567.32</v>
      </c>
      <c r="N17" s="114">
        <f t="shared" si="5"/>
        <v>0.24773055555555556</v>
      </c>
      <c r="O17" s="396">
        <v>92838.69</v>
      </c>
      <c r="P17" s="114">
        <f t="shared" si="6"/>
        <v>16.762541250000002</v>
      </c>
      <c r="Q17" s="396">
        <v>7512779.8899999997</v>
      </c>
      <c r="R17" s="398">
        <f t="shared" si="7"/>
        <v>1669.5066422222221</v>
      </c>
    </row>
    <row r="18" spans="2:18" x14ac:dyDescent="0.3">
      <c r="B18" s="393">
        <f t="shared" si="8"/>
        <v>45488</v>
      </c>
      <c r="C18" s="396">
        <v>3602639.67</v>
      </c>
      <c r="D18" s="114">
        <f t="shared" si="0"/>
        <v>750.54993124999987</v>
      </c>
      <c r="E18" s="399">
        <v>33379184.859999999</v>
      </c>
      <c r="F18" s="114">
        <f t="shared" si="1"/>
        <v>6953.9968458333324</v>
      </c>
      <c r="G18" s="396">
        <v>41250.71</v>
      </c>
      <c r="H18" s="114">
        <f t="shared" si="2"/>
        <v>5.1563387499999997</v>
      </c>
      <c r="I18" s="399">
        <v>277458.3</v>
      </c>
      <c r="J18" s="114">
        <f t="shared" si="3"/>
        <v>34.682287500000001</v>
      </c>
      <c r="K18" s="396">
        <v>75338.59</v>
      </c>
      <c r="L18" s="114">
        <f t="shared" si="4"/>
        <v>13.602800972222223</v>
      </c>
      <c r="M18" s="396">
        <v>3567.32</v>
      </c>
      <c r="N18" s="114">
        <f t="shared" si="5"/>
        <v>0.24773055555555556</v>
      </c>
      <c r="O18" s="396">
        <v>92838.69</v>
      </c>
      <c r="P18" s="114">
        <f t="shared" si="6"/>
        <v>16.762541250000002</v>
      </c>
      <c r="Q18" s="396">
        <v>7512779.8899999997</v>
      </c>
      <c r="R18" s="398">
        <f t="shared" si="7"/>
        <v>1669.5066422222221</v>
      </c>
    </row>
    <row r="19" spans="2:18" x14ac:dyDescent="0.3">
      <c r="B19" s="393">
        <f t="shared" si="8"/>
        <v>45489</v>
      </c>
      <c r="C19" s="396">
        <v>3602639.67</v>
      </c>
      <c r="D19" s="114">
        <f t="shared" si="0"/>
        <v>750.54993124999987</v>
      </c>
      <c r="E19" s="399">
        <v>33379184.859999999</v>
      </c>
      <c r="F19" s="114">
        <f t="shared" si="1"/>
        <v>6953.9968458333324</v>
      </c>
      <c r="G19" s="396">
        <v>41250.71</v>
      </c>
      <c r="H19" s="114">
        <f t="shared" si="2"/>
        <v>5.1563387499999997</v>
      </c>
      <c r="I19" s="399">
        <v>275658.3</v>
      </c>
      <c r="J19" s="114">
        <f t="shared" si="3"/>
        <v>34.4572875</v>
      </c>
      <c r="K19" s="396">
        <v>75338.59</v>
      </c>
      <c r="L19" s="114">
        <f t="shared" si="4"/>
        <v>13.602800972222223</v>
      </c>
      <c r="M19" s="396">
        <v>3567.32</v>
      </c>
      <c r="N19" s="114">
        <f t="shared" si="5"/>
        <v>0.24773055555555556</v>
      </c>
      <c r="O19" s="396">
        <v>92838.69</v>
      </c>
      <c r="P19" s="114">
        <f t="shared" si="6"/>
        <v>16.762541250000002</v>
      </c>
      <c r="Q19" s="396">
        <v>7512779.8899999997</v>
      </c>
      <c r="R19" s="398">
        <f t="shared" si="7"/>
        <v>1669.5066422222221</v>
      </c>
    </row>
    <row r="20" spans="2:18" x14ac:dyDescent="0.3">
      <c r="B20" s="393">
        <f t="shared" si="8"/>
        <v>45490</v>
      </c>
      <c r="C20" s="396">
        <v>3602639.67</v>
      </c>
      <c r="D20" s="114">
        <f t="shared" si="0"/>
        <v>750.54993124999987</v>
      </c>
      <c r="E20" s="399">
        <v>33379184.859999999</v>
      </c>
      <c r="F20" s="114">
        <f t="shared" si="1"/>
        <v>6953.9968458333324</v>
      </c>
      <c r="G20" s="396">
        <v>41250.71</v>
      </c>
      <c r="H20" s="114">
        <f t="shared" si="2"/>
        <v>5.1563387499999997</v>
      </c>
      <c r="I20" s="399">
        <v>275658.3</v>
      </c>
      <c r="J20" s="114">
        <f t="shared" si="3"/>
        <v>34.4572875</v>
      </c>
      <c r="K20" s="396">
        <v>75338.59</v>
      </c>
      <c r="L20" s="114">
        <f t="shared" si="4"/>
        <v>13.602800972222223</v>
      </c>
      <c r="M20" s="396">
        <v>3567.32</v>
      </c>
      <c r="N20" s="114">
        <f t="shared" si="5"/>
        <v>0.24773055555555556</v>
      </c>
      <c r="O20" s="396">
        <v>92838.69</v>
      </c>
      <c r="P20" s="114">
        <f t="shared" si="6"/>
        <v>16.762541250000002</v>
      </c>
      <c r="Q20" s="396">
        <v>7512779.8899999997</v>
      </c>
      <c r="R20" s="398">
        <f t="shared" si="7"/>
        <v>1669.5066422222221</v>
      </c>
    </row>
    <row r="21" spans="2:18" x14ac:dyDescent="0.3">
      <c r="B21" s="393">
        <f t="shared" si="8"/>
        <v>45491</v>
      </c>
      <c r="C21" s="396">
        <v>13902639.67</v>
      </c>
      <c r="D21" s="114">
        <f t="shared" si="0"/>
        <v>2896.3832645833331</v>
      </c>
      <c r="E21" s="399">
        <v>33379184.859999999</v>
      </c>
      <c r="F21" s="114">
        <f t="shared" si="1"/>
        <v>6953.9968458333324</v>
      </c>
      <c r="G21" s="396">
        <v>41250.71</v>
      </c>
      <c r="H21" s="114">
        <f t="shared" si="2"/>
        <v>5.1563387499999997</v>
      </c>
      <c r="I21" s="399">
        <v>275658.3</v>
      </c>
      <c r="J21" s="114">
        <f t="shared" si="3"/>
        <v>34.4572875</v>
      </c>
      <c r="K21" s="396">
        <v>75338.59</v>
      </c>
      <c r="L21" s="114">
        <f t="shared" si="4"/>
        <v>13.602800972222223</v>
      </c>
      <c r="M21" s="396">
        <v>3567.32</v>
      </c>
      <c r="N21" s="114">
        <f t="shared" si="5"/>
        <v>0.24773055555555556</v>
      </c>
      <c r="O21" s="396">
        <v>92838.69</v>
      </c>
      <c r="P21" s="114">
        <f t="shared" si="6"/>
        <v>16.762541250000002</v>
      </c>
      <c r="Q21" s="396">
        <v>7512779.8899999997</v>
      </c>
      <c r="R21" s="398">
        <f t="shared" si="7"/>
        <v>1669.5066422222221</v>
      </c>
    </row>
    <row r="22" spans="2:18" x14ac:dyDescent="0.3">
      <c r="B22" s="393">
        <f t="shared" si="8"/>
        <v>45492</v>
      </c>
      <c r="C22" s="396">
        <v>13902639.67</v>
      </c>
      <c r="D22" s="114">
        <f t="shared" si="0"/>
        <v>2896.3832645833331</v>
      </c>
      <c r="E22" s="399">
        <v>33379184.859999999</v>
      </c>
      <c r="F22" s="114">
        <f t="shared" si="1"/>
        <v>6953.9968458333324</v>
      </c>
      <c r="G22" s="396">
        <v>41250.71</v>
      </c>
      <c r="H22" s="114">
        <f t="shared" si="2"/>
        <v>5.1563387499999997</v>
      </c>
      <c r="I22" s="399">
        <v>275658.3</v>
      </c>
      <c r="J22" s="114">
        <f t="shared" si="3"/>
        <v>34.4572875</v>
      </c>
      <c r="K22" s="396">
        <v>75338.59</v>
      </c>
      <c r="L22" s="114">
        <f t="shared" si="4"/>
        <v>13.602800972222223</v>
      </c>
      <c r="M22" s="396">
        <v>3567.32</v>
      </c>
      <c r="N22" s="114">
        <f t="shared" si="5"/>
        <v>0.24773055555555556</v>
      </c>
      <c r="O22" s="396">
        <v>92838.69</v>
      </c>
      <c r="P22" s="114">
        <f t="shared" si="6"/>
        <v>16.762541250000002</v>
      </c>
      <c r="Q22" s="396">
        <v>7512779.8899999997</v>
      </c>
      <c r="R22" s="398">
        <f t="shared" si="7"/>
        <v>1669.5066422222221</v>
      </c>
    </row>
    <row r="23" spans="2:18" x14ac:dyDescent="0.3">
      <c r="B23" s="393">
        <f t="shared" si="8"/>
        <v>45493</v>
      </c>
      <c r="C23" s="396">
        <v>13902639.67</v>
      </c>
      <c r="D23" s="114">
        <f t="shared" si="0"/>
        <v>2896.3832645833331</v>
      </c>
      <c r="E23" s="399">
        <v>33379184.859999999</v>
      </c>
      <c r="F23" s="114">
        <f t="shared" si="1"/>
        <v>6953.9968458333324</v>
      </c>
      <c r="G23" s="396">
        <v>41250.71</v>
      </c>
      <c r="H23" s="114">
        <f t="shared" si="2"/>
        <v>5.1563387499999997</v>
      </c>
      <c r="I23" s="399">
        <v>275658.3</v>
      </c>
      <c r="J23" s="114">
        <f t="shared" si="3"/>
        <v>34.4572875</v>
      </c>
      <c r="K23" s="396">
        <v>75338.59</v>
      </c>
      <c r="L23" s="114">
        <f t="shared" si="4"/>
        <v>13.602800972222223</v>
      </c>
      <c r="M23" s="396">
        <v>3567.32</v>
      </c>
      <c r="N23" s="114">
        <f t="shared" si="5"/>
        <v>0.24773055555555556</v>
      </c>
      <c r="O23" s="396">
        <v>92838.69</v>
      </c>
      <c r="P23" s="114">
        <f t="shared" si="6"/>
        <v>16.762541250000002</v>
      </c>
      <c r="Q23" s="396">
        <v>7512779.8899999997</v>
      </c>
      <c r="R23" s="398">
        <f t="shared" si="7"/>
        <v>1669.5066422222221</v>
      </c>
    </row>
    <row r="24" spans="2:18" x14ac:dyDescent="0.3">
      <c r="B24" s="393">
        <f t="shared" si="8"/>
        <v>45494</v>
      </c>
      <c r="C24" s="396">
        <v>13902639.67</v>
      </c>
      <c r="D24" s="114">
        <f t="shared" si="0"/>
        <v>2896.3832645833331</v>
      </c>
      <c r="E24" s="399">
        <v>33379184.859999999</v>
      </c>
      <c r="F24" s="114">
        <f t="shared" si="1"/>
        <v>6953.9968458333324</v>
      </c>
      <c r="G24" s="396">
        <v>41250.71</v>
      </c>
      <c r="H24" s="114">
        <f t="shared" si="2"/>
        <v>5.1563387499999997</v>
      </c>
      <c r="I24" s="399">
        <v>275658.3</v>
      </c>
      <c r="J24" s="114">
        <f t="shared" si="3"/>
        <v>34.4572875</v>
      </c>
      <c r="K24" s="396">
        <v>75338.59</v>
      </c>
      <c r="L24" s="114">
        <f t="shared" si="4"/>
        <v>13.602800972222223</v>
      </c>
      <c r="M24" s="396">
        <v>3567.32</v>
      </c>
      <c r="N24" s="114">
        <f t="shared" si="5"/>
        <v>0.24773055555555556</v>
      </c>
      <c r="O24" s="396">
        <v>92838.69</v>
      </c>
      <c r="P24" s="114">
        <f t="shared" si="6"/>
        <v>16.762541250000002</v>
      </c>
      <c r="Q24" s="396">
        <v>7512779.8899999997</v>
      </c>
      <c r="R24" s="398">
        <f t="shared" si="7"/>
        <v>1669.5066422222221</v>
      </c>
    </row>
    <row r="25" spans="2:18" x14ac:dyDescent="0.3">
      <c r="B25" s="393">
        <f t="shared" si="8"/>
        <v>45495</v>
      </c>
      <c r="C25" s="396">
        <v>13902639.67</v>
      </c>
      <c r="D25" s="114">
        <f t="shared" si="0"/>
        <v>2896.3832645833331</v>
      </c>
      <c r="E25" s="399">
        <v>33379184.859999999</v>
      </c>
      <c r="F25" s="114">
        <f t="shared" si="1"/>
        <v>6953.9968458333324</v>
      </c>
      <c r="G25" s="396">
        <v>41250.71</v>
      </c>
      <c r="H25" s="114">
        <f t="shared" si="2"/>
        <v>5.1563387499999997</v>
      </c>
      <c r="I25" s="399">
        <v>275658.3</v>
      </c>
      <c r="J25" s="114">
        <f t="shared" si="3"/>
        <v>34.4572875</v>
      </c>
      <c r="K25" s="396">
        <v>75338.59</v>
      </c>
      <c r="L25" s="114">
        <f t="shared" si="4"/>
        <v>13.602800972222223</v>
      </c>
      <c r="M25" s="396">
        <v>3567.32</v>
      </c>
      <c r="N25" s="114">
        <f t="shared" si="5"/>
        <v>0.24773055555555556</v>
      </c>
      <c r="O25" s="396">
        <v>92838.69</v>
      </c>
      <c r="P25" s="114">
        <f t="shared" si="6"/>
        <v>16.762541250000002</v>
      </c>
      <c r="Q25" s="396">
        <v>7512779.8899999997</v>
      </c>
      <c r="R25" s="398">
        <f t="shared" si="7"/>
        <v>1669.5066422222221</v>
      </c>
    </row>
    <row r="26" spans="2:18" x14ac:dyDescent="0.3">
      <c r="B26" s="393">
        <f t="shared" si="8"/>
        <v>45496</v>
      </c>
      <c r="C26" s="396">
        <v>13902639.67</v>
      </c>
      <c r="D26" s="114">
        <f t="shared" si="0"/>
        <v>2896.3832645833331</v>
      </c>
      <c r="E26" s="399">
        <v>33379184.859999999</v>
      </c>
      <c r="F26" s="114">
        <f t="shared" si="1"/>
        <v>6953.9968458333324</v>
      </c>
      <c r="G26" s="396">
        <v>41250.71</v>
      </c>
      <c r="H26" s="114">
        <f t="shared" si="2"/>
        <v>5.1563387499999997</v>
      </c>
      <c r="I26" s="399">
        <v>275658.3</v>
      </c>
      <c r="J26" s="114">
        <f t="shared" si="3"/>
        <v>34.4572875</v>
      </c>
      <c r="K26" s="396">
        <v>75338.59</v>
      </c>
      <c r="L26" s="114">
        <f t="shared" si="4"/>
        <v>13.602800972222223</v>
      </c>
      <c r="M26" s="396">
        <v>3567.32</v>
      </c>
      <c r="N26" s="114">
        <f t="shared" si="5"/>
        <v>0.24773055555555556</v>
      </c>
      <c r="O26" s="396">
        <v>92838.69</v>
      </c>
      <c r="P26" s="114">
        <f t="shared" si="6"/>
        <v>16.762541250000002</v>
      </c>
      <c r="Q26" s="396">
        <v>7512779.8899999997</v>
      </c>
      <c r="R26" s="398">
        <f t="shared" si="7"/>
        <v>1669.5066422222221</v>
      </c>
    </row>
    <row r="27" spans="2:18" x14ac:dyDescent="0.3">
      <c r="B27" s="393">
        <f t="shared" si="8"/>
        <v>45497</v>
      </c>
      <c r="C27" s="396">
        <v>13902639.67</v>
      </c>
      <c r="D27" s="114">
        <f t="shared" si="0"/>
        <v>2896.3832645833331</v>
      </c>
      <c r="E27" s="399">
        <v>33379184.859999999</v>
      </c>
      <c r="F27" s="114">
        <f t="shared" si="1"/>
        <v>6953.9968458333324</v>
      </c>
      <c r="G27" s="396">
        <v>41250.71</v>
      </c>
      <c r="H27" s="114">
        <f t="shared" si="2"/>
        <v>5.1563387499999997</v>
      </c>
      <c r="I27" s="399">
        <v>275658.3</v>
      </c>
      <c r="J27" s="114">
        <f t="shared" si="3"/>
        <v>34.4572875</v>
      </c>
      <c r="K27" s="396">
        <v>75338.59</v>
      </c>
      <c r="L27" s="114">
        <f t="shared" si="4"/>
        <v>13.602800972222223</v>
      </c>
      <c r="M27" s="396">
        <v>3567.32</v>
      </c>
      <c r="N27" s="114">
        <f t="shared" si="5"/>
        <v>0.24773055555555556</v>
      </c>
      <c r="O27" s="396">
        <v>92838.69</v>
      </c>
      <c r="P27" s="114">
        <f t="shared" si="6"/>
        <v>16.762541250000002</v>
      </c>
      <c r="Q27" s="396">
        <v>7512779.8899999997</v>
      </c>
      <c r="R27" s="398">
        <f t="shared" si="7"/>
        <v>1669.5066422222221</v>
      </c>
    </row>
    <row r="28" spans="2:18" x14ac:dyDescent="0.3">
      <c r="B28" s="393">
        <f t="shared" si="8"/>
        <v>45498</v>
      </c>
      <c r="C28" s="396">
        <v>10902084.25</v>
      </c>
      <c r="D28" s="114">
        <f t="shared" si="0"/>
        <v>2271.2675520833332</v>
      </c>
      <c r="E28" s="399">
        <v>32047191.760000002</v>
      </c>
      <c r="F28" s="114">
        <f t="shared" si="1"/>
        <v>6676.4982833333343</v>
      </c>
      <c r="G28" s="396">
        <v>41250.71</v>
      </c>
      <c r="H28" s="114">
        <f t="shared" si="2"/>
        <v>5.1563387499999997</v>
      </c>
      <c r="I28" s="399">
        <v>275658.3</v>
      </c>
      <c r="J28" s="114">
        <f t="shared" si="3"/>
        <v>34.4572875</v>
      </c>
      <c r="K28" s="396">
        <v>75338.59</v>
      </c>
      <c r="L28" s="114">
        <f t="shared" si="4"/>
        <v>13.602800972222223</v>
      </c>
      <c r="M28" s="396">
        <v>3567.32</v>
      </c>
      <c r="N28" s="114">
        <f t="shared" si="5"/>
        <v>0.24773055555555556</v>
      </c>
      <c r="O28" s="396">
        <v>92838.69</v>
      </c>
      <c r="P28" s="114">
        <f t="shared" si="6"/>
        <v>16.762541250000002</v>
      </c>
      <c r="Q28" s="396">
        <v>7512779.8899999997</v>
      </c>
      <c r="R28" s="398">
        <f t="shared" si="7"/>
        <v>1669.5066422222221</v>
      </c>
    </row>
    <row r="29" spans="2:18" x14ac:dyDescent="0.3">
      <c r="B29" s="393">
        <f t="shared" si="8"/>
        <v>45499</v>
      </c>
      <c r="C29" s="396">
        <v>10902084.25</v>
      </c>
      <c r="D29" s="114">
        <f t="shared" si="0"/>
        <v>2271.2675520833332</v>
      </c>
      <c r="E29" s="399">
        <v>32047191.760000002</v>
      </c>
      <c r="F29" s="114">
        <f t="shared" si="1"/>
        <v>6676.4982833333343</v>
      </c>
      <c r="G29" s="396">
        <v>41250.71</v>
      </c>
      <c r="H29" s="114">
        <f t="shared" si="2"/>
        <v>5.1563387499999997</v>
      </c>
      <c r="I29" s="399">
        <v>275658.3</v>
      </c>
      <c r="J29" s="114">
        <f t="shared" si="3"/>
        <v>34.4572875</v>
      </c>
      <c r="K29" s="396">
        <v>75338.59</v>
      </c>
      <c r="L29" s="114">
        <f t="shared" si="4"/>
        <v>13.602800972222223</v>
      </c>
      <c r="M29" s="396">
        <v>3567.32</v>
      </c>
      <c r="N29" s="114">
        <f t="shared" si="5"/>
        <v>0.24773055555555556</v>
      </c>
      <c r="O29" s="396">
        <v>92838.69</v>
      </c>
      <c r="P29" s="114">
        <f t="shared" si="6"/>
        <v>16.762541250000002</v>
      </c>
      <c r="Q29" s="396">
        <v>7512779.8899999997</v>
      </c>
      <c r="R29" s="398">
        <f t="shared" si="7"/>
        <v>1669.5066422222221</v>
      </c>
    </row>
    <row r="30" spans="2:18" x14ac:dyDescent="0.3">
      <c r="B30" s="393">
        <f t="shared" si="8"/>
        <v>45500</v>
      </c>
      <c r="C30" s="396">
        <v>10902084.25</v>
      </c>
      <c r="D30" s="114">
        <f t="shared" si="0"/>
        <v>2271.2675520833332</v>
      </c>
      <c r="E30" s="399">
        <v>32047191.760000002</v>
      </c>
      <c r="F30" s="114">
        <f t="shared" si="1"/>
        <v>6676.4982833333343</v>
      </c>
      <c r="G30" s="396">
        <v>41250.71</v>
      </c>
      <c r="H30" s="114">
        <f t="shared" si="2"/>
        <v>5.1563387499999997</v>
      </c>
      <c r="I30" s="399">
        <v>275658.3</v>
      </c>
      <c r="J30" s="114">
        <f t="shared" si="3"/>
        <v>34.4572875</v>
      </c>
      <c r="K30" s="396">
        <v>75338.59</v>
      </c>
      <c r="L30" s="114">
        <f t="shared" si="4"/>
        <v>13.602800972222223</v>
      </c>
      <c r="M30" s="396">
        <v>3567.32</v>
      </c>
      <c r="N30" s="114">
        <f t="shared" si="5"/>
        <v>0.24773055555555556</v>
      </c>
      <c r="O30" s="396">
        <v>92838.69</v>
      </c>
      <c r="P30" s="114">
        <f t="shared" si="6"/>
        <v>16.762541250000002</v>
      </c>
      <c r="Q30" s="396">
        <v>7512779.8899999997</v>
      </c>
      <c r="R30" s="398">
        <f t="shared" si="7"/>
        <v>1669.5066422222221</v>
      </c>
    </row>
    <row r="31" spans="2:18" x14ac:dyDescent="0.3">
      <c r="B31" s="393">
        <f t="shared" si="8"/>
        <v>45501</v>
      </c>
      <c r="C31" s="396">
        <v>10902084.25</v>
      </c>
      <c r="D31" s="114">
        <f t="shared" si="0"/>
        <v>2271.2675520833332</v>
      </c>
      <c r="E31" s="399">
        <v>32047191.760000002</v>
      </c>
      <c r="F31" s="114">
        <f t="shared" si="1"/>
        <v>6676.4982833333343</v>
      </c>
      <c r="G31" s="396">
        <v>46250.71</v>
      </c>
      <c r="H31" s="114">
        <f t="shared" si="2"/>
        <v>5.7813387499999997</v>
      </c>
      <c r="I31" s="399">
        <v>275658.3</v>
      </c>
      <c r="J31" s="114">
        <f t="shared" si="3"/>
        <v>34.4572875</v>
      </c>
      <c r="K31" s="396">
        <v>75338.59</v>
      </c>
      <c r="L31" s="114">
        <f t="shared" si="4"/>
        <v>13.602800972222223</v>
      </c>
      <c r="M31" s="396">
        <v>3567.32</v>
      </c>
      <c r="N31" s="114">
        <f t="shared" si="5"/>
        <v>0.24773055555555556</v>
      </c>
      <c r="O31" s="396">
        <v>92838.69</v>
      </c>
      <c r="P31" s="114">
        <f t="shared" si="6"/>
        <v>16.762541250000002</v>
      </c>
      <c r="Q31" s="396">
        <v>7512779.8899999997</v>
      </c>
      <c r="R31" s="398">
        <f t="shared" si="7"/>
        <v>1669.5066422222221</v>
      </c>
    </row>
    <row r="32" spans="2:18" x14ac:dyDescent="0.3">
      <c r="B32" s="393">
        <f t="shared" si="8"/>
        <v>45502</v>
      </c>
      <c r="C32" s="396">
        <v>10902084.25</v>
      </c>
      <c r="D32" s="114">
        <f t="shared" si="0"/>
        <v>2271.2675520833332</v>
      </c>
      <c r="E32" s="399">
        <v>38889571.390000001</v>
      </c>
      <c r="F32" s="114">
        <f t="shared" si="1"/>
        <v>8101.9940395833328</v>
      </c>
      <c r="G32" s="396">
        <v>46250.71</v>
      </c>
      <c r="H32" s="114">
        <f t="shared" si="2"/>
        <v>5.7813387499999997</v>
      </c>
      <c r="I32" s="399">
        <v>275658.3</v>
      </c>
      <c r="J32" s="114">
        <f t="shared" si="3"/>
        <v>34.4572875</v>
      </c>
      <c r="K32" s="396">
        <v>75338.59</v>
      </c>
      <c r="L32" s="114">
        <f t="shared" si="4"/>
        <v>13.602800972222223</v>
      </c>
      <c r="M32" s="396">
        <v>3567.32</v>
      </c>
      <c r="N32" s="114">
        <f t="shared" si="5"/>
        <v>0.24773055555555556</v>
      </c>
      <c r="O32" s="396">
        <v>92838.69</v>
      </c>
      <c r="P32" s="114">
        <f t="shared" si="6"/>
        <v>16.762541250000002</v>
      </c>
      <c r="Q32" s="396">
        <v>7512779.8899999997</v>
      </c>
      <c r="R32" s="398">
        <f t="shared" si="7"/>
        <v>1669.5066422222221</v>
      </c>
    </row>
    <row r="33" spans="2:18" x14ac:dyDescent="0.3">
      <c r="B33" s="393">
        <f t="shared" si="8"/>
        <v>45503</v>
      </c>
      <c r="C33" s="396">
        <v>10902084.25</v>
      </c>
      <c r="D33" s="114">
        <f t="shared" si="0"/>
        <v>2271.2675520833332</v>
      </c>
      <c r="E33" s="399">
        <v>38889571.390000001</v>
      </c>
      <c r="F33" s="114">
        <f t="shared" si="1"/>
        <v>8101.9940395833328</v>
      </c>
      <c r="G33" s="396">
        <v>46250.71</v>
      </c>
      <c r="H33" s="114">
        <f t="shared" si="2"/>
        <v>5.7813387499999997</v>
      </c>
      <c r="I33" s="399">
        <v>275658.3</v>
      </c>
      <c r="J33" s="114">
        <f t="shared" si="3"/>
        <v>34.4572875</v>
      </c>
      <c r="K33" s="396">
        <v>75338.59</v>
      </c>
      <c r="L33" s="114">
        <f t="shared" si="4"/>
        <v>13.602800972222223</v>
      </c>
      <c r="M33" s="396">
        <v>3567.32</v>
      </c>
      <c r="N33" s="114">
        <f t="shared" si="5"/>
        <v>0.24773055555555556</v>
      </c>
      <c r="O33" s="396">
        <v>92838.69</v>
      </c>
      <c r="P33" s="114">
        <f t="shared" si="6"/>
        <v>16.762541250000002</v>
      </c>
      <c r="Q33" s="396">
        <v>7512779.8899999997</v>
      </c>
      <c r="R33" s="398">
        <f t="shared" si="7"/>
        <v>1669.5066422222221</v>
      </c>
    </row>
    <row r="34" spans="2:18" x14ac:dyDescent="0.3">
      <c r="B34" s="393">
        <f t="shared" si="8"/>
        <v>45504</v>
      </c>
      <c r="C34" s="396">
        <v>10902084.25</v>
      </c>
      <c r="D34" s="114">
        <f t="shared" si="0"/>
        <v>2271.2675520833332</v>
      </c>
      <c r="E34" s="399">
        <v>38882862.659999996</v>
      </c>
      <c r="F34" s="114">
        <f t="shared" si="1"/>
        <v>8100.5963874999989</v>
      </c>
      <c r="G34" s="396">
        <v>46250.71</v>
      </c>
      <c r="H34" s="114">
        <f t="shared" si="2"/>
        <v>5.7813387499999997</v>
      </c>
      <c r="I34" s="399">
        <v>275658.3</v>
      </c>
      <c r="J34" s="114">
        <f t="shared" si="3"/>
        <v>34.4572875</v>
      </c>
      <c r="K34" s="396">
        <v>75338.59</v>
      </c>
      <c r="L34" s="114">
        <f t="shared" si="4"/>
        <v>13.602800972222223</v>
      </c>
      <c r="M34" s="396">
        <v>3567.32</v>
      </c>
      <c r="N34" s="114">
        <f t="shared" si="5"/>
        <v>0.24773055555555556</v>
      </c>
      <c r="O34" s="396">
        <v>92838.69</v>
      </c>
      <c r="P34" s="114">
        <f t="shared" si="6"/>
        <v>16.762541250000002</v>
      </c>
      <c r="Q34" s="396">
        <v>7512779.8899999997</v>
      </c>
      <c r="R34" s="398">
        <f t="shared" si="7"/>
        <v>1669.5066422222221</v>
      </c>
    </row>
    <row r="35" spans="2:18" x14ac:dyDescent="0.3">
      <c r="B35" s="393">
        <f t="shared" si="8"/>
        <v>45505</v>
      </c>
      <c r="C35" s="396">
        <v>10902084.25</v>
      </c>
      <c r="D35" s="114">
        <f t="shared" si="0"/>
        <v>2271.2675520833332</v>
      </c>
      <c r="E35" s="399">
        <v>43199079.460000001</v>
      </c>
      <c r="F35" s="114">
        <f t="shared" si="1"/>
        <v>8999.8082208333326</v>
      </c>
      <c r="G35" s="396">
        <v>46250.71</v>
      </c>
      <c r="H35" s="114">
        <f t="shared" si="2"/>
        <v>5.7813387499999997</v>
      </c>
      <c r="I35" s="399">
        <v>275658.3</v>
      </c>
      <c r="J35" s="114">
        <f t="shared" si="3"/>
        <v>34.4572875</v>
      </c>
      <c r="K35" s="396">
        <v>75338.59</v>
      </c>
      <c r="L35" s="114">
        <f t="shared" si="4"/>
        <v>13.602800972222223</v>
      </c>
      <c r="M35" s="396">
        <v>3567.32</v>
      </c>
      <c r="N35" s="114">
        <f t="shared" si="5"/>
        <v>0.24773055555555556</v>
      </c>
      <c r="O35" s="396">
        <v>92838.69</v>
      </c>
      <c r="P35" s="114">
        <f t="shared" si="6"/>
        <v>16.762541250000002</v>
      </c>
      <c r="Q35" s="396">
        <v>7512779.8899999997</v>
      </c>
      <c r="R35" s="398">
        <f t="shared" si="7"/>
        <v>1669.5066422222221</v>
      </c>
    </row>
    <row r="36" spans="2:18" x14ac:dyDescent="0.3">
      <c r="B36" s="393">
        <f t="shared" si="8"/>
        <v>45506</v>
      </c>
      <c r="C36" s="396">
        <v>10902084.25</v>
      </c>
      <c r="D36" s="114">
        <f t="shared" si="0"/>
        <v>2271.2675520833332</v>
      </c>
      <c r="E36" s="399">
        <v>43199079.460000001</v>
      </c>
      <c r="F36" s="114">
        <f t="shared" si="1"/>
        <v>8999.8082208333326</v>
      </c>
      <c r="G36" s="396">
        <v>46250.71</v>
      </c>
      <c r="H36" s="114">
        <f t="shared" si="2"/>
        <v>5.7813387499999997</v>
      </c>
      <c r="I36" s="399">
        <v>275658.3</v>
      </c>
      <c r="J36" s="114">
        <f t="shared" si="3"/>
        <v>34.4572875</v>
      </c>
      <c r="K36" s="396">
        <v>75338.59</v>
      </c>
      <c r="L36" s="114">
        <f t="shared" si="4"/>
        <v>13.602800972222223</v>
      </c>
      <c r="M36" s="396">
        <v>3567.32</v>
      </c>
      <c r="N36" s="114">
        <f t="shared" si="5"/>
        <v>0.24773055555555556</v>
      </c>
      <c r="O36" s="396">
        <v>92838.69</v>
      </c>
      <c r="P36" s="114">
        <f t="shared" si="6"/>
        <v>16.762541250000002</v>
      </c>
      <c r="Q36" s="396">
        <v>7512779.8899999997</v>
      </c>
      <c r="R36" s="398">
        <f t="shared" si="7"/>
        <v>1669.5066422222221</v>
      </c>
    </row>
    <row r="37" spans="2:18" x14ac:dyDescent="0.3">
      <c r="B37" s="393">
        <f t="shared" si="8"/>
        <v>45507</v>
      </c>
      <c r="C37" s="396">
        <v>10902084.25</v>
      </c>
      <c r="D37" s="114">
        <f t="shared" si="0"/>
        <v>2271.2675520833332</v>
      </c>
      <c r="E37" s="399">
        <v>43199079.460000001</v>
      </c>
      <c r="F37" s="114">
        <f t="shared" si="1"/>
        <v>8999.8082208333326</v>
      </c>
      <c r="G37" s="396">
        <v>46250.71</v>
      </c>
      <c r="H37" s="114">
        <f t="shared" si="2"/>
        <v>5.7813387499999997</v>
      </c>
      <c r="I37" s="399">
        <v>275658.3</v>
      </c>
      <c r="J37" s="114">
        <f t="shared" si="3"/>
        <v>34.4572875</v>
      </c>
      <c r="K37" s="396">
        <v>75338.59</v>
      </c>
      <c r="L37" s="114">
        <f t="shared" si="4"/>
        <v>13.602800972222223</v>
      </c>
      <c r="M37" s="396">
        <v>3567.32</v>
      </c>
      <c r="N37" s="114">
        <f t="shared" si="5"/>
        <v>0.24773055555555556</v>
      </c>
      <c r="O37" s="396">
        <v>92838.69</v>
      </c>
      <c r="P37" s="114">
        <f t="shared" si="6"/>
        <v>16.762541250000002</v>
      </c>
      <c r="Q37" s="396">
        <v>7512779.8899999997</v>
      </c>
      <c r="R37" s="398">
        <f t="shared" si="7"/>
        <v>1669.5066422222221</v>
      </c>
    </row>
    <row r="38" spans="2:18" x14ac:dyDescent="0.3">
      <c r="B38" s="393">
        <f>B37+1</f>
        <v>45508</v>
      </c>
      <c r="C38" s="396">
        <v>10902084.25</v>
      </c>
      <c r="D38" s="114">
        <f t="shared" si="0"/>
        <v>2271.2675520833332</v>
      </c>
      <c r="E38" s="399">
        <v>43199079.460000001</v>
      </c>
      <c r="F38" s="114">
        <f t="shared" si="1"/>
        <v>8999.8082208333326</v>
      </c>
      <c r="G38" s="396">
        <v>46251.71</v>
      </c>
      <c r="H38" s="114">
        <f t="shared" ref="H38:H51" si="9">(G38*4.5%)/360</f>
        <v>5.7814637499999995</v>
      </c>
      <c r="I38" s="399">
        <v>275659.3</v>
      </c>
      <c r="J38" s="114">
        <f t="shared" ref="J38:J51" si="10">(I38*4.5%)/360</f>
        <v>34.457412499999997</v>
      </c>
      <c r="K38" s="396">
        <v>75339.59</v>
      </c>
      <c r="L38" s="114">
        <f t="shared" ref="L38:L44" si="11">(K38*6.5%)/360</f>
        <v>13.602981527777777</v>
      </c>
      <c r="M38" s="396">
        <v>3568.32</v>
      </c>
      <c r="N38" s="114">
        <f t="shared" ref="N38:N44" si="12">(M38*2.5%)/360</f>
        <v>0.24780000000000005</v>
      </c>
      <c r="O38" s="396">
        <v>92839.69</v>
      </c>
      <c r="P38" s="114">
        <f t="shared" ref="P38:P44" si="13">(O38*6.5%)/360</f>
        <v>16.762721805555557</v>
      </c>
      <c r="Q38" s="396">
        <v>7512780.8899999997</v>
      </c>
      <c r="R38" s="398">
        <f t="shared" ref="R38:R44" si="14">(Q38*8%)/360</f>
        <v>1669.5068644444445</v>
      </c>
    </row>
    <row r="39" spans="2:18" x14ac:dyDescent="0.3">
      <c r="B39" s="393">
        <f t="shared" ref="B39:B102" si="15">B38+1</f>
        <v>45509</v>
      </c>
      <c r="C39" s="396">
        <v>10902084.25</v>
      </c>
      <c r="D39" s="114">
        <f t="shared" si="0"/>
        <v>2271.2675520833332</v>
      </c>
      <c r="E39" s="399">
        <v>43199079.460000001</v>
      </c>
      <c r="F39" s="114">
        <f t="shared" si="1"/>
        <v>8999.8082208333326</v>
      </c>
      <c r="G39" s="396">
        <v>46252.71</v>
      </c>
      <c r="H39" s="114">
        <f t="shared" si="9"/>
        <v>5.7815887499999992</v>
      </c>
      <c r="I39" s="399">
        <v>275660.3</v>
      </c>
      <c r="J39" s="114">
        <f t="shared" si="10"/>
        <v>34.457537500000001</v>
      </c>
      <c r="K39" s="396">
        <v>75340.59</v>
      </c>
      <c r="L39" s="114">
        <f t="shared" si="11"/>
        <v>13.603162083333334</v>
      </c>
      <c r="M39" s="396">
        <v>3569.32</v>
      </c>
      <c r="N39" s="114">
        <f t="shared" si="12"/>
        <v>0.24786944444444445</v>
      </c>
      <c r="O39" s="396">
        <v>92840.69</v>
      </c>
      <c r="P39" s="114">
        <f t="shared" si="13"/>
        <v>16.762902361111113</v>
      </c>
      <c r="Q39" s="396">
        <v>7512781.8899999997</v>
      </c>
      <c r="R39" s="398">
        <f t="shared" si="14"/>
        <v>1669.5070866666667</v>
      </c>
    </row>
    <row r="40" spans="2:18" x14ac:dyDescent="0.3">
      <c r="B40" s="393">
        <f t="shared" si="15"/>
        <v>45510</v>
      </c>
      <c r="C40" s="396">
        <v>10902084.25</v>
      </c>
      <c r="D40" s="114">
        <f t="shared" si="0"/>
        <v>2271.2675520833332</v>
      </c>
      <c r="E40" s="399">
        <v>43199079.460000001</v>
      </c>
      <c r="F40" s="114">
        <f t="shared" si="1"/>
        <v>8999.8082208333326</v>
      </c>
      <c r="G40" s="396">
        <v>46253.71</v>
      </c>
      <c r="H40" s="114">
        <f t="shared" si="9"/>
        <v>5.7817137499999998</v>
      </c>
      <c r="I40" s="399">
        <v>275661.3</v>
      </c>
      <c r="J40" s="114">
        <f t="shared" si="10"/>
        <v>34.457662499999998</v>
      </c>
      <c r="K40" s="396">
        <v>75341.59</v>
      </c>
      <c r="L40" s="114">
        <f t="shared" si="11"/>
        <v>13.603342638888888</v>
      </c>
      <c r="M40" s="396">
        <v>3570.32</v>
      </c>
      <c r="N40" s="114">
        <f t="shared" si="12"/>
        <v>0.2479388888888889</v>
      </c>
      <c r="O40" s="396">
        <v>92841.69</v>
      </c>
      <c r="P40" s="114">
        <f t="shared" si="13"/>
        <v>16.763082916666669</v>
      </c>
      <c r="Q40" s="396">
        <v>7512782.8899999997</v>
      </c>
      <c r="R40" s="398">
        <f t="shared" si="14"/>
        <v>1669.5073088888887</v>
      </c>
    </row>
    <row r="41" spans="2:18" x14ac:dyDescent="0.3">
      <c r="B41" s="393">
        <f t="shared" si="15"/>
        <v>45511</v>
      </c>
      <c r="C41" s="396">
        <v>10902084.25</v>
      </c>
      <c r="D41" s="114">
        <f t="shared" si="0"/>
        <v>2271.2675520833332</v>
      </c>
      <c r="E41" s="399">
        <v>40699079.460000001</v>
      </c>
      <c r="F41" s="114">
        <f t="shared" si="1"/>
        <v>8478.9748875000005</v>
      </c>
      <c r="G41" s="396">
        <v>46254.71</v>
      </c>
      <c r="H41" s="114">
        <f t="shared" si="9"/>
        <v>5.7818387499999995</v>
      </c>
      <c r="I41" s="399">
        <v>275662.3</v>
      </c>
      <c r="J41" s="114">
        <f t="shared" si="10"/>
        <v>34.457787499999995</v>
      </c>
      <c r="K41" s="396">
        <v>75342.59</v>
      </c>
      <c r="L41" s="114">
        <f t="shared" si="11"/>
        <v>13.603523194444445</v>
      </c>
      <c r="M41" s="396">
        <v>3571.32</v>
      </c>
      <c r="N41" s="114">
        <f t="shared" si="12"/>
        <v>0.24800833333333339</v>
      </c>
      <c r="O41" s="396">
        <v>92842.69</v>
      </c>
      <c r="P41" s="114">
        <f t="shared" si="13"/>
        <v>16.763263472222224</v>
      </c>
      <c r="Q41" s="396">
        <v>7512783.8899999997</v>
      </c>
      <c r="R41" s="398">
        <f t="shared" si="14"/>
        <v>1669.5075311111111</v>
      </c>
    </row>
    <row r="42" spans="2:18" x14ac:dyDescent="0.3">
      <c r="B42" s="393">
        <f t="shared" si="15"/>
        <v>45512</v>
      </c>
      <c r="C42" s="396">
        <v>10902084.25</v>
      </c>
      <c r="D42" s="114">
        <f t="shared" si="0"/>
        <v>2271.2675520833332</v>
      </c>
      <c r="E42" s="399">
        <v>23785943.030000001</v>
      </c>
      <c r="F42" s="114">
        <f t="shared" si="1"/>
        <v>4955.4047979166662</v>
      </c>
      <c r="G42" s="396">
        <v>46255.71</v>
      </c>
      <c r="H42" s="114">
        <f t="shared" si="9"/>
        <v>5.7819637500000001</v>
      </c>
      <c r="I42" s="399">
        <v>274895.78000000003</v>
      </c>
      <c r="J42" s="114">
        <f t="shared" si="10"/>
        <v>34.3619725</v>
      </c>
      <c r="K42" s="396">
        <v>75343.59</v>
      </c>
      <c r="L42" s="114">
        <f t="shared" si="11"/>
        <v>13.603703749999999</v>
      </c>
      <c r="M42" s="396">
        <v>3572.32</v>
      </c>
      <c r="N42" s="114">
        <f t="shared" si="12"/>
        <v>0.24807777777777779</v>
      </c>
      <c r="O42" s="396">
        <v>92843.69</v>
      </c>
      <c r="P42" s="114">
        <f t="shared" si="13"/>
        <v>16.76344402777778</v>
      </c>
      <c r="Q42" s="396">
        <v>7512784.8899999997</v>
      </c>
      <c r="R42" s="398">
        <f t="shared" si="14"/>
        <v>1669.5077533333333</v>
      </c>
    </row>
    <row r="43" spans="2:18" x14ac:dyDescent="0.3">
      <c r="B43" s="393">
        <f t="shared" si="15"/>
        <v>45513</v>
      </c>
      <c r="C43" s="396">
        <v>10902084.25</v>
      </c>
      <c r="D43" s="114">
        <f t="shared" si="0"/>
        <v>2271.2675520833332</v>
      </c>
      <c r="E43" s="399">
        <v>23785943.030000001</v>
      </c>
      <c r="F43" s="114">
        <f t="shared" si="1"/>
        <v>4955.4047979166662</v>
      </c>
      <c r="G43" s="396">
        <v>46256.71</v>
      </c>
      <c r="H43" s="114">
        <f t="shared" si="9"/>
        <v>5.7820887499999998</v>
      </c>
      <c r="I43" s="399">
        <v>274895.78000000003</v>
      </c>
      <c r="J43" s="114">
        <f t="shared" si="10"/>
        <v>34.3619725</v>
      </c>
      <c r="K43" s="396">
        <v>75344.59</v>
      </c>
      <c r="L43" s="114">
        <f t="shared" si="11"/>
        <v>13.603884305555557</v>
      </c>
      <c r="M43" s="396">
        <v>3573.32</v>
      </c>
      <c r="N43" s="114">
        <f t="shared" si="12"/>
        <v>0.24814722222222227</v>
      </c>
      <c r="O43" s="396">
        <v>92844.69</v>
      </c>
      <c r="P43" s="114">
        <f t="shared" si="13"/>
        <v>16.763624583333335</v>
      </c>
      <c r="Q43" s="396">
        <v>7512785.8899999997</v>
      </c>
      <c r="R43" s="398">
        <f t="shared" si="14"/>
        <v>1669.5079755555553</v>
      </c>
    </row>
    <row r="44" spans="2:18" x14ac:dyDescent="0.3">
      <c r="B44" s="393">
        <f t="shared" si="15"/>
        <v>45514</v>
      </c>
      <c r="C44" s="396">
        <v>10902084.25</v>
      </c>
      <c r="D44" s="114">
        <f t="shared" si="0"/>
        <v>2271.2675520833332</v>
      </c>
      <c r="E44" s="399">
        <v>23785943.030000001</v>
      </c>
      <c r="F44" s="114">
        <f t="shared" si="1"/>
        <v>4955.4047979166662</v>
      </c>
      <c r="G44" s="396">
        <v>46257.71</v>
      </c>
      <c r="H44" s="114">
        <f t="shared" si="9"/>
        <v>5.7822137500000004</v>
      </c>
      <c r="I44" s="399">
        <v>274895.78000000003</v>
      </c>
      <c r="J44" s="114">
        <f t="shared" si="10"/>
        <v>34.3619725</v>
      </c>
      <c r="K44" s="396">
        <v>75345.59</v>
      </c>
      <c r="L44" s="114">
        <f t="shared" si="11"/>
        <v>13.604064861111111</v>
      </c>
      <c r="M44" s="396">
        <v>3574.32</v>
      </c>
      <c r="N44" s="114">
        <f t="shared" si="12"/>
        <v>0.24821666666666667</v>
      </c>
      <c r="O44" s="396">
        <v>92845.69</v>
      </c>
      <c r="P44" s="114">
        <f t="shared" si="13"/>
        <v>16.763805138888891</v>
      </c>
      <c r="Q44" s="396">
        <v>7512786.8899999997</v>
      </c>
      <c r="R44" s="398">
        <f t="shared" si="14"/>
        <v>1669.5081977777777</v>
      </c>
    </row>
    <row r="45" spans="2:18" x14ac:dyDescent="0.3">
      <c r="B45" s="393">
        <f t="shared" si="15"/>
        <v>45515</v>
      </c>
      <c r="C45" s="396">
        <v>902084.25</v>
      </c>
      <c r="D45" s="114">
        <f t="shared" si="0"/>
        <v>187.93421874999999</v>
      </c>
      <c r="E45" s="399">
        <v>11080478.15</v>
      </c>
      <c r="F45" s="114">
        <f t="shared" si="1"/>
        <v>2308.4329479166668</v>
      </c>
      <c r="G45" s="396">
        <v>46257.71</v>
      </c>
      <c r="H45" s="114">
        <f t="shared" si="9"/>
        <v>5.7822137500000004</v>
      </c>
      <c r="I45" s="399">
        <v>274895.78000000003</v>
      </c>
      <c r="J45" s="114">
        <f t="shared" si="10"/>
        <v>34.3619725</v>
      </c>
      <c r="K45" s="396">
        <v>75346.59</v>
      </c>
      <c r="L45" s="114">
        <f t="shared" ref="L45:L51" si="16">(K45*6.5%)/360</f>
        <v>13.604245416666666</v>
      </c>
      <c r="M45" s="396">
        <v>3575.32</v>
      </c>
      <c r="N45" s="114">
        <f t="shared" ref="N45:N51" si="17">(M45*2.5%)/360</f>
        <v>0.24828611111111115</v>
      </c>
      <c r="O45" s="396">
        <v>92846.69</v>
      </c>
      <c r="P45" s="114">
        <f t="shared" ref="P45:P51" si="18">(O45*6.5%)/360</f>
        <v>16.763985694444443</v>
      </c>
      <c r="Q45" s="396">
        <v>7512787.8899999997</v>
      </c>
      <c r="R45" s="398">
        <f t="shared" ref="R45:R51" si="19">(Q45*8%)/360</f>
        <v>1669.5084199999999</v>
      </c>
    </row>
    <row r="46" spans="2:18" x14ac:dyDescent="0.3">
      <c r="B46" s="393">
        <f t="shared" si="15"/>
        <v>45516</v>
      </c>
      <c r="C46" s="396">
        <v>902084.25</v>
      </c>
      <c r="D46" s="114">
        <f t="shared" si="0"/>
        <v>187.93421874999999</v>
      </c>
      <c r="E46" s="399">
        <v>18080478.149999999</v>
      </c>
      <c r="F46" s="114">
        <f t="shared" si="1"/>
        <v>3766.7662812499993</v>
      </c>
      <c r="G46" s="396">
        <v>46257.71</v>
      </c>
      <c r="H46" s="114">
        <f t="shared" si="9"/>
        <v>5.7822137500000004</v>
      </c>
      <c r="I46" s="399">
        <v>274895.78000000003</v>
      </c>
      <c r="J46" s="114">
        <f t="shared" si="10"/>
        <v>34.3619725</v>
      </c>
      <c r="K46" s="396">
        <v>75347.59</v>
      </c>
      <c r="L46" s="114">
        <f t="shared" si="16"/>
        <v>13.604425972222222</v>
      </c>
      <c r="M46" s="396">
        <v>3576.32</v>
      </c>
      <c r="N46" s="114">
        <f t="shared" si="17"/>
        <v>0.24835555555555561</v>
      </c>
      <c r="O46" s="396">
        <v>92847.69</v>
      </c>
      <c r="P46" s="114">
        <f t="shared" si="18"/>
        <v>16.764166250000002</v>
      </c>
      <c r="Q46" s="396">
        <v>512793.89</v>
      </c>
      <c r="R46" s="398">
        <f t="shared" si="19"/>
        <v>113.95419777777778</v>
      </c>
    </row>
    <row r="47" spans="2:18" x14ac:dyDescent="0.3">
      <c r="B47" s="393">
        <f t="shared" si="15"/>
        <v>45517</v>
      </c>
      <c r="C47" s="396">
        <v>2084.25</v>
      </c>
      <c r="D47" s="114">
        <f t="shared" si="0"/>
        <v>0.43421874999999999</v>
      </c>
      <c r="E47" s="399">
        <v>19116655.149999999</v>
      </c>
      <c r="F47" s="114">
        <f t="shared" si="1"/>
        <v>3982.6364895833326</v>
      </c>
      <c r="G47" s="396">
        <v>46257.71</v>
      </c>
      <c r="H47" s="114">
        <f t="shared" si="9"/>
        <v>5.7822137500000004</v>
      </c>
      <c r="I47" s="399">
        <v>274895.78000000003</v>
      </c>
      <c r="J47" s="114">
        <f t="shared" si="10"/>
        <v>34.3619725</v>
      </c>
      <c r="K47" s="396">
        <v>75348.59</v>
      </c>
      <c r="L47" s="114">
        <f t="shared" si="16"/>
        <v>13.604606527777777</v>
      </c>
      <c r="M47" s="396">
        <v>3577.32</v>
      </c>
      <c r="N47" s="114">
        <f t="shared" si="17"/>
        <v>0.24842500000000001</v>
      </c>
      <c r="O47" s="396">
        <v>92848.69</v>
      </c>
      <c r="P47" s="114">
        <f t="shared" si="18"/>
        <v>16.764346805555554</v>
      </c>
      <c r="Q47" s="396">
        <v>512793.89</v>
      </c>
      <c r="R47" s="398">
        <f t="shared" si="19"/>
        <v>113.95419777777778</v>
      </c>
    </row>
    <row r="48" spans="2:18" x14ac:dyDescent="0.3">
      <c r="B48" s="393">
        <f t="shared" si="15"/>
        <v>45518</v>
      </c>
      <c r="C48" s="396">
        <v>2084.25</v>
      </c>
      <c r="D48" s="114">
        <f t="shared" si="0"/>
        <v>0.43421874999999999</v>
      </c>
      <c r="E48" s="399">
        <v>17060164.280000001</v>
      </c>
      <c r="F48" s="114">
        <f t="shared" si="1"/>
        <v>3554.2008916666668</v>
      </c>
      <c r="G48" s="396">
        <v>46257.71</v>
      </c>
      <c r="H48" s="114">
        <f t="shared" si="9"/>
        <v>5.7822137500000004</v>
      </c>
      <c r="I48" s="399">
        <v>274895.78000000003</v>
      </c>
      <c r="J48" s="114">
        <f t="shared" si="10"/>
        <v>34.3619725</v>
      </c>
      <c r="K48" s="396">
        <v>75349.59</v>
      </c>
      <c r="L48" s="114">
        <f t="shared" si="16"/>
        <v>13.604787083333333</v>
      </c>
      <c r="M48" s="396">
        <v>3578.32</v>
      </c>
      <c r="N48" s="114">
        <f t="shared" si="17"/>
        <v>0.24849444444444449</v>
      </c>
      <c r="O48" s="396">
        <v>92849.69</v>
      </c>
      <c r="P48" s="114">
        <f t="shared" si="18"/>
        <v>16.764527361111114</v>
      </c>
      <c r="Q48" s="396">
        <v>512793.89</v>
      </c>
      <c r="R48" s="398">
        <f t="shared" si="19"/>
        <v>113.95419777777778</v>
      </c>
    </row>
    <row r="49" spans="2:18" x14ac:dyDescent="0.3">
      <c r="B49" s="393">
        <f t="shared" si="15"/>
        <v>45519</v>
      </c>
      <c r="C49" s="396">
        <v>97728.58</v>
      </c>
      <c r="D49" s="114">
        <f t="shared" si="0"/>
        <v>20.360120833333333</v>
      </c>
      <c r="E49" s="399">
        <v>21505478.280000001</v>
      </c>
      <c r="F49" s="114">
        <f t="shared" si="1"/>
        <v>4480.3079749999997</v>
      </c>
      <c r="G49" s="396">
        <v>47250.71</v>
      </c>
      <c r="H49" s="114">
        <f t="shared" si="9"/>
        <v>5.9063387499999997</v>
      </c>
      <c r="I49" s="399">
        <v>274895.78000000003</v>
      </c>
      <c r="J49" s="114">
        <f t="shared" si="10"/>
        <v>34.3619725</v>
      </c>
      <c r="K49" s="396">
        <v>75350.59</v>
      </c>
      <c r="L49" s="114">
        <f t="shared" si="16"/>
        <v>13.604967638888889</v>
      </c>
      <c r="M49" s="396">
        <v>3579.32</v>
      </c>
      <c r="N49" s="114">
        <f t="shared" si="17"/>
        <v>0.24856388888888889</v>
      </c>
      <c r="O49" s="396">
        <v>92850.69</v>
      </c>
      <c r="P49" s="114">
        <f t="shared" si="18"/>
        <v>16.764707916666666</v>
      </c>
      <c r="Q49" s="396">
        <v>512793.89</v>
      </c>
      <c r="R49" s="398">
        <f t="shared" si="19"/>
        <v>113.95419777777778</v>
      </c>
    </row>
    <row r="50" spans="2:18" x14ac:dyDescent="0.3">
      <c r="B50" s="393">
        <f t="shared" si="15"/>
        <v>45520</v>
      </c>
      <c r="C50" s="396">
        <v>97728.58</v>
      </c>
      <c r="D50" s="114">
        <f t="shared" si="0"/>
        <v>20.360120833333333</v>
      </c>
      <c r="E50" s="399">
        <v>21505478.280000001</v>
      </c>
      <c r="F50" s="114">
        <f t="shared" si="1"/>
        <v>4480.3079749999997</v>
      </c>
      <c r="G50" s="396">
        <v>47250.71</v>
      </c>
      <c r="H50" s="114">
        <f t="shared" si="9"/>
        <v>5.9063387499999997</v>
      </c>
      <c r="I50" s="399">
        <v>274895.78000000003</v>
      </c>
      <c r="J50" s="114">
        <f t="shared" si="10"/>
        <v>34.3619725</v>
      </c>
      <c r="K50" s="396">
        <v>75351.59</v>
      </c>
      <c r="L50" s="114">
        <f t="shared" si="16"/>
        <v>13.605148194444446</v>
      </c>
      <c r="M50" s="396">
        <v>3580.32</v>
      </c>
      <c r="N50" s="114">
        <f t="shared" si="17"/>
        <v>0.24863333333333337</v>
      </c>
      <c r="O50" s="396">
        <v>92851.69</v>
      </c>
      <c r="P50" s="114">
        <f t="shared" si="18"/>
        <v>16.764888472222225</v>
      </c>
      <c r="Q50" s="396">
        <v>512793.89</v>
      </c>
      <c r="R50" s="398">
        <f t="shared" si="19"/>
        <v>113.95419777777778</v>
      </c>
    </row>
    <row r="51" spans="2:18" x14ac:dyDescent="0.3">
      <c r="B51" s="393">
        <f t="shared" si="15"/>
        <v>45521</v>
      </c>
      <c r="C51" s="396">
        <v>97728.58</v>
      </c>
      <c r="D51" s="114">
        <f t="shared" si="0"/>
        <v>20.360120833333333</v>
      </c>
      <c r="E51" s="399">
        <v>21505478.280000001</v>
      </c>
      <c r="F51" s="114">
        <f t="shared" si="1"/>
        <v>4480.3079749999997</v>
      </c>
      <c r="G51" s="396">
        <v>47250.71</v>
      </c>
      <c r="H51" s="114">
        <f t="shared" si="9"/>
        <v>5.9063387499999997</v>
      </c>
      <c r="I51" s="399">
        <v>274895.78000000003</v>
      </c>
      <c r="J51" s="114">
        <f t="shared" si="10"/>
        <v>34.3619725</v>
      </c>
      <c r="K51" s="396">
        <v>75352.59</v>
      </c>
      <c r="L51" s="114">
        <f t="shared" si="16"/>
        <v>13.60532875</v>
      </c>
      <c r="M51" s="396">
        <v>3581.32</v>
      </c>
      <c r="N51" s="114">
        <f t="shared" si="17"/>
        <v>0.24870277777777783</v>
      </c>
      <c r="O51" s="396">
        <v>92852.69</v>
      </c>
      <c r="P51" s="114">
        <f t="shared" si="18"/>
        <v>16.765069027777777</v>
      </c>
      <c r="Q51" s="396">
        <v>512793.89</v>
      </c>
      <c r="R51" s="398">
        <f t="shared" si="19"/>
        <v>113.95419777777778</v>
      </c>
    </row>
    <row r="52" spans="2:18" x14ac:dyDescent="0.3">
      <c r="B52" s="393">
        <f t="shared" si="15"/>
        <v>45522</v>
      </c>
      <c r="C52" s="396">
        <v>96712.53</v>
      </c>
      <c r="D52" s="114">
        <f t="shared" si="0"/>
        <v>20.148443749999998</v>
      </c>
      <c r="E52" s="399">
        <v>17260575.120000001</v>
      </c>
      <c r="F52" s="114">
        <f t="shared" si="1"/>
        <v>3595.9531500000003</v>
      </c>
      <c r="G52" s="396">
        <v>47250.71</v>
      </c>
      <c r="H52" s="114">
        <f t="shared" ref="H52:H58" si="20">(G52*4.5%)/360</f>
        <v>5.9063387499999997</v>
      </c>
      <c r="I52" s="399">
        <v>274895.78000000003</v>
      </c>
      <c r="J52" s="114">
        <f t="shared" ref="J52:J58" si="21">(I52*4.5%)/360</f>
        <v>34.3619725</v>
      </c>
      <c r="K52" s="396">
        <v>75352.59</v>
      </c>
      <c r="L52" s="114">
        <f t="shared" ref="L52:L58" si="22">(K52*6.5%)/360</f>
        <v>13.60532875</v>
      </c>
      <c r="M52" s="396">
        <v>3581.32</v>
      </c>
      <c r="N52" s="114">
        <f t="shared" ref="N52:N58" si="23">(M52*2.5%)/360</f>
        <v>0.24870277777777783</v>
      </c>
      <c r="O52" s="396">
        <v>92852.69</v>
      </c>
      <c r="P52" s="114">
        <f t="shared" ref="P52:P58" si="24">(O52*6.5%)/360</f>
        <v>16.765069027777777</v>
      </c>
      <c r="Q52" s="396">
        <v>512793.89</v>
      </c>
      <c r="R52" s="398">
        <f t="shared" ref="R52:R58" si="25">(Q52*8%)/360</f>
        <v>113.95419777777778</v>
      </c>
    </row>
    <row r="53" spans="2:18" x14ac:dyDescent="0.3">
      <c r="B53" s="393">
        <f t="shared" si="15"/>
        <v>45523</v>
      </c>
      <c r="C53" s="396">
        <v>96501.8</v>
      </c>
      <c r="D53" s="114">
        <f t="shared" si="0"/>
        <v>20.104541666666666</v>
      </c>
      <c r="E53" s="399">
        <v>17260575.120000001</v>
      </c>
      <c r="F53" s="114">
        <f t="shared" si="1"/>
        <v>3595.9531500000003</v>
      </c>
      <c r="G53" s="396">
        <v>47250.71</v>
      </c>
      <c r="H53" s="114">
        <f t="shared" si="20"/>
        <v>5.9063387499999997</v>
      </c>
      <c r="I53" s="399">
        <v>274895.78000000003</v>
      </c>
      <c r="J53" s="114">
        <f t="shared" si="21"/>
        <v>34.3619725</v>
      </c>
      <c r="K53" s="396">
        <v>75352.59</v>
      </c>
      <c r="L53" s="114">
        <f t="shared" si="22"/>
        <v>13.60532875</v>
      </c>
      <c r="M53" s="396">
        <v>3581.32</v>
      </c>
      <c r="N53" s="114">
        <f t="shared" si="23"/>
        <v>0.24870277777777783</v>
      </c>
      <c r="O53" s="396">
        <v>92852.69</v>
      </c>
      <c r="P53" s="114">
        <f t="shared" si="24"/>
        <v>16.765069027777777</v>
      </c>
      <c r="Q53" s="396">
        <v>512793.89</v>
      </c>
      <c r="R53" s="398">
        <f t="shared" si="25"/>
        <v>113.95419777777778</v>
      </c>
    </row>
    <row r="54" spans="2:18" x14ac:dyDescent="0.3">
      <c r="B54" s="393">
        <f t="shared" si="15"/>
        <v>45524</v>
      </c>
      <c r="C54" s="396">
        <v>96501.8</v>
      </c>
      <c r="D54" s="114">
        <f t="shared" si="0"/>
        <v>20.104541666666666</v>
      </c>
      <c r="E54" s="399">
        <v>47523747.009999998</v>
      </c>
      <c r="F54" s="114">
        <f t="shared" si="1"/>
        <v>9900.7806270833316</v>
      </c>
      <c r="G54" s="396">
        <v>47250.71</v>
      </c>
      <c r="H54" s="114">
        <f t="shared" si="20"/>
        <v>5.9063387499999997</v>
      </c>
      <c r="I54" s="399">
        <v>274895.78000000003</v>
      </c>
      <c r="J54" s="114">
        <f t="shared" si="21"/>
        <v>34.3619725</v>
      </c>
      <c r="K54" s="396">
        <v>75352.59</v>
      </c>
      <c r="L54" s="114">
        <f t="shared" si="22"/>
        <v>13.60532875</v>
      </c>
      <c r="M54" s="396">
        <v>3581.32</v>
      </c>
      <c r="N54" s="114">
        <f t="shared" si="23"/>
        <v>0.24870277777777783</v>
      </c>
      <c r="O54" s="396">
        <v>92852.69</v>
      </c>
      <c r="P54" s="114">
        <f t="shared" si="24"/>
        <v>16.765069027777777</v>
      </c>
      <c r="Q54" s="396">
        <v>512793.89</v>
      </c>
      <c r="R54" s="398">
        <f t="shared" si="25"/>
        <v>113.95419777777778</v>
      </c>
    </row>
    <row r="55" spans="2:18" x14ac:dyDescent="0.3">
      <c r="B55" s="393">
        <f t="shared" si="15"/>
        <v>45525</v>
      </c>
      <c r="C55" s="396">
        <v>96501.8</v>
      </c>
      <c r="D55" s="114">
        <f t="shared" si="0"/>
        <v>20.104541666666666</v>
      </c>
      <c r="E55" s="399">
        <v>47523747.009999998</v>
      </c>
      <c r="F55" s="114">
        <f t="shared" si="1"/>
        <v>9900.7806270833316</v>
      </c>
      <c r="G55" s="396">
        <v>47250.71</v>
      </c>
      <c r="H55" s="114">
        <f t="shared" si="20"/>
        <v>5.9063387499999997</v>
      </c>
      <c r="I55" s="399">
        <v>274895.78000000003</v>
      </c>
      <c r="J55" s="114">
        <f t="shared" si="21"/>
        <v>34.3619725</v>
      </c>
      <c r="K55" s="396">
        <v>75352.59</v>
      </c>
      <c r="L55" s="114">
        <f t="shared" si="22"/>
        <v>13.60532875</v>
      </c>
      <c r="M55" s="396">
        <v>3581.32</v>
      </c>
      <c r="N55" s="114">
        <f t="shared" si="23"/>
        <v>0.24870277777777783</v>
      </c>
      <c r="O55" s="396">
        <v>92852.69</v>
      </c>
      <c r="P55" s="114">
        <f t="shared" si="24"/>
        <v>16.765069027777777</v>
      </c>
      <c r="Q55" s="396">
        <v>512793.89</v>
      </c>
      <c r="R55" s="398">
        <f t="shared" si="25"/>
        <v>113.95419777777778</v>
      </c>
    </row>
    <row r="56" spans="2:18" x14ac:dyDescent="0.3">
      <c r="B56" s="393">
        <f t="shared" si="15"/>
        <v>45526</v>
      </c>
      <c r="C56" s="396">
        <v>96501.8</v>
      </c>
      <c r="D56" s="114">
        <f t="shared" si="0"/>
        <v>20.104541666666666</v>
      </c>
      <c r="E56" s="399">
        <v>47523747.009999998</v>
      </c>
      <c r="F56" s="114">
        <f t="shared" si="1"/>
        <v>9900.7806270833316</v>
      </c>
      <c r="G56" s="396">
        <v>47250.71</v>
      </c>
      <c r="H56" s="114">
        <f t="shared" si="20"/>
        <v>5.9063387499999997</v>
      </c>
      <c r="I56" s="399">
        <v>274895.78000000003</v>
      </c>
      <c r="J56" s="114">
        <f t="shared" si="21"/>
        <v>34.3619725</v>
      </c>
      <c r="K56" s="396">
        <v>75352.59</v>
      </c>
      <c r="L56" s="114">
        <f t="shared" si="22"/>
        <v>13.60532875</v>
      </c>
      <c r="M56" s="396">
        <v>3581.32</v>
      </c>
      <c r="N56" s="114">
        <f t="shared" si="23"/>
        <v>0.24870277777777783</v>
      </c>
      <c r="O56" s="396">
        <v>92852.69</v>
      </c>
      <c r="P56" s="114">
        <f t="shared" si="24"/>
        <v>16.765069027777777</v>
      </c>
      <c r="Q56" s="396">
        <v>512793.89</v>
      </c>
      <c r="R56" s="398">
        <f t="shared" si="25"/>
        <v>113.95419777777778</v>
      </c>
    </row>
    <row r="57" spans="2:18" x14ac:dyDescent="0.3">
      <c r="B57" s="393">
        <f t="shared" si="15"/>
        <v>45527</v>
      </c>
      <c r="C57" s="396">
        <v>96501.8</v>
      </c>
      <c r="D57" s="114">
        <f t="shared" si="0"/>
        <v>20.104541666666666</v>
      </c>
      <c r="E57" s="399">
        <v>47523747.009999998</v>
      </c>
      <c r="F57" s="114">
        <f t="shared" si="1"/>
        <v>9900.7806270833316</v>
      </c>
      <c r="G57" s="396">
        <v>47250.71</v>
      </c>
      <c r="H57" s="114">
        <f t="shared" si="20"/>
        <v>5.9063387499999997</v>
      </c>
      <c r="I57" s="399">
        <v>274895.78000000003</v>
      </c>
      <c r="J57" s="114">
        <f t="shared" si="21"/>
        <v>34.3619725</v>
      </c>
      <c r="K57" s="396">
        <v>75352.59</v>
      </c>
      <c r="L57" s="114">
        <f t="shared" si="22"/>
        <v>13.60532875</v>
      </c>
      <c r="M57" s="396">
        <v>3581.32</v>
      </c>
      <c r="N57" s="114">
        <f t="shared" si="23"/>
        <v>0.24870277777777783</v>
      </c>
      <c r="O57" s="396">
        <v>92852.69</v>
      </c>
      <c r="P57" s="114">
        <f t="shared" si="24"/>
        <v>16.765069027777777</v>
      </c>
      <c r="Q57" s="396">
        <v>512793.89</v>
      </c>
      <c r="R57" s="398">
        <f t="shared" si="25"/>
        <v>113.95419777777778</v>
      </c>
    </row>
    <row r="58" spans="2:18" x14ac:dyDescent="0.3">
      <c r="B58" s="393">
        <f t="shared" si="15"/>
        <v>45528</v>
      </c>
      <c r="C58" s="396">
        <v>96501.8</v>
      </c>
      <c r="D58" s="114">
        <f t="shared" si="0"/>
        <v>20.104541666666666</v>
      </c>
      <c r="E58" s="399">
        <v>47523747.009999998</v>
      </c>
      <c r="F58" s="114">
        <f t="shared" si="1"/>
        <v>9900.7806270833316</v>
      </c>
      <c r="G58" s="396">
        <v>47250.71</v>
      </c>
      <c r="H58" s="114">
        <f t="shared" si="20"/>
        <v>5.9063387499999997</v>
      </c>
      <c r="I58" s="399">
        <v>274895.78000000003</v>
      </c>
      <c r="J58" s="114">
        <f t="shared" si="21"/>
        <v>34.3619725</v>
      </c>
      <c r="K58" s="396">
        <v>75352.59</v>
      </c>
      <c r="L58" s="114">
        <f t="shared" si="22"/>
        <v>13.60532875</v>
      </c>
      <c r="M58" s="396">
        <v>3581.32</v>
      </c>
      <c r="N58" s="114">
        <f t="shared" si="23"/>
        <v>0.24870277777777783</v>
      </c>
      <c r="O58" s="396">
        <v>92852.69</v>
      </c>
      <c r="P58" s="114">
        <f t="shared" si="24"/>
        <v>16.765069027777777</v>
      </c>
      <c r="Q58" s="396">
        <v>512793.89</v>
      </c>
      <c r="R58" s="398">
        <f t="shared" si="25"/>
        <v>113.95419777777778</v>
      </c>
    </row>
    <row r="59" spans="2:18" x14ac:dyDescent="0.3">
      <c r="B59" s="393">
        <f t="shared" si="15"/>
        <v>45529</v>
      </c>
      <c r="C59" s="396">
        <v>696501.8</v>
      </c>
      <c r="D59" s="114">
        <f t="shared" ref="D59:D65" si="26">(C59*7.5%)/360</f>
        <v>145.10454166666668</v>
      </c>
      <c r="E59" s="399">
        <v>37044941.689999998</v>
      </c>
      <c r="F59" s="114">
        <f t="shared" ref="F59:F65" si="27">(E59*7.5%)/360</f>
        <v>7717.6961854166666</v>
      </c>
      <c r="G59" s="396">
        <v>47250.71</v>
      </c>
      <c r="H59" s="114">
        <f t="shared" ref="H59:H65" si="28">(G59*4.5%)/360</f>
        <v>5.9063387499999997</v>
      </c>
      <c r="I59" s="399">
        <v>272999.24</v>
      </c>
      <c r="J59" s="114">
        <f t="shared" ref="J59:J65" si="29">(I59*4.5%)/360</f>
        <v>34.124904999999998</v>
      </c>
      <c r="K59" s="396">
        <v>75352.59</v>
      </c>
      <c r="L59" s="114">
        <f t="shared" ref="L59:L65" si="30">(K59*6.5%)/360</f>
        <v>13.60532875</v>
      </c>
      <c r="M59" s="396">
        <v>3581.32</v>
      </c>
      <c r="N59" s="114">
        <f t="shared" ref="N59:N65" si="31">(M59*2.5%)/360</f>
        <v>0.24870277777777783</v>
      </c>
      <c r="O59" s="396">
        <v>92852.69</v>
      </c>
      <c r="P59" s="114">
        <f t="shared" ref="P59:P65" si="32">(O59*6.5%)/360</f>
        <v>16.765069027777777</v>
      </c>
      <c r="Q59" s="396">
        <v>7512787.8899999997</v>
      </c>
      <c r="R59" s="398">
        <f t="shared" ref="R59:R65" si="33">(Q59*8%)/360</f>
        <v>1669.5084199999999</v>
      </c>
    </row>
    <row r="60" spans="2:18" x14ac:dyDescent="0.3">
      <c r="B60" s="393">
        <f t="shared" si="15"/>
        <v>45530</v>
      </c>
      <c r="C60" s="396">
        <v>696501.8</v>
      </c>
      <c r="D60" s="114">
        <f t="shared" si="26"/>
        <v>145.10454166666668</v>
      </c>
      <c r="E60" s="399">
        <v>37044941.689999998</v>
      </c>
      <c r="F60" s="114">
        <f t="shared" si="27"/>
        <v>7717.6961854166666</v>
      </c>
      <c r="G60" s="396">
        <v>47250.71</v>
      </c>
      <c r="H60" s="114">
        <f t="shared" si="28"/>
        <v>5.9063387499999997</v>
      </c>
      <c r="I60" s="399">
        <v>272999.24</v>
      </c>
      <c r="J60" s="114">
        <f t="shared" si="29"/>
        <v>34.124904999999998</v>
      </c>
      <c r="K60" s="396">
        <v>75352.59</v>
      </c>
      <c r="L60" s="114">
        <f t="shared" si="30"/>
        <v>13.60532875</v>
      </c>
      <c r="M60" s="396">
        <v>3581.32</v>
      </c>
      <c r="N60" s="114">
        <f t="shared" si="31"/>
        <v>0.24870277777777783</v>
      </c>
      <c r="O60" s="396">
        <v>92852.69</v>
      </c>
      <c r="P60" s="114">
        <f t="shared" si="32"/>
        <v>16.765069027777777</v>
      </c>
      <c r="Q60" s="396">
        <v>7512787.8899999997</v>
      </c>
      <c r="R60" s="398">
        <f t="shared" si="33"/>
        <v>1669.5084199999999</v>
      </c>
    </row>
    <row r="61" spans="2:18" x14ac:dyDescent="0.3">
      <c r="B61" s="393">
        <f t="shared" si="15"/>
        <v>45531</v>
      </c>
      <c r="C61" s="396">
        <v>739655.84</v>
      </c>
      <c r="D61" s="114">
        <f t="shared" si="26"/>
        <v>154.09496666666666</v>
      </c>
      <c r="E61" s="399">
        <v>21184771.690000001</v>
      </c>
      <c r="F61" s="114">
        <f t="shared" si="27"/>
        <v>4413.4941020833339</v>
      </c>
      <c r="G61" s="396">
        <v>66250.710000000006</v>
      </c>
      <c r="H61" s="114">
        <f t="shared" si="28"/>
        <v>8.2813387499999997</v>
      </c>
      <c r="I61" s="399">
        <v>272999.24</v>
      </c>
      <c r="J61" s="114">
        <f t="shared" si="29"/>
        <v>34.124904999999998</v>
      </c>
      <c r="K61" s="396">
        <v>75352.59</v>
      </c>
      <c r="L61" s="114">
        <f t="shared" si="30"/>
        <v>13.60532875</v>
      </c>
      <c r="M61" s="396">
        <v>3581.32</v>
      </c>
      <c r="N61" s="114">
        <f t="shared" si="31"/>
        <v>0.24870277777777783</v>
      </c>
      <c r="O61" s="396">
        <v>92852.69</v>
      </c>
      <c r="P61" s="114">
        <f t="shared" si="32"/>
        <v>16.765069027777777</v>
      </c>
      <c r="Q61" s="396">
        <v>7512787.8899999997</v>
      </c>
      <c r="R61" s="398">
        <f t="shared" si="33"/>
        <v>1669.5084199999999</v>
      </c>
    </row>
    <row r="62" spans="2:18" x14ac:dyDescent="0.3">
      <c r="B62" s="393">
        <f t="shared" si="15"/>
        <v>45532</v>
      </c>
      <c r="C62" s="396">
        <v>739655.84</v>
      </c>
      <c r="D62" s="114">
        <f t="shared" si="26"/>
        <v>154.09496666666666</v>
      </c>
      <c r="E62" s="399">
        <v>21184771.690000001</v>
      </c>
      <c r="F62" s="114">
        <f t="shared" si="27"/>
        <v>4413.4941020833339</v>
      </c>
      <c r="G62" s="396">
        <v>66250.710000000006</v>
      </c>
      <c r="H62" s="114">
        <f t="shared" si="28"/>
        <v>8.2813387499999997</v>
      </c>
      <c r="I62" s="399">
        <v>272999.24</v>
      </c>
      <c r="J62" s="114">
        <f t="shared" si="29"/>
        <v>34.124904999999998</v>
      </c>
      <c r="K62" s="396">
        <v>75352.59</v>
      </c>
      <c r="L62" s="114">
        <f t="shared" si="30"/>
        <v>13.60532875</v>
      </c>
      <c r="M62" s="396">
        <v>3581.32</v>
      </c>
      <c r="N62" s="114">
        <f t="shared" si="31"/>
        <v>0.24870277777777783</v>
      </c>
      <c r="O62" s="396">
        <v>92852.69</v>
      </c>
      <c r="P62" s="114">
        <f t="shared" si="32"/>
        <v>16.765069027777777</v>
      </c>
      <c r="Q62" s="396">
        <v>7512787.8899999997</v>
      </c>
      <c r="R62" s="398">
        <f t="shared" si="33"/>
        <v>1669.5084199999999</v>
      </c>
    </row>
    <row r="63" spans="2:18" x14ac:dyDescent="0.3">
      <c r="B63" s="393">
        <f t="shared" si="15"/>
        <v>45533</v>
      </c>
      <c r="C63" s="396">
        <v>739655.84</v>
      </c>
      <c r="D63" s="114">
        <f t="shared" si="26"/>
        <v>154.09496666666666</v>
      </c>
      <c r="E63" s="399">
        <v>19184621.690000001</v>
      </c>
      <c r="F63" s="114">
        <f t="shared" si="27"/>
        <v>3996.796185416667</v>
      </c>
      <c r="G63" s="396">
        <v>66250.710000000006</v>
      </c>
      <c r="H63" s="114">
        <f t="shared" si="28"/>
        <v>8.2813387499999997</v>
      </c>
      <c r="I63" s="399">
        <v>272999.24</v>
      </c>
      <c r="J63" s="114">
        <f t="shared" si="29"/>
        <v>34.124904999999998</v>
      </c>
      <c r="K63" s="396">
        <v>75352.59</v>
      </c>
      <c r="L63" s="114">
        <f t="shared" si="30"/>
        <v>13.60532875</v>
      </c>
      <c r="M63" s="396">
        <v>3581.32</v>
      </c>
      <c r="N63" s="114">
        <f t="shared" si="31"/>
        <v>0.24870277777777783</v>
      </c>
      <c r="O63" s="396">
        <v>92852.69</v>
      </c>
      <c r="P63" s="114">
        <f t="shared" si="32"/>
        <v>16.765069027777777</v>
      </c>
      <c r="Q63" s="396">
        <v>7512787.8899999997</v>
      </c>
      <c r="R63" s="398">
        <f t="shared" si="33"/>
        <v>1669.5084199999999</v>
      </c>
    </row>
    <row r="64" spans="2:18" x14ac:dyDescent="0.3">
      <c r="B64" s="393">
        <f t="shared" si="15"/>
        <v>45534</v>
      </c>
      <c r="C64" s="396">
        <v>739655.84</v>
      </c>
      <c r="D64" s="114">
        <f t="shared" si="26"/>
        <v>154.09496666666666</v>
      </c>
      <c r="E64" s="399">
        <v>19184621.690000001</v>
      </c>
      <c r="F64" s="114">
        <f t="shared" si="27"/>
        <v>3996.796185416667</v>
      </c>
      <c r="G64" s="396">
        <v>66250.710000000006</v>
      </c>
      <c r="H64" s="114">
        <f t="shared" si="28"/>
        <v>8.2813387499999997</v>
      </c>
      <c r="I64" s="399">
        <v>272999.24</v>
      </c>
      <c r="J64" s="114">
        <f t="shared" si="29"/>
        <v>34.124904999999998</v>
      </c>
      <c r="K64" s="396">
        <v>75352.59</v>
      </c>
      <c r="L64" s="114">
        <f t="shared" si="30"/>
        <v>13.60532875</v>
      </c>
      <c r="M64" s="396">
        <v>3581.32</v>
      </c>
      <c r="N64" s="114">
        <f t="shared" si="31"/>
        <v>0.24870277777777783</v>
      </c>
      <c r="O64" s="396">
        <v>92852.69</v>
      </c>
      <c r="P64" s="114">
        <f t="shared" si="32"/>
        <v>16.765069027777777</v>
      </c>
      <c r="Q64" s="396">
        <v>7512787.8899999997</v>
      </c>
      <c r="R64" s="398">
        <f t="shared" si="33"/>
        <v>1669.5084199999999</v>
      </c>
    </row>
    <row r="65" spans="2:18" x14ac:dyDescent="0.3">
      <c r="B65" s="393">
        <f t="shared" si="15"/>
        <v>45535</v>
      </c>
      <c r="C65" s="396">
        <v>739655.84</v>
      </c>
      <c r="D65" s="114">
        <f t="shared" si="26"/>
        <v>154.09496666666666</v>
      </c>
      <c r="E65" s="399">
        <v>19184621.690000001</v>
      </c>
      <c r="F65" s="114">
        <f t="shared" si="27"/>
        <v>3996.796185416667</v>
      </c>
      <c r="G65" s="396">
        <v>66250.710000000006</v>
      </c>
      <c r="H65" s="114">
        <f t="shared" si="28"/>
        <v>8.2813387499999997</v>
      </c>
      <c r="I65" s="399">
        <v>272999.24</v>
      </c>
      <c r="J65" s="114">
        <f t="shared" si="29"/>
        <v>34.124904999999998</v>
      </c>
      <c r="K65" s="396">
        <v>75352.59</v>
      </c>
      <c r="L65" s="114">
        <f t="shared" si="30"/>
        <v>13.60532875</v>
      </c>
      <c r="M65" s="396">
        <v>3581.32</v>
      </c>
      <c r="N65" s="114">
        <f t="shared" si="31"/>
        <v>0.24870277777777783</v>
      </c>
      <c r="O65" s="396">
        <v>92852.69</v>
      </c>
      <c r="P65" s="114">
        <f t="shared" si="32"/>
        <v>16.765069027777777</v>
      </c>
      <c r="Q65" s="396">
        <v>7512787.8899999997</v>
      </c>
      <c r="R65" s="398">
        <f t="shared" si="33"/>
        <v>1669.5084199999999</v>
      </c>
    </row>
    <row r="66" spans="2:18" x14ac:dyDescent="0.3">
      <c r="B66" s="393">
        <f t="shared" si="15"/>
        <v>45536</v>
      </c>
      <c r="C66" s="396">
        <v>739655.84</v>
      </c>
      <c r="D66" s="114">
        <f t="shared" ref="D66:D129" si="34">(C66*7.5%)/360</f>
        <v>154.09496666666666</v>
      </c>
      <c r="E66" s="399">
        <v>16470600.41</v>
      </c>
      <c r="F66" s="114">
        <f t="shared" ref="F66:F72" si="35">(E66*7.5%)/360</f>
        <v>3431.3750854166665</v>
      </c>
      <c r="G66" s="396">
        <v>66250.710000000006</v>
      </c>
      <c r="H66" s="114">
        <f t="shared" ref="H66:H72" si="36">(G66*4.5%)/360</f>
        <v>8.2813387499999997</v>
      </c>
      <c r="I66" s="399">
        <v>272999.24</v>
      </c>
      <c r="J66" s="114">
        <f t="shared" ref="J66:J72" si="37">(I66*4.5%)/360</f>
        <v>34.124904999999998</v>
      </c>
      <c r="K66" s="396">
        <v>75352.59</v>
      </c>
      <c r="L66" s="114">
        <f t="shared" ref="L66:L72" si="38">(K66*6.5%)/360</f>
        <v>13.60532875</v>
      </c>
      <c r="M66" s="396">
        <v>3581.32</v>
      </c>
      <c r="N66" s="114">
        <f t="shared" ref="N66:N72" si="39">(M66*2.5%)/360</f>
        <v>0.24870277777777783</v>
      </c>
      <c r="O66" s="396">
        <v>92852.69</v>
      </c>
      <c r="P66" s="114">
        <f t="shared" ref="P66:P72" si="40">(O66*6.5%)/360</f>
        <v>16.765069027777777</v>
      </c>
      <c r="Q66" s="396">
        <v>7512787.8899999997</v>
      </c>
      <c r="R66" s="398">
        <f t="shared" ref="R66:R72" si="41">(Q66*8%)/360</f>
        <v>1669.5084199999999</v>
      </c>
    </row>
    <row r="67" spans="2:18" x14ac:dyDescent="0.3">
      <c r="B67" s="393">
        <f t="shared" si="15"/>
        <v>45537</v>
      </c>
      <c r="C67" s="396">
        <v>739655.84</v>
      </c>
      <c r="D67" s="114">
        <f t="shared" si="34"/>
        <v>154.09496666666666</v>
      </c>
      <c r="E67" s="399">
        <v>7814013.7300000004</v>
      </c>
      <c r="F67" s="114">
        <f t="shared" si="35"/>
        <v>1627.9195270833334</v>
      </c>
      <c r="G67" s="396">
        <v>66250.710000000006</v>
      </c>
      <c r="H67" s="114">
        <f t="shared" si="36"/>
        <v>8.2813387499999997</v>
      </c>
      <c r="I67" s="399">
        <v>272999.24</v>
      </c>
      <c r="J67" s="114">
        <f t="shared" si="37"/>
        <v>34.124904999999998</v>
      </c>
      <c r="K67" s="396">
        <v>75352.59</v>
      </c>
      <c r="L67" s="114">
        <f t="shared" si="38"/>
        <v>13.60532875</v>
      </c>
      <c r="M67" s="396">
        <v>3581.32</v>
      </c>
      <c r="N67" s="114">
        <f t="shared" si="39"/>
        <v>0.24870277777777783</v>
      </c>
      <c r="O67" s="396">
        <v>92852.69</v>
      </c>
      <c r="P67" s="114">
        <f t="shared" si="40"/>
        <v>16.765069027777777</v>
      </c>
      <c r="Q67" s="396">
        <v>7512787.8899999997</v>
      </c>
      <c r="R67" s="398">
        <f t="shared" si="41"/>
        <v>1669.5084199999999</v>
      </c>
    </row>
    <row r="68" spans="2:18" x14ac:dyDescent="0.3">
      <c r="B68" s="393">
        <f t="shared" si="15"/>
        <v>45538</v>
      </c>
      <c r="C68" s="396">
        <v>643078.71</v>
      </c>
      <c r="D68" s="114">
        <f t="shared" si="34"/>
        <v>133.97473124999999</v>
      </c>
      <c r="E68" s="399">
        <v>7814013.7300000004</v>
      </c>
      <c r="F68" s="114">
        <f t="shared" si="35"/>
        <v>1627.9195270833334</v>
      </c>
      <c r="G68" s="396">
        <v>66250.710000000006</v>
      </c>
      <c r="H68" s="114">
        <f t="shared" si="36"/>
        <v>8.2813387499999997</v>
      </c>
      <c r="I68" s="399">
        <v>272999.24</v>
      </c>
      <c r="J68" s="114">
        <f t="shared" si="37"/>
        <v>34.124904999999998</v>
      </c>
      <c r="K68" s="396">
        <v>75352.59</v>
      </c>
      <c r="L68" s="114">
        <f t="shared" si="38"/>
        <v>13.60532875</v>
      </c>
      <c r="M68" s="396">
        <v>3581.32</v>
      </c>
      <c r="N68" s="114">
        <f t="shared" si="39"/>
        <v>0.24870277777777783</v>
      </c>
      <c r="O68" s="396">
        <v>92852.69</v>
      </c>
      <c r="P68" s="114">
        <f t="shared" si="40"/>
        <v>16.765069027777777</v>
      </c>
      <c r="Q68" s="396">
        <v>7512787.8899999997</v>
      </c>
      <c r="R68" s="398">
        <f t="shared" si="41"/>
        <v>1669.5084199999999</v>
      </c>
    </row>
    <row r="69" spans="2:18" x14ac:dyDescent="0.3">
      <c r="B69" s="393">
        <f t="shared" si="15"/>
        <v>45539</v>
      </c>
      <c r="C69" s="396">
        <v>243078.71</v>
      </c>
      <c r="D69" s="114">
        <f t="shared" si="34"/>
        <v>50.641397916666662</v>
      </c>
      <c r="E69" s="399">
        <v>4108337.22</v>
      </c>
      <c r="F69" s="114">
        <f t="shared" si="35"/>
        <v>855.90358749999996</v>
      </c>
      <c r="G69" s="396">
        <v>66250.710000000006</v>
      </c>
      <c r="H69" s="114">
        <f t="shared" si="36"/>
        <v>8.2813387499999997</v>
      </c>
      <c r="I69" s="399">
        <v>272999.24</v>
      </c>
      <c r="J69" s="114">
        <f t="shared" si="37"/>
        <v>34.124904999999998</v>
      </c>
      <c r="K69" s="396">
        <v>75352.59</v>
      </c>
      <c r="L69" s="114">
        <f t="shared" si="38"/>
        <v>13.60532875</v>
      </c>
      <c r="M69" s="396">
        <v>3581.32</v>
      </c>
      <c r="N69" s="114">
        <f t="shared" si="39"/>
        <v>0.24870277777777783</v>
      </c>
      <c r="O69" s="396">
        <v>92852.69</v>
      </c>
      <c r="P69" s="114">
        <f t="shared" si="40"/>
        <v>16.765069027777777</v>
      </c>
      <c r="Q69" s="396">
        <v>7512787.8899999997</v>
      </c>
      <c r="R69" s="398">
        <f t="shared" si="41"/>
        <v>1669.5084199999999</v>
      </c>
    </row>
    <row r="70" spans="2:18" x14ac:dyDescent="0.3">
      <c r="B70" s="393">
        <f t="shared" si="15"/>
        <v>45540</v>
      </c>
      <c r="C70" s="396">
        <v>243078.71</v>
      </c>
      <c r="D70" s="114">
        <f t="shared" si="34"/>
        <v>50.641397916666662</v>
      </c>
      <c r="E70" s="399">
        <v>4105587.22</v>
      </c>
      <c r="F70" s="114">
        <f t="shared" si="35"/>
        <v>855.33067083333333</v>
      </c>
      <c r="G70" s="396">
        <v>66250.710000000006</v>
      </c>
      <c r="H70" s="114">
        <f t="shared" si="36"/>
        <v>8.2813387499999997</v>
      </c>
      <c r="I70" s="399">
        <v>272999.24</v>
      </c>
      <c r="J70" s="114">
        <f t="shared" si="37"/>
        <v>34.124904999999998</v>
      </c>
      <c r="K70" s="396">
        <v>75352.59</v>
      </c>
      <c r="L70" s="114">
        <f t="shared" si="38"/>
        <v>13.60532875</v>
      </c>
      <c r="M70" s="396">
        <v>3581.32</v>
      </c>
      <c r="N70" s="114">
        <f t="shared" si="39"/>
        <v>0.24870277777777783</v>
      </c>
      <c r="O70" s="396">
        <v>92852.69</v>
      </c>
      <c r="P70" s="114">
        <f t="shared" si="40"/>
        <v>16.765069027777777</v>
      </c>
      <c r="Q70" s="396">
        <v>7512787.8899999997</v>
      </c>
      <c r="R70" s="398">
        <f t="shared" si="41"/>
        <v>1669.5084199999999</v>
      </c>
    </row>
    <row r="71" spans="2:18" x14ac:dyDescent="0.3">
      <c r="B71" s="393">
        <f t="shared" si="15"/>
        <v>45541</v>
      </c>
      <c r="C71" s="396">
        <v>243078.71</v>
      </c>
      <c r="D71" s="114">
        <f t="shared" si="34"/>
        <v>50.641397916666662</v>
      </c>
      <c r="E71" s="399">
        <v>4105587.22</v>
      </c>
      <c r="F71" s="114">
        <f t="shared" si="35"/>
        <v>855.33067083333333</v>
      </c>
      <c r="G71" s="396">
        <v>66250.710000000006</v>
      </c>
      <c r="H71" s="114">
        <f t="shared" si="36"/>
        <v>8.2813387499999997</v>
      </c>
      <c r="I71" s="399">
        <v>272999.24</v>
      </c>
      <c r="J71" s="114">
        <f t="shared" si="37"/>
        <v>34.124904999999998</v>
      </c>
      <c r="K71" s="396">
        <v>75352.59</v>
      </c>
      <c r="L71" s="114">
        <f t="shared" si="38"/>
        <v>13.60532875</v>
      </c>
      <c r="M71" s="396">
        <v>3581.32</v>
      </c>
      <c r="N71" s="114">
        <f t="shared" si="39"/>
        <v>0.24870277777777783</v>
      </c>
      <c r="O71" s="396">
        <v>92852.69</v>
      </c>
      <c r="P71" s="114">
        <f t="shared" si="40"/>
        <v>16.765069027777777</v>
      </c>
      <c r="Q71" s="396">
        <v>7512787.8899999997</v>
      </c>
      <c r="R71" s="398">
        <f t="shared" si="41"/>
        <v>1669.5084199999999</v>
      </c>
    </row>
    <row r="72" spans="2:18" x14ac:dyDescent="0.3">
      <c r="B72" s="393">
        <f t="shared" si="15"/>
        <v>45542</v>
      </c>
      <c r="C72" s="396">
        <v>243078.71</v>
      </c>
      <c r="D72" s="114">
        <f t="shared" si="34"/>
        <v>50.641397916666662</v>
      </c>
      <c r="E72" s="399">
        <v>4105587.22</v>
      </c>
      <c r="F72" s="114">
        <f t="shared" si="35"/>
        <v>855.33067083333333</v>
      </c>
      <c r="G72" s="396">
        <v>66250.710000000006</v>
      </c>
      <c r="H72" s="114">
        <f t="shared" si="36"/>
        <v>8.2813387499999997</v>
      </c>
      <c r="I72" s="399">
        <v>272999.24</v>
      </c>
      <c r="J72" s="114">
        <f t="shared" si="37"/>
        <v>34.124904999999998</v>
      </c>
      <c r="K72" s="396">
        <v>75352.59</v>
      </c>
      <c r="L72" s="114">
        <f t="shared" si="38"/>
        <v>13.60532875</v>
      </c>
      <c r="M72" s="396">
        <v>3581.32</v>
      </c>
      <c r="N72" s="114">
        <f t="shared" si="39"/>
        <v>0.24870277777777783</v>
      </c>
      <c r="O72" s="396">
        <v>92852.69</v>
      </c>
      <c r="P72" s="114">
        <f t="shared" si="40"/>
        <v>16.765069027777777</v>
      </c>
      <c r="Q72" s="396">
        <v>7512787.8899999997</v>
      </c>
      <c r="R72" s="398">
        <f t="shared" si="41"/>
        <v>1669.5084199999999</v>
      </c>
    </row>
    <row r="73" spans="2:18" x14ac:dyDescent="0.3">
      <c r="B73" s="393">
        <f t="shared" si="15"/>
        <v>45543</v>
      </c>
      <c r="C73" s="396">
        <v>243078.71</v>
      </c>
      <c r="D73" s="114">
        <f t="shared" si="34"/>
        <v>50.641397916666662</v>
      </c>
      <c r="E73" s="399">
        <v>4105587.22</v>
      </c>
      <c r="F73" s="114">
        <f t="shared" ref="F73:F100" si="42">(E73*7.5%)/360</f>
        <v>855.33067083333333</v>
      </c>
      <c r="G73" s="396">
        <v>66250.710000000006</v>
      </c>
      <c r="H73" s="114">
        <f t="shared" ref="H73:H79" si="43">(G73*4.5%)/360</f>
        <v>8.2813387499999997</v>
      </c>
      <c r="I73" s="399">
        <v>272999.24</v>
      </c>
      <c r="J73" s="114">
        <f t="shared" ref="J73:J86" si="44">(I73*4.5%)/360</f>
        <v>34.124904999999998</v>
      </c>
      <c r="K73" s="396">
        <v>75352.59</v>
      </c>
      <c r="L73" s="114">
        <f t="shared" ref="L73:L79" si="45">(K73*6.5%)/360</f>
        <v>13.60532875</v>
      </c>
      <c r="M73" s="396">
        <v>3581.32</v>
      </c>
      <c r="N73" s="114">
        <f t="shared" ref="N73:N79" si="46">(M73*2.5%)/360</f>
        <v>0.24870277777777783</v>
      </c>
      <c r="O73" s="396">
        <v>92852.69</v>
      </c>
      <c r="P73" s="114">
        <f t="shared" ref="P73:P79" si="47">(O73*6.5%)/360</f>
        <v>16.765069027777777</v>
      </c>
      <c r="Q73" s="396">
        <v>7512787.8899999997</v>
      </c>
      <c r="R73" s="398">
        <f t="shared" ref="R73:R79" si="48">(Q73*8%)/360</f>
        <v>1669.5084199999999</v>
      </c>
    </row>
    <row r="74" spans="2:18" x14ac:dyDescent="0.3">
      <c r="B74" s="393">
        <f t="shared" si="15"/>
        <v>45544</v>
      </c>
      <c r="C74" s="396">
        <v>243078.71</v>
      </c>
      <c r="D74" s="114">
        <f t="shared" si="34"/>
        <v>50.641397916666662</v>
      </c>
      <c r="E74" s="399">
        <v>99326.09</v>
      </c>
      <c r="F74" s="114">
        <f t="shared" si="42"/>
        <v>20.692935416666664</v>
      </c>
      <c r="G74" s="396">
        <v>66250.710000000006</v>
      </c>
      <c r="H74" s="114">
        <f t="shared" si="43"/>
        <v>8.2813387499999997</v>
      </c>
      <c r="I74" s="399">
        <v>272999.24</v>
      </c>
      <c r="J74" s="114">
        <f t="shared" si="44"/>
        <v>34.124904999999998</v>
      </c>
      <c r="K74" s="396">
        <v>75352.59</v>
      </c>
      <c r="L74" s="114">
        <f t="shared" si="45"/>
        <v>13.60532875</v>
      </c>
      <c r="M74" s="396">
        <v>3581.32</v>
      </c>
      <c r="N74" s="114">
        <f t="shared" si="46"/>
        <v>0.24870277777777783</v>
      </c>
      <c r="O74" s="396">
        <v>92852.69</v>
      </c>
      <c r="P74" s="114">
        <f t="shared" si="47"/>
        <v>16.765069027777777</v>
      </c>
      <c r="Q74" s="396">
        <v>7512787.8899999997</v>
      </c>
      <c r="R74" s="398">
        <f t="shared" si="48"/>
        <v>1669.5084199999999</v>
      </c>
    </row>
    <row r="75" spans="2:18" x14ac:dyDescent="0.3">
      <c r="B75" s="393">
        <f t="shared" si="15"/>
        <v>45545</v>
      </c>
      <c r="C75" s="396">
        <v>243078.71</v>
      </c>
      <c r="D75" s="114">
        <f t="shared" si="34"/>
        <v>50.641397916666662</v>
      </c>
      <c r="E75" s="399">
        <v>99326.09</v>
      </c>
      <c r="F75" s="114">
        <f t="shared" si="42"/>
        <v>20.692935416666664</v>
      </c>
      <c r="G75" s="396">
        <v>66250.710000000006</v>
      </c>
      <c r="H75" s="114">
        <f t="shared" si="43"/>
        <v>8.2813387499999997</v>
      </c>
      <c r="I75" s="399">
        <v>272999.24</v>
      </c>
      <c r="J75" s="114">
        <f t="shared" si="44"/>
        <v>34.124904999999998</v>
      </c>
      <c r="K75" s="396">
        <v>75352.59</v>
      </c>
      <c r="L75" s="114">
        <f t="shared" si="45"/>
        <v>13.60532875</v>
      </c>
      <c r="M75" s="396">
        <v>3581.32</v>
      </c>
      <c r="N75" s="114">
        <f t="shared" si="46"/>
        <v>0.24870277777777783</v>
      </c>
      <c r="O75" s="396">
        <v>92852.69</v>
      </c>
      <c r="P75" s="114">
        <f t="shared" si="47"/>
        <v>16.765069027777777</v>
      </c>
      <c r="Q75" s="396">
        <v>7512787.8899999997</v>
      </c>
      <c r="R75" s="398">
        <f t="shared" si="48"/>
        <v>1669.5084199999999</v>
      </c>
    </row>
    <row r="76" spans="2:18" x14ac:dyDescent="0.3">
      <c r="B76" s="393">
        <f t="shared" si="15"/>
        <v>45546</v>
      </c>
      <c r="C76" s="396">
        <v>56707.91</v>
      </c>
      <c r="D76" s="114">
        <f t="shared" si="34"/>
        <v>11.814147916666666</v>
      </c>
      <c r="E76" s="399">
        <v>99326.09</v>
      </c>
      <c r="F76" s="114">
        <f t="shared" si="42"/>
        <v>20.692935416666664</v>
      </c>
      <c r="G76" s="396">
        <v>66250.710000000006</v>
      </c>
      <c r="H76" s="114">
        <f t="shared" si="43"/>
        <v>8.2813387499999997</v>
      </c>
      <c r="I76" s="399">
        <v>272999.24</v>
      </c>
      <c r="J76" s="114">
        <f t="shared" si="44"/>
        <v>34.124904999999998</v>
      </c>
      <c r="K76" s="396">
        <v>75352.59</v>
      </c>
      <c r="L76" s="114">
        <f t="shared" si="45"/>
        <v>13.60532875</v>
      </c>
      <c r="M76" s="396">
        <v>3581.32</v>
      </c>
      <c r="N76" s="114">
        <f t="shared" si="46"/>
        <v>0.24870277777777783</v>
      </c>
      <c r="O76" s="396">
        <v>92852.69</v>
      </c>
      <c r="P76" s="114">
        <f t="shared" si="47"/>
        <v>16.765069027777777</v>
      </c>
      <c r="Q76" s="396">
        <v>7512787.8899999997</v>
      </c>
      <c r="R76" s="398">
        <f t="shared" si="48"/>
        <v>1669.5084199999999</v>
      </c>
    </row>
    <row r="77" spans="2:18" x14ac:dyDescent="0.3">
      <c r="B77" s="393">
        <f t="shared" si="15"/>
        <v>45547</v>
      </c>
      <c r="C77" s="396">
        <v>56707.91</v>
      </c>
      <c r="D77" s="114">
        <f t="shared" si="34"/>
        <v>11.814147916666666</v>
      </c>
      <c r="E77" s="399">
        <v>4195388.3099999996</v>
      </c>
      <c r="F77" s="114">
        <f t="shared" si="42"/>
        <v>874.03923124999983</v>
      </c>
      <c r="G77" s="396">
        <v>66250.710000000006</v>
      </c>
      <c r="H77" s="114">
        <f t="shared" si="43"/>
        <v>8.2813387499999997</v>
      </c>
      <c r="I77" s="399">
        <v>272999.24</v>
      </c>
      <c r="J77" s="114">
        <f t="shared" si="44"/>
        <v>34.124904999999998</v>
      </c>
      <c r="K77" s="396">
        <v>75352.59</v>
      </c>
      <c r="L77" s="114">
        <f t="shared" si="45"/>
        <v>13.60532875</v>
      </c>
      <c r="M77" s="396">
        <v>3581.32</v>
      </c>
      <c r="N77" s="114">
        <f t="shared" si="46"/>
        <v>0.24870277777777783</v>
      </c>
      <c r="O77" s="396">
        <v>92852.69</v>
      </c>
      <c r="P77" s="114">
        <f t="shared" si="47"/>
        <v>16.765069027777777</v>
      </c>
      <c r="Q77" s="396">
        <v>3012787.89</v>
      </c>
      <c r="R77" s="398">
        <f t="shared" si="48"/>
        <v>669.50842000000011</v>
      </c>
    </row>
    <row r="78" spans="2:18" x14ac:dyDescent="0.3">
      <c r="B78" s="393">
        <f t="shared" si="15"/>
        <v>45548</v>
      </c>
      <c r="C78" s="396">
        <v>56707.91</v>
      </c>
      <c r="D78" s="114">
        <f t="shared" si="34"/>
        <v>11.814147916666666</v>
      </c>
      <c r="E78" s="399">
        <v>4195388.3099999996</v>
      </c>
      <c r="F78" s="114">
        <f t="shared" si="42"/>
        <v>874.03923124999983</v>
      </c>
      <c r="G78" s="396">
        <v>66250.710000000006</v>
      </c>
      <c r="H78" s="114">
        <f t="shared" si="43"/>
        <v>8.2813387499999997</v>
      </c>
      <c r="I78" s="399">
        <v>272999.24</v>
      </c>
      <c r="J78" s="114">
        <f t="shared" si="44"/>
        <v>34.124904999999998</v>
      </c>
      <c r="K78" s="396">
        <v>75352.59</v>
      </c>
      <c r="L78" s="114">
        <f t="shared" si="45"/>
        <v>13.60532875</v>
      </c>
      <c r="M78" s="396">
        <v>3581.32</v>
      </c>
      <c r="N78" s="114">
        <f t="shared" si="46"/>
        <v>0.24870277777777783</v>
      </c>
      <c r="O78" s="396">
        <v>92852.69</v>
      </c>
      <c r="P78" s="114">
        <f t="shared" si="47"/>
        <v>16.765069027777777</v>
      </c>
      <c r="Q78" s="396">
        <v>3012787.89</v>
      </c>
      <c r="R78" s="398">
        <f t="shared" si="48"/>
        <v>669.50842000000011</v>
      </c>
    </row>
    <row r="79" spans="2:18" x14ac:dyDescent="0.3">
      <c r="B79" s="393">
        <f t="shared" si="15"/>
        <v>45549</v>
      </c>
      <c r="C79" s="396">
        <v>56707.91</v>
      </c>
      <c r="D79" s="114">
        <f t="shared" si="34"/>
        <v>11.814147916666666</v>
      </c>
      <c r="E79" s="399">
        <v>4195388.3099999996</v>
      </c>
      <c r="F79" s="114">
        <f t="shared" si="42"/>
        <v>874.03923124999983</v>
      </c>
      <c r="G79" s="396">
        <v>66250.710000000006</v>
      </c>
      <c r="H79" s="114">
        <f t="shared" si="43"/>
        <v>8.2813387499999997</v>
      </c>
      <c r="I79" s="399">
        <v>272999.24</v>
      </c>
      <c r="J79" s="114">
        <f t="shared" si="44"/>
        <v>34.124904999999998</v>
      </c>
      <c r="K79" s="396">
        <v>75352.59</v>
      </c>
      <c r="L79" s="114">
        <f t="shared" si="45"/>
        <v>13.60532875</v>
      </c>
      <c r="M79" s="396">
        <v>3581.32</v>
      </c>
      <c r="N79" s="114">
        <f t="shared" si="46"/>
        <v>0.24870277777777783</v>
      </c>
      <c r="O79" s="396">
        <v>92852.69</v>
      </c>
      <c r="P79" s="114">
        <f t="shared" si="47"/>
        <v>16.765069027777777</v>
      </c>
      <c r="Q79" s="396">
        <v>3012787.89</v>
      </c>
      <c r="R79" s="398">
        <f t="shared" si="48"/>
        <v>669.50842000000011</v>
      </c>
    </row>
    <row r="80" spans="2:18" x14ac:dyDescent="0.3">
      <c r="B80" s="393">
        <f t="shared" si="15"/>
        <v>45550</v>
      </c>
      <c r="C80" s="396">
        <v>56707.91</v>
      </c>
      <c r="D80" s="114">
        <f t="shared" si="34"/>
        <v>11.814147916666666</v>
      </c>
      <c r="E80" s="399">
        <v>4195388.3099999996</v>
      </c>
      <c r="F80" s="114">
        <f t="shared" si="42"/>
        <v>874.03923124999983</v>
      </c>
      <c r="G80" s="396">
        <v>66250.710000000006</v>
      </c>
      <c r="H80" s="114">
        <f t="shared" ref="H80:H100" si="49">(G80*4.5%)/360</f>
        <v>8.2813387499999997</v>
      </c>
      <c r="I80" s="399">
        <v>272999.24</v>
      </c>
      <c r="J80" s="114">
        <f t="shared" si="44"/>
        <v>34.124904999999998</v>
      </c>
      <c r="K80" s="396">
        <v>75352.59</v>
      </c>
      <c r="L80" s="114">
        <f t="shared" ref="L80:L85" si="50">(K80*6.5%)/360</f>
        <v>13.60532875</v>
      </c>
      <c r="M80" s="396">
        <v>3581.32</v>
      </c>
      <c r="N80" s="114">
        <f t="shared" ref="N80:N85" si="51">(M80*2.5%)/360</f>
        <v>0.24870277777777783</v>
      </c>
      <c r="O80" s="396">
        <v>92852.69</v>
      </c>
      <c r="P80" s="114">
        <f t="shared" ref="P80:P85" si="52">(O80*6.5%)/360</f>
        <v>16.765069027777777</v>
      </c>
      <c r="Q80" s="396">
        <v>3012787.89</v>
      </c>
      <c r="R80" s="398">
        <f t="shared" ref="R80:R85" si="53">(Q80*8%)/360</f>
        <v>669.50842000000011</v>
      </c>
    </row>
    <row r="81" spans="2:18" x14ac:dyDescent="0.3">
      <c r="B81" s="393">
        <f t="shared" si="15"/>
        <v>45551</v>
      </c>
      <c r="C81" s="396">
        <v>56707.91</v>
      </c>
      <c r="D81" s="114">
        <f t="shared" si="34"/>
        <v>11.814147916666666</v>
      </c>
      <c r="E81" s="399">
        <v>4195388.3099999996</v>
      </c>
      <c r="F81" s="114">
        <f t="shared" si="42"/>
        <v>874.03923124999983</v>
      </c>
      <c r="G81" s="396">
        <v>66250.710000000006</v>
      </c>
      <c r="H81" s="114">
        <f t="shared" si="49"/>
        <v>8.2813387499999997</v>
      </c>
      <c r="I81" s="399">
        <v>272999.24</v>
      </c>
      <c r="J81" s="114">
        <f t="shared" si="44"/>
        <v>34.124904999999998</v>
      </c>
      <c r="K81" s="396">
        <v>75352.59</v>
      </c>
      <c r="L81" s="114">
        <f t="shared" si="50"/>
        <v>13.60532875</v>
      </c>
      <c r="M81" s="396">
        <v>3581.32</v>
      </c>
      <c r="N81" s="114">
        <f t="shared" si="51"/>
        <v>0.24870277777777783</v>
      </c>
      <c r="O81" s="396">
        <v>92852.69</v>
      </c>
      <c r="P81" s="114">
        <f t="shared" si="52"/>
        <v>16.765069027777777</v>
      </c>
      <c r="Q81" s="396">
        <v>3012787.89</v>
      </c>
      <c r="R81" s="398">
        <f t="shared" si="53"/>
        <v>669.50842000000011</v>
      </c>
    </row>
    <row r="82" spans="2:18" x14ac:dyDescent="0.3">
      <c r="B82" s="393">
        <f t="shared" si="15"/>
        <v>45552</v>
      </c>
      <c r="C82" s="396">
        <v>56707.91</v>
      </c>
      <c r="D82" s="114">
        <f t="shared" si="34"/>
        <v>11.814147916666666</v>
      </c>
      <c r="E82" s="399">
        <v>3228433.72</v>
      </c>
      <c r="F82" s="114">
        <f t="shared" si="42"/>
        <v>672.59035833333337</v>
      </c>
      <c r="G82" s="396">
        <v>66250.710000000006</v>
      </c>
      <c r="H82" s="114">
        <f t="shared" si="49"/>
        <v>8.2813387499999997</v>
      </c>
      <c r="I82" s="399">
        <v>272999.24</v>
      </c>
      <c r="J82" s="114">
        <f t="shared" si="44"/>
        <v>34.124904999999998</v>
      </c>
      <c r="K82" s="396">
        <v>75352.59</v>
      </c>
      <c r="L82" s="114">
        <f t="shared" si="50"/>
        <v>13.60532875</v>
      </c>
      <c r="M82" s="396">
        <v>3581.32</v>
      </c>
      <c r="N82" s="114">
        <f t="shared" si="51"/>
        <v>0.24870277777777783</v>
      </c>
      <c r="O82" s="396">
        <v>92852.69</v>
      </c>
      <c r="P82" s="114">
        <f t="shared" si="52"/>
        <v>16.765069027777777</v>
      </c>
      <c r="Q82" s="396">
        <v>12787.89</v>
      </c>
      <c r="R82" s="398">
        <f t="shared" si="53"/>
        <v>2.8417533333333336</v>
      </c>
    </row>
    <row r="83" spans="2:18" x14ac:dyDescent="0.3">
      <c r="B83" s="393">
        <f t="shared" si="15"/>
        <v>45553</v>
      </c>
      <c r="C83" s="396">
        <v>37766.14</v>
      </c>
      <c r="D83" s="114">
        <f t="shared" si="34"/>
        <v>7.8679458333333328</v>
      </c>
      <c r="E83" s="399">
        <v>996811.73</v>
      </c>
      <c r="F83" s="114">
        <f t="shared" si="42"/>
        <v>207.66911041666665</v>
      </c>
      <c r="G83" s="396">
        <v>66250.710000000006</v>
      </c>
      <c r="H83" s="114">
        <f t="shared" si="49"/>
        <v>8.2813387499999997</v>
      </c>
      <c r="I83" s="399">
        <v>272999.24</v>
      </c>
      <c r="J83" s="114">
        <f t="shared" si="44"/>
        <v>34.124904999999998</v>
      </c>
      <c r="K83" s="396">
        <v>75352.59</v>
      </c>
      <c r="L83" s="114">
        <f t="shared" si="50"/>
        <v>13.60532875</v>
      </c>
      <c r="M83" s="396">
        <v>3581.32</v>
      </c>
      <c r="N83" s="114">
        <f t="shared" si="51"/>
        <v>0.24870277777777783</v>
      </c>
      <c r="O83" s="396">
        <v>92852.69</v>
      </c>
      <c r="P83" s="114">
        <f t="shared" si="52"/>
        <v>16.765069027777777</v>
      </c>
      <c r="Q83" s="396">
        <v>12787.89</v>
      </c>
      <c r="R83" s="398">
        <f t="shared" si="53"/>
        <v>2.8417533333333336</v>
      </c>
    </row>
    <row r="84" spans="2:18" x14ac:dyDescent="0.3">
      <c r="B84" s="393">
        <f t="shared" si="15"/>
        <v>45554</v>
      </c>
      <c r="C84" s="396">
        <v>37766.14</v>
      </c>
      <c r="D84" s="114">
        <f t="shared" si="34"/>
        <v>7.8679458333333328</v>
      </c>
      <c r="E84" s="399">
        <v>996811.73</v>
      </c>
      <c r="F84" s="114">
        <f t="shared" si="42"/>
        <v>207.66911041666665</v>
      </c>
      <c r="G84" s="396">
        <v>66250.710000000006</v>
      </c>
      <c r="H84" s="114">
        <f t="shared" si="49"/>
        <v>8.2813387499999997</v>
      </c>
      <c r="I84" s="399">
        <v>272999.24</v>
      </c>
      <c r="J84" s="114">
        <f t="shared" si="44"/>
        <v>34.124904999999998</v>
      </c>
      <c r="K84" s="396">
        <v>75352.59</v>
      </c>
      <c r="L84" s="114">
        <f t="shared" si="50"/>
        <v>13.60532875</v>
      </c>
      <c r="M84" s="396">
        <v>3581.32</v>
      </c>
      <c r="N84" s="114">
        <f t="shared" si="51"/>
        <v>0.24870277777777783</v>
      </c>
      <c r="O84" s="396">
        <v>92852.69</v>
      </c>
      <c r="P84" s="114">
        <f t="shared" si="52"/>
        <v>16.765069027777777</v>
      </c>
      <c r="Q84" s="396">
        <v>12787.89</v>
      </c>
      <c r="R84" s="398">
        <f t="shared" si="53"/>
        <v>2.8417533333333336</v>
      </c>
    </row>
    <row r="85" spans="2:18" x14ac:dyDescent="0.3">
      <c r="B85" s="393">
        <f t="shared" si="15"/>
        <v>45555</v>
      </c>
      <c r="C85" s="396">
        <v>37766.14</v>
      </c>
      <c r="D85" s="114">
        <f t="shared" si="34"/>
        <v>7.8679458333333328</v>
      </c>
      <c r="E85" s="399">
        <v>996811.73</v>
      </c>
      <c r="F85" s="114">
        <f t="shared" si="42"/>
        <v>207.66911041666665</v>
      </c>
      <c r="G85" s="396">
        <v>66250.710000000006</v>
      </c>
      <c r="H85" s="114">
        <f t="shared" si="49"/>
        <v>8.2813387499999997</v>
      </c>
      <c r="I85" s="399">
        <v>272999.24</v>
      </c>
      <c r="J85" s="114">
        <f t="shared" si="44"/>
        <v>34.124904999999998</v>
      </c>
      <c r="K85" s="396">
        <v>75352.59</v>
      </c>
      <c r="L85" s="114">
        <f t="shared" si="50"/>
        <v>13.60532875</v>
      </c>
      <c r="M85" s="396">
        <v>3581.32</v>
      </c>
      <c r="N85" s="114">
        <f t="shared" si="51"/>
        <v>0.24870277777777783</v>
      </c>
      <c r="O85" s="396">
        <v>92852.69</v>
      </c>
      <c r="P85" s="114">
        <f t="shared" si="52"/>
        <v>16.765069027777777</v>
      </c>
      <c r="Q85" s="396">
        <v>12787.89</v>
      </c>
      <c r="R85" s="398">
        <f t="shared" si="53"/>
        <v>2.8417533333333336</v>
      </c>
    </row>
    <row r="86" spans="2:18" x14ac:dyDescent="0.3">
      <c r="B86" s="393">
        <f t="shared" si="15"/>
        <v>45556</v>
      </c>
      <c r="C86" s="396">
        <v>37766.14</v>
      </c>
      <c r="D86" s="114">
        <f t="shared" si="34"/>
        <v>7.8679458333333328</v>
      </c>
      <c r="E86" s="399">
        <v>996811.73</v>
      </c>
      <c r="F86" s="114">
        <f t="shared" si="42"/>
        <v>207.66911041666665</v>
      </c>
      <c r="G86" s="396">
        <v>66250.710000000006</v>
      </c>
      <c r="H86" s="114">
        <f t="shared" si="49"/>
        <v>8.2813387499999997</v>
      </c>
      <c r="I86" s="399">
        <v>272999.24</v>
      </c>
      <c r="J86" s="114">
        <f t="shared" si="44"/>
        <v>34.124904999999998</v>
      </c>
      <c r="K86" s="396">
        <v>75352.59</v>
      </c>
      <c r="L86" s="114">
        <f t="shared" ref="L86" si="54">(K86*6.5%)/360</f>
        <v>13.60532875</v>
      </c>
      <c r="M86" s="396">
        <v>3581.32</v>
      </c>
      <c r="N86" s="114">
        <f t="shared" ref="N86" si="55">(M86*2.5%)/360</f>
        <v>0.24870277777777783</v>
      </c>
      <c r="O86" s="396">
        <v>92852.69</v>
      </c>
      <c r="P86" s="114">
        <f t="shared" ref="P86" si="56">(O86*6.5%)/360</f>
        <v>16.765069027777777</v>
      </c>
      <c r="Q86" s="396">
        <v>12787.89</v>
      </c>
      <c r="R86" s="398">
        <f t="shared" ref="R86" si="57">(Q86*8%)/360</f>
        <v>2.8417533333333336</v>
      </c>
    </row>
    <row r="87" spans="2:18" x14ac:dyDescent="0.3">
      <c r="B87" s="393">
        <f t="shared" si="15"/>
        <v>45557</v>
      </c>
      <c r="C87" s="396">
        <v>37766.14</v>
      </c>
      <c r="D87" s="114">
        <f t="shared" si="34"/>
        <v>7.8679458333333328</v>
      </c>
      <c r="E87" s="399">
        <v>996811.73</v>
      </c>
      <c r="F87" s="114">
        <f t="shared" si="42"/>
        <v>207.66911041666665</v>
      </c>
      <c r="G87" s="396">
        <v>66250.710000000006</v>
      </c>
      <c r="H87" s="114">
        <f t="shared" si="49"/>
        <v>8.2813387499999997</v>
      </c>
      <c r="I87" s="399">
        <v>272999.24</v>
      </c>
      <c r="J87" s="114">
        <f t="shared" ref="J87:J93" si="58">(I87*4.5%)/360</f>
        <v>34.124904999999998</v>
      </c>
      <c r="K87" s="396">
        <v>75352.59</v>
      </c>
      <c r="L87" s="114">
        <f t="shared" ref="L87:L93" si="59">(K87*6.5%)/360</f>
        <v>13.60532875</v>
      </c>
      <c r="M87" s="396">
        <v>3581.32</v>
      </c>
      <c r="N87" s="114">
        <f t="shared" ref="N87:N93" si="60">(M87*2.5%)/360</f>
        <v>0.24870277777777783</v>
      </c>
      <c r="O87" s="396">
        <v>92852.69</v>
      </c>
      <c r="P87" s="114">
        <f t="shared" ref="P87:P93" si="61">(O87*6.5%)/360</f>
        <v>16.765069027777777</v>
      </c>
      <c r="Q87" s="396">
        <v>12787.89</v>
      </c>
      <c r="R87" s="398">
        <f t="shared" ref="R87:R93" si="62">(Q87*8%)/360</f>
        <v>2.8417533333333336</v>
      </c>
    </row>
    <row r="88" spans="2:18" x14ac:dyDescent="0.3">
      <c r="B88" s="393">
        <f t="shared" si="15"/>
        <v>45558</v>
      </c>
      <c r="C88" s="396">
        <v>109149.14</v>
      </c>
      <c r="D88" s="114">
        <f t="shared" si="34"/>
        <v>22.739404166666667</v>
      </c>
      <c r="E88" s="399">
        <v>11548386.73</v>
      </c>
      <c r="F88" s="114">
        <f t="shared" si="42"/>
        <v>2405.9139020833331</v>
      </c>
      <c r="G88" s="396">
        <v>66250.710000000006</v>
      </c>
      <c r="H88" s="114">
        <f t="shared" si="49"/>
        <v>8.2813387499999997</v>
      </c>
      <c r="I88" s="399">
        <v>208996</v>
      </c>
      <c r="J88" s="114">
        <f t="shared" si="58"/>
        <v>26.124499999999998</v>
      </c>
      <c r="K88" s="396">
        <v>75352.59</v>
      </c>
      <c r="L88" s="114">
        <f t="shared" si="59"/>
        <v>13.60532875</v>
      </c>
      <c r="M88" s="396">
        <v>3581.32</v>
      </c>
      <c r="N88" s="114">
        <f t="shared" si="60"/>
        <v>0.24870277777777783</v>
      </c>
      <c r="O88" s="396">
        <v>92852.69</v>
      </c>
      <c r="P88" s="114">
        <f t="shared" si="61"/>
        <v>16.765069027777777</v>
      </c>
      <c r="Q88" s="396">
        <v>12787.89</v>
      </c>
      <c r="R88" s="398">
        <f t="shared" si="62"/>
        <v>2.8417533333333336</v>
      </c>
    </row>
    <row r="89" spans="2:18" x14ac:dyDescent="0.3">
      <c r="B89" s="393">
        <f t="shared" si="15"/>
        <v>45559</v>
      </c>
      <c r="C89" s="396">
        <v>109149.14</v>
      </c>
      <c r="D89" s="114">
        <f t="shared" si="34"/>
        <v>22.739404166666667</v>
      </c>
      <c r="E89" s="399">
        <v>11548386.73</v>
      </c>
      <c r="F89" s="114">
        <f t="shared" si="42"/>
        <v>2405.9139020833331</v>
      </c>
      <c r="G89" s="396">
        <v>66250.710000000006</v>
      </c>
      <c r="H89" s="114">
        <f t="shared" si="49"/>
        <v>8.2813387499999997</v>
      </c>
      <c r="I89" s="399">
        <v>208996</v>
      </c>
      <c r="J89" s="114">
        <f t="shared" si="58"/>
        <v>26.124499999999998</v>
      </c>
      <c r="K89" s="396">
        <v>75352.59</v>
      </c>
      <c r="L89" s="114">
        <f t="shared" si="59"/>
        <v>13.60532875</v>
      </c>
      <c r="M89" s="396">
        <v>3581.32</v>
      </c>
      <c r="N89" s="114">
        <f t="shared" si="60"/>
        <v>0.24870277777777783</v>
      </c>
      <c r="O89" s="396">
        <v>92852.69</v>
      </c>
      <c r="P89" s="114">
        <f t="shared" si="61"/>
        <v>16.765069027777777</v>
      </c>
      <c r="Q89" s="396">
        <v>12787.89</v>
      </c>
      <c r="R89" s="398">
        <f t="shared" si="62"/>
        <v>2.8417533333333336</v>
      </c>
    </row>
    <row r="90" spans="2:18" x14ac:dyDescent="0.3">
      <c r="B90" s="393">
        <f t="shared" si="15"/>
        <v>45560</v>
      </c>
      <c r="C90" s="396">
        <v>109149.14</v>
      </c>
      <c r="D90" s="114">
        <f t="shared" si="34"/>
        <v>22.739404166666667</v>
      </c>
      <c r="E90" s="399">
        <v>6150435.2999999998</v>
      </c>
      <c r="F90" s="114">
        <f t="shared" si="42"/>
        <v>1281.3406874999998</v>
      </c>
      <c r="G90" s="396">
        <v>66250.710000000006</v>
      </c>
      <c r="H90" s="114">
        <f t="shared" si="49"/>
        <v>8.2813387499999997</v>
      </c>
      <c r="I90" s="399">
        <v>208996</v>
      </c>
      <c r="J90" s="114">
        <f t="shared" si="58"/>
        <v>26.124499999999998</v>
      </c>
      <c r="K90" s="396">
        <v>75352.59</v>
      </c>
      <c r="L90" s="114">
        <f t="shared" si="59"/>
        <v>13.60532875</v>
      </c>
      <c r="M90" s="396">
        <v>3581.32</v>
      </c>
      <c r="N90" s="114">
        <f t="shared" si="60"/>
        <v>0.24870277777777783</v>
      </c>
      <c r="O90" s="396">
        <v>92852.69</v>
      </c>
      <c r="P90" s="114">
        <f t="shared" si="61"/>
        <v>16.765069027777777</v>
      </c>
      <c r="Q90" s="396">
        <v>12787.89</v>
      </c>
      <c r="R90" s="398">
        <f t="shared" si="62"/>
        <v>2.8417533333333336</v>
      </c>
    </row>
    <row r="91" spans="2:18" x14ac:dyDescent="0.3">
      <c r="B91" s="393">
        <f t="shared" si="15"/>
        <v>45561</v>
      </c>
      <c r="C91" s="396">
        <v>109149.14</v>
      </c>
      <c r="D91" s="114">
        <f t="shared" si="34"/>
        <v>22.739404166666667</v>
      </c>
      <c r="E91" s="399">
        <v>12232069</v>
      </c>
      <c r="F91" s="114">
        <f t="shared" si="42"/>
        <v>2548.3477083333332</v>
      </c>
      <c r="G91" s="396">
        <v>85250.71</v>
      </c>
      <c r="H91" s="114">
        <f t="shared" si="49"/>
        <v>10.65633875</v>
      </c>
      <c r="I91" s="399">
        <v>208996</v>
      </c>
      <c r="J91" s="114">
        <f t="shared" si="58"/>
        <v>26.124499999999998</v>
      </c>
      <c r="K91" s="396">
        <v>75352.59</v>
      </c>
      <c r="L91" s="114">
        <f t="shared" si="59"/>
        <v>13.60532875</v>
      </c>
      <c r="M91" s="396">
        <v>3581.32</v>
      </c>
      <c r="N91" s="114">
        <f t="shared" si="60"/>
        <v>0.24870277777777783</v>
      </c>
      <c r="O91" s="396">
        <v>92852.69</v>
      </c>
      <c r="P91" s="114">
        <f t="shared" si="61"/>
        <v>16.765069027777777</v>
      </c>
      <c r="Q91" s="396">
        <v>12787.89</v>
      </c>
      <c r="R91" s="398">
        <f t="shared" si="62"/>
        <v>2.8417533333333336</v>
      </c>
    </row>
    <row r="92" spans="2:18" x14ac:dyDescent="0.3">
      <c r="B92" s="393">
        <f t="shared" si="15"/>
        <v>45562</v>
      </c>
      <c r="C92" s="396">
        <v>109149.14</v>
      </c>
      <c r="D92" s="114">
        <f t="shared" si="34"/>
        <v>22.739404166666667</v>
      </c>
      <c r="E92" s="399">
        <v>12232069</v>
      </c>
      <c r="F92" s="114">
        <f t="shared" si="42"/>
        <v>2548.3477083333332</v>
      </c>
      <c r="G92" s="396">
        <v>85250.71</v>
      </c>
      <c r="H92" s="114">
        <f t="shared" si="49"/>
        <v>10.65633875</v>
      </c>
      <c r="I92" s="399">
        <v>208996</v>
      </c>
      <c r="J92" s="114">
        <f t="shared" si="58"/>
        <v>26.124499999999998</v>
      </c>
      <c r="K92" s="396">
        <v>75352.59</v>
      </c>
      <c r="L92" s="114">
        <f t="shared" si="59"/>
        <v>13.60532875</v>
      </c>
      <c r="M92" s="396">
        <v>3581.32</v>
      </c>
      <c r="N92" s="114">
        <f t="shared" si="60"/>
        <v>0.24870277777777783</v>
      </c>
      <c r="O92" s="396">
        <v>92852.69</v>
      </c>
      <c r="P92" s="114">
        <f t="shared" si="61"/>
        <v>16.765069027777777</v>
      </c>
      <c r="Q92" s="396">
        <v>12787.89</v>
      </c>
      <c r="R92" s="398">
        <f t="shared" si="62"/>
        <v>2.8417533333333336</v>
      </c>
    </row>
    <row r="93" spans="2:18" x14ac:dyDescent="0.3">
      <c r="B93" s="393">
        <f t="shared" si="15"/>
        <v>45563</v>
      </c>
      <c r="C93" s="396">
        <v>109149.14</v>
      </c>
      <c r="D93" s="114">
        <f t="shared" si="34"/>
        <v>22.739404166666667</v>
      </c>
      <c r="E93" s="399">
        <v>12232069</v>
      </c>
      <c r="F93" s="114">
        <f t="shared" si="42"/>
        <v>2548.3477083333332</v>
      </c>
      <c r="G93" s="396">
        <v>85250.71</v>
      </c>
      <c r="H93" s="114">
        <f t="shared" si="49"/>
        <v>10.65633875</v>
      </c>
      <c r="I93" s="399">
        <v>208996</v>
      </c>
      <c r="J93" s="114">
        <f t="shared" si="58"/>
        <v>26.124499999999998</v>
      </c>
      <c r="K93" s="396">
        <v>75352.59</v>
      </c>
      <c r="L93" s="114">
        <f t="shared" si="59"/>
        <v>13.60532875</v>
      </c>
      <c r="M93" s="396">
        <v>3581.32</v>
      </c>
      <c r="N93" s="114">
        <f t="shared" si="60"/>
        <v>0.24870277777777783</v>
      </c>
      <c r="O93" s="396">
        <v>92852.69</v>
      </c>
      <c r="P93" s="114">
        <f t="shared" si="61"/>
        <v>16.765069027777777</v>
      </c>
      <c r="Q93" s="396">
        <v>12787.89</v>
      </c>
      <c r="R93" s="398">
        <f t="shared" si="62"/>
        <v>2.8417533333333336</v>
      </c>
    </row>
    <row r="94" spans="2:18" x14ac:dyDescent="0.3">
      <c r="B94" s="393">
        <f t="shared" si="15"/>
        <v>45564</v>
      </c>
      <c r="C94" s="396">
        <v>109149.14</v>
      </c>
      <c r="D94" s="114">
        <f t="shared" si="34"/>
        <v>22.739404166666667</v>
      </c>
      <c r="E94" s="399">
        <v>12765829.34</v>
      </c>
      <c r="F94" s="114">
        <f t="shared" si="42"/>
        <v>2659.5477791666663</v>
      </c>
      <c r="G94" s="396">
        <v>85250.71</v>
      </c>
      <c r="H94" s="114">
        <f t="shared" si="49"/>
        <v>10.65633875</v>
      </c>
      <c r="I94" s="399">
        <v>208996</v>
      </c>
      <c r="J94" s="114">
        <f t="shared" ref="J94:J100" si="63">(I94*4.5%)/360</f>
        <v>26.124499999999998</v>
      </c>
      <c r="K94" s="396">
        <v>75352.59</v>
      </c>
      <c r="L94" s="114">
        <f t="shared" ref="L94:L100" si="64">(K94*6.5%)/360</f>
        <v>13.60532875</v>
      </c>
      <c r="M94" s="396">
        <v>3581.32</v>
      </c>
      <c r="N94" s="114">
        <f t="shared" ref="N94:N100" si="65">(M94*2.5%)/360</f>
        <v>0.24870277777777783</v>
      </c>
      <c r="O94" s="396">
        <v>92852.69</v>
      </c>
      <c r="P94" s="114">
        <f t="shared" ref="P94:P100" si="66">(O94*6.5%)/360</f>
        <v>16.765069027777777</v>
      </c>
      <c r="Q94" s="396">
        <v>12787.89</v>
      </c>
      <c r="R94" s="398">
        <f t="shared" ref="R94:R100" si="67">(Q94*8%)/360</f>
        <v>2.8417533333333336</v>
      </c>
    </row>
    <row r="95" spans="2:18" x14ac:dyDescent="0.3">
      <c r="B95" s="393">
        <f t="shared" si="15"/>
        <v>45565</v>
      </c>
      <c r="C95" s="396">
        <v>109149.14</v>
      </c>
      <c r="D95" s="114">
        <f t="shared" si="34"/>
        <v>22.739404166666667</v>
      </c>
      <c r="E95" s="399">
        <v>2311288.16</v>
      </c>
      <c r="F95" s="114">
        <f t="shared" si="42"/>
        <v>481.51836666666662</v>
      </c>
      <c r="G95" s="396">
        <v>85250.71</v>
      </c>
      <c r="H95" s="114">
        <f t="shared" si="49"/>
        <v>10.65633875</v>
      </c>
      <c r="I95" s="399">
        <v>208996</v>
      </c>
      <c r="J95" s="114">
        <f t="shared" si="63"/>
        <v>26.124499999999998</v>
      </c>
      <c r="K95" s="396">
        <v>75352.59</v>
      </c>
      <c r="L95" s="114">
        <f t="shared" si="64"/>
        <v>13.60532875</v>
      </c>
      <c r="M95" s="396">
        <v>3581.32</v>
      </c>
      <c r="N95" s="114">
        <f t="shared" si="65"/>
        <v>0.24870277777777783</v>
      </c>
      <c r="O95" s="396">
        <v>92852.69</v>
      </c>
      <c r="P95" s="114">
        <f t="shared" si="66"/>
        <v>16.765069027777777</v>
      </c>
      <c r="Q95" s="396">
        <v>12012779.890000001</v>
      </c>
      <c r="R95" s="398">
        <f t="shared" si="67"/>
        <v>2669.5066422222226</v>
      </c>
    </row>
    <row r="96" spans="2:18" x14ac:dyDescent="0.3">
      <c r="B96" s="393">
        <f t="shared" si="15"/>
        <v>45566</v>
      </c>
      <c r="C96" s="396">
        <v>109149.14</v>
      </c>
      <c r="D96" s="114">
        <f t="shared" si="34"/>
        <v>22.739404166666667</v>
      </c>
      <c r="E96" s="399">
        <v>2311288.16</v>
      </c>
      <c r="F96" s="114">
        <f t="shared" si="42"/>
        <v>481.51836666666662</v>
      </c>
      <c r="G96" s="396">
        <v>285250.71000000002</v>
      </c>
      <c r="H96" s="114">
        <f t="shared" si="49"/>
        <v>35.656338750000003</v>
      </c>
      <c r="I96" s="399">
        <v>8996</v>
      </c>
      <c r="J96" s="114">
        <f t="shared" si="63"/>
        <v>1.1245000000000001</v>
      </c>
      <c r="K96" s="396">
        <v>75352.59</v>
      </c>
      <c r="L96" s="114">
        <f t="shared" si="64"/>
        <v>13.60532875</v>
      </c>
      <c r="M96" s="396">
        <v>3581.32</v>
      </c>
      <c r="N96" s="114">
        <f t="shared" si="65"/>
        <v>0.24870277777777783</v>
      </c>
      <c r="O96" s="396">
        <v>92852.69</v>
      </c>
      <c r="P96" s="114">
        <f t="shared" si="66"/>
        <v>16.765069027777777</v>
      </c>
      <c r="Q96" s="396">
        <v>12012779.890000001</v>
      </c>
      <c r="R96" s="398">
        <f t="shared" si="67"/>
        <v>2669.5066422222226</v>
      </c>
    </row>
    <row r="97" spans="2:18" x14ac:dyDescent="0.3">
      <c r="B97" s="393">
        <f t="shared" si="15"/>
        <v>45567</v>
      </c>
      <c r="C97" s="396">
        <v>109149.14</v>
      </c>
      <c r="D97" s="114">
        <f t="shared" si="34"/>
        <v>22.739404166666667</v>
      </c>
      <c r="E97" s="399">
        <v>2591288.16</v>
      </c>
      <c r="F97" s="114">
        <f t="shared" si="42"/>
        <v>539.85169999999994</v>
      </c>
      <c r="G97" s="396">
        <v>5250.71</v>
      </c>
      <c r="H97" s="114">
        <f t="shared" si="49"/>
        <v>0.65633874999999997</v>
      </c>
      <c r="I97" s="399">
        <v>8996</v>
      </c>
      <c r="J97" s="114">
        <f t="shared" si="63"/>
        <v>1.1245000000000001</v>
      </c>
      <c r="K97" s="396">
        <v>75352.59</v>
      </c>
      <c r="L97" s="114">
        <f t="shared" si="64"/>
        <v>13.60532875</v>
      </c>
      <c r="M97" s="396">
        <v>3581.32</v>
      </c>
      <c r="N97" s="114">
        <f t="shared" si="65"/>
        <v>0.24870277777777783</v>
      </c>
      <c r="O97" s="396">
        <v>92852.69</v>
      </c>
      <c r="P97" s="114">
        <f t="shared" si="66"/>
        <v>16.765069027777777</v>
      </c>
      <c r="Q97" s="396">
        <v>12012779.890000001</v>
      </c>
      <c r="R97" s="398">
        <f t="shared" si="67"/>
        <v>2669.5066422222226</v>
      </c>
    </row>
    <row r="98" spans="2:18" x14ac:dyDescent="0.3">
      <c r="B98" s="393">
        <f t="shared" si="15"/>
        <v>45568</v>
      </c>
      <c r="C98" s="396">
        <v>109149.14</v>
      </c>
      <c r="D98" s="114">
        <f t="shared" si="34"/>
        <v>22.739404166666667</v>
      </c>
      <c r="E98" s="399">
        <v>5252044.7999999998</v>
      </c>
      <c r="F98" s="114">
        <f t="shared" si="42"/>
        <v>1094.1759999999999</v>
      </c>
      <c r="G98" s="396">
        <v>5250.71</v>
      </c>
      <c r="H98" s="114">
        <f t="shared" si="49"/>
        <v>0.65633874999999997</v>
      </c>
      <c r="I98" s="399">
        <v>8996</v>
      </c>
      <c r="J98" s="114">
        <f t="shared" si="63"/>
        <v>1.1245000000000001</v>
      </c>
      <c r="K98" s="396">
        <v>75352.59</v>
      </c>
      <c r="L98" s="114">
        <f t="shared" si="64"/>
        <v>13.60532875</v>
      </c>
      <c r="M98" s="396">
        <v>3581.32</v>
      </c>
      <c r="N98" s="114">
        <f t="shared" si="65"/>
        <v>0.24870277777777783</v>
      </c>
      <c r="O98" s="396">
        <v>92852.69</v>
      </c>
      <c r="P98" s="114">
        <f t="shared" si="66"/>
        <v>16.765069027777777</v>
      </c>
      <c r="Q98" s="396">
        <v>12012779.890000001</v>
      </c>
      <c r="R98" s="398">
        <f t="shared" si="67"/>
        <v>2669.5066422222226</v>
      </c>
    </row>
    <row r="99" spans="2:18" x14ac:dyDescent="0.3">
      <c r="B99" s="393">
        <f t="shared" si="15"/>
        <v>45569</v>
      </c>
      <c r="C99" s="396">
        <v>109149.14</v>
      </c>
      <c r="D99" s="114">
        <f t="shared" si="34"/>
        <v>22.739404166666667</v>
      </c>
      <c r="E99" s="399">
        <v>5252044.7999999998</v>
      </c>
      <c r="F99" s="114">
        <f t="shared" si="42"/>
        <v>1094.1759999999999</v>
      </c>
      <c r="G99" s="396">
        <v>5250.71</v>
      </c>
      <c r="H99" s="114">
        <f t="shared" si="49"/>
        <v>0.65633874999999997</v>
      </c>
      <c r="I99" s="399">
        <v>8996</v>
      </c>
      <c r="J99" s="114">
        <f t="shared" si="63"/>
        <v>1.1245000000000001</v>
      </c>
      <c r="K99" s="396">
        <v>75352.59</v>
      </c>
      <c r="L99" s="114">
        <f t="shared" si="64"/>
        <v>13.60532875</v>
      </c>
      <c r="M99" s="396">
        <v>3581.32</v>
      </c>
      <c r="N99" s="114">
        <f t="shared" si="65"/>
        <v>0.24870277777777783</v>
      </c>
      <c r="O99" s="396">
        <v>92852.69</v>
      </c>
      <c r="P99" s="114">
        <f t="shared" si="66"/>
        <v>16.765069027777777</v>
      </c>
      <c r="Q99" s="396">
        <v>12012779.890000001</v>
      </c>
      <c r="R99" s="398">
        <f t="shared" si="67"/>
        <v>2669.5066422222226</v>
      </c>
    </row>
    <row r="100" spans="2:18" x14ac:dyDescent="0.3">
      <c r="B100" s="393">
        <f t="shared" si="15"/>
        <v>45570</v>
      </c>
      <c r="C100" s="396">
        <v>109149.14</v>
      </c>
      <c r="D100" s="114">
        <f t="shared" si="34"/>
        <v>22.739404166666667</v>
      </c>
      <c r="E100" s="399">
        <v>5252044.7999999998</v>
      </c>
      <c r="F100" s="114">
        <f t="shared" si="42"/>
        <v>1094.1759999999999</v>
      </c>
      <c r="G100" s="396">
        <v>5250.71</v>
      </c>
      <c r="H100" s="114">
        <f t="shared" si="49"/>
        <v>0.65633874999999997</v>
      </c>
      <c r="I100" s="399">
        <v>8996</v>
      </c>
      <c r="J100" s="114">
        <f t="shared" si="63"/>
        <v>1.1245000000000001</v>
      </c>
      <c r="K100" s="396">
        <v>75352.59</v>
      </c>
      <c r="L100" s="114">
        <f t="shared" si="64"/>
        <v>13.60532875</v>
      </c>
      <c r="M100" s="396">
        <v>3581.32</v>
      </c>
      <c r="N100" s="114">
        <f t="shared" si="65"/>
        <v>0.24870277777777783</v>
      </c>
      <c r="O100" s="396">
        <v>92852.69</v>
      </c>
      <c r="P100" s="114">
        <f t="shared" si="66"/>
        <v>16.765069027777777</v>
      </c>
      <c r="Q100" s="396">
        <v>12012779.890000001</v>
      </c>
      <c r="R100" s="398">
        <f t="shared" si="67"/>
        <v>2669.5066422222226</v>
      </c>
    </row>
    <row r="101" spans="2:18" x14ac:dyDescent="0.3">
      <c r="B101" s="393">
        <f t="shared" si="15"/>
        <v>45571</v>
      </c>
      <c r="C101" s="396">
        <v>109149.14</v>
      </c>
      <c r="D101" s="114">
        <f t="shared" si="34"/>
        <v>22.739404166666667</v>
      </c>
      <c r="E101" s="399">
        <v>4804125.25</v>
      </c>
      <c r="F101" s="114">
        <f t="shared" ref="F101:F164" si="68">(E101*7.5%)/360</f>
        <v>1000.8594270833333</v>
      </c>
      <c r="G101" s="396">
        <v>5250.71</v>
      </c>
      <c r="H101" s="114">
        <f t="shared" ref="H101:H107" si="69">(G101*4.5%)/360</f>
        <v>0.65633874999999997</v>
      </c>
      <c r="I101" s="399">
        <v>8996</v>
      </c>
      <c r="J101" s="114">
        <f t="shared" ref="J101:J107" si="70">(I101*4.5%)/360</f>
        <v>1.1245000000000001</v>
      </c>
      <c r="K101" s="396">
        <v>75352.59</v>
      </c>
      <c r="L101" s="114">
        <f t="shared" ref="L101:L107" si="71">(K101*6.5%)/360</f>
        <v>13.60532875</v>
      </c>
      <c r="M101" s="396">
        <v>3581.32</v>
      </c>
      <c r="N101" s="114">
        <f t="shared" ref="N101:N107" si="72">(M101*2.5%)/360</f>
        <v>0.24870277777777783</v>
      </c>
      <c r="O101" s="396">
        <v>92852.69</v>
      </c>
      <c r="P101" s="114">
        <f t="shared" ref="P101:P107" si="73">(O101*6.5%)/360</f>
        <v>16.765069027777777</v>
      </c>
      <c r="Q101" s="396">
        <v>12012779.890000001</v>
      </c>
      <c r="R101" s="398">
        <f t="shared" ref="R101:R107" si="74">(Q101*8%)/360</f>
        <v>2669.5066422222226</v>
      </c>
    </row>
    <row r="102" spans="2:18" x14ac:dyDescent="0.3">
      <c r="B102" s="393">
        <f t="shared" si="15"/>
        <v>45572</v>
      </c>
      <c r="C102" s="396">
        <v>9149.14</v>
      </c>
      <c r="D102" s="114">
        <f t="shared" si="34"/>
        <v>1.9060708333333332</v>
      </c>
      <c r="E102" s="399">
        <v>4214698.51</v>
      </c>
      <c r="F102" s="114">
        <f t="shared" si="68"/>
        <v>878.06218958333318</v>
      </c>
      <c r="G102" s="396">
        <v>5250.71</v>
      </c>
      <c r="H102" s="114">
        <f t="shared" si="69"/>
        <v>0.65633874999999997</v>
      </c>
      <c r="I102" s="399">
        <v>8996</v>
      </c>
      <c r="J102" s="114">
        <f t="shared" si="70"/>
        <v>1.1245000000000001</v>
      </c>
      <c r="K102" s="396">
        <v>75352.59</v>
      </c>
      <c r="L102" s="114">
        <f t="shared" si="71"/>
        <v>13.60532875</v>
      </c>
      <c r="M102" s="396">
        <v>3581.32</v>
      </c>
      <c r="N102" s="114">
        <f t="shared" si="72"/>
        <v>0.24870277777777783</v>
      </c>
      <c r="O102" s="396">
        <v>92852.69</v>
      </c>
      <c r="P102" s="114">
        <f t="shared" si="73"/>
        <v>16.765069027777777</v>
      </c>
      <c r="Q102" s="396">
        <v>12012779.890000001</v>
      </c>
      <c r="R102" s="398">
        <f t="shared" si="74"/>
        <v>2669.5066422222226</v>
      </c>
    </row>
    <row r="103" spans="2:18" x14ac:dyDescent="0.3">
      <c r="B103" s="393">
        <f t="shared" ref="B103:B166" si="75">B102+1</f>
        <v>45573</v>
      </c>
      <c r="C103" s="396">
        <v>9149.14</v>
      </c>
      <c r="D103" s="114">
        <f t="shared" si="34"/>
        <v>1.9060708333333332</v>
      </c>
      <c r="E103" s="399">
        <v>7918632.96</v>
      </c>
      <c r="F103" s="114">
        <f t="shared" si="68"/>
        <v>1649.7151999999999</v>
      </c>
      <c r="G103" s="396">
        <v>5250.71</v>
      </c>
      <c r="H103" s="114">
        <f t="shared" si="69"/>
        <v>0.65633874999999997</v>
      </c>
      <c r="I103" s="399">
        <v>8996</v>
      </c>
      <c r="J103" s="114">
        <f t="shared" si="70"/>
        <v>1.1245000000000001</v>
      </c>
      <c r="K103" s="396">
        <v>75352.59</v>
      </c>
      <c r="L103" s="114">
        <f t="shared" si="71"/>
        <v>13.60532875</v>
      </c>
      <c r="M103" s="396">
        <v>3581.32</v>
      </c>
      <c r="N103" s="114">
        <f t="shared" si="72"/>
        <v>0.24870277777777783</v>
      </c>
      <c r="O103" s="396">
        <v>92852.69</v>
      </c>
      <c r="P103" s="114">
        <f t="shared" si="73"/>
        <v>16.765069027777777</v>
      </c>
      <c r="Q103" s="396">
        <v>7012779.8900000006</v>
      </c>
      <c r="R103" s="398">
        <f t="shared" si="74"/>
        <v>1558.3955311111113</v>
      </c>
    </row>
    <row r="104" spans="2:18" x14ac:dyDescent="0.3">
      <c r="B104" s="393">
        <f t="shared" si="75"/>
        <v>45574</v>
      </c>
      <c r="C104" s="396">
        <v>9149.14</v>
      </c>
      <c r="D104" s="114">
        <f t="shared" si="34"/>
        <v>1.9060708333333332</v>
      </c>
      <c r="E104" s="399">
        <v>2914977.96</v>
      </c>
      <c r="F104" s="114">
        <f t="shared" si="68"/>
        <v>607.28707499999996</v>
      </c>
      <c r="G104" s="396">
        <v>5250.71</v>
      </c>
      <c r="H104" s="114">
        <f t="shared" si="69"/>
        <v>0.65633874999999997</v>
      </c>
      <c r="I104" s="399">
        <v>8996</v>
      </c>
      <c r="J104" s="114">
        <f t="shared" si="70"/>
        <v>1.1245000000000001</v>
      </c>
      <c r="K104" s="396">
        <v>75352.59</v>
      </c>
      <c r="L104" s="114">
        <f t="shared" si="71"/>
        <v>13.60532875</v>
      </c>
      <c r="M104" s="396">
        <v>3581.32</v>
      </c>
      <c r="N104" s="114">
        <f t="shared" si="72"/>
        <v>0.24870277777777783</v>
      </c>
      <c r="O104" s="396">
        <v>92852.69</v>
      </c>
      <c r="P104" s="114">
        <f t="shared" si="73"/>
        <v>16.765069027777777</v>
      </c>
      <c r="Q104" s="396">
        <v>7012779.8900000006</v>
      </c>
      <c r="R104" s="398">
        <f t="shared" si="74"/>
        <v>1558.3955311111113</v>
      </c>
    </row>
    <row r="105" spans="2:18" x14ac:dyDescent="0.3">
      <c r="B105" s="393">
        <f t="shared" si="75"/>
        <v>45575</v>
      </c>
      <c r="C105" s="396">
        <v>9149.14</v>
      </c>
      <c r="D105" s="114">
        <f t="shared" si="34"/>
        <v>1.9060708333333332</v>
      </c>
      <c r="E105" s="399">
        <v>2914977.96</v>
      </c>
      <c r="F105" s="114">
        <f t="shared" si="68"/>
        <v>607.28707499999996</v>
      </c>
      <c r="G105" s="396">
        <v>5250.71</v>
      </c>
      <c r="H105" s="114">
        <f t="shared" si="69"/>
        <v>0.65633874999999997</v>
      </c>
      <c r="I105" s="399">
        <v>8996</v>
      </c>
      <c r="J105" s="114">
        <f t="shared" si="70"/>
        <v>1.1245000000000001</v>
      </c>
      <c r="K105" s="396">
        <v>75352.59</v>
      </c>
      <c r="L105" s="114">
        <f t="shared" si="71"/>
        <v>13.60532875</v>
      </c>
      <c r="M105" s="396">
        <v>3581.32</v>
      </c>
      <c r="N105" s="114">
        <f t="shared" si="72"/>
        <v>0.24870277777777783</v>
      </c>
      <c r="O105" s="396">
        <v>92852.69</v>
      </c>
      <c r="P105" s="114">
        <f t="shared" si="73"/>
        <v>16.765069027777777</v>
      </c>
      <c r="Q105" s="396">
        <v>7012779.8900000006</v>
      </c>
      <c r="R105" s="398">
        <f t="shared" si="74"/>
        <v>1558.3955311111113</v>
      </c>
    </row>
    <row r="106" spans="2:18" x14ac:dyDescent="0.3">
      <c r="B106" s="393">
        <f t="shared" si="75"/>
        <v>45576</v>
      </c>
      <c r="C106" s="396">
        <v>9149.14</v>
      </c>
      <c r="D106" s="114">
        <f t="shared" si="34"/>
        <v>1.9060708333333332</v>
      </c>
      <c r="E106" s="399">
        <v>2914977.96</v>
      </c>
      <c r="F106" s="114">
        <f t="shared" si="68"/>
        <v>607.28707499999996</v>
      </c>
      <c r="G106" s="396">
        <v>5250.71</v>
      </c>
      <c r="H106" s="114">
        <f t="shared" si="69"/>
        <v>0.65633874999999997</v>
      </c>
      <c r="I106" s="399">
        <v>8996</v>
      </c>
      <c r="J106" s="114">
        <f t="shared" si="70"/>
        <v>1.1245000000000001</v>
      </c>
      <c r="K106" s="396">
        <v>75352.59</v>
      </c>
      <c r="L106" s="114">
        <f t="shared" si="71"/>
        <v>13.60532875</v>
      </c>
      <c r="M106" s="396">
        <v>3581.32</v>
      </c>
      <c r="N106" s="114">
        <f t="shared" si="72"/>
        <v>0.24870277777777783</v>
      </c>
      <c r="O106" s="396">
        <v>92852.69</v>
      </c>
      <c r="P106" s="114">
        <f t="shared" si="73"/>
        <v>16.765069027777777</v>
      </c>
      <c r="Q106" s="396">
        <v>7012779.8900000006</v>
      </c>
      <c r="R106" s="398">
        <f t="shared" si="74"/>
        <v>1558.3955311111113</v>
      </c>
    </row>
    <row r="107" spans="2:18" x14ac:dyDescent="0.3">
      <c r="B107" s="393">
        <f t="shared" si="75"/>
        <v>45577</v>
      </c>
      <c r="C107" s="396">
        <v>9149.14</v>
      </c>
      <c r="D107" s="114">
        <f t="shared" si="34"/>
        <v>1.9060708333333332</v>
      </c>
      <c r="E107" s="399">
        <v>2914977.96</v>
      </c>
      <c r="F107" s="114">
        <f t="shared" si="68"/>
        <v>607.28707499999996</v>
      </c>
      <c r="G107" s="396">
        <v>5250.71</v>
      </c>
      <c r="H107" s="114">
        <f t="shared" si="69"/>
        <v>0.65633874999999997</v>
      </c>
      <c r="I107" s="399">
        <v>8996</v>
      </c>
      <c r="J107" s="114">
        <f t="shared" si="70"/>
        <v>1.1245000000000001</v>
      </c>
      <c r="K107" s="396">
        <v>75352.59</v>
      </c>
      <c r="L107" s="114">
        <f t="shared" si="71"/>
        <v>13.60532875</v>
      </c>
      <c r="M107" s="396">
        <v>3581.32</v>
      </c>
      <c r="N107" s="114">
        <f t="shared" si="72"/>
        <v>0.24870277777777783</v>
      </c>
      <c r="O107" s="396">
        <v>92852.69</v>
      </c>
      <c r="P107" s="114">
        <f t="shared" si="73"/>
        <v>16.765069027777777</v>
      </c>
      <c r="Q107" s="396">
        <v>7012779.8900000006</v>
      </c>
      <c r="R107" s="398">
        <f t="shared" si="74"/>
        <v>1558.3955311111113</v>
      </c>
    </row>
    <row r="108" spans="2:18" x14ac:dyDescent="0.3">
      <c r="B108" s="393">
        <f t="shared" si="75"/>
        <v>45578</v>
      </c>
      <c r="C108" s="396">
        <v>9149.14</v>
      </c>
      <c r="D108" s="114">
        <f t="shared" si="34"/>
        <v>1.9060708333333332</v>
      </c>
      <c r="E108" s="399">
        <v>2914977.96</v>
      </c>
      <c r="F108" s="114">
        <f t="shared" si="68"/>
        <v>607.28707499999996</v>
      </c>
      <c r="G108" s="396">
        <v>5250.71</v>
      </c>
      <c r="H108" s="114">
        <f t="shared" ref="H108:H113" si="76">(G108*4.5%)/360</f>
        <v>0.65633874999999997</v>
      </c>
      <c r="I108" s="399">
        <v>8996</v>
      </c>
      <c r="J108" s="114">
        <f t="shared" ref="J108:J113" si="77">(I108*4.5%)/360</f>
        <v>1.1245000000000001</v>
      </c>
      <c r="K108" s="396">
        <v>75352.59</v>
      </c>
      <c r="L108" s="114">
        <f t="shared" ref="L108:L113" si="78">(K108*6.5%)/360</f>
        <v>13.60532875</v>
      </c>
      <c r="M108" s="396">
        <v>3581.32</v>
      </c>
      <c r="N108" s="114">
        <f t="shared" ref="N108:N113" si="79">(M108*2.5%)/360</f>
        <v>0.24870277777777783</v>
      </c>
      <c r="O108" s="396">
        <v>92852.69</v>
      </c>
      <c r="P108" s="114">
        <f t="shared" ref="P108:P113" si="80">(O108*6.5%)/360</f>
        <v>16.765069027777777</v>
      </c>
      <c r="Q108" s="396">
        <v>7012779.8900000006</v>
      </c>
      <c r="R108" s="398">
        <f t="shared" ref="R108:R113" si="81">(Q108*8%)/360</f>
        <v>1558.3955311111113</v>
      </c>
    </row>
    <row r="109" spans="2:18" x14ac:dyDescent="0.3">
      <c r="B109" s="393">
        <f t="shared" si="75"/>
        <v>45579</v>
      </c>
      <c r="C109" s="396">
        <v>9149.14</v>
      </c>
      <c r="D109" s="114">
        <f t="shared" si="34"/>
        <v>1.9060708333333332</v>
      </c>
      <c r="E109" s="399">
        <v>2914977.96</v>
      </c>
      <c r="F109" s="114">
        <f t="shared" si="68"/>
        <v>607.28707499999996</v>
      </c>
      <c r="G109" s="396">
        <v>5250.71</v>
      </c>
      <c r="H109" s="114">
        <f t="shared" si="76"/>
        <v>0.65633874999999997</v>
      </c>
      <c r="I109" s="399">
        <v>8996</v>
      </c>
      <c r="J109" s="114">
        <f t="shared" si="77"/>
        <v>1.1245000000000001</v>
      </c>
      <c r="K109" s="396">
        <v>75352.59</v>
      </c>
      <c r="L109" s="114">
        <f t="shared" si="78"/>
        <v>13.60532875</v>
      </c>
      <c r="M109" s="396">
        <v>3581.32</v>
      </c>
      <c r="N109" s="114">
        <f t="shared" si="79"/>
        <v>0.24870277777777783</v>
      </c>
      <c r="O109" s="396">
        <v>92852.69</v>
      </c>
      <c r="P109" s="114">
        <f t="shared" si="80"/>
        <v>16.765069027777777</v>
      </c>
      <c r="Q109" s="396">
        <v>7012779.8900000006</v>
      </c>
      <c r="R109" s="398">
        <f t="shared" si="81"/>
        <v>1558.3955311111113</v>
      </c>
    </row>
    <row r="110" spans="2:18" x14ac:dyDescent="0.3">
      <c r="B110" s="393">
        <f t="shared" si="75"/>
        <v>45580</v>
      </c>
      <c r="C110" s="396">
        <v>9149.14</v>
      </c>
      <c r="D110" s="114">
        <f t="shared" si="34"/>
        <v>1.9060708333333332</v>
      </c>
      <c r="E110" s="399">
        <v>549183.59</v>
      </c>
      <c r="F110" s="114">
        <f t="shared" si="68"/>
        <v>114.41324791666666</v>
      </c>
      <c r="G110" s="396">
        <v>5250.71</v>
      </c>
      <c r="H110" s="114">
        <f t="shared" si="76"/>
        <v>0.65633874999999997</v>
      </c>
      <c r="I110" s="399">
        <v>8996</v>
      </c>
      <c r="J110" s="114">
        <f t="shared" si="77"/>
        <v>1.1245000000000001</v>
      </c>
      <c r="K110" s="396">
        <v>75352.59</v>
      </c>
      <c r="L110" s="114">
        <f t="shared" si="78"/>
        <v>13.60532875</v>
      </c>
      <c r="M110" s="396">
        <v>3581.32</v>
      </c>
      <c r="N110" s="114">
        <f t="shared" si="79"/>
        <v>0.24870277777777783</v>
      </c>
      <c r="O110" s="396">
        <v>92852.69</v>
      </c>
      <c r="P110" s="114">
        <f t="shared" si="80"/>
        <v>16.765069027777777</v>
      </c>
      <c r="Q110" s="396">
        <v>7012779.8900000006</v>
      </c>
      <c r="R110" s="398">
        <f t="shared" si="81"/>
        <v>1558.3955311111113</v>
      </c>
    </row>
    <row r="111" spans="2:18" x14ac:dyDescent="0.3">
      <c r="B111" s="393">
        <f t="shared" si="75"/>
        <v>45581</v>
      </c>
      <c r="C111" s="396">
        <v>9149.14</v>
      </c>
      <c r="D111" s="114">
        <f t="shared" si="34"/>
        <v>1.9060708333333332</v>
      </c>
      <c r="E111" s="399">
        <v>549183.59</v>
      </c>
      <c r="F111" s="114">
        <f t="shared" si="68"/>
        <v>114.41324791666666</v>
      </c>
      <c r="G111" s="396">
        <v>5250.71</v>
      </c>
      <c r="H111" s="114">
        <f t="shared" si="76"/>
        <v>0.65633874999999997</v>
      </c>
      <c r="I111" s="399">
        <v>8996</v>
      </c>
      <c r="J111" s="114">
        <f t="shared" si="77"/>
        <v>1.1245000000000001</v>
      </c>
      <c r="K111" s="396">
        <v>75352.59</v>
      </c>
      <c r="L111" s="114">
        <f t="shared" si="78"/>
        <v>13.60532875</v>
      </c>
      <c r="M111" s="396">
        <v>3581.32</v>
      </c>
      <c r="N111" s="114">
        <f t="shared" si="79"/>
        <v>0.24870277777777783</v>
      </c>
      <c r="O111" s="396">
        <v>92852.69</v>
      </c>
      <c r="P111" s="114">
        <f t="shared" si="80"/>
        <v>16.765069027777777</v>
      </c>
      <c r="Q111" s="396">
        <v>7012779.8900000006</v>
      </c>
      <c r="R111" s="398">
        <f t="shared" si="81"/>
        <v>1558.3955311111113</v>
      </c>
    </row>
    <row r="112" spans="2:18" x14ac:dyDescent="0.3">
      <c r="B112" s="393">
        <f t="shared" si="75"/>
        <v>45582</v>
      </c>
      <c r="C112" s="396">
        <v>260749.14000000013</v>
      </c>
      <c r="D112" s="114">
        <f t="shared" si="34"/>
        <v>54.322737500000031</v>
      </c>
      <c r="E112" s="399">
        <v>6381595.0649999995</v>
      </c>
      <c r="F112" s="114">
        <f t="shared" si="68"/>
        <v>1329.4989718749998</v>
      </c>
      <c r="G112" s="396">
        <v>5250.71</v>
      </c>
      <c r="H112" s="114">
        <f t="shared" si="76"/>
        <v>0.65633874999999997</v>
      </c>
      <c r="I112" s="399">
        <v>8996</v>
      </c>
      <c r="J112" s="114">
        <f t="shared" si="77"/>
        <v>1.1245000000000001</v>
      </c>
      <c r="K112" s="396">
        <v>75352.59</v>
      </c>
      <c r="L112" s="114">
        <f t="shared" si="78"/>
        <v>13.60532875</v>
      </c>
      <c r="M112" s="396">
        <v>3581.32</v>
      </c>
      <c r="N112" s="114">
        <f t="shared" si="79"/>
        <v>0.24870277777777783</v>
      </c>
      <c r="O112" s="396">
        <v>92852.69</v>
      </c>
      <c r="P112" s="114">
        <f t="shared" si="80"/>
        <v>16.765069027777777</v>
      </c>
      <c r="Q112" s="396">
        <v>7012779.8900000006</v>
      </c>
      <c r="R112" s="398">
        <f t="shared" si="81"/>
        <v>1558.3955311111113</v>
      </c>
    </row>
    <row r="113" spans="2:18" x14ac:dyDescent="0.3">
      <c r="B113" s="393">
        <f t="shared" si="75"/>
        <v>45583</v>
      </c>
      <c r="C113" s="396">
        <v>260749.14000000013</v>
      </c>
      <c r="D113" s="114">
        <f t="shared" si="34"/>
        <v>54.322737500000031</v>
      </c>
      <c r="E113" s="399">
        <v>6381595.0649999995</v>
      </c>
      <c r="F113" s="114">
        <f t="shared" si="68"/>
        <v>1329.4989718749998</v>
      </c>
      <c r="G113" s="396">
        <v>5250.71</v>
      </c>
      <c r="H113" s="114">
        <f t="shared" si="76"/>
        <v>0.65633874999999997</v>
      </c>
      <c r="I113" s="399">
        <v>8996</v>
      </c>
      <c r="J113" s="114">
        <f t="shared" si="77"/>
        <v>1.1245000000000001</v>
      </c>
      <c r="K113" s="396">
        <v>75352.59</v>
      </c>
      <c r="L113" s="114">
        <f t="shared" si="78"/>
        <v>13.60532875</v>
      </c>
      <c r="M113" s="396">
        <v>3581.32</v>
      </c>
      <c r="N113" s="114">
        <f t="shared" si="79"/>
        <v>0.24870277777777783</v>
      </c>
      <c r="O113" s="396">
        <v>92852.69</v>
      </c>
      <c r="P113" s="114">
        <f t="shared" si="80"/>
        <v>16.765069027777777</v>
      </c>
      <c r="Q113" s="396">
        <v>7012779.8900000006</v>
      </c>
      <c r="R113" s="398">
        <f t="shared" si="81"/>
        <v>1558.3955311111113</v>
      </c>
    </row>
    <row r="114" spans="2:18" x14ac:dyDescent="0.3">
      <c r="B114" s="393">
        <f t="shared" si="75"/>
        <v>45584</v>
      </c>
      <c r="C114" s="396">
        <v>260749.14000000013</v>
      </c>
      <c r="D114" s="114">
        <f t="shared" si="34"/>
        <v>54.322737500000031</v>
      </c>
      <c r="E114" s="399">
        <v>6381595.0649999995</v>
      </c>
      <c r="F114" s="114">
        <f t="shared" si="68"/>
        <v>1329.4989718749998</v>
      </c>
      <c r="G114" s="396">
        <v>5250.71</v>
      </c>
      <c r="H114" s="114">
        <f>(G114*4.5%)/360</f>
        <v>0.65633874999999997</v>
      </c>
      <c r="I114" s="399">
        <v>8996</v>
      </c>
      <c r="J114" s="114">
        <f>(I114*4.5%)/360</f>
        <v>1.1245000000000001</v>
      </c>
      <c r="K114" s="396">
        <v>75352.59</v>
      </c>
      <c r="L114" s="114">
        <f>(K114*6.5%)/360</f>
        <v>13.60532875</v>
      </c>
      <c r="M114" s="396">
        <v>3581.32</v>
      </c>
      <c r="N114" s="114">
        <f>(M114*2.5%)/360</f>
        <v>0.24870277777777783</v>
      </c>
      <c r="O114" s="396">
        <v>92852.69</v>
      </c>
      <c r="P114" s="114">
        <f>(O114*6.5%)/360</f>
        <v>16.765069027777777</v>
      </c>
      <c r="Q114" s="396">
        <v>4012779.89</v>
      </c>
      <c r="R114" s="398">
        <f>(Q114*8%)/360</f>
        <v>891.72886444444453</v>
      </c>
    </row>
    <row r="115" spans="2:18" x14ac:dyDescent="0.3">
      <c r="B115" s="393">
        <f t="shared" si="75"/>
        <v>45585</v>
      </c>
      <c r="C115" s="396">
        <v>260649.14</v>
      </c>
      <c r="D115" s="114">
        <f t="shared" si="34"/>
        <v>54.301904166666667</v>
      </c>
      <c r="E115" s="399">
        <v>6957166.75</v>
      </c>
      <c r="F115" s="114">
        <f t="shared" si="68"/>
        <v>1449.4097395833332</v>
      </c>
      <c r="G115" s="396">
        <v>5250.71</v>
      </c>
      <c r="H115" s="114">
        <f t="shared" ref="H115:H128" si="82">(G115*4.5%)/360</f>
        <v>0.65633874999999997</v>
      </c>
      <c r="I115" s="399">
        <v>8996</v>
      </c>
      <c r="J115" s="114">
        <f t="shared" ref="J115:J128" si="83">(I115*4.5%)/360</f>
        <v>1.1245000000000001</v>
      </c>
      <c r="K115" s="396">
        <v>75352.59</v>
      </c>
      <c r="L115" s="114">
        <f t="shared" ref="L115:L121" si="84">(K115*6.5%)/360</f>
        <v>13.60532875</v>
      </c>
      <c r="M115" s="396">
        <v>3581.32</v>
      </c>
      <c r="N115" s="114">
        <f t="shared" ref="N115:N121" si="85">(M115*2.5%)/360</f>
        <v>0.24870277777777783</v>
      </c>
      <c r="O115" s="396">
        <v>92852.69</v>
      </c>
      <c r="P115" s="114">
        <f t="shared" ref="P115:P121" si="86">(O115*6.5%)/360</f>
        <v>16.765069027777777</v>
      </c>
      <c r="Q115" s="396">
        <v>4012779.89</v>
      </c>
      <c r="R115" s="398">
        <f t="shared" ref="R115:R121" si="87">(Q115*8%)/360</f>
        <v>891.72886444444453</v>
      </c>
    </row>
    <row r="116" spans="2:18" x14ac:dyDescent="0.3">
      <c r="B116" s="393">
        <f t="shared" si="75"/>
        <v>45586</v>
      </c>
      <c r="C116" s="396">
        <v>181391.34</v>
      </c>
      <c r="D116" s="114">
        <f t="shared" si="34"/>
        <v>37.789862499999998</v>
      </c>
      <c r="E116" s="399">
        <v>4457166.75</v>
      </c>
      <c r="F116" s="114">
        <f t="shared" si="68"/>
        <v>928.57640624999999</v>
      </c>
      <c r="G116" s="396">
        <v>5250.71</v>
      </c>
      <c r="H116" s="114">
        <f t="shared" si="82"/>
        <v>0.65633874999999997</v>
      </c>
      <c r="I116" s="399">
        <v>8996</v>
      </c>
      <c r="J116" s="114">
        <f t="shared" si="83"/>
        <v>1.1245000000000001</v>
      </c>
      <c r="K116" s="396">
        <v>75352.59</v>
      </c>
      <c r="L116" s="114">
        <f t="shared" si="84"/>
        <v>13.60532875</v>
      </c>
      <c r="M116" s="396">
        <v>3581.32</v>
      </c>
      <c r="N116" s="114">
        <f t="shared" si="85"/>
        <v>0.24870277777777783</v>
      </c>
      <c r="O116" s="396">
        <v>92852.69</v>
      </c>
      <c r="P116" s="114">
        <f t="shared" si="86"/>
        <v>16.765069027777777</v>
      </c>
      <c r="Q116" s="396">
        <v>4012779.89</v>
      </c>
      <c r="R116" s="398">
        <f t="shared" si="87"/>
        <v>891.72886444444453</v>
      </c>
    </row>
    <row r="117" spans="2:18" x14ac:dyDescent="0.3">
      <c r="B117" s="393">
        <f t="shared" si="75"/>
        <v>45587</v>
      </c>
      <c r="C117" s="396">
        <v>181391.34</v>
      </c>
      <c r="D117" s="114">
        <f t="shared" si="34"/>
        <v>37.789862499999998</v>
      </c>
      <c r="E117" s="399">
        <v>4761228.45</v>
      </c>
      <c r="F117" s="114">
        <f t="shared" si="68"/>
        <v>991.92259374999992</v>
      </c>
      <c r="G117" s="396">
        <v>5250.71</v>
      </c>
      <c r="H117" s="114">
        <f t="shared" si="82"/>
        <v>0.65633874999999997</v>
      </c>
      <c r="I117" s="399">
        <v>8996</v>
      </c>
      <c r="J117" s="114">
        <f t="shared" si="83"/>
        <v>1.1245000000000001</v>
      </c>
      <c r="K117" s="396">
        <v>75352.59</v>
      </c>
      <c r="L117" s="114">
        <f t="shared" si="84"/>
        <v>13.60532875</v>
      </c>
      <c r="M117" s="396">
        <v>3581.32</v>
      </c>
      <c r="N117" s="114">
        <f t="shared" si="85"/>
        <v>0.24870277777777783</v>
      </c>
      <c r="O117" s="396">
        <v>92852.69</v>
      </c>
      <c r="P117" s="114">
        <f t="shared" si="86"/>
        <v>16.765069027777777</v>
      </c>
      <c r="Q117" s="396">
        <v>4012779.89</v>
      </c>
      <c r="R117" s="398">
        <f t="shared" si="87"/>
        <v>891.72886444444453</v>
      </c>
    </row>
    <row r="118" spans="2:18" x14ac:dyDescent="0.3">
      <c r="B118" s="393">
        <f t="shared" si="75"/>
        <v>45588</v>
      </c>
      <c r="C118" s="396">
        <v>181391.34</v>
      </c>
      <c r="D118" s="114">
        <f t="shared" si="34"/>
        <v>37.789862499999998</v>
      </c>
      <c r="E118" s="399">
        <v>3782386.93</v>
      </c>
      <c r="F118" s="114">
        <f t="shared" si="68"/>
        <v>787.9972770833333</v>
      </c>
      <c r="G118" s="396">
        <v>5250.71</v>
      </c>
      <c r="H118" s="114">
        <f t="shared" si="82"/>
        <v>0.65633874999999997</v>
      </c>
      <c r="I118" s="399">
        <v>8996</v>
      </c>
      <c r="J118" s="114">
        <f t="shared" si="83"/>
        <v>1.1245000000000001</v>
      </c>
      <c r="K118" s="396">
        <v>75352.59</v>
      </c>
      <c r="L118" s="114">
        <f t="shared" si="84"/>
        <v>13.60532875</v>
      </c>
      <c r="M118" s="396">
        <v>3581.32</v>
      </c>
      <c r="N118" s="114">
        <f t="shared" si="85"/>
        <v>0.24870277777777783</v>
      </c>
      <c r="O118" s="396">
        <v>92852.69</v>
      </c>
      <c r="P118" s="114">
        <f t="shared" si="86"/>
        <v>16.765069027777777</v>
      </c>
      <c r="Q118" s="396">
        <v>4012779.89</v>
      </c>
      <c r="R118" s="398">
        <f t="shared" si="87"/>
        <v>891.72886444444453</v>
      </c>
    </row>
    <row r="119" spans="2:18" x14ac:dyDescent="0.3">
      <c r="B119" s="393">
        <f t="shared" si="75"/>
        <v>45589</v>
      </c>
      <c r="C119" s="396">
        <v>181391.34</v>
      </c>
      <c r="D119" s="114">
        <f t="shared" si="34"/>
        <v>37.789862499999998</v>
      </c>
      <c r="E119" s="399">
        <v>3782386.93</v>
      </c>
      <c r="F119" s="114">
        <f t="shared" si="68"/>
        <v>787.9972770833333</v>
      </c>
      <c r="G119" s="396">
        <v>5250.71</v>
      </c>
      <c r="H119" s="114">
        <f t="shared" si="82"/>
        <v>0.65633874999999997</v>
      </c>
      <c r="I119" s="399">
        <v>8996</v>
      </c>
      <c r="J119" s="114">
        <f t="shared" si="83"/>
        <v>1.1245000000000001</v>
      </c>
      <c r="K119" s="396">
        <v>75352.59</v>
      </c>
      <c r="L119" s="114">
        <f t="shared" si="84"/>
        <v>13.60532875</v>
      </c>
      <c r="M119" s="396">
        <v>3581.32</v>
      </c>
      <c r="N119" s="114">
        <f t="shared" si="85"/>
        <v>0.24870277777777783</v>
      </c>
      <c r="O119" s="396">
        <v>92852.69</v>
      </c>
      <c r="P119" s="114">
        <f t="shared" si="86"/>
        <v>16.765069027777777</v>
      </c>
      <c r="Q119" s="396">
        <v>4012779.89</v>
      </c>
      <c r="R119" s="398">
        <f t="shared" si="87"/>
        <v>891.72886444444453</v>
      </c>
    </row>
    <row r="120" spans="2:18" x14ac:dyDescent="0.3">
      <c r="B120" s="393">
        <f t="shared" si="75"/>
        <v>45590</v>
      </c>
      <c r="C120" s="396">
        <v>181391.34</v>
      </c>
      <c r="D120" s="114">
        <f t="shared" si="34"/>
        <v>37.789862499999998</v>
      </c>
      <c r="E120" s="399">
        <v>3782386.93</v>
      </c>
      <c r="F120" s="114">
        <f t="shared" si="68"/>
        <v>787.9972770833333</v>
      </c>
      <c r="G120" s="396">
        <v>5250.71</v>
      </c>
      <c r="H120" s="114">
        <f t="shared" si="82"/>
        <v>0.65633874999999997</v>
      </c>
      <c r="I120" s="399">
        <v>8996</v>
      </c>
      <c r="J120" s="114">
        <f t="shared" si="83"/>
        <v>1.1245000000000001</v>
      </c>
      <c r="K120" s="396">
        <v>75352.59</v>
      </c>
      <c r="L120" s="114">
        <f t="shared" si="84"/>
        <v>13.60532875</v>
      </c>
      <c r="M120" s="396">
        <v>3581.32</v>
      </c>
      <c r="N120" s="114">
        <f t="shared" si="85"/>
        <v>0.24870277777777783</v>
      </c>
      <c r="O120" s="396">
        <v>92852.69</v>
      </c>
      <c r="P120" s="114">
        <f t="shared" si="86"/>
        <v>16.765069027777777</v>
      </c>
      <c r="Q120" s="396">
        <v>4012779.89</v>
      </c>
      <c r="R120" s="398">
        <f t="shared" si="87"/>
        <v>891.72886444444453</v>
      </c>
    </row>
    <row r="121" spans="2:18" x14ac:dyDescent="0.3">
      <c r="B121" s="393">
        <f t="shared" si="75"/>
        <v>45591</v>
      </c>
      <c r="C121" s="396">
        <v>181391.34</v>
      </c>
      <c r="D121" s="114">
        <f t="shared" si="34"/>
        <v>37.789862499999998</v>
      </c>
      <c r="E121" s="399">
        <v>3782386.93</v>
      </c>
      <c r="F121" s="114">
        <f t="shared" si="68"/>
        <v>787.9972770833333</v>
      </c>
      <c r="G121" s="396">
        <v>5250.71</v>
      </c>
      <c r="H121" s="114">
        <f t="shared" si="82"/>
        <v>0.65633874999999997</v>
      </c>
      <c r="I121" s="399">
        <v>8996</v>
      </c>
      <c r="J121" s="114">
        <f t="shared" si="83"/>
        <v>1.1245000000000001</v>
      </c>
      <c r="K121" s="396">
        <v>75352.59</v>
      </c>
      <c r="L121" s="114">
        <f t="shared" si="84"/>
        <v>13.60532875</v>
      </c>
      <c r="M121" s="396">
        <v>3581.32</v>
      </c>
      <c r="N121" s="114">
        <f t="shared" si="85"/>
        <v>0.24870277777777783</v>
      </c>
      <c r="O121" s="396">
        <v>92852.69</v>
      </c>
      <c r="P121" s="114">
        <f t="shared" si="86"/>
        <v>16.765069027777777</v>
      </c>
      <c r="Q121" s="396">
        <v>4012779.89</v>
      </c>
      <c r="R121" s="398">
        <f t="shared" si="87"/>
        <v>891.72886444444453</v>
      </c>
    </row>
    <row r="122" spans="2:18" x14ac:dyDescent="0.3">
      <c r="B122" s="393">
        <f t="shared" si="75"/>
        <v>45592</v>
      </c>
      <c r="C122" s="396">
        <v>1391.34</v>
      </c>
      <c r="D122" s="114">
        <f t="shared" si="34"/>
        <v>0.28986249999999997</v>
      </c>
      <c r="E122" s="399">
        <v>62286.93</v>
      </c>
      <c r="F122" s="114">
        <f t="shared" si="68"/>
        <v>12.976443749999998</v>
      </c>
      <c r="G122" s="396">
        <v>24250.71</v>
      </c>
      <c r="H122" s="114">
        <f t="shared" si="82"/>
        <v>3.0313387499999993</v>
      </c>
      <c r="I122" s="399">
        <v>8996</v>
      </c>
      <c r="J122" s="114">
        <f t="shared" si="83"/>
        <v>1.1245000000000001</v>
      </c>
      <c r="K122" s="396">
        <v>75352.59</v>
      </c>
      <c r="L122" s="114">
        <f t="shared" ref="L122:L128" si="88">(K122*6.5%)/360</f>
        <v>13.60532875</v>
      </c>
      <c r="M122" s="396">
        <v>3581.32</v>
      </c>
      <c r="N122" s="114">
        <f t="shared" ref="N122:N128" si="89">(M122*2.5%)/360</f>
        <v>0.24870277777777783</v>
      </c>
      <c r="O122" s="396">
        <v>92852.69</v>
      </c>
      <c r="P122" s="114">
        <f t="shared" ref="P122:P128" si="90">(O122*6.5%)/360</f>
        <v>16.765069027777777</v>
      </c>
      <c r="Q122" s="396">
        <v>4012779.89</v>
      </c>
      <c r="R122" s="398">
        <f t="shared" ref="R122:R128" si="91">(Q122*8%)/360</f>
        <v>891.72886444444453</v>
      </c>
    </row>
    <row r="123" spans="2:18" x14ac:dyDescent="0.3">
      <c r="B123" s="393">
        <f t="shared" si="75"/>
        <v>45593</v>
      </c>
      <c r="C123" s="396">
        <v>1391.34</v>
      </c>
      <c r="D123" s="114">
        <f t="shared" si="34"/>
        <v>0.28986249999999997</v>
      </c>
      <c r="E123" s="399">
        <v>2393645.1800000002</v>
      </c>
      <c r="F123" s="114">
        <f t="shared" si="68"/>
        <v>498.67607916666668</v>
      </c>
      <c r="G123" s="396">
        <v>24250.71</v>
      </c>
      <c r="H123" s="114">
        <f t="shared" si="82"/>
        <v>3.0313387499999993</v>
      </c>
      <c r="I123" s="399">
        <v>121486</v>
      </c>
      <c r="J123" s="114">
        <f t="shared" si="83"/>
        <v>15.185750000000001</v>
      </c>
      <c r="K123" s="396">
        <v>75352.59</v>
      </c>
      <c r="L123" s="114">
        <f t="shared" si="88"/>
        <v>13.60532875</v>
      </c>
      <c r="M123" s="396">
        <v>3581.32</v>
      </c>
      <c r="N123" s="114">
        <f t="shared" si="89"/>
        <v>0.24870277777777783</v>
      </c>
      <c r="O123" s="396">
        <v>92852.69</v>
      </c>
      <c r="P123" s="114">
        <f t="shared" si="90"/>
        <v>16.765069027777777</v>
      </c>
      <c r="Q123" s="396">
        <v>4012779.89</v>
      </c>
      <c r="R123" s="398">
        <f t="shared" si="91"/>
        <v>891.72886444444453</v>
      </c>
    </row>
    <row r="124" spans="2:18" x14ac:dyDescent="0.3">
      <c r="B124" s="393">
        <f t="shared" si="75"/>
        <v>45594</v>
      </c>
      <c r="C124" s="396">
        <v>1681391.34</v>
      </c>
      <c r="D124" s="114">
        <f t="shared" si="34"/>
        <v>350.28986250000003</v>
      </c>
      <c r="E124" s="399">
        <v>1057469.8799999999</v>
      </c>
      <c r="F124" s="114">
        <f t="shared" si="68"/>
        <v>220.30622499999998</v>
      </c>
      <c r="G124" s="396">
        <v>74250.710000000006</v>
      </c>
      <c r="H124" s="114">
        <f t="shared" si="82"/>
        <v>9.2813387499999997</v>
      </c>
      <c r="I124" s="399">
        <v>121486</v>
      </c>
      <c r="J124" s="114">
        <f t="shared" si="83"/>
        <v>15.185750000000001</v>
      </c>
      <c r="K124" s="396">
        <v>75352.59</v>
      </c>
      <c r="L124" s="114">
        <f t="shared" si="88"/>
        <v>13.60532875</v>
      </c>
      <c r="M124" s="396">
        <v>3581.32</v>
      </c>
      <c r="N124" s="114">
        <f t="shared" si="89"/>
        <v>0.24870277777777783</v>
      </c>
      <c r="O124" s="396">
        <v>92852.69</v>
      </c>
      <c r="P124" s="114">
        <f t="shared" si="90"/>
        <v>16.765069027777777</v>
      </c>
      <c r="Q124" s="396">
        <v>4012779.89</v>
      </c>
      <c r="R124" s="398">
        <f t="shared" si="91"/>
        <v>891.72886444444453</v>
      </c>
    </row>
    <row r="125" spans="2:18" x14ac:dyDescent="0.3">
      <c r="B125" s="393">
        <f t="shared" si="75"/>
        <v>45595</v>
      </c>
      <c r="C125" s="396">
        <v>1951391.34</v>
      </c>
      <c r="D125" s="114">
        <f t="shared" si="34"/>
        <v>406.53986250000003</v>
      </c>
      <c r="E125" s="399">
        <v>37369.879999999997</v>
      </c>
      <c r="F125" s="114">
        <f t="shared" si="68"/>
        <v>7.7853916666666656</v>
      </c>
      <c r="G125" s="396">
        <v>74250.710000000006</v>
      </c>
      <c r="H125" s="114">
        <f t="shared" si="82"/>
        <v>9.2813387499999997</v>
      </c>
      <c r="I125" s="399">
        <v>121486</v>
      </c>
      <c r="J125" s="114">
        <f t="shared" si="83"/>
        <v>15.185750000000001</v>
      </c>
      <c r="K125" s="396">
        <v>75352.59</v>
      </c>
      <c r="L125" s="114">
        <f t="shared" si="88"/>
        <v>13.60532875</v>
      </c>
      <c r="M125" s="396">
        <v>3581.32</v>
      </c>
      <c r="N125" s="114">
        <f t="shared" si="89"/>
        <v>0.24870277777777783</v>
      </c>
      <c r="O125" s="396">
        <v>92852.69</v>
      </c>
      <c r="P125" s="114">
        <f t="shared" si="90"/>
        <v>16.765069027777777</v>
      </c>
      <c r="Q125" s="396">
        <v>4012779.89</v>
      </c>
      <c r="R125" s="398">
        <f t="shared" si="91"/>
        <v>891.72886444444453</v>
      </c>
    </row>
    <row r="126" spans="2:18" x14ac:dyDescent="0.3">
      <c r="B126" s="393">
        <f t="shared" si="75"/>
        <v>45596</v>
      </c>
      <c r="C126" s="396">
        <v>3951391.34</v>
      </c>
      <c r="D126" s="114">
        <f t="shared" si="34"/>
        <v>823.20652916666666</v>
      </c>
      <c r="E126" s="399">
        <v>768541.48</v>
      </c>
      <c r="F126" s="114">
        <f t="shared" si="68"/>
        <v>160.11280833333333</v>
      </c>
      <c r="G126" s="396">
        <v>74250.710000000006</v>
      </c>
      <c r="H126" s="114">
        <f t="shared" si="82"/>
        <v>9.2813387499999997</v>
      </c>
      <c r="I126" s="399">
        <v>121486</v>
      </c>
      <c r="J126" s="114">
        <f t="shared" si="83"/>
        <v>15.185750000000001</v>
      </c>
      <c r="K126" s="396">
        <v>75352.59</v>
      </c>
      <c r="L126" s="114">
        <f t="shared" si="88"/>
        <v>13.60532875</v>
      </c>
      <c r="M126" s="396">
        <v>3581.32</v>
      </c>
      <c r="N126" s="114">
        <f t="shared" si="89"/>
        <v>0.24870277777777783</v>
      </c>
      <c r="O126" s="396">
        <v>92852.69</v>
      </c>
      <c r="P126" s="114">
        <f t="shared" si="90"/>
        <v>16.765069027777777</v>
      </c>
      <c r="Q126" s="396">
        <v>4012779.89</v>
      </c>
      <c r="R126" s="398">
        <f t="shared" si="91"/>
        <v>891.72886444444453</v>
      </c>
    </row>
    <row r="127" spans="2:18" x14ac:dyDescent="0.3">
      <c r="B127" s="393">
        <f t="shared" si="75"/>
        <v>45597</v>
      </c>
      <c r="C127" s="396">
        <v>3951391.34</v>
      </c>
      <c r="D127" s="114">
        <f t="shared" si="34"/>
        <v>823.20652916666666</v>
      </c>
      <c r="E127" s="399">
        <v>768541.48</v>
      </c>
      <c r="F127" s="114">
        <f t="shared" si="68"/>
        <v>160.11280833333333</v>
      </c>
      <c r="G127" s="396">
        <v>74250.710000000006</v>
      </c>
      <c r="H127" s="114">
        <f t="shared" si="82"/>
        <v>9.2813387499999997</v>
      </c>
      <c r="I127" s="399">
        <v>121486</v>
      </c>
      <c r="J127" s="114">
        <f t="shared" si="83"/>
        <v>15.185750000000001</v>
      </c>
      <c r="K127" s="396">
        <v>75352.59</v>
      </c>
      <c r="L127" s="114">
        <f t="shared" si="88"/>
        <v>13.60532875</v>
      </c>
      <c r="M127" s="396">
        <v>3581.32</v>
      </c>
      <c r="N127" s="114">
        <f t="shared" si="89"/>
        <v>0.24870277777777783</v>
      </c>
      <c r="O127" s="396">
        <v>92852.69</v>
      </c>
      <c r="P127" s="114">
        <f t="shared" si="90"/>
        <v>16.765069027777777</v>
      </c>
      <c r="Q127" s="396">
        <v>4012779.89</v>
      </c>
      <c r="R127" s="398">
        <f t="shared" si="91"/>
        <v>891.72886444444453</v>
      </c>
    </row>
    <row r="128" spans="2:18" x14ac:dyDescent="0.3">
      <c r="B128" s="393">
        <f t="shared" si="75"/>
        <v>45598</v>
      </c>
      <c r="C128" s="396">
        <v>3951391.34</v>
      </c>
      <c r="D128" s="114">
        <f t="shared" si="34"/>
        <v>823.20652916666666</v>
      </c>
      <c r="E128" s="399">
        <v>768541.48</v>
      </c>
      <c r="F128" s="114">
        <f t="shared" si="68"/>
        <v>160.11280833333333</v>
      </c>
      <c r="G128" s="396">
        <v>74250.710000000006</v>
      </c>
      <c r="H128" s="114">
        <f t="shared" si="82"/>
        <v>9.2813387499999997</v>
      </c>
      <c r="I128" s="399">
        <v>121486</v>
      </c>
      <c r="J128" s="114">
        <f t="shared" si="83"/>
        <v>15.185750000000001</v>
      </c>
      <c r="K128" s="396">
        <v>75352.59</v>
      </c>
      <c r="L128" s="114">
        <f t="shared" si="88"/>
        <v>13.60532875</v>
      </c>
      <c r="M128" s="396">
        <v>3581.32</v>
      </c>
      <c r="N128" s="114">
        <f t="shared" si="89"/>
        <v>0.24870277777777783</v>
      </c>
      <c r="O128" s="396">
        <v>92852.69</v>
      </c>
      <c r="P128" s="114">
        <f t="shared" si="90"/>
        <v>16.765069027777777</v>
      </c>
      <c r="Q128" s="396">
        <v>4012779.89</v>
      </c>
      <c r="R128" s="398">
        <f t="shared" si="91"/>
        <v>891.72886444444453</v>
      </c>
    </row>
    <row r="129" spans="2:18" x14ac:dyDescent="0.3">
      <c r="B129" s="393">
        <f t="shared" si="75"/>
        <v>45599</v>
      </c>
      <c r="C129" s="396">
        <v>1351391.34</v>
      </c>
      <c r="D129" s="114">
        <f t="shared" si="34"/>
        <v>281.53986250000003</v>
      </c>
      <c r="E129" s="399">
        <v>1030841.36</v>
      </c>
      <c r="F129" s="114">
        <f t="shared" si="68"/>
        <v>214.75861666666665</v>
      </c>
      <c r="G129" s="396">
        <v>74250.710000000006</v>
      </c>
      <c r="H129" s="114">
        <f t="shared" ref="H129:H135" si="92">(G129*4.5%)/360</f>
        <v>9.2813387499999997</v>
      </c>
      <c r="I129" s="399">
        <v>121486</v>
      </c>
      <c r="J129" s="114">
        <f t="shared" ref="J129:J135" si="93">(I129*4.5%)/360</f>
        <v>15.185750000000001</v>
      </c>
      <c r="K129" s="396">
        <v>75352.59</v>
      </c>
      <c r="L129" s="114">
        <f t="shared" ref="L129:L135" si="94">(K129*6.5%)/360</f>
        <v>13.60532875</v>
      </c>
      <c r="M129" s="396">
        <v>3581.32</v>
      </c>
      <c r="N129" s="114">
        <f t="shared" ref="N129:N135" si="95">(M129*2.5%)/360</f>
        <v>0.24870277777777783</v>
      </c>
      <c r="O129" s="396">
        <v>92852.69</v>
      </c>
      <c r="P129" s="114">
        <f t="shared" ref="P129:P135" si="96">(O129*6.5%)/360</f>
        <v>16.765069027777777</v>
      </c>
      <c r="Q129" s="396">
        <v>4012779.89</v>
      </c>
      <c r="R129" s="398">
        <f t="shared" ref="R129:R135" si="97">(Q129*8%)/360</f>
        <v>891.72886444444453</v>
      </c>
    </row>
    <row r="130" spans="2:18" x14ac:dyDescent="0.3">
      <c r="B130" s="393">
        <f t="shared" si="75"/>
        <v>45600</v>
      </c>
      <c r="C130" s="396">
        <v>851391.34</v>
      </c>
      <c r="D130" s="114">
        <f t="shared" ref="D130:D184" si="98">(C130*7.5%)/360</f>
        <v>177.37319583333331</v>
      </c>
      <c r="E130" s="399">
        <v>679849.42</v>
      </c>
      <c r="F130" s="114">
        <f t="shared" si="68"/>
        <v>141.63529583333334</v>
      </c>
      <c r="G130" s="396">
        <v>74250.710000000006</v>
      </c>
      <c r="H130" s="114">
        <f t="shared" si="92"/>
        <v>9.2813387499999997</v>
      </c>
      <c r="I130" s="399">
        <v>121486</v>
      </c>
      <c r="J130" s="114">
        <f t="shared" si="93"/>
        <v>15.185750000000001</v>
      </c>
      <c r="K130" s="396">
        <v>75352.59</v>
      </c>
      <c r="L130" s="114">
        <f t="shared" si="94"/>
        <v>13.60532875</v>
      </c>
      <c r="M130" s="396">
        <v>3581.32</v>
      </c>
      <c r="N130" s="114">
        <f t="shared" si="95"/>
        <v>0.24870277777777783</v>
      </c>
      <c r="O130" s="396">
        <v>92852.69</v>
      </c>
      <c r="P130" s="114">
        <f t="shared" si="96"/>
        <v>16.765069027777777</v>
      </c>
      <c r="Q130" s="396">
        <v>4012779.89</v>
      </c>
      <c r="R130" s="398">
        <f t="shared" si="97"/>
        <v>891.72886444444453</v>
      </c>
    </row>
    <row r="131" spans="2:18" x14ac:dyDescent="0.3">
      <c r="B131" s="393">
        <f t="shared" si="75"/>
        <v>45601</v>
      </c>
      <c r="C131" s="396">
        <v>851391.34</v>
      </c>
      <c r="D131" s="114">
        <f t="shared" si="98"/>
        <v>177.37319583333331</v>
      </c>
      <c r="E131" s="399">
        <v>2596451.37</v>
      </c>
      <c r="F131" s="114">
        <f t="shared" si="68"/>
        <v>540.92736875000003</v>
      </c>
      <c r="G131" s="396">
        <v>74250.710000000006</v>
      </c>
      <c r="H131" s="114">
        <f t="shared" si="92"/>
        <v>9.2813387499999997</v>
      </c>
      <c r="I131" s="399">
        <v>121486</v>
      </c>
      <c r="J131" s="114">
        <f t="shared" si="93"/>
        <v>15.185750000000001</v>
      </c>
      <c r="K131" s="396">
        <v>75352.59</v>
      </c>
      <c r="L131" s="114">
        <f t="shared" si="94"/>
        <v>13.60532875</v>
      </c>
      <c r="M131" s="396">
        <v>3581.32</v>
      </c>
      <c r="N131" s="114">
        <f t="shared" si="95"/>
        <v>0.24870277777777783</v>
      </c>
      <c r="O131" s="396">
        <v>92852.69</v>
      </c>
      <c r="P131" s="114">
        <f t="shared" si="96"/>
        <v>16.765069027777777</v>
      </c>
      <c r="Q131" s="396">
        <v>4012779.89</v>
      </c>
      <c r="R131" s="398">
        <f t="shared" si="97"/>
        <v>891.72886444444453</v>
      </c>
    </row>
    <row r="132" spans="2:18" x14ac:dyDescent="0.3">
      <c r="B132" s="393">
        <f t="shared" si="75"/>
        <v>45602</v>
      </c>
      <c r="C132" s="396">
        <v>851391.34</v>
      </c>
      <c r="D132" s="114">
        <f t="shared" si="98"/>
        <v>177.37319583333331</v>
      </c>
      <c r="E132" s="399">
        <v>2596451.37</v>
      </c>
      <c r="F132" s="114">
        <f t="shared" si="68"/>
        <v>540.92736875000003</v>
      </c>
      <c r="G132" s="396">
        <v>74250.710000000006</v>
      </c>
      <c r="H132" s="114">
        <f t="shared" si="92"/>
        <v>9.2813387499999997</v>
      </c>
      <c r="I132" s="399">
        <v>121486</v>
      </c>
      <c r="J132" s="114">
        <f t="shared" si="93"/>
        <v>15.185750000000001</v>
      </c>
      <c r="K132" s="396">
        <v>75352.59</v>
      </c>
      <c r="L132" s="114">
        <f t="shared" si="94"/>
        <v>13.60532875</v>
      </c>
      <c r="M132" s="396">
        <v>3581.32</v>
      </c>
      <c r="N132" s="114">
        <f t="shared" si="95"/>
        <v>0.24870277777777783</v>
      </c>
      <c r="O132" s="396">
        <v>92852.69</v>
      </c>
      <c r="P132" s="114">
        <f t="shared" si="96"/>
        <v>16.765069027777777</v>
      </c>
      <c r="Q132" s="396">
        <v>4012779.89</v>
      </c>
      <c r="R132" s="398">
        <f t="shared" si="97"/>
        <v>891.72886444444453</v>
      </c>
    </row>
    <row r="133" spans="2:18" x14ac:dyDescent="0.3">
      <c r="B133" s="393">
        <f t="shared" si="75"/>
        <v>45603</v>
      </c>
      <c r="C133" s="396">
        <v>1391.34</v>
      </c>
      <c r="D133" s="114">
        <f t="shared" si="98"/>
        <v>0.28986249999999997</v>
      </c>
      <c r="E133" s="399">
        <v>742615.09</v>
      </c>
      <c r="F133" s="114">
        <f t="shared" si="68"/>
        <v>154.71147708333331</v>
      </c>
      <c r="G133" s="396">
        <v>74250.710000000006</v>
      </c>
      <c r="H133" s="114">
        <f t="shared" si="92"/>
        <v>9.2813387499999997</v>
      </c>
      <c r="I133" s="399">
        <v>121486</v>
      </c>
      <c r="J133" s="114">
        <f t="shared" si="93"/>
        <v>15.185750000000001</v>
      </c>
      <c r="K133" s="396">
        <v>75352.59</v>
      </c>
      <c r="L133" s="114">
        <f t="shared" si="94"/>
        <v>13.60532875</v>
      </c>
      <c r="M133" s="396">
        <v>3581.32</v>
      </c>
      <c r="N133" s="114">
        <f t="shared" si="95"/>
        <v>0.24870277777777783</v>
      </c>
      <c r="O133" s="396">
        <v>92852.69</v>
      </c>
      <c r="P133" s="114">
        <f t="shared" si="96"/>
        <v>16.765069027777777</v>
      </c>
      <c r="Q133" s="396">
        <v>4012779.89</v>
      </c>
      <c r="R133" s="398">
        <f t="shared" si="97"/>
        <v>891.72886444444453</v>
      </c>
    </row>
    <row r="134" spans="2:18" x14ac:dyDescent="0.3">
      <c r="B134" s="393">
        <f t="shared" si="75"/>
        <v>45604</v>
      </c>
      <c r="C134" s="396">
        <v>1391.34</v>
      </c>
      <c r="D134" s="114">
        <f t="shared" si="98"/>
        <v>0.28986249999999997</v>
      </c>
      <c r="E134" s="399">
        <v>742615.09</v>
      </c>
      <c r="F134" s="114">
        <f t="shared" si="68"/>
        <v>154.71147708333331</v>
      </c>
      <c r="G134" s="396">
        <v>74250.710000000006</v>
      </c>
      <c r="H134" s="114">
        <f t="shared" si="92"/>
        <v>9.2813387499999997</v>
      </c>
      <c r="I134" s="399">
        <v>121486</v>
      </c>
      <c r="J134" s="114">
        <f t="shared" si="93"/>
        <v>15.185750000000001</v>
      </c>
      <c r="K134" s="396">
        <v>75352.59</v>
      </c>
      <c r="L134" s="114">
        <f t="shared" si="94"/>
        <v>13.60532875</v>
      </c>
      <c r="M134" s="396">
        <v>3581.32</v>
      </c>
      <c r="N134" s="114">
        <f t="shared" si="95"/>
        <v>0.24870277777777783</v>
      </c>
      <c r="O134" s="396">
        <v>92852.69</v>
      </c>
      <c r="P134" s="114">
        <f t="shared" si="96"/>
        <v>16.765069027777777</v>
      </c>
      <c r="Q134" s="396">
        <v>4012779.89</v>
      </c>
      <c r="R134" s="398">
        <f t="shared" si="97"/>
        <v>891.72886444444453</v>
      </c>
    </row>
    <row r="135" spans="2:18" x14ac:dyDescent="0.3">
      <c r="B135" s="393">
        <f t="shared" si="75"/>
        <v>45605</v>
      </c>
      <c r="C135" s="396">
        <v>1391.34</v>
      </c>
      <c r="D135" s="114">
        <f t="shared" si="98"/>
        <v>0.28986249999999997</v>
      </c>
      <c r="E135" s="399">
        <v>742615.09</v>
      </c>
      <c r="F135" s="114">
        <f t="shared" si="68"/>
        <v>154.71147708333331</v>
      </c>
      <c r="G135" s="396">
        <v>74250.710000000006</v>
      </c>
      <c r="H135" s="114">
        <f t="shared" si="92"/>
        <v>9.2813387499999997</v>
      </c>
      <c r="I135" s="399">
        <v>121486</v>
      </c>
      <c r="J135" s="114">
        <f t="shared" si="93"/>
        <v>15.185750000000001</v>
      </c>
      <c r="K135" s="396">
        <v>75352.59</v>
      </c>
      <c r="L135" s="114">
        <f t="shared" si="94"/>
        <v>13.60532875</v>
      </c>
      <c r="M135" s="396">
        <v>3581.32</v>
      </c>
      <c r="N135" s="114">
        <f t="shared" si="95"/>
        <v>0.24870277777777783</v>
      </c>
      <c r="O135" s="396">
        <v>92852.69</v>
      </c>
      <c r="P135" s="114">
        <f t="shared" si="96"/>
        <v>16.765069027777777</v>
      </c>
      <c r="Q135" s="396">
        <v>4012779.89</v>
      </c>
      <c r="R135" s="398">
        <f t="shared" si="97"/>
        <v>891.72886444444453</v>
      </c>
    </row>
    <row r="136" spans="2:18" x14ac:dyDescent="0.3">
      <c r="B136" s="393">
        <f t="shared" si="75"/>
        <v>45606</v>
      </c>
      <c r="C136" s="396">
        <v>1391.34</v>
      </c>
      <c r="D136" s="114">
        <f t="shared" si="98"/>
        <v>0.28986249999999997</v>
      </c>
      <c r="E136" s="399">
        <v>742615.09</v>
      </c>
      <c r="F136" s="114">
        <f t="shared" si="68"/>
        <v>154.71147708333331</v>
      </c>
      <c r="G136" s="396">
        <v>74250.710000000006</v>
      </c>
      <c r="H136" s="114">
        <f t="shared" ref="H136:H155" si="99">(G136*4.5%)/360</f>
        <v>9.2813387499999997</v>
      </c>
      <c r="I136" s="399">
        <v>121486</v>
      </c>
      <c r="J136" s="114">
        <f t="shared" ref="J136:J149" si="100">(I136*4.5%)/360</f>
        <v>15.185750000000001</v>
      </c>
      <c r="K136" s="396">
        <v>75352.59</v>
      </c>
      <c r="L136" s="114">
        <f t="shared" ref="L136:L142" si="101">(K136*6.5%)/360</f>
        <v>13.60532875</v>
      </c>
      <c r="M136" s="396">
        <v>3581.32</v>
      </c>
      <c r="N136" s="114">
        <f t="shared" ref="N136:N142" si="102">(M136*2.5%)/360</f>
        <v>0.24870277777777783</v>
      </c>
      <c r="O136" s="396">
        <v>92852.69</v>
      </c>
      <c r="P136" s="114">
        <f t="shared" ref="P136:P142" si="103">(O136*6.5%)/360</f>
        <v>16.765069027777777</v>
      </c>
      <c r="Q136" s="396">
        <v>1112779.8899999997</v>
      </c>
      <c r="R136" s="398">
        <f t="shared" ref="R136:R142" si="104">(Q136*8%)/360</f>
        <v>247.28441999999993</v>
      </c>
    </row>
    <row r="137" spans="2:18" x14ac:dyDescent="0.3">
      <c r="B137" s="393">
        <f t="shared" si="75"/>
        <v>45607</v>
      </c>
      <c r="C137" s="396">
        <v>80494.66</v>
      </c>
      <c r="D137" s="114">
        <f t="shared" si="98"/>
        <v>16.769720833333334</v>
      </c>
      <c r="E137" s="399">
        <v>442615.09</v>
      </c>
      <c r="F137" s="114">
        <f t="shared" si="68"/>
        <v>92.211477083333335</v>
      </c>
      <c r="G137" s="396">
        <v>74250.710000000006</v>
      </c>
      <c r="H137" s="114">
        <f t="shared" si="99"/>
        <v>9.2813387499999997</v>
      </c>
      <c r="I137" s="399">
        <v>121486</v>
      </c>
      <c r="J137" s="114">
        <f t="shared" si="100"/>
        <v>15.185750000000001</v>
      </c>
      <c r="K137" s="396">
        <v>75352.59</v>
      </c>
      <c r="L137" s="114">
        <f t="shared" si="101"/>
        <v>13.60532875</v>
      </c>
      <c r="M137" s="396">
        <v>3581.32</v>
      </c>
      <c r="N137" s="114">
        <f t="shared" si="102"/>
        <v>0.24870277777777783</v>
      </c>
      <c r="O137" s="396">
        <v>92852.69</v>
      </c>
      <c r="P137" s="114">
        <f t="shared" si="103"/>
        <v>16.765069027777777</v>
      </c>
      <c r="Q137" s="396">
        <v>1112779.8899999997</v>
      </c>
      <c r="R137" s="398">
        <f t="shared" si="104"/>
        <v>247.28441999999993</v>
      </c>
    </row>
    <row r="138" spans="2:18" x14ac:dyDescent="0.3">
      <c r="B138" s="393">
        <f t="shared" si="75"/>
        <v>45608</v>
      </c>
      <c r="C138" s="396">
        <v>80494.66</v>
      </c>
      <c r="D138" s="114">
        <f t="shared" si="98"/>
        <v>16.769720833333334</v>
      </c>
      <c r="E138" s="399">
        <v>9467968.0899999999</v>
      </c>
      <c r="F138" s="114">
        <f t="shared" si="68"/>
        <v>1972.4933520833331</v>
      </c>
      <c r="G138" s="396">
        <v>74250.710000000006</v>
      </c>
      <c r="H138" s="114">
        <f t="shared" si="99"/>
        <v>9.2813387499999997</v>
      </c>
      <c r="I138" s="399">
        <v>121486</v>
      </c>
      <c r="J138" s="114">
        <f t="shared" si="100"/>
        <v>15.185750000000001</v>
      </c>
      <c r="K138" s="396">
        <v>75352.59</v>
      </c>
      <c r="L138" s="114">
        <f t="shared" si="101"/>
        <v>13.60532875</v>
      </c>
      <c r="M138" s="396">
        <v>3581.32</v>
      </c>
      <c r="N138" s="114">
        <f t="shared" si="102"/>
        <v>0.24870277777777783</v>
      </c>
      <c r="O138" s="396">
        <v>92852.69</v>
      </c>
      <c r="P138" s="114">
        <f t="shared" si="103"/>
        <v>16.765069027777777</v>
      </c>
      <c r="Q138" s="396">
        <v>1112779.8899999997</v>
      </c>
      <c r="R138" s="398">
        <f t="shared" si="104"/>
        <v>247.28441999999993</v>
      </c>
    </row>
    <row r="139" spans="2:18" x14ac:dyDescent="0.3">
      <c r="B139" s="393">
        <f t="shared" si="75"/>
        <v>45609</v>
      </c>
      <c r="C139" s="396">
        <v>80494.66</v>
      </c>
      <c r="D139" s="114">
        <f t="shared" si="98"/>
        <v>16.769720833333334</v>
      </c>
      <c r="E139" s="399">
        <v>8507379.8200000003</v>
      </c>
      <c r="F139" s="114">
        <f t="shared" si="68"/>
        <v>1772.3707958333334</v>
      </c>
      <c r="G139" s="396">
        <v>74250.710000000006</v>
      </c>
      <c r="H139" s="114">
        <f t="shared" si="99"/>
        <v>9.2813387499999997</v>
      </c>
      <c r="I139" s="399">
        <v>121486</v>
      </c>
      <c r="J139" s="114">
        <f t="shared" si="100"/>
        <v>15.185750000000001</v>
      </c>
      <c r="K139" s="396">
        <v>75352.59</v>
      </c>
      <c r="L139" s="114">
        <f t="shared" si="101"/>
        <v>13.60532875</v>
      </c>
      <c r="M139" s="396">
        <v>3581.32</v>
      </c>
      <c r="N139" s="114">
        <f t="shared" si="102"/>
        <v>0.24870277777777783</v>
      </c>
      <c r="O139" s="396">
        <v>92852.69</v>
      </c>
      <c r="P139" s="114">
        <f t="shared" si="103"/>
        <v>16.765069027777777</v>
      </c>
      <c r="Q139" s="396">
        <v>1112779.8899999997</v>
      </c>
      <c r="R139" s="398">
        <f t="shared" si="104"/>
        <v>247.28441999999993</v>
      </c>
    </row>
    <row r="140" spans="2:18" x14ac:dyDescent="0.3">
      <c r="B140" s="393">
        <f t="shared" si="75"/>
        <v>45610</v>
      </c>
      <c r="C140" s="396">
        <v>11976.41</v>
      </c>
      <c r="D140" s="114">
        <f t="shared" si="98"/>
        <v>2.4950854166666665</v>
      </c>
      <c r="E140" s="399">
        <v>8507379.8200000003</v>
      </c>
      <c r="F140" s="114">
        <f t="shared" si="68"/>
        <v>1772.3707958333334</v>
      </c>
      <c r="G140" s="396">
        <v>74250.710000000006</v>
      </c>
      <c r="H140" s="114">
        <f t="shared" si="99"/>
        <v>9.2813387499999997</v>
      </c>
      <c r="I140" s="399">
        <v>121486</v>
      </c>
      <c r="J140" s="114">
        <f t="shared" si="100"/>
        <v>15.185750000000001</v>
      </c>
      <c r="K140" s="396">
        <v>75352.59</v>
      </c>
      <c r="L140" s="114">
        <f t="shared" si="101"/>
        <v>13.60532875</v>
      </c>
      <c r="M140" s="396">
        <v>3581.32</v>
      </c>
      <c r="N140" s="114">
        <f t="shared" si="102"/>
        <v>0.24870277777777783</v>
      </c>
      <c r="O140" s="396">
        <v>92852.69</v>
      </c>
      <c r="P140" s="114">
        <f t="shared" si="103"/>
        <v>16.765069027777777</v>
      </c>
      <c r="Q140" s="396">
        <v>1112779.8899999997</v>
      </c>
      <c r="R140" s="398">
        <f t="shared" si="104"/>
        <v>247.28441999999993</v>
      </c>
    </row>
    <row r="141" spans="2:18" x14ac:dyDescent="0.3">
      <c r="B141" s="393">
        <f t="shared" si="75"/>
        <v>45611</v>
      </c>
      <c r="C141" s="396">
        <v>11976.41</v>
      </c>
      <c r="D141" s="114">
        <f t="shared" si="98"/>
        <v>2.4950854166666665</v>
      </c>
      <c r="E141" s="399">
        <v>8507379.8200000003</v>
      </c>
      <c r="F141" s="114">
        <f t="shared" si="68"/>
        <v>1772.3707958333334</v>
      </c>
      <c r="G141" s="396">
        <v>74250.710000000006</v>
      </c>
      <c r="H141" s="114">
        <f t="shared" si="99"/>
        <v>9.2813387499999997</v>
      </c>
      <c r="I141" s="399">
        <v>121486</v>
      </c>
      <c r="J141" s="114">
        <f t="shared" si="100"/>
        <v>15.185750000000001</v>
      </c>
      <c r="K141" s="396">
        <v>75352.59</v>
      </c>
      <c r="L141" s="114">
        <f t="shared" si="101"/>
        <v>13.60532875</v>
      </c>
      <c r="M141" s="396">
        <v>3581.32</v>
      </c>
      <c r="N141" s="114">
        <f t="shared" si="102"/>
        <v>0.24870277777777783</v>
      </c>
      <c r="O141" s="396">
        <v>92852.69</v>
      </c>
      <c r="P141" s="114">
        <f t="shared" si="103"/>
        <v>16.765069027777777</v>
      </c>
      <c r="Q141" s="396">
        <v>1112779.8899999997</v>
      </c>
      <c r="R141" s="398">
        <f t="shared" si="104"/>
        <v>247.28441999999993</v>
      </c>
    </row>
    <row r="142" spans="2:18" x14ac:dyDescent="0.3">
      <c r="B142" s="393">
        <f t="shared" si="75"/>
        <v>45612</v>
      </c>
      <c r="C142" s="396">
        <v>11976.41</v>
      </c>
      <c r="D142" s="114">
        <f t="shared" si="98"/>
        <v>2.4950854166666665</v>
      </c>
      <c r="E142" s="399">
        <v>8507379.8200000003</v>
      </c>
      <c r="F142" s="114">
        <f t="shared" si="68"/>
        <v>1772.3707958333334</v>
      </c>
      <c r="G142" s="396">
        <v>74250.710000000006</v>
      </c>
      <c r="H142" s="114">
        <f t="shared" si="99"/>
        <v>9.2813387499999997</v>
      </c>
      <c r="I142" s="399">
        <v>121486</v>
      </c>
      <c r="J142" s="114">
        <f t="shared" si="100"/>
        <v>15.185750000000001</v>
      </c>
      <c r="K142" s="396">
        <v>75352.59</v>
      </c>
      <c r="L142" s="114">
        <f t="shared" si="101"/>
        <v>13.60532875</v>
      </c>
      <c r="M142" s="396">
        <v>3581.32</v>
      </c>
      <c r="N142" s="114">
        <f t="shared" si="102"/>
        <v>0.24870277777777783</v>
      </c>
      <c r="O142" s="396">
        <v>92852.69</v>
      </c>
      <c r="P142" s="114">
        <f t="shared" si="103"/>
        <v>16.765069027777777</v>
      </c>
      <c r="Q142" s="396">
        <v>1112779.8899999997</v>
      </c>
      <c r="R142" s="398">
        <f t="shared" si="104"/>
        <v>247.28441999999993</v>
      </c>
    </row>
    <row r="143" spans="2:18" x14ac:dyDescent="0.3">
      <c r="B143" s="393">
        <f t="shared" si="75"/>
        <v>45613</v>
      </c>
      <c r="C143" s="396">
        <v>11976.41</v>
      </c>
      <c r="D143" s="114">
        <f t="shared" si="98"/>
        <v>2.4950854166666665</v>
      </c>
      <c r="E143" s="399">
        <v>8669472.7200000007</v>
      </c>
      <c r="F143" s="114">
        <f t="shared" si="68"/>
        <v>1806.1401500000002</v>
      </c>
      <c r="G143" s="396">
        <v>74250.710000000006</v>
      </c>
      <c r="H143" s="114">
        <f t="shared" si="99"/>
        <v>9.2813387499999997</v>
      </c>
      <c r="I143" s="399">
        <v>121486</v>
      </c>
      <c r="J143" s="114">
        <f t="shared" si="100"/>
        <v>15.185750000000001</v>
      </c>
      <c r="K143" s="396">
        <v>75352.59</v>
      </c>
      <c r="L143" s="114">
        <f t="shared" ref="L143:L149" si="105">(K143*6.5%)/360</f>
        <v>13.60532875</v>
      </c>
      <c r="M143" s="396">
        <v>3581.32</v>
      </c>
      <c r="N143" s="114">
        <f t="shared" ref="N143:N149" si="106">(M143*2.5%)/360</f>
        <v>0.24870277777777783</v>
      </c>
      <c r="O143" s="396">
        <v>92852.69</v>
      </c>
      <c r="P143" s="114">
        <f t="shared" ref="P143:P149" si="107">(O143*6.5%)/360</f>
        <v>16.765069027777777</v>
      </c>
      <c r="Q143" s="396">
        <v>1112779.8899999997</v>
      </c>
      <c r="R143" s="398">
        <f t="shared" ref="R143:R149" si="108">(Q143*8%)/360</f>
        <v>247.28441999999993</v>
      </c>
    </row>
    <row r="144" spans="2:18" x14ac:dyDescent="0.3">
      <c r="B144" s="393">
        <f t="shared" si="75"/>
        <v>45614</v>
      </c>
      <c r="C144" s="396">
        <v>11976.41</v>
      </c>
      <c r="D144" s="114">
        <f t="shared" si="98"/>
        <v>2.4950854166666665</v>
      </c>
      <c r="E144" s="399">
        <v>8669055.6699999999</v>
      </c>
      <c r="F144" s="114">
        <f t="shared" si="68"/>
        <v>1806.0532645833332</v>
      </c>
      <c r="G144" s="396">
        <v>74250.710000000006</v>
      </c>
      <c r="H144" s="114">
        <f t="shared" si="99"/>
        <v>9.2813387499999997</v>
      </c>
      <c r="I144" s="399">
        <v>121486</v>
      </c>
      <c r="J144" s="114">
        <f t="shared" si="100"/>
        <v>15.185750000000001</v>
      </c>
      <c r="K144" s="396">
        <v>75352.59</v>
      </c>
      <c r="L144" s="114">
        <f t="shared" si="105"/>
        <v>13.60532875</v>
      </c>
      <c r="M144" s="396">
        <v>3581.32</v>
      </c>
      <c r="N144" s="114">
        <f t="shared" si="106"/>
        <v>0.24870277777777783</v>
      </c>
      <c r="O144" s="396">
        <v>92852.69</v>
      </c>
      <c r="P144" s="114">
        <f t="shared" si="107"/>
        <v>16.765069027777777</v>
      </c>
      <c r="Q144" s="396">
        <v>1112779.8899999997</v>
      </c>
      <c r="R144" s="398">
        <f t="shared" si="108"/>
        <v>247.28441999999993</v>
      </c>
    </row>
    <row r="145" spans="2:18" x14ac:dyDescent="0.3">
      <c r="B145" s="393">
        <f t="shared" si="75"/>
        <v>45615</v>
      </c>
      <c r="C145" s="396">
        <v>11976.41</v>
      </c>
      <c r="D145" s="114">
        <f t="shared" si="98"/>
        <v>2.4950854166666665</v>
      </c>
      <c r="E145" s="399">
        <v>8667630.6699999999</v>
      </c>
      <c r="F145" s="114">
        <f t="shared" si="68"/>
        <v>1805.7563895833332</v>
      </c>
      <c r="G145" s="396">
        <v>74250.710000000006</v>
      </c>
      <c r="H145" s="114">
        <f t="shared" si="99"/>
        <v>9.2813387499999997</v>
      </c>
      <c r="I145" s="399">
        <v>121486</v>
      </c>
      <c r="J145" s="114">
        <f t="shared" si="100"/>
        <v>15.185750000000001</v>
      </c>
      <c r="K145" s="396">
        <v>75352.59</v>
      </c>
      <c r="L145" s="114">
        <f t="shared" si="105"/>
        <v>13.60532875</v>
      </c>
      <c r="M145" s="396">
        <v>3581.32</v>
      </c>
      <c r="N145" s="114">
        <f t="shared" si="106"/>
        <v>0.24870277777777783</v>
      </c>
      <c r="O145" s="396">
        <v>92852.69</v>
      </c>
      <c r="P145" s="114">
        <f t="shared" si="107"/>
        <v>16.765069027777777</v>
      </c>
      <c r="Q145" s="396">
        <v>1112779.8899999997</v>
      </c>
      <c r="R145" s="398">
        <f t="shared" si="108"/>
        <v>247.28441999999993</v>
      </c>
    </row>
    <row r="146" spans="2:18" x14ac:dyDescent="0.3">
      <c r="B146" s="393">
        <f t="shared" si="75"/>
        <v>45616</v>
      </c>
      <c r="C146" s="396">
        <v>106035.57</v>
      </c>
      <c r="D146" s="114">
        <f t="shared" si="98"/>
        <v>22.090743750000001</v>
      </c>
      <c r="E146" s="399">
        <v>6649456.9800000004</v>
      </c>
      <c r="F146" s="114">
        <f t="shared" si="68"/>
        <v>1385.3035374999999</v>
      </c>
      <c r="G146" s="396">
        <v>74250.710000000006</v>
      </c>
      <c r="H146" s="114">
        <f t="shared" si="99"/>
        <v>9.2813387499999997</v>
      </c>
      <c r="I146" s="399">
        <v>117732.55</v>
      </c>
      <c r="J146" s="114">
        <f t="shared" si="100"/>
        <v>14.71656875</v>
      </c>
      <c r="K146" s="396">
        <v>75352.59</v>
      </c>
      <c r="L146" s="114">
        <f t="shared" si="105"/>
        <v>13.60532875</v>
      </c>
      <c r="M146" s="396">
        <v>3581.32</v>
      </c>
      <c r="N146" s="114">
        <f t="shared" si="106"/>
        <v>0.24870277777777783</v>
      </c>
      <c r="O146" s="396">
        <v>92852.69</v>
      </c>
      <c r="P146" s="114">
        <f t="shared" si="107"/>
        <v>16.765069027777777</v>
      </c>
      <c r="Q146" s="396">
        <v>1112779.8899999997</v>
      </c>
      <c r="R146" s="398">
        <f t="shared" si="108"/>
        <v>247.28441999999993</v>
      </c>
    </row>
    <row r="147" spans="2:18" x14ac:dyDescent="0.3">
      <c r="B147" s="393">
        <f t="shared" si="75"/>
        <v>45617</v>
      </c>
      <c r="C147" s="396">
        <v>106035.57</v>
      </c>
      <c r="D147" s="114">
        <f t="shared" si="98"/>
        <v>22.090743750000001</v>
      </c>
      <c r="E147" s="399">
        <v>6649456.9800000004</v>
      </c>
      <c r="F147" s="114">
        <f t="shared" si="68"/>
        <v>1385.3035374999999</v>
      </c>
      <c r="G147" s="396">
        <v>74250.710000000006</v>
      </c>
      <c r="H147" s="114">
        <f t="shared" si="99"/>
        <v>9.2813387499999997</v>
      </c>
      <c r="I147" s="399">
        <v>117732.55</v>
      </c>
      <c r="J147" s="114">
        <f t="shared" si="100"/>
        <v>14.71656875</v>
      </c>
      <c r="K147" s="396">
        <v>75352.59</v>
      </c>
      <c r="L147" s="114">
        <f t="shared" si="105"/>
        <v>13.60532875</v>
      </c>
      <c r="M147" s="396">
        <v>3581.32</v>
      </c>
      <c r="N147" s="114">
        <f t="shared" si="106"/>
        <v>0.24870277777777783</v>
      </c>
      <c r="O147" s="396">
        <v>92852.69</v>
      </c>
      <c r="P147" s="114">
        <f t="shared" si="107"/>
        <v>16.765069027777777</v>
      </c>
      <c r="Q147" s="396">
        <v>1112779.8899999997</v>
      </c>
      <c r="R147" s="398">
        <f t="shared" si="108"/>
        <v>247.28441999999993</v>
      </c>
    </row>
    <row r="148" spans="2:18" x14ac:dyDescent="0.3">
      <c r="B148" s="393">
        <f t="shared" si="75"/>
        <v>45618</v>
      </c>
      <c r="C148" s="396">
        <v>106035.57</v>
      </c>
      <c r="D148" s="114">
        <f t="shared" si="98"/>
        <v>22.090743750000001</v>
      </c>
      <c r="E148" s="399">
        <v>6649456.9800000004</v>
      </c>
      <c r="F148" s="114">
        <f t="shared" si="68"/>
        <v>1385.3035374999999</v>
      </c>
      <c r="G148" s="396">
        <v>74250.710000000006</v>
      </c>
      <c r="H148" s="114">
        <f t="shared" si="99"/>
        <v>9.2813387499999997</v>
      </c>
      <c r="I148" s="399">
        <v>117732.55</v>
      </c>
      <c r="J148" s="114">
        <f t="shared" si="100"/>
        <v>14.71656875</v>
      </c>
      <c r="K148" s="396">
        <v>75352.59</v>
      </c>
      <c r="L148" s="114">
        <f t="shared" si="105"/>
        <v>13.60532875</v>
      </c>
      <c r="M148" s="396">
        <v>3581.32</v>
      </c>
      <c r="N148" s="114">
        <f t="shared" si="106"/>
        <v>0.24870277777777783</v>
      </c>
      <c r="O148" s="396">
        <v>92852.69</v>
      </c>
      <c r="P148" s="114">
        <f t="shared" si="107"/>
        <v>16.765069027777777</v>
      </c>
      <c r="Q148" s="396">
        <v>1112779.8899999997</v>
      </c>
      <c r="R148" s="398">
        <f t="shared" si="108"/>
        <v>247.28441999999993</v>
      </c>
    </row>
    <row r="149" spans="2:18" x14ac:dyDescent="0.3">
      <c r="B149" s="393">
        <f t="shared" si="75"/>
        <v>45619</v>
      </c>
      <c r="C149" s="396">
        <v>106035.57</v>
      </c>
      <c r="D149" s="114">
        <f t="shared" si="98"/>
        <v>22.090743750000001</v>
      </c>
      <c r="E149" s="399">
        <v>6649456.9800000004</v>
      </c>
      <c r="F149" s="114">
        <f t="shared" si="68"/>
        <v>1385.3035374999999</v>
      </c>
      <c r="G149" s="396">
        <v>74250.710000000006</v>
      </c>
      <c r="H149" s="114">
        <f t="shared" si="99"/>
        <v>9.2813387499999997</v>
      </c>
      <c r="I149" s="399">
        <v>117732.55</v>
      </c>
      <c r="J149" s="114">
        <f t="shared" si="100"/>
        <v>14.71656875</v>
      </c>
      <c r="K149" s="396">
        <v>75352.59</v>
      </c>
      <c r="L149" s="114">
        <f t="shared" si="105"/>
        <v>13.60532875</v>
      </c>
      <c r="M149" s="396">
        <v>3581.32</v>
      </c>
      <c r="N149" s="114">
        <f t="shared" si="106"/>
        <v>0.24870277777777783</v>
      </c>
      <c r="O149" s="396">
        <v>92852.69</v>
      </c>
      <c r="P149" s="114">
        <f t="shared" si="107"/>
        <v>16.765069027777777</v>
      </c>
      <c r="Q149" s="396">
        <v>1112779.8899999997</v>
      </c>
      <c r="R149" s="398">
        <f t="shared" si="108"/>
        <v>247.28441999999993</v>
      </c>
    </row>
    <row r="150" spans="2:18" x14ac:dyDescent="0.3">
      <c r="B150" s="393">
        <f t="shared" si="75"/>
        <v>45620</v>
      </c>
      <c r="C150" s="396">
        <v>106035.57</v>
      </c>
      <c r="D150" s="114">
        <f t="shared" si="98"/>
        <v>22.090743750000001</v>
      </c>
      <c r="E150" s="399">
        <v>6649456.9800000004</v>
      </c>
      <c r="F150" s="114">
        <f t="shared" si="68"/>
        <v>1385.3035374999999</v>
      </c>
      <c r="G150" s="396">
        <v>74250.710000000006</v>
      </c>
      <c r="H150" s="114">
        <f t="shared" si="99"/>
        <v>9.2813387499999997</v>
      </c>
      <c r="I150" s="399">
        <v>117732.55</v>
      </c>
      <c r="J150" s="114">
        <f t="shared" ref="J150:J155" si="109">(I150*4.5%)/360</f>
        <v>14.71656875</v>
      </c>
      <c r="K150" s="396">
        <v>75352.59</v>
      </c>
      <c r="L150" s="114">
        <f t="shared" ref="L150:L155" si="110">(K150*6.5%)/360</f>
        <v>13.60532875</v>
      </c>
      <c r="M150" s="396">
        <v>3581.32</v>
      </c>
      <c r="N150" s="114">
        <f t="shared" ref="N150:N155" si="111">(M150*2.5%)/360</f>
        <v>0.24870277777777783</v>
      </c>
      <c r="O150" s="396">
        <v>92852.69</v>
      </c>
      <c r="P150" s="114">
        <f t="shared" ref="P150:P155" si="112">(O150*6.5%)/360</f>
        <v>16.765069027777777</v>
      </c>
      <c r="Q150" s="396">
        <v>1112779.8899999997</v>
      </c>
      <c r="R150" s="398">
        <f t="shared" ref="R150:R155" si="113">(Q150*8%)/360</f>
        <v>247.28441999999993</v>
      </c>
    </row>
    <row r="151" spans="2:18" x14ac:dyDescent="0.3">
      <c r="B151" s="393">
        <f t="shared" si="75"/>
        <v>45621</v>
      </c>
      <c r="C151" s="396">
        <v>106035.57</v>
      </c>
      <c r="D151" s="114">
        <f t="shared" si="98"/>
        <v>22.090743750000001</v>
      </c>
      <c r="E151" s="399">
        <v>6045856.9800000004</v>
      </c>
      <c r="F151" s="114">
        <f t="shared" si="68"/>
        <v>1259.5535374999999</v>
      </c>
      <c r="G151" s="396">
        <v>74250.710000000006</v>
      </c>
      <c r="H151" s="114">
        <f t="shared" si="99"/>
        <v>9.2813387499999997</v>
      </c>
      <c r="I151" s="399">
        <v>117732.55</v>
      </c>
      <c r="J151" s="114">
        <f t="shared" si="109"/>
        <v>14.71656875</v>
      </c>
      <c r="K151" s="396">
        <v>75352.59</v>
      </c>
      <c r="L151" s="114">
        <f t="shared" si="110"/>
        <v>13.60532875</v>
      </c>
      <c r="M151" s="396">
        <v>3581.32</v>
      </c>
      <c r="N151" s="114">
        <f t="shared" si="111"/>
        <v>0.24870277777777783</v>
      </c>
      <c r="O151" s="396">
        <v>92852.69</v>
      </c>
      <c r="P151" s="114">
        <f t="shared" si="112"/>
        <v>16.765069027777777</v>
      </c>
      <c r="Q151" s="396">
        <v>1112779.8899999997</v>
      </c>
      <c r="R151" s="398">
        <f t="shared" si="113"/>
        <v>247.28441999999993</v>
      </c>
    </row>
    <row r="152" spans="2:18" x14ac:dyDescent="0.3">
      <c r="B152" s="393">
        <f t="shared" si="75"/>
        <v>45622</v>
      </c>
      <c r="C152" s="396">
        <v>106035.57</v>
      </c>
      <c r="D152" s="114">
        <f t="shared" si="98"/>
        <v>22.090743750000001</v>
      </c>
      <c r="E152" s="399">
        <v>11045856.98</v>
      </c>
      <c r="F152" s="114">
        <f t="shared" si="68"/>
        <v>2301.2202041666669</v>
      </c>
      <c r="G152" s="396">
        <v>83250.710000000006</v>
      </c>
      <c r="H152" s="114">
        <f t="shared" si="99"/>
        <v>10.40633875</v>
      </c>
      <c r="I152" s="399">
        <v>117732.55</v>
      </c>
      <c r="J152" s="114">
        <f t="shared" si="109"/>
        <v>14.71656875</v>
      </c>
      <c r="K152" s="396">
        <v>75352.59</v>
      </c>
      <c r="L152" s="114">
        <f t="shared" si="110"/>
        <v>13.60532875</v>
      </c>
      <c r="M152" s="396">
        <v>3581.32</v>
      </c>
      <c r="N152" s="114">
        <f t="shared" si="111"/>
        <v>0.24870277777777783</v>
      </c>
      <c r="O152" s="396">
        <v>92852.69</v>
      </c>
      <c r="P152" s="114">
        <f t="shared" si="112"/>
        <v>16.765069027777777</v>
      </c>
      <c r="Q152" s="396">
        <v>1112779.8899999997</v>
      </c>
      <c r="R152" s="398">
        <f t="shared" si="113"/>
        <v>247.28441999999993</v>
      </c>
    </row>
    <row r="153" spans="2:18" x14ac:dyDescent="0.3">
      <c r="B153" s="393">
        <f t="shared" si="75"/>
        <v>45623</v>
      </c>
      <c r="C153" s="396">
        <v>128573.73</v>
      </c>
      <c r="D153" s="114">
        <f t="shared" si="98"/>
        <v>26.786193749999999</v>
      </c>
      <c r="E153" s="399">
        <v>9045856.9800000004</v>
      </c>
      <c r="F153" s="114">
        <f t="shared" si="68"/>
        <v>1884.5535374999999</v>
      </c>
      <c r="G153" s="396">
        <v>83250.710000000006</v>
      </c>
      <c r="H153" s="114">
        <f t="shared" si="99"/>
        <v>10.40633875</v>
      </c>
      <c r="I153" s="399">
        <v>117732.55</v>
      </c>
      <c r="J153" s="114">
        <f t="shared" si="109"/>
        <v>14.71656875</v>
      </c>
      <c r="K153" s="396">
        <v>75352.59</v>
      </c>
      <c r="L153" s="114">
        <f t="shared" si="110"/>
        <v>13.60532875</v>
      </c>
      <c r="M153" s="396">
        <v>3581.32</v>
      </c>
      <c r="N153" s="114">
        <f t="shared" si="111"/>
        <v>0.24870277777777783</v>
      </c>
      <c r="O153" s="396">
        <v>92852.69</v>
      </c>
      <c r="P153" s="114">
        <f t="shared" si="112"/>
        <v>16.765069027777777</v>
      </c>
      <c r="Q153" s="396">
        <v>1112779.8899999997</v>
      </c>
      <c r="R153" s="398">
        <f t="shared" si="113"/>
        <v>247.28441999999993</v>
      </c>
    </row>
    <row r="154" spans="2:18" x14ac:dyDescent="0.3">
      <c r="B154" s="393">
        <f t="shared" si="75"/>
        <v>45624</v>
      </c>
      <c r="C154" s="396">
        <v>128573.73</v>
      </c>
      <c r="D154" s="114">
        <f t="shared" si="98"/>
        <v>26.786193749999999</v>
      </c>
      <c r="E154" s="399">
        <v>7703514.9800000004</v>
      </c>
      <c r="F154" s="114">
        <f t="shared" si="68"/>
        <v>1604.8989541666667</v>
      </c>
      <c r="G154" s="396">
        <v>83250.710000000006</v>
      </c>
      <c r="H154" s="114">
        <f t="shared" si="99"/>
        <v>10.40633875</v>
      </c>
      <c r="I154" s="399">
        <v>117732.55</v>
      </c>
      <c r="J154" s="114">
        <f t="shared" si="109"/>
        <v>14.71656875</v>
      </c>
      <c r="K154" s="396">
        <v>75352.59</v>
      </c>
      <c r="L154" s="114">
        <f t="shared" si="110"/>
        <v>13.60532875</v>
      </c>
      <c r="M154" s="396">
        <v>3581.32</v>
      </c>
      <c r="N154" s="114">
        <f t="shared" si="111"/>
        <v>0.24870277777777783</v>
      </c>
      <c r="O154" s="396">
        <v>92852.69</v>
      </c>
      <c r="P154" s="114">
        <f t="shared" si="112"/>
        <v>16.765069027777777</v>
      </c>
      <c r="Q154" s="396">
        <v>7512779.8899999997</v>
      </c>
      <c r="R154" s="398">
        <f t="shared" si="113"/>
        <v>1669.5066422222221</v>
      </c>
    </row>
    <row r="155" spans="2:18" x14ac:dyDescent="0.3">
      <c r="B155" s="393">
        <f t="shared" si="75"/>
        <v>45625</v>
      </c>
      <c r="C155" s="396">
        <v>128573.73</v>
      </c>
      <c r="D155" s="114">
        <f t="shared" si="98"/>
        <v>26.786193749999999</v>
      </c>
      <c r="E155" s="399">
        <v>7703514.9800000004</v>
      </c>
      <c r="F155" s="114">
        <f t="shared" si="68"/>
        <v>1604.8989541666667</v>
      </c>
      <c r="G155" s="396">
        <v>83250.710000000006</v>
      </c>
      <c r="H155" s="114">
        <f t="shared" si="99"/>
        <v>10.40633875</v>
      </c>
      <c r="I155" s="399">
        <v>117732.55</v>
      </c>
      <c r="J155" s="114">
        <f t="shared" si="109"/>
        <v>14.71656875</v>
      </c>
      <c r="K155" s="396">
        <v>75352.59</v>
      </c>
      <c r="L155" s="114">
        <f t="shared" si="110"/>
        <v>13.60532875</v>
      </c>
      <c r="M155" s="396">
        <v>3581.32</v>
      </c>
      <c r="N155" s="114">
        <f t="shared" si="111"/>
        <v>0.24870277777777783</v>
      </c>
      <c r="O155" s="396">
        <v>92852.69</v>
      </c>
      <c r="P155" s="114">
        <f t="shared" si="112"/>
        <v>16.765069027777777</v>
      </c>
      <c r="Q155" s="396">
        <v>7512779.8899999997</v>
      </c>
      <c r="R155" s="398">
        <f t="shared" si="113"/>
        <v>1669.5066422222221</v>
      </c>
    </row>
    <row r="156" spans="2:18" x14ac:dyDescent="0.3">
      <c r="B156" s="393">
        <f t="shared" si="75"/>
        <v>45626</v>
      </c>
      <c r="C156" s="396">
        <v>128573.73</v>
      </c>
      <c r="D156" s="114">
        <f t="shared" si="98"/>
        <v>26.786193749999999</v>
      </c>
      <c r="E156" s="399">
        <v>7703514.9800000004</v>
      </c>
      <c r="F156" s="114">
        <f t="shared" si="68"/>
        <v>1604.8989541666667</v>
      </c>
      <c r="G156" s="396">
        <v>83250.710000000006</v>
      </c>
      <c r="H156" s="114">
        <f>(G156*4.5%)/360</f>
        <v>10.40633875</v>
      </c>
      <c r="I156" s="399">
        <v>117732.55</v>
      </c>
      <c r="J156" s="114">
        <f>(I156*4.5%)/360</f>
        <v>14.71656875</v>
      </c>
      <c r="K156" s="396">
        <v>75352.59</v>
      </c>
      <c r="L156" s="114">
        <f>(K156*6.5%)/360</f>
        <v>13.60532875</v>
      </c>
      <c r="M156" s="396">
        <v>3581.32</v>
      </c>
      <c r="N156" s="114">
        <f>(M156*2.5%)/360</f>
        <v>0.24870277777777783</v>
      </c>
      <c r="O156" s="396">
        <v>92852.69</v>
      </c>
      <c r="P156" s="114">
        <f>(O156*6.5%)/360</f>
        <v>16.765069027777777</v>
      </c>
      <c r="Q156" s="396">
        <v>7512779.8899999997</v>
      </c>
      <c r="R156" s="398">
        <f>(Q156*8%)/360</f>
        <v>1669.5066422222221</v>
      </c>
    </row>
    <row r="157" spans="2:18" x14ac:dyDescent="0.3">
      <c r="B157" s="393">
        <f t="shared" si="75"/>
        <v>45627</v>
      </c>
      <c r="C157" s="396">
        <v>128573.73</v>
      </c>
      <c r="D157" s="114">
        <f t="shared" si="98"/>
        <v>26.786193749999999</v>
      </c>
      <c r="E157" s="399">
        <v>6521154.9400000004</v>
      </c>
      <c r="F157" s="114">
        <f t="shared" si="68"/>
        <v>1358.5739458333335</v>
      </c>
      <c r="G157" s="396">
        <v>83250.710000000006</v>
      </c>
      <c r="H157" s="114">
        <f t="shared" ref="H157:H163" si="114">(G157*4.5%)/360</f>
        <v>10.40633875</v>
      </c>
      <c r="I157" s="399">
        <v>117732.55</v>
      </c>
      <c r="J157" s="114">
        <f t="shared" ref="J157:J163" si="115">(I157*4.5%)/360</f>
        <v>14.71656875</v>
      </c>
      <c r="K157" s="396">
        <v>75352.59</v>
      </c>
      <c r="L157" s="114">
        <f t="shared" ref="L157:L163" si="116">(K157*6.5%)/360</f>
        <v>13.60532875</v>
      </c>
      <c r="M157" s="396">
        <v>3581.32</v>
      </c>
      <c r="N157" s="114">
        <f t="shared" ref="N157:N163" si="117">(M157*2.5%)/360</f>
        <v>0.24870277777777783</v>
      </c>
      <c r="O157" s="396">
        <v>92852.69</v>
      </c>
      <c r="P157" s="114">
        <f t="shared" ref="P157:P163" si="118">(O157*6.5%)/360</f>
        <v>16.765069027777777</v>
      </c>
      <c r="Q157" s="396">
        <v>7512779.8899999997</v>
      </c>
      <c r="R157" s="398">
        <f t="shared" ref="R157:R163" si="119">(Q157*8%)/360</f>
        <v>1669.5066422222221</v>
      </c>
    </row>
    <row r="158" spans="2:18" x14ac:dyDescent="0.3">
      <c r="B158" s="393">
        <f t="shared" si="75"/>
        <v>45628</v>
      </c>
      <c r="C158" s="396">
        <v>128573.73</v>
      </c>
      <c r="D158" s="114">
        <f t="shared" si="98"/>
        <v>26.786193749999999</v>
      </c>
      <c r="E158" s="399">
        <v>21521154.940000001</v>
      </c>
      <c r="F158" s="114">
        <f t="shared" si="68"/>
        <v>4483.5739458333328</v>
      </c>
      <c r="G158" s="396">
        <v>83250.710000000006</v>
      </c>
      <c r="H158" s="114">
        <f t="shared" si="114"/>
        <v>10.40633875</v>
      </c>
      <c r="I158" s="399">
        <v>117732.55</v>
      </c>
      <c r="J158" s="114">
        <f t="shared" si="115"/>
        <v>14.71656875</v>
      </c>
      <c r="K158" s="396">
        <v>75352.59</v>
      </c>
      <c r="L158" s="114">
        <f t="shared" si="116"/>
        <v>13.60532875</v>
      </c>
      <c r="M158" s="396">
        <v>3581.32</v>
      </c>
      <c r="N158" s="114">
        <f t="shared" si="117"/>
        <v>0.24870277777777783</v>
      </c>
      <c r="O158" s="396">
        <v>92852.69</v>
      </c>
      <c r="P158" s="114">
        <f t="shared" si="118"/>
        <v>16.765069027777777</v>
      </c>
      <c r="Q158" s="396">
        <v>7512779.8899999997</v>
      </c>
      <c r="R158" s="398">
        <f t="shared" si="119"/>
        <v>1669.5066422222221</v>
      </c>
    </row>
    <row r="159" spans="2:18" x14ac:dyDescent="0.3">
      <c r="B159" s="393">
        <f t="shared" si="75"/>
        <v>45629</v>
      </c>
      <c r="C159" s="396">
        <v>128573.73</v>
      </c>
      <c r="D159" s="114">
        <f t="shared" si="98"/>
        <v>26.786193749999999</v>
      </c>
      <c r="E159" s="399">
        <v>21521154.940000001</v>
      </c>
      <c r="F159" s="114">
        <f t="shared" si="68"/>
        <v>4483.5739458333328</v>
      </c>
      <c r="G159" s="396">
        <v>83250.710000000006</v>
      </c>
      <c r="H159" s="114">
        <f t="shared" si="114"/>
        <v>10.40633875</v>
      </c>
      <c r="I159" s="399">
        <v>117732.55</v>
      </c>
      <c r="J159" s="114">
        <f t="shared" si="115"/>
        <v>14.71656875</v>
      </c>
      <c r="K159" s="396">
        <v>75352.59</v>
      </c>
      <c r="L159" s="114">
        <f t="shared" si="116"/>
        <v>13.60532875</v>
      </c>
      <c r="M159" s="396">
        <v>3581.32</v>
      </c>
      <c r="N159" s="114">
        <f t="shared" si="117"/>
        <v>0.24870277777777783</v>
      </c>
      <c r="O159" s="396">
        <v>92852.69</v>
      </c>
      <c r="P159" s="114">
        <f t="shared" si="118"/>
        <v>16.765069027777777</v>
      </c>
      <c r="Q159" s="396">
        <v>7512779.8899999997</v>
      </c>
      <c r="R159" s="398">
        <f t="shared" si="119"/>
        <v>1669.5066422222221</v>
      </c>
    </row>
    <row r="160" spans="2:18" x14ac:dyDescent="0.3">
      <c r="B160" s="393">
        <f t="shared" si="75"/>
        <v>45630</v>
      </c>
      <c r="C160" s="396">
        <v>128573.73</v>
      </c>
      <c r="D160" s="114">
        <f t="shared" si="98"/>
        <v>26.786193749999999</v>
      </c>
      <c r="E160" s="399">
        <v>21521154.940000001</v>
      </c>
      <c r="F160" s="114">
        <f t="shared" si="68"/>
        <v>4483.5739458333328</v>
      </c>
      <c r="G160" s="396">
        <v>83250.710000000006</v>
      </c>
      <c r="H160" s="114">
        <f t="shared" si="114"/>
        <v>10.40633875</v>
      </c>
      <c r="I160" s="399">
        <v>117732.55</v>
      </c>
      <c r="J160" s="114">
        <f t="shared" si="115"/>
        <v>14.71656875</v>
      </c>
      <c r="K160" s="396">
        <v>75352.59</v>
      </c>
      <c r="L160" s="114">
        <f t="shared" si="116"/>
        <v>13.60532875</v>
      </c>
      <c r="M160" s="396">
        <v>3581.32</v>
      </c>
      <c r="N160" s="114">
        <f t="shared" si="117"/>
        <v>0.24870277777777783</v>
      </c>
      <c r="O160" s="396">
        <v>92852.69</v>
      </c>
      <c r="P160" s="114">
        <f t="shared" si="118"/>
        <v>16.765069027777777</v>
      </c>
      <c r="Q160" s="396">
        <v>7512779.8899999997</v>
      </c>
      <c r="R160" s="398">
        <f t="shared" si="119"/>
        <v>1669.5066422222221</v>
      </c>
    </row>
    <row r="161" spans="2:18" x14ac:dyDescent="0.3">
      <c r="B161" s="393">
        <f t="shared" si="75"/>
        <v>45631</v>
      </c>
      <c r="C161" s="396">
        <v>120697.91</v>
      </c>
      <c r="D161" s="114">
        <f t="shared" si="98"/>
        <v>25.145397916666667</v>
      </c>
      <c r="E161" s="399">
        <v>21521154.940000001</v>
      </c>
      <c r="F161" s="114">
        <f t="shared" si="68"/>
        <v>4483.5739458333328</v>
      </c>
      <c r="G161" s="396">
        <v>83250.710000000006</v>
      </c>
      <c r="H161" s="114">
        <f t="shared" si="114"/>
        <v>10.40633875</v>
      </c>
      <c r="I161" s="399">
        <v>117732.55</v>
      </c>
      <c r="J161" s="114">
        <f t="shared" si="115"/>
        <v>14.71656875</v>
      </c>
      <c r="K161" s="396">
        <v>75352.59</v>
      </c>
      <c r="L161" s="114">
        <f t="shared" si="116"/>
        <v>13.60532875</v>
      </c>
      <c r="M161" s="396">
        <v>3581.32</v>
      </c>
      <c r="N161" s="114">
        <f t="shared" si="117"/>
        <v>0.24870277777777783</v>
      </c>
      <c r="O161" s="396">
        <v>92852.69</v>
      </c>
      <c r="P161" s="114">
        <f t="shared" si="118"/>
        <v>16.765069027777777</v>
      </c>
      <c r="Q161" s="396">
        <v>7512779.8899999997</v>
      </c>
      <c r="R161" s="398">
        <f t="shared" si="119"/>
        <v>1669.5066422222221</v>
      </c>
    </row>
    <row r="162" spans="2:18" x14ac:dyDescent="0.3">
      <c r="B162" s="393">
        <f t="shared" si="75"/>
        <v>45632</v>
      </c>
      <c r="C162" s="396">
        <v>120697.91</v>
      </c>
      <c r="D162" s="114">
        <f t="shared" si="98"/>
        <v>25.145397916666667</v>
      </c>
      <c r="E162" s="399">
        <v>21521154.940000001</v>
      </c>
      <c r="F162" s="114">
        <f t="shared" si="68"/>
        <v>4483.5739458333328</v>
      </c>
      <c r="G162" s="396">
        <v>83250.710000000006</v>
      </c>
      <c r="H162" s="114">
        <f t="shared" si="114"/>
        <v>10.40633875</v>
      </c>
      <c r="I162" s="399">
        <v>117732.55</v>
      </c>
      <c r="J162" s="114">
        <f t="shared" si="115"/>
        <v>14.71656875</v>
      </c>
      <c r="K162" s="396">
        <v>75352.59</v>
      </c>
      <c r="L162" s="114">
        <f t="shared" si="116"/>
        <v>13.60532875</v>
      </c>
      <c r="M162" s="396">
        <v>3581.32</v>
      </c>
      <c r="N162" s="114">
        <f t="shared" si="117"/>
        <v>0.24870277777777783</v>
      </c>
      <c r="O162" s="396">
        <v>92852.69</v>
      </c>
      <c r="P162" s="114">
        <f t="shared" si="118"/>
        <v>16.765069027777777</v>
      </c>
      <c r="Q162" s="396">
        <v>7512779.8899999997</v>
      </c>
      <c r="R162" s="398">
        <f t="shared" si="119"/>
        <v>1669.5066422222221</v>
      </c>
    </row>
    <row r="163" spans="2:18" x14ac:dyDescent="0.3">
      <c r="B163" s="393">
        <f t="shared" si="75"/>
        <v>45633</v>
      </c>
      <c r="C163" s="396">
        <v>120697.91</v>
      </c>
      <c r="D163" s="114">
        <f t="shared" si="98"/>
        <v>25.145397916666667</v>
      </c>
      <c r="E163" s="399">
        <v>21521154.940000001</v>
      </c>
      <c r="F163" s="114">
        <f t="shared" si="68"/>
        <v>4483.5739458333328</v>
      </c>
      <c r="G163" s="396">
        <v>83250.710000000006</v>
      </c>
      <c r="H163" s="114">
        <f t="shared" si="114"/>
        <v>10.40633875</v>
      </c>
      <c r="I163" s="399">
        <v>117732.55</v>
      </c>
      <c r="J163" s="114">
        <f t="shared" si="115"/>
        <v>14.71656875</v>
      </c>
      <c r="K163" s="396">
        <v>75352.59</v>
      </c>
      <c r="L163" s="114">
        <f t="shared" si="116"/>
        <v>13.60532875</v>
      </c>
      <c r="M163" s="396">
        <v>3581.32</v>
      </c>
      <c r="N163" s="114">
        <f t="shared" si="117"/>
        <v>0.24870277777777783</v>
      </c>
      <c r="O163" s="396">
        <v>92852.69</v>
      </c>
      <c r="P163" s="114">
        <f t="shared" si="118"/>
        <v>16.765069027777777</v>
      </c>
      <c r="Q163" s="396">
        <v>7512779.8899999997</v>
      </c>
      <c r="R163" s="398">
        <f t="shared" si="119"/>
        <v>1669.5066422222221</v>
      </c>
    </row>
    <row r="164" spans="2:18" x14ac:dyDescent="0.3">
      <c r="B164" s="393">
        <f t="shared" si="75"/>
        <v>45634</v>
      </c>
      <c r="C164" s="396">
        <v>120697.91</v>
      </c>
      <c r="D164" s="114">
        <f t="shared" si="98"/>
        <v>25.145397916666667</v>
      </c>
      <c r="E164" s="399">
        <v>21521154.940000001</v>
      </c>
      <c r="F164" s="114">
        <f t="shared" si="68"/>
        <v>4483.5739458333328</v>
      </c>
      <c r="G164" s="396">
        <v>83250.710000000006</v>
      </c>
      <c r="H164" s="114">
        <f t="shared" ref="H164:H177" si="120">(G164*4.5%)/360</f>
        <v>10.40633875</v>
      </c>
      <c r="I164" s="399">
        <v>117732.55</v>
      </c>
      <c r="J164" s="114">
        <f t="shared" ref="J164:J170" si="121">(I164*4.5%)/360</f>
        <v>14.71656875</v>
      </c>
      <c r="K164" s="396">
        <v>75352.59</v>
      </c>
      <c r="L164" s="114">
        <f t="shared" ref="L164:L170" si="122">(K164*6.5%)/360</f>
        <v>13.60532875</v>
      </c>
      <c r="M164" s="396">
        <v>3581.32</v>
      </c>
      <c r="N164" s="114">
        <f t="shared" ref="N164:N170" si="123">(M164*2.5%)/360</f>
        <v>0.24870277777777783</v>
      </c>
      <c r="O164" s="396">
        <v>92852.69</v>
      </c>
      <c r="P164" s="114">
        <f t="shared" ref="P164:P170" si="124">(O164*6.5%)/360</f>
        <v>16.765069027777777</v>
      </c>
      <c r="Q164" s="396">
        <v>7512779.8899999997</v>
      </c>
      <c r="R164" s="398">
        <f t="shared" ref="R164:R170" si="125">(Q164*8%)/360</f>
        <v>1669.5066422222221</v>
      </c>
    </row>
    <row r="165" spans="2:18" x14ac:dyDescent="0.3">
      <c r="B165" s="393">
        <f t="shared" si="75"/>
        <v>45635</v>
      </c>
      <c r="C165" s="396">
        <v>65364.24</v>
      </c>
      <c r="D165" s="114">
        <f t="shared" si="98"/>
        <v>13.617549999999998</v>
      </c>
      <c r="E165" s="399">
        <v>21521154.940000001</v>
      </c>
      <c r="F165" s="114">
        <f t="shared" ref="F165:F184" si="126">(E165*7.5%)/360</f>
        <v>4483.5739458333328</v>
      </c>
      <c r="G165" s="396">
        <v>83250.710000000006</v>
      </c>
      <c r="H165" s="114">
        <f t="shared" si="120"/>
        <v>10.40633875</v>
      </c>
      <c r="I165" s="399">
        <v>117732.55</v>
      </c>
      <c r="J165" s="114">
        <f t="shared" si="121"/>
        <v>14.71656875</v>
      </c>
      <c r="K165" s="396">
        <v>75352.59</v>
      </c>
      <c r="L165" s="114">
        <f t="shared" si="122"/>
        <v>13.60532875</v>
      </c>
      <c r="M165" s="396">
        <v>3581.32</v>
      </c>
      <c r="N165" s="114">
        <f t="shared" si="123"/>
        <v>0.24870277777777783</v>
      </c>
      <c r="O165" s="396">
        <v>92852.69</v>
      </c>
      <c r="P165" s="114">
        <f t="shared" si="124"/>
        <v>16.765069027777777</v>
      </c>
      <c r="Q165" s="396">
        <v>7512779.8899999997</v>
      </c>
      <c r="R165" s="398">
        <f t="shared" si="125"/>
        <v>1669.5066422222221</v>
      </c>
    </row>
    <row r="166" spans="2:18" x14ac:dyDescent="0.3">
      <c r="B166" s="393">
        <f t="shared" si="75"/>
        <v>45636</v>
      </c>
      <c r="C166" s="396">
        <v>65364.24</v>
      </c>
      <c r="D166" s="114">
        <f t="shared" si="98"/>
        <v>13.617549999999998</v>
      </c>
      <c r="E166" s="399">
        <v>21414305.030000001</v>
      </c>
      <c r="F166" s="114">
        <f t="shared" si="126"/>
        <v>4461.3135479166667</v>
      </c>
      <c r="G166" s="396">
        <v>83250.710000000006</v>
      </c>
      <c r="H166" s="114">
        <f t="shared" si="120"/>
        <v>10.40633875</v>
      </c>
      <c r="I166" s="399">
        <v>117732.55</v>
      </c>
      <c r="J166" s="114">
        <f t="shared" si="121"/>
        <v>14.71656875</v>
      </c>
      <c r="K166" s="396">
        <v>75352.59</v>
      </c>
      <c r="L166" s="114">
        <f t="shared" si="122"/>
        <v>13.60532875</v>
      </c>
      <c r="M166" s="396">
        <v>3581.32</v>
      </c>
      <c r="N166" s="114">
        <f t="shared" si="123"/>
        <v>0.24870277777777783</v>
      </c>
      <c r="O166" s="396">
        <v>92852.69</v>
      </c>
      <c r="P166" s="114">
        <f t="shared" si="124"/>
        <v>16.765069027777777</v>
      </c>
      <c r="Q166" s="396">
        <v>7512779.8899999997</v>
      </c>
      <c r="R166" s="398">
        <f t="shared" si="125"/>
        <v>1669.5066422222221</v>
      </c>
    </row>
    <row r="167" spans="2:18" x14ac:dyDescent="0.3">
      <c r="B167" s="393">
        <f t="shared" ref="B167:B184" si="127">B166+1</f>
        <v>45637</v>
      </c>
      <c r="C167" s="396">
        <v>65364.24</v>
      </c>
      <c r="D167" s="114">
        <f t="shared" si="98"/>
        <v>13.617549999999998</v>
      </c>
      <c r="E167" s="399">
        <v>21408805.030000001</v>
      </c>
      <c r="F167" s="114">
        <f t="shared" si="126"/>
        <v>4460.1677145833337</v>
      </c>
      <c r="G167" s="396">
        <v>83250.710000000006</v>
      </c>
      <c r="H167" s="114">
        <f t="shared" si="120"/>
        <v>10.40633875</v>
      </c>
      <c r="I167" s="399">
        <v>117732.55</v>
      </c>
      <c r="J167" s="114">
        <f t="shared" si="121"/>
        <v>14.71656875</v>
      </c>
      <c r="K167" s="396">
        <v>75352.59</v>
      </c>
      <c r="L167" s="114">
        <f t="shared" si="122"/>
        <v>13.60532875</v>
      </c>
      <c r="M167" s="396">
        <v>3581.32</v>
      </c>
      <c r="N167" s="114">
        <f t="shared" si="123"/>
        <v>0.24870277777777783</v>
      </c>
      <c r="O167" s="396">
        <v>92852.69</v>
      </c>
      <c r="P167" s="114">
        <f t="shared" si="124"/>
        <v>16.765069027777777</v>
      </c>
      <c r="Q167" s="396">
        <v>7512779.8899999997</v>
      </c>
      <c r="R167" s="398">
        <f t="shared" si="125"/>
        <v>1669.5066422222221</v>
      </c>
    </row>
    <row r="168" spans="2:18" x14ac:dyDescent="0.3">
      <c r="B168" s="393">
        <f t="shared" si="127"/>
        <v>45638</v>
      </c>
      <c r="C168" s="396">
        <v>65364.24</v>
      </c>
      <c r="D168" s="114">
        <f t="shared" si="98"/>
        <v>13.617549999999998</v>
      </c>
      <c r="E168" s="399">
        <v>21408805.030000001</v>
      </c>
      <c r="F168" s="114">
        <f t="shared" si="126"/>
        <v>4460.1677145833337</v>
      </c>
      <c r="G168" s="396">
        <v>83250.710000000006</v>
      </c>
      <c r="H168" s="114">
        <f t="shared" si="120"/>
        <v>10.40633875</v>
      </c>
      <c r="I168" s="399">
        <v>117732.55</v>
      </c>
      <c r="J168" s="114">
        <f t="shared" si="121"/>
        <v>14.71656875</v>
      </c>
      <c r="K168" s="396">
        <v>75352.59</v>
      </c>
      <c r="L168" s="114">
        <f t="shared" si="122"/>
        <v>13.60532875</v>
      </c>
      <c r="M168" s="396">
        <v>3581.32</v>
      </c>
      <c r="N168" s="114">
        <f t="shared" si="123"/>
        <v>0.24870277777777783</v>
      </c>
      <c r="O168" s="396">
        <v>92852.69</v>
      </c>
      <c r="P168" s="114">
        <f t="shared" si="124"/>
        <v>16.765069027777777</v>
      </c>
      <c r="Q168" s="396">
        <v>7512779.8899999997</v>
      </c>
      <c r="R168" s="398">
        <f t="shared" si="125"/>
        <v>1669.5066422222221</v>
      </c>
    </row>
    <row r="169" spans="2:18" x14ac:dyDescent="0.3">
      <c r="B169" s="393">
        <f t="shared" si="127"/>
        <v>45639</v>
      </c>
      <c r="C169" s="396">
        <v>65364.24</v>
      </c>
      <c r="D169" s="114">
        <f t="shared" si="98"/>
        <v>13.617549999999998</v>
      </c>
      <c r="E169" s="399">
        <v>21408805.030000001</v>
      </c>
      <c r="F169" s="114">
        <f t="shared" si="126"/>
        <v>4460.1677145833337</v>
      </c>
      <c r="G169" s="396">
        <v>83250.710000000006</v>
      </c>
      <c r="H169" s="114">
        <f t="shared" si="120"/>
        <v>10.40633875</v>
      </c>
      <c r="I169" s="399">
        <v>117732.55</v>
      </c>
      <c r="J169" s="114">
        <f t="shared" si="121"/>
        <v>14.71656875</v>
      </c>
      <c r="K169" s="396">
        <v>75352.59</v>
      </c>
      <c r="L169" s="114">
        <f t="shared" si="122"/>
        <v>13.60532875</v>
      </c>
      <c r="M169" s="396">
        <v>3581.32</v>
      </c>
      <c r="N169" s="114">
        <f t="shared" si="123"/>
        <v>0.24870277777777783</v>
      </c>
      <c r="O169" s="396">
        <v>92852.69</v>
      </c>
      <c r="P169" s="114">
        <f t="shared" si="124"/>
        <v>16.765069027777777</v>
      </c>
      <c r="Q169" s="396">
        <v>7512779.8899999997</v>
      </c>
      <c r="R169" s="398">
        <f t="shared" si="125"/>
        <v>1669.5066422222221</v>
      </c>
    </row>
    <row r="170" spans="2:18" x14ac:dyDescent="0.3">
      <c r="B170" s="393">
        <f t="shared" si="127"/>
        <v>45640</v>
      </c>
      <c r="C170" s="396">
        <v>65364.24</v>
      </c>
      <c r="D170" s="114">
        <f t="shared" si="98"/>
        <v>13.617549999999998</v>
      </c>
      <c r="E170" s="399">
        <v>21408805.030000001</v>
      </c>
      <c r="F170" s="114">
        <f t="shared" si="126"/>
        <v>4460.1677145833337</v>
      </c>
      <c r="G170" s="396">
        <v>83250.710000000006</v>
      </c>
      <c r="H170" s="114">
        <f t="shared" si="120"/>
        <v>10.40633875</v>
      </c>
      <c r="I170" s="399">
        <v>117732.55</v>
      </c>
      <c r="J170" s="114">
        <f t="shared" si="121"/>
        <v>14.71656875</v>
      </c>
      <c r="K170" s="396">
        <v>75352.59</v>
      </c>
      <c r="L170" s="114">
        <f t="shared" si="122"/>
        <v>13.60532875</v>
      </c>
      <c r="M170" s="396">
        <v>3581.32</v>
      </c>
      <c r="N170" s="114">
        <f t="shared" si="123"/>
        <v>0.24870277777777783</v>
      </c>
      <c r="O170" s="396">
        <v>92852.69</v>
      </c>
      <c r="P170" s="114">
        <f t="shared" si="124"/>
        <v>16.765069027777777</v>
      </c>
      <c r="Q170" s="396">
        <v>7512779.8899999997</v>
      </c>
      <c r="R170" s="398">
        <f t="shared" si="125"/>
        <v>1669.5066422222221</v>
      </c>
    </row>
    <row r="171" spans="2:18" x14ac:dyDescent="0.3">
      <c r="B171" s="393">
        <f t="shared" si="127"/>
        <v>45641</v>
      </c>
      <c r="C171" s="396">
        <v>65364.24</v>
      </c>
      <c r="D171" s="114">
        <f t="shared" si="98"/>
        <v>13.617549999999998</v>
      </c>
      <c r="E171" s="399">
        <v>22224385.030000001</v>
      </c>
      <c r="F171" s="114">
        <f t="shared" si="126"/>
        <v>4630.0802145833341</v>
      </c>
      <c r="G171" s="396">
        <v>83250.710000000006</v>
      </c>
      <c r="H171" s="114">
        <f t="shared" si="120"/>
        <v>10.40633875</v>
      </c>
      <c r="I171" s="399">
        <v>117732.55</v>
      </c>
      <c r="J171" s="114">
        <f t="shared" ref="J171:J177" si="128">(I171*4.5%)/360</f>
        <v>14.71656875</v>
      </c>
      <c r="K171" s="396">
        <v>75352.59</v>
      </c>
      <c r="L171" s="114">
        <f t="shared" ref="L171:L177" si="129">(K171*6.5%)/360</f>
        <v>13.60532875</v>
      </c>
      <c r="M171" s="396">
        <v>3581.32</v>
      </c>
      <c r="N171" s="114">
        <f t="shared" ref="N171:N177" si="130">(M171*2.5%)/360</f>
        <v>0.24870277777777783</v>
      </c>
      <c r="O171" s="396">
        <v>92852.69</v>
      </c>
      <c r="P171" s="114">
        <f t="shared" ref="P171:P177" si="131">(O171*6.5%)/360</f>
        <v>16.765069027777777</v>
      </c>
      <c r="Q171" s="396">
        <v>7512779.8899999997</v>
      </c>
      <c r="R171" s="398">
        <f t="shared" ref="R171:R177" si="132">(Q171*8%)/360</f>
        <v>1669.5066422222221</v>
      </c>
    </row>
    <row r="172" spans="2:18" x14ac:dyDescent="0.3">
      <c r="B172" s="393">
        <f t="shared" si="127"/>
        <v>45642</v>
      </c>
      <c r="C172" s="396">
        <v>65364.24</v>
      </c>
      <c r="D172" s="114">
        <f t="shared" si="98"/>
        <v>13.617549999999998</v>
      </c>
      <c r="E172" s="399">
        <v>22224385.030000001</v>
      </c>
      <c r="F172" s="114">
        <f t="shared" si="126"/>
        <v>4630.0802145833341</v>
      </c>
      <c r="G172" s="396">
        <v>83250.710000000006</v>
      </c>
      <c r="H172" s="114">
        <f t="shared" si="120"/>
        <v>10.40633875</v>
      </c>
      <c r="I172" s="399">
        <v>117732.55</v>
      </c>
      <c r="J172" s="114">
        <f t="shared" si="128"/>
        <v>14.71656875</v>
      </c>
      <c r="K172" s="396">
        <v>75352.59</v>
      </c>
      <c r="L172" s="114">
        <f t="shared" si="129"/>
        <v>13.60532875</v>
      </c>
      <c r="M172" s="396">
        <v>3581.32</v>
      </c>
      <c r="N172" s="114">
        <f t="shared" si="130"/>
        <v>0.24870277777777783</v>
      </c>
      <c r="O172" s="396">
        <v>92852.69</v>
      </c>
      <c r="P172" s="114">
        <f t="shared" si="131"/>
        <v>16.765069027777777</v>
      </c>
      <c r="Q172" s="396">
        <v>7512779.8899999997</v>
      </c>
      <c r="R172" s="398">
        <f t="shared" si="132"/>
        <v>1669.5066422222221</v>
      </c>
    </row>
    <row r="173" spans="2:18" x14ac:dyDescent="0.3">
      <c r="B173" s="393">
        <f t="shared" si="127"/>
        <v>45643</v>
      </c>
      <c r="C173" s="396">
        <v>1865364.24</v>
      </c>
      <c r="D173" s="114">
        <f t="shared" si="98"/>
        <v>388.61754999999999</v>
      </c>
      <c r="E173" s="399">
        <v>21419004.440000001</v>
      </c>
      <c r="F173" s="114">
        <f t="shared" si="126"/>
        <v>4462.2925916666672</v>
      </c>
      <c r="G173" s="396">
        <v>83250.710000000006</v>
      </c>
      <c r="H173" s="114">
        <f t="shared" si="120"/>
        <v>10.40633875</v>
      </c>
      <c r="I173" s="399">
        <v>115933.39</v>
      </c>
      <c r="J173" s="114">
        <f t="shared" si="128"/>
        <v>14.49167375</v>
      </c>
      <c r="K173" s="396">
        <v>75352.59</v>
      </c>
      <c r="L173" s="114">
        <f t="shared" si="129"/>
        <v>13.60532875</v>
      </c>
      <c r="M173" s="396">
        <v>3581.32</v>
      </c>
      <c r="N173" s="114">
        <f t="shared" si="130"/>
        <v>0.24870277777777783</v>
      </c>
      <c r="O173" s="396">
        <v>92852.69</v>
      </c>
      <c r="P173" s="114">
        <f t="shared" si="131"/>
        <v>16.765069027777777</v>
      </c>
      <c r="Q173" s="396">
        <v>7512779.8899999997</v>
      </c>
      <c r="R173" s="398">
        <f t="shared" si="132"/>
        <v>1669.5066422222221</v>
      </c>
    </row>
    <row r="174" spans="2:18" x14ac:dyDescent="0.3">
      <c r="B174" s="393">
        <f t="shared" si="127"/>
        <v>45644</v>
      </c>
      <c r="C174" s="396">
        <v>1865364.24</v>
      </c>
      <c r="D174" s="114">
        <f t="shared" si="98"/>
        <v>388.61754999999999</v>
      </c>
      <c r="E174" s="399">
        <v>21419004.440000001</v>
      </c>
      <c r="F174" s="114">
        <f t="shared" si="126"/>
        <v>4462.2925916666672</v>
      </c>
      <c r="G174" s="396">
        <v>83250.710000000006</v>
      </c>
      <c r="H174" s="114">
        <f t="shared" si="120"/>
        <v>10.40633875</v>
      </c>
      <c r="I174" s="399">
        <v>115933.39</v>
      </c>
      <c r="J174" s="114">
        <f t="shared" si="128"/>
        <v>14.49167375</v>
      </c>
      <c r="K174" s="396">
        <v>75352.59</v>
      </c>
      <c r="L174" s="114">
        <f t="shared" si="129"/>
        <v>13.60532875</v>
      </c>
      <c r="M174" s="396">
        <v>3581.32</v>
      </c>
      <c r="N174" s="114">
        <f t="shared" si="130"/>
        <v>0.24870277777777783</v>
      </c>
      <c r="O174" s="396">
        <v>92852.69</v>
      </c>
      <c r="P174" s="114">
        <f t="shared" si="131"/>
        <v>16.765069027777777</v>
      </c>
      <c r="Q174" s="396">
        <v>7512779.8899999997</v>
      </c>
      <c r="R174" s="398">
        <f t="shared" si="132"/>
        <v>1669.5066422222221</v>
      </c>
    </row>
    <row r="175" spans="2:18" x14ac:dyDescent="0.3">
      <c r="B175" s="393">
        <f t="shared" si="127"/>
        <v>45645</v>
      </c>
      <c r="C175" s="396">
        <v>5965364.2400000002</v>
      </c>
      <c r="D175" s="114">
        <f t="shared" si="98"/>
        <v>1242.7842166666667</v>
      </c>
      <c r="E175" s="399">
        <v>21419004.440000001</v>
      </c>
      <c r="F175" s="114">
        <f t="shared" si="126"/>
        <v>4462.2925916666672</v>
      </c>
      <c r="G175" s="396">
        <v>83250.710000000006</v>
      </c>
      <c r="H175" s="114">
        <f t="shared" si="120"/>
        <v>10.40633875</v>
      </c>
      <c r="I175" s="399">
        <v>115933.39</v>
      </c>
      <c r="J175" s="114">
        <f t="shared" si="128"/>
        <v>14.49167375</v>
      </c>
      <c r="K175" s="396">
        <v>75352.59</v>
      </c>
      <c r="L175" s="114">
        <f t="shared" si="129"/>
        <v>13.60532875</v>
      </c>
      <c r="M175" s="396">
        <v>3581.32</v>
      </c>
      <c r="N175" s="114">
        <f t="shared" si="130"/>
        <v>0.24870277777777783</v>
      </c>
      <c r="O175" s="396">
        <v>92852.69</v>
      </c>
      <c r="P175" s="114">
        <f t="shared" si="131"/>
        <v>16.765069027777777</v>
      </c>
      <c r="Q175" s="396">
        <v>7512779.8899999997</v>
      </c>
      <c r="R175" s="398">
        <f t="shared" si="132"/>
        <v>1669.5066422222221</v>
      </c>
    </row>
    <row r="176" spans="2:18" x14ac:dyDescent="0.3">
      <c r="B176" s="393">
        <f t="shared" si="127"/>
        <v>45646</v>
      </c>
      <c r="C176" s="396">
        <v>5965364.2400000002</v>
      </c>
      <c r="D176" s="114">
        <f t="shared" si="98"/>
        <v>1242.7842166666667</v>
      </c>
      <c r="E176" s="399">
        <v>21419004.440000001</v>
      </c>
      <c r="F176" s="114">
        <f t="shared" si="126"/>
        <v>4462.2925916666672</v>
      </c>
      <c r="G176" s="396">
        <v>83250.710000000006</v>
      </c>
      <c r="H176" s="114">
        <f t="shared" si="120"/>
        <v>10.40633875</v>
      </c>
      <c r="I176" s="399">
        <v>115933.39</v>
      </c>
      <c r="J176" s="114">
        <f t="shared" si="128"/>
        <v>14.49167375</v>
      </c>
      <c r="K176" s="396">
        <v>75352.59</v>
      </c>
      <c r="L176" s="114">
        <f t="shared" si="129"/>
        <v>13.60532875</v>
      </c>
      <c r="M176" s="396">
        <v>3581.32</v>
      </c>
      <c r="N176" s="114">
        <f t="shared" si="130"/>
        <v>0.24870277777777783</v>
      </c>
      <c r="O176" s="396">
        <v>92852.69</v>
      </c>
      <c r="P176" s="114">
        <f t="shared" si="131"/>
        <v>16.765069027777777</v>
      </c>
      <c r="Q176" s="396">
        <v>7512779.8899999997</v>
      </c>
      <c r="R176" s="398">
        <f t="shared" si="132"/>
        <v>1669.5066422222221</v>
      </c>
    </row>
    <row r="177" spans="2:18" x14ac:dyDescent="0.3">
      <c r="B177" s="393">
        <f t="shared" si="127"/>
        <v>45647</v>
      </c>
      <c r="C177" s="396">
        <v>5965364.2400000002</v>
      </c>
      <c r="D177" s="114">
        <f t="shared" si="98"/>
        <v>1242.7842166666667</v>
      </c>
      <c r="E177" s="399">
        <v>21419004.440000001</v>
      </c>
      <c r="F177" s="114">
        <f t="shared" si="126"/>
        <v>4462.2925916666672</v>
      </c>
      <c r="G177" s="396">
        <v>83250.710000000006</v>
      </c>
      <c r="H177" s="114">
        <f t="shared" si="120"/>
        <v>10.40633875</v>
      </c>
      <c r="I177" s="399">
        <v>115933.39</v>
      </c>
      <c r="J177" s="114">
        <f t="shared" si="128"/>
        <v>14.49167375</v>
      </c>
      <c r="K177" s="396">
        <v>75352.59</v>
      </c>
      <c r="L177" s="114">
        <f t="shared" si="129"/>
        <v>13.60532875</v>
      </c>
      <c r="M177" s="396">
        <v>3581.32</v>
      </c>
      <c r="N177" s="114">
        <f t="shared" si="130"/>
        <v>0.24870277777777783</v>
      </c>
      <c r="O177" s="396">
        <v>92852.69</v>
      </c>
      <c r="P177" s="114">
        <f t="shared" si="131"/>
        <v>16.765069027777777</v>
      </c>
      <c r="Q177" s="396">
        <v>7512779.8899999997</v>
      </c>
      <c r="R177" s="398">
        <f t="shared" si="132"/>
        <v>1669.5066422222221</v>
      </c>
    </row>
    <row r="178" spans="2:18" x14ac:dyDescent="0.3">
      <c r="B178" s="393">
        <f t="shared" si="127"/>
        <v>45648</v>
      </c>
      <c r="C178" s="396">
        <v>5965364.2400000002</v>
      </c>
      <c r="D178" s="114">
        <f t="shared" si="98"/>
        <v>1242.7842166666667</v>
      </c>
      <c r="E178" s="399">
        <v>21419004.440000001</v>
      </c>
      <c r="F178" s="114">
        <f t="shared" si="126"/>
        <v>4462.2925916666672</v>
      </c>
      <c r="G178" s="396">
        <v>83250.710000000006</v>
      </c>
      <c r="H178" s="114">
        <f t="shared" ref="H178:H184" si="133">(G178*4.5%)/360</f>
        <v>10.40633875</v>
      </c>
      <c r="I178" s="399">
        <v>115933.39</v>
      </c>
      <c r="J178" s="114">
        <f t="shared" ref="J178:J184" si="134">(I178*4.5%)/360</f>
        <v>14.49167375</v>
      </c>
      <c r="K178" s="396">
        <v>75352.59</v>
      </c>
      <c r="L178" s="114">
        <f t="shared" ref="L178:L184" si="135">(K178*6.5%)/360</f>
        <v>13.60532875</v>
      </c>
      <c r="M178" s="396">
        <v>3581.32</v>
      </c>
      <c r="N178" s="114">
        <f t="shared" ref="N178:N184" si="136">(M178*2.5%)/360</f>
        <v>0.24870277777777783</v>
      </c>
      <c r="O178" s="396">
        <v>92852.69</v>
      </c>
      <c r="P178" s="114">
        <f t="shared" ref="P178:P184" si="137">(O178*6.5%)/360</f>
        <v>16.765069027777777</v>
      </c>
      <c r="Q178" s="396">
        <v>7512779.8899999997</v>
      </c>
      <c r="R178" s="398">
        <f t="shared" ref="R178:R184" si="138">(Q178*8%)/360</f>
        <v>1669.5066422222221</v>
      </c>
    </row>
    <row r="179" spans="2:18" x14ac:dyDescent="0.3">
      <c r="B179" s="393">
        <f t="shared" si="127"/>
        <v>45649</v>
      </c>
      <c r="C179" s="396">
        <v>5965364.2400000002</v>
      </c>
      <c r="D179" s="114">
        <f t="shared" si="98"/>
        <v>1242.7842166666667</v>
      </c>
      <c r="E179" s="399">
        <v>19387887.879999999</v>
      </c>
      <c r="F179" s="114">
        <f t="shared" si="126"/>
        <v>4039.1433083333327</v>
      </c>
      <c r="G179" s="396">
        <v>83250.710000000006</v>
      </c>
      <c r="H179" s="114">
        <f t="shared" si="133"/>
        <v>10.40633875</v>
      </c>
      <c r="I179" s="399">
        <v>115933.39</v>
      </c>
      <c r="J179" s="114">
        <f t="shared" si="134"/>
        <v>14.49167375</v>
      </c>
      <c r="K179" s="396">
        <v>75352.59</v>
      </c>
      <c r="L179" s="114">
        <f t="shared" si="135"/>
        <v>13.60532875</v>
      </c>
      <c r="M179" s="396">
        <v>3581.32</v>
      </c>
      <c r="N179" s="114">
        <f t="shared" si="136"/>
        <v>0.24870277777777783</v>
      </c>
      <c r="O179" s="396">
        <v>92852.69</v>
      </c>
      <c r="P179" s="114">
        <f t="shared" si="137"/>
        <v>16.765069027777777</v>
      </c>
      <c r="Q179" s="396">
        <v>7512779.8899999997</v>
      </c>
      <c r="R179" s="398">
        <f t="shared" si="138"/>
        <v>1669.5066422222221</v>
      </c>
    </row>
    <row r="180" spans="2:18" x14ac:dyDescent="0.3">
      <c r="B180" s="393">
        <f t="shared" si="127"/>
        <v>45650</v>
      </c>
      <c r="C180" s="396">
        <v>5965364.2400000002</v>
      </c>
      <c r="D180" s="114">
        <f t="shared" si="98"/>
        <v>1242.7842166666667</v>
      </c>
      <c r="E180" s="399">
        <v>19387887.879999999</v>
      </c>
      <c r="F180" s="114">
        <f t="shared" si="126"/>
        <v>4039.1433083333327</v>
      </c>
      <c r="G180" s="396">
        <v>83250.710000000006</v>
      </c>
      <c r="H180" s="114">
        <f t="shared" si="133"/>
        <v>10.40633875</v>
      </c>
      <c r="I180" s="399">
        <v>115933.39</v>
      </c>
      <c r="J180" s="114">
        <f t="shared" si="134"/>
        <v>14.49167375</v>
      </c>
      <c r="K180" s="396">
        <v>75352.59</v>
      </c>
      <c r="L180" s="114">
        <f t="shared" si="135"/>
        <v>13.60532875</v>
      </c>
      <c r="M180" s="396">
        <v>3581.32</v>
      </c>
      <c r="N180" s="114">
        <f t="shared" si="136"/>
        <v>0.24870277777777783</v>
      </c>
      <c r="O180" s="396">
        <v>92852.69</v>
      </c>
      <c r="P180" s="114">
        <f t="shared" si="137"/>
        <v>16.765069027777777</v>
      </c>
      <c r="Q180" s="396">
        <v>7512779.8899999997</v>
      </c>
      <c r="R180" s="398">
        <f t="shared" si="138"/>
        <v>1669.5066422222221</v>
      </c>
    </row>
    <row r="181" spans="2:18" x14ac:dyDescent="0.3">
      <c r="B181" s="393">
        <f t="shared" si="127"/>
        <v>45651</v>
      </c>
      <c r="C181" s="396">
        <v>5965364.2400000002</v>
      </c>
      <c r="D181" s="114">
        <f t="shared" si="98"/>
        <v>1242.7842166666667</v>
      </c>
      <c r="E181" s="399">
        <v>19387887.879999999</v>
      </c>
      <c r="F181" s="114">
        <f t="shared" si="126"/>
        <v>4039.1433083333327</v>
      </c>
      <c r="G181" s="396">
        <v>83250.710000000006</v>
      </c>
      <c r="H181" s="114">
        <f t="shared" si="133"/>
        <v>10.40633875</v>
      </c>
      <c r="I181" s="399">
        <v>115933.39</v>
      </c>
      <c r="J181" s="114">
        <f t="shared" si="134"/>
        <v>14.49167375</v>
      </c>
      <c r="K181" s="396">
        <v>75352.59</v>
      </c>
      <c r="L181" s="114">
        <f t="shared" si="135"/>
        <v>13.60532875</v>
      </c>
      <c r="M181" s="396">
        <v>3581.32</v>
      </c>
      <c r="N181" s="114">
        <f t="shared" si="136"/>
        <v>0.24870277777777783</v>
      </c>
      <c r="O181" s="396">
        <v>92852.69</v>
      </c>
      <c r="P181" s="114">
        <f t="shared" si="137"/>
        <v>16.765069027777777</v>
      </c>
      <c r="Q181" s="396">
        <v>7512779.8899999997</v>
      </c>
      <c r="R181" s="398">
        <f t="shared" si="138"/>
        <v>1669.5066422222221</v>
      </c>
    </row>
    <row r="182" spans="2:18" x14ac:dyDescent="0.3">
      <c r="B182" s="393">
        <f t="shared" si="127"/>
        <v>45652</v>
      </c>
      <c r="C182" s="396">
        <v>5965364.2400000002</v>
      </c>
      <c r="D182" s="114">
        <f t="shared" si="98"/>
        <v>1242.7842166666667</v>
      </c>
      <c r="E182" s="399">
        <v>19387887.879999999</v>
      </c>
      <c r="F182" s="114">
        <f t="shared" si="126"/>
        <v>4039.1433083333327</v>
      </c>
      <c r="G182" s="396">
        <v>83250.710000000006</v>
      </c>
      <c r="H182" s="114">
        <f t="shared" si="133"/>
        <v>10.40633875</v>
      </c>
      <c r="I182" s="399">
        <v>115933.39</v>
      </c>
      <c r="J182" s="114">
        <f t="shared" si="134"/>
        <v>14.49167375</v>
      </c>
      <c r="K182" s="396">
        <v>75352.59</v>
      </c>
      <c r="L182" s="114">
        <f t="shared" si="135"/>
        <v>13.60532875</v>
      </c>
      <c r="M182" s="396">
        <v>3581.32</v>
      </c>
      <c r="N182" s="114">
        <f t="shared" si="136"/>
        <v>0.24870277777777783</v>
      </c>
      <c r="O182" s="396">
        <v>92852.69</v>
      </c>
      <c r="P182" s="114">
        <f t="shared" si="137"/>
        <v>16.765069027777777</v>
      </c>
      <c r="Q182" s="396">
        <v>7512779.8899999997</v>
      </c>
      <c r="R182" s="398">
        <f t="shared" si="138"/>
        <v>1669.5066422222221</v>
      </c>
    </row>
    <row r="183" spans="2:18" x14ac:dyDescent="0.3">
      <c r="B183" s="393">
        <f t="shared" si="127"/>
        <v>45653</v>
      </c>
      <c r="C183" s="396">
        <v>5965364.2400000002</v>
      </c>
      <c r="D183" s="114">
        <f t="shared" si="98"/>
        <v>1242.7842166666667</v>
      </c>
      <c r="E183" s="399">
        <v>19387887.879999999</v>
      </c>
      <c r="F183" s="114">
        <f t="shared" si="126"/>
        <v>4039.1433083333327</v>
      </c>
      <c r="G183" s="396">
        <v>83250.710000000006</v>
      </c>
      <c r="H183" s="114">
        <f t="shared" si="133"/>
        <v>10.40633875</v>
      </c>
      <c r="I183" s="399">
        <v>115933.39</v>
      </c>
      <c r="J183" s="114">
        <f t="shared" si="134"/>
        <v>14.49167375</v>
      </c>
      <c r="K183" s="396">
        <v>75352.59</v>
      </c>
      <c r="L183" s="114">
        <f t="shared" si="135"/>
        <v>13.60532875</v>
      </c>
      <c r="M183" s="396">
        <v>3581.32</v>
      </c>
      <c r="N183" s="114">
        <f t="shared" si="136"/>
        <v>0.24870277777777783</v>
      </c>
      <c r="O183" s="396">
        <v>92852.69</v>
      </c>
      <c r="P183" s="114">
        <f t="shared" si="137"/>
        <v>16.765069027777777</v>
      </c>
      <c r="Q183" s="396">
        <v>7512779.8899999997</v>
      </c>
      <c r="R183" s="398">
        <f t="shared" si="138"/>
        <v>1669.5066422222221</v>
      </c>
    </row>
    <row r="184" spans="2:18" x14ac:dyDescent="0.3">
      <c r="B184" s="393">
        <f t="shared" si="127"/>
        <v>45654</v>
      </c>
      <c r="C184" s="396">
        <v>5965364.2400000002</v>
      </c>
      <c r="D184" s="114">
        <f t="shared" si="98"/>
        <v>1242.7842166666667</v>
      </c>
      <c r="E184" s="399">
        <v>19387887.879999999</v>
      </c>
      <c r="F184" s="114">
        <f t="shared" si="126"/>
        <v>4039.1433083333327</v>
      </c>
      <c r="G184" s="396">
        <v>83250.710000000006</v>
      </c>
      <c r="H184" s="114">
        <f t="shared" si="133"/>
        <v>10.40633875</v>
      </c>
      <c r="I184" s="399">
        <v>115933.39</v>
      </c>
      <c r="J184" s="114">
        <f t="shared" si="134"/>
        <v>14.49167375</v>
      </c>
      <c r="K184" s="396">
        <v>75352.59</v>
      </c>
      <c r="L184" s="114">
        <f t="shared" si="135"/>
        <v>13.60532875</v>
      </c>
      <c r="M184" s="396">
        <v>3581.32</v>
      </c>
      <c r="N184" s="114">
        <f t="shared" si="136"/>
        <v>0.24870277777777783</v>
      </c>
      <c r="O184" s="396">
        <v>92852.69</v>
      </c>
      <c r="P184" s="114">
        <f t="shared" si="137"/>
        <v>16.765069027777777</v>
      </c>
      <c r="Q184" s="396">
        <v>7512779.8899999997</v>
      </c>
      <c r="R184" s="398">
        <f t="shared" si="138"/>
        <v>1669.5066422222221</v>
      </c>
    </row>
    <row r="185" spans="2:18" x14ac:dyDescent="0.3">
      <c r="B185" s="393"/>
    </row>
    <row r="186" spans="2:18" x14ac:dyDescent="0.3">
      <c r="B186" s="393"/>
    </row>
    <row r="187" spans="2:18" x14ac:dyDescent="0.3">
      <c r="B187" s="393"/>
    </row>
    <row r="189" spans="2:18" x14ac:dyDescent="0.3">
      <c r="B189" s="393">
        <v>45658</v>
      </c>
      <c r="C189" s="396">
        <v>6050314.2400000002</v>
      </c>
      <c r="D189" s="114">
        <f t="shared" ref="D189:D248" si="139">(C189*7.5%)/360</f>
        <v>1260.4821333333334</v>
      </c>
      <c r="E189" s="399">
        <v>19935404.879999999</v>
      </c>
      <c r="F189" s="114">
        <f t="shared" ref="F189:F220" si="140">(E189*7.5%)/360</f>
        <v>4153.2093500000001</v>
      </c>
      <c r="G189" s="396">
        <v>92720.97</v>
      </c>
      <c r="H189" s="114">
        <f t="shared" ref="H189:H213" si="141">(G189*4.5%)/360</f>
        <v>11.590121250000001</v>
      </c>
      <c r="I189" s="399">
        <v>119400.16</v>
      </c>
      <c r="J189" s="114">
        <f t="shared" ref="J189:J206" si="142">(I189*4.5%)/360</f>
        <v>14.92502</v>
      </c>
      <c r="K189" s="396">
        <v>74993.59</v>
      </c>
      <c r="L189" s="114">
        <f t="shared" ref="L189:L206" si="143">(K189*6.5%)/360</f>
        <v>13.540509305555556</v>
      </c>
      <c r="M189" s="396">
        <v>2677.67</v>
      </c>
      <c r="N189" s="114">
        <f t="shared" ref="N189:N206" si="144">(M189*2.5%)/360</f>
        <v>0.18594930555555556</v>
      </c>
      <c r="O189" s="396">
        <v>89319.01</v>
      </c>
      <c r="P189" s="114">
        <f t="shared" ref="P189:P206" si="145">(O189*6.5%)/360</f>
        <v>16.127043472222223</v>
      </c>
      <c r="Q189" s="396">
        <v>8324342</v>
      </c>
      <c r="R189" s="398">
        <f t="shared" ref="R189:R206" si="146">(Q189*8%)/360</f>
        <v>1849.8537777777779</v>
      </c>
    </row>
    <row r="190" spans="2:18" x14ac:dyDescent="0.3">
      <c r="B190" s="393">
        <f t="shared" ref="B190:B253" si="147">B189+1</f>
        <v>45659</v>
      </c>
      <c r="C190" s="396">
        <v>6050314.2400000002</v>
      </c>
      <c r="D190" s="114">
        <f t="shared" si="139"/>
        <v>1260.4821333333334</v>
      </c>
      <c r="E190" s="399">
        <v>19994718.280000001</v>
      </c>
      <c r="F190" s="114">
        <f t="shared" si="140"/>
        <v>4165.5663083333338</v>
      </c>
      <c r="G190" s="396">
        <v>92720.97</v>
      </c>
      <c r="H190" s="114">
        <f t="shared" si="141"/>
        <v>11.590121250000001</v>
      </c>
      <c r="I190" s="399">
        <v>119400.16</v>
      </c>
      <c r="J190" s="114">
        <f t="shared" si="142"/>
        <v>14.92502</v>
      </c>
      <c r="K190" s="396">
        <v>74993.59</v>
      </c>
      <c r="L190" s="114">
        <f t="shared" si="143"/>
        <v>13.540509305555556</v>
      </c>
      <c r="M190" s="396">
        <v>2677.67</v>
      </c>
      <c r="N190" s="114">
        <f t="shared" si="144"/>
        <v>0.18594930555555556</v>
      </c>
      <c r="O190" s="396">
        <v>89319.01</v>
      </c>
      <c r="P190" s="114">
        <f t="shared" si="145"/>
        <v>16.127043472222223</v>
      </c>
      <c r="Q190" s="396">
        <v>8324342</v>
      </c>
      <c r="R190" s="398">
        <f t="shared" si="146"/>
        <v>1849.8537777777779</v>
      </c>
    </row>
    <row r="191" spans="2:18" x14ac:dyDescent="0.3">
      <c r="B191" s="393">
        <f t="shared" si="147"/>
        <v>45660</v>
      </c>
      <c r="C191" s="396">
        <v>6050314.2400000002</v>
      </c>
      <c r="D191" s="114">
        <f t="shared" si="139"/>
        <v>1260.4821333333334</v>
      </c>
      <c r="E191" s="399">
        <v>19994718.280000001</v>
      </c>
      <c r="F191" s="114">
        <f t="shared" si="140"/>
        <v>4165.5663083333338</v>
      </c>
      <c r="G191" s="396">
        <v>92720.97</v>
      </c>
      <c r="H191" s="114">
        <f t="shared" si="141"/>
        <v>11.590121250000001</v>
      </c>
      <c r="I191" s="399">
        <v>119400.16</v>
      </c>
      <c r="J191" s="114">
        <f t="shared" si="142"/>
        <v>14.92502</v>
      </c>
      <c r="K191" s="396">
        <v>74993.59</v>
      </c>
      <c r="L191" s="114">
        <f t="shared" si="143"/>
        <v>13.540509305555556</v>
      </c>
      <c r="M191" s="396">
        <v>2677.67</v>
      </c>
      <c r="N191" s="114">
        <f t="shared" si="144"/>
        <v>0.18594930555555556</v>
      </c>
      <c r="O191" s="396">
        <v>89319.01</v>
      </c>
      <c r="P191" s="114">
        <f t="shared" si="145"/>
        <v>16.127043472222223</v>
      </c>
      <c r="Q191" s="396">
        <v>8324342</v>
      </c>
      <c r="R191" s="398">
        <f t="shared" si="146"/>
        <v>1849.8537777777779</v>
      </c>
    </row>
    <row r="192" spans="2:18" x14ac:dyDescent="0.3">
      <c r="B192" s="393">
        <f t="shared" si="147"/>
        <v>45661</v>
      </c>
      <c r="C192" s="396">
        <v>6050314.2400000002</v>
      </c>
      <c r="D192" s="114">
        <f t="shared" si="139"/>
        <v>1260.4821333333334</v>
      </c>
      <c r="E192" s="399">
        <v>19994718.280000001</v>
      </c>
      <c r="F192" s="114">
        <f t="shared" si="140"/>
        <v>4165.5663083333338</v>
      </c>
      <c r="G192" s="396">
        <v>92720.97</v>
      </c>
      <c r="H192" s="114">
        <f t="shared" si="141"/>
        <v>11.590121250000001</v>
      </c>
      <c r="I192" s="399">
        <v>119400.16</v>
      </c>
      <c r="J192" s="114">
        <f t="shared" si="142"/>
        <v>14.92502</v>
      </c>
      <c r="K192" s="396">
        <v>74993.59</v>
      </c>
      <c r="L192" s="114">
        <f t="shared" si="143"/>
        <v>13.540509305555556</v>
      </c>
      <c r="M192" s="396">
        <v>2677.67</v>
      </c>
      <c r="N192" s="114">
        <f t="shared" si="144"/>
        <v>0.18594930555555556</v>
      </c>
      <c r="O192" s="396">
        <v>89319.01</v>
      </c>
      <c r="P192" s="114">
        <f t="shared" si="145"/>
        <v>16.127043472222223</v>
      </c>
      <c r="Q192" s="396">
        <v>8324342</v>
      </c>
      <c r="R192" s="398">
        <f t="shared" si="146"/>
        <v>1849.8537777777779</v>
      </c>
    </row>
    <row r="193" spans="2:18" x14ac:dyDescent="0.3">
      <c r="B193" s="393">
        <f t="shared" si="147"/>
        <v>45662</v>
      </c>
      <c r="C193" s="396">
        <v>6050314.2400000002</v>
      </c>
      <c r="D193" s="114">
        <f t="shared" si="139"/>
        <v>1260.4821333333334</v>
      </c>
      <c r="E193" s="399">
        <v>19994718.280000001</v>
      </c>
      <c r="F193" s="114">
        <f t="shared" si="140"/>
        <v>4165.5663083333338</v>
      </c>
      <c r="G193" s="396">
        <v>92720.97</v>
      </c>
      <c r="H193" s="114">
        <f t="shared" si="141"/>
        <v>11.590121250000001</v>
      </c>
      <c r="I193" s="399">
        <v>119400.16</v>
      </c>
      <c r="J193" s="114">
        <f t="shared" si="142"/>
        <v>14.92502</v>
      </c>
      <c r="K193" s="396">
        <v>74993.59</v>
      </c>
      <c r="L193" s="114">
        <f t="shared" si="143"/>
        <v>13.540509305555556</v>
      </c>
      <c r="M193" s="396">
        <v>2677.67</v>
      </c>
      <c r="N193" s="114">
        <f t="shared" si="144"/>
        <v>0.18594930555555556</v>
      </c>
      <c r="O193" s="396">
        <v>89319.01</v>
      </c>
      <c r="P193" s="114">
        <f t="shared" si="145"/>
        <v>16.127043472222223</v>
      </c>
      <c r="Q193" s="396">
        <v>8324342</v>
      </c>
      <c r="R193" s="398">
        <f t="shared" si="146"/>
        <v>1849.8537777777779</v>
      </c>
    </row>
    <row r="194" spans="2:18" x14ac:dyDescent="0.3">
      <c r="B194" s="393">
        <f t="shared" si="147"/>
        <v>45663</v>
      </c>
      <c r="C194" s="396">
        <v>14050314.24</v>
      </c>
      <c r="D194" s="114">
        <f t="shared" si="139"/>
        <v>2927.1487999999999</v>
      </c>
      <c r="E194" s="399">
        <v>19504780.079999998</v>
      </c>
      <c r="F194" s="114">
        <f t="shared" si="140"/>
        <v>4063.4958499999993</v>
      </c>
      <c r="G194" s="396">
        <v>92720.97</v>
      </c>
      <c r="H194" s="114">
        <f t="shared" si="141"/>
        <v>11.590121250000001</v>
      </c>
      <c r="I194" s="399">
        <v>234390.16</v>
      </c>
      <c r="J194" s="114">
        <f t="shared" si="142"/>
        <v>29.298769999999998</v>
      </c>
      <c r="K194" s="396">
        <v>74993.59</v>
      </c>
      <c r="L194" s="114">
        <f t="shared" si="143"/>
        <v>13.540509305555556</v>
      </c>
      <c r="M194" s="396">
        <v>2677.67</v>
      </c>
      <c r="N194" s="114">
        <f t="shared" si="144"/>
        <v>0.18594930555555556</v>
      </c>
      <c r="O194" s="396">
        <v>89319.01</v>
      </c>
      <c r="P194" s="114">
        <f t="shared" si="145"/>
        <v>16.127043472222223</v>
      </c>
      <c r="Q194" s="396">
        <v>324242.06</v>
      </c>
      <c r="R194" s="398">
        <f t="shared" si="146"/>
        <v>72.05379111111111</v>
      </c>
    </row>
    <row r="195" spans="2:18" x14ac:dyDescent="0.3">
      <c r="B195" s="393">
        <f t="shared" si="147"/>
        <v>45664</v>
      </c>
      <c r="C195" s="396">
        <v>4050314.24</v>
      </c>
      <c r="D195" s="114">
        <f t="shared" si="139"/>
        <v>843.81546666666679</v>
      </c>
      <c r="E195" s="399">
        <v>29504780.079999998</v>
      </c>
      <c r="F195" s="114">
        <f t="shared" si="140"/>
        <v>6146.8291833333324</v>
      </c>
      <c r="G195" s="396">
        <v>92720.97</v>
      </c>
      <c r="H195" s="114">
        <f t="shared" si="141"/>
        <v>11.590121250000001</v>
      </c>
      <c r="I195" s="399">
        <v>234390.16</v>
      </c>
      <c r="J195" s="114">
        <f t="shared" si="142"/>
        <v>29.298769999999998</v>
      </c>
      <c r="K195" s="396">
        <v>74993.59</v>
      </c>
      <c r="L195" s="114">
        <f t="shared" si="143"/>
        <v>13.540509305555556</v>
      </c>
      <c r="M195" s="396">
        <v>2677.67</v>
      </c>
      <c r="N195" s="114">
        <f t="shared" si="144"/>
        <v>0.18594930555555556</v>
      </c>
      <c r="O195" s="396">
        <v>89319.01</v>
      </c>
      <c r="P195" s="114">
        <f t="shared" si="145"/>
        <v>16.127043472222223</v>
      </c>
      <c r="Q195" s="396">
        <v>324242.06</v>
      </c>
      <c r="R195" s="398">
        <f t="shared" si="146"/>
        <v>72.05379111111111</v>
      </c>
    </row>
    <row r="196" spans="2:18" x14ac:dyDescent="0.3">
      <c r="B196" s="393">
        <f t="shared" si="147"/>
        <v>45665</v>
      </c>
      <c r="C196" s="396">
        <v>4050314.24</v>
      </c>
      <c r="D196" s="114">
        <f t="shared" si="139"/>
        <v>843.81546666666679</v>
      </c>
      <c r="E196" s="399">
        <v>28909610.879999999</v>
      </c>
      <c r="F196" s="114">
        <f t="shared" si="140"/>
        <v>6022.8355999999994</v>
      </c>
      <c r="G196" s="396">
        <v>92720.97</v>
      </c>
      <c r="H196" s="114">
        <f t="shared" si="141"/>
        <v>11.590121250000001</v>
      </c>
      <c r="I196" s="399">
        <v>234390.16</v>
      </c>
      <c r="J196" s="114">
        <f t="shared" si="142"/>
        <v>29.298769999999998</v>
      </c>
      <c r="K196" s="396">
        <v>74993.59</v>
      </c>
      <c r="L196" s="114">
        <f t="shared" si="143"/>
        <v>13.540509305555556</v>
      </c>
      <c r="M196" s="396">
        <v>2677.67</v>
      </c>
      <c r="N196" s="114">
        <f t="shared" si="144"/>
        <v>0.18594930555555556</v>
      </c>
      <c r="O196" s="396">
        <v>89319.01</v>
      </c>
      <c r="P196" s="114">
        <f t="shared" si="145"/>
        <v>16.127043472222223</v>
      </c>
      <c r="Q196" s="396">
        <v>324242.06</v>
      </c>
      <c r="R196" s="398">
        <f t="shared" si="146"/>
        <v>72.05379111111111</v>
      </c>
    </row>
    <row r="197" spans="2:18" x14ac:dyDescent="0.3">
      <c r="B197" s="393">
        <f t="shared" si="147"/>
        <v>45666</v>
      </c>
      <c r="C197" s="396">
        <v>4050314.24</v>
      </c>
      <c r="D197" s="114">
        <f t="shared" si="139"/>
        <v>843.81546666666679</v>
      </c>
      <c r="E197" s="399">
        <v>28909610.879999999</v>
      </c>
      <c r="F197" s="114">
        <f t="shared" si="140"/>
        <v>6022.8355999999994</v>
      </c>
      <c r="G197" s="396">
        <v>92720.97</v>
      </c>
      <c r="H197" s="114">
        <f t="shared" si="141"/>
        <v>11.590121250000001</v>
      </c>
      <c r="I197" s="399">
        <v>234390.16</v>
      </c>
      <c r="J197" s="114">
        <f t="shared" si="142"/>
        <v>29.298769999999998</v>
      </c>
      <c r="K197" s="396">
        <v>74993.59</v>
      </c>
      <c r="L197" s="114">
        <f t="shared" si="143"/>
        <v>13.540509305555556</v>
      </c>
      <c r="M197" s="396">
        <v>2677.67</v>
      </c>
      <c r="N197" s="114">
        <f t="shared" si="144"/>
        <v>0.18594930555555556</v>
      </c>
      <c r="O197" s="396">
        <v>89319.01</v>
      </c>
      <c r="P197" s="114">
        <f t="shared" si="145"/>
        <v>16.127043472222223</v>
      </c>
      <c r="Q197" s="396">
        <v>324242.06</v>
      </c>
      <c r="R197" s="398">
        <f t="shared" si="146"/>
        <v>72.05379111111111</v>
      </c>
    </row>
    <row r="198" spans="2:18" x14ac:dyDescent="0.3">
      <c r="B198" s="393">
        <f t="shared" si="147"/>
        <v>45667</v>
      </c>
      <c r="C198" s="396">
        <v>4050314.24</v>
      </c>
      <c r="D198" s="114">
        <f t="shared" si="139"/>
        <v>843.81546666666679</v>
      </c>
      <c r="E198" s="399">
        <v>28909610.879999999</v>
      </c>
      <c r="F198" s="114">
        <f t="shared" si="140"/>
        <v>6022.8355999999994</v>
      </c>
      <c r="G198" s="396">
        <v>92720.97</v>
      </c>
      <c r="H198" s="114">
        <f t="shared" si="141"/>
        <v>11.590121250000001</v>
      </c>
      <c r="I198" s="399">
        <v>234390.16</v>
      </c>
      <c r="J198" s="114">
        <f t="shared" si="142"/>
        <v>29.298769999999998</v>
      </c>
      <c r="K198" s="396">
        <v>74993.59</v>
      </c>
      <c r="L198" s="114">
        <f t="shared" si="143"/>
        <v>13.540509305555556</v>
      </c>
      <c r="M198" s="396">
        <v>2677.67</v>
      </c>
      <c r="N198" s="114">
        <f t="shared" si="144"/>
        <v>0.18594930555555556</v>
      </c>
      <c r="O198" s="396">
        <v>89319.01</v>
      </c>
      <c r="P198" s="114">
        <f t="shared" si="145"/>
        <v>16.127043472222223</v>
      </c>
      <c r="Q198" s="396">
        <v>324242.06</v>
      </c>
      <c r="R198" s="398">
        <f t="shared" si="146"/>
        <v>72.05379111111111</v>
      </c>
    </row>
    <row r="199" spans="2:18" x14ac:dyDescent="0.3">
      <c r="B199" s="393">
        <f t="shared" si="147"/>
        <v>45668</v>
      </c>
      <c r="C199" s="396">
        <v>4050314.24</v>
      </c>
      <c r="D199" s="114">
        <f t="shared" si="139"/>
        <v>843.81546666666679</v>
      </c>
      <c r="E199" s="399">
        <v>28909610.879999999</v>
      </c>
      <c r="F199" s="114">
        <f t="shared" si="140"/>
        <v>6022.8355999999994</v>
      </c>
      <c r="G199" s="396">
        <v>92720.97</v>
      </c>
      <c r="H199" s="114">
        <f t="shared" si="141"/>
        <v>11.590121250000001</v>
      </c>
      <c r="I199" s="399">
        <v>234390.16</v>
      </c>
      <c r="J199" s="114">
        <f t="shared" si="142"/>
        <v>29.298769999999998</v>
      </c>
      <c r="K199" s="396">
        <v>74993.59</v>
      </c>
      <c r="L199" s="114">
        <f t="shared" si="143"/>
        <v>13.540509305555556</v>
      </c>
      <c r="M199" s="396">
        <v>2677.67</v>
      </c>
      <c r="N199" s="114">
        <f t="shared" si="144"/>
        <v>0.18594930555555556</v>
      </c>
      <c r="O199" s="396">
        <v>89319.01</v>
      </c>
      <c r="P199" s="114">
        <f t="shared" si="145"/>
        <v>16.127043472222223</v>
      </c>
      <c r="Q199" s="396">
        <v>324242.06</v>
      </c>
      <c r="R199" s="398">
        <f t="shared" si="146"/>
        <v>72.05379111111111</v>
      </c>
    </row>
    <row r="200" spans="2:18" x14ac:dyDescent="0.3">
      <c r="B200" s="393">
        <f t="shared" si="147"/>
        <v>45669</v>
      </c>
      <c r="C200" s="396">
        <v>4050314.24</v>
      </c>
      <c r="D200" s="114">
        <f t="shared" si="139"/>
        <v>843.81546666666679</v>
      </c>
      <c r="E200" s="399">
        <v>28909610.879999999</v>
      </c>
      <c r="F200" s="114">
        <f t="shared" si="140"/>
        <v>6022.8355999999994</v>
      </c>
      <c r="G200" s="396">
        <v>92720.97</v>
      </c>
      <c r="H200" s="114">
        <f t="shared" si="141"/>
        <v>11.590121250000001</v>
      </c>
      <c r="I200" s="399">
        <v>234390.16</v>
      </c>
      <c r="J200" s="114">
        <f t="shared" si="142"/>
        <v>29.298769999999998</v>
      </c>
      <c r="K200" s="396">
        <v>74993.59</v>
      </c>
      <c r="L200" s="114">
        <f t="shared" si="143"/>
        <v>13.540509305555556</v>
      </c>
      <c r="M200" s="396">
        <v>2677.67</v>
      </c>
      <c r="N200" s="114">
        <f t="shared" si="144"/>
        <v>0.18594930555555556</v>
      </c>
      <c r="O200" s="396">
        <v>89319.01</v>
      </c>
      <c r="P200" s="114">
        <f t="shared" si="145"/>
        <v>16.127043472222223</v>
      </c>
      <c r="Q200" s="396">
        <v>324242.06</v>
      </c>
      <c r="R200" s="398">
        <f t="shared" si="146"/>
        <v>72.05379111111111</v>
      </c>
    </row>
    <row r="201" spans="2:18" x14ac:dyDescent="0.3">
      <c r="B201" s="393">
        <f t="shared" si="147"/>
        <v>45670</v>
      </c>
      <c r="C201" s="396">
        <v>4050314.24</v>
      </c>
      <c r="D201" s="114">
        <f t="shared" si="139"/>
        <v>843.81546666666679</v>
      </c>
      <c r="E201" s="399">
        <v>28745145.190000001</v>
      </c>
      <c r="F201" s="114">
        <f t="shared" si="140"/>
        <v>5988.5719145833336</v>
      </c>
      <c r="G201" s="396">
        <v>92720.97</v>
      </c>
      <c r="H201" s="114">
        <f t="shared" si="141"/>
        <v>11.590121250000001</v>
      </c>
      <c r="I201" s="399">
        <v>234390.16</v>
      </c>
      <c r="J201" s="114">
        <f t="shared" si="142"/>
        <v>29.298769999999998</v>
      </c>
      <c r="K201" s="396">
        <v>74993.59</v>
      </c>
      <c r="L201" s="114">
        <f t="shared" si="143"/>
        <v>13.540509305555556</v>
      </c>
      <c r="M201" s="396">
        <v>2677.67</v>
      </c>
      <c r="N201" s="114">
        <f t="shared" si="144"/>
        <v>0.18594930555555556</v>
      </c>
      <c r="O201" s="396">
        <v>89319.01</v>
      </c>
      <c r="P201" s="114">
        <f t="shared" si="145"/>
        <v>16.127043472222223</v>
      </c>
      <c r="Q201" s="396">
        <v>324242.06</v>
      </c>
      <c r="R201" s="398">
        <f t="shared" si="146"/>
        <v>72.05379111111111</v>
      </c>
    </row>
    <row r="202" spans="2:18" x14ac:dyDescent="0.3">
      <c r="B202" s="393">
        <f t="shared" si="147"/>
        <v>45671</v>
      </c>
      <c r="C202" s="396">
        <v>4050314.24</v>
      </c>
      <c r="D202" s="114">
        <f t="shared" si="139"/>
        <v>843.81546666666679</v>
      </c>
      <c r="E202" s="399">
        <v>29189263.59</v>
      </c>
      <c r="F202" s="114">
        <f t="shared" si="140"/>
        <v>6081.0965812499999</v>
      </c>
      <c r="G202" s="396">
        <v>92720.97</v>
      </c>
      <c r="H202" s="114">
        <f t="shared" si="141"/>
        <v>11.590121250000001</v>
      </c>
      <c r="I202" s="399">
        <v>234390.16</v>
      </c>
      <c r="J202" s="114">
        <f t="shared" si="142"/>
        <v>29.298769999999998</v>
      </c>
      <c r="K202" s="396">
        <v>74993.59</v>
      </c>
      <c r="L202" s="114">
        <f t="shared" si="143"/>
        <v>13.540509305555556</v>
      </c>
      <c r="M202" s="396">
        <v>2677.67</v>
      </c>
      <c r="N202" s="114">
        <f t="shared" si="144"/>
        <v>0.18594930555555556</v>
      </c>
      <c r="O202" s="396">
        <v>89319.01</v>
      </c>
      <c r="P202" s="114">
        <f t="shared" si="145"/>
        <v>16.127043472222223</v>
      </c>
      <c r="Q202" s="396">
        <v>324242.06</v>
      </c>
      <c r="R202" s="398">
        <f t="shared" si="146"/>
        <v>72.05379111111111</v>
      </c>
    </row>
    <row r="203" spans="2:18" x14ac:dyDescent="0.3">
      <c r="B203" s="393">
        <f t="shared" si="147"/>
        <v>45672</v>
      </c>
      <c r="C203" s="396">
        <v>4050314.24</v>
      </c>
      <c r="D203" s="114">
        <f t="shared" si="139"/>
        <v>843.81546666666679</v>
      </c>
      <c r="E203" s="399">
        <v>29189263.59</v>
      </c>
      <c r="F203" s="114">
        <f t="shared" si="140"/>
        <v>6081.0965812499999</v>
      </c>
      <c r="G203" s="396">
        <v>92720.97</v>
      </c>
      <c r="H203" s="114">
        <f t="shared" si="141"/>
        <v>11.590121250000001</v>
      </c>
      <c r="I203" s="399">
        <v>234390.16</v>
      </c>
      <c r="J203" s="114">
        <f t="shared" si="142"/>
        <v>29.298769999999998</v>
      </c>
      <c r="K203" s="396">
        <v>74993.59</v>
      </c>
      <c r="L203" s="114">
        <f t="shared" si="143"/>
        <v>13.540509305555556</v>
      </c>
      <c r="M203" s="396">
        <v>2677.67</v>
      </c>
      <c r="N203" s="114">
        <f t="shared" si="144"/>
        <v>0.18594930555555556</v>
      </c>
      <c r="O203" s="396">
        <v>89319.01</v>
      </c>
      <c r="P203" s="114">
        <f t="shared" si="145"/>
        <v>16.127043472222223</v>
      </c>
      <c r="Q203" s="396">
        <v>324242.06</v>
      </c>
      <c r="R203" s="398">
        <f t="shared" si="146"/>
        <v>72.05379111111111</v>
      </c>
    </row>
    <row r="204" spans="2:18" x14ac:dyDescent="0.3">
      <c r="B204" s="393">
        <f t="shared" si="147"/>
        <v>45673</v>
      </c>
      <c r="C204" s="396">
        <v>4050314.24</v>
      </c>
      <c r="D204" s="114">
        <f t="shared" si="139"/>
        <v>843.81546666666679</v>
      </c>
      <c r="E204" s="399">
        <v>29189263.59</v>
      </c>
      <c r="F204" s="114">
        <f t="shared" si="140"/>
        <v>6081.0965812499999</v>
      </c>
      <c r="G204" s="396">
        <v>92720.97</v>
      </c>
      <c r="H204" s="114">
        <f t="shared" si="141"/>
        <v>11.590121250000001</v>
      </c>
      <c r="I204" s="399">
        <v>234390.16</v>
      </c>
      <c r="J204" s="114">
        <f t="shared" si="142"/>
        <v>29.298769999999998</v>
      </c>
      <c r="K204" s="396">
        <v>74993.59</v>
      </c>
      <c r="L204" s="114">
        <f t="shared" si="143"/>
        <v>13.540509305555556</v>
      </c>
      <c r="M204" s="396">
        <v>2677.67</v>
      </c>
      <c r="N204" s="114">
        <f t="shared" si="144"/>
        <v>0.18594930555555556</v>
      </c>
      <c r="O204" s="396">
        <v>89319.01</v>
      </c>
      <c r="P204" s="114">
        <f t="shared" si="145"/>
        <v>16.127043472222223</v>
      </c>
      <c r="Q204" s="396">
        <v>324242.06</v>
      </c>
      <c r="R204" s="398">
        <f t="shared" si="146"/>
        <v>72.05379111111111</v>
      </c>
    </row>
    <row r="205" spans="2:18" x14ac:dyDescent="0.3">
      <c r="B205" s="393">
        <f t="shared" si="147"/>
        <v>45674</v>
      </c>
      <c r="C205" s="396">
        <v>4050314.24</v>
      </c>
      <c r="D205" s="114">
        <f t="shared" si="139"/>
        <v>843.81546666666679</v>
      </c>
      <c r="E205" s="399">
        <v>29189263.59</v>
      </c>
      <c r="F205" s="114">
        <f t="shared" si="140"/>
        <v>6081.0965812499999</v>
      </c>
      <c r="G205" s="396">
        <v>92720.97</v>
      </c>
      <c r="H205" s="114">
        <f t="shared" si="141"/>
        <v>11.590121250000001</v>
      </c>
      <c r="I205" s="399">
        <v>234390.16</v>
      </c>
      <c r="J205" s="114">
        <f t="shared" si="142"/>
        <v>29.298769999999998</v>
      </c>
      <c r="K205" s="396">
        <v>74993.59</v>
      </c>
      <c r="L205" s="114">
        <f t="shared" si="143"/>
        <v>13.540509305555556</v>
      </c>
      <c r="M205" s="396">
        <v>2677.67</v>
      </c>
      <c r="N205" s="114">
        <f t="shared" si="144"/>
        <v>0.18594930555555556</v>
      </c>
      <c r="O205" s="396">
        <v>89319.01</v>
      </c>
      <c r="P205" s="114">
        <f t="shared" si="145"/>
        <v>16.127043472222223</v>
      </c>
      <c r="Q205" s="396">
        <v>324242.06</v>
      </c>
      <c r="R205" s="398">
        <f t="shared" si="146"/>
        <v>72.05379111111111</v>
      </c>
    </row>
    <row r="206" spans="2:18" x14ac:dyDescent="0.3">
      <c r="B206" s="393">
        <f t="shared" si="147"/>
        <v>45675</v>
      </c>
      <c r="C206" s="396">
        <v>4050314.24</v>
      </c>
      <c r="D206" s="114">
        <f t="shared" si="139"/>
        <v>843.81546666666679</v>
      </c>
      <c r="E206" s="399">
        <v>29189263.59</v>
      </c>
      <c r="F206" s="114">
        <f t="shared" si="140"/>
        <v>6081.0965812499999</v>
      </c>
      <c r="G206" s="396">
        <v>92720.97</v>
      </c>
      <c r="H206" s="114">
        <f t="shared" si="141"/>
        <v>11.590121250000001</v>
      </c>
      <c r="I206" s="399">
        <v>234390.16</v>
      </c>
      <c r="J206" s="114">
        <f t="shared" si="142"/>
        <v>29.298769999999998</v>
      </c>
      <c r="K206" s="396">
        <v>74993.59</v>
      </c>
      <c r="L206" s="114">
        <f t="shared" si="143"/>
        <v>13.540509305555556</v>
      </c>
      <c r="M206" s="396">
        <v>2677.67</v>
      </c>
      <c r="N206" s="114">
        <f t="shared" si="144"/>
        <v>0.18594930555555556</v>
      </c>
      <c r="O206" s="396">
        <v>89319.01</v>
      </c>
      <c r="P206" s="114">
        <f t="shared" si="145"/>
        <v>16.127043472222223</v>
      </c>
      <c r="Q206" s="396">
        <v>324242.06</v>
      </c>
      <c r="R206" s="398">
        <f t="shared" si="146"/>
        <v>72.05379111111111</v>
      </c>
    </row>
    <row r="207" spans="2:18" x14ac:dyDescent="0.3">
      <c r="B207" s="393">
        <f t="shared" si="147"/>
        <v>45676</v>
      </c>
      <c r="C207" s="396">
        <v>4050314.24</v>
      </c>
      <c r="D207" s="114">
        <f t="shared" si="139"/>
        <v>843.81546666666679</v>
      </c>
      <c r="E207" s="399">
        <v>20257398.859999999</v>
      </c>
      <c r="F207" s="114">
        <f t="shared" si="140"/>
        <v>4220.2914291666666</v>
      </c>
      <c r="G207" s="396">
        <v>92720.97</v>
      </c>
      <c r="H207" s="114">
        <f t="shared" si="141"/>
        <v>11.590121250000001</v>
      </c>
      <c r="I207" s="399">
        <v>234390.16</v>
      </c>
      <c r="J207" s="114">
        <f t="shared" ref="J207:J213" si="148">(I207*4.5%)/360</f>
        <v>29.298769999999998</v>
      </c>
      <c r="K207" s="396">
        <v>74993.59</v>
      </c>
      <c r="L207" s="114">
        <f t="shared" ref="L207:L213" si="149">(K207*6.5%)/360</f>
        <v>13.540509305555556</v>
      </c>
      <c r="M207" s="396">
        <v>2677.67</v>
      </c>
      <c r="N207" s="114">
        <f t="shared" ref="N207:N213" si="150">(M207*2.5%)/360</f>
        <v>0.18594930555555556</v>
      </c>
      <c r="O207" s="396">
        <v>89319.01</v>
      </c>
      <c r="P207" s="114">
        <f t="shared" ref="P207:P213" si="151">(O207*6.5%)/360</f>
        <v>16.127043472222223</v>
      </c>
      <c r="Q207" s="396">
        <v>324242.06</v>
      </c>
      <c r="R207" s="398">
        <f t="shared" ref="R207:R213" si="152">(Q207*8%)/360</f>
        <v>72.05379111111111</v>
      </c>
    </row>
    <row r="208" spans="2:18" x14ac:dyDescent="0.3">
      <c r="B208" s="393">
        <f t="shared" si="147"/>
        <v>45677</v>
      </c>
      <c r="C208" s="396">
        <v>4050314.24</v>
      </c>
      <c r="D208" s="114">
        <f t="shared" si="139"/>
        <v>843.81546666666679</v>
      </c>
      <c r="E208" s="399">
        <v>20257398.859999999</v>
      </c>
      <c r="F208" s="114">
        <f t="shared" si="140"/>
        <v>4220.2914291666666</v>
      </c>
      <c r="G208" s="396">
        <v>92720.97</v>
      </c>
      <c r="H208" s="114">
        <f t="shared" si="141"/>
        <v>11.590121250000001</v>
      </c>
      <c r="I208" s="399">
        <v>234390.16</v>
      </c>
      <c r="J208" s="114">
        <f t="shared" si="148"/>
        <v>29.298769999999998</v>
      </c>
      <c r="K208" s="396">
        <v>74993.59</v>
      </c>
      <c r="L208" s="114">
        <f t="shared" si="149"/>
        <v>13.540509305555556</v>
      </c>
      <c r="M208" s="396">
        <v>2677.67</v>
      </c>
      <c r="N208" s="114">
        <f t="shared" si="150"/>
        <v>0.18594930555555556</v>
      </c>
      <c r="O208" s="396">
        <v>89319.01</v>
      </c>
      <c r="P208" s="114">
        <f t="shared" si="151"/>
        <v>16.127043472222223</v>
      </c>
      <c r="Q208" s="396">
        <v>324242.06</v>
      </c>
      <c r="R208" s="398">
        <f t="shared" si="152"/>
        <v>72.05379111111111</v>
      </c>
    </row>
    <row r="209" spans="2:18" x14ac:dyDescent="0.3">
      <c r="B209" s="393">
        <f t="shared" si="147"/>
        <v>45678</v>
      </c>
      <c r="C209" s="396">
        <v>4050314.24</v>
      </c>
      <c r="D209" s="114">
        <f t="shared" si="139"/>
        <v>843.81546666666679</v>
      </c>
      <c r="E209" s="399">
        <v>20257398.859999999</v>
      </c>
      <c r="F209" s="114">
        <f t="shared" si="140"/>
        <v>4220.2914291666666</v>
      </c>
      <c r="G209" s="396">
        <v>92720.97</v>
      </c>
      <c r="H209" s="114">
        <f t="shared" si="141"/>
        <v>11.590121250000001</v>
      </c>
      <c r="I209" s="399">
        <v>234257.56</v>
      </c>
      <c r="J209" s="114">
        <f t="shared" si="148"/>
        <v>29.282194999999998</v>
      </c>
      <c r="K209" s="396">
        <v>74993.59</v>
      </c>
      <c r="L209" s="114">
        <f t="shared" si="149"/>
        <v>13.540509305555556</v>
      </c>
      <c r="M209" s="396">
        <v>2677.67</v>
      </c>
      <c r="N209" s="114">
        <f t="shared" si="150"/>
        <v>0.18594930555555556</v>
      </c>
      <c r="O209" s="396">
        <v>89319.01</v>
      </c>
      <c r="P209" s="114">
        <f t="shared" si="151"/>
        <v>16.127043472222223</v>
      </c>
      <c r="Q209" s="396">
        <v>324242.06</v>
      </c>
      <c r="R209" s="398">
        <f t="shared" si="152"/>
        <v>72.05379111111111</v>
      </c>
    </row>
    <row r="210" spans="2:18" x14ac:dyDescent="0.3">
      <c r="B210" s="393">
        <f t="shared" si="147"/>
        <v>45679</v>
      </c>
      <c r="C210" s="396">
        <v>4050314.24</v>
      </c>
      <c r="D210" s="114">
        <f t="shared" si="139"/>
        <v>843.81546666666679</v>
      </c>
      <c r="E210" s="399">
        <v>20257398.859999999</v>
      </c>
      <c r="F210" s="114">
        <f t="shared" si="140"/>
        <v>4220.2914291666666</v>
      </c>
      <c r="G210" s="396">
        <v>92720.97</v>
      </c>
      <c r="H210" s="114">
        <f t="shared" si="141"/>
        <v>11.590121250000001</v>
      </c>
      <c r="I210" s="399">
        <v>234257.56</v>
      </c>
      <c r="J210" s="114">
        <f t="shared" si="148"/>
        <v>29.282194999999998</v>
      </c>
      <c r="K210" s="396">
        <v>74993.59</v>
      </c>
      <c r="L210" s="114">
        <f t="shared" si="149"/>
        <v>13.540509305555556</v>
      </c>
      <c r="M210" s="396">
        <v>2677.67</v>
      </c>
      <c r="N210" s="114">
        <f t="shared" si="150"/>
        <v>0.18594930555555556</v>
      </c>
      <c r="O210" s="396">
        <v>89319.01</v>
      </c>
      <c r="P210" s="114">
        <f t="shared" si="151"/>
        <v>16.127043472222223</v>
      </c>
      <c r="Q210" s="396">
        <v>353279.58</v>
      </c>
      <c r="R210" s="398">
        <f t="shared" si="152"/>
        <v>78.506573333333336</v>
      </c>
    </row>
    <row r="211" spans="2:18" x14ac:dyDescent="0.3">
      <c r="B211" s="393">
        <f t="shared" si="147"/>
        <v>45680</v>
      </c>
      <c r="C211" s="396">
        <v>4050314.24</v>
      </c>
      <c r="D211" s="114">
        <f t="shared" si="139"/>
        <v>843.81546666666679</v>
      </c>
      <c r="E211" s="399">
        <v>20251898.859999999</v>
      </c>
      <c r="F211" s="114">
        <f t="shared" si="140"/>
        <v>4219.1455958333336</v>
      </c>
      <c r="G211" s="396">
        <v>92720.97</v>
      </c>
      <c r="H211" s="114">
        <f t="shared" si="141"/>
        <v>11.590121250000001</v>
      </c>
      <c r="I211" s="399">
        <v>234257.56</v>
      </c>
      <c r="J211" s="114">
        <f t="shared" si="148"/>
        <v>29.282194999999998</v>
      </c>
      <c r="K211" s="396">
        <v>74993.59</v>
      </c>
      <c r="L211" s="114">
        <f t="shared" si="149"/>
        <v>13.540509305555556</v>
      </c>
      <c r="M211" s="396">
        <v>2677.67</v>
      </c>
      <c r="N211" s="114">
        <f t="shared" si="150"/>
        <v>0.18594930555555556</v>
      </c>
      <c r="O211" s="396">
        <v>89319.01</v>
      </c>
      <c r="P211" s="114">
        <f t="shared" si="151"/>
        <v>16.127043472222223</v>
      </c>
      <c r="Q211" s="396">
        <v>353279.58</v>
      </c>
      <c r="R211" s="398">
        <f t="shared" si="152"/>
        <v>78.506573333333336</v>
      </c>
    </row>
    <row r="212" spans="2:18" x14ac:dyDescent="0.3">
      <c r="B212" s="393">
        <f t="shared" si="147"/>
        <v>45681</v>
      </c>
      <c r="C212" s="396">
        <v>4050314.24</v>
      </c>
      <c r="D212" s="114">
        <f t="shared" si="139"/>
        <v>843.81546666666679</v>
      </c>
      <c r="E212" s="399">
        <v>20251898.859999999</v>
      </c>
      <c r="F212" s="114">
        <f t="shared" si="140"/>
        <v>4219.1455958333336</v>
      </c>
      <c r="G212" s="396">
        <v>92720.97</v>
      </c>
      <c r="H212" s="114">
        <f t="shared" si="141"/>
        <v>11.590121250000001</v>
      </c>
      <c r="I212" s="399">
        <v>234257.56</v>
      </c>
      <c r="J212" s="114">
        <f t="shared" si="148"/>
        <v>29.282194999999998</v>
      </c>
      <c r="K212" s="396">
        <v>74993.59</v>
      </c>
      <c r="L212" s="114">
        <f t="shared" si="149"/>
        <v>13.540509305555556</v>
      </c>
      <c r="M212" s="396">
        <v>2677.67</v>
      </c>
      <c r="N212" s="114">
        <f t="shared" si="150"/>
        <v>0.18594930555555556</v>
      </c>
      <c r="O212" s="396">
        <v>89319.01</v>
      </c>
      <c r="P212" s="114">
        <f t="shared" si="151"/>
        <v>16.127043472222223</v>
      </c>
      <c r="Q212" s="396">
        <v>353279.58</v>
      </c>
      <c r="R212" s="398">
        <f t="shared" si="152"/>
        <v>78.506573333333336</v>
      </c>
    </row>
    <row r="213" spans="2:18" x14ac:dyDescent="0.3">
      <c r="B213" s="393">
        <f t="shared" si="147"/>
        <v>45682</v>
      </c>
      <c r="C213" s="396">
        <v>4050314.24</v>
      </c>
      <c r="D213" s="114">
        <f t="shared" si="139"/>
        <v>843.81546666666679</v>
      </c>
      <c r="E213" s="399">
        <v>20251898.859999999</v>
      </c>
      <c r="F213" s="114">
        <f t="shared" si="140"/>
        <v>4219.1455958333336</v>
      </c>
      <c r="G213" s="396">
        <v>92720.97</v>
      </c>
      <c r="H213" s="114">
        <f t="shared" si="141"/>
        <v>11.590121250000001</v>
      </c>
      <c r="I213" s="399">
        <v>234257.56</v>
      </c>
      <c r="J213" s="114">
        <f t="shared" si="148"/>
        <v>29.282194999999998</v>
      </c>
      <c r="K213" s="396">
        <v>74993.59</v>
      </c>
      <c r="L213" s="114">
        <f t="shared" si="149"/>
        <v>13.540509305555556</v>
      </c>
      <c r="M213" s="396">
        <v>2677.67</v>
      </c>
      <c r="N213" s="114">
        <f t="shared" si="150"/>
        <v>0.18594930555555556</v>
      </c>
      <c r="O213" s="396">
        <v>89319.01</v>
      </c>
      <c r="P213" s="114">
        <f t="shared" si="151"/>
        <v>16.127043472222223</v>
      </c>
      <c r="Q213" s="396">
        <v>353279.58</v>
      </c>
      <c r="R213" s="398">
        <f t="shared" si="152"/>
        <v>78.506573333333336</v>
      </c>
    </row>
    <row r="214" spans="2:18" x14ac:dyDescent="0.3">
      <c r="B214" s="393">
        <f t="shared" si="147"/>
        <v>45683</v>
      </c>
      <c r="C214" s="396">
        <v>4050314.24</v>
      </c>
      <c r="D214" s="114">
        <f t="shared" si="139"/>
        <v>843.81546666666679</v>
      </c>
      <c r="E214" s="399">
        <v>20251898.859999999</v>
      </c>
      <c r="F214" s="114">
        <f t="shared" si="140"/>
        <v>4219.1455958333336</v>
      </c>
      <c r="G214" s="396">
        <v>101720.97</v>
      </c>
      <c r="H214" s="114">
        <f t="shared" ref="H214:H220" si="153">(G214*4.5%)/360</f>
        <v>12.715121250000001</v>
      </c>
      <c r="I214" s="399">
        <v>234257.56</v>
      </c>
      <c r="J214" s="114">
        <f t="shared" ref="J214:J220" si="154">(I214*4.5%)/360</f>
        <v>29.282194999999998</v>
      </c>
      <c r="K214" s="396">
        <v>74993.59</v>
      </c>
      <c r="L214" s="114">
        <f t="shared" ref="L214:L220" si="155">(K214*6.5%)/360</f>
        <v>13.540509305555556</v>
      </c>
      <c r="M214" s="396">
        <v>2677.67</v>
      </c>
      <c r="N214" s="114">
        <f t="shared" ref="N214:N220" si="156">(M214*2.5%)/360</f>
        <v>0.18594930555555556</v>
      </c>
      <c r="O214" s="396">
        <v>89319.01</v>
      </c>
      <c r="P214" s="114">
        <f t="shared" ref="P214:P220" si="157">(O214*6.5%)/360</f>
        <v>16.127043472222223</v>
      </c>
      <c r="Q214" s="396">
        <v>353279.58</v>
      </c>
      <c r="R214" s="398">
        <f t="shared" ref="R214:R220" si="158">(Q214*8%)/360</f>
        <v>78.506573333333336</v>
      </c>
    </row>
    <row r="215" spans="2:18" x14ac:dyDescent="0.3">
      <c r="B215" s="393">
        <f t="shared" si="147"/>
        <v>45684</v>
      </c>
      <c r="C215" s="396">
        <v>4050314.24</v>
      </c>
      <c r="D215" s="114">
        <f t="shared" si="139"/>
        <v>843.81546666666679</v>
      </c>
      <c r="E215" s="399">
        <v>20361503.460000001</v>
      </c>
      <c r="F215" s="114">
        <f t="shared" si="140"/>
        <v>4241.9798874999997</v>
      </c>
      <c r="G215" s="396">
        <v>101720.97</v>
      </c>
      <c r="H215" s="114">
        <f t="shared" si="153"/>
        <v>12.715121250000001</v>
      </c>
      <c r="I215" s="399">
        <v>234257.56</v>
      </c>
      <c r="J215" s="114">
        <f t="shared" si="154"/>
        <v>29.282194999999998</v>
      </c>
      <c r="K215" s="396">
        <v>74993.59</v>
      </c>
      <c r="L215" s="114">
        <f t="shared" si="155"/>
        <v>13.540509305555556</v>
      </c>
      <c r="M215" s="396">
        <v>2677.67</v>
      </c>
      <c r="N215" s="114">
        <f t="shared" si="156"/>
        <v>0.18594930555555556</v>
      </c>
      <c r="O215" s="396">
        <v>89319.01</v>
      </c>
      <c r="P215" s="114">
        <f t="shared" si="157"/>
        <v>16.127043472222223</v>
      </c>
      <c r="Q215" s="396">
        <v>353279.58</v>
      </c>
      <c r="R215" s="398">
        <f t="shared" si="158"/>
        <v>78.506573333333336</v>
      </c>
    </row>
    <row r="216" spans="2:18" x14ac:dyDescent="0.3">
      <c r="B216" s="393">
        <f t="shared" si="147"/>
        <v>45685</v>
      </c>
      <c r="C216" s="396">
        <v>50314.239999999998</v>
      </c>
      <c r="D216" s="114">
        <f t="shared" si="139"/>
        <v>10.482133333333334</v>
      </c>
      <c r="E216" s="399">
        <v>15361403.460000001</v>
      </c>
      <c r="F216" s="114">
        <f t="shared" si="140"/>
        <v>3200.2923874999997</v>
      </c>
      <c r="G216" s="396">
        <v>101720.97</v>
      </c>
      <c r="H216" s="114">
        <f t="shared" si="153"/>
        <v>12.715121250000001</v>
      </c>
      <c r="I216" s="399">
        <v>234257.56</v>
      </c>
      <c r="J216" s="114">
        <f t="shared" si="154"/>
        <v>29.282194999999998</v>
      </c>
      <c r="K216" s="396">
        <v>74993.59</v>
      </c>
      <c r="L216" s="114">
        <f t="shared" si="155"/>
        <v>13.540509305555556</v>
      </c>
      <c r="M216" s="396">
        <v>2677.67</v>
      </c>
      <c r="N216" s="114">
        <f t="shared" si="156"/>
        <v>0.18594930555555556</v>
      </c>
      <c r="O216" s="396">
        <v>89319.01</v>
      </c>
      <c r="P216" s="114">
        <f t="shared" si="157"/>
        <v>16.127043472222223</v>
      </c>
      <c r="Q216" s="396">
        <v>9353279.5800000001</v>
      </c>
      <c r="R216" s="398">
        <f t="shared" si="158"/>
        <v>2078.5065733333336</v>
      </c>
    </row>
    <row r="217" spans="2:18" x14ac:dyDescent="0.3">
      <c r="B217" s="393">
        <f t="shared" si="147"/>
        <v>45686</v>
      </c>
      <c r="C217" s="396">
        <v>50314.239999999998</v>
      </c>
      <c r="D217" s="114">
        <f t="shared" si="139"/>
        <v>10.482133333333334</v>
      </c>
      <c r="E217" s="399">
        <v>12190517.09</v>
      </c>
      <c r="F217" s="114">
        <f t="shared" si="140"/>
        <v>2539.6910604166665</v>
      </c>
      <c r="G217" s="396">
        <v>101720.97</v>
      </c>
      <c r="H217" s="114">
        <f t="shared" si="153"/>
        <v>12.715121250000001</v>
      </c>
      <c r="I217" s="399">
        <v>234257.56</v>
      </c>
      <c r="J217" s="114">
        <f t="shared" si="154"/>
        <v>29.282194999999998</v>
      </c>
      <c r="K217" s="396">
        <v>74993.59</v>
      </c>
      <c r="L217" s="114">
        <f t="shared" si="155"/>
        <v>13.540509305555556</v>
      </c>
      <c r="M217" s="396">
        <v>2677.67</v>
      </c>
      <c r="N217" s="114">
        <f t="shared" si="156"/>
        <v>0.18594930555555556</v>
      </c>
      <c r="O217" s="396">
        <v>89319.01</v>
      </c>
      <c r="P217" s="114">
        <f t="shared" si="157"/>
        <v>16.127043472222223</v>
      </c>
      <c r="Q217" s="396">
        <v>9353279.5800000001</v>
      </c>
      <c r="R217" s="398">
        <f t="shared" si="158"/>
        <v>2078.5065733333336</v>
      </c>
    </row>
    <row r="218" spans="2:18" x14ac:dyDescent="0.3">
      <c r="B218" s="393">
        <f t="shared" si="147"/>
        <v>45687</v>
      </c>
      <c r="C218" s="396">
        <v>50314.239999999998</v>
      </c>
      <c r="D218" s="114">
        <f t="shared" si="139"/>
        <v>10.482133333333334</v>
      </c>
      <c r="E218" s="399">
        <v>12190517.09</v>
      </c>
      <c r="F218" s="114">
        <f t="shared" si="140"/>
        <v>2539.6910604166665</v>
      </c>
      <c r="G218" s="396">
        <v>101720.97</v>
      </c>
      <c r="H218" s="114">
        <f t="shared" si="153"/>
        <v>12.715121250000001</v>
      </c>
      <c r="I218" s="399">
        <v>234257.56</v>
      </c>
      <c r="J218" s="114">
        <f t="shared" si="154"/>
        <v>29.282194999999998</v>
      </c>
      <c r="K218" s="396">
        <v>74993.59</v>
      </c>
      <c r="L218" s="114">
        <f t="shared" si="155"/>
        <v>13.540509305555556</v>
      </c>
      <c r="M218" s="396">
        <v>2677.67</v>
      </c>
      <c r="N218" s="114">
        <f t="shared" si="156"/>
        <v>0.18594930555555556</v>
      </c>
      <c r="O218" s="396">
        <v>89319.01</v>
      </c>
      <c r="P218" s="114">
        <f t="shared" si="157"/>
        <v>16.127043472222223</v>
      </c>
      <c r="Q218" s="396">
        <v>9353279.5800000001</v>
      </c>
      <c r="R218" s="398">
        <f t="shared" si="158"/>
        <v>2078.5065733333336</v>
      </c>
    </row>
    <row r="219" spans="2:18" x14ac:dyDescent="0.3">
      <c r="B219" s="393">
        <f t="shared" si="147"/>
        <v>45688</v>
      </c>
      <c r="C219" s="396">
        <v>50314.239999999998</v>
      </c>
      <c r="D219" s="114">
        <f t="shared" si="139"/>
        <v>10.482133333333334</v>
      </c>
      <c r="E219" s="399">
        <v>12190517.09</v>
      </c>
      <c r="F219" s="114">
        <f t="shared" si="140"/>
        <v>2539.6910604166665</v>
      </c>
      <c r="G219" s="396">
        <v>101720.97</v>
      </c>
      <c r="H219" s="114">
        <f t="shared" si="153"/>
        <v>12.715121250000001</v>
      </c>
      <c r="I219" s="399">
        <v>234257.56</v>
      </c>
      <c r="J219" s="114">
        <f t="shared" si="154"/>
        <v>29.282194999999998</v>
      </c>
      <c r="K219" s="396">
        <v>74993.59</v>
      </c>
      <c r="L219" s="114">
        <f t="shared" si="155"/>
        <v>13.540509305555556</v>
      </c>
      <c r="M219" s="396">
        <v>2677.67</v>
      </c>
      <c r="N219" s="114">
        <f t="shared" si="156"/>
        <v>0.18594930555555556</v>
      </c>
      <c r="O219" s="396">
        <v>89319.01</v>
      </c>
      <c r="P219" s="114">
        <f t="shared" si="157"/>
        <v>16.127043472222223</v>
      </c>
      <c r="Q219" s="396">
        <v>9353279.5800000001</v>
      </c>
      <c r="R219" s="398">
        <f t="shared" si="158"/>
        <v>2078.5065733333336</v>
      </c>
    </row>
    <row r="220" spans="2:18" x14ac:dyDescent="0.3">
      <c r="B220" s="393">
        <f t="shared" si="147"/>
        <v>45689</v>
      </c>
      <c r="C220" s="396">
        <v>50314.239999999998</v>
      </c>
      <c r="D220" s="114">
        <f t="shared" si="139"/>
        <v>10.482133333333334</v>
      </c>
      <c r="E220" s="399">
        <v>12190517.09</v>
      </c>
      <c r="F220" s="114">
        <f t="shared" si="140"/>
        <v>2539.6910604166665</v>
      </c>
      <c r="G220" s="396">
        <v>101720.97</v>
      </c>
      <c r="H220" s="114">
        <f t="shared" si="153"/>
        <v>12.715121250000001</v>
      </c>
      <c r="I220" s="399">
        <v>234257.56</v>
      </c>
      <c r="J220" s="114">
        <f t="shared" si="154"/>
        <v>29.282194999999998</v>
      </c>
      <c r="K220" s="396">
        <v>74993.59</v>
      </c>
      <c r="L220" s="114">
        <f t="shared" si="155"/>
        <v>13.540509305555556</v>
      </c>
      <c r="M220" s="396">
        <v>2677.67</v>
      </c>
      <c r="N220" s="114">
        <f t="shared" si="156"/>
        <v>0.18594930555555556</v>
      </c>
      <c r="O220" s="396">
        <v>89319.01</v>
      </c>
      <c r="P220" s="114">
        <f t="shared" si="157"/>
        <v>16.127043472222223</v>
      </c>
      <c r="Q220" s="396">
        <v>9353279.5800000001</v>
      </c>
      <c r="R220" s="398">
        <f t="shared" si="158"/>
        <v>2078.5065733333336</v>
      </c>
    </row>
    <row r="221" spans="2:18" x14ac:dyDescent="0.3">
      <c r="B221" s="393">
        <f t="shared" si="147"/>
        <v>45690</v>
      </c>
      <c r="C221" s="396">
        <v>50314.239999999998</v>
      </c>
      <c r="D221" s="114">
        <f t="shared" si="139"/>
        <v>10.482133333333334</v>
      </c>
      <c r="E221" s="399">
        <v>13512440.09</v>
      </c>
      <c r="F221" s="114">
        <f t="shared" ref="F221:F227" si="159">(E221*7.5%)/360</f>
        <v>2815.0916854166667</v>
      </c>
      <c r="G221" s="396">
        <v>101720.97</v>
      </c>
      <c r="H221" s="114">
        <f t="shared" ref="H221:H227" si="160">(G221*4.5%)/360</f>
        <v>12.715121250000001</v>
      </c>
      <c r="I221" s="399">
        <v>234257.56</v>
      </c>
      <c r="J221" s="114">
        <f t="shared" ref="J221:J227" si="161">(I221*4.5%)/360</f>
        <v>29.282194999999998</v>
      </c>
      <c r="K221" s="396">
        <v>74993.59</v>
      </c>
      <c r="L221" s="114">
        <f t="shared" ref="L221:L227" si="162">(K221*6.5%)/360</f>
        <v>13.540509305555556</v>
      </c>
      <c r="M221" s="396">
        <v>2677.67</v>
      </c>
      <c r="N221" s="114">
        <f t="shared" ref="N221:N227" si="163">(M221*2.5%)/360</f>
        <v>0.18594930555555556</v>
      </c>
      <c r="O221" s="396">
        <v>89319.01</v>
      </c>
      <c r="P221" s="114">
        <f t="shared" ref="P221:P227" si="164">(O221*6.5%)/360</f>
        <v>16.127043472222223</v>
      </c>
      <c r="Q221" s="396">
        <v>9353279.5800000001</v>
      </c>
      <c r="R221" s="398">
        <f t="shared" ref="R221:R227" si="165">(Q221*8%)/360</f>
        <v>2078.5065733333336</v>
      </c>
    </row>
    <row r="222" spans="2:18" x14ac:dyDescent="0.3">
      <c r="B222" s="393">
        <f t="shared" si="147"/>
        <v>45691</v>
      </c>
      <c r="C222" s="396">
        <v>50314.239999999998</v>
      </c>
      <c r="D222" s="114">
        <f t="shared" si="139"/>
        <v>10.482133333333334</v>
      </c>
      <c r="E222" s="399">
        <v>15236333.59</v>
      </c>
      <c r="F222" s="114">
        <f t="shared" si="159"/>
        <v>3174.236164583333</v>
      </c>
      <c r="G222" s="396">
        <v>101720.97</v>
      </c>
      <c r="H222" s="114">
        <f t="shared" si="160"/>
        <v>12.715121250000001</v>
      </c>
      <c r="I222" s="399">
        <v>234257.56</v>
      </c>
      <c r="J222" s="114">
        <f t="shared" si="161"/>
        <v>29.282194999999998</v>
      </c>
      <c r="K222" s="396">
        <v>74993.59</v>
      </c>
      <c r="L222" s="114">
        <f t="shared" si="162"/>
        <v>13.540509305555556</v>
      </c>
      <c r="M222" s="396">
        <v>2677.67</v>
      </c>
      <c r="N222" s="114">
        <f t="shared" si="163"/>
        <v>0.18594930555555556</v>
      </c>
      <c r="O222" s="396">
        <v>89319.01</v>
      </c>
      <c r="P222" s="114">
        <f t="shared" si="164"/>
        <v>16.127043472222223</v>
      </c>
      <c r="Q222" s="396">
        <v>9353279.5800000001</v>
      </c>
      <c r="R222" s="398">
        <f t="shared" si="165"/>
        <v>2078.5065733333336</v>
      </c>
    </row>
    <row r="223" spans="2:18" x14ac:dyDescent="0.3">
      <c r="B223" s="393">
        <f t="shared" si="147"/>
        <v>45692</v>
      </c>
      <c r="C223" s="396">
        <v>50314.239999999998</v>
      </c>
      <c r="D223" s="114">
        <f t="shared" si="139"/>
        <v>10.482133333333334</v>
      </c>
      <c r="E223" s="399">
        <v>15236333.59</v>
      </c>
      <c r="F223" s="114">
        <f t="shared" si="159"/>
        <v>3174.236164583333</v>
      </c>
      <c r="G223" s="396">
        <v>101720.97</v>
      </c>
      <c r="H223" s="114">
        <f t="shared" si="160"/>
        <v>12.715121250000001</v>
      </c>
      <c r="I223" s="399">
        <v>234257.56</v>
      </c>
      <c r="J223" s="114">
        <f t="shared" si="161"/>
        <v>29.282194999999998</v>
      </c>
      <c r="K223" s="396">
        <v>74993.59</v>
      </c>
      <c r="L223" s="114">
        <f t="shared" si="162"/>
        <v>13.540509305555556</v>
      </c>
      <c r="M223" s="396">
        <v>2677.67</v>
      </c>
      <c r="N223" s="114">
        <f t="shared" si="163"/>
        <v>0.18594930555555556</v>
      </c>
      <c r="O223" s="396">
        <v>89319.01</v>
      </c>
      <c r="P223" s="114">
        <f t="shared" si="164"/>
        <v>16.127043472222223</v>
      </c>
      <c r="Q223" s="396">
        <v>9353279.5800000001</v>
      </c>
      <c r="R223" s="398">
        <f t="shared" si="165"/>
        <v>2078.5065733333336</v>
      </c>
    </row>
    <row r="224" spans="2:18" x14ac:dyDescent="0.3">
      <c r="B224" s="393">
        <f t="shared" si="147"/>
        <v>45693</v>
      </c>
      <c r="C224" s="396">
        <v>50314.239999999998</v>
      </c>
      <c r="D224" s="114">
        <f t="shared" si="139"/>
        <v>10.482133333333334</v>
      </c>
      <c r="E224" s="399">
        <v>13811524.33</v>
      </c>
      <c r="F224" s="114">
        <f t="shared" si="159"/>
        <v>2877.4009020833332</v>
      </c>
      <c r="G224" s="396">
        <v>101720.97</v>
      </c>
      <c r="H224" s="114">
        <f t="shared" si="160"/>
        <v>12.715121250000001</v>
      </c>
      <c r="I224" s="399">
        <v>234257.56</v>
      </c>
      <c r="J224" s="114">
        <f t="shared" si="161"/>
        <v>29.282194999999998</v>
      </c>
      <c r="K224" s="396">
        <v>74993.59</v>
      </c>
      <c r="L224" s="114">
        <f t="shared" si="162"/>
        <v>13.540509305555556</v>
      </c>
      <c r="M224" s="396">
        <v>2677.67</v>
      </c>
      <c r="N224" s="114">
        <f t="shared" si="163"/>
        <v>0.18594930555555556</v>
      </c>
      <c r="O224" s="396">
        <v>89319.01</v>
      </c>
      <c r="P224" s="114">
        <f t="shared" si="164"/>
        <v>16.127043472222223</v>
      </c>
      <c r="Q224" s="396">
        <v>9353279.5800000001</v>
      </c>
      <c r="R224" s="398">
        <f t="shared" si="165"/>
        <v>2078.5065733333336</v>
      </c>
    </row>
    <row r="225" spans="2:18" x14ac:dyDescent="0.3">
      <c r="B225" s="393">
        <f t="shared" si="147"/>
        <v>45694</v>
      </c>
      <c r="C225" s="396">
        <v>50314.239999999998</v>
      </c>
      <c r="D225" s="114">
        <f t="shared" si="139"/>
        <v>10.482133333333334</v>
      </c>
      <c r="E225" s="399">
        <v>13122295.58</v>
      </c>
      <c r="F225" s="114">
        <f t="shared" si="159"/>
        <v>2733.8115791666664</v>
      </c>
      <c r="G225" s="396">
        <v>101720.97</v>
      </c>
      <c r="H225" s="114">
        <f t="shared" si="160"/>
        <v>12.715121250000001</v>
      </c>
      <c r="I225" s="399">
        <v>234257.56</v>
      </c>
      <c r="J225" s="114">
        <f t="shared" si="161"/>
        <v>29.282194999999998</v>
      </c>
      <c r="K225" s="396">
        <v>74993.59</v>
      </c>
      <c r="L225" s="114">
        <f t="shared" si="162"/>
        <v>13.540509305555556</v>
      </c>
      <c r="M225" s="396">
        <v>2677.67</v>
      </c>
      <c r="N225" s="114">
        <f t="shared" si="163"/>
        <v>0.18594930555555556</v>
      </c>
      <c r="O225" s="396">
        <v>89319.01</v>
      </c>
      <c r="P225" s="114">
        <f t="shared" si="164"/>
        <v>16.127043472222223</v>
      </c>
      <c r="Q225" s="396">
        <v>9353279.5800000001</v>
      </c>
      <c r="R225" s="398">
        <f t="shared" si="165"/>
        <v>2078.5065733333336</v>
      </c>
    </row>
    <row r="226" spans="2:18" x14ac:dyDescent="0.3">
      <c r="B226" s="393">
        <f t="shared" si="147"/>
        <v>45695</v>
      </c>
      <c r="C226" s="396">
        <v>50314.239999999998</v>
      </c>
      <c r="D226" s="114">
        <f t="shared" si="139"/>
        <v>10.482133333333334</v>
      </c>
      <c r="E226" s="399">
        <v>13122295.58</v>
      </c>
      <c r="F226" s="114">
        <f t="shared" si="159"/>
        <v>2733.8115791666664</v>
      </c>
      <c r="G226" s="396">
        <v>101720.97</v>
      </c>
      <c r="H226" s="114">
        <f t="shared" si="160"/>
        <v>12.715121250000001</v>
      </c>
      <c r="I226" s="399">
        <v>234257.56</v>
      </c>
      <c r="J226" s="114">
        <f t="shared" si="161"/>
        <v>29.282194999999998</v>
      </c>
      <c r="K226" s="396">
        <v>74993.59</v>
      </c>
      <c r="L226" s="114">
        <f t="shared" si="162"/>
        <v>13.540509305555556</v>
      </c>
      <c r="M226" s="396">
        <v>2677.67</v>
      </c>
      <c r="N226" s="114">
        <f t="shared" si="163"/>
        <v>0.18594930555555556</v>
      </c>
      <c r="O226" s="396">
        <v>89319.01</v>
      </c>
      <c r="P226" s="114">
        <f t="shared" si="164"/>
        <v>16.127043472222223</v>
      </c>
      <c r="Q226" s="396">
        <v>9353279.5800000001</v>
      </c>
      <c r="R226" s="398">
        <f t="shared" si="165"/>
        <v>2078.5065733333336</v>
      </c>
    </row>
    <row r="227" spans="2:18" x14ac:dyDescent="0.3">
      <c r="B227" s="393">
        <f t="shared" si="147"/>
        <v>45696</v>
      </c>
      <c r="C227" s="396">
        <v>50314.239999999998</v>
      </c>
      <c r="D227" s="114">
        <f t="shared" si="139"/>
        <v>10.482133333333334</v>
      </c>
      <c r="E227" s="399">
        <v>13122295.58</v>
      </c>
      <c r="F227" s="114">
        <f t="shared" si="159"/>
        <v>2733.8115791666664</v>
      </c>
      <c r="G227" s="396">
        <v>101720.97</v>
      </c>
      <c r="H227" s="114">
        <f t="shared" si="160"/>
        <v>12.715121250000001</v>
      </c>
      <c r="I227" s="399">
        <v>234257.56</v>
      </c>
      <c r="J227" s="114">
        <f t="shared" si="161"/>
        <v>29.282194999999998</v>
      </c>
      <c r="K227" s="396">
        <v>74993.59</v>
      </c>
      <c r="L227" s="114">
        <f t="shared" si="162"/>
        <v>13.540509305555556</v>
      </c>
      <c r="M227" s="396">
        <v>2677.67</v>
      </c>
      <c r="N227" s="114">
        <f t="shared" si="163"/>
        <v>0.18594930555555556</v>
      </c>
      <c r="O227" s="396">
        <v>89319.01</v>
      </c>
      <c r="P227" s="114">
        <f t="shared" si="164"/>
        <v>16.127043472222223</v>
      </c>
      <c r="Q227" s="396">
        <v>9353279.5800000001</v>
      </c>
      <c r="R227" s="398">
        <f t="shared" si="165"/>
        <v>2078.5065733333336</v>
      </c>
    </row>
    <row r="228" spans="2:18" x14ac:dyDescent="0.3">
      <c r="B228" s="393">
        <f t="shared" si="147"/>
        <v>45697</v>
      </c>
      <c r="C228" s="396">
        <v>50314.239999999998</v>
      </c>
      <c r="D228" s="114">
        <f t="shared" si="139"/>
        <v>10.482133333333334</v>
      </c>
      <c r="E228" s="399">
        <v>12599663.18</v>
      </c>
      <c r="F228" s="114">
        <f t="shared" ref="F228:F234" si="166">(E228*7.5%)/360</f>
        <v>2624.9298291666664</v>
      </c>
      <c r="G228" s="396">
        <v>101720.97</v>
      </c>
      <c r="H228" s="114">
        <f t="shared" ref="H228:H234" si="167">(G228*4.5%)/360</f>
        <v>12.715121250000001</v>
      </c>
      <c r="I228" s="399">
        <v>234257.56</v>
      </c>
      <c r="J228" s="114">
        <f t="shared" ref="J228:J234" si="168">(I228*4.5%)/360</f>
        <v>29.282194999999998</v>
      </c>
      <c r="K228" s="396">
        <v>74993.59</v>
      </c>
      <c r="L228" s="114">
        <f t="shared" ref="L228:L234" si="169">(K228*6.5%)/360</f>
        <v>13.540509305555556</v>
      </c>
      <c r="M228" s="396">
        <v>2677.67</v>
      </c>
      <c r="N228" s="114">
        <f t="shared" ref="N228:N234" si="170">(M228*2.5%)/360</f>
        <v>0.18594930555555556</v>
      </c>
      <c r="O228" s="396">
        <v>89319.01</v>
      </c>
      <c r="P228" s="114">
        <f t="shared" ref="P228:P234" si="171">(O228*6.5%)/360</f>
        <v>16.127043472222223</v>
      </c>
      <c r="Q228" s="396">
        <v>9353279.5800000001</v>
      </c>
      <c r="R228" s="398">
        <f t="shared" ref="R228:R234" si="172">(Q228*8%)/360</f>
        <v>2078.5065733333336</v>
      </c>
    </row>
    <row r="229" spans="2:18" x14ac:dyDescent="0.3">
      <c r="B229" s="393">
        <f t="shared" si="147"/>
        <v>45698</v>
      </c>
      <c r="C229" s="396">
        <v>50314.239999999998</v>
      </c>
      <c r="D229" s="114">
        <f t="shared" si="139"/>
        <v>10.482133333333334</v>
      </c>
      <c r="E229" s="399">
        <v>12599663.18</v>
      </c>
      <c r="F229" s="114">
        <f t="shared" si="166"/>
        <v>2624.9298291666664</v>
      </c>
      <c r="G229" s="396">
        <v>101720.97</v>
      </c>
      <c r="H229" s="114">
        <f t="shared" si="167"/>
        <v>12.715121250000001</v>
      </c>
      <c r="I229" s="399">
        <v>234257.56</v>
      </c>
      <c r="J229" s="114">
        <f t="shared" si="168"/>
        <v>29.282194999999998</v>
      </c>
      <c r="K229" s="396">
        <v>74993.59</v>
      </c>
      <c r="L229" s="114">
        <f t="shared" si="169"/>
        <v>13.540509305555556</v>
      </c>
      <c r="M229" s="396">
        <v>2677.67</v>
      </c>
      <c r="N229" s="114">
        <f t="shared" si="170"/>
        <v>0.18594930555555556</v>
      </c>
      <c r="O229" s="396">
        <v>89319.01</v>
      </c>
      <c r="P229" s="114">
        <f t="shared" si="171"/>
        <v>16.127043472222223</v>
      </c>
      <c r="Q229" s="396">
        <v>9353279.5800000001</v>
      </c>
      <c r="R229" s="398">
        <f t="shared" si="172"/>
        <v>2078.5065733333336</v>
      </c>
    </row>
    <row r="230" spans="2:18" x14ac:dyDescent="0.3">
      <c r="B230" s="393">
        <f t="shared" si="147"/>
        <v>45699</v>
      </c>
      <c r="C230" s="396">
        <v>50314.239999999998</v>
      </c>
      <c r="D230" s="114">
        <f t="shared" si="139"/>
        <v>10.482133333333334</v>
      </c>
      <c r="E230" s="399">
        <v>12599663.18</v>
      </c>
      <c r="F230" s="114">
        <f t="shared" si="166"/>
        <v>2624.9298291666664</v>
      </c>
      <c r="G230" s="396">
        <v>101720.97</v>
      </c>
      <c r="H230" s="114">
        <f t="shared" si="167"/>
        <v>12.715121250000001</v>
      </c>
      <c r="I230" s="399">
        <v>234257.56</v>
      </c>
      <c r="J230" s="114">
        <f t="shared" si="168"/>
        <v>29.282194999999998</v>
      </c>
      <c r="K230" s="396">
        <v>74993.59</v>
      </c>
      <c r="L230" s="114">
        <f t="shared" si="169"/>
        <v>13.540509305555556</v>
      </c>
      <c r="M230" s="396">
        <v>2677.67</v>
      </c>
      <c r="N230" s="114">
        <f t="shared" si="170"/>
        <v>0.18594930555555556</v>
      </c>
      <c r="O230" s="396">
        <v>89319.01</v>
      </c>
      <c r="P230" s="114">
        <f t="shared" si="171"/>
        <v>16.127043472222223</v>
      </c>
      <c r="Q230" s="396">
        <v>9353279.5800000001</v>
      </c>
      <c r="R230" s="398">
        <f t="shared" si="172"/>
        <v>2078.5065733333336</v>
      </c>
    </row>
    <row r="231" spans="2:18" x14ac:dyDescent="0.3">
      <c r="B231" s="393">
        <f t="shared" si="147"/>
        <v>45700</v>
      </c>
      <c r="C231" s="396">
        <v>50314.239999999998</v>
      </c>
      <c r="D231" s="114">
        <f t="shared" si="139"/>
        <v>10.482133333333334</v>
      </c>
      <c r="E231" s="399">
        <v>12587613.18</v>
      </c>
      <c r="F231" s="114">
        <f t="shared" si="166"/>
        <v>2622.4194124999999</v>
      </c>
      <c r="G231" s="396">
        <v>101720.97</v>
      </c>
      <c r="H231" s="114">
        <f t="shared" si="167"/>
        <v>12.715121250000001</v>
      </c>
      <c r="I231" s="399">
        <v>234257.56</v>
      </c>
      <c r="J231" s="114">
        <f t="shared" si="168"/>
        <v>29.282194999999998</v>
      </c>
      <c r="K231" s="396">
        <v>74993.59</v>
      </c>
      <c r="L231" s="114">
        <f t="shared" si="169"/>
        <v>13.540509305555556</v>
      </c>
      <c r="M231" s="396">
        <v>2677.67</v>
      </c>
      <c r="N231" s="114">
        <f t="shared" si="170"/>
        <v>0.18594930555555556</v>
      </c>
      <c r="O231" s="396">
        <v>89319.01</v>
      </c>
      <c r="P231" s="114">
        <f t="shared" si="171"/>
        <v>16.127043472222223</v>
      </c>
      <c r="Q231" s="396">
        <v>9353279.5800000001</v>
      </c>
      <c r="R231" s="398">
        <f t="shared" si="172"/>
        <v>2078.5065733333336</v>
      </c>
    </row>
    <row r="232" spans="2:18" x14ac:dyDescent="0.3">
      <c r="B232" s="393">
        <f t="shared" si="147"/>
        <v>45701</v>
      </c>
      <c r="C232" s="396">
        <v>50314.239999999998</v>
      </c>
      <c r="D232" s="114">
        <f t="shared" si="139"/>
        <v>10.482133333333334</v>
      </c>
      <c r="E232" s="399">
        <v>12587613.18</v>
      </c>
      <c r="F232" s="114">
        <f t="shared" si="166"/>
        <v>2622.4194124999999</v>
      </c>
      <c r="G232" s="396">
        <v>101720.97</v>
      </c>
      <c r="H232" s="114">
        <f t="shared" si="167"/>
        <v>12.715121250000001</v>
      </c>
      <c r="I232" s="399">
        <v>234257.56</v>
      </c>
      <c r="J232" s="114">
        <f t="shared" si="168"/>
        <v>29.282194999999998</v>
      </c>
      <c r="K232" s="396">
        <v>74993.59</v>
      </c>
      <c r="L232" s="114">
        <f t="shared" si="169"/>
        <v>13.540509305555556</v>
      </c>
      <c r="M232" s="396">
        <v>2677.67</v>
      </c>
      <c r="N232" s="114">
        <f t="shared" si="170"/>
        <v>0.18594930555555556</v>
      </c>
      <c r="O232" s="396">
        <v>89319.01</v>
      </c>
      <c r="P232" s="114">
        <f t="shared" si="171"/>
        <v>16.127043472222223</v>
      </c>
      <c r="Q232" s="396">
        <v>9353279.5800000001</v>
      </c>
      <c r="R232" s="398">
        <f t="shared" si="172"/>
        <v>2078.5065733333336</v>
      </c>
    </row>
    <row r="233" spans="2:18" x14ac:dyDescent="0.3">
      <c r="B233" s="393">
        <f t="shared" si="147"/>
        <v>45702</v>
      </c>
      <c r="C233" s="396">
        <v>50314.239999999998</v>
      </c>
      <c r="D233" s="114">
        <f t="shared" si="139"/>
        <v>10.482133333333334</v>
      </c>
      <c r="E233" s="399">
        <v>12587613.18</v>
      </c>
      <c r="F233" s="114">
        <f t="shared" si="166"/>
        <v>2622.4194124999999</v>
      </c>
      <c r="G233" s="396">
        <v>101720.97</v>
      </c>
      <c r="H233" s="114">
        <f t="shared" si="167"/>
        <v>12.715121250000001</v>
      </c>
      <c r="I233" s="399">
        <v>234257.56</v>
      </c>
      <c r="J233" s="114">
        <f t="shared" si="168"/>
        <v>29.282194999999998</v>
      </c>
      <c r="K233" s="396">
        <v>74993.59</v>
      </c>
      <c r="L233" s="114">
        <f t="shared" si="169"/>
        <v>13.540509305555556</v>
      </c>
      <c r="M233" s="396">
        <v>2677.67</v>
      </c>
      <c r="N233" s="114">
        <f t="shared" si="170"/>
        <v>0.18594930555555556</v>
      </c>
      <c r="O233" s="396">
        <v>89319.01</v>
      </c>
      <c r="P233" s="114">
        <f t="shared" si="171"/>
        <v>16.127043472222223</v>
      </c>
      <c r="Q233" s="396">
        <v>9353279.5800000001</v>
      </c>
      <c r="R233" s="398">
        <f t="shared" si="172"/>
        <v>2078.5065733333336</v>
      </c>
    </row>
    <row r="234" spans="2:18" x14ac:dyDescent="0.3">
      <c r="B234" s="393">
        <f t="shared" si="147"/>
        <v>45703</v>
      </c>
      <c r="C234" s="396">
        <v>50314.239999999998</v>
      </c>
      <c r="D234" s="114">
        <f t="shared" si="139"/>
        <v>10.482133333333334</v>
      </c>
      <c r="E234" s="399">
        <v>12587613.18</v>
      </c>
      <c r="F234" s="114">
        <f t="shared" si="166"/>
        <v>2622.4194124999999</v>
      </c>
      <c r="G234" s="396">
        <v>101720.97</v>
      </c>
      <c r="H234" s="114">
        <f t="shared" si="167"/>
        <v>12.715121250000001</v>
      </c>
      <c r="I234" s="399">
        <v>234257.56</v>
      </c>
      <c r="J234" s="114">
        <f t="shared" si="168"/>
        <v>29.282194999999998</v>
      </c>
      <c r="K234" s="396">
        <v>74993.59</v>
      </c>
      <c r="L234" s="114">
        <f t="shared" si="169"/>
        <v>13.540509305555556</v>
      </c>
      <c r="M234" s="396">
        <v>2677.67</v>
      </c>
      <c r="N234" s="114">
        <f t="shared" si="170"/>
        <v>0.18594930555555556</v>
      </c>
      <c r="O234" s="396">
        <v>89319.01</v>
      </c>
      <c r="P234" s="114">
        <f t="shared" si="171"/>
        <v>16.127043472222223</v>
      </c>
      <c r="Q234" s="396">
        <v>9353279.5800000001</v>
      </c>
      <c r="R234" s="398">
        <f t="shared" si="172"/>
        <v>2078.5065733333336</v>
      </c>
    </row>
    <row r="235" spans="2:18" x14ac:dyDescent="0.3">
      <c r="B235" s="393">
        <f t="shared" si="147"/>
        <v>45704</v>
      </c>
      <c r="C235" s="396">
        <v>48314.239999999998</v>
      </c>
      <c r="D235" s="114">
        <f t="shared" si="139"/>
        <v>10.065466666666666</v>
      </c>
      <c r="E235" s="399">
        <v>12093066.699999999</v>
      </c>
      <c r="F235" s="114">
        <f t="shared" ref="F235:F248" si="173">(E235*7.5%)/360</f>
        <v>2519.3888958333332</v>
      </c>
      <c r="G235" s="396">
        <v>101720.97</v>
      </c>
      <c r="H235" s="114">
        <f t="shared" ref="H235:H241" si="174">(G235*4.5%)/360</f>
        <v>12.715121250000001</v>
      </c>
      <c r="I235" s="399">
        <v>234257.56</v>
      </c>
      <c r="J235" s="114">
        <f t="shared" ref="J235:J241" si="175">(I235*4.5%)/360</f>
        <v>29.282194999999998</v>
      </c>
      <c r="K235" s="396">
        <v>74993.59</v>
      </c>
      <c r="L235" s="114">
        <f t="shared" ref="L235:L241" si="176">(K235*6.5%)/360</f>
        <v>13.540509305555556</v>
      </c>
      <c r="M235" s="396">
        <v>2677.67</v>
      </c>
      <c r="N235" s="114">
        <f t="shared" ref="N235:N241" si="177">(M235*2.5%)/360</f>
        <v>0.18594930555555556</v>
      </c>
      <c r="O235" s="396">
        <v>89319.01</v>
      </c>
      <c r="P235" s="114">
        <f t="shared" ref="P235:P241" si="178">(O235*6.5%)/360</f>
        <v>16.127043472222223</v>
      </c>
      <c r="Q235" s="396">
        <v>9353279.5800000001</v>
      </c>
      <c r="R235" s="398">
        <f t="shared" ref="R235:R241" si="179">(Q235*8%)/360</f>
        <v>2078.5065733333336</v>
      </c>
    </row>
    <row r="236" spans="2:18" x14ac:dyDescent="0.3">
      <c r="B236" s="393">
        <f t="shared" si="147"/>
        <v>45705</v>
      </c>
      <c r="C236" s="396">
        <v>63314.239999999998</v>
      </c>
      <c r="D236" s="114">
        <f t="shared" si="139"/>
        <v>13.190466666666664</v>
      </c>
      <c r="E236" s="399">
        <v>10976535.789999999</v>
      </c>
      <c r="F236" s="114">
        <f t="shared" si="173"/>
        <v>2286.7782895833329</v>
      </c>
      <c r="G236" s="396">
        <v>101720.97</v>
      </c>
      <c r="H236" s="114">
        <f t="shared" si="174"/>
        <v>12.715121250000001</v>
      </c>
      <c r="I236" s="399">
        <v>234257.56</v>
      </c>
      <c r="J236" s="114">
        <f t="shared" si="175"/>
        <v>29.282194999999998</v>
      </c>
      <c r="K236" s="396">
        <v>74993.59</v>
      </c>
      <c r="L236" s="114">
        <f t="shared" si="176"/>
        <v>13.540509305555556</v>
      </c>
      <c r="M236" s="396">
        <v>2677.67</v>
      </c>
      <c r="N236" s="114">
        <f t="shared" si="177"/>
        <v>0.18594930555555556</v>
      </c>
      <c r="O236" s="396">
        <v>89319.01</v>
      </c>
      <c r="P236" s="114">
        <f t="shared" si="178"/>
        <v>16.127043472222223</v>
      </c>
      <c r="Q236" s="396">
        <v>9353279.5800000001</v>
      </c>
      <c r="R236" s="398">
        <f t="shared" si="179"/>
        <v>2078.5065733333336</v>
      </c>
    </row>
    <row r="237" spans="2:18" x14ac:dyDescent="0.3">
      <c r="B237" s="393">
        <f t="shared" si="147"/>
        <v>45706</v>
      </c>
      <c r="C237" s="396">
        <v>63314.239999999998</v>
      </c>
      <c r="D237" s="114">
        <f t="shared" si="139"/>
        <v>13.190466666666664</v>
      </c>
      <c r="E237" s="399">
        <v>10976535.789999999</v>
      </c>
      <c r="F237" s="114">
        <f t="shared" si="173"/>
        <v>2286.7782895833329</v>
      </c>
      <c r="G237" s="396">
        <v>101720.97</v>
      </c>
      <c r="H237" s="114">
        <f t="shared" si="174"/>
        <v>12.715121250000001</v>
      </c>
      <c r="I237" s="399">
        <v>234257.56</v>
      </c>
      <c r="J237" s="114">
        <f t="shared" si="175"/>
        <v>29.282194999999998</v>
      </c>
      <c r="K237" s="396">
        <v>74993.59</v>
      </c>
      <c r="L237" s="114">
        <f t="shared" si="176"/>
        <v>13.540509305555556</v>
      </c>
      <c r="M237" s="396">
        <v>2677.67</v>
      </c>
      <c r="N237" s="114">
        <f t="shared" si="177"/>
        <v>0.18594930555555556</v>
      </c>
      <c r="O237" s="396">
        <v>89319.01</v>
      </c>
      <c r="P237" s="114">
        <f t="shared" si="178"/>
        <v>16.127043472222223</v>
      </c>
      <c r="Q237" s="396">
        <v>9353279.5800000001</v>
      </c>
      <c r="R237" s="398">
        <f t="shared" si="179"/>
        <v>2078.5065733333336</v>
      </c>
    </row>
    <row r="238" spans="2:18" x14ac:dyDescent="0.3">
      <c r="B238" s="393">
        <f t="shared" si="147"/>
        <v>45707</v>
      </c>
      <c r="C238" s="396">
        <v>63314.239999999998</v>
      </c>
      <c r="D238" s="114">
        <f t="shared" si="139"/>
        <v>13.190466666666664</v>
      </c>
      <c r="E238" s="399">
        <v>10577699.890000001</v>
      </c>
      <c r="F238" s="114">
        <f t="shared" si="173"/>
        <v>2203.6874770833333</v>
      </c>
      <c r="G238" s="396">
        <v>101720.97</v>
      </c>
      <c r="H238" s="114">
        <f t="shared" si="174"/>
        <v>12.715121250000001</v>
      </c>
      <c r="I238" s="399">
        <v>234257.56</v>
      </c>
      <c r="J238" s="114">
        <f t="shared" si="175"/>
        <v>29.282194999999998</v>
      </c>
      <c r="K238" s="396">
        <v>74993.59</v>
      </c>
      <c r="L238" s="114">
        <f t="shared" si="176"/>
        <v>13.540509305555556</v>
      </c>
      <c r="M238" s="396">
        <v>2677.67</v>
      </c>
      <c r="N238" s="114">
        <f t="shared" si="177"/>
        <v>0.18594930555555556</v>
      </c>
      <c r="O238" s="396">
        <v>89319.01</v>
      </c>
      <c r="P238" s="114">
        <f t="shared" si="178"/>
        <v>16.127043472222223</v>
      </c>
      <c r="Q238" s="396">
        <v>9353279.5800000001</v>
      </c>
      <c r="R238" s="398">
        <f t="shared" si="179"/>
        <v>2078.5065733333336</v>
      </c>
    </row>
    <row r="239" spans="2:18" x14ac:dyDescent="0.3">
      <c r="B239" s="393">
        <f t="shared" si="147"/>
        <v>45708</v>
      </c>
      <c r="C239" s="396">
        <v>63314.239999999998</v>
      </c>
      <c r="D239" s="114">
        <f t="shared" si="139"/>
        <v>13.190466666666664</v>
      </c>
      <c r="E239" s="399">
        <v>11389299.09</v>
      </c>
      <c r="F239" s="114">
        <f t="shared" si="173"/>
        <v>2372.7706437500001</v>
      </c>
      <c r="G239" s="396">
        <v>101720.97</v>
      </c>
      <c r="H239" s="114">
        <f t="shared" si="174"/>
        <v>12.715121250000001</v>
      </c>
      <c r="I239" s="399">
        <v>234257.56</v>
      </c>
      <c r="J239" s="114">
        <f t="shared" si="175"/>
        <v>29.282194999999998</v>
      </c>
      <c r="K239" s="396">
        <v>74993.59</v>
      </c>
      <c r="L239" s="114">
        <f t="shared" si="176"/>
        <v>13.540509305555556</v>
      </c>
      <c r="M239" s="396">
        <v>2677.67</v>
      </c>
      <c r="N239" s="114">
        <f t="shared" si="177"/>
        <v>0.18594930555555556</v>
      </c>
      <c r="O239" s="396">
        <v>89319.01</v>
      </c>
      <c r="P239" s="114">
        <f t="shared" si="178"/>
        <v>16.127043472222223</v>
      </c>
      <c r="Q239" s="396">
        <v>9353279.5800000001</v>
      </c>
      <c r="R239" s="398">
        <f t="shared" si="179"/>
        <v>2078.5065733333336</v>
      </c>
    </row>
    <row r="240" spans="2:18" x14ac:dyDescent="0.3">
      <c r="B240" s="393">
        <f t="shared" si="147"/>
        <v>45709</v>
      </c>
      <c r="C240" s="396">
        <v>63314.239999999998</v>
      </c>
      <c r="D240" s="114">
        <f t="shared" si="139"/>
        <v>13.190466666666664</v>
      </c>
      <c r="E240" s="399">
        <v>11389299.09</v>
      </c>
      <c r="F240" s="114">
        <f t="shared" si="173"/>
        <v>2372.7706437500001</v>
      </c>
      <c r="G240" s="396">
        <v>101720.97</v>
      </c>
      <c r="H240" s="114">
        <f t="shared" si="174"/>
        <v>12.715121250000001</v>
      </c>
      <c r="I240" s="399">
        <v>234257.56</v>
      </c>
      <c r="J240" s="114">
        <f t="shared" si="175"/>
        <v>29.282194999999998</v>
      </c>
      <c r="K240" s="396">
        <v>74993.59</v>
      </c>
      <c r="L240" s="114">
        <f t="shared" si="176"/>
        <v>13.540509305555556</v>
      </c>
      <c r="M240" s="396">
        <v>2677.67</v>
      </c>
      <c r="N240" s="114">
        <f t="shared" si="177"/>
        <v>0.18594930555555556</v>
      </c>
      <c r="O240" s="396">
        <v>89319.01</v>
      </c>
      <c r="P240" s="114">
        <f t="shared" si="178"/>
        <v>16.127043472222223</v>
      </c>
      <c r="Q240" s="396">
        <v>9353279.5800000001</v>
      </c>
      <c r="R240" s="398">
        <f t="shared" si="179"/>
        <v>2078.5065733333336</v>
      </c>
    </row>
    <row r="241" spans="2:18" x14ac:dyDescent="0.3">
      <c r="B241" s="393">
        <f t="shared" si="147"/>
        <v>45710</v>
      </c>
      <c r="C241" s="396">
        <v>63314.239999999998</v>
      </c>
      <c r="D241" s="114">
        <f t="shared" si="139"/>
        <v>13.190466666666664</v>
      </c>
      <c r="E241" s="399">
        <v>11389299.09</v>
      </c>
      <c r="F241" s="114">
        <f t="shared" si="173"/>
        <v>2372.7706437500001</v>
      </c>
      <c r="G241" s="396">
        <v>101720.97</v>
      </c>
      <c r="H241" s="114">
        <f t="shared" si="174"/>
        <v>12.715121250000001</v>
      </c>
      <c r="I241" s="399">
        <v>234257.56</v>
      </c>
      <c r="J241" s="114">
        <f t="shared" si="175"/>
        <v>29.282194999999998</v>
      </c>
      <c r="K241" s="396">
        <v>74993.59</v>
      </c>
      <c r="L241" s="114">
        <f t="shared" si="176"/>
        <v>13.540509305555556</v>
      </c>
      <c r="M241" s="396">
        <v>2677.67</v>
      </c>
      <c r="N241" s="114">
        <f t="shared" si="177"/>
        <v>0.18594930555555556</v>
      </c>
      <c r="O241" s="396">
        <v>89319.01</v>
      </c>
      <c r="P241" s="114">
        <f t="shared" si="178"/>
        <v>16.127043472222223</v>
      </c>
      <c r="Q241" s="396">
        <v>9353279.5800000001</v>
      </c>
      <c r="R241" s="398">
        <f t="shared" si="179"/>
        <v>2078.5065733333336</v>
      </c>
    </row>
    <row r="242" spans="2:18" x14ac:dyDescent="0.3">
      <c r="B242" s="393">
        <f t="shared" si="147"/>
        <v>45711</v>
      </c>
      <c r="C242" s="396">
        <v>63314.239999999998</v>
      </c>
      <c r="D242" s="114">
        <f t="shared" si="139"/>
        <v>13.190466666666664</v>
      </c>
      <c r="E242" s="399">
        <v>10956463.49</v>
      </c>
      <c r="F242" s="114">
        <f t="shared" si="173"/>
        <v>2282.5965604166663</v>
      </c>
      <c r="G242" s="396">
        <v>101720.97</v>
      </c>
      <c r="H242" s="114">
        <f t="shared" ref="H242:H248" si="180">(G242*4.5%)/360</f>
        <v>12.715121250000001</v>
      </c>
      <c r="I242" s="399">
        <v>177148.29</v>
      </c>
      <c r="J242" s="114">
        <f t="shared" ref="J242:J248" si="181">(I242*4.5%)/360</f>
        <v>22.14353625</v>
      </c>
      <c r="K242" s="396">
        <v>74993.59</v>
      </c>
      <c r="L242" s="114">
        <f t="shared" ref="L242:L248" si="182">(K242*6.5%)/360</f>
        <v>13.540509305555556</v>
      </c>
      <c r="M242" s="396">
        <v>2677.67</v>
      </c>
      <c r="N242" s="114">
        <f t="shared" ref="N242:N248" si="183">(M242*2.5%)/360</f>
        <v>0.18594930555555556</v>
      </c>
      <c r="O242" s="396">
        <v>89319.01</v>
      </c>
      <c r="P242" s="114">
        <f t="shared" ref="P242:P248" si="184">(O242*6.5%)/360</f>
        <v>16.127043472222223</v>
      </c>
      <c r="Q242" s="396">
        <v>9353279.5800000001</v>
      </c>
      <c r="R242" s="398">
        <f t="shared" ref="R242:R248" si="185">(Q242*8%)/360</f>
        <v>2078.5065733333336</v>
      </c>
    </row>
    <row r="243" spans="2:18" x14ac:dyDescent="0.3">
      <c r="B243" s="393">
        <f t="shared" si="147"/>
        <v>45712</v>
      </c>
      <c r="C243" s="396">
        <v>63314.239999999998</v>
      </c>
      <c r="D243" s="114">
        <f t="shared" si="139"/>
        <v>13.190466666666664</v>
      </c>
      <c r="E243" s="399">
        <v>10954755.49</v>
      </c>
      <c r="F243" s="114">
        <f t="shared" si="173"/>
        <v>2282.2407270833332</v>
      </c>
      <c r="G243" s="396">
        <v>101720.97</v>
      </c>
      <c r="H243" s="114">
        <f t="shared" si="180"/>
        <v>12.715121250000001</v>
      </c>
      <c r="I243" s="399">
        <v>177148.29</v>
      </c>
      <c r="J243" s="114">
        <f t="shared" si="181"/>
        <v>22.14353625</v>
      </c>
      <c r="K243" s="396">
        <v>74993.59</v>
      </c>
      <c r="L243" s="114">
        <f t="shared" si="182"/>
        <v>13.540509305555556</v>
      </c>
      <c r="M243" s="396">
        <v>2677.67</v>
      </c>
      <c r="N243" s="114">
        <f t="shared" si="183"/>
        <v>0.18594930555555556</v>
      </c>
      <c r="O243" s="396">
        <v>89319.01</v>
      </c>
      <c r="P243" s="114">
        <f t="shared" si="184"/>
        <v>16.127043472222223</v>
      </c>
      <c r="Q243" s="396">
        <v>9353279.5800000001</v>
      </c>
      <c r="R243" s="398">
        <f t="shared" si="185"/>
        <v>2078.5065733333336</v>
      </c>
    </row>
    <row r="244" spans="2:18" x14ac:dyDescent="0.3">
      <c r="B244" s="393">
        <f t="shared" si="147"/>
        <v>45713</v>
      </c>
      <c r="C244" s="396">
        <v>63314.239999999998</v>
      </c>
      <c r="D244" s="114">
        <f t="shared" si="139"/>
        <v>13.190466666666664</v>
      </c>
      <c r="E244" s="399">
        <v>9957813.0500000007</v>
      </c>
      <c r="F244" s="114">
        <f t="shared" si="173"/>
        <v>2074.5443854166665</v>
      </c>
      <c r="G244" s="396">
        <v>101720.97</v>
      </c>
      <c r="H244" s="114">
        <f t="shared" si="180"/>
        <v>12.715121250000001</v>
      </c>
      <c r="I244" s="399">
        <v>177148.29</v>
      </c>
      <c r="J244" s="114">
        <f t="shared" si="181"/>
        <v>22.14353625</v>
      </c>
      <c r="K244" s="396">
        <v>74993.59</v>
      </c>
      <c r="L244" s="114">
        <f t="shared" si="182"/>
        <v>13.540509305555556</v>
      </c>
      <c r="M244" s="396">
        <v>2677.67</v>
      </c>
      <c r="N244" s="114">
        <f t="shared" si="183"/>
        <v>0.18594930555555556</v>
      </c>
      <c r="O244" s="396">
        <v>89319.01</v>
      </c>
      <c r="P244" s="114">
        <f t="shared" si="184"/>
        <v>16.127043472222223</v>
      </c>
      <c r="Q244" s="396">
        <v>9353279.5800000001</v>
      </c>
      <c r="R244" s="398">
        <f t="shared" si="185"/>
        <v>2078.5065733333336</v>
      </c>
    </row>
    <row r="245" spans="2:18" x14ac:dyDescent="0.3">
      <c r="B245" s="393">
        <f t="shared" si="147"/>
        <v>45714</v>
      </c>
      <c r="C245" s="396">
        <v>63314.239999999998</v>
      </c>
      <c r="D245" s="114">
        <f t="shared" si="139"/>
        <v>13.190466666666664</v>
      </c>
      <c r="E245" s="399">
        <v>8383024.4000000004</v>
      </c>
      <c r="F245" s="114">
        <f t="shared" si="173"/>
        <v>1746.4634166666665</v>
      </c>
      <c r="G245" s="396">
        <v>108720.97</v>
      </c>
      <c r="H245" s="114">
        <f t="shared" si="180"/>
        <v>13.590121250000001</v>
      </c>
      <c r="I245" s="399">
        <v>177148.29</v>
      </c>
      <c r="J245" s="114">
        <f t="shared" si="181"/>
        <v>22.14353625</v>
      </c>
      <c r="K245" s="396">
        <v>74993.59</v>
      </c>
      <c r="L245" s="114">
        <f t="shared" si="182"/>
        <v>13.540509305555556</v>
      </c>
      <c r="M245" s="396">
        <v>2677.67</v>
      </c>
      <c r="N245" s="114">
        <f t="shared" si="183"/>
        <v>0.18594930555555556</v>
      </c>
      <c r="O245" s="396">
        <v>89319.01</v>
      </c>
      <c r="P245" s="114">
        <f t="shared" si="184"/>
        <v>16.127043472222223</v>
      </c>
      <c r="Q245" s="396">
        <v>9353279.5800000001</v>
      </c>
      <c r="R245" s="398">
        <f t="shared" si="185"/>
        <v>2078.5065733333336</v>
      </c>
    </row>
    <row r="246" spans="2:18" x14ac:dyDescent="0.3">
      <c r="B246" s="393">
        <f t="shared" si="147"/>
        <v>45715</v>
      </c>
      <c r="C246" s="396">
        <v>63314.239999999998</v>
      </c>
      <c r="D246" s="114">
        <f t="shared" si="139"/>
        <v>13.190466666666664</v>
      </c>
      <c r="E246" s="399">
        <v>7358357.9900000002</v>
      </c>
      <c r="F246" s="114">
        <f t="shared" si="173"/>
        <v>1532.9912479166667</v>
      </c>
      <c r="G246" s="396">
        <v>108720.97</v>
      </c>
      <c r="H246" s="114">
        <f t="shared" si="180"/>
        <v>13.590121250000001</v>
      </c>
      <c r="I246" s="399">
        <v>177148.29</v>
      </c>
      <c r="J246" s="114">
        <f t="shared" si="181"/>
        <v>22.14353625</v>
      </c>
      <c r="K246" s="396">
        <v>74993.59</v>
      </c>
      <c r="L246" s="114">
        <f t="shared" si="182"/>
        <v>13.540509305555556</v>
      </c>
      <c r="M246" s="396">
        <v>2677.67</v>
      </c>
      <c r="N246" s="114">
        <f t="shared" si="183"/>
        <v>0.18594930555555556</v>
      </c>
      <c r="O246" s="396">
        <v>89319.01</v>
      </c>
      <c r="P246" s="114">
        <f t="shared" si="184"/>
        <v>16.127043472222223</v>
      </c>
      <c r="Q246" s="396">
        <v>9353279.5800000001</v>
      </c>
      <c r="R246" s="398">
        <f t="shared" si="185"/>
        <v>2078.5065733333336</v>
      </c>
    </row>
    <row r="247" spans="2:18" x14ac:dyDescent="0.3">
      <c r="B247" s="393">
        <f t="shared" si="147"/>
        <v>45716</v>
      </c>
      <c r="C247" s="396">
        <v>63314.239999999998</v>
      </c>
      <c r="D247" s="114">
        <f t="shared" si="139"/>
        <v>13.190466666666664</v>
      </c>
      <c r="E247" s="399">
        <v>7358357.9900000002</v>
      </c>
      <c r="F247" s="114">
        <f t="shared" si="173"/>
        <v>1532.9912479166667</v>
      </c>
      <c r="G247" s="396">
        <v>108720.97</v>
      </c>
      <c r="H247" s="114">
        <f t="shared" si="180"/>
        <v>13.590121250000001</v>
      </c>
      <c r="I247" s="399">
        <v>177148.29</v>
      </c>
      <c r="J247" s="114">
        <f t="shared" si="181"/>
        <v>22.14353625</v>
      </c>
      <c r="K247" s="396">
        <v>74993.59</v>
      </c>
      <c r="L247" s="114">
        <f t="shared" si="182"/>
        <v>13.540509305555556</v>
      </c>
      <c r="M247" s="396">
        <v>2677.67</v>
      </c>
      <c r="N247" s="114">
        <f t="shared" si="183"/>
        <v>0.18594930555555556</v>
      </c>
      <c r="O247" s="396">
        <v>89319.01</v>
      </c>
      <c r="P247" s="114">
        <f t="shared" si="184"/>
        <v>16.127043472222223</v>
      </c>
      <c r="Q247" s="396">
        <v>9353279.5800000001</v>
      </c>
      <c r="R247" s="398">
        <f t="shared" si="185"/>
        <v>2078.5065733333336</v>
      </c>
    </row>
    <row r="248" spans="2:18" x14ac:dyDescent="0.3">
      <c r="B248" s="393">
        <f t="shared" si="147"/>
        <v>45717</v>
      </c>
      <c r="C248" s="396">
        <v>63314.239999999998</v>
      </c>
      <c r="D248" s="114">
        <f t="shared" si="139"/>
        <v>13.190466666666664</v>
      </c>
      <c r="E248" s="399">
        <v>7358357.9900000002</v>
      </c>
      <c r="F248" s="114">
        <f t="shared" si="173"/>
        <v>1532.9912479166667</v>
      </c>
      <c r="G248" s="396">
        <v>108720.97</v>
      </c>
      <c r="H248" s="114">
        <f t="shared" si="180"/>
        <v>13.590121250000001</v>
      </c>
      <c r="I248" s="399">
        <v>177148.29</v>
      </c>
      <c r="J248" s="114">
        <f t="shared" si="181"/>
        <v>22.14353625</v>
      </c>
      <c r="K248" s="396">
        <v>74993.59</v>
      </c>
      <c r="L248" s="114">
        <f t="shared" si="182"/>
        <v>13.540509305555556</v>
      </c>
      <c r="M248" s="396">
        <v>2677.67</v>
      </c>
      <c r="N248" s="114">
        <f t="shared" si="183"/>
        <v>0.18594930555555556</v>
      </c>
      <c r="O248" s="396">
        <v>89319.01</v>
      </c>
      <c r="P248" s="114">
        <f t="shared" si="184"/>
        <v>16.127043472222223</v>
      </c>
      <c r="Q248" s="396">
        <v>9353279.5800000001</v>
      </c>
      <c r="R248" s="398">
        <f t="shared" si="185"/>
        <v>2078.5065733333336</v>
      </c>
    </row>
    <row r="249" spans="2:18" x14ac:dyDescent="0.3">
      <c r="B249" s="393">
        <f t="shared" si="147"/>
        <v>45718</v>
      </c>
      <c r="C249" s="396">
        <v>63314.239999999998</v>
      </c>
      <c r="D249" s="114">
        <f t="shared" ref="D249:D290" si="186">(C249*7.5%)/360</f>
        <v>13.190466666666664</v>
      </c>
      <c r="E249" s="399">
        <v>7321607.9900000002</v>
      </c>
      <c r="F249" s="114">
        <f t="shared" ref="F249:F255" si="187">(E249*7.5%)/360</f>
        <v>1525.3349979166667</v>
      </c>
      <c r="G249" s="396">
        <v>108720.97</v>
      </c>
      <c r="H249" s="114">
        <f t="shared" ref="H249:H255" si="188">(G249*4.5%)/360</f>
        <v>13.590121250000001</v>
      </c>
      <c r="I249" s="399">
        <v>177148.29</v>
      </c>
      <c r="J249" s="114">
        <f t="shared" ref="J249:J255" si="189">(I249*4.5%)/360</f>
        <v>22.14353625</v>
      </c>
      <c r="K249" s="396">
        <v>74993.59</v>
      </c>
      <c r="L249" s="114">
        <f t="shared" ref="L249:L255" si="190">(K249*6.5%)/360</f>
        <v>13.540509305555556</v>
      </c>
      <c r="M249" s="396">
        <v>2677.67</v>
      </c>
      <c r="N249" s="114">
        <f t="shared" ref="N249:N255" si="191">(M249*2.5%)/360</f>
        <v>0.18594930555555556</v>
      </c>
      <c r="O249" s="396">
        <v>89319.01</v>
      </c>
      <c r="P249" s="114">
        <f t="shared" ref="P249:P255" si="192">(O249*6.5%)/360</f>
        <v>16.127043472222223</v>
      </c>
      <c r="Q249" s="396">
        <v>9353279.5800000001</v>
      </c>
      <c r="R249" s="398">
        <f t="shared" ref="R249:R255" si="193">(Q249*8%)/360</f>
        <v>2078.5065733333336</v>
      </c>
    </row>
    <row r="250" spans="2:18" x14ac:dyDescent="0.3">
      <c r="B250" s="393">
        <f t="shared" si="147"/>
        <v>45719</v>
      </c>
      <c r="C250" s="396">
        <v>63314.239999999998</v>
      </c>
      <c r="D250" s="114">
        <f t="shared" si="186"/>
        <v>13.190466666666664</v>
      </c>
      <c r="E250" s="399">
        <v>7321607.9900000002</v>
      </c>
      <c r="F250" s="114">
        <f t="shared" si="187"/>
        <v>1525.3349979166667</v>
      </c>
      <c r="G250" s="396">
        <v>108720.97</v>
      </c>
      <c r="H250" s="114">
        <f t="shared" si="188"/>
        <v>13.590121250000001</v>
      </c>
      <c r="I250" s="399">
        <v>177148.29</v>
      </c>
      <c r="J250" s="114">
        <f t="shared" si="189"/>
        <v>22.14353625</v>
      </c>
      <c r="K250" s="396">
        <v>74993.59</v>
      </c>
      <c r="L250" s="114">
        <f t="shared" si="190"/>
        <v>13.540509305555556</v>
      </c>
      <c r="M250" s="396">
        <v>2677.67</v>
      </c>
      <c r="N250" s="114">
        <f t="shared" si="191"/>
        <v>0.18594930555555556</v>
      </c>
      <c r="O250" s="396">
        <v>89319.01</v>
      </c>
      <c r="P250" s="114">
        <f t="shared" si="192"/>
        <v>16.127043472222223</v>
      </c>
      <c r="Q250" s="396">
        <v>9353279.5800000001</v>
      </c>
      <c r="R250" s="398">
        <f t="shared" si="193"/>
        <v>2078.5065733333336</v>
      </c>
    </row>
    <row r="251" spans="2:18" x14ac:dyDescent="0.3">
      <c r="B251" s="393">
        <f t="shared" si="147"/>
        <v>45720</v>
      </c>
      <c r="C251" s="396">
        <v>63314.239999999998</v>
      </c>
      <c r="D251" s="114">
        <f t="shared" si="186"/>
        <v>13.190466666666664</v>
      </c>
      <c r="E251" s="399">
        <v>7321607.9900000002</v>
      </c>
      <c r="F251" s="114">
        <f t="shared" si="187"/>
        <v>1525.3349979166667</v>
      </c>
      <c r="G251" s="396">
        <v>108720.97</v>
      </c>
      <c r="H251" s="114">
        <f t="shared" si="188"/>
        <v>13.590121250000001</v>
      </c>
      <c r="I251" s="399">
        <v>177148.29</v>
      </c>
      <c r="J251" s="114">
        <f t="shared" si="189"/>
        <v>22.14353625</v>
      </c>
      <c r="K251" s="396">
        <v>74993.59</v>
      </c>
      <c r="L251" s="114">
        <f t="shared" si="190"/>
        <v>13.540509305555556</v>
      </c>
      <c r="M251" s="396">
        <v>2677.67</v>
      </c>
      <c r="N251" s="114">
        <f t="shared" si="191"/>
        <v>0.18594930555555556</v>
      </c>
      <c r="O251" s="396">
        <v>89319.01</v>
      </c>
      <c r="P251" s="114">
        <f t="shared" si="192"/>
        <v>16.127043472222223</v>
      </c>
      <c r="Q251" s="396">
        <v>9353279.5800000001</v>
      </c>
      <c r="R251" s="398">
        <f t="shared" si="193"/>
        <v>2078.5065733333336</v>
      </c>
    </row>
    <row r="252" spans="2:18" x14ac:dyDescent="0.3">
      <c r="B252" s="393">
        <f t="shared" si="147"/>
        <v>45721</v>
      </c>
      <c r="C252" s="396">
        <v>63314.239999999998</v>
      </c>
      <c r="D252" s="114">
        <f t="shared" si="186"/>
        <v>13.190466666666664</v>
      </c>
      <c r="E252" s="399">
        <v>7321607.9900000002</v>
      </c>
      <c r="F252" s="114">
        <f t="shared" si="187"/>
        <v>1525.3349979166667</v>
      </c>
      <c r="G252" s="396">
        <v>108720.97</v>
      </c>
      <c r="H252" s="114">
        <f t="shared" si="188"/>
        <v>13.590121250000001</v>
      </c>
      <c r="I252" s="399">
        <v>177148.29</v>
      </c>
      <c r="J252" s="114">
        <f t="shared" si="189"/>
        <v>22.14353625</v>
      </c>
      <c r="K252" s="396">
        <v>74993.59</v>
      </c>
      <c r="L252" s="114">
        <f t="shared" si="190"/>
        <v>13.540509305555556</v>
      </c>
      <c r="M252" s="396">
        <v>2677.67</v>
      </c>
      <c r="N252" s="114">
        <f t="shared" si="191"/>
        <v>0.18594930555555556</v>
      </c>
      <c r="O252" s="396">
        <v>89319.01</v>
      </c>
      <c r="P252" s="114">
        <f t="shared" si="192"/>
        <v>16.127043472222223</v>
      </c>
      <c r="Q252" s="396">
        <v>9353279.5800000001</v>
      </c>
      <c r="R252" s="398">
        <f t="shared" si="193"/>
        <v>2078.5065733333336</v>
      </c>
    </row>
    <row r="253" spans="2:18" x14ac:dyDescent="0.3">
      <c r="B253" s="393">
        <f t="shared" si="147"/>
        <v>45722</v>
      </c>
      <c r="C253" s="396">
        <v>63314.239999999998</v>
      </c>
      <c r="D253" s="114">
        <f t="shared" si="186"/>
        <v>13.190466666666664</v>
      </c>
      <c r="E253" s="399">
        <v>7321607.9900000002</v>
      </c>
      <c r="F253" s="114">
        <f t="shared" si="187"/>
        <v>1525.3349979166667</v>
      </c>
      <c r="G253" s="396">
        <v>108720.97</v>
      </c>
      <c r="H253" s="114">
        <f t="shared" si="188"/>
        <v>13.590121250000001</v>
      </c>
      <c r="I253" s="399">
        <v>177148.29</v>
      </c>
      <c r="J253" s="114">
        <f t="shared" si="189"/>
        <v>22.14353625</v>
      </c>
      <c r="K253" s="396">
        <v>74993.59</v>
      </c>
      <c r="L253" s="114">
        <f t="shared" si="190"/>
        <v>13.540509305555556</v>
      </c>
      <c r="M253" s="396">
        <v>2677.67</v>
      </c>
      <c r="N253" s="114">
        <f t="shared" si="191"/>
        <v>0.18594930555555556</v>
      </c>
      <c r="O253" s="396">
        <v>89319.01</v>
      </c>
      <c r="P253" s="114">
        <f t="shared" si="192"/>
        <v>16.127043472222223</v>
      </c>
      <c r="Q253" s="396">
        <v>9353279.5800000001</v>
      </c>
      <c r="R253" s="398">
        <f t="shared" si="193"/>
        <v>2078.5065733333336</v>
      </c>
    </row>
    <row r="254" spans="2:18" x14ac:dyDescent="0.3">
      <c r="B254" s="393">
        <f t="shared" ref="B254:B317" si="194">B253+1</f>
        <v>45723</v>
      </c>
      <c r="C254" s="396">
        <v>63314.239999999998</v>
      </c>
      <c r="D254" s="114">
        <f t="shared" si="186"/>
        <v>13.190466666666664</v>
      </c>
      <c r="E254" s="399">
        <v>7321607.9900000002</v>
      </c>
      <c r="F254" s="114">
        <f t="shared" si="187"/>
        <v>1525.3349979166667</v>
      </c>
      <c r="G254" s="396">
        <v>108720.97</v>
      </c>
      <c r="H254" s="114">
        <f t="shared" si="188"/>
        <v>13.590121250000001</v>
      </c>
      <c r="I254" s="399">
        <v>177148.29</v>
      </c>
      <c r="J254" s="114">
        <f t="shared" si="189"/>
        <v>22.14353625</v>
      </c>
      <c r="K254" s="396">
        <v>74993.59</v>
      </c>
      <c r="L254" s="114">
        <f t="shared" si="190"/>
        <v>13.540509305555556</v>
      </c>
      <c r="M254" s="396">
        <v>2677.67</v>
      </c>
      <c r="N254" s="114">
        <f t="shared" si="191"/>
        <v>0.18594930555555556</v>
      </c>
      <c r="O254" s="396">
        <v>89319.01</v>
      </c>
      <c r="P254" s="114">
        <f t="shared" si="192"/>
        <v>16.127043472222223</v>
      </c>
      <c r="Q254" s="396">
        <v>9353279.5800000001</v>
      </c>
      <c r="R254" s="398">
        <f t="shared" si="193"/>
        <v>2078.5065733333336</v>
      </c>
    </row>
    <row r="255" spans="2:18" x14ac:dyDescent="0.3">
      <c r="B255" s="393">
        <f t="shared" si="194"/>
        <v>45724</v>
      </c>
      <c r="C255" s="396">
        <v>63314.239999999998</v>
      </c>
      <c r="D255" s="114">
        <f t="shared" si="186"/>
        <v>13.190466666666664</v>
      </c>
      <c r="E255" s="399">
        <v>7321607.9900000002</v>
      </c>
      <c r="F255" s="114">
        <f t="shared" si="187"/>
        <v>1525.3349979166667</v>
      </c>
      <c r="G255" s="396">
        <v>108720.97</v>
      </c>
      <c r="H255" s="114">
        <f t="shared" si="188"/>
        <v>13.590121250000001</v>
      </c>
      <c r="I255" s="399">
        <v>177148.29</v>
      </c>
      <c r="J255" s="114">
        <f t="shared" si="189"/>
        <v>22.14353625</v>
      </c>
      <c r="K255" s="396">
        <v>74993.59</v>
      </c>
      <c r="L255" s="114">
        <f t="shared" si="190"/>
        <v>13.540509305555556</v>
      </c>
      <c r="M255" s="396">
        <v>2677.67</v>
      </c>
      <c r="N255" s="114">
        <f t="shared" si="191"/>
        <v>0.18594930555555556</v>
      </c>
      <c r="O255" s="396">
        <v>89319.01</v>
      </c>
      <c r="P255" s="114">
        <f t="shared" si="192"/>
        <v>16.127043472222223</v>
      </c>
      <c r="Q255" s="396">
        <v>9353279.5800000001</v>
      </c>
      <c r="R255" s="398">
        <f t="shared" si="193"/>
        <v>2078.5065733333336</v>
      </c>
    </row>
    <row r="256" spans="2:18" x14ac:dyDescent="0.3">
      <c r="B256" s="393">
        <f t="shared" si="194"/>
        <v>45725</v>
      </c>
      <c r="C256" s="396">
        <v>63314.239999999998</v>
      </c>
      <c r="D256" s="114">
        <f t="shared" si="186"/>
        <v>13.190466666666664</v>
      </c>
      <c r="E256" s="399">
        <v>7321607.9900000002</v>
      </c>
      <c r="F256" s="114">
        <f t="shared" ref="F256:F283" si="195">(E256*7.5%)/360</f>
        <v>1525.3349979166667</v>
      </c>
      <c r="G256" s="396">
        <v>108720.97</v>
      </c>
      <c r="H256" s="114">
        <f t="shared" ref="H256:H262" si="196">(G256*4.5%)/360</f>
        <v>13.590121250000001</v>
      </c>
      <c r="I256" s="399">
        <v>177148.29</v>
      </c>
      <c r="J256" s="114">
        <f t="shared" ref="J256:J262" si="197">(I256*4.5%)/360</f>
        <v>22.14353625</v>
      </c>
      <c r="K256" s="396">
        <v>74993.59</v>
      </c>
      <c r="L256" s="114">
        <f t="shared" ref="L256:L262" si="198">(K256*6.5%)/360</f>
        <v>13.540509305555556</v>
      </c>
      <c r="M256" s="396">
        <v>2677.67</v>
      </c>
      <c r="N256" s="114">
        <f t="shared" ref="N256:N262" si="199">(M256*2.5%)/360</f>
        <v>0.18594930555555556</v>
      </c>
      <c r="O256" s="396">
        <v>89319.01</v>
      </c>
      <c r="P256" s="114">
        <f t="shared" ref="P256:P262" si="200">(O256*6.5%)/360</f>
        <v>16.127043472222223</v>
      </c>
      <c r="Q256" s="396">
        <v>9353279.5800000001</v>
      </c>
      <c r="R256" s="398">
        <f t="shared" ref="R256:R262" si="201">(Q256*8%)/360</f>
        <v>2078.5065733333336</v>
      </c>
    </row>
    <row r="257" spans="2:18" x14ac:dyDescent="0.3">
      <c r="B257" s="393">
        <f t="shared" si="194"/>
        <v>45726</v>
      </c>
      <c r="C257" s="396">
        <v>63314.239999999998</v>
      </c>
      <c r="D257" s="114">
        <f t="shared" si="186"/>
        <v>13.190466666666664</v>
      </c>
      <c r="E257" s="399">
        <v>7194761.3600000003</v>
      </c>
      <c r="F257" s="114">
        <f t="shared" si="195"/>
        <v>1498.9086166666666</v>
      </c>
      <c r="G257" s="396">
        <v>108720.97</v>
      </c>
      <c r="H257" s="114">
        <f t="shared" si="196"/>
        <v>13.590121250000001</v>
      </c>
      <c r="I257" s="399">
        <v>177148.29</v>
      </c>
      <c r="J257" s="114">
        <f t="shared" si="197"/>
        <v>22.14353625</v>
      </c>
      <c r="K257" s="396">
        <v>74993.59</v>
      </c>
      <c r="L257" s="114">
        <f t="shared" si="198"/>
        <v>13.540509305555556</v>
      </c>
      <c r="M257" s="396">
        <v>2677.67</v>
      </c>
      <c r="N257" s="114">
        <f t="shared" si="199"/>
        <v>0.18594930555555556</v>
      </c>
      <c r="O257" s="396">
        <v>89319.01</v>
      </c>
      <c r="P257" s="114">
        <f t="shared" si="200"/>
        <v>16.127043472222223</v>
      </c>
      <c r="Q257" s="396">
        <v>9353279.5800000001</v>
      </c>
      <c r="R257" s="398">
        <f t="shared" si="201"/>
        <v>2078.5065733333336</v>
      </c>
    </row>
    <row r="258" spans="2:18" x14ac:dyDescent="0.3">
      <c r="B258" s="393">
        <f t="shared" si="194"/>
        <v>45727</v>
      </c>
      <c r="C258" s="396">
        <v>63314.239999999998</v>
      </c>
      <c r="D258" s="114">
        <f t="shared" si="186"/>
        <v>13.190466666666664</v>
      </c>
      <c r="E258" s="399">
        <v>7194761.3600000003</v>
      </c>
      <c r="F258" s="114">
        <f t="shared" si="195"/>
        <v>1498.9086166666666</v>
      </c>
      <c r="G258" s="396">
        <v>108720.97</v>
      </c>
      <c r="H258" s="114">
        <f t="shared" si="196"/>
        <v>13.590121250000001</v>
      </c>
      <c r="I258" s="399">
        <v>177148.29</v>
      </c>
      <c r="J258" s="114">
        <f t="shared" si="197"/>
        <v>22.14353625</v>
      </c>
      <c r="K258" s="396">
        <v>74993.59</v>
      </c>
      <c r="L258" s="114">
        <f t="shared" si="198"/>
        <v>13.540509305555556</v>
      </c>
      <c r="M258" s="396">
        <v>2677.67</v>
      </c>
      <c r="N258" s="114">
        <f t="shared" si="199"/>
        <v>0.18594930555555556</v>
      </c>
      <c r="O258" s="396">
        <v>89319.01</v>
      </c>
      <c r="P258" s="114">
        <f t="shared" si="200"/>
        <v>16.127043472222223</v>
      </c>
      <c r="Q258" s="396">
        <v>9353279.5800000001</v>
      </c>
      <c r="R258" s="398">
        <f t="shared" si="201"/>
        <v>2078.5065733333336</v>
      </c>
    </row>
    <row r="259" spans="2:18" x14ac:dyDescent="0.3">
      <c r="B259" s="393">
        <f t="shared" si="194"/>
        <v>45728</v>
      </c>
      <c r="C259" s="396">
        <v>63314.239999999998</v>
      </c>
      <c r="D259" s="114">
        <f t="shared" si="186"/>
        <v>13.190466666666664</v>
      </c>
      <c r="E259" s="399">
        <v>7194761.3600000003</v>
      </c>
      <c r="F259" s="114">
        <f t="shared" si="195"/>
        <v>1498.9086166666666</v>
      </c>
      <c r="G259" s="396">
        <v>108720.97</v>
      </c>
      <c r="H259" s="114">
        <f t="shared" si="196"/>
        <v>13.590121250000001</v>
      </c>
      <c r="I259" s="399">
        <v>177148.29</v>
      </c>
      <c r="J259" s="114">
        <f t="shared" si="197"/>
        <v>22.14353625</v>
      </c>
      <c r="K259" s="396">
        <v>74993.59</v>
      </c>
      <c r="L259" s="114">
        <f t="shared" si="198"/>
        <v>13.540509305555556</v>
      </c>
      <c r="M259" s="396">
        <v>2677.67</v>
      </c>
      <c r="N259" s="114">
        <f t="shared" si="199"/>
        <v>0.18594930555555556</v>
      </c>
      <c r="O259" s="396">
        <v>89319.01</v>
      </c>
      <c r="P259" s="114">
        <f t="shared" si="200"/>
        <v>16.127043472222223</v>
      </c>
      <c r="Q259" s="396">
        <v>9353279.5800000001</v>
      </c>
      <c r="R259" s="398">
        <f t="shared" si="201"/>
        <v>2078.5065733333336</v>
      </c>
    </row>
    <row r="260" spans="2:18" x14ac:dyDescent="0.3">
      <c r="B260" s="393">
        <f t="shared" si="194"/>
        <v>45729</v>
      </c>
      <c r="C260" s="396">
        <v>2299804.29</v>
      </c>
      <c r="D260" s="114">
        <f t="shared" si="186"/>
        <v>479.12589374999999</v>
      </c>
      <c r="E260" s="399">
        <v>5694761.3600000003</v>
      </c>
      <c r="F260" s="114">
        <f t="shared" si="195"/>
        <v>1186.4086166666666</v>
      </c>
      <c r="G260" s="396">
        <v>108720.97</v>
      </c>
      <c r="H260" s="114">
        <f t="shared" si="196"/>
        <v>13.590121250000001</v>
      </c>
      <c r="I260" s="399">
        <v>177148.29</v>
      </c>
      <c r="J260" s="114">
        <f t="shared" si="197"/>
        <v>22.14353625</v>
      </c>
      <c r="K260" s="396">
        <v>74993.59</v>
      </c>
      <c r="L260" s="114">
        <f t="shared" si="198"/>
        <v>13.540509305555556</v>
      </c>
      <c r="M260" s="396">
        <v>2677.67</v>
      </c>
      <c r="N260" s="114">
        <f t="shared" si="199"/>
        <v>0.18594930555555556</v>
      </c>
      <c r="O260" s="396">
        <v>89319.01</v>
      </c>
      <c r="P260" s="114">
        <f t="shared" si="200"/>
        <v>16.127043472222223</v>
      </c>
      <c r="Q260" s="396">
        <v>9353279.5800000001</v>
      </c>
      <c r="R260" s="398">
        <f t="shared" si="201"/>
        <v>2078.5065733333336</v>
      </c>
    </row>
    <row r="261" spans="2:18" x14ac:dyDescent="0.3">
      <c r="B261" s="393">
        <f t="shared" si="194"/>
        <v>45730</v>
      </c>
      <c r="C261" s="396">
        <v>2299804.29</v>
      </c>
      <c r="D261" s="114">
        <f t="shared" si="186"/>
        <v>479.12589374999999</v>
      </c>
      <c r="E261" s="399">
        <v>5694761.3600000003</v>
      </c>
      <c r="F261" s="114">
        <f t="shared" si="195"/>
        <v>1186.4086166666666</v>
      </c>
      <c r="G261" s="396">
        <v>108720.97</v>
      </c>
      <c r="H261" s="114">
        <f t="shared" si="196"/>
        <v>13.590121250000001</v>
      </c>
      <c r="I261" s="399">
        <v>177148.29</v>
      </c>
      <c r="J261" s="114">
        <f t="shared" si="197"/>
        <v>22.14353625</v>
      </c>
      <c r="K261" s="396">
        <v>74993.59</v>
      </c>
      <c r="L261" s="114">
        <f t="shared" si="198"/>
        <v>13.540509305555556</v>
      </c>
      <c r="M261" s="396">
        <v>2677.67</v>
      </c>
      <c r="N261" s="114">
        <f t="shared" si="199"/>
        <v>0.18594930555555556</v>
      </c>
      <c r="O261" s="396">
        <v>89319.01</v>
      </c>
      <c r="P261" s="114">
        <f t="shared" si="200"/>
        <v>16.127043472222223</v>
      </c>
      <c r="Q261" s="396">
        <v>9353279.5800000001</v>
      </c>
      <c r="R261" s="398">
        <f t="shared" si="201"/>
        <v>2078.5065733333336</v>
      </c>
    </row>
    <row r="262" spans="2:18" x14ac:dyDescent="0.3">
      <c r="B262" s="393">
        <f t="shared" si="194"/>
        <v>45731</v>
      </c>
      <c r="C262" s="396">
        <v>2299804.29</v>
      </c>
      <c r="D262" s="114">
        <f t="shared" si="186"/>
        <v>479.12589374999999</v>
      </c>
      <c r="E262" s="399">
        <v>5694761.3600000003</v>
      </c>
      <c r="F262" s="114">
        <f t="shared" si="195"/>
        <v>1186.4086166666666</v>
      </c>
      <c r="G262" s="396">
        <v>108720.97</v>
      </c>
      <c r="H262" s="114">
        <f t="shared" si="196"/>
        <v>13.590121250000001</v>
      </c>
      <c r="I262" s="399">
        <v>177148.29</v>
      </c>
      <c r="J262" s="114">
        <f t="shared" si="197"/>
        <v>22.14353625</v>
      </c>
      <c r="K262" s="396">
        <v>74993.59</v>
      </c>
      <c r="L262" s="114">
        <f t="shared" si="198"/>
        <v>13.540509305555556</v>
      </c>
      <c r="M262" s="396">
        <v>2677.67</v>
      </c>
      <c r="N262" s="114">
        <f t="shared" si="199"/>
        <v>0.18594930555555556</v>
      </c>
      <c r="O262" s="396">
        <v>89319.01</v>
      </c>
      <c r="P262" s="114">
        <f t="shared" si="200"/>
        <v>16.127043472222223</v>
      </c>
      <c r="Q262" s="396">
        <v>9353279.5800000001</v>
      </c>
      <c r="R262" s="398">
        <f t="shared" si="201"/>
        <v>2078.5065733333336</v>
      </c>
    </row>
    <row r="263" spans="2:18" x14ac:dyDescent="0.3">
      <c r="B263" s="393">
        <f t="shared" si="194"/>
        <v>45732</v>
      </c>
      <c r="C263" s="396">
        <v>2299804.29</v>
      </c>
      <c r="D263" s="114">
        <f t="shared" si="186"/>
        <v>479.12589374999999</v>
      </c>
      <c r="E263" s="399">
        <v>5694761.3600000003</v>
      </c>
      <c r="F263" s="114">
        <f t="shared" si="195"/>
        <v>1186.4086166666666</v>
      </c>
      <c r="G263" s="396">
        <v>108720.97</v>
      </c>
      <c r="H263" s="114">
        <f t="shared" ref="H263:H269" si="202">(G263*4.5%)/360</f>
        <v>13.590121250000001</v>
      </c>
      <c r="I263" s="399">
        <v>177148.29</v>
      </c>
      <c r="J263" s="114">
        <f t="shared" ref="J263:J269" si="203">(I263*4.5%)/360</f>
        <v>22.14353625</v>
      </c>
      <c r="K263" s="396">
        <v>74993.59</v>
      </c>
      <c r="L263" s="114">
        <f t="shared" ref="L263:L269" si="204">(K263*6.5%)/360</f>
        <v>13.540509305555556</v>
      </c>
      <c r="M263" s="396">
        <v>2677.67</v>
      </c>
      <c r="N263" s="114">
        <f t="shared" ref="N263:N269" si="205">(M263*2.5%)/360</f>
        <v>0.18594930555555556</v>
      </c>
      <c r="O263" s="396">
        <v>89319.01</v>
      </c>
      <c r="P263" s="114">
        <f t="shared" ref="P263:P269" si="206">(O263*6.5%)/360</f>
        <v>16.127043472222223</v>
      </c>
      <c r="Q263" s="396">
        <v>9353279.5800000001</v>
      </c>
      <c r="R263" s="398">
        <f t="shared" ref="R263:R269" si="207">(Q263*8%)/360</f>
        <v>2078.5065733333336</v>
      </c>
    </row>
    <row r="264" spans="2:18" x14ac:dyDescent="0.3">
      <c r="B264" s="393">
        <f t="shared" si="194"/>
        <v>45733</v>
      </c>
      <c r="C264" s="396">
        <v>2299804.29</v>
      </c>
      <c r="D264" s="114">
        <f t="shared" si="186"/>
        <v>479.12589374999999</v>
      </c>
      <c r="E264" s="399">
        <v>5694761.3600000003</v>
      </c>
      <c r="F264" s="114">
        <f t="shared" si="195"/>
        <v>1186.4086166666666</v>
      </c>
      <c r="G264" s="396">
        <v>108720.97</v>
      </c>
      <c r="H264" s="114">
        <f t="shared" si="202"/>
        <v>13.590121250000001</v>
      </c>
      <c r="I264" s="399">
        <v>177148.29</v>
      </c>
      <c r="J264" s="114">
        <f t="shared" si="203"/>
        <v>22.14353625</v>
      </c>
      <c r="K264" s="396">
        <v>74993.59</v>
      </c>
      <c r="L264" s="114">
        <f t="shared" si="204"/>
        <v>13.540509305555556</v>
      </c>
      <c r="M264" s="396">
        <v>2677.67</v>
      </c>
      <c r="N264" s="114">
        <f t="shared" si="205"/>
        <v>0.18594930555555556</v>
      </c>
      <c r="O264" s="396">
        <v>89319.01</v>
      </c>
      <c r="P264" s="114">
        <f t="shared" si="206"/>
        <v>16.127043472222223</v>
      </c>
      <c r="Q264" s="396">
        <v>9353279.5800000001</v>
      </c>
      <c r="R264" s="398">
        <f t="shared" si="207"/>
        <v>2078.5065733333336</v>
      </c>
    </row>
    <row r="265" spans="2:18" x14ac:dyDescent="0.3">
      <c r="B265" s="393">
        <f t="shared" si="194"/>
        <v>45734</v>
      </c>
      <c r="C265" s="396">
        <v>2299804.29</v>
      </c>
      <c r="D265" s="114">
        <f t="shared" si="186"/>
        <v>479.12589374999999</v>
      </c>
      <c r="E265" s="399">
        <v>1583676.711526637</v>
      </c>
      <c r="F265" s="114">
        <f t="shared" si="195"/>
        <v>329.932648234716</v>
      </c>
      <c r="G265" s="396">
        <v>108720.97</v>
      </c>
      <c r="H265" s="114">
        <f t="shared" si="202"/>
        <v>13.590121250000001</v>
      </c>
      <c r="I265" s="399">
        <v>177148.29</v>
      </c>
      <c r="J265" s="114">
        <f t="shared" si="203"/>
        <v>22.14353625</v>
      </c>
      <c r="K265" s="396">
        <v>74993.59</v>
      </c>
      <c r="L265" s="114">
        <f t="shared" si="204"/>
        <v>13.540509305555556</v>
      </c>
      <c r="M265" s="396">
        <v>2677.67</v>
      </c>
      <c r="N265" s="114">
        <f t="shared" si="205"/>
        <v>0.18594930555555556</v>
      </c>
      <c r="O265" s="396">
        <v>89319.01</v>
      </c>
      <c r="P265" s="114">
        <f t="shared" si="206"/>
        <v>16.127043472222223</v>
      </c>
      <c r="Q265" s="396">
        <v>9353279.5800000001</v>
      </c>
      <c r="R265" s="398">
        <f t="shared" si="207"/>
        <v>2078.5065733333336</v>
      </c>
    </row>
    <row r="266" spans="2:18" x14ac:dyDescent="0.3">
      <c r="B266" s="393">
        <f t="shared" si="194"/>
        <v>45735</v>
      </c>
      <c r="C266" s="396">
        <v>2299804.29</v>
      </c>
      <c r="D266" s="114">
        <f t="shared" si="186"/>
        <v>479.12589374999999</v>
      </c>
      <c r="E266" s="399">
        <v>1583676.711526637</v>
      </c>
      <c r="F266" s="114">
        <f t="shared" si="195"/>
        <v>329.932648234716</v>
      </c>
      <c r="G266" s="396">
        <v>108720.97</v>
      </c>
      <c r="H266" s="114">
        <f t="shared" si="202"/>
        <v>13.590121250000001</v>
      </c>
      <c r="I266" s="399">
        <v>177148.29</v>
      </c>
      <c r="J266" s="114">
        <f t="shared" si="203"/>
        <v>22.14353625</v>
      </c>
      <c r="K266" s="396">
        <v>74993.59</v>
      </c>
      <c r="L266" s="114">
        <f t="shared" si="204"/>
        <v>13.540509305555556</v>
      </c>
      <c r="M266" s="396">
        <v>2677.67</v>
      </c>
      <c r="N266" s="114">
        <f t="shared" si="205"/>
        <v>0.18594930555555556</v>
      </c>
      <c r="O266" s="396">
        <v>89319.01</v>
      </c>
      <c r="P266" s="114">
        <f t="shared" si="206"/>
        <v>16.127043472222223</v>
      </c>
      <c r="Q266" s="396">
        <v>9353279.5800000001</v>
      </c>
      <c r="R266" s="398">
        <f t="shared" si="207"/>
        <v>2078.5065733333336</v>
      </c>
    </row>
    <row r="267" spans="2:18" x14ac:dyDescent="0.3">
      <c r="B267" s="393">
        <f t="shared" si="194"/>
        <v>45736</v>
      </c>
      <c r="C267" s="396">
        <v>2271220.29</v>
      </c>
      <c r="D267" s="114">
        <f t="shared" si="186"/>
        <v>473.17089374999995</v>
      </c>
      <c r="E267" s="399">
        <v>1933242.19</v>
      </c>
      <c r="F267" s="114">
        <f t="shared" si="195"/>
        <v>402.75878958333334</v>
      </c>
      <c r="G267" s="396">
        <v>108720.97</v>
      </c>
      <c r="H267" s="114">
        <f t="shared" si="202"/>
        <v>13.590121250000001</v>
      </c>
      <c r="I267" s="399">
        <v>177148.29</v>
      </c>
      <c r="J267" s="114">
        <f t="shared" si="203"/>
        <v>22.14353625</v>
      </c>
      <c r="K267" s="396">
        <v>74993.59</v>
      </c>
      <c r="L267" s="114">
        <f t="shared" si="204"/>
        <v>13.540509305555556</v>
      </c>
      <c r="M267" s="396">
        <v>2677.67</v>
      </c>
      <c r="N267" s="114">
        <f t="shared" si="205"/>
        <v>0.18594930555555556</v>
      </c>
      <c r="O267" s="396">
        <v>89319.01</v>
      </c>
      <c r="P267" s="114">
        <f t="shared" si="206"/>
        <v>16.127043472222223</v>
      </c>
      <c r="Q267" s="396">
        <v>9353279.5800000001</v>
      </c>
      <c r="R267" s="398">
        <f t="shared" si="207"/>
        <v>2078.5065733333336</v>
      </c>
    </row>
    <row r="268" spans="2:18" x14ac:dyDescent="0.3">
      <c r="B268" s="393">
        <f t="shared" si="194"/>
        <v>45737</v>
      </c>
      <c r="C268" s="396">
        <v>2271220.29</v>
      </c>
      <c r="D268" s="114">
        <f t="shared" si="186"/>
        <v>473.17089374999995</v>
      </c>
      <c r="E268" s="399">
        <v>1933242.19</v>
      </c>
      <c r="F268" s="114">
        <f t="shared" si="195"/>
        <v>402.75878958333334</v>
      </c>
      <c r="G268" s="396">
        <v>108720.97</v>
      </c>
      <c r="H268" s="114">
        <f t="shared" si="202"/>
        <v>13.590121250000001</v>
      </c>
      <c r="I268" s="399">
        <v>177148.29</v>
      </c>
      <c r="J268" s="114">
        <f t="shared" si="203"/>
        <v>22.14353625</v>
      </c>
      <c r="K268" s="396">
        <v>74993.59</v>
      </c>
      <c r="L268" s="114">
        <f t="shared" si="204"/>
        <v>13.540509305555556</v>
      </c>
      <c r="M268" s="396">
        <v>2677.67</v>
      </c>
      <c r="N268" s="114">
        <f t="shared" si="205"/>
        <v>0.18594930555555556</v>
      </c>
      <c r="O268" s="396">
        <v>89319.01</v>
      </c>
      <c r="P268" s="114">
        <f t="shared" si="206"/>
        <v>16.127043472222223</v>
      </c>
      <c r="Q268" s="396">
        <v>9353279.5800000001</v>
      </c>
      <c r="R268" s="398">
        <f t="shared" si="207"/>
        <v>2078.5065733333336</v>
      </c>
    </row>
    <row r="269" spans="2:18" x14ac:dyDescent="0.3">
      <c r="B269" s="393">
        <f t="shared" si="194"/>
        <v>45738</v>
      </c>
      <c r="C269" s="396">
        <v>2271220.29</v>
      </c>
      <c r="D269" s="114">
        <f t="shared" si="186"/>
        <v>473.17089374999995</v>
      </c>
      <c r="E269" s="399">
        <v>1933242.19</v>
      </c>
      <c r="F269" s="114">
        <f t="shared" si="195"/>
        <v>402.75878958333334</v>
      </c>
      <c r="G269" s="396">
        <v>108720.97</v>
      </c>
      <c r="H269" s="114">
        <f t="shared" si="202"/>
        <v>13.590121250000001</v>
      </c>
      <c r="I269" s="399">
        <v>177148.29</v>
      </c>
      <c r="J269" s="114">
        <f t="shared" si="203"/>
        <v>22.14353625</v>
      </c>
      <c r="K269" s="396">
        <v>74993.59</v>
      </c>
      <c r="L269" s="114">
        <f t="shared" si="204"/>
        <v>13.540509305555556</v>
      </c>
      <c r="M269" s="396">
        <v>2677.67</v>
      </c>
      <c r="N269" s="114">
        <f t="shared" si="205"/>
        <v>0.18594930555555556</v>
      </c>
      <c r="O269" s="396">
        <v>89319.01</v>
      </c>
      <c r="P269" s="114">
        <f t="shared" si="206"/>
        <v>16.127043472222223</v>
      </c>
      <c r="Q269" s="396">
        <v>9353279.5800000001</v>
      </c>
      <c r="R269" s="398">
        <f t="shared" si="207"/>
        <v>2078.5065733333336</v>
      </c>
    </row>
    <row r="270" spans="2:18" x14ac:dyDescent="0.3">
      <c r="B270" s="393">
        <f t="shared" si="194"/>
        <v>45739</v>
      </c>
      <c r="C270" s="396">
        <v>2271220.29</v>
      </c>
      <c r="D270" s="114">
        <f t="shared" si="186"/>
        <v>473.17089374999995</v>
      </c>
      <c r="E270" s="399">
        <v>2189280.19</v>
      </c>
      <c r="F270" s="114">
        <f t="shared" si="195"/>
        <v>456.10003958333328</v>
      </c>
      <c r="G270" s="396">
        <v>108720.97</v>
      </c>
      <c r="H270" s="114">
        <f t="shared" ref="H270:H283" si="208">(G270*4.5%)/360</f>
        <v>13.590121250000001</v>
      </c>
      <c r="I270" s="399">
        <v>176072.51</v>
      </c>
      <c r="J270" s="114">
        <f t="shared" ref="J270:J283" si="209">(I270*4.5%)/360</f>
        <v>22.009063749999999</v>
      </c>
      <c r="K270" s="396">
        <v>74993.59</v>
      </c>
      <c r="L270" s="114">
        <f t="shared" ref="L270:L283" si="210">(K270*6.5%)/360</f>
        <v>13.540509305555556</v>
      </c>
      <c r="M270" s="396">
        <v>2677.67</v>
      </c>
      <c r="N270" s="114">
        <f t="shared" ref="N270:N283" si="211">(M270*2.5%)/360</f>
        <v>0.18594930555555556</v>
      </c>
      <c r="O270" s="396">
        <v>89319.01</v>
      </c>
      <c r="P270" s="114">
        <f t="shared" ref="P270:P283" si="212">(O270*6.5%)/360</f>
        <v>16.127043472222223</v>
      </c>
      <c r="Q270" s="396">
        <v>9353279.5800000001</v>
      </c>
      <c r="R270" s="398">
        <f t="shared" ref="R270:R283" si="213">(Q270*8%)/360</f>
        <v>2078.5065733333336</v>
      </c>
    </row>
    <row r="271" spans="2:18" x14ac:dyDescent="0.3">
      <c r="B271" s="393">
        <f t="shared" si="194"/>
        <v>45740</v>
      </c>
      <c r="C271" s="396">
        <v>2271220.29</v>
      </c>
      <c r="D271" s="114">
        <f t="shared" si="186"/>
        <v>473.17089374999995</v>
      </c>
      <c r="E271" s="399">
        <v>2134585.69</v>
      </c>
      <c r="F271" s="114">
        <f t="shared" si="195"/>
        <v>444.70535208333331</v>
      </c>
      <c r="G271" s="396">
        <v>108720.97</v>
      </c>
      <c r="H271" s="114">
        <f t="shared" si="208"/>
        <v>13.590121250000001</v>
      </c>
      <c r="I271" s="399">
        <v>176072.51</v>
      </c>
      <c r="J271" s="114">
        <f t="shared" si="209"/>
        <v>22.009063749999999</v>
      </c>
      <c r="K271" s="396">
        <v>74993.59</v>
      </c>
      <c r="L271" s="114">
        <f t="shared" si="210"/>
        <v>13.540509305555556</v>
      </c>
      <c r="M271" s="396">
        <v>2677.67</v>
      </c>
      <c r="N271" s="114">
        <f t="shared" si="211"/>
        <v>0.18594930555555556</v>
      </c>
      <c r="O271" s="396">
        <v>89319.01</v>
      </c>
      <c r="P271" s="114">
        <f t="shared" si="212"/>
        <v>16.127043472222223</v>
      </c>
      <c r="Q271" s="396">
        <v>9353279.5800000001</v>
      </c>
      <c r="R271" s="398">
        <f t="shared" si="213"/>
        <v>2078.5065733333336</v>
      </c>
    </row>
    <row r="272" spans="2:18" x14ac:dyDescent="0.3">
      <c r="B272" s="393">
        <f t="shared" si="194"/>
        <v>45741</v>
      </c>
      <c r="C272" s="396">
        <v>2271220.29</v>
      </c>
      <c r="D272" s="114">
        <f t="shared" si="186"/>
        <v>473.17089374999995</v>
      </c>
      <c r="E272" s="399">
        <v>2832558.69</v>
      </c>
      <c r="F272" s="114">
        <f t="shared" si="195"/>
        <v>590.11639374999993</v>
      </c>
      <c r="G272" s="396">
        <v>108720.97</v>
      </c>
      <c r="H272" s="114">
        <f t="shared" si="208"/>
        <v>13.590121250000001</v>
      </c>
      <c r="I272" s="399">
        <v>176072.51</v>
      </c>
      <c r="J272" s="114">
        <f t="shared" si="209"/>
        <v>22.009063749999999</v>
      </c>
      <c r="K272" s="396">
        <v>74993.59</v>
      </c>
      <c r="L272" s="114">
        <f t="shared" si="210"/>
        <v>13.540509305555556</v>
      </c>
      <c r="M272" s="396">
        <v>2677.67</v>
      </c>
      <c r="N272" s="114">
        <f t="shared" si="211"/>
        <v>0.18594930555555556</v>
      </c>
      <c r="O272" s="396">
        <v>89319.01</v>
      </c>
      <c r="P272" s="114">
        <f t="shared" si="212"/>
        <v>16.127043472222223</v>
      </c>
      <c r="Q272" s="396">
        <v>9353279.5800000001</v>
      </c>
      <c r="R272" s="398">
        <f t="shared" si="213"/>
        <v>2078.5065733333336</v>
      </c>
    </row>
    <row r="273" spans="2:18" x14ac:dyDescent="0.3">
      <c r="B273" s="393">
        <f t="shared" si="194"/>
        <v>45742</v>
      </c>
      <c r="C273" s="396">
        <v>2271220.29</v>
      </c>
      <c r="D273" s="114">
        <f t="shared" si="186"/>
        <v>473.17089374999995</v>
      </c>
      <c r="E273" s="399">
        <v>2832558.69</v>
      </c>
      <c r="F273" s="114">
        <f t="shared" si="195"/>
        <v>590.11639374999993</v>
      </c>
      <c r="G273" s="396">
        <v>108720.97</v>
      </c>
      <c r="H273" s="114">
        <f t="shared" si="208"/>
        <v>13.590121250000001</v>
      </c>
      <c r="I273" s="399">
        <v>176072.51</v>
      </c>
      <c r="J273" s="114">
        <f t="shared" si="209"/>
        <v>22.009063749999999</v>
      </c>
      <c r="K273" s="396">
        <v>74993.59</v>
      </c>
      <c r="L273" s="114">
        <f t="shared" si="210"/>
        <v>13.540509305555556</v>
      </c>
      <c r="M273" s="396">
        <v>2677.67</v>
      </c>
      <c r="N273" s="114">
        <f t="shared" si="211"/>
        <v>0.18594930555555556</v>
      </c>
      <c r="O273" s="396">
        <v>89319.01</v>
      </c>
      <c r="P273" s="114">
        <f t="shared" si="212"/>
        <v>16.127043472222223</v>
      </c>
      <c r="Q273" s="396">
        <v>9353279.5800000001</v>
      </c>
      <c r="R273" s="398">
        <f t="shared" si="213"/>
        <v>2078.5065733333336</v>
      </c>
    </row>
    <row r="274" spans="2:18" x14ac:dyDescent="0.3">
      <c r="B274" s="393">
        <f t="shared" si="194"/>
        <v>45743</v>
      </c>
      <c r="C274" s="396">
        <v>2271220.29</v>
      </c>
      <c r="D274" s="114">
        <f t="shared" si="186"/>
        <v>473.17089374999995</v>
      </c>
      <c r="E274" s="399">
        <v>2832558.69</v>
      </c>
      <c r="F274" s="114">
        <f t="shared" si="195"/>
        <v>590.11639374999993</v>
      </c>
      <c r="G274" s="396">
        <v>115720.97</v>
      </c>
      <c r="H274" s="114">
        <f t="shared" si="208"/>
        <v>14.465121250000001</v>
      </c>
      <c r="I274" s="399">
        <v>176072.51</v>
      </c>
      <c r="J274" s="114">
        <f t="shared" si="209"/>
        <v>22.009063749999999</v>
      </c>
      <c r="K274" s="396">
        <v>74993.59</v>
      </c>
      <c r="L274" s="114">
        <f t="shared" si="210"/>
        <v>13.540509305555556</v>
      </c>
      <c r="M274" s="396">
        <v>2677.67</v>
      </c>
      <c r="N274" s="114">
        <f t="shared" si="211"/>
        <v>0.18594930555555556</v>
      </c>
      <c r="O274" s="396">
        <v>89319.01</v>
      </c>
      <c r="P274" s="114">
        <f t="shared" si="212"/>
        <v>16.127043472222223</v>
      </c>
      <c r="Q274" s="396">
        <v>9353279.5800000001</v>
      </c>
      <c r="R274" s="398">
        <f t="shared" si="213"/>
        <v>2078.5065733333336</v>
      </c>
    </row>
    <row r="275" spans="2:18" x14ac:dyDescent="0.3">
      <c r="B275" s="393">
        <f t="shared" si="194"/>
        <v>45744</v>
      </c>
      <c r="C275" s="396">
        <v>2271220.29</v>
      </c>
      <c r="D275" s="114">
        <f t="shared" si="186"/>
        <v>473.17089374999995</v>
      </c>
      <c r="E275" s="399">
        <v>2832558.69</v>
      </c>
      <c r="F275" s="114">
        <f t="shared" si="195"/>
        <v>590.11639374999993</v>
      </c>
      <c r="G275" s="396">
        <v>115720.97</v>
      </c>
      <c r="H275" s="114">
        <f t="shared" si="208"/>
        <v>14.465121250000001</v>
      </c>
      <c r="I275" s="399">
        <v>176072.51</v>
      </c>
      <c r="J275" s="114">
        <f t="shared" si="209"/>
        <v>22.009063749999999</v>
      </c>
      <c r="K275" s="396">
        <v>74993.59</v>
      </c>
      <c r="L275" s="114">
        <f t="shared" si="210"/>
        <v>13.540509305555556</v>
      </c>
      <c r="M275" s="396">
        <v>2677.67</v>
      </c>
      <c r="N275" s="114">
        <f t="shared" si="211"/>
        <v>0.18594930555555556</v>
      </c>
      <c r="O275" s="396">
        <v>89319.01</v>
      </c>
      <c r="P275" s="114">
        <f t="shared" si="212"/>
        <v>16.127043472222223</v>
      </c>
      <c r="Q275" s="396">
        <v>9353279.5800000001</v>
      </c>
      <c r="R275" s="398">
        <f t="shared" si="213"/>
        <v>2078.5065733333336</v>
      </c>
    </row>
    <row r="276" spans="2:18" x14ac:dyDescent="0.3">
      <c r="B276" s="393">
        <f t="shared" si="194"/>
        <v>45745</v>
      </c>
      <c r="C276" s="396">
        <v>2271220.29</v>
      </c>
      <c r="D276" s="114">
        <f t="shared" si="186"/>
        <v>473.17089374999995</v>
      </c>
      <c r="E276" s="399">
        <v>2832558.69</v>
      </c>
      <c r="F276" s="114">
        <f t="shared" si="195"/>
        <v>590.11639374999993</v>
      </c>
      <c r="G276" s="396">
        <v>115720.97</v>
      </c>
      <c r="H276" s="114">
        <f t="shared" si="208"/>
        <v>14.465121250000001</v>
      </c>
      <c r="I276" s="399">
        <v>176072.51</v>
      </c>
      <c r="J276" s="114">
        <f t="shared" si="209"/>
        <v>22.009063749999999</v>
      </c>
      <c r="K276" s="396">
        <v>74993.59</v>
      </c>
      <c r="L276" s="114">
        <f t="shared" si="210"/>
        <v>13.540509305555556</v>
      </c>
      <c r="M276" s="396">
        <v>2677.67</v>
      </c>
      <c r="N276" s="114">
        <f t="shared" si="211"/>
        <v>0.18594930555555556</v>
      </c>
      <c r="O276" s="396">
        <v>89319.01</v>
      </c>
      <c r="P276" s="114">
        <f t="shared" si="212"/>
        <v>16.127043472222223</v>
      </c>
      <c r="Q276" s="396">
        <v>9353279.5800000001</v>
      </c>
      <c r="R276" s="398">
        <f t="shared" si="213"/>
        <v>2078.5065733333336</v>
      </c>
    </row>
    <row r="277" spans="2:18" x14ac:dyDescent="0.3">
      <c r="B277" s="393">
        <f t="shared" si="194"/>
        <v>45746</v>
      </c>
      <c r="C277" s="396">
        <v>2271220.29</v>
      </c>
      <c r="D277" s="114">
        <f t="shared" si="186"/>
        <v>473.17089374999995</v>
      </c>
      <c r="E277" s="399">
        <v>2832558.69</v>
      </c>
      <c r="F277" s="114">
        <f t="shared" si="195"/>
        <v>590.11639374999993</v>
      </c>
      <c r="G277" s="396">
        <v>115720.97</v>
      </c>
      <c r="H277" s="114">
        <f t="shared" si="208"/>
        <v>14.465121250000001</v>
      </c>
      <c r="I277" s="399">
        <v>176072.51</v>
      </c>
      <c r="J277" s="114">
        <f t="shared" si="209"/>
        <v>22.009063749999999</v>
      </c>
      <c r="K277" s="396">
        <v>74993.59</v>
      </c>
      <c r="L277" s="114">
        <f t="shared" si="210"/>
        <v>13.540509305555556</v>
      </c>
      <c r="M277" s="396">
        <v>2677.67</v>
      </c>
      <c r="N277" s="114">
        <f t="shared" si="211"/>
        <v>0.18594930555555556</v>
      </c>
      <c r="O277" s="396">
        <v>89319.01</v>
      </c>
      <c r="P277" s="114">
        <f t="shared" si="212"/>
        <v>16.127043472222223</v>
      </c>
      <c r="Q277" s="396">
        <v>9353279.5800000001</v>
      </c>
      <c r="R277" s="398">
        <f t="shared" si="213"/>
        <v>2078.5065733333336</v>
      </c>
    </row>
    <row r="278" spans="2:18" x14ac:dyDescent="0.3">
      <c r="B278" s="393">
        <f t="shared" si="194"/>
        <v>45747</v>
      </c>
      <c r="C278" s="396">
        <v>2271220.29</v>
      </c>
      <c r="D278" s="114">
        <f t="shared" si="186"/>
        <v>473.17089374999995</v>
      </c>
      <c r="E278" s="399">
        <v>2832558.69</v>
      </c>
      <c r="F278" s="114">
        <f t="shared" si="195"/>
        <v>590.11639374999993</v>
      </c>
      <c r="G278" s="396">
        <v>115720.97</v>
      </c>
      <c r="H278" s="114">
        <f t="shared" si="208"/>
        <v>14.465121250000001</v>
      </c>
      <c r="I278" s="399">
        <v>176072.51</v>
      </c>
      <c r="J278" s="114">
        <f t="shared" si="209"/>
        <v>22.009063749999999</v>
      </c>
      <c r="K278" s="396">
        <v>74993.59</v>
      </c>
      <c r="L278" s="114">
        <f t="shared" si="210"/>
        <v>13.540509305555556</v>
      </c>
      <c r="M278" s="396">
        <v>2677.67</v>
      </c>
      <c r="N278" s="114">
        <f t="shared" si="211"/>
        <v>0.18594930555555556</v>
      </c>
      <c r="O278" s="396">
        <v>89319.01</v>
      </c>
      <c r="P278" s="114">
        <f t="shared" si="212"/>
        <v>16.127043472222223</v>
      </c>
      <c r="Q278" s="396">
        <v>9353279.5800000001</v>
      </c>
      <c r="R278" s="398">
        <f t="shared" si="213"/>
        <v>2078.5065733333336</v>
      </c>
    </row>
    <row r="279" spans="2:18" x14ac:dyDescent="0.3">
      <c r="B279" s="393">
        <f t="shared" si="194"/>
        <v>45748</v>
      </c>
      <c r="C279" s="396">
        <v>2271220.29</v>
      </c>
      <c r="D279" s="114">
        <f t="shared" si="186"/>
        <v>473.17089374999995</v>
      </c>
      <c r="E279" s="399">
        <v>2832558.69</v>
      </c>
      <c r="F279" s="114">
        <f t="shared" si="195"/>
        <v>590.11639374999993</v>
      </c>
      <c r="G279" s="396">
        <v>115720.97</v>
      </c>
      <c r="H279" s="114">
        <f t="shared" si="208"/>
        <v>14.465121250000001</v>
      </c>
      <c r="I279" s="399">
        <v>176072.51</v>
      </c>
      <c r="J279" s="114">
        <f t="shared" si="209"/>
        <v>22.009063749999999</v>
      </c>
      <c r="K279" s="396">
        <v>74993.59</v>
      </c>
      <c r="L279" s="114">
        <f t="shared" si="210"/>
        <v>13.540509305555556</v>
      </c>
      <c r="M279" s="396">
        <v>2677.67</v>
      </c>
      <c r="N279" s="114">
        <f t="shared" si="211"/>
        <v>0.18594930555555556</v>
      </c>
      <c r="O279" s="396">
        <v>89319.01</v>
      </c>
      <c r="P279" s="114">
        <f t="shared" si="212"/>
        <v>16.127043472222223</v>
      </c>
      <c r="Q279" s="396">
        <v>9353279.5800000001</v>
      </c>
      <c r="R279" s="398">
        <f t="shared" si="213"/>
        <v>2078.5065733333336</v>
      </c>
    </row>
    <row r="280" spans="2:18" x14ac:dyDescent="0.3">
      <c r="B280" s="393">
        <f t="shared" si="194"/>
        <v>45749</v>
      </c>
      <c r="C280" s="396">
        <v>2271220.29</v>
      </c>
      <c r="D280" s="114">
        <f t="shared" si="186"/>
        <v>473.17089374999995</v>
      </c>
      <c r="E280" s="399">
        <v>2832558.69</v>
      </c>
      <c r="F280" s="114">
        <f t="shared" si="195"/>
        <v>590.11639374999993</v>
      </c>
      <c r="G280" s="396">
        <v>115720.97</v>
      </c>
      <c r="H280" s="114">
        <f t="shared" si="208"/>
        <v>14.465121250000001</v>
      </c>
      <c r="I280" s="399">
        <v>176072.51</v>
      </c>
      <c r="J280" s="114">
        <f t="shared" si="209"/>
        <v>22.009063749999999</v>
      </c>
      <c r="K280" s="396">
        <v>74993.59</v>
      </c>
      <c r="L280" s="114">
        <f t="shared" si="210"/>
        <v>13.540509305555556</v>
      </c>
      <c r="M280" s="396">
        <v>2677.67</v>
      </c>
      <c r="N280" s="114">
        <f t="shared" si="211"/>
        <v>0.18594930555555556</v>
      </c>
      <c r="O280" s="396">
        <v>89319.01</v>
      </c>
      <c r="P280" s="114">
        <f t="shared" si="212"/>
        <v>16.127043472222223</v>
      </c>
      <c r="Q280" s="396">
        <v>9353279.5800000001</v>
      </c>
      <c r="R280" s="398">
        <f t="shared" si="213"/>
        <v>2078.5065733333336</v>
      </c>
    </row>
    <row r="281" spans="2:18" x14ac:dyDescent="0.3">
      <c r="B281" s="393">
        <f t="shared" si="194"/>
        <v>45750</v>
      </c>
      <c r="C281" s="396">
        <v>2271220.29</v>
      </c>
      <c r="D281" s="114">
        <f t="shared" si="186"/>
        <v>473.17089374999995</v>
      </c>
      <c r="E281" s="399">
        <v>2832558.69</v>
      </c>
      <c r="F281" s="114">
        <f t="shared" si="195"/>
        <v>590.11639374999993</v>
      </c>
      <c r="G281" s="396">
        <v>115720.97</v>
      </c>
      <c r="H281" s="114">
        <f t="shared" si="208"/>
        <v>14.465121250000001</v>
      </c>
      <c r="I281" s="399">
        <v>176072.51</v>
      </c>
      <c r="J281" s="114">
        <f t="shared" si="209"/>
        <v>22.009063749999999</v>
      </c>
      <c r="K281" s="396">
        <v>74993.59</v>
      </c>
      <c r="L281" s="114">
        <f t="shared" si="210"/>
        <v>13.540509305555556</v>
      </c>
      <c r="M281" s="396">
        <v>2677.67</v>
      </c>
      <c r="N281" s="114">
        <f t="shared" si="211"/>
        <v>0.18594930555555556</v>
      </c>
      <c r="O281" s="396">
        <v>89319.01</v>
      </c>
      <c r="P281" s="114">
        <f t="shared" si="212"/>
        <v>16.127043472222223</v>
      </c>
      <c r="Q281" s="396">
        <v>9353279.5800000001</v>
      </c>
      <c r="R281" s="398">
        <f t="shared" si="213"/>
        <v>2078.5065733333336</v>
      </c>
    </row>
    <row r="282" spans="2:18" x14ac:dyDescent="0.3">
      <c r="B282" s="393">
        <f t="shared" si="194"/>
        <v>45751</v>
      </c>
      <c r="C282" s="396">
        <v>2271220.29</v>
      </c>
      <c r="D282" s="114">
        <f t="shared" si="186"/>
        <v>473.17089374999995</v>
      </c>
      <c r="E282" s="399">
        <v>2832558.69</v>
      </c>
      <c r="F282" s="114">
        <f t="shared" si="195"/>
        <v>590.11639374999993</v>
      </c>
      <c r="G282" s="396">
        <v>115720.97</v>
      </c>
      <c r="H282" s="114">
        <f t="shared" si="208"/>
        <v>14.465121250000001</v>
      </c>
      <c r="I282" s="399">
        <v>176072.51</v>
      </c>
      <c r="J282" s="114">
        <f t="shared" si="209"/>
        <v>22.009063749999999</v>
      </c>
      <c r="K282" s="396">
        <v>74993.59</v>
      </c>
      <c r="L282" s="114">
        <f t="shared" si="210"/>
        <v>13.540509305555556</v>
      </c>
      <c r="M282" s="396">
        <v>2677.67</v>
      </c>
      <c r="N282" s="114">
        <f t="shared" si="211"/>
        <v>0.18594930555555556</v>
      </c>
      <c r="O282" s="396">
        <v>89319.01</v>
      </c>
      <c r="P282" s="114">
        <f t="shared" si="212"/>
        <v>16.127043472222223</v>
      </c>
      <c r="Q282" s="396">
        <v>9353279.5800000001</v>
      </c>
      <c r="R282" s="398">
        <f t="shared" si="213"/>
        <v>2078.5065733333336</v>
      </c>
    </row>
    <row r="283" spans="2:18" x14ac:dyDescent="0.3">
      <c r="B283" s="393">
        <f t="shared" si="194"/>
        <v>45752</v>
      </c>
      <c r="C283" s="396">
        <v>2271220.29</v>
      </c>
      <c r="D283" s="114">
        <f t="shared" si="186"/>
        <v>473.17089374999995</v>
      </c>
      <c r="E283" s="399">
        <v>2832558.69</v>
      </c>
      <c r="F283" s="114">
        <f t="shared" si="195"/>
        <v>590.11639374999993</v>
      </c>
      <c r="G283" s="396">
        <v>115720.97</v>
      </c>
      <c r="H283" s="114">
        <f t="shared" si="208"/>
        <v>14.465121250000001</v>
      </c>
      <c r="I283" s="399">
        <v>176072.51</v>
      </c>
      <c r="J283" s="114">
        <f t="shared" si="209"/>
        <v>22.009063749999999</v>
      </c>
      <c r="K283" s="396">
        <v>74993.59</v>
      </c>
      <c r="L283" s="114">
        <f t="shared" si="210"/>
        <v>13.540509305555556</v>
      </c>
      <c r="M283" s="396">
        <v>2677.67</v>
      </c>
      <c r="N283" s="114">
        <f t="shared" si="211"/>
        <v>0.18594930555555556</v>
      </c>
      <c r="O283" s="396">
        <v>89319.01</v>
      </c>
      <c r="P283" s="114">
        <f t="shared" si="212"/>
        <v>16.127043472222223</v>
      </c>
      <c r="Q283" s="396">
        <v>9353279.5800000001</v>
      </c>
      <c r="R283" s="398">
        <f t="shared" si="213"/>
        <v>2078.5065733333336</v>
      </c>
    </row>
    <row r="284" spans="2:18" x14ac:dyDescent="0.3">
      <c r="B284" s="393">
        <f t="shared" si="194"/>
        <v>45753</v>
      </c>
      <c r="C284" s="396">
        <v>2271220.29</v>
      </c>
      <c r="D284" s="114">
        <f t="shared" si="186"/>
        <v>473.17089374999995</v>
      </c>
      <c r="E284" s="399">
        <v>4230592.16</v>
      </c>
      <c r="F284" s="114">
        <f t="shared" ref="F284:F290" si="214">(E284*7.5%)/360</f>
        <v>881.3733666666667</v>
      </c>
      <c r="G284" s="396">
        <v>115720.97</v>
      </c>
      <c r="H284" s="114">
        <f t="shared" ref="H284:H290" si="215">(G284*4.5%)/360</f>
        <v>14.465121250000001</v>
      </c>
      <c r="I284" s="399">
        <v>176072.51</v>
      </c>
      <c r="J284" s="114">
        <f t="shared" ref="J284:J290" si="216">(I284*4.5%)/360</f>
        <v>22.009063749999999</v>
      </c>
      <c r="K284" s="396">
        <v>74993.59</v>
      </c>
      <c r="L284" s="114">
        <f t="shared" ref="L284:L290" si="217">(K284*6.5%)/360</f>
        <v>13.540509305555556</v>
      </c>
      <c r="M284" s="396">
        <v>2677.67</v>
      </c>
      <c r="N284" s="114">
        <f t="shared" ref="N284:N290" si="218">(M284*2.5%)/360</f>
        <v>0.18594930555555556</v>
      </c>
      <c r="O284" s="396">
        <v>89319.01</v>
      </c>
      <c r="P284" s="114">
        <f t="shared" ref="P284:P290" si="219">(O284*6.5%)/360</f>
        <v>16.127043472222223</v>
      </c>
      <c r="Q284" s="396">
        <v>9353279.5800000001</v>
      </c>
      <c r="R284" s="398">
        <f t="shared" ref="R284:R290" si="220">(Q284*8%)/360</f>
        <v>2078.5065733333336</v>
      </c>
    </row>
    <row r="285" spans="2:18" x14ac:dyDescent="0.3">
      <c r="B285" s="393">
        <f t="shared" si="194"/>
        <v>45754</v>
      </c>
      <c r="C285" s="396">
        <v>2271220.29</v>
      </c>
      <c r="D285" s="114">
        <f t="shared" si="186"/>
        <v>473.17089374999995</v>
      </c>
      <c r="E285" s="399">
        <v>4950774.1100000003</v>
      </c>
      <c r="F285" s="114">
        <f t="shared" si="214"/>
        <v>1031.4112729166666</v>
      </c>
      <c r="G285" s="396">
        <v>115720.97</v>
      </c>
      <c r="H285" s="114">
        <f t="shared" si="215"/>
        <v>14.465121250000001</v>
      </c>
      <c r="I285" s="399">
        <v>176072.51</v>
      </c>
      <c r="J285" s="114">
        <f t="shared" si="216"/>
        <v>22.009063749999999</v>
      </c>
      <c r="K285" s="396">
        <v>74993.59</v>
      </c>
      <c r="L285" s="114">
        <f t="shared" si="217"/>
        <v>13.540509305555556</v>
      </c>
      <c r="M285" s="396">
        <v>2677.67</v>
      </c>
      <c r="N285" s="114">
        <f t="shared" si="218"/>
        <v>0.18594930555555556</v>
      </c>
      <c r="O285" s="396">
        <v>89319.01</v>
      </c>
      <c r="P285" s="114">
        <f t="shared" si="219"/>
        <v>16.127043472222223</v>
      </c>
      <c r="Q285" s="396">
        <v>9353279.5800000001</v>
      </c>
      <c r="R285" s="398">
        <f t="shared" si="220"/>
        <v>2078.5065733333336</v>
      </c>
    </row>
    <row r="286" spans="2:18" x14ac:dyDescent="0.3">
      <c r="B286" s="393">
        <f t="shared" si="194"/>
        <v>45755</v>
      </c>
      <c r="C286" s="396">
        <v>2271220.29</v>
      </c>
      <c r="D286" s="114">
        <f t="shared" si="186"/>
        <v>473.17089374999995</v>
      </c>
      <c r="E286" s="399">
        <v>4003865.93</v>
      </c>
      <c r="F286" s="114">
        <f t="shared" si="214"/>
        <v>834.13873541666669</v>
      </c>
      <c r="G286" s="396">
        <v>115720.97</v>
      </c>
      <c r="H286" s="114">
        <f t="shared" si="215"/>
        <v>14.465121250000001</v>
      </c>
      <c r="I286" s="399">
        <v>176072.51</v>
      </c>
      <c r="J286" s="114">
        <f t="shared" si="216"/>
        <v>22.009063749999999</v>
      </c>
      <c r="K286" s="396">
        <v>74993.59</v>
      </c>
      <c r="L286" s="114">
        <f t="shared" si="217"/>
        <v>13.540509305555556</v>
      </c>
      <c r="M286" s="396">
        <v>2677.67</v>
      </c>
      <c r="N286" s="114">
        <f t="shared" si="218"/>
        <v>0.18594930555555556</v>
      </c>
      <c r="O286" s="396">
        <v>89319.01</v>
      </c>
      <c r="P286" s="114">
        <f t="shared" si="219"/>
        <v>16.127043472222223</v>
      </c>
      <c r="Q286" s="396">
        <v>9353279.5800000001</v>
      </c>
      <c r="R286" s="398">
        <f t="shared" si="220"/>
        <v>2078.5065733333336</v>
      </c>
    </row>
    <row r="287" spans="2:18" x14ac:dyDescent="0.3">
      <c r="B287" s="393">
        <f t="shared" si="194"/>
        <v>45756</v>
      </c>
      <c r="C287" s="396">
        <v>2271220.29</v>
      </c>
      <c r="D287" s="114">
        <f t="shared" si="186"/>
        <v>473.17089374999995</v>
      </c>
      <c r="E287" s="399">
        <v>3520439.43</v>
      </c>
      <c r="F287" s="114">
        <f t="shared" si="214"/>
        <v>733.42488124999988</v>
      </c>
      <c r="G287" s="396">
        <v>115720.97</v>
      </c>
      <c r="H287" s="114">
        <f t="shared" si="215"/>
        <v>14.465121250000001</v>
      </c>
      <c r="I287" s="399">
        <v>176072.51</v>
      </c>
      <c r="J287" s="114">
        <f t="shared" si="216"/>
        <v>22.009063749999999</v>
      </c>
      <c r="K287" s="396">
        <v>74993.59</v>
      </c>
      <c r="L287" s="114">
        <f t="shared" si="217"/>
        <v>13.540509305555556</v>
      </c>
      <c r="M287" s="396">
        <v>2677.67</v>
      </c>
      <c r="N287" s="114">
        <f t="shared" si="218"/>
        <v>0.18594930555555556</v>
      </c>
      <c r="O287" s="396">
        <v>89319.01</v>
      </c>
      <c r="P287" s="114">
        <f t="shared" si="219"/>
        <v>16.127043472222223</v>
      </c>
      <c r="Q287" s="396">
        <v>9353279.5800000001</v>
      </c>
      <c r="R287" s="398">
        <f t="shared" si="220"/>
        <v>2078.5065733333336</v>
      </c>
    </row>
    <row r="288" spans="2:18" x14ac:dyDescent="0.3">
      <c r="B288" s="393">
        <f t="shared" si="194"/>
        <v>45757</v>
      </c>
      <c r="C288" s="396">
        <v>71220.289999999994</v>
      </c>
      <c r="D288" s="114">
        <f t="shared" si="186"/>
        <v>14.837560416666664</v>
      </c>
      <c r="E288" s="399">
        <v>4945948.03</v>
      </c>
      <c r="F288" s="114">
        <f t="shared" si="214"/>
        <v>1030.4058395833333</v>
      </c>
      <c r="G288" s="396">
        <v>115720.97</v>
      </c>
      <c r="H288" s="114">
        <f t="shared" si="215"/>
        <v>14.465121250000001</v>
      </c>
      <c r="I288" s="399">
        <v>176072.51</v>
      </c>
      <c r="J288" s="114">
        <f t="shared" si="216"/>
        <v>22.009063749999999</v>
      </c>
      <c r="K288" s="396">
        <v>74993.59</v>
      </c>
      <c r="L288" s="114">
        <f t="shared" si="217"/>
        <v>13.540509305555556</v>
      </c>
      <c r="M288" s="396">
        <v>2677.67</v>
      </c>
      <c r="N288" s="114">
        <f t="shared" si="218"/>
        <v>0.18594930555555556</v>
      </c>
      <c r="O288" s="396">
        <v>89319.01</v>
      </c>
      <c r="P288" s="114">
        <f t="shared" si="219"/>
        <v>16.127043472222223</v>
      </c>
      <c r="Q288" s="396">
        <v>9353279.5800000001</v>
      </c>
      <c r="R288" s="398">
        <f t="shared" si="220"/>
        <v>2078.5065733333336</v>
      </c>
    </row>
    <row r="289" spans="2:18" x14ac:dyDescent="0.3">
      <c r="B289" s="393">
        <f t="shared" si="194"/>
        <v>45758</v>
      </c>
      <c r="C289" s="396">
        <v>71220.289999999994</v>
      </c>
      <c r="D289" s="114">
        <f t="shared" si="186"/>
        <v>14.837560416666664</v>
      </c>
      <c r="E289" s="399">
        <v>4945948.03</v>
      </c>
      <c r="F289" s="114">
        <f t="shared" si="214"/>
        <v>1030.4058395833333</v>
      </c>
      <c r="G289" s="396">
        <v>115720.97</v>
      </c>
      <c r="H289" s="114">
        <f t="shared" si="215"/>
        <v>14.465121250000001</v>
      </c>
      <c r="I289" s="399">
        <v>176072.51</v>
      </c>
      <c r="J289" s="114">
        <f t="shared" si="216"/>
        <v>22.009063749999999</v>
      </c>
      <c r="K289" s="396">
        <v>74993.59</v>
      </c>
      <c r="L289" s="114">
        <f t="shared" si="217"/>
        <v>13.540509305555556</v>
      </c>
      <c r="M289" s="396">
        <v>2677.67</v>
      </c>
      <c r="N289" s="114">
        <f t="shared" si="218"/>
        <v>0.18594930555555556</v>
      </c>
      <c r="O289" s="396">
        <v>89319.01</v>
      </c>
      <c r="P289" s="114">
        <f t="shared" si="219"/>
        <v>16.127043472222223</v>
      </c>
      <c r="Q289" s="396">
        <v>9353279.5800000001</v>
      </c>
      <c r="R289" s="398">
        <f t="shared" si="220"/>
        <v>2078.5065733333336</v>
      </c>
    </row>
    <row r="290" spans="2:18" x14ac:dyDescent="0.3">
      <c r="B290" s="393">
        <f t="shared" si="194"/>
        <v>45759</v>
      </c>
      <c r="C290" s="396">
        <v>71220.289999999994</v>
      </c>
      <c r="D290" s="114">
        <f t="shared" si="186"/>
        <v>14.837560416666664</v>
      </c>
      <c r="E290" s="399">
        <v>4945948.03</v>
      </c>
      <c r="F290" s="114">
        <f t="shared" si="214"/>
        <v>1030.4058395833333</v>
      </c>
      <c r="G290" s="396">
        <v>115720.97</v>
      </c>
      <c r="H290" s="114">
        <f t="shared" si="215"/>
        <v>14.465121250000001</v>
      </c>
      <c r="I290" s="399">
        <v>176072.51</v>
      </c>
      <c r="J290" s="114">
        <f t="shared" si="216"/>
        <v>22.009063749999999</v>
      </c>
      <c r="K290" s="396">
        <v>74993.59</v>
      </c>
      <c r="L290" s="114">
        <f t="shared" si="217"/>
        <v>13.540509305555556</v>
      </c>
      <c r="M290" s="396">
        <v>2677.67</v>
      </c>
      <c r="N290" s="114">
        <f t="shared" si="218"/>
        <v>0.18594930555555556</v>
      </c>
      <c r="O290" s="396">
        <v>89319.01</v>
      </c>
      <c r="P290" s="114">
        <f t="shared" si="219"/>
        <v>16.127043472222223</v>
      </c>
      <c r="Q290" s="396">
        <v>9353279.5800000001</v>
      </c>
      <c r="R290" s="398">
        <f t="shared" si="220"/>
        <v>2078.5065733333336</v>
      </c>
    </row>
    <row r="291" spans="2:18" x14ac:dyDescent="0.3">
      <c r="B291" s="393">
        <f t="shared" si="194"/>
        <v>45760</v>
      </c>
      <c r="C291" s="396">
        <v>71220.289999999994</v>
      </c>
      <c r="D291" s="114">
        <f t="shared" ref="D291:D318" si="221">(C291*7.5%)/360</f>
        <v>14.837560416666664</v>
      </c>
      <c r="E291" s="399">
        <v>4945948.03</v>
      </c>
      <c r="F291" s="114">
        <f t="shared" ref="F291:F297" si="222">(E291*7.5%)/360</f>
        <v>1030.4058395833333</v>
      </c>
      <c r="G291" s="396">
        <v>115720.97</v>
      </c>
      <c r="H291" s="114">
        <f t="shared" ref="H291:H297" si="223">(G291*4.5%)/360</f>
        <v>14.465121250000001</v>
      </c>
      <c r="I291" s="399">
        <v>176072.51</v>
      </c>
      <c r="J291" s="114">
        <f t="shared" ref="J291:J297" si="224">(I291*4.5%)/360</f>
        <v>22.009063749999999</v>
      </c>
      <c r="K291" s="396">
        <v>74993.59</v>
      </c>
      <c r="L291" s="114">
        <f t="shared" ref="L291:L297" si="225">(K291*6.5%)/360</f>
        <v>13.540509305555556</v>
      </c>
      <c r="M291" s="396">
        <v>2677.67</v>
      </c>
      <c r="N291" s="114">
        <f t="shared" ref="N291:N297" si="226">(M291*2.5%)/360</f>
        <v>0.18594930555555556</v>
      </c>
      <c r="O291" s="396">
        <v>89319.01</v>
      </c>
      <c r="P291" s="114">
        <f t="shared" ref="P291:P297" si="227">(O291*6.5%)/360</f>
        <v>16.127043472222223</v>
      </c>
      <c r="Q291" s="396">
        <v>9353279.5800000001</v>
      </c>
      <c r="R291" s="398">
        <f t="shared" ref="R291:R297" si="228">(Q291*8%)/360</f>
        <v>2078.5065733333336</v>
      </c>
    </row>
    <row r="292" spans="2:18" x14ac:dyDescent="0.3">
      <c r="B292" s="393">
        <f t="shared" si="194"/>
        <v>45761</v>
      </c>
      <c r="C292" s="396">
        <v>71220.289999999994</v>
      </c>
      <c r="D292" s="114">
        <f t="shared" si="221"/>
        <v>14.837560416666664</v>
      </c>
      <c r="E292" s="399">
        <v>4945948.03</v>
      </c>
      <c r="F292" s="114">
        <f t="shared" si="222"/>
        <v>1030.4058395833333</v>
      </c>
      <c r="G292" s="396">
        <v>115720.97</v>
      </c>
      <c r="H292" s="114">
        <f t="shared" si="223"/>
        <v>14.465121250000001</v>
      </c>
      <c r="I292" s="399">
        <v>176072.51</v>
      </c>
      <c r="J292" s="114">
        <f t="shared" si="224"/>
        <v>22.009063749999999</v>
      </c>
      <c r="K292" s="396">
        <v>74993.59</v>
      </c>
      <c r="L292" s="114">
        <f t="shared" si="225"/>
        <v>13.540509305555556</v>
      </c>
      <c r="M292" s="396">
        <v>2677.67</v>
      </c>
      <c r="N292" s="114">
        <f t="shared" si="226"/>
        <v>0.18594930555555556</v>
      </c>
      <c r="O292" s="396">
        <v>89319.01</v>
      </c>
      <c r="P292" s="114">
        <f t="shared" si="227"/>
        <v>16.127043472222223</v>
      </c>
      <c r="Q292" s="396">
        <v>9353279.5800000001</v>
      </c>
      <c r="R292" s="398">
        <f t="shared" si="228"/>
        <v>2078.5065733333336</v>
      </c>
    </row>
    <row r="293" spans="2:18" x14ac:dyDescent="0.3">
      <c r="B293" s="393">
        <f t="shared" si="194"/>
        <v>45762</v>
      </c>
      <c r="C293" s="396">
        <v>71220.289999999994</v>
      </c>
      <c r="D293" s="114">
        <f t="shared" si="221"/>
        <v>14.837560416666664</v>
      </c>
      <c r="E293" s="399">
        <v>1955303.96</v>
      </c>
      <c r="F293" s="114">
        <f t="shared" si="222"/>
        <v>407.35499166666665</v>
      </c>
      <c r="G293" s="396">
        <v>115720.97</v>
      </c>
      <c r="H293" s="114">
        <f t="shared" si="223"/>
        <v>14.465121250000001</v>
      </c>
      <c r="I293" s="399">
        <v>176072.51</v>
      </c>
      <c r="J293" s="114">
        <f t="shared" si="224"/>
        <v>22.009063749999999</v>
      </c>
      <c r="K293" s="396">
        <v>74993.59</v>
      </c>
      <c r="L293" s="114">
        <f t="shared" si="225"/>
        <v>13.540509305555556</v>
      </c>
      <c r="M293" s="396">
        <v>2677.67</v>
      </c>
      <c r="N293" s="114">
        <f t="shared" si="226"/>
        <v>0.18594930555555556</v>
      </c>
      <c r="O293" s="396">
        <v>89319.01</v>
      </c>
      <c r="P293" s="114">
        <f t="shared" si="227"/>
        <v>16.127043472222223</v>
      </c>
      <c r="Q293" s="396">
        <v>9353279.5800000001</v>
      </c>
      <c r="R293" s="398">
        <f t="shared" si="228"/>
        <v>2078.5065733333336</v>
      </c>
    </row>
    <row r="294" spans="2:18" x14ac:dyDescent="0.3">
      <c r="B294" s="393">
        <f t="shared" si="194"/>
        <v>45763</v>
      </c>
      <c r="C294" s="396">
        <v>71220.289999999994</v>
      </c>
      <c r="D294" s="114">
        <f t="shared" si="221"/>
        <v>14.837560416666664</v>
      </c>
      <c r="E294" s="399">
        <v>2629937.96</v>
      </c>
      <c r="F294" s="114">
        <f t="shared" si="222"/>
        <v>547.90374166666663</v>
      </c>
      <c r="G294" s="396">
        <v>115720.97</v>
      </c>
      <c r="H294" s="114">
        <f t="shared" si="223"/>
        <v>14.465121250000001</v>
      </c>
      <c r="I294" s="399">
        <v>176072.51</v>
      </c>
      <c r="J294" s="114">
        <f t="shared" si="224"/>
        <v>22.009063749999999</v>
      </c>
      <c r="K294" s="396">
        <v>74993.59</v>
      </c>
      <c r="L294" s="114">
        <f t="shared" si="225"/>
        <v>13.540509305555556</v>
      </c>
      <c r="M294" s="396">
        <v>2677.67</v>
      </c>
      <c r="N294" s="114">
        <f t="shared" si="226"/>
        <v>0.18594930555555556</v>
      </c>
      <c r="O294" s="396">
        <v>89319.01</v>
      </c>
      <c r="P294" s="114">
        <f t="shared" si="227"/>
        <v>16.127043472222223</v>
      </c>
      <c r="Q294" s="396">
        <v>9353279.5800000001</v>
      </c>
      <c r="R294" s="398">
        <f t="shared" si="228"/>
        <v>2078.5065733333336</v>
      </c>
    </row>
    <row r="295" spans="2:18" x14ac:dyDescent="0.3">
      <c r="B295" s="393">
        <f t="shared" si="194"/>
        <v>45764</v>
      </c>
      <c r="C295" s="396">
        <v>71220.289999999994</v>
      </c>
      <c r="D295" s="114">
        <f t="shared" si="221"/>
        <v>14.837560416666664</v>
      </c>
      <c r="E295" s="399">
        <v>2629937.96</v>
      </c>
      <c r="F295" s="114">
        <f t="shared" si="222"/>
        <v>547.90374166666663</v>
      </c>
      <c r="G295" s="396">
        <v>115720.97</v>
      </c>
      <c r="H295" s="114">
        <f t="shared" si="223"/>
        <v>14.465121250000001</v>
      </c>
      <c r="I295" s="399">
        <v>176072.51</v>
      </c>
      <c r="J295" s="114">
        <f t="shared" si="224"/>
        <v>22.009063749999999</v>
      </c>
      <c r="K295" s="396">
        <v>74993.59</v>
      </c>
      <c r="L295" s="114">
        <f t="shared" si="225"/>
        <v>13.540509305555556</v>
      </c>
      <c r="M295" s="396">
        <v>2677.67</v>
      </c>
      <c r="N295" s="114">
        <f t="shared" si="226"/>
        <v>0.18594930555555556</v>
      </c>
      <c r="O295" s="396">
        <v>89319.01</v>
      </c>
      <c r="P295" s="114">
        <f t="shared" si="227"/>
        <v>16.127043472222223</v>
      </c>
      <c r="Q295" s="396">
        <v>9353279.5800000001</v>
      </c>
      <c r="R295" s="398">
        <f t="shared" si="228"/>
        <v>2078.5065733333336</v>
      </c>
    </row>
    <row r="296" spans="2:18" x14ac:dyDescent="0.3">
      <c r="B296" s="393">
        <f t="shared" si="194"/>
        <v>45765</v>
      </c>
      <c r="C296" s="396">
        <v>71220.289999999994</v>
      </c>
      <c r="D296" s="114">
        <f t="shared" si="221"/>
        <v>14.837560416666664</v>
      </c>
      <c r="E296" s="399">
        <v>2629937.96</v>
      </c>
      <c r="F296" s="114">
        <f t="shared" si="222"/>
        <v>547.90374166666663</v>
      </c>
      <c r="G296" s="396">
        <v>115720.97</v>
      </c>
      <c r="H296" s="114">
        <f t="shared" si="223"/>
        <v>14.465121250000001</v>
      </c>
      <c r="I296" s="399">
        <v>176072.51</v>
      </c>
      <c r="J296" s="114">
        <f t="shared" si="224"/>
        <v>22.009063749999999</v>
      </c>
      <c r="K296" s="396">
        <v>74993.59</v>
      </c>
      <c r="L296" s="114">
        <f t="shared" si="225"/>
        <v>13.540509305555556</v>
      </c>
      <c r="M296" s="396">
        <v>2677.67</v>
      </c>
      <c r="N296" s="114">
        <f t="shared" si="226"/>
        <v>0.18594930555555556</v>
      </c>
      <c r="O296" s="396">
        <v>89319.01</v>
      </c>
      <c r="P296" s="114">
        <f t="shared" si="227"/>
        <v>16.127043472222223</v>
      </c>
      <c r="Q296" s="396">
        <v>9353279.5800000001</v>
      </c>
      <c r="R296" s="398">
        <f t="shared" si="228"/>
        <v>2078.5065733333336</v>
      </c>
    </row>
    <row r="297" spans="2:18" x14ac:dyDescent="0.3">
      <c r="B297" s="393">
        <f t="shared" si="194"/>
        <v>45766</v>
      </c>
      <c r="C297" s="396">
        <v>71220.289999999994</v>
      </c>
      <c r="D297" s="114">
        <f t="shared" si="221"/>
        <v>14.837560416666664</v>
      </c>
      <c r="E297" s="399">
        <v>2629937.96</v>
      </c>
      <c r="F297" s="114">
        <f t="shared" si="222"/>
        <v>547.90374166666663</v>
      </c>
      <c r="G297" s="396">
        <v>115720.97</v>
      </c>
      <c r="H297" s="114">
        <f t="shared" si="223"/>
        <v>14.465121250000001</v>
      </c>
      <c r="I297" s="399">
        <v>176072.51</v>
      </c>
      <c r="J297" s="114">
        <f t="shared" si="224"/>
        <v>22.009063749999999</v>
      </c>
      <c r="K297" s="396">
        <v>74993.59</v>
      </c>
      <c r="L297" s="114">
        <f t="shared" si="225"/>
        <v>13.540509305555556</v>
      </c>
      <c r="M297" s="396">
        <v>2677.67</v>
      </c>
      <c r="N297" s="114">
        <f t="shared" si="226"/>
        <v>0.18594930555555556</v>
      </c>
      <c r="O297" s="396">
        <v>89319.01</v>
      </c>
      <c r="P297" s="114">
        <f t="shared" si="227"/>
        <v>16.127043472222223</v>
      </c>
      <c r="Q297" s="396">
        <v>9353279.5800000001</v>
      </c>
      <c r="R297" s="398">
        <f t="shared" si="228"/>
        <v>2078.5065733333336</v>
      </c>
    </row>
    <row r="298" spans="2:18" x14ac:dyDescent="0.3">
      <c r="B298" s="393">
        <f t="shared" si="194"/>
        <v>45767</v>
      </c>
      <c r="C298" s="396">
        <v>71220.289999999994</v>
      </c>
      <c r="D298" s="114">
        <f t="shared" si="221"/>
        <v>14.837560416666664</v>
      </c>
      <c r="E298" s="399">
        <v>2339858.86</v>
      </c>
      <c r="F298" s="114">
        <f t="shared" ref="F298:F311" si="229">(E298*7.5%)/360</f>
        <v>487.47059583333328</v>
      </c>
      <c r="G298" s="396">
        <v>115720.97</v>
      </c>
      <c r="H298" s="114">
        <f t="shared" ref="H298:H311" si="230">(G298*4.5%)/360</f>
        <v>14.465121250000001</v>
      </c>
      <c r="I298" s="399">
        <v>176072.51</v>
      </c>
      <c r="J298" s="114">
        <f t="shared" ref="J298:J311" si="231">(I298*4.5%)/360</f>
        <v>22.009063749999999</v>
      </c>
      <c r="K298" s="396">
        <v>74993.59</v>
      </c>
      <c r="L298" s="114">
        <f t="shared" ref="L298:L304" si="232">(K298*6.5%)/360</f>
        <v>13.540509305555556</v>
      </c>
      <c r="M298" s="396">
        <v>2677.67</v>
      </c>
      <c r="N298" s="114">
        <f t="shared" ref="N298:N304" si="233">(M298*2.5%)/360</f>
        <v>0.18594930555555556</v>
      </c>
      <c r="O298" s="396">
        <v>89319.01</v>
      </c>
      <c r="P298" s="114">
        <f t="shared" ref="P298:P304" si="234">(O298*6.5%)/360</f>
        <v>16.127043472222223</v>
      </c>
      <c r="Q298" s="396">
        <v>9353279.5800000001</v>
      </c>
      <c r="R298" s="398">
        <f t="shared" ref="R298:R311" si="235">(Q298*8%)/360</f>
        <v>2078.5065733333336</v>
      </c>
    </row>
    <row r="299" spans="2:18" x14ac:dyDescent="0.3">
      <c r="B299" s="393">
        <f t="shared" si="194"/>
        <v>45768</v>
      </c>
      <c r="C299" s="396">
        <v>71220.289999999994</v>
      </c>
      <c r="D299" s="114">
        <f t="shared" si="221"/>
        <v>14.837560416666664</v>
      </c>
      <c r="E299" s="399">
        <v>2740658.86</v>
      </c>
      <c r="F299" s="114">
        <f t="shared" si="229"/>
        <v>570.97059583333328</v>
      </c>
      <c r="G299" s="396">
        <v>115720.97</v>
      </c>
      <c r="H299" s="114">
        <f t="shared" si="230"/>
        <v>14.465121250000001</v>
      </c>
      <c r="I299" s="399">
        <v>176072.51</v>
      </c>
      <c r="J299" s="114">
        <f t="shared" si="231"/>
        <v>22.009063749999999</v>
      </c>
      <c r="K299" s="396">
        <v>74993.59</v>
      </c>
      <c r="L299" s="114">
        <f t="shared" si="232"/>
        <v>13.540509305555556</v>
      </c>
      <c r="M299" s="396">
        <v>2677.67</v>
      </c>
      <c r="N299" s="114">
        <f t="shared" si="233"/>
        <v>0.18594930555555556</v>
      </c>
      <c r="O299" s="396">
        <v>89319.01</v>
      </c>
      <c r="P299" s="114">
        <f t="shared" si="234"/>
        <v>16.127043472222223</v>
      </c>
      <c r="Q299" s="396">
        <v>9353279.5800000001</v>
      </c>
      <c r="R299" s="398">
        <f t="shared" si="235"/>
        <v>2078.5065733333336</v>
      </c>
    </row>
    <row r="300" spans="2:18" x14ac:dyDescent="0.3">
      <c r="B300" s="393">
        <f t="shared" si="194"/>
        <v>45769</v>
      </c>
      <c r="C300" s="396">
        <v>71220.289999999994</v>
      </c>
      <c r="D300" s="114">
        <f t="shared" si="221"/>
        <v>14.837560416666664</v>
      </c>
      <c r="E300" s="399">
        <v>2612528.42</v>
      </c>
      <c r="F300" s="114">
        <f t="shared" si="229"/>
        <v>544.27675416666659</v>
      </c>
      <c r="G300" s="396">
        <v>115720.97</v>
      </c>
      <c r="H300" s="114">
        <f t="shared" si="230"/>
        <v>14.465121250000001</v>
      </c>
      <c r="I300" s="399">
        <v>176072.51</v>
      </c>
      <c r="J300" s="114">
        <f t="shared" si="231"/>
        <v>22.009063749999999</v>
      </c>
      <c r="K300" s="396">
        <v>74993.59</v>
      </c>
      <c r="L300" s="114">
        <f t="shared" si="232"/>
        <v>13.540509305555556</v>
      </c>
      <c r="M300" s="396">
        <v>2677.67</v>
      </c>
      <c r="N300" s="114">
        <f t="shared" si="233"/>
        <v>0.18594930555555556</v>
      </c>
      <c r="O300" s="396">
        <v>89319.01</v>
      </c>
      <c r="P300" s="114">
        <f t="shared" si="234"/>
        <v>16.127043472222223</v>
      </c>
      <c r="Q300" s="396">
        <v>8153279.5800000001</v>
      </c>
      <c r="R300" s="398">
        <f t="shared" si="235"/>
        <v>1811.8399066666668</v>
      </c>
    </row>
    <row r="301" spans="2:18" x14ac:dyDescent="0.3">
      <c r="B301" s="393">
        <f t="shared" si="194"/>
        <v>45770</v>
      </c>
      <c r="C301" s="396">
        <v>71220.289999999994</v>
      </c>
      <c r="D301" s="114">
        <f t="shared" si="221"/>
        <v>14.837560416666664</v>
      </c>
      <c r="E301" s="399">
        <v>4520932.46</v>
      </c>
      <c r="F301" s="114">
        <f t="shared" si="229"/>
        <v>941.86092916666655</v>
      </c>
      <c r="G301" s="396">
        <v>115720.97</v>
      </c>
      <c r="H301" s="114">
        <f t="shared" si="230"/>
        <v>14.465121250000001</v>
      </c>
      <c r="I301" s="399">
        <v>176072.51</v>
      </c>
      <c r="J301" s="114">
        <f t="shared" si="231"/>
        <v>22.009063749999999</v>
      </c>
      <c r="K301" s="396">
        <v>74993.59</v>
      </c>
      <c r="L301" s="114">
        <f t="shared" si="232"/>
        <v>13.540509305555556</v>
      </c>
      <c r="M301" s="396">
        <v>2677.67</v>
      </c>
      <c r="N301" s="114">
        <f t="shared" si="233"/>
        <v>0.18594930555555556</v>
      </c>
      <c r="O301" s="396">
        <v>89319.01</v>
      </c>
      <c r="P301" s="114">
        <f t="shared" si="234"/>
        <v>16.127043472222223</v>
      </c>
      <c r="Q301" s="396">
        <v>8153279.5800000001</v>
      </c>
      <c r="R301" s="398">
        <f t="shared" si="235"/>
        <v>1811.8399066666668</v>
      </c>
    </row>
    <row r="302" spans="2:18" x14ac:dyDescent="0.3">
      <c r="B302" s="393">
        <f t="shared" si="194"/>
        <v>45771</v>
      </c>
      <c r="C302" s="396">
        <v>71220.289999999994</v>
      </c>
      <c r="D302" s="114">
        <f t="shared" si="221"/>
        <v>14.837560416666664</v>
      </c>
      <c r="E302" s="399">
        <v>4677489.88</v>
      </c>
      <c r="F302" s="114">
        <f t="shared" si="229"/>
        <v>974.47705833333328</v>
      </c>
      <c r="G302" s="396">
        <v>115720.97</v>
      </c>
      <c r="H302" s="114">
        <f t="shared" si="230"/>
        <v>14.465121250000001</v>
      </c>
      <c r="I302" s="399">
        <v>176072.51</v>
      </c>
      <c r="J302" s="114">
        <f t="shared" si="231"/>
        <v>22.009063749999999</v>
      </c>
      <c r="K302" s="396">
        <v>74993.59</v>
      </c>
      <c r="L302" s="114">
        <f t="shared" si="232"/>
        <v>13.540509305555556</v>
      </c>
      <c r="M302" s="396">
        <v>2677.67</v>
      </c>
      <c r="N302" s="114">
        <f t="shared" si="233"/>
        <v>0.18594930555555556</v>
      </c>
      <c r="O302" s="396">
        <v>89319.01</v>
      </c>
      <c r="P302" s="114">
        <f t="shared" si="234"/>
        <v>16.127043472222223</v>
      </c>
      <c r="Q302" s="396">
        <v>8153279.5800000001</v>
      </c>
      <c r="R302" s="398">
        <f t="shared" si="235"/>
        <v>1811.8399066666668</v>
      </c>
    </row>
    <row r="303" spans="2:18" x14ac:dyDescent="0.3">
      <c r="B303" s="393">
        <f t="shared" si="194"/>
        <v>45772</v>
      </c>
      <c r="C303" s="396">
        <v>71220.289999999994</v>
      </c>
      <c r="D303" s="114">
        <f t="shared" si="221"/>
        <v>14.837560416666664</v>
      </c>
      <c r="E303" s="399">
        <v>4677489.88</v>
      </c>
      <c r="F303" s="114">
        <f t="shared" si="229"/>
        <v>974.47705833333328</v>
      </c>
      <c r="G303" s="396">
        <v>115720.97</v>
      </c>
      <c r="H303" s="114">
        <f t="shared" si="230"/>
        <v>14.465121250000001</v>
      </c>
      <c r="I303" s="399">
        <v>176072.51</v>
      </c>
      <c r="J303" s="114">
        <f t="shared" si="231"/>
        <v>22.009063749999999</v>
      </c>
      <c r="K303" s="396">
        <v>74993.59</v>
      </c>
      <c r="L303" s="114">
        <f t="shared" si="232"/>
        <v>13.540509305555556</v>
      </c>
      <c r="M303" s="396">
        <v>2677.67</v>
      </c>
      <c r="N303" s="114">
        <f t="shared" si="233"/>
        <v>0.18594930555555556</v>
      </c>
      <c r="O303" s="396">
        <v>89319.01</v>
      </c>
      <c r="P303" s="114">
        <f t="shared" si="234"/>
        <v>16.127043472222223</v>
      </c>
      <c r="Q303" s="396">
        <v>8153279.5800000001</v>
      </c>
      <c r="R303" s="398">
        <f t="shared" si="235"/>
        <v>1811.8399066666668</v>
      </c>
    </row>
    <row r="304" spans="2:18" x14ac:dyDescent="0.3">
      <c r="B304" s="393">
        <f t="shared" si="194"/>
        <v>45773</v>
      </c>
      <c r="C304" s="396">
        <v>71220.289999999994</v>
      </c>
      <c r="D304" s="114">
        <f t="shared" si="221"/>
        <v>14.837560416666664</v>
      </c>
      <c r="E304" s="399">
        <v>4677489.88</v>
      </c>
      <c r="F304" s="114">
        <f t="shared" si="229"/>
        <v>974.47705833333328</v>
      </c>
      <c r="G304" s="396">
        <v>115720.97</v>
      </c>
      <c r="H304" s="114">
        <f t="shared" si="230"/>
        <v>14.465121250000001</v>
      </c>
      <c r="I304" s="399">
        <v>176072.51</v>
      </c>
      <c r="J304" s="114">
        <f t="shared" si="231"/>
        <v>22.009063749999999</v>
      </c>
      <c r="K304" s="396">
        <v>74993.59</v>
      </c>
      <c r="L304" s="114">
        <f t="shared" si="232"/>
        <v>13.540509305555556</v>
      </c>
      <c r="M304" s="396">
        <v>2677.67</v>
      </c>
      <c r="N304" s="114">
        <f t="shared" si="233"/>
        <v>0.18594930555555556</v>
      </c>
      <c r="O304" s="396">
        <v>89319.01</v>
      </c>
      <c r="P304" s="114">
        <f t="shared" si="234"/>
        <v>16.127043472222223</v>
      </c>
      <c r="Q304" s="396">
        <v>8153279.5800000001</v>
      </c>
      <c r="R304" s="398">
        <f t="shared" si="235"/>
        <v>1811.8399066666668</v>
      </c>
    </row>
    <row r="305" spans="2:18" x14ac:dyDescent="0.3">
      <c r="B305" s="393">
        <f t="shared" si="194"/>
        <v>45774</v>
      </c>
      <c r="C305" s="396">
        <v>71220.289999999994</v>
      </c>
      <c r="D305" s="114">
        <f t="shared" si="221"/>
        <v>14.837560416666664</v>
      </c>
      <c r="E305" s="399">
        <v>4671989.88</v>
      </c>
      <c r="F305" s="114">
        <f t="shared" si="229"/>
        <v>973.3312249999999</v>
      </c>
      <c r="G305" s="396">
        <v>117720.97</v>
      </c>
      <c r="H305" s="114">
        <f t="shared" si="230"/>
        <v>14.715121250000001</v>
      </c>
      <c r="I305" s="399">
        <v>176072.51</v>
      </c>
      <c r="J305" s="114">
        <f t="shared" si="231"/>
        <v>22.009063749999999</v>
      </c>
      <c r="K305" s="396">
        <v>74993.59</v>
      </c>
      <c r="L305" s="114">
        <f t="shared" ref="L305:L311" si="236">(K305*6.5%)/360</f>
        <v>13.540509305555556</v>
      </c>
      <c r="M305" s="396">
        <v>2677.67</v>
      </c>
      <c r="N305" s="114">
        <f t="shared" ref="N305:N311" si="237">(M305*2.5%)/360</f>
        <v>0.18594930555555556</v>
      </c>
      <c r="O305" s="396">
        <v>89319.01</v>
      </c>
      <c r="P305" s="114">
        <f t="shared" ref="P305:P311" si="238">(O305*6.5%)/360</f>
        <v>16.127043472222223</v>
      </c>
      <c r="Q305" s="396">
        <v>8153279.5800000001</v>
      </c>
      <c r="R305" s="398">
        <f t="shared" si="235"/>
        <v>1811.8399066666668</v>
      </c>
    </row>
    <row r="306" spans="2:18" x14ac:dyDescent="0.3">
      <c r="B306" s="393">
        <f t="shared" si="194"/>
        <v>45775</v>
      </c>
      <c r="C306" s="396">
        <v>98062.95</v>
      </c>
      <c r="D306" s="114">
        <f t="shared" si="221"/>
        <v>20.429781249999998</v>
      </c>
      <c r="E306" s="399">
        <v>15241356.66</v>
      </c>
      <c r="F306" s="114">
        <f t="shared" si="229"/>
        <v>3175.2826375</v>
      </c>
      <c r="G306" s="396">
        <v>117720.97</v>
      </c>
      <c r="H306" s="114">
        <f t="shared" si="230"/>
        <v>14.715121250000001</v>
      </c>
      <c r="I306" s="399">
        <v>176072.51</v>
      </c>
      <c r="J306" s="114">
        <f t="shared" si="231"/>
        <v>22.009063749999999</v>
      </c>
      <c r="K306" s="396">
        <v>74993.59</v>
      </c>
      <c r="L306" s="114">
        <f t="shared" si="236"/>
        <v>13.540509305555556</v>
      </c>
      <c r="M306" s="396">
        <v>2677.67</v>
      </c>
      <c r="N306" s="114">
        <f t="shared" si="237"/>
        <v>0.18594930555555556</v>
      </c>
      <c r="O306" s="396">
        <v>89319.01</v>
      </c>
      <c r="P306" s="114">
        <f t="shared" si="238"/>
        <v>16.127043472222223</v>
      </c>
      <c r="Q306" s="396">
        <v>53279.58</v>
      </c>
      <c r="R306" s="398">
        <f t="shared" si="235"/>
        <v>11.839906666666666</v>
      </c>
    </row>
    <row r="307" spans="2:18" x14ac:dyDescent="0.3">
      <c r="B307" s="393">
        <f t="shared" si="194"/>
        <v>45776</v>
      </c>
      <c r="C307" s="396">
        <v>98062.95</v>
      </c>
      <c r="D307" s="114">
        <f t="shared" si="221"/>
        <v>20.429781249999998</v>
      </c>
      <c r="E307" s="399">
        <v>8300422.4299999997</v>
      </c>
      <c r="F307" s="114">
        <f t="shared" si="229"/>
        <v>1729.2546729166666</v>
      </c>
      <c r="G307" s="396">
        <v>117720.97</v>
      </c>
      <c r="H307" s="114">
        <f t="shared" si="230"/>
        <v>14.715121250000001</v>
      </c>
      <c r="I307" s="399">
        <v>176072.51</v>
      </c>
      <c r="J307" s="114">
        <f t="shared" si="231"/>
        <v>22.009063749999999</v>
      </c>
      <c r="K307" s="396">
        <v>74993.59</v>
      </c>
      <c r="L307" s="114">
        <f t="shared" si="236"/>
        <v>13.540509305555556</v>
      </c>
      <c r="M307" s="396">
        <v>2677.67</v>
      </c>
      <c r="N307" s="114">
        <f t="shared" si="237"/>
        <v>0.18594930555555556</v>
      </c>
      <c r="O307" s="396">
        <v>89319.01</v>
      </c>
      <c r="P307" s="114">
        <f t="shared" si="238"/>
        <v>16.127043472222223</v>
      </c>
      <c r="Q307" s="396">
        <v>53279.58</v>
      </c>
      <c r="R307" s="398">
        <f t="shared" si="235"/>
        <v>11.839906666666666</v>
      </c>
    </row>
    <row r="308" spans="2:18" x14ac:dyDescent="0.3">
      <c r="B308" s="393">
        <f t="shared" si="194"/>
        <v>45777</v>
      </c>
      <c r="C308" s="396">
        <v>98062.95</v>
      </c>
      <c r="D308" s="114">
        <f t="shared" si="221"/>
        <v>20.429781249999998</v>
      </c>
      <c r="E308" s="399">
        <v>1735884.17</v>
      </c>
      <c r="F308" s="114">
        <f t="shared" si="229"/>
        <v>361.64253541666665</v>
      </c>
      <c r="G308" s="396">
        <v>117720.97</v>
      </c>
      <c r="H308" s="114">
        <f t="shared" si="230"/>
        <v>14.715121250000001</v>
      </c>
      <c r="I308" s="399">
        <v>176072.51</v>
      </c>
      <c r="J308" s="114">
        <f t="shared" si="231"/>
        <v>22.009063749999999</v>
      </c>
      <c r="K308" s="396">
        <v>74993.59</v>
      </c>
      <c r="L308" s="114">
        <f t="shared" si="236"/>
        <v>13.540509305555556</v>
      </c>
      <c r="M308" s="396">
        <v>2677.67</v>
      </c>
      <c r="N308" s="114">
        <f t="shared" si="237"/>
        <v>0.18594930555555556</v>
      </c>
      <c r="O308" s="396">
        <v>89319.01</v>
      </c>
      <c r="P308" s="114">
        <f t="shared" si="238"/>
        <v>16.127043472222223</v>
      </c>
      <c r="Q308" s="396">
        <f>53279.58+5000000</f>
        <v>5053279.58</v>
      </c>
      <c r="R308" s="398">
        <f t="shared" si="235"/>
        <v>1122.9510177777777</v>
      </c>
    </row>
    <row r="309" spans="2:18" x14ac:dyDescent="0.3">
      <c r="B309" s="393">
        <f t="shared" si="194"/>
        <v>45778</v>
      </c>
      <c r="C309" s="396">
        <v>98062.95</v>
      </c>
      <c r="D309" s="114">
        <f t="shared" si="221"/>
        <v>20.429781249999998</v>
      </c>
      <c r="E309" s="399">
        <v>1735884.17</v>
      </c>
      <c r="F309" s="114">
        <f t="shared" si="229"/>
        <v>361.64253541666665</v>
      </c>
      <c r="G309" s="396">
        <v>117720.97</v>
      </c>
      <c r="H309" s="114">
        <f t="shared" si="230"/>
        <v>14.715121250000001</v>
      </c>
      <c r="I309" s="399">
        <v>176072.51</v>
      </c>
      <c r="J309" s="114">
        <f t="shared" si="231"/>
        <v>22.009063749999999</v>
      </c>
      <c r="K309" s="396">
        <v>74993.59</v>
      </c>
      <c r="L309" s="114">
        <f t="shared" si="236"/>
        <v>13.540509305555556</v>
      </c>
      <c r="M309" s="396">
        <v>2677.67</v>
      </c>
      <c r="N309" s="114">
        <f t="shared" si="237"/>
        <v>0.18594930555555556</v>
      </c>
      <c r="O309" s="396">
        <v>89319.01</v>
      </c>
      <c r="P309" s="114">
        <f t="shared" si="238"/>
        <v>16.127043472222223</v>
      </c>
      <c r="Q309" s="396">
        <v>5053279.58</v>
      </c>
      <c r="R309" s="398">
        <f t="shared" si="235"/>
        <v>1122.9510177777777</v>
      </c>
    </row>
    <row r="310" spans="2:18" x14ac:dyDescent="0.3">
      <c r="B310" s="393">
        <f t="shared" si="194"/>
        <v>45779</v>
      </c>
      <c r="C310" s="396">
        <v>98062.95</v>
      </c>
      <c r="D310" s="114">
        <f t="shared" si="221"/>
        <v>20.429781249999998</v>
      </c>
      <c r="E310" s="399">
        <v>1735884.17</v>
      </c>
      <c r="F310" s="114">
        <f t="shared" si="229"/>
        <v>361.64253541666665</v>
      </c>
      <c r="G310" s="396">
        <v>117720.97</v>
      </c>
      <c r="H310" s="114">
        <f t="shared" si="230"/>
        <v>14.715121250000001</v>
      </c>
      <c r="I310" s="399">
        <v>176072.51</v>
      </c>
      <c r="J310" s="114">
        <f t="shared" si="231"/>
        <v>22.009063749999999</v>
      </c>
      <c r="K310" s="396">
        <v>74993.59</v>
      </c>
      <c r="L310" s="114">
        <f t="shared" si="236"/>
        <v>13.540509305555556</v>
      </c>
      <c r="M310" s="396">
        <v>2677.67</v>
      </c>
      <c r="N310" s="114">
        <f t="shared" si="237"/>
        <v>0.18594930555555556</v>
      </c>
      <c r="O310" s="396">
        <v>89319.01</v>
      </c>
      <c r="P310" s="114">
        <f t="shared" si="238"/>
        <v>16.127043472222223</v>
      </c>
      <c r="Q310" s="396">
        <v>5053279.58</v>
      </c>
      <c r="R310" s="398">
        <f t="shared" si="235"/>
        <v>1122.9510177777777</v>
      </c>
    </row>
    <row r="311" spans="2:18" x14ac:dyDescent="0.3">
      <c r="B311" s="393">
        <f t="shared" si="194"/>
        <v>45780</v>
      </c>
      <c r="C311" s="396">
        <v>98062.95</v>
      </c>
      <c r="D311" s="114">
        <f t="shared" si="221"/>
        <v>20.429781249999998</v>
      </c>
      <c r="E311" s="399">
        <v>1735884.17</v>
      </c>
      <c r="F311" s="114">
        <f t="shared" si="229"/>
        <v>361.64253541666665</v>
      </c>
      <c r="G311" s="396">
        <v>117720.97</v>
      </c>
      <c r="H311" s="114">
        <f t="shared" si="230"/>
        <v>14.715121250000001</v>
      </c>
      <c r="I311" s="399">
        <v>176072.51</v>
      </c>
      <c r="J311" s="114">
        <f t="shared" si="231"/>
        <v>22.009063749999999</v>
      </c>
      <c r="K311" s="396">
        <v>74993.59</v>
      </c>
      <c r="L311" s="114">
        <f t="shared" si="236"/>
        <v>13.540509305555556</v>
      </c>
      <c r="M311" s="396">
        <v>2677.67</v>
      </c>
      <c r="N311" s="114">
        <f t="shared" si="237"/>
        <v>0.18594930555555556</v>
      </c>
      <c r="O311" s="396">
        <v>89319.01</v>
      </c>
      <c r="P311" s="114">
        <f t="shared" si="238"/>
        <v>16.127043472222223</v>
      </c>
      <c r="Q311" s="396">
        <v>5053279.58</v>
      </c>
      <c r="R311" s="398">
        <f t="shared" si="235"/>
        <v>1122.9510177777777</v>
      </c>
    </row>
    <row r="312" spans="2:18" x14ac:dyDescent="0.3">
      <c r="B312" s="393">
        <f t="shared" si="194"/>
        <v>45781</v>
      </c>
      <c r="C312" s="396">
        <v>123062.95</v>
      </c>
      <c r="D312" s="114">
        <f t="shared" si="221"/>
        <v>25.63811458333333</v>
      </c>
      <c r="E312" s="399">
        <v>7462707.1699999999</v>
      </c>
      <c r="F312" s="114">
        <f t="shared" ref="F312:F318" si="239">(E312*7.5%)/360</f>
        <v>1554.7306604166668</v>
      </c>
      <c r="G312" s="396">
        <v>117720.97</v>
      </c>
      <c r="H312" s="114">
        <f t="shared" ref="H312:H318" si="240">(G312*4.5%)/360</f>
        <v>14.715121250000001</v>
      </c>
      <c r="I312" s="399">
        <v>290180.23</v>
      </c>
      <c r="J312" s="114">
        <f t="shared" ref="J312:J318" si="241">(I312*4.5%)/360</f>
        <v>36.272528749999999</v>
      </c>
      <c r="K312" s="396">
        <v>74993.59</v>
      </c>
      <c r="L312" s="114">
        <f t="shared" ref="L312:L318" si="242">(K312*6.5%)/360</f>
        <v>13.540509305555556</v>
      </c>
      <c r="M312" s="396">
        <v>2677.67</v>
      </c>
      <c r="N312" s="114">
        <f t="shared" ref="N312:N318" si="243">(M312*2.5%)/360</f>
        <v>0.18594930555555556</v>
      </c>
      <c r="O312" s="396">
        <v>89319.01</v>
      </c>
      <c r="P312" s="114">
        <f t="shared" ref="P312:P318" si="244">(O312*6.5%)/360</f>
        <v>16.127043472222223</v>
      </c>
      <c r="Q312" s="396">
        <v>5053279.58</v>
      </c>
      <c r="R312" s="398">
        <f t="shared" ref="R312:R318" si="245">(Q312*8%)/360</f>
        <v>1122.9510177777777</v>
      </c>
    </row>
    <row r="313" spans="2:18" x14ac:dyDescent="0.3">
      <c r="B313" s="393">
        <f t="shared" si="194"/>
        <v>45782</v>
      </c>
      <c r="C313" s="396">
        <v>123062.95</v>
      </c>
      <c r="D313" s="114">
        <f t="shared" si="221"/>
        <v>25.63811458333333</v>
      </c>
      <c r="E313" s="399">
        <v>18454114.66</v>
      </c>
      <c r="F313" s="114">
        <f t="shared" si="239"/>
        <v>3844.6072208333335</v>
      </c>
      <c r="G313" s="396">
        <v>117720.97</v>
      </c>
      <c r="H313" s="114">
        <f t="shared" si="240"/>
        <v>14.715121250000001</v>
      </c>
      <c r="I313" s="399">
        <v>290180.23</v>
      </c>
      <c r="J313" s="114">
        <f t="shared" si="241"/>
        <v>36.272528749999999</v>
      </c>
      <c r="K313" s="396">
        <v>74993.59</v>
      </c>
      <c r="L313" s="114">
        <f t="shared" si="242"/>
        <v>13.540509305555556</v>
      </c>
      <c r="M313" s="396">
        <v>2677.67</v>
      </c>
      <c r="N313" s="114">
        <f t="shared" si="243"/>
        <v>0.18594930555555556</v>
      </c>
      <c r="O313" s="396">
        <v>89319.01</v>
      </c>
      <c r="P313" s="114">
        <f t="shared" si="244"/>
        <v>16.127043472222223</v>
      </c>
      <c r="Q313" s="396">
        <v>5053279.58</v>
      </c>
      <c r="R313" s="398">
        <f t="shared" si="245"/>
        <v>1122.9510177777777</v>
      </c>
    </row>
    <row r="314" spans="2:18" x14ac:dyDescent="0.3">
      <c r="B314" s="393">
        <f t="shared" si="194"/>
        <v>45783</v>
      </c>
      <c r="C314" s="396">
        <v>123062.95</v>
      </c>
      <c r="D314" s="114">
        <f t="shared" si="221"/>
        <v>25.63811458333333</v>
      </c>
      <c r="E314" s="399">
        <v>20031974.859999999</v>
      </c>
      <c r="F314" s="114">
        <f t="shared" si="239"/>
        <v>4173.3280958333335</v>
      </c>
      <c r="G314" s="396">
        <v>117720.97</v>
      </c>
      <c r="H314" s="114">
        <f t="shared" si="240"/>
        <v>14.715121250000001</v>
      </c>
      <c r="I314" s="399">
        <v>290180.23</v>
      </c>
      <c r="J314" s="114">
        <f t="shared" si="241"/>
        <v>36.272528749999999</v>
      </c>
      <c r="K314" s="396">
        <v>74993.59</v>
      </c>
      <c r="L314" s="114">
        <f t="shared" si="242"/>
        <v>13.540509305555556</v>
      </c>
      <c r="M314" s="396">
        <v>2677.67</v>
      </c>
      <c r="N314" s="114">
        <f t="shared" si="243"/>
        <v>0.18594930555555556</v>
      </c>
      <c r="O314" s="396">
        <v>89319.01</v>
      </c>
      <c r="P314" s="114">
        <f t="shared" si="244"/>
        <v>16.127043472222223</v>
      </c>
      <c r="Q314" s="396">
        <v>5053279.58</v>
      </c>
      <c r="R314" s="398">
        <f t="shared" si="245"/>
        <v>1122.9510177777777</v>
      </c>
    </row>
    <row r="315" spans="2:18" x14ac:dyDescent="0.3">
      <c r="B315" s="393">
        <f t="shared" si="194"/>
        <v>45784</v>
      </c>
      <c r="C315" s="396">
        <v>123062.95</v>
      </c>
      <c r="D315" s="114">
        <f t="shared" si="221"/>
        <v>25.63811458333333</v>
      </c>
      <c r="E315" s="399">
        <v>20153340.5</v>
      </c>
      <c r="F315" s="114">
        <f t="shared" si="239"/>
        <v>4198.6126041666666</v>
      </c>
      <c r="G315" s="396">
        <v>117720.97</v>
      </c>
      <c r="H315" s="114">
        <f t="shared" si="240"/>
        <v>14.715121250000001</v>
      </c>
      <c r="I315" s="399">
        <v>290180.23</v>
      </c>
      <c r="J315" s="114">
        <f t="shared" si="241"/>
        <v>36.272528749999999</v>
      </c>
      <c r="K315" s="396">
        <v>74993.59</v>
      </c>
      <c r="L315" s="114">
        <f t="shared" si="242"/>
        <v>13.540509305555556</v>
      </c>
      <c r="M315" s="396">
        <v>2677.67</v>
      </c>
      <c r="N315" s="114">
        <f t="shared" si="243"/>
        <v>0.18594930555555556</v>
      </c>
      <c r="O315" s="396">
        <v>89319.01</v>
      </c>
      <c r="P315" s="114">
        <f t="shared" si="244"/>
        <v>16.127043472222223</v>
      </c>
      <c r="Q315" s="396">
        <v>5053279.58</v>
      </c>
      <c r="R315" s="398">
        <f t="shared" si="245"/>
        <v>1122.9510177777777</v>
      </c>
    </row>
    <row r="316" spans="2:18" x14ac:dyDescent="0.3">
      <c r="B316" s="393">
        <f t="shared" si="194"/>
        <v>45785</v>
      </c>
      <c r="C316" s="396">
        <v>123062.95</v>
      </c>
      <c r="D316" s="114">
        <f t="shared" si="221"/>
        <v>25.63811458333333</v>
      </c>
      <c r="E316" s="399">
        <v>19763924.300000001</v>
      </c>
      <c r="F316" s="114">
        <f t="shared" si="239"/>
        <v>4117.4842291666664</v>
      </c>
      <c r="G316" s="396">
        <v>117720.97</v>
      </c>
      <c r="H316" s="114">
        <f t="shared" si="240"/>
        <v>14.715121250000001</v>
      </c>
      <c r="I316" s="399">
        <v>290180.23</v>
      </c>
      <c r="J316" s="114">
        <f t="shared" si="241"/>
        <v>36.272528749999999</v>
      </c>
      <c r="K316" s="396">
        <v>74993.59</v>
      </c>
      <c r="L316" s="114">
        <f t="shared" si="242"/>
        <v>13.540509305555556</v>
      </c>
      <c r="M316" s="396">
        <v>2677.67</v>
      </c>
      <c r="N316" s="114">
        <f t="shared" si="243"/>
        <v>0.18594930555555556</v>
      </c>
      <c r="O316" s="396">
        <v>89319.01</v>
      </c>
      <c r="P316" s="114">
        <f t="shared" si="244"/>
        <v>16.127043472222223</v>
      </c>
      <c r="Q316" s="396">
        <v>5053279.58</v>
      </c>
      <c r="R316" s="398">
        <f t="shared" si="245"/>
        <v>1122.9510177777777</v>
      </c>
    </row>
    <row r="317" spans="2:18" x14ac:dyDescent="0.3">
      <c r="B317" s="393">
        <f t="shared" si="194"/>
        <v>45786</v>
      </c>
      <c r="C317" s="396">
        <v>123062.95</v>
      </c>
      <c r="D317" s="114">
        <f t="shared" si="221"/>
        <v>25.63811458333333</v>
      </c>
      <c r="E317" s="399">
        <v>19763924.300000001</v>
      </c>
      <c r="F317" s="114">
        <f t="shared" si="239"/>
        <v>4117.4842291666664</v>
      </c>
      <c r="G317" s="396">
        <v>117720.97</v>
      </c>
      <c r="H317" s="114">
        <f t="shared" si="240"/>
        <v>14.715121250000001</v>
      </c>
      <c r="I317" s="399">
        <v>290180.23</v>
      </c>
      <c r="J317" s="114">
        <f t="shared" si="241"/>
        <v>36.272528749999999</v>
      </c>
      <c r="K317" s="396">
        <v>74993.59</v>
      </c>
      <c r="L317" s="114">
        <f t="shared" si="242"/>
        <v>13.540509305555556</v>
      </c>
      <c r="M317" s="396">
        <v>2677.67</v>
      </c>
      <c r="N317" s="114">
        <f t="shared" si="243"/>
        <v>0.18594930555555556</v>
      </c>
      <c r="O317" s="396">
        <v>89319.01</v>
      </c>
      <c r="P317" s="114">
        <f t="shared" si="244"/>
        <v>16.127043472222223</v>
      </c>
      <c r="Q317" s="396">
        <v>5053279.58</v>
      </c>
      <c r="R317" s="398">
        <f t="shared" si="245"/>
        <v>1122.9510177777777</v>
      </c>
    </row>
    <row r="318" spans="2:18" x14ac:dyDescent="0.3">
      <c r="B318" s="393">
        <f t="shared" ref="B318:B369" si="246">B317+1</f>
        <v>45787</v>
      </c>
      <c r="C318" s="396">
        <v>123062.95</v>
      </c>
      <c r="D318" s="114">
        <f t="shared" si="221"/>
        <v>25.63811458333333</v>
      </c>
      <c r="E318" s="399">
        <v>19763924.300000001</v>
      </c>
      <c r="F318" s="114">
        <f t="shared" si="239"/>
        <v>4117.4842291666664</v>
      </c>
      <c r="G318" s="396">
        <v>117720.97</v>
      </c>
      <c r="H318" s="114">
        <f t="shared" si="240"/>
        <v>14.715121250000001</v>
      </c>
      <c r="I318" s="399">
        <v>290180.23</v>
      </c>
      <c r="J318" s="114">
        <f t="shared" si="241"/>
        <v>36.272528749999999</v>
      </c>
      <c r="K318" s="396">
        <v>74993.59</v>
      </c>
      <c r="L318" s="114">
        <f t="shared" si="242"/>
        <v>13.540509305555556</v>
      </c>
      <c r="M318" s="396">
        <v>2677.67</v>
      </c>
      <c r="N318" s="114">
        <f t="shared" si="243"/>
        <v>0.18594930555555556</v>
      </c>
      <c r="O318" s="396">
        <v>89319.01</v>
      </c>
      <c r="P318" s="114">
        <f t="shared" si="244"/>
        <v>16.127043472222223</v>
      </c>
      <c r="Q318" s="396">
        <v>5053279.58</v>
      </c>
      <c r="R318" s="398">
        <f t="shared" si="245"/>
        <v>1122.9510177777777</v>
      </c>
    </row>
    <row r="319" spans="2:18" x14ac:dyDescent="0.3">
      <c r="B319" s="393">
        <f t="shared" si="246"/>
        <v>45788</v>
      </c>
      <c r="C319" s="396">
        <v>123062.95</v>
      </c>
      <c r="D319" s="114">
        <f t="shared" ref="D319:D360" si="247">(C319*7.5%)/360</f>
        <v>25.63811458333333</v>
      </c>
      <c r="E319" s="399">
        <v>22923083.280000001</v>
      </c>
      <c r="F319" s="114">
        <f t="shared" ref="F319:F324" si="248">(E319*7.5%)/360</f>
        <v>4775.6423500000001</v>
      </c>
      <c r="G319" s="396">
        <v>117720.97</v>
      </c>
      <c r="H319" s="114">
        <f t="shared" ref="H319:H324" si="249">(G319*4.5%)/360</f>
        <v>14.715121250000001</v>
      </c>
      <c r="I319" s="399">
        <v>290180.23</v>
      </c>
      <c r="J319" s="114">
        <f t="shared" ref="J319:J324" si="250">(I319*4.5%)/360</f>
        <v>36.272528749999999</v>
      </c>
      <c r="K319" s="396">
        <v>74993.59</v>
      </c>
      <c r="L319" s="114">
        <f t="shared" ref="L319:L324" si="251">(K319*6.5%)/360</f>
        <v>13.540509305555556</v>
      </c>
      <c r="M319" s="396">
        <v>2677.67</v>
      </c>
      <c r="N319" s="114">
        <f t="shared" ref="N319:N324" si="252">(M319*2.5%)/360</f>
        <v>0.18594930555555556</v>
      </c>
      <c r="O319" s="396">
        <v>89319.01</v>
      </c>
      <c r="P319" s="114">
        <f t="shared" ref="P319:P324" si="253">(O319*6.5%)/360</f>
        <v>16.127043472222223</v>
      </c>
      <c r="Q319" s="396">
        <v>5053279.58</v>
      </c>
      <c r="R319" s="398">
        <f t="shared" ref="R319:R324" si="254">(Q319*8%)/360</f>
        <v>1122.9510177777777</v>
      </c>
    </row>
    <row r="320" spans="2:18" x14ac:dyDescent="0.3">
      <c r="B320" s="393">
        <f t="shared" si="246"/>
        <v>45789</v>
      </c>
      <c r="C320" s="396">
        <v>123062.95</v>
      </c>
      <c r="D320" s="114">
        <f t="shared" si="247"/>
        <v>25.63811458333333</v>
      </c>
      <c r="E320" s="399">
        <v>18062066.899999999</v>
      </c>
      <c r="F320" s="114">
        <f t="shared" si="248"/>
        <v>3762.9306041666664</v>
      </c>
      <c r="G320" s="396">
        <v>117720.97</v>
      </c>
      <c r="H320" s="114">
        <f t="shared" si="249"/>
        <v>14.715121250000001</v>
      </c>
      <c r="I320" s="399">
        <v>290180.23</v>
      </c>
      <c r="J320" s="114">
        <f t="shared" si="250"/>
        <v>36.272528749999999</v>
      </c>
      <c r="K320" s="396">
        <v>74993.59</v>
      </c>
      <c r="L320" s="114">
        <f t="shared" si="251"/>
        <v>13.540509305555556</v>
      </c>
      <c r="M320" s="396">
        <v>2677.67</v>
      </c>
      <c r="N320" s="114">
        <f t="shared" si="252"/>
        <v>0.18594930555555556</v>
      </c>
      <c r="O320" s="396">
        <v>89319.01</v>
      </c>
      <c r="P320" s="114">
        <f t="shared" si="253"/>
        <v>16.127043472222223</v>
      </c>
      <c r="Q320" s="396">
        <v>5053279.58</v>
      </c>
      <c r="R320" s="398">
        <f t="shared" si="254"/>
        <v>1122.9510177777777</v>
      </c>
    </row>
    <row r="321" spans="2:18" x14ac:dyDescent="0.3">
      <c r="B321" s="393">
        <f t="shared" si="246"/>
        <v>45790</v>
      </c>
      <c r="C321" s="396">
        <v>123062.95</v>
      </c>
      <c r="D321" s="114">
        <f t="shared" si="247"/>
        <v>25.63811458333333</v>
      </c>
      <c r="E321" s="399">
        <v>18269203.899999999</v>
      </c>
      <c r="F321" s="114">
        <f t="shared" si="248"/>
        <v>3806.0841458333325</v>
      </c>
      <c r="G321" s="396">
        <v>117720.97</v>
      </c>
      <c r="H321" s="114">
        <f t="shared" si="249"/>
        <v>14.715121250000001</v>
      </c>
      <c r="I321" s="399">
        <v>290180.23</v>
      </c>
      <c r="J321" s="114">
        <f t="shared" si="250"/>
        <v>36.272528749999999</v>
      </c>
      <c r="K321" s="396">
        <v>74993.59</v>
      </c>
      <c r="L321" s="114">
        <f t="shared" si="251"/>
        <v>13.540509305555556</v>
      </c>
      <c r="M321" s="396">
        <v>2677.67</v>
      </c>
      <c r="N321" s="114">
        <f t="shared" si="252"/>
        <v>0.18594930555555556</v>
      </c>
      <c r="O321" s="396">
        <v>89319.01</v>
      </c>
      <c r="P321" s="114">
        <f t="shared" si="253"/>
        <v>16.127043472222223</v>
      </c>
      <c r="Q321" s="396">
        <v>5053279.58</v>
      </c>
      <c r="R321" s="398">
        <f t="shared" si="254"/>
        <v>1122.9510177777777</v>
      </c>
    </row>
    <row r="322" spans="2:18" x14ac:dyDescent="0.3">
      <c r="B322" s="393">
        <f t="shared" si="246"/>
        <v>45791</v>
      </c>
      <c r="C322" s="396">
        <v>123062.95</v>
      </c>
      <c r="D322" s="114">
        <f t="shared" si="247"/>
        <v>25.63811458333333</v>
      </c>
      <c r="E322" s="399">
        <v>12161638.050000001</v>
      </c>
      <c r="F322" s="114">
        <f t="shared" si="248"/>
        <v>2533.67459375</v>
      </c>
      <c r="G322" s="396">
        <v>117720.97</v>
      </c>
      <c r="H322" s="114">
        <f t="shared" si="249"/>
        <v>14.715121250000001</v>
      </c>
      <c r="I322" s="399">
        <v>290180.23</v>
      </c>
      <c r="J322" s="114">
        <f t="shared" si="250"/>
        <v>36.272528749999999</v>
      </c>
      <c r="K322" s="396">
        <v>74993.59</v>
      </c>
      <c r="L322" s="114">
        <f t="shared" si="251"/>
        <v>13.540509305555556</v>
      </c>
      <c r="M322" s="396">
        <v>2677.67</v>
      </c>
      <c r="N322" s="114">
        <f t="shared" si="252"/>
        <v>0.18594930555555556</v>
      </c>
      <c r="O322" s="396">
        <v>89319.01</v>
      </c>
      <c r="P322" s="114">
        <f t="shared" si="253"/>
        <v>16.127043472222223</v>
      </c>
      <c r="Q322" s="396">
        <v>5053279.58</v>
      </c>
      <c r="R322" s="398">
        <f t="shared" si="254"/>
        <v>1122.9510177777777</v>
      </c>
    </row>
    <row r="323" spans="2:18" x14ac:dyDescent="0.3">
      <c r="B323" s="393">
        <f t="shared" si="246"/>
        <v>45792</v>
      </c>
      <c r="C323" s="396">
        <v>123062.95</v>
      </c>
      <c r="D323" s="114">
        <f t="shared" si="247"/>
        <v>25.63811458333333</v>
      </c>
      <c r="E323" s="399">
        <v>13425554.050000001</v>
      </c>
      <c r="F323" s="114">
        <f t="shared" si="248"/>
        <v>2796.9904270833331</v>
      </c>
      <c r="G323" s="396">
        <v>117720.97</v>
      </c>
      <c r="H323" s="114">
        <f t="shared" si="249"/>
        <v>14.715121250000001</v>
      </c>
      <c r="I323" s="399">
        <v>290180.23</v>
      </c>
      <c r="J323" s="114">
        <f t="shared" si="250"/>
        <v>36.272528749999999</v>
      </c>
      <c r="K323" s="396">
        <v>74993.59</v>
      </c>
      <c r="L323" s="114">
        <f t="shared" si="251"/>
        <v>13.540509305555556</v>
      </c>
      <c r="M323" s="396">
        <v>2677.67</v>
      </c>
      <c r="N323" s="114">
        <f t="shared" si="252"/>
        <v>0.18594930555555556</v>
      </c>
      <c r="O323" s="396">
        <v>89319.01</v>
      </c>
      <c r="P323" s="114">
        <f t="shared" si="253"/>
        <v>16.127043472222223</v>
      </c>
      <c r="Q323" s="396">
        <v>5053279.58</v>
      </c>
      <c r="R323" s="398">
        <f t="shared" si="254"/>
        <v>1122.9510177777777</v>
      </c>
    </row>
    <row r="324" spans="2:18" x14ac:dyDescent="0.3">
      <c r="B324" s="393">
        <f t="shared" si="246"/>
        <v>45793</v>
      </c>
      <c r="C324" s="396">
        <v>123062.95</v>
      </c>
      <c r="D324" s="114">
        <f t="shared" si="247"/>
        <v>25.63811458333333</v>
      </c>
      <c r="E324" s="399">
        <v>13425554.050000001</v>
      </c>
      <c r="F324" s="114">
        <f t="shared" si="248"/>
        <v>2796.9904270833331</v>
      </c>
      <c r="G324" s="396">
        <v>117720.97</v>
      </c>
      <c r="H324" s="114">
        <f t="shared" si="249"/>
        <v>14.715121250000001</v>
      </c>
      <c r="I324" s="399">
        <v>290180.23</v>
      </c>
      <c r="J324" s="114">
        <f t="shared" si="250"/>
        <v>36.272528749999999</v>
      </c>
      <c r="K324" s="396">
        <v>74993.59</v>
      </c>
      <c r="L324" s="114">
        <f t="shared" si="251"/>
        <v>13.540509305555556</v>
      </c>
      <c r="M324" s="396">
        <v>2677.67</v>
      </c>
      <c r="N324" s="114">
        <f t="shared" si="252"/>
        <v>0.18594930555555556</v>
      </c>
      <c r="O324" s="396">
        <v>89319.01</v>
      </c>
      <c r="P324" s="114">
        <f t="shared" si="253"/>
        <v>16.127043472222223</v>
      </c>
      <c r="Q324" s="396">
        <v>5053279.58</v>
      </c>
      <c r="R324" s="398">
        <f t="shared" si="254"/>
        <v>1122.9510177777777</v>
      </c>
    </row>
    <row r="325" spans="2:18" x14ac:dyDescent="0.3">
      <c r="B325" s="393">
        <f t="shared" si="246"/>
        <v>45794</v>
      </c>
      <c r="C325" s="396">
        <v>123062.95</v>
      </c>
      <c r="D325" s="114">
        <f t="shared" si="247"/>
        <v>25.63811458333333</v>
      </c>
      <c r="E325" s="399">
        <v>19661303.210000001</v>
      </c>
      <c r="F325" s="114">
        <f t="shared" ref="F325:F339" si="255">(E325*7.5%)/360</f>
        <v>4096.1048354166669</v>
      </c>
      <c r="G325" s="396">
        <v>117720.97</v>
      </c>
      <c r="H325" s="114">
        <f t="shared" ref="H325:H331" si="256">(G325*4.5%)/360</f>
        <v>14.715121250000001</v>
      </c>
      <c r="I325" s="399">
        <v>290180.23</v>
      </c>
      <c r="J325" s="114">
        <f t="shared" ref="J325:J331" si="257">(I325*4.5%)/360</f>
        <v>36.272528749999999</v>
      </c>
      <c r="K325" s="396">
        <v>74993.59</v>
      </c>
      <c r="L325" s="114">
        <f t="shared" ref="L325:L331" si="258">(K325*6.5%)/360</f>
        <v>13.540509305555556</v>
      </c>
      <c r="M325" s="396">
        <v>2677.67</v>
      </c>
      <c r="N325" s="114">
        <f t="shared" ref="N325:N331" si="259">(M325*2.5%)/360</f>
        <v>0.18594930555555556</v>
      </c>
      <c r="O325" s="396">
        <v>89319.01</v>
      </c>
      <c r="P325" s="114">
        <f t="shared" ref="P325:P331" si="260">(O325*6.5%)/360</f>
        <v>16.127043472222223</v>
      </c>
      <c r="Q325" s="396">
        <v>5053279.58</v>
      </c>
      <c r="R325" s="398">
        <f t="shared" ref="R325:R331" si="261">(Q325*8%)/360</f>
        <v>1122.9510177777777</v>
      </c>
    </row>
    <row r="326" spans="2:18" x14ac:dyDescent="0.3">
      <c r="B326" s="393">
        <f t="shared" si="246"/>
        <v>45795</v>
      </c>
      <c r="C326" s="396">
        <v>123062.95</v>
      </c>
      <c r="D326" s="114">
        <f t="shared" si="247"/>
        <v>25.63811458333333</v>
      </c>
      <c r="E326" s="399">
        <v>16934820.449999999</v>
      </c>
      <c r="F326" s="114">
        <f t="shared" si="255"/>
        <v>3528.08759375</v>
      </c>
      <c r="G326" s="396">
        <v>117720.97</v>
      </c>
      <c r="H326" s="114">
        <f t="shared" si="256"/>
        <v>14.715121250000001</v>
      </c>
      <c r="I326" s="399">
        <v>290180.23</v>
      </c>
      <c r="J326" s="114">
        <f t="shared" si="257"/>
        <v>36.272528749999999</v>
      </c>
      <c r="K326" s="396">
        <v>74993.59</v>
      </c>
      <c r="L326" s="114">
        <f t="shared" si="258"/>
        <v>13.540509305555556</v>
      </c>
      <c r="M326" s="396">
        <v>2677.67</v>
      </c>
      <c r="N326" s="114">
        <f t="shared" si="259"/>
        <v>0.18594930555555556</v>
      </c>
      <c r="O326" s="396">
        <v>89319.01</v>
      </c>
      <c r="P326" s="114">
        <f t="shared" si="260"/>
        <v>16.127043472222223</v>
      </c>
      <c r="Q326" s="396">
        <v>5053279.58</v>
      </c>
      <c r="R326" s="398">
        <f t="shared" si="261"/>
        <v>1122.9510177777777</v>
      </c>
    </row>
    <row r="327" spans="2:18" x14ac:dyDescent="0.3">
      <c r="B327" s="393">
        <f t="shared" si="246"/>
        <v>45796</v>
      </c>
      <c r="C327" s="396">
        <v>123062.95</v>
      </c>
      <c r="D327" s="114">
        <f t="shared" si="247"/>
        <v>25.63811458333333</v>
      </c>
      <c r="E327" s="399">
        <v>17141397.780000001</v>
      </c>
      <c r="F327" s="114">
        <f t="shared" si="255"/>
        <v>3571.1245374999999</v>
      </c>
      <c r="G327" s="396">
        <v>117720.97</v>
      </c>
      <c r="H327" s="114">
        <f t="shared" si="256"/>
        <v>14.715121250000001</v>
      </c>
      <c r="I327" s="399">
        <v>290180.23</v>
      </c>
      <c r="J327" s="114">
        <f t="shared" si="257"/>
        <v>36.272528749999999</v>
      </c>
      <c r="K327" s="396">
        <v>74993.59</v>
      </c>
      <c r="L327" s="114">
        <f t="shared" si="258"/>
        <v>13.540509305555556</v>
      </c>
      <c r="M327" s="396">
        <v>2677.67</v>
      </c>
      <c r="N327" s="114">
        <f t="shared" si="259"/>
        <v>0.18594930555555556</v>
      </c>
      <c r="O327" s="396">
        <v>89319.01</v>
      </c>
      <c r="P327" s="114">
        <f t="shared" si="260"/>
        <v>16.127043472222223</v>
      </c>
      <c r="Q327" s="396">
        <v>5053279.58</v>
      </c>
      <c r="R327" s="398">
        <f t="shared" si="261"/>
        <v>1122.9510177777777</v>
      </c>
    </row>
    <row r="328" spans="2:18" x14ac:dyDescent="0.3">
      <c r="B328" s="393">
        <f t="shared" si="246"/>
        <v>45797</v>
      </c>
      <c r="C328" s="396">
        <v>123062.95</v>
      </c>
      <c r="D328" s="114">
        <f t="shared" si="247"/>
        <v>25.63811458333333</v>
      </c>
      <c r="E328" s="399">
        <v>17141397.780000001</v>
      </c>
      <c r="F328" s="114">
        <f t="shared" si="255"/>
        <v>3571.1245374999999</v>
      </c>
      <c r="G328" s="396">
        <v>117720.97</v>
      </c>
      <c r="H328" s="114">
        <f t="shared" si="256"/>
        <v>14.715121250000001</v>
      </c>
      <c r="I328" s="399">
        <v>290180.23</v>
      </c>
      <c r="J328" s="114">
        <f t="shared" si="257"/>
        <v>36.272528749999999</v>
      </c>
      <c r="K328" s="396">
        <v>74993.59</v>
      </c>
      <c r="L328" s="114">
        <f t="shared" si="258"/>
        <v>13.540509305555556</v>
      </c>
      <c r="M328" s="396">
        <v>2677.67</v>
      </c>
      <c r="N328" s="114">
        <f t="shared" si="259"/>
        <v>0.18594930555555556</v>
      </c>
      <c r="O328" s="396">
        <v>89319.01</v>
      </c>
      <c r="P328" s="114">
        <f t="shared" si="260"/>
        <v>16.127043472222223</v>
      </c>
      <c r="Q328" s="396">
        <v>5053279.58</v>
      </c>
      <c r="R328" s="398">
        <f t="shared" si="261"/>
        <v>1122.9510177777777</v>
      </c>
    </row>
    <row r="329" spans="2:18" x14ac:dyDescent="0.3">
      <c r="B329" s="393">
        <f t="shared" si="246"/>
        <v>45798</v>
      </c>
      <c r="C329" s="396">
        <v>123062.95</v>
      </c>
      <c r="D329" s="114">
        <f t="shared" si="247"/>
        <v>25.63811458333333</v>
      </c>
      <c r="E329" s="399">
        <v>17238052.07</v>
      </c>
      <c r="F329" s="114">
        <f t="shared" si="255"/>
        <v>3591.260847916667</v>
      </c>
      <c r="G329" s="396">
        <v>117720.97</v>
      </c>
      <c r="H329" s="114">
        <f t="shared" si="256"/>
        <v>14.715121250000001</v>
      </c>
      <c r="I329" s="399">
        <v>290180.23</v>
      </c>
      <c r="J329" s="114">
        <f t="shared" si="257"/>
        <v>36.272528749999999</v>
      </c>
      <c r="K329" s="396">
        <v>74993.59</v>
      </c>
      <c r="L329" s="114">
        <f t="shared" si="258"/>
        <v>13.540509305555556</v>
      </c>
      <c r="M329" s="396">
        <v>2677.67</v>
      </c>
      <c r="N329" s="114">
        <f t="shared" si="259"/>
        <v>0.18594930555555556</v>
      </c>
      <c r="O329" s="396">
        <v>89319.01</v>
      </c>
      <c r="P329" s="114">
        <f t="shared" si="260"/>
        <v>16.127043472222223</v>
      </c>
      <c r="Q329" s="396">
        <v>5053279.58</v>
      </c>
      <c r="R329" s="398">
        <f t="shared" si="261"/>
        <v>1122.9510177777777</v>
      </c>
    </row>
    <row r="330" spans="2:18" x14ac:dyDescent="0.3">
      <c r="B330" s="393">
        <f t="shared" si="246"/>
        <v>45799</v>
      </c>
      <c r="C330" s="396">
        <v>623062.94999999995</v>
      </c>
      <c r="D330" s="114">
        <f t="shared" si="247"/>
        <v>129.80478124999999</v>
      </c>
      <c r="E330" s="399">
        <v>16238052.07</v>
      </c>
      <c r="F330" s="114">
        <f t="shared" si="255"/>
        <v>3382.9275145833335</v>
      </c>
      <c r="G330" s="396">
        <v>117720.97</v>
      </c>
      <c r="H330" s="114">
        <f t="shared" si="256"/>
        <v>14.715121250000001</v>
      </c>
      <c r="I330" s="399">
        <v>290180.23</v>
      </c>
      <c r="J330" s="114">
        <f t="shared" si="257"/>
        <v>36.272528749999999</v>
      </c>
      <c r="K330" s="396">
        <v>74993.59</v>
      </c>
      <c r="L330" s="114">
        <f t="shared" si="258"/>
        <v>13.540509305555556</v>
      </c>
      <c r="M330" s="396">
        <v>2677.67</v>
      </c>
      <c r="N330" s="114">
        <f t="shared" si="259"/>
        <v>0.18594930555555556</v>
      </c>
      <c r="O330" s="396">
        <v>89319.01</v>
      </c>
      <c r="P330" s="114">
        <f t="shared" si="260"/>
        <v>16.127043472222223</v>
      </c>
      <c r="Q330" s="396">
        <v>5053279.58</v>
      </c>
      <c r="R330" s="398">
        <f t="shared" si="261"/>
        <v>1122.9510177777777</v>
      </c>
    </row>
    <row r="331" spans="2:18" x14ac:dyDescent="0.3">
      <c r="B331" s="393">
        <f t="shared" si="246"/>
        <v>45800</v>
      </c>
      <c r="C331" s="396">
        <v>623062.94999999995</v>
      </c>
      <c r="D331" s="114">
        <f t="shared" si="247"/>
        <v>129.80478124999999</v>
      </c>
      <c r="E331" s="399">
        <v>16238052.07</v>
      </c>
      <c r="F331" s="114">
        <f t="shared" si="255"/>
        <v>3382.9275145833335</v>
      </c>
      <c r="G331" s="396">
        <v>117720.97</v>
      </c>
      <c r="H331" s="114">
        <f t="shared" si="256"/>
        <v>14.715121250000001</v>
      </c>
      <c r="I331" s="399">
        <v>290180.23</v>
      </c>
      <c r="J331" s="114">
        <f t="shared" si="257"/>
        <v>36.272528749999999</v>
      </c>
      <c r="K331" s="396">
        <v>74993.59</v>
      </c>
      <c r="L331" s="114">
        <f t="shared" si="258"/>
        <v>13.540509305555556</v>
      </c>
      <c r="M331" s="396">
        <v>2677.67</v>
      </c>
      <c r="N331" s="114">
        <f t="shared" si="259"/>
        <v>0.18594930555555556</v>
      </c>
      <c r="O331" s="396">
        <v>89319.01</v>
      </c>
      <c r="P331" s="114">
        <f t="shared" si="260"/>
        <v>16.127043472222223</v>
      </c>
      <c r="Q331" s="396">
        <v>5053279.58</v>
      </c>
      <c r="R331" s="398">
        <f t="shared" si="261"/>
        <v>1122.9510177777777</v>
      </c>
    </row>
    <row r="332" spans="2:18" x14ac:dyDescent="0.3">
      <c r="B332" s="393">
        <f t="shared" si="246"/>
        <v>45801</v>
      </c>
      <c r="C332" s="396">
        <v>623062.94999999995</v>
      </c>
      <c r="D332" s="114">
        <f t="shared" si="247"/>
        <v>129.80478124999999</v>
      </c>
      <c r="E332" s="399">
        <v>16312940.24</v>
      </c>
      <c r="F332" s="114">
        <f t="shared" si="255"/>
        <v>3398.5292166666663</v>
      </c>
      <c r="G332" s="396">
        <v>117720.97</v>
      </c>
      <c r="H332" s="114">
        <f t="shared" ref="H332:H339" si="262">(G332*4.5%)/360</f>
        <v>14.715121250000001</v>
      </c>
      <c r="I332" s="399">
        <v>290180.23</v>
      </c>
      <c r="J332" s="114">
        <f t="shared" ref="J332:J339" si="263">(I332*4.5%)/360</f>
        <v>36.272528749999999</v>
      </c>
      <c r="K332" s="396">
        <v>74993.59</v>
      </c>
      <c r="L332" s="114">
        <f t="shared" ref="L332:L339" si="264">(K332*6.5%)/360</f>
        <v>13.540509305555556</v>
      </c>
      <c r="M332" s="396">
        <v>2677.67</v>
      </c>
      <c r="N332" s="114">
        <f t="shared" ref="N332:N339" si="265">(M332*2.5%)/360</f>
        <v>0.18594930555555556</v>
      </c>
      <c r="O332" s="396">
        <v>89319.01</v>
      </c>
      <c r="P332" s="114">
        <f t="shared" ref="P332:P339" si="266">(O332*6.5%)/360</f>
        <v>16.127043472222223</v>
      </c>
      <c r="Q332" s="396">
        <v>5053279.58</v>
      </c>
      <c r="R332" s="398">
        <f t="shared" ref="R332:R339" si="267">(Q332*8%)/360</f>
        <v>1122.9510177777777</v>
      </c>
    </row>
    <row r="333" spans="2:18" x14ac:dyDescent="0.3">
      <c r="B333" s="393">
        <f t="shared" si="246"/>
        <v>45802</v>
      </c>
      <c r="C333" s="396">
        <v>623062.94999999995</v>
      </c>
      <c r="D333" s="114">
        <f t="shared" si="247"/>
        <v>129.80478124999999</v>
      </c>
      <c r="E333" s="399">
        <v>15525891.789999999</v>
      </c>
      <c r="F333" s="114">
        <f t="shared" si="255"/>
        <v>3234.5607895833332</v>
      </c>
      <c r="G333" s="396">
        <v>117720.97</v>
      </c>
      <c r="H333" s="114">
        <f t="shared" si="262"/>
        <v>14.715121250000001</v>
      </c>
      <c r="I333" s="399">
        <v>290180.23</v>
      </c>
      <c r="J333" s="114">
        <f t="shared" si="263"/>
        <v>36.272528749999999</v>
      </c>
      <c r="K333" s="396">
        <v>74993.59</v>
      </c>
      <c r="L333" s="114">
        <f t="shared" si="264"/>
        <v>13.540509305555556</v>
      </c>
      <c r="M333" s="396">
        <v>2677.67</v>
      </c>
      <c r="N333" s="114">
        <f t="shared" si="265"/>
        <v>0.18594930555555556</v>
      </c>
      <c r="O333" s="396">
        <v>89319.01</v>
      </c>
      <c r="P333" s="114">
        <f t="shared" si="266"/>
        <v>16.127043472222223</v>
      </c>
      <c r="Q333" s="396">
        <v>5053279.58</v>
      </c>
      <c r="R333" s="398">
        <f t="shared" si="267"/>
        <v>1122.9510177777777</v>
      </c>
    </row>
    <row r="334" spans="2:18" x14ac:dyDescent="0.3">
      <c r="B334" s="393">
        <f t="shared" si="246"/>
        <v>45803</v>
      </c>
      <c r="C334" s="396">
        <v>86866.55</v>
      </c>
      <c r="D334" s="114">
        <f t="shared" si="247"/>
        <v>18.097197916666666</v>
      </c>
      <c r="E334" s="399">
        <v>15150720.23</v>
      </c>
      <c r="F334" s="114">
        <f t="shared" si="255"/>
        <v>3156.4000479166666</v>
      </c>
      <c r="G334" s="396">
        <v>119720.97</v>
      </c>
      <c r="H334" s="114">
        <f t="shared" si="262"/>
        <v>14.965121250000001</v>
      </c>
      <c r="I334" s="399">
        <v>285255.34000000003</v>
      </c>
      <c r="J334" s="114">
        <f t="shared" si="263"/>
        <v>35.656917500000006</v>
      </c>
      <c r="K334" s="396">
        <v>74993.59</v>
      </c>
      <c r="L334" s="114">
        <f t="shared" si="264"/>
        <v>13.540509305555556</v>
      </c>
      <c r="M334" s="396">
        <v>2677.67</v>
      </c>
      <c r="N334" s="114">
        <f t="shared" si="265"/>
        <v>0.18594930555555556</v>
      </c>
      <c r="O334" s="396">
        <v>89319.01</v>
      </c>
      <c r="P334" s="114">
        <f t="shared" si="266"/>
        <v>16.127043472222223</v>
      </c>
      <c r="Q334" s="396">
        <v>5053279.58</v>
      </c>
      <c r="R334" s="398">
        <f t="shared" si="267"/>
        <v>1122.9510177777777</v>
      </c>
    </row>
    <row r="335" spans="2:18" x14ac:dyDescent="0.3">
      <c r="B335" s="393">
        <f t="shared" si="246"/>
        <v>45804</v>
      </c>
      <c r="C335" s="396">
        <v>86866.55</v>
      </c>
      <c r="D335" s="114">
        <f t="shared" si="247"/>
        <v>18.097197916666666</v>
      </c>
      <c r="E335" s="399">
        <v>14041736.18</v>
      </c>
      <c r="F335" s="114">
        <f t="shared" si="255"/>
        <v>2925.3617041666662</v>
      </c>
      <c r="G335" s="396">
        <v>119720.97</v>
      </c>
      <c r="H335" s="114">
        <f t="shared" si="262"/>
        <v>14.965121250000001</v>
      </c>
      <c r="I335" s="399">
        <v>285255.34000000003</v>
      </c>
      <c r="J335" s="114">
        <f t="shared" si="263"/>
        <v>35.656917500000006</v>
      </c>
      <c r="K335" s="396">
        <v>74993.59</v>
      </c>
      <c r="L335" s="114">
        <f t="shared" si="264"/>
        <v>13.540509305555556</v>
      </c>
      <c r="M335" s="396">
        <v>2677.67</v>
      </c>
      <c r="N335" s="114">
        <f t="shared" si="265"/>
        <v>0.18594930555555556</v>
      </c>
      <c r="O335" s="396">
        <v>89319.01</v>
      </c>
      <c r="P335" s="114">
        <f t="shared" si="266"/>
        <v>16.127043472222223</v>
      </c>
      <c r="Q335" s="396">
        <v>5053279.58</v>
      </c>
      <c r="R335" s="398">
        <f t="shared" si="267"/>
        <v>1122.9510177777777</v>
      </c>
    </row>
    <row r="336" spans="2:18" x14ac:dyDescent="0.3">
      <c r="B336" s="393">
        <f t="shared" si="246"/>
        <v>45805</v>
      </c>
      <c r="C336" s="396">
        <v>86866.55</v>
      </c>
      <c r="D336" s="114">
        <f t="shared" si="247"/>
        <v>18.097197916666666</v>
      </c>
      <c r="E336" s="399">
        <v>13918140.550000001</v>
      </c>
      <c r="F336" s="114">
        <f t="shared" si="255"/>
        <v>2899.6126145833332</v>
      </c>
      <c r="G336" s="396">
        <v>119720.97</v>
      </c>
      <c r="H336" s="114">
        <f t="shared" si="262"/>
        <v>14.965121250000001</v>
      </c>
      <c r="I336" s="399">
        <v>285255.34000000003</v>
      </c>
      <c r="J336" s="114">
        <f t="shared" si="263"/>
        <v>35.656917500000006</v>
      </c>
      <c r="K336" s="396">
        <v>74993.59</v>
      </c>
      <c r="L336" s="114">
        <f t="shared" si="264"/>
        <v>13.540509305555556</v>
      </c>
      <c r="M336" s="396">
        <v>2677.67</v>
      </c>
      <c r="N336" s="114">
        <f t="shared" si="265"/>
        <v>0.18594930555555556</v>
      </c>
      <c r="O336" s="396">
        <v>89319.01</v>
      </c>
      <c r="P336" s="114">
        <f t="shared" si="266"/>
        <v>16.127043472222223</v>
      </c>
      <c r="Q336" s="396">
        <v>5053279.58</v>
      </c>
      <c r="R336" s="398">
        <f t="shared" si="267"/>
        <v>1122.9510177777777</v>
      </c>
    </row>
    <row r="337" spans="2:18" x14ac:dyDescent="0.3">
      <c r="B337" s="393">
        <f t="shared" si="246"/>
        <v>45806</v>
      </c>
      <c r="C337" s="396">
        <v>86866.55</v>
      </c>
      <c r="D337" s="114">
        <f t="shared" si="247"/>
        <v>18.097197916666666</v>
      </c>
      <c r="E337" s="399">
        <v>9043054.5</v>
      </c>
      <c r="F337" s="114">
        <f t="shared" si="255"/>
        <v>1883.9696875</v>
      </c>
      <c r="G337" s="396">
        <v>119720.97</v>
      </c>
      <c r="H337" s="114">
        <f t="shared" si="262"/>
        <v>14.965121250000001</v>
      </c>
      <c r="I337" s="399">
        <v>285255.34000000003</v>
      </c>
      <c r="J337" s="114">
        <f t="shared" si="263"/>
        <v>35.656917500000006</v>
      </c>
      <c r="K337" s="396">
        <v>74993.59</v>
      </c>
      <c r="L337" s="114">
        <f t="shared" si="264"/>
        <v>13.540509305555556</v>
      </c>
      <c r="M337" s="396">
        <v>2677.67</v>
      </c>
      <c r="N337" s="114">
        <f t="shared" si="265"/>
        <v>0.18594930555555556</v>
      </c>
      <c r="O337" s="396">
        <v>89319.01</v>
      </c>
      <c r="P337" s="114">
        <f t="shared" si="266"/>
        <v>16.127043472222223</v>
      </c>
      <c r="Q337" s="396">
        <v>5053279.58</v>
      </c>
      <c r="R337" s="398">
        <f t="shared" si="267"/>
        <v>1122.9510177777777</v>
      </c>
    </row>
    <row r="338" spans="2:18" x14ac:dyDescent="0.3">
      <c r="B338" s="393">
        <f t="shared" si="246"/>
        <v>45807</v>
      </c>
      <c r="C338" s="396">
        <v>86866.55</v>
      </c>
      <c r="D338" s="114">
        <f t="shared" si="247"/>
        <v>18.097197916666666</v>
      </c>
      <c r="E338" s="399">
        <v>9043054.5</v>
      </c>
      <c r="F338" s="114">
        <f t="shared" si="255"/>
        <v>1883.9696875</v>
      </c>
      <c r="G338" s="396">
        <v>119720.97</v>
      </c>
      <c r="H338" s="114">
        <f t="shared" si="262"/>
        <v>14.965121250000001</v>
      </c>
      <c r="I338" s="399">
        <v>285255.34000000003</v>
      </c>
      <c r="J338" s="114">
        <f t="shared" si="263"/>
        <v>35.656917500000006</v>
      </c>
      <c r="K338" s="396">
        <v>74993.59</v>
      </c>
      <c r="L338" s="114">
        <f t="shared" si="264"/>
        <v>13.540509305555556</v>
      </c>
      <c r="M338" s="396">
        <v>2677.67</v>
      </c>
      <c r="N338" s="114">
        <f t="shared" si="265"/>
        <v>0.18594930555555556</v>
      </c>
      <c r="O338" s="396">
        <v>89319.01</v>
      </c>
      <c r="P338" s="114">
        <f t="shared" si="266"/>
        <v>16.127043472222223</v>
      </c>
      <c r="Q338" s="396">
        <v>5053279.58</v>
      </c>
      <c r="R338" s="398">
        <f t="shared" si="267"/>
        <v>1122.9510177777777</v>
      </c>
    </row>
    <row r="339" spans="2:18" x14ac:dyDescent="0.3">
      <c r="B339" s="393">
        <f t="shared" si="246"/>
        <v>45808</v>
      </c>
      <c r="C339" s="396">
        <v>86866.55</v>
      </c>
      <c r="D339" s="114">
        <f t="shared" si="247"/>
        <v>18.097197916666666</v>
      </c>
      <c r="E339" s="399">
        <v>9043054.5</v>
      </c>
      <c r="F339" s="114">
        <f t="shared" si="255"/>
        <v>1883.9696875</v>
      </c>
      <c r="G339" s="396">
        <v>119720.97</v>
      </c>
      <c r="H339" s="114">
        <f t="shared" si="262"/>
        <v>14.965121250000001</v>
      </c>
      <c r="I339" s="399">
        <v>285255.34000000003</v>
      </c>
      <c r="J339" s="114">
        <f t="shared" si="263"/>
        <v>35.656917500000006</v>
      </c>
      <c r="K339" s="396">
        <v>74993.59</v>
      </c>
      <c r="L339" s="114">
        <f t="shared" si="264"/>
        <v>13.540509305555556</v>
      </c>
      <c r="M339" s="396">
        <v>2677.67</v>
      </c>
      <c r="N339" s="114">
        <f t="shared" si="265"/>
        <v>0.18594930555555556</v>
      </c>
      <c r="O339" s="396">
        <v>89319.01</v>
      </c>
      <c r="P339" s="114">
        <f t="shared" si="266"/>
        <v>16.127043472222223</v>
      </c>
      <c r="Q339" s="396">
        <v>5053279.58</v>
      </c>
      <c r="R339" s="398">
        <f t="shared" si="267"/>
        <v>1122.9510177777777</v>
      </c>
    </row>
    <row r="340" spans="2:18" x14ac:dyDescent="0.3">
      <c r="B340" s="393">
        <f t="shared" si="246"/>
        <v>45809</v>
      </c>
      <c r="C340" s="396">
        <v>86866.55</v>
      </c>
      <c r="D340" s="114">
        <f t="shared" si="247"/>
        <v>18.097197916666666</v>
      </c>
      <c r="E340" s="399">
        <v>6114371.6799999997</v>
      </c>
      <c r="F340" s="114">
        <f t="shared" ref="F340:F353" si="268">(E340*7.5%)/360</f>
        <v>1273.8274333333334</v>
      </c>
      <c r="G340" s="396">
        <v>119720.97</v>
      </c>
      <c r="H340" s="114">
        <f t="shared" ref="H340:H353" si="269">(G340*4.5%)/360</f>
        <v>14.965121250000001</v>
      </c>
      <c r="I340" s="399">
        <v>285255.34000000003</v>
      </c>
      <c r="J340" s="114">
        <f t="shared" ref="J340:J353" si="270">(I340*4.5%)/360</f>
        <v>35.656917500000006</v>
      </c>
      <c r="K340" s="396">
        <v>74993.59</v>
      </c>
      <c r="L340" s="114">
        <f t="shared" ref="L340:L353" si="271">(K340*6.5%)/360</f>
        <v>13.540509305555556</v>
      </c>
      <c r="M340" s="396">
        <v>2677.67</v>
      </c>
      <c r="N340" s="114">
        <f t="shared" ref="N340:N353" si="272">(M340*2.5%)/360</f>
        <v>0.18594930555555556</v>
      </c>
      <c r="O340" s="396">
        <v>89319.01</v>
      </c>
      <c r="P340" s="114">
        <f t="shared" ref="P340:P353" si="273">(O340*6.5%)/360</f>
        <v>16.127043472222223</v>
      </c>
      <c r="Q340" s="396">
        <v>7053279.5800000001</v>
      </c>
      <c r="R340" s="398">
        <f t="shared" ref="R340:R353" si="274">(Q340*8%)/360</f>
        <v>1567.3954622222225</v>
      </c>
    </row>
    <row r="341" spans="2:18" x14ac:dyDescent="0.3">
      <c r="B341" s="393">
        <f t="shared" si="246"/>
        <v>45810</v>
      </c>
      <c r="C341" s="396">
        <v>86866.55</v>
      </c>
      <c r="D341" s="114">
        <f t="shared" si="247"/>
        <v>18.097197916666666</v>
      </c>
      <c r="E341" s="399">
        <v>2401816.25</v>
      </c>
      <c r="F341" s="114">
        <f t="shared" si="268"/>
        <v>500.37838541666667</v>
      </c>
      <c r="G341" s="396">
        <v>119720.97</v>
      </c>
      <c r="H341" s="114">
        <f t="shared" si="269"/>
        <v>14.965121250000001</v>
      </c>
      <c r="I341" s="399">
        <v>285255.34000000003</v>
      </c>
      <c r="J341" s="114">
        <f t="shared" si="270"/>
        <v>35.656917500000006</v>
      </c>
      <c r="K341" s="396">
        <v>74993.59</v>
      </c>
      <c r="L341" s="114">
        <f t="shared" si="271"/>
        <v>13.540509305555556</v>
      </c>
      <c r="M341" s="396">
        <v>2677.67</v>
      </c>
      <c r="N341" s="114">
        <f t="shared" si="272"/>
        <v>0.18594930555555556</v>
      </c>
      <c r="O341" s="396">
        <v>89319.01</v>
      </c>
      <c r="P341" s="114">
        <f t="shared" si="273"/>
        <v>16.127043472222223</v>
      </c>
      <c r="Q341" s="396">
        <v>5053279.58</v>
      </c>
      <c r="R341" s="398">
        <f t="shared" si="274"/>
        <v>1122.9510177777777</v>
      </c>
    </row>
    <row r="342" spans="2:18" x14ac:dyDescent="0.3">
      <c r="B342" s="393">
        <f t="shared" si="246"/>
        <v>45811</v>
      </c>
      <c r="C342" s="396">
        <v>476651.24</v>
      </c>
      <c r="D342" s="114">
        <f t="shared" si="247"/>
        <v>99.302341666666663</v>
      </c>
      <c r="E342" s="399">
        <v>2401816.25</v>
      </c>
      <c r="F342" s="114">
        <f t="shared" si="268"/>
        <v>500.37838541666667</v>
      </c>
      <c r="G342" s="396">
        <v>119720.97</v>
      </c>
      <c r="H342" s="114">
        <f t="shared" si="269"/>
        <v>14.965121250000001</v>
      </c>
      <c r="I342" s="399">
        <v>285255.34000000003</v>
      </c>
      <c r="J342" s="114">
        <f t="shared" si="270"/>
        <v>35.656917500000006</v>
      </c>
      <c r="K342" s="396">
        <v>74993.59</v>
      </c>
      <c r="L342" s="114">
        <f t="shared" si="271"/>
        <v>13.540509305555556</v>
      </c>
      <c r="M342" s="396">
        <v>2677.67</v>
      </c>
      <c r="N342" s="114">
        <f t="shared" si="272"/>
        <v>0.18594930555555556</v>
      </c>
      <c r="O342" s="396">
        <v>89319.01</v>
      </c>
      <c r="P342" s="114">
        <f t="shared" si="273"/>
        <v>16.127043472222223</v>
      </c>
      <c r="Q342" s="396">
        <v>5053279.58</v>
      </c>
      <c r="R342" s="398">
        <f t="shared" si="274"/>
        <v>1122.9510177777777</v>
      </c>
    </row>
    <row r="343" spans="2:18" x14ac:dyDescent="0.3">
      <c r="B343" s="393">
        <f t="shared" si="246"/>
        <v>45812</v>
      </c>
      <c r="C343" s="396">
        <v>576651.24</v>
      </c>
      <c r="D343" s="114">
        <f t="shared" si="247"/>
        <v>120.13567500000001</v>
      </c>
      <c r="E343" s="399">
        <v>396625.25</v>
      </c>
      <c r="F343" s="114">
        <f t="shared" si="268"/>
        <v>82.630260416666658</v>
      </c>
      <c r="G343" s="396">
        <v>619720.97</v>
      </c>
      <c r="H343" s="114">
        <f t="shared" si="269"/>
        <v>77.465121249999996</v>
      </c>
      <c r="I343" s="399">
        <v>285255.34000000003</v>
      </c>
      <c r="J343" s="114">
        <f t="shared" si="270"/>
        <v>35.656917500000006</v>
      </c>
      <c r="K343" s="396">
        <v>74993.59</v>
      </c>
      <c r="L343" s="114">
        <f t="shared" si="271"/>
        <v>13.540509305555556</v>
      </c>
      <c r="M343" s="396">
        <v>2677.67</v>
      </c>
      <c r="N343" s="114">
        <f t="shared" si="272"/>
        <v>0.18594930555555556</v>
      </c>
      <c r="O343" s="396">
        <v>89319.01</v>
      </c>
      <c r="P343" s="114">
        <f t="shared" si="273"/>
        <v>16.127043472222223</v>
      </c>
      <c r="Q343" s="396">
        <v>5053279.58</v>
      </c>
      <c r="R343" s="398">
        <f t="shared" si="274"/>
        <v>1122.9510177777777</v>
      </c>
    </row>
    <row r="344" spans="2:18" x14ac:dyDescent="0.3">
      <c r="B344" s="393">
        <f t="shared" si="246"/>
        <v>45813</v>
      </c>
      <c r="C344" s="396">
        <v>576651.24</v>
      </c>
      <c r="D344" s="114">
        <f t="shared" si="247"/>
        <v>120.13567500000001</v>
      </c>
      <c r="E344" s="399">
        <v>396625.25</v>
      </c>
      <c r="F344" s="114">
        <f t="shared" si="268"/>
        <v>82.630260416666658</v>
      </c>
      <c r="G344" s="396">
        <v>619720.97</v>
      </c>
      <c r="H344" s="114">
        <f t="shared" si="269"/>
        <v>77.465121249999996</v>
      </c>
      <c r="I344" s="399">
        <v>285255.34000000003</v>
      </c>
      <c r="J344" s="114">
        <f t="shared" si="270"/>
        <v>35.656917500000006</v>
      </c>
      <c r="K344" s="396">
        <v>74993.59</v>
      </c>
      <c r="L344" s="114">
        <f t="shared" si="271"/>
        <v>13.540509305555556</v>
      </c>
      <c r="M344" s="396">
        <v>2677.67</v>
      </c>
      <c r="N344" s="114">
        <f t="shared" si="272"/>
        <v>0.18594930555555556</v>
      </c>
      <c r="O344" s="396">
        <v>89319.01</v>
      </c>
      <c r="P344" s="114">
        <f t="shared" si="273"/>
        <v>16.127043472222223</v>
      </c>
      <c r="Q344" s="396">
        <v>5053279.58</v>
      </c>
      <c r="R344" s="398">
        <f t="shared" si="274"/>
        <v>1122.9510177777777</v>
      </c>
    </row>
    <row r="345" spans="2:18" x14ac:dyDescent="0.3">
      <c r="B345" s="393">
        <f t="shared" si="246"/>
        <v>45814</v>
      </c>
      <c r="C345" s="396">
        <v>576651.24</v>
      </c>
      <c r="D345" s="114">
        <f t="shared" si="247"/>
        <v>120.13567500000001</v>
      </c>
      <c r="E345" s="399">
        <v>396625.25</v>
      </c>
      <c r="F345" s="114">
        <f t="shared" si="268"/>
        <v>82.630260416666658</v>
      </c>
      <c r="G345" s="396">
        <v>619720.97</v>
      </c>
      <c r="H345" s="114">
        <f t="shared" si="269"/>
        <v>77.465121249999996</v>
      </c>
      <c r="I345" s="399">
        <v>285255.34000000003</v>
      </c>
      <c r="J345" s="114">
        <f t="shared" si="270"/>
        <v>35.656917500000006</v>
      </c>
      <c r="K345" s="396">
        <v>74993.59</v>
      </c>
      <c r="L345" s="114">
        <f t="shared" si="271"/>
        <v>13.540509305555556</v>
      </c>
      <c r="M345" s="396">
        <v>2677.67</v>
      </c>
      <c r="N345" s="114">
        <f t="shared" si="272"/>
        <v>0.18594930555555556</v>
      </c>
      <c r="O345" s="396">
        <v>89319.01</v>
      </c>
      <c r="P345" s="114">
        <f t="shared" si="273"/>
        <v>16.127043472222223</v>
      </c>
      <c r="Q345" s="396">
        <v>5053279.58</v>
      </c>
      <c r="R345" s="398">
        <f t="shared" si="274"/>
        <v>1122.9510177777777</v>
      </c>
    </row>
    <row r="346" spans="2:18" x14ac:dyDescent="0.3">
      <c r="B346" s="393">
        <f t="shared" si="246"/>
        <v>45815</v>
      </c>
      <c r="C346" s="396">
        <v>576651.24</v>
      </c>
      <c r="D346" s="114">
        <f t="shared" si="247"/>
        <v>120.13567500000001</v>
      </c>
      <c r="E346" s="399">
        <v>396625.25</v>
      </c>
      <c r="F346" s="114">
        <f t="shared" si="268"/>
        <v>82.630260416666658</v>
      </c>
      <c r="G346" s="396">
        <v>619720.97</v>
      </c>
      <c r="H346" s="114">
        <f t="shared" si="269"/>
        <v>77.465121249999996</v>
      </c>
      <c r="I346" s="399">
        <v>285255.34000000003</v>
      </c>
      <c r="J346" s="114">
        <f t="shared" si="270"/>
        <v>35.656917500000006</v>
      </c>
      <c r="K346" s="396">
        <v>74993.59</v>
      </c>
      <c r="L346" s="114">
        <f t="shared" si="271"/>
        <v>13.540509305555556</v>
      </c>
      <c r="M346" s="396">
        <v>2677.67</v>
      </c>
      <c r="N346" s="114">
        <f t="shared" si="272"/>
        <v>0.18594930555555556</v>
      </c>
      <c r="O346" s="396">
        <v>89319.01</v>
      </c>
      <c r="P346" s="114">
        <f t="shared" si="273"/>
        <v>16.127043472222223</v>
      </c>
      <c r="Q346" s="396">
        <v>5053279.58</v>
      </c>
      <c r="R346" s="398">
        <f t="shared" si="274"/>
        <v>1122.9510177777777</v>
      </c>
    </row>
    <row r="347" spans="2:18" x14ac:dyDescent="0.3">
      <c r="B347" s="393">
        <f t="shared" si="246"/>
        <v>45816</v>
      </c>
      <c r="C347" s="396">
        <v>576651.24</v>
      </c>
      <c r="D347" s="114">
        <f t="shared" si="247"/>
        <v>120.13567500000001</v>
      </c>
      <c r="E347" s="399">
        <v>396625.25</v>
      </c>
      <c r="F347" s="114">
        <f t="shared" si="268"/>
        <v>82.630260416666658</v>
      </c>
      <c r="G347" s="396">
        <v>619720.97</v>
      </c>
      <c r="H347" s="114">
        <f t="shared" si="269"/>
        <v>77.465121249999996</v>
      </c>
      <c r="I347" s="399">
        <v>285255.34000000003</v>
      </c>
      <c r="J347" s="114">
        <f t="shared" si="270"/>
        <v>35.656917500000006</v>
      </c>
      <c r="K347" s="396">
        <v>74993.59</v>
      </c>
      <c r="L347" s="114">
        <f t="shared" si="271"/>
        <v>13.540509305555556</v>
      </c>
      <c r="M347" s="396">
        <v>2677.67</v>
      </c>
      <c r="N347" s="114">
        <f t="shared" si="272"/>
        <v>0.18594930555555556</v>
      </c>
      <c r="O347" s="396">
        <v>89319.01</v>
      </c>
      <c r="P347" s="114">
        <f t="shared" si="273"/>
        <v>16.127043472222223</v>
      </c>
      <c r="Q347" s="396">
        <v>5053279.58</v>
      </c>
      <c r="R347" s="398">
        <f t="shared" si="274"/>
        <v>1122.9510177777777</v>
      </c>
    </row>
    <row r="348" spans="2:18" x14ac:dyDescent="0.3">
      <c r="B348" s="393">
        <f t="shared" si="246"/>
        <v>45817</v>
      </c>
      <c r="C348" s="396">
        <v>576651.24</v>
      </c>
      <c r="D348" s="114">
        <f t="shared" si="247"/>
        <v>120.13567500000001</v>
      </c>
      <c r="E348" s="399">
        <v>396625.25</v>
      </c>
      <c r="F348" s="114">
        <f t="shared" si="268"/>
        <v>82.630260416666658</v>
      </c>
      <c r="G348" s="396">
        <v>619720.97</v>
      </c>
      <c r="H348" s="114">
        <f t="shared" si="269"/>
        <v>77.465121249999996</v>
      </c>
      <c r="I348" s="399">
        <v>285255.34000000003</v>
      </c>
      <c r="J348" s="114">
        <f t="shared" si="270"/>
        <v>35.656917500000006</v>
      </c>
      <c r="K348" s="396">
        <v>74993.59</v>
      </c>
      <c r="L348" s="114">
        <f t="shared" si="271"/>
        <v>13.540509305555556</v>
      </c>
      <c r="M348" s="396">
        <v>2677.67</v>
      </c>
      <c r="N348" s="114">
        <f t="shared" si="272"/>
        <v>0.18594930555555556</v>
      </c>
      <c r="O348" s="396">
        <v>89319.01</v>
      </c>
      <c r="P348" s="114">
        <f t="shared" si="273"/>
        <v>16.127043472222223</v>
      </c>
      <c r="Q348" s="396">
        <v>5053279.58</v>
      </c>
      <c r="R348" s="398">
        <f t="shared" si="274"/>
        <v>1122.9510177777777</v>
      </c>
    </row>
    <row r="349" spans="2:18" x14ac:dyDescent="0.3">
      <c r="B349" s="393">
        <f t="shared" si="246"/>
        <v>45818</v>
      </c>
      <c r="C349" s="396">
        <v>576651.24</v>
      </c>
      <c r="D349" s="114">
        <f t="shared" si="247"/>
        <v>120.13567500000001</v>
      </c>
      <c r="E349" s="399">
        <v>396625.25</v>
      </c>
      <c r="F349" s="114">
        <f t="shared" si="268"/>
        <v>82.630260416666658</v>
      </c>
      <c r="G349" s="396">
        <v>619720.97</v>
      </c>
      <c r="H349" s="114">
        <f t="shared" si="269"/>
        <v>77.465121249999996</v>
      </c>
      <c r="I349" s="399">
        <v>285255.34000000003</v>
      </c>
      <c r="J349" s="114">
        <f t="shared" si="270"/>
        <v>35.656917500000006</v>
      </c>
      <c r="K349" s="396">
        <v>74993.59</v>
      </c>
      <c r="L349" s="114">
        <f t="shared" si="271"/>
        <v>13.540509305555556</v>
      </c>
      <c r="M349" s="396">
        <v>2677.67</v>
      </c>
      <c r="N349" s="114">
        <f t="shared" si="272"/>
        <v>0.18594930555555556</v>
      </c>
      <c r="O349" s="396">
        <v>89319.01</v>
      </c>
      <c r="P349" s="114">
        <f t="shared" si="273"/>
        <v>16.127043472222223</v>
      </c>
      <c r="Q349" s="396">
        <v>5053279.58</v>
      </c>
      <c r="R349" s="398">
        <f t="shared" si="274"/>
        <v>1122.9510177777777</v>
      </c>
    </row>
    <row r="350" spans="2:18" x14ac:dyDescent="0.3">
      <c r="B350" s="393">
        <f t="shared" si="246"/>
        <v>45819</v>
      </c>
      <c r="C350" s="396">
        <v>576651.24</v>
      </c>
      <c r="D350" s="114">
        <f t="shared" si="247"/>
        <v>120.13567500000001</v>
      </c>
      <c r="E350" s="399">
        <v>396625.25</v>
      </c>
      <c r="F350" s="114">
        <f t="shared" si="268"/>
        <v>82.630260416666658</v>
      </c>
      <c r="G350" s="396">
        <v>619720.97</v>
      </c>
      <c r="H350" s="114">
        <f t="shared" si="269"/>
        <v>77.465121249999996</v>
      </c>
      <c r="I350" s="399">
        <v>285255.34000000003</v>
      </c>
      <c r="J350" s="114">
        <f t="shared" si="270"/>
        <v>35.656917500000006</v>
      </c>
      <c r="K350" s="396">
        <v>74993.59</v>
      </c>
      <c r="L350" s="114">
        <f t="shared" si="271"/>
        <v>13.540509305555556</v>
      </c>
      <c r="M350" s="396">
        <v>2677.67</v>
      </c>
      <c r="N350" s="114">
        <f t="shared" si="272"/>
        <v>0.18594930555555556</v>
      </c>
      <c r="O350" s="396">
        <v>89319.01</v>
      </c>
      <c r="P350" s="114">
        <f t="shared" si="273"/>
        <v>16.127043472222223</v>
      </c>
      <c r="Q350" s="396">
        <v>5053279.58</v>
      </c>
      <c r="R350" s="398">
        <f t="shared" si="274"/>
        <v>1122.9510177777777</v>
      </c>
    </row>
    <row r="351" spans="2:18" x14ac:dyDescent="0.3">
      <c r="B351" s="393">
        <f t="shared" si="246"/>
        <v>45820</v>
      </c>
      <c r="C351" s="396">
        <v>576651.24</v>
      </c>
      <c r="D351" s="114">
        <f t="shared" si="247"/>
        <v>120.13567500000001</v>
      </c>
      <c r="E351" s="399">
        <v>396625.25</v>
      </c>
      <c r="F351" s="114">
        <f t="shared" si="268"/>
        <v>82.630260416666658</v>
      </c>
      <c r="G351" s="396">
        <v>619720.97</v>
      </c>
      <c r="H351" s="114">
        <f t="shared" si="269"/>
        <v>77.465121249999996</v>
      </c>
      <c r="I351" s="399">
        <v>285255.34000000003</v>
      </c>
      <c r="J351" s="114">
        <f t="shared" si="270"/>
        <v>35.656917500000006</v>
      </c>
      <c r="K351" s="396">
        <v>74993.59</v>
      </c>
      <c r="L351" s="114">
        <f t="shared" si="271"/>
        <v>13.540509305555556</v>
      </c>
      <c r="M351" s="396">
        <v>2677.67</v>
      </c>
      <c r="N351" s="114">
        <f t="shared" si="272"/>
        <v>0.18594930555555556</v>
      </c>
      <c r="O351" s="396">
        <v>89319.01</v>
      </c>
      <c r="P351" s="114">
        <f t="shared" si="273"/>
        <v>16.127043472222223</v>
      </c>
      <c r="Q351" s="396">
        <v>5053279.58</v>
      </c>
      <c r="R351" s="398">
        <f t="shared" si="274"/>
        <v>1122.9510177777777</v>
      </c>
    </row>
    <row r="352" spans="2:18" x14ac:dyDescent="0.3">
      <c r="B352" s="393">
        <f t="shared" si="246"/>
        <v>45821</v>
      </c>
      <c r="C352" s="396">
        <v>576651.24</v>
      </c>
      <c r="D352" s="114">
        <f t="shared" si="247"/>
        <v>120.13567500000001</v>
      </c>
      <c r="E352" s="399">
        <v>396625.25</v>
      </c>
      <c r="F352" s="114">
        <f t="shared" si="268"/>
        <v>82.630260416666658</v>
      </c>
      <c r="G352" s="396">
        <v>619720.97</v>
      </c>
      <c r="H352" s="114">
        <f t="shared" si="269"/>
        <v>77.465121249999996</v>
      </c>
      <c r="I352" s="399">
        <v>285255.34000000003</v>
      </c>
      <c r="J352" s="114">
        <f t="shared" si="270"/>
        <v>35.656917500000006</v>
      </c>
      <c r="K352" s="396">
        <v>74993.59</v>
      </c>
      <c r="L352" s="114">
        <f t="shared" si="271"/>
        <v>13.540509305555556</v>
      </c>
      <c r="M352" s="396">
        <v>2677.67</v>
      </c>
      <c r="N352" s="114">
        <f t="shared" si="272"/>
        <v>0.18594930555555556</v>
      </c>
      <c r="O352" s="396">
        <v>89319.01</v>
      </c>
      <c r="P352" s="114">
        <f t="shared" si="273"/>
        <v>16.127043472222223</v>
      </c>
      <c r="Q352" s="396">
        <v>5053279.58</v>
      </c>
      <c r="R352" s="398">
        <f t="shared" si="274"/>
        <v>1122.9510177777777</v>
      </c>
    </row>
    <row r="353" spans="2:18" x14ac:dyDescent="0.3">
      <c r="B353" s="393">
        <f t="shared" si="246"/>
        <v>45822</v>
      </c>
      <c r="C353" s="396">
        <v>576651.24</v>
      </c>
      <c r="D353" s="114">
        <f t="shared" si="247"/>
        <v>120.13567500000001</v>
      </c>
      <c r="E353" s="399">
        <v>396625.25</v>
      </c>
      <c r="F353" s="114">
        <f t="shared" si="268"/>
        <v>82.630260416666658</v>
      </c>
      <c r="G353" s="396">
        <v>619720.97</v>
      </c>
      <c r="H353" s="114">
        <f t="shared" si="269"/>
        <v>77.465121249999996</v>
      </c>
      <c r="I353" s="399">
        <v>285255.34000000003</v>
      </c>
      <c r="J353" s="114">
        <f t="shared" si="270"/>
        <v>35.656917500000006</v>
      </c>
      <c r="K353" s="396">
        <v>74993.59</v>
      </c>
      <c r="L353" s="114">
        <f t="shared" si="271"/>
        <v>13.540509305555556</v>
      </c>
      <c r="M353" s="396">
        <v>2677.67</v>
      </c>
      <c r="N353" s="114">
        <f t="shared" si="272"/>
        <v>0.18594930555555556</v>
      </c>
      <c r="O353" s="396">
        <v>89319.01</v>
      </c>
      <c r="P353" s="114">
        <f t="shared" si="273"/>
        <v>16.127043472222223</v>
      </c>
      <c r="Q353" s="396">
        <v>5053279.58</v>
      </c>
      <c r="R353" s="398">
        <f t="shared" si="274"/>
        <v>1122.9510177777777</v>
      </c>
    </row>
    <row r="354" spans="2:18" x14ac:dyDescent="0.3">
      <c r="B354" s="393">
        <f t="shared" si="246"/>
        <v>45823</v>
      </c>
      <c r="C354" s="396">
        <v>676651.24</v>
      </c>
      <c r="D354" s="114">
        <f t="shared" si="247"/>
        <v>140.96900833333333</v>
      </c>
      <c r="E354" s="399">
        <v>2584777.54</v>
      </c>
      <c r="F354" s="114">
        <f t="shared" ref="F354:F360" si="275">(E354*7.5%)/360</f>
        <v>538.49532083333338</v>
      </c>
      <c r="G354" s="396">
        <v>619720.97</v>
      </c>
      <c r="H354" s="114">
        <f t="shared" ref="H354:H360" si="276">(G354*4.5%)/360</f>
        <v>77.465121249999996</v>
      </c>
      <c r="I354" s="399">
        <v>285255.34000000003</v>
      </c>
      <c r="J354" s="114">
        <f t="shared" ref="J354:J360" si="277">(I354*4.5%)/360</f>
        <v>35.656917500000006</v>
      </c>
      <c r="K354" s="396">
        <v>74993.59</v>
      </c>
      <c r="L354" s="114">
        <f t="shared" ref="L354:L360" si="278">(K354*6.5%)/360</f>
        <v>13.540509305555556</v>
      </c>
      <c r="M354" s="396">
        <v>2677.67</v>
      </c>
      <c r="N354" s="114">
        <f t="shared" ref="N354:N360" si="279">(M354*2.5%)/360</f>
        <v>0.18594930555555556</v>
      </c>
      <c r="O354" s="396">
        <v>89319.01</v>
      </c>
      <c r="P354" s="114">
        <f t="shared" ref="P354:P360" si="280">(O354*6.5%)/360</f>
        <v>16.127043472222223</v>
      </c>
      <c r="Q354" s="396">
        <v>5053279.58</v>
      </c>
      <c r="R354" s="398">
        <f t="shared" ref="R354:R360" si="281">(Q354*8%)/360</f>
        <v>1122.9510177777777</v>
      </c>
    </row>
    <row r="355" spans="2:18" x14ac:dyDescent="0.3">
      <c r="B355" s="393">
        <f t="shared" si="246"/>
        <v>45824</v>
      </c>
      <c r="C355" s="396">
        <v>676651.24</v>
      </c>
      <c r="D355" s="114">
        <f t="shared" si="247"/>
        <v>140.96900833333333</v>
      </c>
      <c r="E355" s="399">
        <v>3979885.61</v>
      </c>
      <c r="F355" s="114">
        <f t="shared" si="275"/>
        <v>829.14283541666668</v>
      </c>
      <c r="G355" s="396">
        <v>619720.97</v>
      </c>
      <c r="H355" s="114">
        <f t="shared" si="276"/>
        <v>77.465121249999996</v>
      </c>
      <c r="I355" s="399">
        <v>285255.34000000003</v>
      </c>
      <c r="J355" s="114">
        <f t="shared" si="277"/>
        <v>35.656917500000006</v>
      </c>
      <c r="K355" s="396">
        <v>74993.59</v>
      </c>
      <c r="L355" s="114">
        <f t="shared" si="278"/>
        <v>13.540509305555556</v>
      </c>
      <c r="M355" s="396">
        <v>2677.67</v>
      </c>
      <c r="N355" s="114">
        <f t="shared" si="279"/>
        <v>0.18594930555555556</v>
      </c>
      <c r="O355" s="396">
        <v>89319.01</v>
      </c>
      <c r="P355" s="114">
        <f t="shared" si="280"/>
        <v>16.127043472222223</v>
      </c>
      <c r="Q355" s="396">
        <v>5053279.58</v>
      </c>
      <c r="R355" s="398">
        <f t="shared" si="281"/>
        <v>1122.9510177777777</v>
      </c>
    </row>
    <row r="356" spans="2:18" x14ac:dyDescent="0.3">
      <c r="B356" s="393">
        <f t="shared" si="246"/>
        <v>45825</v>
      </c>
      <c r="C356" s="396">
        <v>676651.24</v>
      </c>
      <c r="D356" s="114">
        <f t="shared" si="247"/>
        <v>140.96900833333333</v>
      </c>
      <c r="E356" s="399">
        <v>8929996.7200000007</v>
      </c>
      <c r="F356" s="114">
        <f t="shared" si="275"/>
        <v>1860.4159833333335</v>
      </c>
      <c r="G356" s="396">
        <v>619720.97</v>
      </c>
      <c r="H356" s="114">
        <f t="shared" si="276"/>
        <v>77.465121249999996</v>
      </c>
      <c r="I356" s="399">
        <v>285255.34000000003</v>
      </c>
      <c r="J356" s="114">
        <f t="shared" si="277"/>
        <v>35.656917500000006</v>
      </c>
      <c r="K356" s="396">
        <v>74993.59</v>
      </c>
      <c r="L356" s="114">
        <f t="shared" si="278"/>
        <v>13.540509305555556</v>
      </c>
      <c r="M356" s="396">
        <v>2677.67</v>
      </c>
      <c r="N356" s="114">
        <f t="shared" si="279"/>
        <v>0.18594930555555556</v>
      </c>
      <c r="O356" s="396">
        <v>89319.01</v>
      </c>
      <c r="P356" s="114">
        <f t="shared" si="280"/>
        <v>16.127043472222223</v>
      </c>
      <c r="Q356" s="396">
        <v>53279.58</v>
      </c>
      <c r="R356" s="398">
        <f t="shared" si="281"/>
        <v>11.839906666666666</v>
      </c>
    </row>
    <row r="357" spans="2:18" x14ac:dyDescent="0.3">
      <c r="B357" s="393">
        <f t="shared" si="246"/>
        <v>45826</v>
      </c>
      <c r="C357" s="396">
        <v>76651.240000000005</v>
      </c>
      <c r="D357" s="114">
        <f t="shared" si="247"/>
        <v>15.969008333333333</v>
      </c>
      <c r="E357" s="399">
        <v>6298972.5199999996</v>
      </c>
      <c r="F357" s="114">
        <f t="shared" si="275"/>
        <v>1312.2859416666665</v>
      </c>
      <c r="G357" s="396">
        <v>709720.97</v>
      </c>
      <c r="H357" s="114">
        <f t="shared" si="276"/>
        <v>88.715121249999996</v>
      </c>
      <c r="I357" s="399">
        <v>285255.34000000003</v>
      </c>
      <c r="J357" s="114">
        <f t="shared" si="277"/>
        <v>35.656917500000006</v>
      </c>
      <c r="K357" s="396">
        <v>74993.59</v>
      </c>
      <c r="L357" s="114">
        <f t="shared" si="278"/>
        <v>13.540509305555556</v>
      </c>
      <c r="M357" s="396">
        <v>2677.67</v>
      </c>
      <c r="N357" s="114">
        <f t="shared" si="279"/>
        <v>0.18594930555555556</v>
      </c>
      <c r="O357" s="396">
        <v>89319.01</v>
      </c>
      <c r="P357" s="114">
        <f t="shared" si="280"/>
        <v>16.127043472222223</v>
      </c>
      <c r="Q357" s="396">
        <v>53279.58</v>
      </c>
      <c r="R357" s="398">
        <f t="shared" si="281"/>
        <v>11.839906666666666</v>
      </c>
    </row>
    <row r="358" spans="2:18" x14ac:dyDescent="0.3">
      <c r="B358" s="393">
        <f t="shared" si="246"/>
        <v>45827</v>
      </c>
      <c r="C358" s="396">
        <v>76651.240000000005</v>
      </c>
      <c r="D358" s="114">
        <f t="shared" si="247"/>
        <v>15.969008333333333</v>
      </c>
      <c r="E358" s="399">
        <v>5667494.25</v>
      </c>
      <c r="F358" s="114">
        <f t="shared" si="275"/>
        <v>1180.7279687499999</v>
      </c>
      <c r="G358" s="396">
        <v>709720.97</v>
      </c>
      <c r="H358" s="114">
        <f t="shared" si="276"/>
        <v>88.715121249999996</v>
      </c>
      <c r="I358" s="399">
        <v>285255.34000000003</v>
      </c>
      <c r="J358" s="114">
        <f t="shared" si="277"/>
        <v>35.656917500000006</v>
      </c>
      <c r="K358" s="396">
        <v>74993.59</v>
      </c>
      <c r="L358" s="114">
        <f t="shared" si="278"/>
        <v>13.540509305555556</v>
      </c>
      <c r="M358" s="396">
        <v>2677.67</v>
      </c>
      <c r="N358" s="114">
        <f t="shared" si="279"/>
        <v>0.18594930555555556</v>
      </c>
      <c r="O358" s="396">
        <v>89319.01</v>
      </c>
      <c r="P358" s="114">
        <f t="shared" si="280"/>
        <v>16.127043472222223</v>
      </c>
      <c r="Q358" s="396">
        <v>53279.58</v>
      </c>
      <c r="R358" s="398">
        <f t="shared" si="281"/>
        <v>11.839906666666666</v>
      </c>
    </row>
    <row r="359" spans="2:18" x14ac:dyDescent="0.3">
      <c r="B359" s="393">
        <f t="shared" si="246"/>
        <v>45828</v>
      </c>
      <c r="C359" s="396">
        <v>76651.240000000005</v>
      </c>
      <c r="D359" s="114">
        <f t="shared" si="247"/>
        <v>15.969008333333333</v>
      </c>
      <c r="E359" s="399">
        <v>5667494.25</v>
      </c>
      <c r="F359" s="114">
        <f t="shared" si="275"/>
        <v>1180.7279687499999</v>
      </c>
      <c r="G359" s="396">
        <v>709720.97</v>
      </c>
      <c r="H359" s="114">
        <f t="shared" si="276"/>
        <v>88.715121249999996</v>
      </c>
      <c r="I359" s="399">
        <v>285255.34000000003</v>
      </c>
      <c r="J359" s="114">
        <f t="shared" si="277"/>
        <v>35.656917500000006</v>
      </c>
      <c r="K359" s="396">
        <v>74993.59</v>
      </c>
      <c r="L359" s="114">
        <f t="shared" si="278"/>
        <v>13.540509305555556</v>
      </c>
      <c r="M359" s="396">
        <v>2677.67</v>
      </c>
      <c r="N359" s="114">
        <f t="shared" si="279"/>
        <v>0.18594930555555556</v>
      </c>
      <c r="O359" s="396">
        <v>89319.01</v>
      </c>
      <c r="P359" s="114">
        <f t="shared" si="280"/>
        <v>16.127043472222223</v>
      </c>
      <c r="Q359" s="396">
        <v>53279.58</v>
      </c>
      <c r="R359" s="398">
        <f t="shared" si="281"/>
        <v>11.839906666666666</v>
      </c>
    </row>
    <row r="360" spans="2:18" x14ac:dyDescent="0.3">
      <c r="B360" s="393">
        <f t="shared" si="246"/>
        <v>45829</v>
      </c>
      <c r="C360" s="396">
        <v>76651.240000000005</v>
      </c>
      <c r="D360" s="114">
        <f t="shared" si="247"/>
        <v>15.969008333333333</v>
      </c>
      <c r="E360" s="399">
        <v>5667494.25</v>
      </c>
      <c r="F360" s="114">
        <f t="shared" si="275"/>
        <v>1180.7279687499999</v>
      </c>
      <c r="G360" s="396">
        <v>709720.97</v>
      </c>
      <c r="H360" s="114">
        <f t="shared" si="276"/>
        <v>88.715121249999996</v>
      </c>
      <c r="I360" s="399">
        <v>285255.34000000003</v>
      </c>
      <c r="J360" s="114">
        <f t="shared" si="277"/>
        <v>35.656917500000006</v>
      </c>
      <c r="K360" s="396">
        <v>74993.59</v>
      </c>
      <c r="L360" s="114">
        <f t="shared" si="278"/>
        <v>13.540509305555556</v>
      </c>
      <c r="M360" s="396">
        <v>2677.67</v>
      </c>
      <c r="N360" s="114">
        <f t="shared" si="279"/>
        <v>0.18594930555555556</v>
      </c>
      <c r="O360" s="396">
        <v>89319.01</v>
      </c>
      <c r="P360" s="114">
        <f t="shared" si="280"/>
        <v>16.127043472222223</v>
      </c>
      <c r="Q360" s="396">
        <v>53279.58</v>
      </c>
      <c r="R360" s="398">
        <f t="shared" si="281"/>
        <v>11.839906666666666</v>
      </c>
    </row>
    <row r="361" spans="2:18" x14ac:dyDescent="0.3">
      <c r="B361" s="393">
        <f t="shared" si="246"/>
        <v>45830</v>
      </c>
      <c r="C361" s="396">
        <v>76652.240000000005</v>
      </c>
      <c r="D361" s="114">
        <f t="shared" ref="D361:D368" si="282">(C361*7.5%)/360</f>
        <v>15.969216666666668</v>
      </c>
      <c r="E361" s="399">
        <v>5667495.25</v>
      </c>
      <c r="F361" s="114">
        <f t="shared" ref="F361:F368" si="283">(E361*7.5%)/360</f>
        <v>1180.7281770833333</v>
      </c>
      <c r="G361" s="396">
        <v>709721.97</v>
      </c>
      <c r="H361" s="114">
        <f t="shared" ref="H361:H368" si="284">(G361*4.5%)/360</f>
        <v>88.715246249999993</v>
      </c>
      <c r="I361" s="399">
        <v>285256.34000000003</v>
      </c>
      <c r="J361" s="114">
        <f t="shared" ref="J361:J368" si="285">(I361*4.5%)/360</f>
        <v>35.657042500000003</v>
      </c>
      <c r="K361" s="396">
        <v>74994.59</v>
      </c>
      <c r="L361" s="114">
        <f t="shared" ref="L361:L368" si="286">(K361*6.5%)/360</f>
        <v>13.540689861111112</v>
      </c>
      <c r="M361" s="396">
        <v>2678.67</v>
      </c>
      <c r="N361" s="114">
        <f t="shared" ref="N361:N368" si="287">(M361*2.5%)/360</f>
        <v>0.18601875000000001</v>
      </c>
      <c r="O361" s="396">
        <v>89320.01</v>
      </c>
      <c r="P361" s="114">
        <f t="shared" ref="P361:P368" si="288">(O361*6.5%)/360</f>
        <v>16.127224027777778</v>
      </c>
      <c r="Q361" s="396">
        <v>53280.58</v>
      </c>
      <c r="R361" s="398">
        <f t="shared" ref="R361:R368" si="289">(Q361*8%)/360</f>
        <v>11.840128888888888</v>
      </c>
    </row>
    <row r="362" spans="2:18" x14ac:dyDescent="0.3">
      <c r="B362" s="393">
        <f t="shared" si="246"/>
        <v>45831</v>
      </c>
      <c r="C362" s="396">
        <v>76653.240000000005</v>
      </c>
      <c r="D362" s="114">
        <f t="shared" si="282"/>
        <v>15.969425000000001</v>
      </c>
      <c r="E362" s="399">
        <v>5667496.25</v>
      </c>
      <c r="F362" s="114">
        <f t="shared" si="283"/>
        <v>1180.7283854166667</v>
      </c>
      <c r="G362" s="396">
        <v>709722.97</v>
      </c>
      <c r="H362" s="114">
        <f t="shared" si="284"/>
        <v>88.71537124999999</v>
      </c>
      <c r="I362" s="399">
        <v>285257.34000000003</v>
      </c>
      <c r="J362" s="114">
        <f t="shared" si="285"/>
        <v>35.657167500000007</v>
      </c>
      <c r="K362" s="396">
        <v>74995.59</v>
      </c>
      <c r="L362" s="114">
        <f t="shared" si="286"/>
        <v>13.540870416666667</v>
      </c>
      <c r="M362" s="396">
        <v>2679.67</v>
      </c>
      <c r="N362" s="114">
        <f t="shared" si="287"/>
        <v>0.18608819444444447</v>
      </c>
      <c r="O362" s="396">
        <v>89321.01</v>
      </c>
      <c r="P362" s="114">
        <f t="shared" si="288"/>
        <v>16.127404583333334</v>
      </c>
      <c r="Q362" s="396">
        <v>53281.58</v>
      </c>
      <c r="R362" s="398">
        <f t="shared" si="289"/>
        <v>11.840351111111113</v>
      </c>
    </row>
    <row r="363" spans="2:18" x14ac:dyDescent="0.3">
      <c r="B363" s="393">
        <f t="shared" si="246"/>
        <v>45832</v>
      </c>
      <c r="C363" s="396">
        <v>76654.240000000005</v>
      </c>
      <c r="D363" s="114">
        <f t="shared" si="282"/>
        <v>15.969633333333334</v>
      </c>
      <c r="E363" s="399">
        <v>5667497.25</v>
      </c>
      <c r="F363" s="114">
        <f t="shared" si="283"/>
        <v>1180.7285937500001</v>
      </c>
      <c r="G363" s="396">
        <v>709723.97</v>
      </c>
      <c r="H363" s="114">
        <f t="shared" si="284"/>
        <v>88.715496249999987</v>
      </c>
      <c r="I363" s="399">
        <v>285258.34000000003</v>
      </c>
      <c r="J363" s="114">
        <f t="shared" si="285"/>
        <v>35.657292500000004</v>
      </c>
      <c r="K363" s="396">
        <v>74996.59</v>
      </c>
      <c r="L363" s="114">
        <f t="shared" si="286"/>
        <v>13.541050972222221</v>
      </c>
      <c r="M363" s="396">
        <v>2680.67</v>
      </c>
      <c r="N363" s="114">
        <f t="shared" si="287"/>
        <v>0.18615763888888889</v>
      </c>
      <c r="O363" s="396">
        <v>89322.01</v>
      </c>
      <c r="P363" s="114">
        <f t="shared" si="288"/>
        <v>16.12758513888889</v>
      </c>
      <c r="Q363" s="396">
        <v>53282.58</v>
      </c>
      <c r="R363" s="398">
        <f t="shared" si="289"/>
        <v>11.840573333333335</v>
      </c>
    </row>
    <row r="364" spans="2:18" x14ac:dyDescent="0.3">
      <c r="B364" s="393">
        <f t="shared" si="246"/>
        <v>45833</v>
      </c>
      <c r="C364" s="396">
        <v>76655.240000000005</v>
      </c>
      <c r="D364" s="114">
        <f t="shared" si="282"/>
        <v>15.969841666666667</v>
      </c>
      <c r="E364" s="399">
        <v>5667498.25</v>
      </c>
      <c r="F364" s="114">
        <f t="shared" si="283"/>
        <v>1180.7288020833332</v>
      </c>
      <c r="G364" s="396">
        <v>709724.97</v>
      </c>
      <c r="H364" s="114">
        <f t="shared" si="284"/>
        <v>88.715621249999998</v>
      </c>
      <c r="I364" s="399">
        <v>285259.34000000003</v>
      </c>
      <c r="J364" s="114">
        <f t="shared" si="285"/>
        <v>35.657417500000001</v>
      </c>
      <c r="K364" s="396">
        <v>74997.59</v>
      </c>
      <c r="L364" s="114">
        <f t="shared" si="286"/>
        <v>13.541231527777779</v>
      </c>
      <c r="M364" s="396">
        <v>2681.67</v>
      </c>
      <c r="N364" s="114">
        <f t="shared" si="287"/>
        <v>0.18622708333333335</v>
      </c>
      <c r="O364" s="396">
        <v>89323.01</v>
      </c>
      <c r="P364" s="114">
        <f t="shared" si="288"/>
        <v>16.127765694444445</v>
      </c>
      <c r="Q364" s="396">
        <v>53283.58</v>
      </c>
      <c r="R364" s="398">
        <f t="shared" si="289"/>
        <v>11.840795555555557</v>
      </c>
    </row>
    <row r="365" spans="2:18" x14ac:dyDescent="0.3">
      <c r="B365" s="393">
        <f t="shared" si="246"/>
        <v>45834</v>
      </c>
      <c r="C365" s="396">
        <v>76656.240000000005</v>
      </c>
      <c r="D365" s="114">
        <f t="shared" si="282"/>
        <v>15.970049999999999</v>
      </c>
      <c r="E365" s="399">
        <v>5667499.25</v>
      </c>
      <c r="F365" s="114">
        <f t="shared" si="283"/>
        <v>1180.7290104166666</v>
      </c>
      <c r="G365" s="396">
        <v>709725.97</v>
      </c>
      <c r="H365" s="114">
        <f t="shared" si="284"/>
        <v>88.715746249999995</v>
      </c>
      <c r="I365" s="399">
        <v>285260.34000000003</v>
      </c>
      <c r="J365" s="114">
        <f t="shared" si="285"/>
        <v>35.657542499999998</v>
      </c>
      <c r="K365" s="396">
        <v>74998.59</v>
      </c>
      <c r="L365" s="114">
        <f t="shared" si="286"/>
        <v>13.541412083333332</v>
      </c>
      <c r="M365" s="396">
        <v>2682.67</v>
      </c>
      <c r="N365" s="114">
        <f t="shared" si="287"/>
        <v>0.18629652777777778</v>
      </c>
      <c r="O365" s="396">
        <v>89324.01</v>
      </c>
      <c r="P365" s="114">
        <f t="shared" si="288"/>
        <v>16.127946249999997</v>
      </c>
      <c r="Q365" s="396">
        <v>53284.58</v>
      </c>
      <c r="R365" s="398">
        <f t="shared" si="289"/>
        <v>11.841017777777779</v>
      </c>
    </row>
    <row r="366" spans="2:18" x14ac:dyDescent="0.3">
      <c r="B366" s="393">
        <f t="shared" si="246"/>
        <v>45835</v>
      </c>
      <c r="C366" s="396">
        <v>76657.240000000005</v>
      </c>
      <c r="D366" s="114">
        <f t="shared" si="282"/>
        <v>15.970258333333335</v>
      </c>
      <c r="E366" s="399">
        <v>5667500.25</v>
      </c>
      <c r="F366" s="114">
        <f t="shared" si="283"/>
        <v>1180.72921875</v>
      </c>
      <c r="G366" s="396">
        <v>709726.97</v>
      </c>
      <c r="H366" s="114">
        <f t="shared" si="284"/>
        <v>88.715871249999992</v>
      </c>
      <c r="I366" s="399">
        <v>285261.34000000003</v>
      </c>
      <c r="J366" s="114">
        <f t="shared" si="285"/>
        <v>35.657667500000002</v>
      </c>
      <c r="K366" s="396">
        <v>74999.59</v>
      </c>
      <c r="L366" s="114">
        <f t="shared" si="286"/>
        <v>13.54159263888889</v>
      </c>
      <c r="M366" s="396">
        <v>2683.67</v>
      </c>
      <c r="N366" s="114">
        <f t="shared" si="287"/>
        <v>0.18636597222222223</v>
      </c>
      <c r="O366" s="396">
        <v>89325.01</v>
      </c>
      <c r="P366" s="114">
        <f t="shared" si="288"/>
        <v>16.128126805555556</v>
      </c>
      <c r="Q366" s="396">
        <v>53285.58</v>
      </c>
      <c r="R366" s="398">
        <f t="shared" si="289"/>
        <v>11.841240000000001</v>
      </c>
    </row>
    <row r="367" spans="2:18" x14ac:dyDescent="0.3">
      <c r="B367" s="393">
        <f t="shared" si="246"/>
        <v>45836</v>
      </c>
      <c r="C367" s="396">
        <v>76658.240000000005</v>
      </c>
      <c r="D367" s="114">
        <f t="shared" si="282"/>
        <v>15.970466666666669</v>
      </c>
      <c r="E367" s="399">
        <v>5667501.25</v>
      </c>
      <c r="F367" s="114">
        <f t="shared" si="283"/>
        <v>1180.7294270833333</v>
      </c>
      <c r="G367" s="396">
        <v>709727.97</v>
      </c>
      <c r="H367" s="114">
        <f t="shared" si="284"/>
        <v>88.715996249999989</v>
      </c>
      <c r="I367" s="399">
        <v>285262.34000000003</v>
      </c>
      <c r="J367" s="114">
        <f t="shared" si="285"/>
        <v>35.657792499999999</v>
      </c>
      <c r="K367" s="396">
        <v>75000.59</v>
      </c>
      <c r="L367" s="114">
        <f t="shared" si="286"/>
        <v>13.541773194444444</v>
      </c>
      <c r="M367" s="396">
        <v>2684.67</v>
      </c>
      <c r="N367" s="114">
        <f t="shared" si="287"/>
        <v>0.18643541666666669</v>
      </c>
      <c r="O367" s="396">
        <v>89326.01</v>
      </c>
      <c r="P367" s="114">
        <f t="shared" si="288"/>
        <v>16.128307361111109</v>
      </c>
      <c r="Q367" s="396">
        <v>53286.58</v>
      </c>
      <c r="R367" s="398">
        <f t="shared" si="289"/>
        <v>11.841462222222223</v>
      </c>
    </row>
    <row r="368" spans="2:18" x14ac:dyDescent="0.3">
      <c r="B368" s="393">
        <f t="shared" si="246"/>
        <v>45837</v>
      </c>
      <c r="C368" s="396">
        <v>76659.240000000005</v>
      </c>
      <c r="D368" s="114">
        <f t="shared" si="282"/>
        <v>15.970675</v>
      </c>
      <c r="E368" s="399">
        <v>5667502.25</v>
      </c>
      <c r="F368" s="114">
        <f t="shared" si="283"/>
        <v>1180.7296354166667</v>
      </c>
      <c r="G368" s="396">
        <v>709728.97</v>
      </c>
      <c r="H368" s="114">
        <f t="shared" si="284"/>
        <v>88.71612125</v>
      </c>
      <c r="I368" s="399">
        <v>285263.34000000003</v>
      </c>
      <c r="J368" s="114">
        <f t="shared" si="285"/>
        <v>35.657917500000003</v>
      </c>
      <c r="K368" s="396">
        <v>75001.59</v>
      </c>
      <c r="L368" s="114">
        <f t="shared" si="286"/>
        <v>13.541953750000001</v>
      </c>
      <c r="M368" s="396">
        <v>2685.67</v>
      </c>
      <c r="N368" s="114">
        <f t="shared" si="287"/>
        <v>0.18650486111111111</v>
      </c>
      <c r="O368" s="396">
        <v>89327.01</v>
      </c>
      <c r="P368" s="114">
        <f t="shared" si="288"/>
        <v>16.128487916666668</v>
      </c>
      <c r="Q368" s="396">
        <v>53287.58</v>
      </c>
      <c r="R368" s="398">
        <f t="shared" si="289"/>
        <v>11.841684444444445</v>
      </c>
    </row>
    <row r="369" spans="2:18" ht="15" thickBot="1" x14ac:dyDescent="0.35">
      <c r="B369" s="393">
        <f t="shared" si="246"/>
        <v>45838</v>
      </c>
      <c r="C369" s="396">
        <v>76660.240000000005</v>
      </c>
      <c r="D369" s="114">
        <f t="shared" ref="D369" si="290">(C369*7.5%)/360</f>
        <v>15.970883333333333</v>
      </c>
      <c r="E369" s="399">
        <v>5667503.25</v>
      </c>
      <c r="F369" s="114">
        <f t="shared" ref="F369" si="291">(E369*7.5%)/360</f>
        <v>1180.7298437499999</v>
      </c>
      <c r="G369" s="396">
        <v>709729.97</v>
      </c>
      <c r="H369" s="114">
        <f t="shared" ref="H369" si="292">(G369*4.5%)/360</f>
        <v>88.716246249999983</v>
      </c>
      <c r="I369" s="399">
        <v>285264.34000000003</v>
      </c>
      <c r="J369" s="114">
        <f t="shared" ref="J369" si="293">(I369*4.5%)/360</f>
        <v>35.658042500000001</v>
      </c>
      <c r="K369" s="396">
        <v>75002.59</v>
      </c>
      <c r="L369" s="114">
        <f t="shared" ref="L369" si="294">(K369*6.5%)/360</f>
        <v>13.542134305555555</v>
      </c>
      <c r="M369" s="396">
        <v>2686.67</v>
      </c>
      <c r="N369" s="114">
        <f t="shared" ref="N369" si="295">(M369*2.5%)/360</f>
        <v>0.18657430555555557</v>
      </c>
      <c r="O369" s="396">
        <v>89328.01</v>
      </c>
      <c r="P369" s="114">
        <f t="shared" ref="P369" si="296">(O369*6.5%)/360</f>
        <v>16.12866847222222</v>
      </c>
      <c r="Q369" s="396">
        <v>53288.58</v>
      </c>
      <c r="R369" s="398">
        <f t="shared" ref="R369" si="297">(Q369*8%)/360</f>
        <v>11.841906666666667</v>
      </c>
    </row>
    <row r="370" spans="2:18" ht="15" thickBot="1" x14ac:dyDescent="0.35">
      <c r="B370" s="439" t="s">
        <v>145</v>
      </c>
      <c r="C370" s="440"/>
      <c r="D370" s="441">
        <f>SUM(D189:D369)</f>
        <v>44332.397312500041</v>
      </c>
      <c r="E370" s="442"/>
      <c r="F370" s="441">
        <f>SUM(F189:F369)</f>
        <v>388283.61318396864</v>
      </c>
      <c r="G370" s="440"/>
      <c r="H370" s="441">
        <f>SUM(H189:H369)</f>
        <v>4325.6925712499988</v>
      </c>
      <c r="I370" s="442"/>
      <c r="J370" s="441">
        <f>SUM(J189:J369)</f>
        <v>5106.4690650000184</v>
      </c>
      <c r="K370" s="440"/>
      <c r="L370" s="441">
        <f>SUM(L189:L369)</f>
        <v>2450.8403093055595</v>
      </c>
      <c r="M370" s="440"/>
      <c r="N370" s="441">
        <f>SUM(N189:N369)</f>
        <v>33.659949305555635</v>
      </c>
      <c r="O370" s="440"/>
      <c r="P370" s="441">
        <f>SUM(P189:P369)</f>
        <v>2919.0029934722206</v>
      </c>
      <c r="Q370" s="440"/>
      <c r="R370" s="443">
        <f>SUM(R189:R369)</f>
        <v>250874.30239111168</v>
      </c>
    </row>
    <row r="372" spans="2:18" x14ac:dyDescent="0.3">
      <c r="B372" s="393">
        <v>45839</v>
      </c>
      <c r="C372" s="396">
        <v>490106.24</v>
      </c>
      <c r="D372" s="114">
        <f t="shared" ref="D372:D404" si="298">(C372*7.5%)/360</f>
        <v>102.10546666666667</v>
      </c>
      <c r="E372" s="399">
        <v>4179493.12</v>
      </c>
      <c r="F372" s="114">
        <f t="shared" ref="F372:F383" si="299">(E372*7.5%)/360</f>
        <v>870.72773333333328</v>
      </c>
      <c r="G372" s="396">
        <v>25184.16</v>
      </c>
      <c r="H372" s="114">
        <f t="shared" ref="H372:H376" si="300">(G372*4.5%)/360</f>
        <v>3.1480199999999998</v>
      </c>
      <c r="I372" s="399">
        <v>84113.66</v>
      </c>
      <c r="J372" s="114">
        <f t="shared" ref="J372:J376" si="301">(I372*4.5%)/360</f>
        <v>10.514207499999999</v>
      </c>
      <c r="K372" s="396">
        <v>75002.59</v>
      </c>
      <c r="L372" s="114">
        <f t="shared" ref="L372" si="302">(K372*6.5%)/360</f>
        <v>13.542134305555555</v>
      </c>
      <c r="M372" s="396">
        <v>2686.67</v>
      </c>
      <c r="N372" s="114">
        <f t="shared" ref="N372" si="303">(M372*2.5%)/360</f>
        <v>0.18657430555555557</v>
      </c>
      <c r="O372" s="396">
        <v>89328.01</v>
      </c>
      <c r="P372" s="114">
        <f t="shared" ref="P372" si="304">(O372*6.5%)/360</f>
        <v>16.12866847222222</v>
      </c>
      <c r="Q372" s="396">
        <v>3053279.58</v>
      </c>
      <c r="R372" s="398">
        <f t="shared" ref="R372" si="305">(Q372*8%)/360</f>
        <v>678.50657333333334</v>
      </c>
    </row>
    <row r="373" spans="2:18" x14ac:dyDescent="0.3">
      <c r="B373" s="393">
        <f t="shared" ref="B373:B436" si="306">B372+1</f>
        <v>45840</v>
      </c>
      <c r="C373" s="396">
        <v>376103.93</v>
      </c>
      <c r="D373" s="114">
        <f t="shared" si="298"/>
        <v>78.354985416666665</v>
      </c>
      <c r="E373" s="399">
        <v>4687861.72</v>
      </c>
      <c r="F373" s="114">
        <f t="shared" si="299"/>
        <v>976.63785833333327</v>
      </c>
      <c r="G373" s="396">
        <v>25184.16</v>
      </c>
      <c r="H373" s="114">
        <f t="shared" si="300"/>
        <v>3.1480199999999998</v>
      </c>
      <c r="I373" s="399">
        <v>84113.66</v>
      </c>
      <c r="J373" s="114">
        <f t="shared" si="301"/>
        <v>10.514207499999999</v>
      </c>
      <c r="K373" s="396">
        <v>75002.59</v>
      </c>
      <c r="L373" s="114">
        <f t="shared" ref="L373:L376" si="307">(K373*6.5%)/360</f>
        <v>13.542134305555555</v>
      </c>
      <c r="M373" s="396">
        <v>2686.67</v>
      </c>
      <c r="N373" s="114">
        <f t="shared" ref="N373:N376" si="308">(M373*2.5%)/360</f>
        <v>0.18657430555555557</v>
      </c>
      <c r="O373" s="396">
        <v>89328.01</v>
      </c>
      <c r="P373" s="114">
        <f t="shared" ref="P373:P376" si="309">(O373*6.5%)/360</f>
        <v>16.12866847222222</v>
      </c>
      <c r="Q373" s="396">
        <v>3053279.58</v>
      </c>
      <c r="R373" s="398">
        <f t="shared" ref="R373:R383" si="310">(Q373*8%)/360</f>
        <v>678.50657333333334</v>
      </c>
    </row>
    <row r="374" spans="2:18" x14ac:dyDescent="0.3">
      <c r="B374" s="393">
        <f t="shared" si="306"/>
        <v>45841</v>
      </c>
      <c r="C374" s="396">
        <v>376045.93</v>
      </c>
      <c r="D374" s="114">
        <f t="shared" si="298"/>
        <v>78.342902083333328</v>
      </c>
      <c r="E374" s="399">
        <v>13195791.16</v>
      </c>
      <c r="F374" s="114">
        <f t="shared" si="299"/>
        <v>2749.1231583333333</v>
      </c>
      <c r="G374" s="396">
        <v>25184.16</v>
      </c>
      <c r="H374" s="114">
        <f t="shared" si="300"/>
        <v>3.1480199999999998</v>
      </c>
      <c r="I374" s="399">
        <v>199103.66</v>
      </c>
      <c r="J374" s="114">
        <f t="shared" si="301"/>
        <v>24.887957499999999</v>
      </c>
      <c r="K374" s="396">
        <v>75002.59</v>
      </c>
      <c r="L374" s="114">
        <f t="shared" si="307"/>
        <v>13.542134305555555</v>
      </c>
      <c r="M374" s="396">
        <v>2686.67</v>
      </c>
      <c r="N374" s="114">
        <f t="shared" si="308"/>
        <v>0.18657430555555557</v>
      </c>
      <c r="O374" s="396">
        <v>89328.01</v>
      </c>
      <c r="P374" s="114">
        <f t="shared" si="309"/>
        <v>16.12866847222222</v>
      </c>
      <c r="Q374" s="396">
        <v>3053279.58</v>
      </c>
      <c r="R374" s="398">
        <f t="shared" si="310"/>
        <v>678.50657333333334</v>
      </c>
    </row>
    <row r="375" spans="2:18" x14ac:dyDescent="0.3">
      <c r="B375" s="393">
        <f t="shared" si="306"/>
        <v>45842</v>
      </c>
      <c r="C375" s="396">
        <v>376045.93</v>
      </c>
      <c r="D375" s="114">
        <f t="shared" si="298"/>
        <v>78.342902083333328</v>
      </c>
      <c r="E375" s="399">
        <v>13195791.16</v>
      </c>
      <c r="F375" s="114">
        <f t="shared" si="299"/>
        <v>2749.1231583333333</v>
      </c>
      <c r="G375" s="396">
        <v>25184.16</v>
      </c>
      <c r="H375" s="114">
        <f t="shared" si="300"/>
        <v>3.1480199999999998</v>
      </c>
      <c r="I375" s="399">
        <v>199103.66</v>
      </c>
      <c r="J375" s="114">
        <f t="shared" si="301"/>
        <v>24.887957499999999</v>
      </c>
      <c r="K375" s="396">
        <v>75002.59</v>
      </c>
      <c r="L375" s="114">
        <f t="shared" si="307"/>
        <v>13.542134305555555</v>
      </c>
      <c r="M375" s="396">
        <v>2686.67</v>
      </c>
      <c r="N375" s="114">
        <f t="shared" si="308"/>
        <v>0.18657430555555557</v>
      </c>
      <c r="O375" s="396">
        <v>89328.01</v>
      </c>
      <c r="P375" s="114">
        <f t="shared" si="309"/>
        <v>16.12866847222222</v>
      </c>
      <c r="Q375" s="396">
        <v>3053279.58</v>
      </c>
      <c r="R375" s="398">
        <f t="shared" si="310"/>
        <v>678.50657333333334</v>
      </c>
    </row>
    <row r="376" spans="2:18" x14ac:dyDescent="0.3">
      <c r="B376" s="393">
        <f t="shared" si="306"/>
        <v>45843</v>
      </c>
      <c r="C376" s="396">
        <v>376045.93</v>
      </c>
      <c r="D376" s="114">
        <f t="shared" si="298"/>
        <v>78.342902083333328</v>
      </c>
      <c r="E376" s="399">
        <v>13195791.16</v>
      </c>
      <c r="F376" s="114">
        <f t="shared" si="299"/>
        <v>2749.1231583333333</v>
      </c>
      <c r="G376" s="396">
        <v>25184.16</v>
      </c>
      <c r="H376" s="114">
        <f t="shared" si="300"/>
        <v>3.1480199999999998</v>
      </c>
      <c r="I376" s="399">
        <v>199103.66</v>
      </c>
      <c r="J376" s="114">
        <f t="shared" si="301"/>
        <v>24.887957499999999</v>
      </c>
      <c r="K376" s="396">
        <v>75002.59</v>
      </c>
      <c r="L376" s="114">
        <f t="shared" si="307"/>
        <v>13.542134305555555</v>
      </c>
      <c r="M376" s="396">
        <v>2686.67</v>
      </c>
      <c r="N376" s="114">
        <f t="shared" si="308"/>
        <v>0.18657430555555557</v>
      </c>
      <c r="O376" s="396">
        <v>89328.01</v>
      </c>
      <c r="P376" s="114">
        <f t="shared" si="309"/>
        <v>16.12866847222222</v>
      </c>
      <c r="Q376" s="396">
        <v>3053279.58</v>
      </c>
      <c r="R376" s="398">
        <f t="shared" si="310"/>
        <v>678.50657333333334</v>
      </c>
    </row>
    <row r="377" spans="2:18" x14ac:dyDescent="0.3">
      <c r="B377" s="393">
        <f t="shared" si="306"/>
        <v>45844</v>
      </c>
      <c r="C377" s="396">
        <v>376045.93</v>
      </c>
      <c r="D377" s="114">
        <f t="shared" si="298"/>
        <v>78.342902083333328</v>
      </c>
      <c r="E377" s="399">
        <v>13195791.16</v>
      </c>
      <c r="F377" s="114">
        <f t="shared" si="299"/>
        <v>2749.1231583333333</v>
      </c>
      <c r="G377" s="396">
        <v>25184.16</v>
      </c>
      <c r="H377" s="114">
        <f t="shared" ref="H377:H383" si="311">(G377*4.5%)/360</f>
        <v>3.1480199999999998</v>
      </c>
      <c r="I377" s="399">
        <v>199103.66</v>
      </c>
      <c r="J377" s="114">
        <f t="shared" ref="J377:J383" si="312">(I377*4.5%)/360</f>
        <v>24.887957499999999</v>
      </c>
      <c r="K377" s="396">
        <v>75002.59</v>
      </c>
      <c r="L377" s="114">
        <f t="shared" ref="L377:L383" si="313">(K377*6.5%)/360</f>
        <v>13.542134305555555</v>
      </c>
      <c r="M377" s="396">
        <v>2686.67</v>
      </c>
      <c r="N377" s="114">
        <f t="shared" ref="N377:N383" si="314">(M377*2.5%)/360</f>
        <v>0.18657430555555557</v>
      </c>
      <c r="O377" s="396">
        <v>89328.01</v>
      </c>
      <c r="P377" s="114">
        <f t="shared" ref="P377:P383" si="315">(O377*6.5%)/360</f>
        <v>16.12866847222222</v>
      </c>
      <c r="Q377" s="396">
        <v>3053279.58</v>
      </c>
      <c r="R377" s="398">
        <f t="shared" si="310"/>
        <v>678.50657333333334</v>
      </c>
    </row>
    <row r="378" spans="2:18" x14ac:dyDescent="0.3">
      <c r="B378" s="393">
        <f t="shared" si="306"/>
        <v>45845</v>
      </c>
      <c r="C378" s="396">
        <v>376045.93</v>
      </c>
      <c r="D378" s="114">
        <f t="shared" si="298"/>
        <v>78.342902083333328</v>
      </c>
      <c r="E378" s="396">
        <v>16143125.49</v>
      </c>
      <c r="F378" s="114">
        <f t="shared" si="299"/>
        <v>3363.1511437499998</v>
      </c>
      <c r="G378" s="396">
        <v>25184.16</v>
      </c>
      <c r="H378" s="114">
        <f t="shared" si="311"/>
        <v>3.1480199999999998</v>
      </c>
      <c r="I378" s="399">
        <v>199103.66</v>
      </c>
      <c r="J378" s="114">
        <f t="shared" si="312"/>
        <v>24.887957499999999</v>
      </c>
      <c r="K378" s="396">
        <v>75002.59</v>
      </c>
      <c r="L378" s="114">
        <f t="shared" si="313"/>
        <v>13.542134305555555</v>
      </c>
      <c r="M378" s="396">
        <v>2686.67</v>
      </c>
      <c r="N378" s="114">
        <f t="shared" si="314"/>
        <v>0.18657430555555557</v>
      </c>
      <c r="O378" s="396">
        <v>89328.01</v>
      </c>
      <c r="P378" s="114">
        <f t="shared" si="315"/>
        <v>16.12866847222222</v>
      </c>
      <c r="Q378" s="396">
        <v>106400.92</v>
      </c>
      <c r="R378" s="398">
        <f t="shared" si="310"/>
        <v>23.644648888888888</v>
      </c>
    </row>
    <row r="379" spans="2:18" x14ac:dyDescent="0.3">
      <c r="B379" s="393">
        <f t="shared" si="306"/>
        <v>45846</v>
      </c>
      <c r="C379" s="396">
        <v>376045.93</v>
      </c>
      <c r="D379" s="114">
        <f t="shared" si="298"/>
        <v>78.342902083333328</v>
      </c>
      <c r="E379" s="399">
        <v>24479181.190000001</v>
      </c>
      <c r="F379" s="114">
        <f t="shared" si="299"/>
        <v>5099.8294145833333</v>
      </c>
      <c r="G379" s="396">
        <v>25184.16</v>
      </c>
      <c r="H379" s="114">
        <f t="shared" si="311"/>
        <v>3.1480199999999998</v>
      </c>
      <c r="I379" s="399">
        <v>199103.66</v>
      </c>
      <c r="J379" s="114">
        <f t="shared" si="312"/>
        <v>24.887957499999999</v>
      </c>
      <c r="K379" s="396">
        <v>75002.59</v>
      </c>
      <c r="L379" s="114">
        <f t="shared" si="313"/>
        <v>13.542134305555555</v>
      </c>
      <c r="M379" s="396">
        <v>2686.67</v>
      </c>
      <c r="N379" s="114">
        <f t="shared" si="314"/>
        <v>0.18657430555555557</v>
      </c>
      <c r="O379" s="396">
        <v>89328.01</v>
      </c>
      <c r="P379" s="114">
        <f t="shared" si="315"/>
        <v>16.12866847222222</v>
      </c>
      <c r="Q379" s="396">
        <v>106400.92</v>
      </c>
      <c r="R379" s="398">
        <f t="shared" si="310"/>
        <v>23.644648888888888</v>
      </c>
    </row>
    <row r="380" spans="2:18" x14ac:dyDescent="0.3">
      <c r="B380" s="393">
        <f t="shared" si="306"/>
        <v>45847</v>
      </c>
      <c r="C380" s="396">
        <v>376045.93</v>
      </c>
      <c r="D380" s="114">
        <f t="shared" si="298"/>
        <v>78.342902083333328</v>
      </c>
      <c r="E380" s="399">
        <v>21994317.329999998</v>
      </c>
      <c r="F380" s="114">
        <f t="shared" si="299"/>
        <v>4582.1494437499996</v>
      </c>
      <c r="G380" s="396">
        <v>25184.16</v>
      </c>
      <c r="H380" s="114">
        <f t="shared" si="311"/>
        <v>3.1480199999999998</v>
      </c>
      <c r="I380" s="399">
        <v>199103.66</v>
      </c>
      <c r="J380" s="114">
        <f t="shared" si="312"/>
        <v>24.887957499999999</v>
      </c>
      <c r="K380" s="396">
        <v>75002.59</v>
      </c>
      <c r="L380" s="114">
        <f t="shared" si="313"/>
        <v>13.542134305555555</v>
      </c>
      <c r="M380" s="396">
        <v>2686.67</v>
      </c>
      <c r="N380" s="114">
        <f t="shared" si="314"/>
        <v>0.18657430555555557</v>
      </c>
      <c r="O380" s="396">
        <v>89328.01</v>
      </c>
      <c r="P380" s="114">
        <f t="shared" si="315"/>
        <v>16.12866847222222</v>
      </c>
      <c r="Q380" s="396">
        <v>106400.92</v>
      </c>
      <c r="R380" s="398">
        <f t="shared" si="310"/>
        <v>23.644648888888888</v>
      </c>
    </row>
    <row r="381" spans="2:18" x14ac:dyDescent="0.3">
      <c r="B381" s="393">
        <f t="shared" si="306"/>
        <v>45848</v>
      </c>
      <c r="C381" s="396">
        <v>876045.93</v>
      </c>
      <c r="D381" s="114">
        <f t="shared" si="298"/>
        <v>182.50956875</v>
      </c>
      <c r="E381" s="399">
        <v>21994317.329999998</v>
      </c>
      <c r="F381" s="114">
        <f t="shared" si="299"/>
        <v>4582.1494437499996</v>
      </c>
      <c r="G381" s="396">
        <v>25184.16</v>
      </c>
      <c r="H381" s="114">
        <f t="shared" si="311"/>
        <v>3.1480199999999998</v>
      </c>
      <c r="I381" s="399">
        <v>199103.66</v>
      </c>
      <c r="J381" s="114">
        <f t="shared" si="312"/>
        <v>24.887957499999999</v>
      </c>
      <c r="K381" s="396">
        <v>75002.59</v>
      </c>
      <c r="L381" s="114">
        <f t="shared" si="313"/>
        <v>13.542134305555555</v>
      </c>
      <c r="M381" s="396">
        <v>2686.67</v>
      </c>
      <c r="N381" s="114">
        <f t="shared" si="314"/>
        <v>0.18657430555555557</v>
      </c>
      <c r="O381" s="396">
        <v>89328.01</v>
      </c>
      <c r="P381" s="114">
        <f t="shared" si="315"/>
        <v>16.12866847222222</v>
      </c>
      <c r="Q381" s="396">
        <v>106400.92</v>
      </c>
      <c r="R381" s="398">
        <f t="shared" si="310"/>
        <v>23.644648888888888</v>
      </c>
    </row>
    <row r="382" spans="2:18" x14ac:dyDescent="0.3">
      <c r="B382" s="393">
        <f t="shared" si="306"/>
        <v>45849</v>
      </c>
      <c r="C382" s="396">
        <v>876045.93</v>
      </c>
      <c r="D382" s="114">
        <f t="shared" si="298"/>
        <v>182.50956875</v>
      </c>
      <c r="E382" s="399">
        <v>21994317.329999998</v>
      </c>
      <c r="F382" s="114">
        <f t="shared" si="299"/>
        <v>4582.1494437499996</v>
      </c>
      <c r="G382" s="396">
        <v>25184.16</v>
      </c>
      <c r="H382" s="114">
        <f t="shared" si="311"/>
        <v>3.1480199999999998</v>
      </c>
      <c r="I382" s="399">
        <v>199103.66</v>
      </c>
      <c r="J382" s="114">
        <f t="shared" si="312"/>
        <v>24.887957499999999</v>
      </c>
      <c r="K382" s="396">
        <v>75002.59</v>
      </c>
      <c r="L382" s="114">
        <f t="shared" si="313"/>
        <v>13.542134305555555</v>
      </c>
      <c r="M382" s="396">
        <v>2686.67</v>
      </c>
      <c r="N382" s="114">
        <f t="shared" si="314"/>
        <v>0.18657430555555557</v>
      </c>
      <c r="O382" s="396">
        <v>89328.01</v>
      </c>
      <c r="P382" s="114">
        <f t="shared" si="315"/>
        <v>16.12866847222222</v>
      </c>
      <c r="Q382" s="396">
        <v>106400.92</v>
      </c>
      <c r="R382" s="398">
        <f t="shared" si="310"/>
        <v>23.644648888888888</v>
      </c>
    </row>
    <row r="383" spans="2:18" x14ac:dyDescent="0.3">
      <c r="B383" s="393">
        <f t="shared" si="306"/>
        <v>45850</v>
      </c>
      <c r="C383" s="396">
        <v>876045.93</v>
      </c>
      <c r="D383" s="114">
        <f t="shared" si="298"/>
        <v>182.50956875</v>
      </c>
      <c r="E383" s="399">
        <v>21994317.329999998</v>
      </c>
      <c r="F383" s="114">
        <f t="shared" si="299"/>
        <v>4582.1494437499996</v>
      </c>
      <c r="G383" s="396">
        <v>25184.16</v>
      </c>
      <c r="H383" s="114">
        <f t="shared" si="311"/>
        <v>3.1480199999999998</v>
      </c>
      <c r="I383" s="399">
        <v>199103.66</v>
      </c>
      <c r="J383" s="114">
        <f t="shared" si="312"/>
        <v>24.887957499999999</v>
      </c>
      <c r="K383" s="396">
        <v>75002.59</v>
      </c>
      <c r="L383" s="114">
        <f t="shared" si="313"/>
        <v>13.542134305555555</v>
      </c>
      <c r="M383" s="396">
        <v>2686.67</v>
      </c>
      <c r="N383" s="114">
        <f t="shared" si="314"/>
        <v>0.18657430555555557</v>
      </c>
      <c r="O383" s="396">
        <v>89328.01</v>
      </c>
      <c r="P383" s="114">
        <f t="shared" si="315"/>
        <v>16.12866847222222</v>
      </c>
      <c r="Q383" s="396">
        <v>106400.92</v>
      </c>
      <c r="R383" s="398">
        <f t="shared" si="310"/>
        <v>23.644648888888888</v>
      </c>
    </row>
    <row r="384" spans="2:18" x14ac:dyDescent="0.3">
      <c r="B384" s="393">
        <f t="shared" si="306"/>
        <v>45851</v>
      </c>
      <c r="C384" s="396">
        <v>875985.93</v>
      </c>
      <c r="D384" s="114">
        <f t="shared" si="298"/>
        <v>182.49706874999998</v>
      </c>
      <c r="E384" s="399">
        <v>18095365.199999999</v>
      </c>
      <c r="F384" s="114">
        <f t="shared" ref="F384:F390" si="316">(E384*7.5%)/360</f>
        <v>3769.8677499999999</v>
      </c>
      <c r="G384" s="396">
        <v>25184.16</v>
      </c>
      <c r="H384" s="114">
        <f t="shared" ref="H384:H390" si="317">(G384*4.5%)/360</f>
        <v>3.1480199999999998</v>
      </c>
      <c r="I384" s="399">
        <v>199103.66</v>
      </c>
      <c r="J384" s="114">
        <f t="shared" ref="J384:J390" si="318">(I384*4.5%)/360</f>
        <v>24.887957499999999</v>
      </c>
      <c r="K384" s="396">
        <v>75002.59</v>
      </c>
      <c r="L384" s="114">
        <f t="shared" ref="L384:L390" si="319">(K384*6.5%)/360</f>
        <v>13.542134305555555</v>
      </c>
      <c r="M384" s="396">
        <v>2686.67</v>
      </c>
      <c r="N384" s="114">
        <f t="shared" ref="N384:N390" si="320">(M384*2.5%)/360</f>
        <v>0.18657430555555557</v>
      </c>
      <c r="O384" s="396">
        <v>89328.01</v>
      </c>
      <c r="P384" s="114">
        <f t="shared" ref="P384:P390" si="321">(O384*6.5%)/360</f>
        <v>16.12866847222222</v>
      </c>
      <c r="Q384" s="396">
        <v>106400.92</v>
      </c>
      <c r="R384" s="398">
        <f t="shared" ref="R384:R390" si="322">(Q384*8%)/360</f>
        <v>23.644648888888888</v>
      </c>
    </row>
    <row r="385" spans="2:18" x14ac:dyDescent="0.3">
      <c r="B385" s="393">
        <f t="shared" si="306"/>
        <v>45852</v>
      </c>
      <c r="C385" s="396">
        <v>875985.93</v>
      </c>
      <c r="D385" s="114">
        <f t="shared" si="298"/>
        <v>182.49706874999998</v>
      </c>
      <c r="E385" s="399">
        <v>12935958.18</v>
      </c>
      <c r="F385" s="114">
        <f t="shared" si="316"/>
        <v>2694.9912875</v>
      </c>
      <c r="G385" s="396">
        <v>25184.16</v>
      </c>
      <c r="H385" s="114">
        <f t="shared" si="317"/>
        <v>3.1480199999999998</v>
      </c>
      <c r="I385" s="399">
        <v>199103.66</v>
      </c>
      <c r="J385" s="114">
        <f t="shared" si="318"/>
        <v>24.887957499999999</v>
      </c>
      <c r="K385" s="396">
        <v>75002.59</v>
      </c>
      <c r="L385" s="114">
        <f t="shared" si="319"/>
        <v>13.542134305555555</v>
      </c>
      <c r="M385" s="396">
        <v>2686.67</v>
      </c>
      <c r="N385" s="114">
        <f t="shared" si="320"/>
        <v>0.18657430555555557</v>
      </c>
      <c r="O385" s="396">
        <v>89328.01</v>
      </c>
      <c r="P385" s="114">
        <f t="shared" si="321"/>
        <v>16.12866847222222</v>
      </c>
      <c r="Q385" s="396">
        <v>106400.92</v>
      </c>
      <c r="R385" s="398">
        <f t="shared" si="322"/>
        <v>23.644648888888888</v>
      </c>
    </row>
    <row r="386" spans="2:18" x14ac:dyDescent="0.3">
      <c r="B386" s="393">
        <f t="shared" si="306"/>
        <v>45853</v>
      </c>
      <c r="C386" s="396">
        <v>875985.93</v>
      </c>
      <c r="D386" s="114">
        <f t="shared" si="298"/>
        <v>182.49706874999998</v>
      </c>
      <c r="E386" s="399">
        <v>11828272.050000001</v>
      </c>
      <c r="F386" s="114">
        <f t="shared" si="316"/>
        <v>2464.2233437500004</v>
      </c>
      <c r="G386" s="396">
        <v>25184.16</v>
      </c>
      <c r="H386" s="114">
        <f t="shared" si="317"/>
        <v>3.1480199999999998</v>
      </c>
      <c r="I386" s="399">
        <v>199103.66</v>
      </c>
      <c r="J386" s="114">
        <f t="shared" si="318"/>
        <v>24.887957499999999</v>
      </c>
      <c r="K386" s="396">
        <v>75002.59</v>
      </c>
      <c r="L386" s="114">
        <f t="shared" si="319"/>
        <v>13.542134305555555</v>
      </c>
      <c r="M386" s="396">
        <v>2686.67</v>
      </c>
      <c r="N386" s="114">
        <f t="shared" si="320"/>
        <v>0.18657430555555557</v>
      </c>
      <c r="O386" s="396">
        <v>89328.01</v>
      </c>
      <c r="P386" s="114">
        <f t="shared" si="321"/>
        <v>16.12866847222222</v>
      </c>
      <c r="Q386" s="396">
        <v>106400.92</v>
      </c>
      <c r="R386" s="398">
        <f t="shared" si="322"/>
        <v>23.644648888888888</v>
      </c>
    </row>
    <row r="387" spans="2:18" x14ac:dyDescent="0.3">
      <c r="B387" s="393">
        <f t="shared" si="306"/>
        <v>45854</v>
      </c>
      <c r="C387" s="396">
        <v>875985.93</v>
      </c>
      <c r="D387" s="114">
        <f t="shared" si="298"/>
        <v>182.49706874999998</v>
      </c>
      <c r="E387" s="399">
        <v>17686381.809999999</v>
      </c>
      <c r="F387" s="114">
        <f t="shared" si="316"/>
        <v>3684.6628770833331</v>
      </c>
      <c r="G387" s="396">
        <v>25184.16</v>
      </c>
      <c r="H387" s="114">
        <f t="shared" si="317"/>
        <v>3.1480199999999998</v>
      </c>
      <c r="I387" s="399">
        <v>199103.66</v>
      </c>
      <c r="J387" s="114">
        <f t="shared" si="318"/>
        <v>24.887957499999999</v>
      </c>
      <c r="K387" s="396">
        <v>75002.59</v>
      </c>
      <c r="L387" s="114">
        <f t="shared" si="319"/>
        <v>13.542134305555555</v>
      </c>
      <c r="M387" s="396">
        <v>2686.67</v>
      </c>
      <c r="N387" s="114">
        <f t="shared" si="320"/>
        <v>0.18657430555555557</v>
      </c>
      <c r="O387" s="396">
        <v>89328.01</v>
      </c>
      <c r="P387" s="114">
        <f t="shared" si="321"/>
        <v>16.12866847222222</v>
      </c>
      <c r="Q387" s="396">
        <v>106400.92</v>
      </c>
      <c r="R387" s="398">
        <f t="shared" si="322"/>
        <v>23.644648888888888</v>
      </c>
    </row>
    <row r="388" spans="2:18" x14ac:dyDescent="0.3">
      <c r="B388" s="393">
        <f t="shared" si="306"/>
        <v>45855</v>
      </c>
      <c r="C388" s="396">
        <v>875985.93</v>
      </c>
      <c r="D388" s="114">
        <f t="shared" si="298"/>
        <v>182.49706874999998</v>
      </c>
      <c r="E388" s="399">
        <v>14217161.060000001</v>
      </c>
      <c r="F388" s="114">
        <f t="shared" si="316"/>
        <v>2961.9085541666668</v>
      </c>
      <c r="G388" s="396">
        <v>25184.16</v>
      </c>
      <c r="H388" s="114">
        <f t="shared" si="317"/>
        <v>3.1480199999999998</v>
      </c>
      <c r="I388" s="399">
        <v>199103.66</v>
      </c>
      <c r="J388" s="114">
        <f t="shared" si="318"/>
        <v>24.887957499999999</v>
      </c>
      <c r="K388" s="396">
        <v>75002.59</v>
      </c>
      <c r="L388" s="114">
        <f t="shared" si="319"/>
        <v>13.542134305555555</v>
      </c>
      <c r="M388" s="396">
        <v>2686.67</v>
      </c>
      <c r="N388" s="114">
        <f t="shared" si="320"/>
        <v>0.18657430555555557</v>
      </c>
      <c r="O388" s="396">
        <v>89328.01</v>
      </c>
      <c r="P388" s="114">
        <f t="shared" si="321"/>
        <v>16.12866847222222</v>
      </c>
      <c r="Q388" s="396">
        <v>106400.92</v>
      </c>
      <c r="R388" s="398">
        <f t="shared" si="322"/>
        <v>23.644648888888888</v>
      </c>
    </row>
    <row r="389" spans="2:18" x14ac:dyDescent="0.3">
      <c r="B389" s="393">
        <f t="shared" si="306"/>
        <v>45856</v>
      </c>
      <c r="C389" s="396">
        <v>875985.93</v>
      </c>
      <c r="D389" s="114">
        <f t="shared" si="298"/>
        <v>182.49706874999998</v>
      </c>
      <c r="E389" s="399">
        <v>14217161.060000001</v>
      </c>
      <c r="F389" s="114">
        <f t="shared" si="316"/>
        <v>2961.9085541666668</v>
      </c>
      <c r="G389" s="396">
        <v>25184.16</v>
      </c>
      <c r="H389" s="114">
        <f t="shared" si="317"/>
        <v>3.1480199999999998</v>
      </c>
      <c r="I389" s="399">
        <v>199103.66</v>
      </c>
      <c r="J389" s="114">
        <f t="shared" si="318"/>
        <v>24.887957499999999</v>
      </c>
      <c r="K389" s="396">
        <v>75002.59</v>
      </c>
      <c r="L389" s="114">
        <f t="shared" si="319"/>
        <v>13.542134305555555</v>
      </c>
      <c r="M389" s="396">
        <v>2686.67</v>
      </c>
      <c r="N389" s="114">
        <f t="shared" si="320"/>
        <v>0.18657430555555557</v>
      </c>
      <c r="O389" s="396">
        <v>89328.01</v>
      </c>
      <c r="P389" s="114">
        <f t="shared" si="321"/>
        <v>16.12866847222222</v>
      </c>
      <c r="Q389" s="396">
        <v>106400.92</v>
      </c>
      <c r="R389" s="398">
        <f t="shared" si="322"/>
        <v>23.644648888888888</v>
      </c>
    </row>
    <row r="390" spans="2:18" x14ac:dyDescent="0.3">
      <c r="B390" s="393">
        <f t="shared" si="306"/>
        <v>45857</v>
      </c>
      <c r="C390" s="396">
        <v>875985.93</v>
      </c>
      <c r="D390" s="114">
        <f t="shared" si="298"/>
        <v>182.49706874999998</v>
      </c>
      <c r="E390" s="399">
        <v>14217161.060000001</v>
      </c>
      <c r="F390" s="114">
        <f t="shared" si="316"/>
        <v>2961.9085541666668</v>
      </c>
      <c r="G390" s="396">
        <v>25184.16</v>
      </c>
      <c r="H390" s="114">
        <f t="shared" si="317"/>
        <v>3.1480199999999998</v>
      </c>
      <c r="I390" s="399">
        <v>199103.66</v>
      </c>
      <c r="J390" s="114">
        <f t="shared" si="318"/>
        <v>24.887957499999999</v>
      </c>
      <c r="K390" s="396">
        <v>75002.59</v>
      </c>
      <c r="L390" s="114">
        <f t="shared" si="319"/>
        <v>13.542134305555555</v>
      </c>
      <c r="M390" s="396">
        <v>2686.67</v>
      </c>
      <c r="N390" s="114">
        <f t="shared" si="320"/>
        <v>0.18657430555555557</v>
      </c>
      <c r="O390" s="396">
        <v>89328.01</v>
      </c>
      <c r="P390" s="114">
        <f t="shared" si="321"/>
        <v>16.12866847222222</v>
      </c>
      <c r="Q390" s="396">
        <v>106400.92</v>
      </c>
      <c r="R390" s="398">
        <f t="shared" si="322"/>
        <v>23.644648888888888</v>
      </c>
    </row>
    <row r="391" spans="2:18" x14ac:dyDescent="0.3">
      <c r="B391" s="393">
        <f t="shared" si="306"/>
        <v>45858</v>
      </c>
      <c r="C391" s="396">
        <v>1105985.93</v>
      </c>
      <c r="D391" s="114">
        <f t="shared" si="298"/>
        <v>230.41373541666664</v>
      </c>
      <c r="E391" s="399">
        <v>9131209.9700000007</v>
      </c>
      <c r="F391" s="114">
        <f t="shared" ref="F391:F397" si="323">(E391*7.5%)/360</f>
        <v>1902.3354104166667</v>
      </c>
      <c r="G391" s="396">
        <v>25184.16</v>
      </c>
      <c r="H391" s="114">
        <f t="shared" ref="H391:H397" si="324">(G391*4.5%)/360</f>
        <v>3.1480199999999998</v>
      </c>
      <c r="I391" s="399">
        <v>199103.66</v>
      </c>
      <c r="J391" s="114">
        <f t="shared" ref="J391:J397" si="325">(I391*4.5%)/360</f>
        <v>24.887957499999999</v>
      </c>
      <c r="K391" s="396">
        <v>75002.59</v>
      </c>
      <c r="L391" s="114">
        <f t="shared" ref="L391:L397" si="326">(K391*6.5%)/360</f>
        <v>13.542134305555555</v>
      </c>
      <c r="M391" s="396">
        <v>2686.67</v>
      </c>
      <c r="N391" s="114">
        <f t="shared" ref="N391:N397" si="327">(M391*2.5%)/360</f>
        <v>0.18657430555555557</v>
      </c>
      <c r="O391" s="396">
        <v>89328.01</v>
      </c>
      <c r="P391" s="114">
        <f t="shared" ref="P391:P397" si="328">(O391*6.5%)/360</f>
        <v>16.12866847222222</v>
      </c>
      <c r="Q391" s="396">
        <v>106400.92</v>
      </c>
      <c r="R391" s="398">
        <f t="shared" ref="R391:R397" si="329">(Q391*8%)/360</f>
        <v>23.644648888888888</v>
      </c>
    </row>
    <row r="392" spans="2:18" x14ac:dyDescent="0.3">
      <c r="B392" s="393">
        <f t="shared" si="306"/>
        <v>45859</v>
      </c>
      <c r="C392" s="396">
        <v>872544.63</v>
      </c>
      <c r="D392" s="114">
        <f t="shared" si="298"/>
        <v>181.78013125000001</v>
      </c>
      <c r="E392" s="399">
        <v>7375888.4900000002</v>
      </c>
      <c r="F392" s="114">
        <f t="shared" si="323"/>
        <v>1536.6434354166665</v>
      </c>
      <c r="G392" s="396">
        <v>25184.16</v>
      </c>
      <c r="H392" s="114">
        <f t="shared" si="324"/>
        <v>3.1480199999999998</v>
      </c>
      <c r="I392" s="399">
        <v>199103.66</v>
      </c>
      <c r="J392" s="114">
        <f t="shared" si="325"/>
        <v>24.887957499999999</v>
      </c>
      <c r="K392" s="396">
        <v>75002.59</v>
      </c>
      <c r="L392" s="114">
        <f t="shared" si="326"/>
        <v>13.542134305555555</v>
      </c>
      <c r="M392" s="396">
        <v>2686.67</v>
      </c>
      <c r="N392" s="114">
        <f t="shared" si="327"/>
        <v>0.18657430555555557</v>
      </c>
      <c r="O392" s="396">
        <v>89328.01</v>
      </c>
      <c r="P392" s="114">
        <f t="shared" si="328"/>
        <v>16.12866847222222</v>
      </c>
      <c r="Q392" s="396">
        <v>106400.92</v>
      </c>
      <c r="R392" s="398">
        <f t="shared" si="329"/>
        <v>23.644648888888888</v>
      </c>
    </row>
    <row r="393" spans="2:18" x14ac:dyDescent="0.3">
      <c r="B393" s="393">
        <f t="shared" si="306"/>
        <v>45860</v>
      </c>
      <c r="C393" s="396">
        <v>872544.63</v>
      </c>
      <c r="D393" s="114">
        <f t="shared" si="298"/>
        <v>181.78013125000001</v>
      </c>
      <c r="E393" s="399">
        <v>5882317.0700000003</v>
      </c>
      <c r="F393" s="114">
        <f t="shared" si="323"/>
        <v>1225.4827229166667</v>
      </c>
      <c r="G393" s="396">
        <v>25184.16</v>
      </c>
      <c r="H393" s="114">
        <f t="shared" si="324"/>
        <v>3.1480199999999998</v>
      </c>
      <c r="I393" s="399">
        <v>199103.66</v>
      </c>
      <c r="J393" s="114">
        <f t="shared" si="325"/>
        <v>24.887957499999999</v>
      </c>
      <c r="K393" s="396">
        <v>75002.59</v>
      </c>
      <c r="L393" s="114">
        <f t="shared" si="326"/>
        <v>13.542134305555555</v>
      </c>
      <c r="M393" s="396">
        <v>2686.67</v>
      </c>
      <c r="N393" s="114">
        <f t="shared" si="327"/>
        <v>0.18657430555555557</v>
      </c>
      <c r="O393" s="396">
        <v>89328.01</v>
      </c>
      <c r="P393" s="114">
        <f t="shared" si="328"/>
        <v>16.12866847222222</v>
      </c>
      <c r="Q393" s="396">
        <v>106400.92</v>
      </c>
      <c r="R393" s="398">
        <f t="shared" si="329"/>
        <v>23.644648888888888</v>
      </c>
    </row>
    <row r="394" spans="2:18" x14ac:dyDescent="0.3">
      <c r="B394" s="393">
        <f t="shared" si="306"/>
        <v>45861</v>
      </c>
      <c r="C394" s="396">
        <v>872544.63</v>
      </c>
      <c r="D394" s="114">
        <f t="shared" si="298"/>
        <v>181.78013125000001</v>
      </c>
      <c r="E394" s="399">
        <v>4662419.6900000004</v>
      </c>
      <c r="F394" s="114">
        <f t="shared" si="323"/>
        <v>971.33743541666672</v>
      </c>
      <c r="G394" s="396">
        <v>25184.16</v>
      </c>
      <c r="H394" s="114">
        <f t="shared" si="324"/>
        <v>3.1480199999999998</v>
      </c>
      <c r="I394" s="399">
        <v>199103.66</v>
      </c>
      <c r="J394" s="114">
        <f t="shared" si="325"/>
        <v>24.887957499999999</v>
      </c>
      <c r="K394" s="396">
        <v>75002.59</v>
      </c>
      <c r="L394" s="114">
        <f t="shared" si="326"/>
        <v>13.542134305555555</v>
      </c>
      <c r="M394" s="396">
        <v>2686.67</v>
      </c>
      <c r="N394" s="114">
        <f t="shared" si="327"/>
        <v>0.18657430555555557</v>
      </c>
      <c r="O394" s="396">
        <v>89328.01</v>
      </c>
      <c r="P394" s="114">
        <f t="shared" si="328"/>
        <v>16.12866847222222</v>
      </c>
      <c r="Q394" s="396">
        <v>106400.92</v>
      </c>
      <c r="R394" s="398">
        <f t="shared" si="329"/>
        <v>23.644648888888888</v>
      </c>
    </row>
    <row r="395" spans="2:18" x14ac:dyDescent="0.3">
      <c r="B395" s="393">
        <f t="shared" si="306"/>
        <v>45862</v>
      </c>
      <c r="C395" s="396">
        <v>362544.63</v>
      </c>
      <c r="D395" s="114">
        <f t="shared" si="298"/>
        <v>75.530131249999997</v>
      </c>
      <c r="E395" s="399">
        <v>7324728.79</v>
      </c>
      <c r="F395" s="114">
        <f t="shared" si="323"/>
        <v>1525.9851645833335</v>
      </c>
      <c r="G395" s="396">
        <v>105184.16</v>
      </c>
      <c r="H395" s="114">
        <f t="shared" si="324"/>
        <v>13.148019999999999</v>
      </c>
      <c r="I395" s="399">
        <v>199103.66</v>
      </c>
      <c r="J395" s="114">
        <f t="shared" si="325"/>
        <v>24.887957499999999</v>
      </c>
      <c r="K395" s="396">
        <v>75002.59</v>
      </c>
      <c r="L395" s="114">
        <f t="shared" si="326"/>
        <v>13.542134305555555</v>
      </c>
      <c r="M395" s="396">
        <v>2686.67</v>
      </c>
      <c r="N395" s="114">
        <f t="shared" si="327"/>
        <v>0.18657430555555557</v>
      </c>
      <c r="O395" s="396">
        <v>89328.01</v>
      </c>
      <c r="P395" s="114">
        <f t="shared" si="328"/>
        <v>16.12866847222222</v>
      </c>
      <c r="Q395" s="396">
        <v>106400.92</v>
      </c>
      <c r="R395" s="398">
        <f t="shared" si="329"/>
        <v>23.644648888888888</v>
      </c>
    </row>
    <row r="396" spans="2:18" x14ac:dyDescent="0.3">
      <c r="B396" s="393">
        <f t="shared" si="306"/>
        <v>45863</v>
      </c>
      <c r="C396" s="396">
        <v>362544.63</v>
      </c>
      <c r="D396" s="114">
        <f t="shared" si="298"/>
        <v>75.530131249999997</v>
      </c>
      <c r="E396" s="399">
        <v>7324728.79</v>
      </c>
      <c r="F396" s="114">
        <f t="shared" si="323"/>
        <v>1525.9851645833335</v>
      </c>
      <c r="G396" s="396">
        <v>105184.16</v>
      </c>
      <c r="H396" s="114">
        <f t="shared" si="324"/>
        <v>13.148019999999999</v>
      </c>
      <c r="I396" s="399">
        <v>199103.66</v>
      </c>
      <c r="J396" s="114">
        <f t="shared" si="325"/>
        <v>24.887957499999999</v>
      </c>
      <c r="K396" s="396">
        <v>75002.59</v>
      </c>
      <c r="L396" s="114">
        <f t="shared" si="326"/>
        <v>13.542134305555555</v>
      </c>
      <c r="M396" s="396">
        <v>2686.67</v>
      </c>
      <c r="N396" s="114">
        <f t="shared" si="327"/>
        <v>0.18657430555555557</v>
      </c>
      <c r="O396" s="396">
        <v>89328.01</v>
      </c>
      <c r="P396" s="114">
        <f t="shared" si="328"/>
        <v>16.12866847222222</v>
      </c>
      <c r="Q396" s="396">
        <v>106400.92</v>
      </c>
      <c r="R396" s="398">
        <f t="shared" si="329"/>
        <v>23.644648888888888</v>
      </c>
    </row>
    <row r="397" spans="2:18" x14ac:dyDescent="0.3">
      <c r="B397" s="393">
        <f t="shared" si="306"/>
        <v>45864</v>
      </c>
      <c r="C397" s="396">
        <v>362544.63</v>
      </c>
      <c r="D397" s="114">
        <f t="shared" si="298"/>
        <v>75.530131249999997</v>
      </c>
      <c r="E397" s="399">
        <v>7324728.79</v>
      </c>
      <c r="F397" s="114">
        <f t="shared" si="323"/>
        <v>1525.9851645833335</v>
      </c>
      <c r="G397" s="396">
        <v>105184.16</v>
      </c>
      <c r="H397" s="114">
        <f t="shared" si="324"/>
        <v>13.148019999999999</v>
      </c>
      <c r="I397" s="399">
        <v>199103.66</v>
      </c>
      <c r="J397" s="114">
        <f t="shared" si="325"/>
        <v>24.887957499999999</v>
      </c>
      <c r="K397" s="396">
        <v>75002.59</v>
      </c>
      <c r="L397" s="114">
        <f t="shared" si="326"/>
        <v>13.542134305555555</v>
      </c>
      <c r="M397" s="396">
        <v>2686.67</v>
      </c>
      <c r="N397" s="114">
        <f t="shared" si="327"/>
        <v>0.18657430555555557</v>
      </c>
      <c r="O397" s="396">
        <v>89328.01</v>
      </c>
      <c r="P397" s="114">
        <f t="shared" si="328"/>
        <v>16.12866847222222</v>
      </c>
      <c r="Q397" s="396">
        <v>106400.92</v>
      </c>
      <c r="R397" s="398">
        <f t="shared" si="329"/>
        <v>23.644648888888888</v>
      </c>
    </row>
    <row r="398" spans="2:18" x14ac:dyDescent="0.3">
      <c r="B398" s="393">
        <f t="shared" si="306"/>
        <v>45865</v>
      </c>
      <c r="C398" s="396">
        <v>408909.69</v>
      </c>
      <c r="D398" s="114">
        <f t="shared" si="298"/>
        <v>85.189518749999991</v>
      </c>
      <c r="E398" s="399">
        <v>4413073.76</v>
      </c>
      <c r="F398" s="114">
        <f t="shared" ref="F398:F404" si="330">(E398*7.5%)/360</f>
        <v>919.39036666666652</v>
      </c>
      <c r="G398" s="396">
        <v>105184.16</v>
      </c>
      <c r="H398" s="114">
        <f t="shared" ref="H398:H404" si="331">(G398*4.5%)/360</f>
        <v>13.148019999999999</v>
      </c>
      <c r="I398" s="399">
        <v>117184.16</v>
      </c>
      <c r="J398" s="114">
        <f t="shared" ref="J398:J404" si="332">(I398*4.5%)/360</f>
        <v>14.648019999999999</v>
      </c>
      <c r="K398" s="396">
        <v>75002.59</v>
      </c>
      <c r="L398" s="114">
        <f t="shared" ref="L398:L404" si="333">(K398*6.5%)/360</f>
        <v>13.542134305555555</v>
      </c>
      <c r="M398" s="396">
        <v>2686.67</v>
      </c>
      <c r="N398" s="114">
        <f t="shared" ref="N398:N404" si="334">(M398*2.5%)/360</f>
        <v>0.18657430555555557</v>
      </c>
      <c r="O398" s="396">
        <v>89328.01</v>
      </c>
      <c r="P398" s="114">
        <f t="shared" ref="P398:P404" si="335">(O398*6.5%)/360</f>
        <v>16.12866847222222</v>
      </c>
      <c r="Q398" s="396">
        <v>106400.92</v>
      </c>
      <c r="R398" s="398">
        <f t="shared" ref="R398:R404" si="336">(Q398*8%)/360</f>
        <v>23.644648888888888</v>
      </c>
    </row>
    <row r="399" spans="2:18" x14ac:dyDescent="0.3">
      <c r="B399" s="393">
        <f t="shared" si="306"/>
        <v>45866</v>
      </c>
      <c r="C399" s="396">
        <v>112222.52</v>
      </c>
      <c r="D399" s="114">
        <f t="shared" si="298"/>
        <v>23.379691666666666</v>
      </c>
      <c r="E399" s="399">
        <v>6641301.4100000001</v>
      </c>
      <c r="F399" s="114">
        <f t="shared" si="330"/>
        <v>1383.6044604166666</v>
      </c>
      <c r="G399" s="396">
        <v>105184.16</v>
      </c>
      <c r="H399" s="114">
        <f t="shared" si="331"/>
        <v>13.148019999999999</v>
      </c>
      <c r="I399" s="399">
        <v>117184.16</v>
      </c>
      <c r="J399" s="114">
        <f t="shared" si="332"/>
        <v>14.648019999999999</v>
      </c>
      <c r="K399" s="396">
        <v>75002.59</v>
      </c>
      <c r="L399" s="114">
        <f t="shared" si="333"/>
        <v>13.542134305555555</v>
      </c>
      <c r="M399" s="396">
        <v>2686.67</v>
      </c>
      <c r="N399" s="114">
        <f t="shared" si="334"/>
        <v>0.18657430555555557</v>
      </c>
      <c r="O399" s="396">
        <v>89328.01</v>
      </c>
      <c r="P399" s="114">
        <f t="shared" si="335"/>
        <v>16.12866847222222</v>
      </c>
      <c r="Q399" s="396">
        <v>106400.92</v>
      </c>
      <c r="R399" s="398">
        <f t="shared" si="336"/>
        <v>23.644648888888888</v>
      </c>
    </row>
    <row r="400" spans="2:18" x14ac:dyDescent="0.3">
      <c r="B400" s="393">
        <f t="shared" si="306"/>
        <v>45867</v>
      </c>
      <c r="C400" s="396">
        <v>312222.52</v>
      </c>
      <c r="D400" s="114">
        <f t="shared" si="298"/>
        <v>65.046358333333345</v>
      </c>
      <c r="E400" s="399">
        <v>4082284.19</v>
      </c>
      <c r="F400" s="114">
        <f t="shared" si="330"/>
        <v>850.47587291666662</v>
      </c>
      <c r="G400" s="396">
        <v>105184.16</v>
      </c>
      <c r="H400" s="114">
        <f t="shared" si="331"/>
        <v>13.148019999999999</v>
      </c>
      <c r="I400" s="399">
        <v>117184.16</v>
      </c>
      <c r="J400" s="114">
        <f t="shared" si="332"/>
        <v>14.648019999999999</v>
      </c>
      <c r="K400" s="396">
        <v>75002.59</v>
      </c>
      <c r="L400" s="114">
        <f t="shared" si="333"/>
        <v>13.542134305555555</v>
      </c>
      <c r="M400" s="396">
        <v>2686.67</v>
      </c>
      <c r="N400" s="114">
        <f t="shared" si="334"/>
        <v>0.18657430555555557</v>
      </c>
      <c r="O400" s="396">
        <v>89328.01</v>
      </c>
      <c r="P400" s="114">
        <f t="shared" si="335"/>
        <v>16.12866847222222</v>
      </c>
      <c r="Q400" s="396">
        <v>106400.92</v>
      </c>
      <c r="R400" s="398">
        <f t="shared" si="336"/>
        <v>23.644648888888888</v>
      </c>
    </row>
    <row r="401" spans="2:18" x14ac:dyDescent="0.3">
      <c r="B401" s="393">
        <f t="shared" si="306"/>
        <v>45868</v>
      </c>
      <c r="C401" s="396">
        <v>312222.52</v>
      </c>
      <c r="D401" s="114">
        <f t="shared" si="298"/>
        <v>65.046358333333345</v>
      </c>
      <c r="E401" s="399">
        <v>251014.13</v>
      </c>
      <c r="F401" s="114">
        <f t="shared" si="330"/>
        <v>52.294610416666664</v>
      </c>
      <c r="G401" s="396">
        <v>105184.16</v>
      </c>
      <c r="H401" s="114">
        <f t="shared" si="331"/>
        <v>13.148019999999999</v>
      </c>
      <c r="I401" s="399">
        <v>117184.16</v>
      </c>
      <c r="J401" s="114">
        <f t="shared" si="332"/>
        <v>14.648019999999999</v>
      </c>
      <c r="K401" s="396">
        <v>75002.59</v>
      </c>
      <c r="L401" s="114">
        <f t="shared" si="333"/>
        <v>13.542134305555555</v>
      </c>
      <c r="M401" s="396">
        <v>2686.67</v>
      </c>
      <c r="N401" s="114">
        <f t="shared" si="334"/>
        <v>0.18657430555555557</v>
      </c>
      <c r="O401" s="396">
        <v>89328.01</v>
      </c>
      <c r="P401" s="114">
        <f t="shared" si="335"/>
        <v>16.12866847222222</v>
      </c>
      <c r="Q401" s="396">
        <v>106400.92</v>
      </c>
      <c r="R401" s="398">
        <f t="shared" si="336"/>
        <v>23.644648888888888</v>
      </c>
    </row>
    <row r="402" spans="2:18" x14ac:dyDescent="0.3">
      <c r="B402" s="393">
        <f t="shared" si="306"/>
        <v>45869</v>
      </c>
      <c r="C402" s="396">
        <v>937222.52</v>
      </c>
      <c r="D402" s="114">
        <f t="shared" si="298"/>
        <v>195.25469166666667</v>
      </c>
      <c r="E402" s="399">
        <v>551014.13</v>
      </c>
      <c r="F402" s="114">
        <f t="shared" si="330"/>
        <v>114.79461041666667</v>
      </c>
      <c r="G402" s="396">
        <v>7184.16</v>
      </c>
      <c r="H402" s="114">
        <f t="shared" si="331"/>
        <v>0.89801999999999993</v>
      </c>
      <c r="I402" s="399">
        <v>9103.66</v>
      </c>
      <c r="J402" s="114">
        <f t="shared" si="332"/>
        <v>1.1379575</v>
      </c>
      <c r="K402" s="396">
        <v>75002.59</v>
      </c>
      <c r="L402" s="114">
        <f t="shared" si="333"/>
        <v>13.542134305555555</v>
      </c>
      <c r="M402" s="396">
        <v>2686.67</v>
      </c>
      <c r="N402" s="114">
        <f t="shared" si="334"/>
        <v>0.18657430555555557</v>
      </c>
      <c r="O402" s="396">
        <v>89328.01</v>
      </c>
      <c r="P402" s="114">
        <f t="shared" si="335"/>
        <v>16.12866847222222</v>
      </c>
      <c r="Q402" s="396">
        <v>106400.92</v>
      </c>
      <c r="R402" s="398">
        <f t="shared" si="336"/>
        <v>23.644648888888888</v>
      </c>
    </row>
    <row r="403" spans="2:18" x14ac:dyDescent="0.3">
      <c r="B403" s="393">
        <f t="shared" si="306"/>
        <v>45870</v>
      </c>
      <c r="C403" s="396">
        <v>937222.52</v>
      </c>
      <c r="D403" s="114">
        <f t="shared" si="298"/>
        <v>195.25469166666667</v>
      </c>
      <c r="E403" s="399">
        <v>551014.13</v>
      </c>
      <c r="F403" s="114">
        <f t="shared" si="330"/>
        <v>114.79461041666667</v>
      </c>
      <c r="G403" s="396">
        <v>7184.16</v>
      </c>
      <c r="H403" s="114">
        <f t="shared" si="331"/>
        <v>0.89801999999999993</v>
      </c>
      <c r="I403" s="399">
        <v>9103.66</v>
      </c>
      <c r="J403" s="114">
        <f t="shared" si="332"/>
        <v>1.1379575</v>
      </c>
      <c r="K403" s="396">
        <v>75002.59</v>
      </c>
      <c r="L403" s="114">
        <f t="shared" si="333"/>
        <v>13.542134305555555</v>
      </c>
      <c r="M403" s="396">
        <v>2686.67</v>
      </c>
      <c r="N403" s="114">
        <f t="shared" si="334"/>
        <v>0.18657430555555557</v>
      </c>
      <c r="O403" s="396">
        <v>89328.01</v>
      </c>
      <c r="P403" s="114">
        <f t="shared" si="335"/>
        <v>16.12866847222222</v>
      </c>
      <c r="Q403" s="396">
        <v>106400.92</v>
      </c>
      <c r="R403" s="398">
        <f t="shared" si="336"/>
        <v>23.644648888888888</v>
      </c>
    </row>
    <row r="404" spans="2:18" x14ac:dyDescent="0.3">
      <c r="B404" s="393">
        <f t="shared" si="306"/>
        <v>45871</v>
      </c>
      <c r="C404" s="396">
        <v>937222.52</v>
      </c>
      <c r="D404" s="114">
        <f t="shared" si="298"/>
        <v>195.25469166666667</v>
      </c>
      <c r="E404" s="399">
        <v>551014.13</v>
      </c>
      <c r="F404" s="114">
        <f t="shared" si="330"/>
        <v>114.79461041666667</v>
      </c>
      <c r="G404" s="396">
        <v>7184.16</v>
      </c>
      <c r="H404" s="114">
        <f t="shared" si="331"/>
        <v>0.89801999999999993</v>
      </c>
      <c r="I404" s="399">
        <v>9103.66</v>
      </c>
      <c r="J404" s="114">
        <f t="shared" si="332"/>
        <v>1.1379575</v>
      </c>
      <c r="K404" s="396">
        <v>75002.59</v>
      </c>
      <c r="L404" s="114">
        <f t="shared" si="333"/>
        <v>13.542134305555555</v>
      </c>
      <c r="M404" s="396">
        <v>2686.67</v>
      </c>
      <c r="N404" s="114">
        <f t="shared" si="334"/>
        <v>0.18657430555555557</v>
      </c>
      <c r="O404" s="396">
        <v>89328.01</v>
      </c>
      <c r="P404" s="114">
        <f t="shared" si="335"/>
        <v>16.12866847222222</v>
      </c>
      <c r="Q404" s="396">
        <v>106400.92</v>
      </c>
      <c r="R404" s="398">
        <f t="shared" si="336"/>
        <v>23.644648888888888</v>
      </c>
    </row>
    <row r="405" spans="2:18" x14ac:dyDescent="0.3">
      <c r="B405" s="393">
        <f t="shared" si="306"/>
        <v>45872</v>
      </c>
      <c r="C405" s="396">
        <v>4787162.5199999996</v>
      </c>
      <c r="D405" s="114">
        <f t="shared" ref="D405:D468" si="337">(C405*7.5%)/360</f>
        <v>997.32552499999986</v>
      </c>
      <c r="E405" s="399">
        <v>1958338.88</v>
      </c>
      <c r="F405" s="114">
        <f t="shared" ref="F405:F411" si="338">(E405*7.5%)/360</f>
        <v>407.98726666666664</v>
      </c>
      <c r="G405" s="396">
        <v>7184.16</v>
      </c>
      <c r="H405" s="114">
        <f t="shared" ref="H405:H411" si="339">(G405*4.5%)/360</f>
        <v>0.89801999999999993</v>
      </c>
      <c r="I405" s="399">
        <v>9103.66</v>
      </c>
      <c r="J405" s="114">
        <f t="shared" ref="J405:J411" si="340">(I405*4.5%)/360</f>
        <v>1.1379575</v>
      </c>
      <c r="K405" s="396">
        <v>75002.59</v>
      </c>
      <c r="L405" s="114">
        <f t="shared" ref="L405:L411" si="341">(K405*6.5%)/360</f>
        <v>13.542134305555555</v>
      </c>
      <c r="M405" s="396">
        <v>2686.67</v>
      </c>
      <c r="N405" s="114">
        <f t="shared" ref="N405:N411" si="342">(M405*2.5%)/360</f>
        <v>0.18657430555555557</v>
      </c>
      <c r="O405" s="396">
        <v>89328.01</v>
      </c>
      <c r="P405" s="114">
        <f t="shared" ref="P405:P411" si="343">(O405*6.5%)/360</f>
        <v>16.12866847222222</v>
      </c>
      <c r="Q405" s="396">
        <v>106400.92</v>
      </c>
      <c r="R405" s="398">
        <f t="shared" ref="R405:R411" si="344">(Q405*8%)/360</f>
        <v>23.644648888888888</v>
      </c>
    </row>
    <row r="406" spans="2:18" x14ac:dyDescent="0.3">
      <c r="B406" s="393">
        <f t="shared" si="306"/>
        <v>45873</v>
      </c>
      <c r="C406" s="396">
        <v>40605.07</v>
      </c>
      <c r="D406" s="114">
        <f t="shared" si="337"/>
        <v>8.4593895833333317</v>
      </c>
      <c r="E406" s="399">
        <v>4238293.29</v>
      </c>
      <c r="F406" s="114">
        <f t="shared" si="338"/>
        <v>882.97776875</v>
      </c>
      <c r="G406" s="396">
        <v>7184.16</v>
      </c>
      <c r="H406" s="114">
        <f t="shared" si="339"/>
        <v>0.89801999999999993</v>
      </c>
      <c r="I406" s="399">
        <v>9103.66</v>
      </c>
      <c r="J406" s="114">
        <f t="shared" si="340"/>
        <v>1.1379575</v>
      </c>
      <c r="K406" s="396">
        <v>75002.59</v>
      </c>
      <c r="L406" s="114">
        <f t="shared" si="341"/>
        <v>13.542134305555555</v>
      </c>
      <c r="M406" s="396">
        <v>2686.67</v>
      </c>
      <c r="N406" s="114">
        <f t="shared" si="342"/>
        <v>0.18657430555555557</v>
      </c>
      <c r="O406" s="396">
        <v>89328.01</v>
      </c>
      <c r="P406" s="114">
        <f t="shared" si="343"/>
        <v>16.12866847222222</v>
      </c>
      <c r="Q406" s="396">
        <v>106400.92</v>
      </c>
      <c r="R406" s="398">
        <f t="shared" si="344"/>
        <v>23.644648888888888</v>
      </c>
    </row>
    <row r="407" spans="2:18" x14ac:dyDescent="0.3">
      <c r="B407" s="393">
        <f t="shared" si="306"/>
        <v>45874</v>
      </c>
      <c r="C407" s="396">
        <v>40605.07</v>
      </c>
      <c r="D407" s="114">
        <f t="shared" si="337"/>
        <v>8.4593895833333317</v>
      </c>
      <c r="E407" s="399">
        <v>4238293.29</v>
      </c>
      <c r="F407" s="114">
        <f t="shared" si="338"/>
        <v>882.97776875</v>
      </c>
      <c r="G407" s="396">
        <v>7184.16</v>
      </c>
      <c r="H407" s="114">
        <f t="shared" si="339"/>
        <v>0.89801999999999993</v>
      </c>
      <c r="I407" s="399">
        <v>9103.66</v>
      </c>
      <c r="J407" s="114">
        <f t="shared" si="340"/>
        <v>1.1379575</v>
      </c>
      <c r="K407" s="396">
        <v>75002.59</v>
      </c>
      <c r="L407" s="114">
        <f t="shared" si="341"/>
        <v>13.542134305555555</v>
      </c>
      <c r="M407" s="396">
        <v>2686.67</v>
      </c>
      <c r="N407" s="114">
        <f t="shared" si="342"/>
        <v>0.18657430555555557</v>
      </c>
      <c r="O407" s="396">
        <v>89328.01</v>
      </c>
      <c r="P407" s="114">
        <f t="shared" si="343"/>
        <v>16.12866847222222</v>
      </c>
      <c r="Q407" s="396">
        <v>106400.92</v>
      </c>
      <c r="R407" s="398">
        <f t="shared" si="344"/>
        <v>23.644648888888888</v>
      </c>
    </row>
    <row r="408" spans="2:18" x14ac:dyDescent="0.3">
      <c r="B408" s="393">
        <f t="shared" si="306"/>
        <v>45875</v>
      </c>
      <c r="C408" s="396">
        <v>4054.81</v>
      </c>
      <c r="D408" s="114">
        <f t="shared" si="337"/>
        <v>0.84475208333333329</v>
      </c>
      <c r="E408" s="399">
        <v>419070.19</v>
      </c>
      <c r="F408" s="114">
        <f t="shared" si="338"/>
        <v>87.306289583333339</v>
      </c>
      <c r="G408" s="396">
        <v>7184.16</v>
      </c>
      <c r="H408" s="114">
        <f t="shared" si="339"/>
        <v>0.89801999999999993</v>
      </c>
      <c r="I408" s="399">
        <v>9103.66</v>
      </c>
      <c r="J408" s="114">
        <f t="shared" si="340"/>
        <v>1.1379575</v>
      </c>
      <c r="K408" s="396">
        <v>75002.59</v>
      </c>
      <c r="L408" s="114">
        <f t="shared" si="341"/>
        <v>13.542134305555555</v>
      </c>
      <c r="M408" s="396">
        <v>2686.67</v>
      </c>
      <c r="N408" s="114">
        <f t="shared" si="342"/>
        <v>0.18657430555555557</v>
      </c>
      <c r="O408" s="396">
        <v>89328.01</v>
      </c>
      <c r="P408" s="114">
        <f t="shared" si="343"/>
        <v>16.12866847222222</v>
      </c>
      <c r="Q408" s="396">
        <v>106400.92</v>
      </c>
      <c r="R408" s="398">
        <f t="shared" si="344"/>
        <v>23.644648888888888</v>
      </c>
    </row>
    <row r="409" spans="2:18" x14ac:dyDescent="0.3">
      <c r="B409" s="393">
        <f t="shared" si="306"/>
        <v>45876</v>
      </c>
      <c r="C409" s="396">
        <v>551054.81000000006</v>
      </c>
      <c r="D409" s="114">
        <f t="shared" si="337"/>
        <v>114.80308541666666</v>
      </c>
      <c r="E409" s="399">
        <v>2224853.7200000002</v>
      </c>
      <c r="F409" s="114">
        <f t="shared" si="338"/>
        <v>463.51119166666672</v>
      </c>
      <c r="G409" s="396">
        <v>7184.16</v>
      </c>
      <c r="H409" s="114">
        <f t="shared" si="339"/>
        <v>0.89801999999999993</v>
      </c>
      <c r="I409" s="399">
        <v>9103.66</v>
      </c>
      <c r="J409" s="114">
        <f t="shared" si="340"/>
        <v>1.1379575</v>
      </c>
      <c r="K409" s="396">
        <v>75002.59</v>
      </c>
      <c r="L409" s="114">
        <f t="shared" si="341"/>
        <v>13.542134305555555</v>
      </c>
      <c r="M409" s="396">
        <v>2686.67</v>
      </c>
      <c r="N409" s="114">
        <f t="shared" si="342"/>
        <v>0.18657430555555557</v>
      </c>
      <c r="O409" s="396">
        <v>89328.01</v>
      </c>
      <c r="P409" s="114">
        <f t="shared" si="343"/>
        <v>16.12866847222222</v>
      </c>
      <c r="Q409" s="396">
        <v>6400.92</v>
      </c>
      <c r="R409" s="398">
        <f t="shared" si="344"/>
        <v>1.4224266666666667</v>
      </c>
    </row>
    <row r="410" spans="2:18" x14ac:dyDescent="0.3">
      <c r="B410" s="393">
        <f t="shared" si="306"/>
        <v>45877</v>
      </c>
      <c r="C410" s="396">
        <v>551054.81000000006</v>
      </c>
      <c r="D410" s="114">
        <f t="shared" si="337"/>
        <v>114.80308541666666</v>
      </c>
      <c r="E410" s="399">
        <v>2224853.7200000002</v>
      </c>
      <c r="F410" s="114">
        <f t="shared" si="338"/>
        <v>463.51119166666672</v>
      </c>
      <c r="G410" s="396">
        <v>7184.16</v>
      </c>
      <c r="H410" s="114">
        <f t="shared" si="339"/>
        <v>0.89801999999999993</v>
      </c>
      <c r="I410" s="399">
        <v>9103.66</v>
      </c>
      <c r="J410" s="114">
        <f t="shared" si="340"/>
        <v>1.1379575</v>
      </c>
      <c r="K410" s="396">
        <v>75002.59</v>
      </c>
      <c r="L410" s="114">
        <f t="shared" si="341"/>
        <v>13.542134305555555</v>
      </c>
      <c r="M410" s="396">
        <v>2686.67</v>
      </c>
      <c r="N410" s="114">
        <f t="shared" si="342"/>
        <v>0.18657430555555557</v>
      </c>
      <c r="O410" s="396">
        <v>89328.01</v>
      </c>
      <c r="P410" s="114">
        <f t="shared" si="343"/>
        <v>16.12866847222222</v>
      </c>
      <c r="Q410" s="396">
        <v>6400.92</v>
      </c>
      <c r="R410" s="398">
        <f t="shared" si="344"/>
        <v>1.4224266666666667</v>
      </c>
    </row>
    <row r="411" spans="2:18" x14ac:dyDescent="0.3">
      <c r="B411" s="393">
        <f t="shared" si="306"/>
        <v>45878</v>
      </c>
      <c r="C411" s="396">
        <v>551054.81000000006</v>
      </c>
      <c r="D411" s="114">
        <f t="shared" si="337"/>
        <v>114.80308541666666</v>
      </c>
      <c r="E411" s="399">
        <v>2224853.7200000002</v>
      </c>
      <c r="F411" s="114">
        <f t="shared" si="338"/>
        <v>463.51119166666672</v>
      </c>
      <c r="G411" s="396">
        <v>7184.16</v>
      </c>
      <c r="H411" s="114">
        <f t="shared" si="339"/>
        <v>0.89801999999999993</v>
      </c>
      <c r="I411" s="399">
        <v>9103.66</v>
      </c>
      <c r="J411" s="114">
        <f t="shared" si="340"/>
        <v>1.1379575</v>
      </c>
      <c r="K411" s="396">
        <v>75002.59</v>
      </c>
      <c r="L411" s="114">
        <f t="shared" si="341"/>
        <v>13.542134305555555</v>
      </c>
      <c r="M411" s="396">
        <v>2686.67</v>
      </c>
      <c r="N411" s="114">
        <f t="shared" si="342"/>
        <v>0.18657430555555557</v>
      </c>
      <c r="O411" s="396">
        <v>89328.01</v>
      </c>
      <c r="P411" s="114">
        <f t="shared" si="343"/>
        <v>16.12866847222222</v>
      </c>
      <c r="Q411" s="396">
        <v>6400.92</v>
      </c>
      <c r="R411" s="398">
        <f t="shared" si="344"/>
        <v>1.4224266666666667</v>
      </c>
    </row>
    <row r="412" spans="2:18" x14ac:dyDescent="0.3">
      <c r="B412" s="393">
        <f t="shared" si="306"/>
        <v>45879</v>
      </c>
      <c r="C412" s="396">
        <v>551054.81000000006</v>
      </c>
      <c r="D412" s="114">
        <f t="shared" si="337"/>
        <v>114.80308541666666</v>
      </c>
      <c r="E412" s="399">
        <v>685788.57</v>
      </c>
      <c r="F412" s="114">
        <f t="shared" ref="F412:F425" si="345">(E412*7.5%)/360</f>
        <v>142.87261874999999</v>
      </c>
      <c r="G412" s="396">
        <v>8361.91</v>
      </c>
      <c r="H412" s="114">
        <f t="shared" ref="H412:H418" si="346">(G412*4.5%)/360</f>
        <v>1.0452387499999998</v>
      </c>
      <c r="I412" s="399">
        <v>9830.66</v>
      </c>
      <c r="J412" s="114">
        <f t="shared" ref="J412:J418" si="347">(I412*4.5%)/360</f>
        <v>1.2288324999999998</v>
      </c>
      <c r="K412" s="396">
        <v>75002.59</v>
      </c>
      <c r="L412" s="114">
        <f t="shared" ref="L412:L418" si="348">(K412*6.5%)/360</f>
        <v>13.542134305555555</v>
      </c>
      <c r="M412" s="396">
        <v>2686.67</v>
      </c>
      <c r="N412" s="114">
        <f t="shared" ref="N412:N418" si="349">(M412*2.5%)/360</f>
        <v>0.18657430555555557</v>
      </c>
      <c r="O412" s="396">
        <v>89328.01</v>
      </c>
      <c r="P412" s="114">
        <f t="shared" ref="P412:P418" si="350">(O412*6.5%)/360</f>
        <v>16.12866847222222</v>
      </c>
      <c r="Q412" s="396">
        <v>6400.92</v>
      </c>
      <c r="R412" s="398">
        <f t="shared" ref="R412:R418" si="351">(Q412*8%)/360</f>
        <v>1.4224266666666667</v>
      </c>
    </row>
    <row r="413" spans="2:18" x14ac:dyDescent="0.3">
      <c r="B413" s="393">
        <f t="shared" si="306"/>
        <v>45880</v>
      </c>
      <c r="C413" s="396">
        <v>551054.81000000006</v>
      </c>
      <c r="D413" s="114">
        <f t="shared" si="337"/>
        <v>114.80308541666666</v>
      </c>
      <c r="E413" s="399">
        <v>685788.57</v>
      </c>
      <c r="F413" s="114">
        <f t="shared" si="345"/>
        <v>142.87261874999999</v>
      </c>
      <c r="G413" s="396">
        <v>8361.91</v>
      </c>
      <c r="H413" s="114">
        <f t="shared" si="346"/>
        <v>1.0452387499999998</v>
      </c>
      <c r="I413" s="399">
        <v>9830.66</v>
      </c>
      <c r="J413" s="114">
        <f t="shared" si="347"/>
        <v>1.2288324999999998</v>
      </c>
      <c r="K413" s="396">
        <v>75002.59</v>
      </c>
      <c r="L413" s="114">
        <f t="shared" si="348"/>
        <v>13.542134305555555</v>
      </c>
      <c r="M413" s="396">
        <v>2686.67</v>
      </c>
      <c r="N413" s="114">
        <f t="shared" si="349"/>
        <v>0.18657430555555557</v>
      </c>
      <c r="O413" s="396">
        <v>89328.01</v>
      </c>
      <c r="P413" s="114">
        <f t="shared" si="350"/>
        <v>16.12866847222222</v>
      </c>
      <c r="Q413" s="396">
        <v>6400.92</v>
      </c>
      <c r="R413" s="398">
        <f t="shared" si="351"/>
        <v>1.4224266666666667</v>
      </c>
    </row>
    <row r="414" spans="2:18" x14ac:dyDescent="0.3">
      <c r="B414" s="393">
        <f t="shared" si="306"/>
        <v>45881</v>
      </c>
      <c r="C414" s="396">
        <v>93120.61</v>
      </c>
      <c r="D414" s="114">
        <f t="shared" si="337"/>
        <v>19.400127083333334</v>
      </c>
      <c r="E414" s="399">
        <v>383975.89</v>
      </c>
      <c r="F414" s="114">
        <f t="shared" si="345"/>
        <v>79.994977083333339</v>
      </c>
      <c r="G414" s="396">
        <v>8361.91</v>
      </c>
      <c r="H414" s="114">
        <f t="shared" si="346"/>
        <v>1.0452387499999998</v>
      </c>
      <c r="I414" s="399">
        <v>3931.78</v>
      </c>
      <c r="J414" s="114">
        <f t="shared" si="347"/>
        <v>0.49147250000000003</v>
      </c>
      <c r="K414" s="396">
        <v>75002.59</v>
      </c>
      <c r="L414" s="114">
        <f t="shared" si="348"/>
        <v>13.542134305555555</v>
      </c>
      <c r="M414" s="396">
        <v>2686.67</v>
      </c>
      <c r="N414" s="114">
        <f t="shared" si="349"/>
        <v>0.18657430555555557</v>
      </c>
      <c r="O414" s="396">
        <v>89328.01</v>
      </c>
      <c r="P414" s="114">
        <f t="shared" si="350"/>
        <v>16.12866847222222</v>
      </c>
      <c r="Q414" s="396">
        <v>6400.92</v>
      </c>
      <c r="R414" s="398">
        <f t="shared" si="351"/>
        <v>1.4224266666666667</v>
      </c>
    </row>
    <row r="415" spans="2:18" x14ac:dyDescent="0.3">
      <c r="B415" s="393">
        <f t="shared" si="306"/>
        <v>45882</v>
      </c>
      <c r="C415" s="396">
        <v>93120.61</v>
      </c>
      <c r="D415" s="114">
        <f t="shared" si="337"/>
        <v>19.400127083333334</v>
      </c>
      <c r="E415" s="399">
        <v>1558789.14</v>
      </c>
      <c r="F415" s="114">
        <f t="shared" si="345"/>
        <v>324.74773749999997</v>
      </c>
      <c r="G415" s="396">
        <v>8361.91</v>
      </c>
      <c r="H415" s="114">
        <f t="shared" si="346"/>
        <v>1.0452387499999998</v>
      </c>
      <c r="I415" s="399">
        <v>3931.78</v>
      </c>
      <c r="J415" s="114">
        <f t="shared" si="347"/>
        <v>0.49147250000000003</v>
      </c>
      <c r="K415" s="396">
        <v>75002.59</v>
      </c>
      <c r="L415" s="114">
        <f t="shared" si="348"/>
        <v>13.542134305555555</v>
      </c>
      <c r="M415" s="396">
        <v>2686.67</v>
      </c>
      <c r="N415" s="114">
        <f t="shared" si="349"/>
        <v>0.18657430555555557</v>
      </c>
      <c r="O415" s="396">
        <v>89328.01</v>
      </c>
      <c r="P415" s="114">
        <f t="shared" si="350"/>
        <v>16.12866847222222</v>
      </c>
      <c r="Q415" s="396">
        <v>6400.92</v>
      </c>
      <c r="R415" s="398">
        <f t="shared" si="351"/>
        <v>1.4224266666666667</v>
      </c>
    </row>
    <row r="416" spans="2:18" x14ac:dyDescent="0.3">
      <c r="B416" s="393">
        <f t="shared" si="306"/>
        <v>45883</v>
      </c>
      <c r="C416" s="396">
        <v>93120.61</v>
      </c>
      <c r="D416" s="114">
        <f t="shared" si="337"/>
        <v>19.400127083333334</v>
      </c>
      <c r="E416" s="399">
        <v>2656313.62</v>
      </c>
      <c r="F416" s="114">
        <f t="shared" si="345"/>
        <v>553.39867083333331</v>
      </c>
      <c r="G416" s="396">
        <v>8361.91</v>
      </c>
      <c r="H416" s="114">
        <f t="shared" si="346"/>
        <v>1.0452387499999998</v>
      </c>
      <c r="I416" s="399">
        <v>3931.78</v>
      </c>
      <c r="J416" s="114">
        <f t="shared" si="347"/>
        <v>0.49147250000000003</v>
      </c>
      <c r="K416" s="396">
        <v>75002.59</v>
      </c>
      <c r="L416" s="114">
        <f t="shared" si="348"/>
        <v>13.542134305555555</v>
      </c>
      <c r="M416" s="396">
        <v>2686.67</v>
      </c>
      <c r="N416" s="114">
        <f t="shared" si="349"/>
        <v>0.18657430555555557</v>
      </c>
      <c r="O416" s="396">
        <v>89328.01</v>
      </c>
      <c r="P416" s="114">
        <f t="shared" si="350"/>
        <v>16.12866847222222</v>
      </c>
      <c r="Q416" s="396">
        <v>6400.92</v>
      </c>
      <c r="R416" s="398">
        <f t="shared" si="351"/>
        <v>1.4224266666666667</v>
      </c>
    </row>
    <row r="417" spans="2:18" x14ac:dyDescent="0.3">
      <c r="B417" s="393">
        <f t="shared" si="306"/>
        <v>45884</v>
      </c>
      <c r="C417" s="396">
        <v>93120.61</v>
      </c>
      <c r="D417" s="114">
        <f t="shared" si="337"/>
        <v>19.400127083333334</v>
      </c>
      <c r="E417" s="399">
        <v>2656313.62</v>
      </c>
      <c r="F417" s="114">
        <f t="shared" si="345"/>
        <v>553.39867083333331</v>
      </c>
      <c r="G417" s="396">
        <v>8361.91</v>
      </c>
      <c r="H417" s="114">
        <f t="shared" si="346"/>
        <v>1.0452387499999998</v>
      </c>
      <c r="I417" s="399">
        <v>3931.78</v>
      </c>
      <c r="J417" s="114">
        <f t="shared" si="347"/>
        <v>0.49147250000000003</v>
      </c>
      <c r="K417" s="396">
        <v>75002.59</v>
      </c>
      <c r="L417" s="114">
        <f t="shared" si="348"/>
        <v>13.542134305555555</v>
      </c>
      <c r="M417" s="396">
        <v>2686.67</v>
      </c>
      <c r="N417" s="114">
        <f t="shared" si="349"/>
        <v>0.18657430555555557</v>
      </c>
      <c r="O417" s="396">
        <v>89328.01</v>
      </c>
      <c r="P417" s="114">
        <f t="shared" si="350"/>
        <v>16.12866847222222</v>
      </c>
      <c r="Q417" s="396">
        <v>6400.92</v>
      </c>
      <c r="R417" s="398">
        <f t="shared" si="351"/>
        <v>1.4224266666666667</v>
      </c>
    </row>
    <row r="418" spans="2:18" x14ac:dyDescent="0.3">
      <c r="B418" s="393">
        <f t="shared" si="306"/>
        <v>45885</v>
      </c>
      <c r="C418" s="396">
        <v>93120.61</v>
      </c>
      <c r="D418" s="114">
        <f t="shared" si="337"/>
        <v>19.400127083333334</v>
      </c>
      <c r="E418" s="399">
        <v>2656313.62</v>
      </c>
      <c r="F418" s="114">
        <f t="shared" si="345"/>
        <v>553.39867083333331</v>
      </c>
      <c r="G418" s="396">
        <v>8361.91</v>
      </c>
      <c r="H418" s="114">
        <f t="shared" si="346"/>
        <v>1.0452387499999998</v>
      </c>
      <c r="I418" s="399">
        <v>3931.78</v>
      </c>
      <c r="J418" s="114">
        <f t="shared" si="347"/>
        <v>0.49147250000000003</v>
      </c>
      <c r="K418" s="396">
        <v>75002.59</v>
      </c>
      <c r="L418" s="114">
        <f t="shared" si="348"/>
        <v>13.542134305555555</v>
      </c>
      <c r="M418" s="396">
        <v>2686.67</v>
      </c>
      <c r="N418" s="114">
        <f t="shared" si="349"/>
        <v>0.18657430555555557</v>
      </c>
      <c r="O418" s="396">
        <v>89328.01</v>
      </c>
      <c r="P418" s="114">
        <f t="shared" si="350"/>
        <v>16.12866847222222</v>
      </c>
      <c r="Q418" s="396">
        <v>6400.92</v>
      </c>
      <c r="R418" s="398">
        <f t="shared" si="351"/>
        <v>1.4224266666666667</v>
      </c>
    </row>
    <row r="419" spans="2:18" x14ac:dyDescent="0.3">
      <c r="B419" s="393">
        <f t="shared" si="306"/>
        <v>45886</v>
      </c>
      <c r="C419" s="396">
        <v>93120.61</v>
      </c>
      <c r="D419" s="114">
        <f t="shared" si="337"/>
        <v>19.400127083333334</v>
      </c>
      <c r="E419" s="399">
        <v>629113.88</v>
      </c>
      <c r="F419" s="114">
        <f t="shared" si="345"/>
        <v>131.06539166666667</v>
      </c>
      <c r="G419" s="396">
        <v>8361.91</v>
      </c>
      <c r="H419" s="114">
        <f t="shared" ref="H419:H425" si="352">(G419*4.5%)/360</f>
        <v>1.0452387499999998</v>
      </c>
      <c r="I419" s="399">
        <v>3931.78</v>
      </c>
      <c r="J419" s="114">
        <f t="shared" ref="J419:J425" si="353">(I419*4.5%)/360</f>
        <v>0.49147250000000003</v>
      </c>
      <c r="K419" s="396">
        <v>75002.59</v>
      </c>
      <c r="L419" s="114">
        <f t="shared" ref="L419:L425" si="354">(K419*6.5%)/360</f>
        <v>13.542134305555555</v>
      </c>
      <c r="M419" s="396">
        <v>2686.67</v>
      </c>
      <c r="N419" s="114">
        <f t="shared" ref="N419:N425" si="355">(M419*2.5%)/360</f>
        <v>0.18657430555555557</v>
      </c>
      <c r="O419" s="396">
        <v>89328.01</v>
      </c>
      <c r="P419" s="114">
        <f t="shared" ref="P419:P425" si="356">(O419*6.5%)/360</f>
        <v>16.12866847222222</v>
      </c>
      <c r="Q419" s="396">
        <v>6400.92</v>
      </c>
      <c r="R419" s="398">
        <f t="shared" ref="R419:R425" si="357">(Q419*8%)/360</f>
        <v>1.4224266666666667</v>
      </c>
    </row>
    <row r="420" spans="2:18" x14ac:dyDescent="0.3">
      <c r="B420" s="393">
        <f t="shared" si="306"/>
        <v>45887</v>
      </c>
      <c r="C420" s="396">
        <v>243120.61</v>
      </c>
      <c r="D420" s="114">
        <f t="shared" si="337"/>
        <v>50.650127083333324</v>
      </c>
      <c r="E420" s="399">
        <v>629113.88</v>
      </c>
      <c r="F420" s="114">
        <f t="shared" si="345"/>
        <v>131.06539166666667</v>
      </c>
      <c r="G420" s="396">
        <v>8361.91</v>
      </c>
      <c r="H420" s="114">
        <f t="shared" si="352"/>
        <v>1.0452387499999998</v>
      </c>
      <c r="I420" s="399">
        <v>3931.78</v>
      </c>
      <c r="J420" s="114">
        <f t="shared" si="353"/>
        <v>0.49147250000000003</v>
      </c>
      <c r="K420" s="396">
        <v>75002.59</v>
      </c>
      <c r="L420" s="114">
        <f t="shared" si="354"/>
        <v>13.542134305555555</v>
      </c>
      <c r="M420" s="396">
        <v>2686.67</v>
      </c>
      <c r="N420" s="114">
        <f t="shared" si="355"/>
        <v>0.18657430555555557</v>
      </c>
      <c r="O420" s="396">
        <v>89328.01</v>
      </c>
      <c r="P420" s="114">
        <f t="shared" si="356"/>
        <v>16.12866847222222</v>
      </c>
      <c r="Q420" s="396">
        <v>6400.92</v>
      </c>
      <c r="R420" s="398">
        <f t="shared" si="357"/>
        <v>1.4224266666666667</v>
      </c>
    </row>
    <row r="421" spans="2:18" x14ac:dyDescent="0.3">
      <c r="B421" s="393">
        <f t="shared" si="306"/>
        <v>45888</v>
      </c>
      <c r="C421" s="396">
        <v>1120.6099999999999</v>
      </c>
      <c r="D421" s="114">
        <f t="shared" si="337"/>
        <v>0.23346041666666661</v>
      </c>
      <c r="E421" s="399">
        <v>1166773.55</v>
      </c>
      <c r="F421" s="114">
        <f t="shared" si="345"/>
        <v>243.07782291666666</v>
      </c>
      <c r="G421" s="396">
        <v>8361.91</v>
      </c>
      <c r="H421" s="114">
        <f t="shared" si="352"/>
        <v>1.0452387499999998</v>
      </c>
      <c r="I421" s="399">
        <v>3931.78</v>
      </c>
      <c r="J421" s="114">
        <f t="shared" si="353"/>
        <v>0.49147250000000003</v>
      </c>
      <c r="K421" s="396">
        <v>75002.59</v>
      </c>
      <c r="L421" s="114">
        <f t="shared" si="354"/>
        <v>13.542134305555555</v>
      </c>
      <c r="M421" s="396">
        <v>2686.67</v>
      </c>
      <c r="N421" s="114">
        <f t="shared" si="355"/>
        <v>0.18657430555555557</v>
      </c>
      <c r="O421" s="396">
        <v>89328.01</v>
      </c>
      <c r="P421" s="114">
        <f t="shared" si="356"/>
        <v>16.12866847222222</v>
      </c>
      <c r="Q421" s="396">
        <v>6400.92</v>
      </c>
      <c r="R421" s="398">
        <f t="shared" si="357"/>
        <v>1.4224266666666667</v>
      </c>
    </row>
    <row r="422" spans="2:18" x14ac:dyDescent="0.3">
      <c r="B422" s="393">
        <f t="shared" si="306"/>
        <v>45889</v>
      </c>
      <c r="C422" s="396">
        <v>1120.6099999999999</v>
      </c>
      <c r="D422" s="114">
        <f t="shared" si="337"/>
        <v>0.23346041666666661</v>
      </c>
      <c r="E422" s="399">
        <v>3582913.39</v>
      </c>
      <c r="F422" s="114">
        <f t="shared" si="345"/>
        <v>746.44028958333331</v>
      </c>
      <c r="G422" s="396">
        <v>8361.91</v>
      </c>
      <c r="H422" s="114">
        <f t="shared" si="352"/>
        <v>1.0452387499999998</v>
      </c>
      <c r="I422" s="399">
        <v>3931.78</v>
      </c>
      <c r="J422" s="114">
        <f t="shared" si="353"/>
        <v>0.49147250000000003</v>
      </c>
      <c r="K422" s="396">
        <v>75002.59</v>
      </c>
      <c r="L422" s="114">
        <f t="shared" si="354"/>
        <v>13.542134305555555</v>
      </c>
      <c r="M422" s="396">
        <v>2686.67</v>
      </c>
      <c r="N422" s="114">
        <f t="shared" si="355"/>
        <v>0.18657430555555557</v>
      </c>
      <c r="O422" s="396">
        <v>89328.01</v>
      </c>
      <c r="P422" s="114">
        <f t="shared" si="356"/>
        <v>16.12866847222222</v>
      </c>
      <c r="Q422" s="396">
        <v>6400.92</v>
      </c>
      <c r="R422" s="398">
        <f t="shared" si="357"/>
        <v>1.4224266666666667</v>
      </c>
    </row>
    <row r="423" spans="2:18" x14ac:dyDescent="0.3">
      <c r="B423" s="393">
        <f t="shared" si="306"/>
        <v>45890</v>
      </c>
      <c r="C423" s="396">
        <v>1120.6099999999999</v>
      </c>
      <c r="D423" s="114">
        <f t="shared" si="337"/>
        <v>0.23346041666666661</v>
      </c>
      <c r="E423" s="399">
        <v>2676581.15</v>
      </c>
      <c r="F423" s="114">
        <f t="shared" si="345"/>
        <v>557.62107291666666</v>
      </c>
      <c r="G423" s="396">
        <v>8361.91</v>
      </c>
      <c r="H423" s="114">
        <f t="shared" si="352"/>
        <v>1.0452387499999998</v>
      </c>
      <c r="I423" s="399">
        <v>3931.78</v>
      </c>
      <c r="J423" s="114">
        <f t="shared" si="353"/>
        <v>0.49147250000000003</v>
      </c>
      <c r="K423" s="396">
        <v>75002.59</v>
      </c>
      <c r="L423" s="114">
        <f t="shared" si="354"/>
        <v>13.542134305555555</v>
      </c>
      <c r="M423" s="396">
        <v>2686.67</v>
      </c>
      <c r="N423" s="114">
        <f t="shared" si="355"/>
        <v>0.18657430555555557</v>
      </c>
      <c r="O423" s="396">
        <v>89328.01</v>
      </c>
      <c r="P423" s="114">
        <f t="shared" si="356"/>
        <v>16.12866847222222</v>
      </c>
      <c r="Q423" s="396">
        <v>6400.92</v>
      </c>
      <c r="R423" s="398">
        <f t="shared" si="357"/>
        <v>1.4224266666666667</v>
      </c>
    </row>
    <row r="424" spans="2:18" x14ac:dyDescent="0.3">
      <c r="B424" s="393">
        <f t="shared" si="306"/>
        <v>45891</v>
      </c>
      <c r="C424" s="396">
        <v>1120.6099999999999</v>
      </c>
      <c r="D424" s="114">
        <f t="shared" si="337"/>
        <v>0.23346041666666661</v>
      </c>
      <c r="E424" s="399">
        <v>2676581.15</v>
      </c>
      <c r="F424" s="114">
        <f t="shared" si="345"/>
        <v>557.62107291666666</v>
      </c>
      <c r="G424" s="396">
        <v>8361.91</v>
      </c>
      <c r="H424" s="114">
        <f t="shared" si="352"/>
        <v>1.0452387499999998</v>
      </c>
      <c r="I424" s="399">
        <v>3931.78</v>
      </c>
      <c r="J424" s="114">
        <f t="shared" si="353"/>
        <v>0.49147250000000003</v>
      </c>
      <c r="K424" s="396">
        <v>75002.59</v>
      </c>
      <c r="L424" s="114">
        <f t="shared" si="354"/>
        <v>13.542134305555555</v>
      </c>
      <c r="M424" s="396">
        <v>2686.67</v>
      </c>
      <c r="N424" s="114">
        <f t="shared" si="355"/>
        <v>0.18657430555555557</v>
      </c>
      <c r="O424" s="396">
        <v>89328.01</v>
      </c>
      <c r="P424" s="114">
        <f t="shared" si="356"/>
        <v>16.12866847222222</v>
      </c>
      <c r="Q424" s="396">
        <v>6400.92</v>
      </c>
      <c r="R424" s="398">
        <f t="shared" si="357"/>
        <v>1.4224266666666667</v>
      </c>
    </row>
    <row r="425" spans="2:18" x14ac:dyDescent="0.3">
      <c r="B425" s="393">
        <f t="shared" si="306"/>
        <v>45892</v>
      </c>
      <c r="C425" s="396">
        <v>1120.6099999999999</v>
      </c>
      <c r="D425" s="114">
        <f t="shared" si="337"/>
        <v>0.23346041666666661</v>
      </c>
      <c r="E425" s="399">
        <v>2676581.15</v>
      </c>
      <c r="F425" s="114">
        <f t="shared" si="345"/>
        <v>557.62107291666666</v>
      </c>
      <c r="G425" s="396">
        <v>8361.91</v>
      </c>
      <c r="H425" s="114">
        <f t="shared" si="352"/>
        <v>1.0452387499999998</v>
      </c>
      <c r="I425" s="399">
        <v>3931.78</v>
      </c>
      <c r="J425" s="114">
        <f t="shared" si="353"/>
        <v>0.49147250000000003</v>
      </c>
      <c r="K425" s="396">
        <v>75002.59</v>
      </c>
      <c r="L425" s="114">
        <f t="shared" si="354"/>
        <v>13.542134305555555</v>
      </c>
      <c r="M425" s="396">
        <v>2686.67</v>
      </c>
      <c r="N425" s="114">
        <f t="shared" si="355"/>
        <v>0.18657430555555557</v>
      </c>
      <c r="O425" s="396">
        <v>89328.01</v>
      </c>
      <c r="P425" s="114">
        <f t="shared" si="356"/>
        <v>16.12866847222222</v>
      </c>
      <c r="Q425" s="396">
        <v>6400.92</v>
      </c>
      <c r="R425" s="398">
        <f t="shared" si="357"/>
        <v>1.4224266666666667</v>
      </c>
    </row>
    <row r="426" spans="2:18" x14ac:dyDescent="0.3">
      <c r="B426" s="393">
        <f t="shared" si="306"/>
        <v>45893</v>
      </c>
      <c r="C426" s="396">
        <v>1120.6099999999999</v>
      </c>
      <c r="D426" s="114">
        <f t="shared" si="337"/>
        <v>0.23346041666666661</v>
      </c>
      <c r="E426" s="399">
        <v>4424736.79</v>
      </c>
      <c r="F426" s="114">
        <f t="shared" ref="F426:F432" si="358">(E426*7.5%)/360</f>
        <v>921.82016458333339</v>
      </c>
      <c r="G426" s="396">
        <v>8361.91</v>
      </c>
      <c r="H426" s="114">
        <f t="shared" ref="H426:H432" si="359">(G426*4.5%)/360</f>
        <v>1.0452387499999998</v>
      </c>
      <c r="I426" s="399">
        <v>3931.78</v>
      </c>
      <c r="J426" s="114">
        <f t="shared" ref="J426:J432" si="360">(I426*4.5%)/360</f>
        <v>0.49147250000000003</v>
      </c>
      <c r="K426" s="396">
        <v>75002.59</v>
      </c>
      <c r="L426" s="114">
        <f t="shared" ref="L426:L432" si="361">(K426*6.5%)/360</f>
        <v>13.542134305555555</v>
      </c>
      <c r="M426" s="396">
        <v>2686.67</v>
      </c>
      <c r="N426" s="114">
        <f t="shared" ref="N426:N432" si="362">(M426*2.5%)/360</f>
        <v>0.18657430555555557</v>
      </c>
      <c r="O426" s="396">
        <v>89328.01</v>
      </c>
      <c r="P426" s="114">
        <f t="shared" ref="P426:P432" si="363">(O426*6.5%)/360</f>
        <v>16.12866847222222</v>
      </c>
      <c r="Q426" s="396">
        <v>6400.92</v>
      </c>
      <c r="R426" s="398">
        <f t="shared" ref="R426:R432" si="364">(Q426*8%)/360</f>
        <v>1.4224266666666667</v>
      </c>
    </row>
    <row r="427" spans="2:18" x14ac:dyDescent="0.3">
      <c r="B427" s="393">
        <f t="shared" si="306"/>
        <v>45894</v>
      </c>
      <c r="C427" s="396">
        <v>1120.6099999999999</v>
      </c>
      <c r="D427" s="114">
        <f t="shared" si="337"/>
        <v>0.23346041666666661</v>
      </c>
      <c r="E427" s="399">
        <v>4546206.3499999996</v>
      </c>
      <c r="F427" s="114">
        <f t="shared" si="358"/>
        <v>947.12632291666648</v>
      </c>
      <c r="G427" s="396">
        <v>8361.91</v>
      </c>
      <c r="H427" s="114">
        <f t="shared" si="359"/>
        <v>1.0452387499999998</v>
      </c>
      <c r="I427" s="399">
        <v>3931.78</v>
      </c>
      <c r="J427" s="114">
        <f t="shared" si="360"/>
        <v>0.49147250000000003</v>
      </c>
      <c r="K427" s="396">
        <v>75002.59</v>
      </c>
      <c r="L427" s="114">
        <f t="shared" si="361"/>
        <v>13.542134305555555</v>
      </c>
      <c r="M427" s="396">
        <v>2686.67</v>
      </c>
      <c r="N427" s="114">
        <f t="shared" si="362"/>
        <v>0.18657430555555557</v>
      </c>
      <c r="O427" s="396">
        <v>89328.01</v>
      </c>
      <c r="P427" s="114">
        <f t="shared" si="363"/>
        <v>16.12866847222222</v>
      </c>
      <c r="Q427" s="396">
        <v>6400.92</v>
      </c>
      <c r="R427" s="398">
        <f t="shared" si="364"/>
        <v>1.4224266666666667</v>
      </c>
    </row>
    <row r="428" spans="2:18" x14ac:dyDescent="0.3">
      <c r="B428" s="393">
        <f t="shared" si="306"/>
        <v>45895</v>
      </c>
      <c r="C428" s="396">
        <v>1120.6099999999999</v>
      </c>
      <c r="D428" s="114">
        <f t="shared" si="337"/>
        <v>0.23346041666666661</v>
      </c>
      <c r="E428" s="399">
        <v>2002174.55</v>
      </c>
      <c r="F428" s="114">
        <f t="shared" si="358"/>
        <v>417.11969791666667</v>
      </c>
      <c r="G428" s="396">
        <v>20361.91</v>
      </c>
      <c r="H428" s="114">
        <f t="shared" si="359"/>
        <v>2.5452387499999998</v>
      </c>
      <c r="I428" s="399">
        <v>3931.78</v>
      </c>
      <c r="J428" s="114">
        <f t="shared" si="360"/>
        <v>0.49147250000000003</v>
      </c>
      <c r="K428" s="396">
        <v>75002.59</v>
      </c>
      <c r="L428" s="114">
        <f t="shared" si="361"/>
        <v>13.542134305555555</v>
      </c>
      <c r="M428" s="396">
        <v>2686.67</v>
      </c>
      <c r="N428" s="114">
        <f t="shared" si="362"/>
        <v>0.18657430555555557</v>
      </c>
      <c r="O428" s="396">
        <v>89328.01</v>
      </c>
      <c r="P428" s="114">
        <f t="shared" si="363"/>
        <v>16.12866847222222</v>
      </c>
      <c r="Q428" s="396">
        <v>6400.92</v>
      </c>
      <c r="R428" s="398">
        <f t="shared" si="364"/>
        <v>1.4224266666666667</v>
      </c>
    </row>
    <row r="429" spans="2:18" x14ac:dyDescent="0.3">
      <c r="B429" s="393">
        <f t="shared" si="306"/>
        <v>45896</v>
      </c>
      <c r="C429" s="396">
        <v>1091110.6100000001</v>
      </c>
      <c r="D429" s="114">
        <f t="shared" si="337"/>
        <v>227.31471041666668</v>
      </c>
      <c r="E429" s="399">
        <v>180641.99</v>
      </c>
      <c r="F429" s="114">
        <f t="shared" si="358"/>
        <v>37.633747916666664</v>
      </c>
      <c r="G429" s="396">
        <v>20361.91</v>
      </c>
      <c r="H429" s="114">
        <f t="shared" si="359"/>
        <v>2.5452387499999998</v>
      </c>
      <c r="I429" s="399">
        <v>3931.78</v>
      </c>
      <c r="J429" s="114">
        <f t="shared" si="360"/>
        <v>0.49147250000000003</v>
      </c>
      <c r="K429" s="396">
        <v>75002.59</v>
      </c>
      <c r="L429" s="114">
        <f t="shared" si="361"/>
        <v>13.542134305555555</v>
      </c>
      <c r="M429" s="396">
        <v>2686.67</v>
      </c>
      <c r="N429" s="114">
        <f t="shared" si="362"/>
        <v>0.18657430555555557</v>
      </c>
      <c r="O429" s="396">
        <v>89328.01</v>
      </c>
      <c r="P429" s="114">
        <f t="shared" si="363"/>
        <v>16.12866847222222</v>
      </c>
      <c r="Q429" s="396">
        <v>6400.92</v>
      </c>
      <c r="R429" s="398">
        <f t="shared" si="364"/>
        <v>1.4224266666666667</v>
      </c>
    </row>
    <row r="430" spans="2:18" x14ac:dyDescent="0.3">
      <c r="B430" s="393">
        <f t="shared" si="306"/>
        <v>45897</v>
      </c>
      <c r="C430" s="396">
        <v>1991110.61</v>
      </c>
      <c r="D430" s="114">
        <f t="shared" si="337"/>
        <v>414.81471041666663</v>
      </c>
      <c r="E430" s="399">
        <v>180641.99</v>
      </c>
      <c r="F430" s="114">
        <f t="shared" si="358"/>
        <v>37.633747916666664</v>
      </c>
      <c r="G430" s="396">
        <v>20361.91</v>
      </c>
      <c r="H430" s="114">
        <f t="shared" si="359"/>
        <v>2.5452387499999998</v>
      </c>
      <c r="I430" s="399">
        <v>3931.78</v>
      </c>
      <c r="J430" s="114">
        <f t="shared" si="360"/>
        <v>0.49147250000000003</v>
      </c>
      <c r="K430" s="396">
        <v>75002.59</v>
      </c>
      <c r="L430" s="114">
        <f t="shared" si="361"/>
        <v>13.542134305555555</v>
      </c>
      <c r="M430" s="396">
        <v>2686.67</v>
      </c>
      <c r="N430" s="114">
        <f t="shared" si="362"/>
        <v>0.18657430555555557</v>
      </c>
      <c r="O430" s="396">
        <v>89328.01</v>
      </c>
      <c r="P430" s="114">
        <f t="shared" si="363"/>
        <v>16.12866847222222</v>
      </c>
      <c r="Q430" s="396">
        <v>6400.92</v>
      </c>
      <c r="R430" s="398">
        <f t="shared" si="364"/>
        <v>1.4224266666666667</v>
      </c>
    </row>
    <row r="431" spans="2:18" x14ac:dyDescent="0.3">
      <c r="B431" s="393">
        <f t="shared" si="306"/>
        <v>45898</v>
      </c>
      <c r="C431" s="396">
        <v>1991110.61</v>
      </c>
      <c r="D431" s="114">
        <f t="shared" si="337"/>
        <v>414.81471041666663</v>
      </c>
      <c r="E431" s="399">
        <v>180641.99</v>
      </c>
      <c r="F431" s="114">
        <f t="shared" si="358"/>
        <v>37.633747916666664</v>
      </c>
      <c r="G431" s="396">
        <v>20361.91</v>
      </c>
      <c r="H431" s="114">
        <f t="shared" si="359"/>
        <v>2.5452387499999998</v>
      </c>
      <c r="I431" s="399">
        <v>3931.78</v>
      </c>
      <c r="J431" s="114">
        <f t="shared" si="360"/>
        <v>0.49147250000000003</v>
      </c>
      <c r="K431" s="396">
        <v>75002.59</v>
      </c>
      <c r="L431" s="114">
        <f t="shared" si="361"/>
        <v>13.542134305555555</v>
      </c>
      <c r="M431" s="396">
        <v>2686.67</v>
      </c>
      <c r="N431" s="114">
        <f t="shared" si="362"/>
        <v>0.18657430555555557</v>
      </c>
      <c r="O431" s="396">
        <v>89328.01</v>
      </c>
      <c r="P431" s="114">
        <f t="shared" si="363"/>
        <v>16.12866847222222</v>
      </c>
      <c r="Q431" s="396">
        <v>6400.92</v>
      </c>
      <c r="R431" s="398">
        <f t="shared" si="364"/>
        <v>1.4224266666666667</v>
      </c>
    </row>
    <row r="432" spans="2:18" x14ac:dyDescent="0.3">
      <c r="B432" s="393">
        <f t="shared" si="306"/>
        <v>45899</v>
      </c>
      <c r="C432" s="396">
        <v>1991110.61</v>
      </c>
      <c r="D432" s="114">
        <f t="shared" si="337"/>
        <v>414.81471041666663</v>
      </c>
      <c r="E432" s="399">
        <v>180641.99</v>
      </c>
      <c r="F432" s="114">
        <f t="shared" si="358"/>
        <v>37.633747916666664</v>
      </c>
      <c r="G432" s="396">
        <v>20361.91</v>
      </c>
      <c r="H432" s="114">
        <f t="shared" si="359"/>
        <v>2.5452387499999998</v>
      </c>
      <c r="I432" s="399">
        <v>3931.78</v>
      </c>
      <c r="J432" s="114">
        <f t="shared" si="360"/>
        <v>0.49147250000000003</v>
      </c>
      <c r="K432" s="396">
        <v>75002.59</v>
      </c>
      <c r="L432" s="114">
        <f t="shared" si="361"/>
        <v>13.542134305555555</v>
      </c>
      <c r="M432" s="396">
        <v>2686.67</v>
      </c>
      <c r="N432" s="114">
        <f t="shared" si="362"/>
        <v>0.18657430555555557</v>
      </c>
      <c r="O432" s="396">
        <v>89328.01</v>
      </c>
      <c r="P432" s="114">
        <f t="shared" si="363"/>
        <v>16.12866847222222</v>
      </c>
      <c r="Q432" s="396">
        <v>6400.92</v>
      </c>
      <c r="R432" s="398">
        <f t="shared" si="364"/>
        <v>1.4224266666666667</v>
      </c>
    </row>
    <row r="433" spans="2:18" x14ac:dyDescent="0.3">
      <c r="B433" s="393">
        <f t="shared" si="306"/>
        <v>45900</v>
      </c>
      <c r="C433" s="396">
        <v>1991110.61</v>
      </c>
      <c r="D433" s="114">
        <f t="shared" si="337"/>
        <v>414.81471041666663</v>
      </c>
      <c r="E433" s="399">
        <v>3486705.45</v>
      </c>
      <c r="F433" s="114">
        <f t="shared" ref="F433:F439" si="365">(E433*7.5%)/360</f>
        <v>726.39696875000004</v>
      </c>
      <c r="G433" s="396">
        <v>20361.91</v>
      </c>
      <c r="H433" s="114">
        <f t="shared" ref="H433:H439" si="366">(G433*4.5%)/360</f>
        <v>2.5452387499999998</v>
      </c>
      <c r="I433" s="399">
        <v>3931.78</v>
      </c>
      <c r="J433" s="114">
        <f t="shared" ref="J433:J439" si="367">(I433*4.5%)/360</f>
        <v>0.49147250000000003</v>
      </c>
      <c r="K433" s="396">
        <v>75002.59</v>
      </c>
      <c r="L433" s="114">
        <f t="shared" ref="L433:L439" si="368">(K433*6.5%)/360</f>
        <v>13.542134305555555</v>
      </c>
      <c r="M433" s="396">
        <v>2686.67</v>
      </c>
      <c r="N433" s="114">
        <f t="shared" ref="N433:N439" si="369">(M433*2.5%)/360</f>
        <v>0.18657430555555557</v>
      </c>
      <c r="O433" s="396">
        <v>89328.01</v>
      </c>
      <c r="P433" s="114">
        <f t="shared" ref="P433:P439" si="370">(O433*6.5%)/360</f>
        <v>16.12866847222222</v>
      </c>
      <c r="Q433" s="396">
        <v>6400.92</v>
      </c>
      <c r="R433" s="398">
        <f t="shared" ref="R433:R439" si="371">(Q433*8%)/360</f>
        <v>1.4224266666666667</v>
      </c>
    </row>
    <row r="434" spans="2:18" x14ac:dyDescent="0.3">
      <c r="B434" s="393">
        <f t="shared" si="306"/>
        <v>45901</v>
      </c>
      <c r="C434" s="396">
        <v>12091085.609999999</v>
      </c>
      <c r="D434" s="114">
        <f t="shared" si="337"/>
        <v>2518.9761687499999</v>
      </c>
      <c r="E434" s="399">
        <v>4111704.83</v>
      </c>
      <c r="F434" s="114">
        <f t="shared" si="365"/>
        <v>856.60517291666667</v>
      </c>
      <c r="G434" s="396">
        <v>20361.91</v>
      </c>
      <c r="H434" s="114">
        <f t="shared" si="366"/>
        <v>2.5452387499999998</v>
      </c>
      <c r="I434" s="399">
        <v>3931.78</v>
      </c>
      <c r="J434" s="114">
        <f t="shared" si="367"/>
        <v>0.49147250000000003</v>
      </c>
      <c r="K434" s="396">
        <v>75002.59</v>
      </c>
      <c r="L434" s="114">
        <f t="shared" si="368"/>
        <v>13.542134305555555</v>
      </c>
      <c r="M434" s="396">
        <v>2686.67</v>
      </c>
      <c r="N434" s="114">
        <f t="shared" si="369"/>
        <v>0.18657430555555557</v>
      </c>
      <c r="O434" s="396">
        <v>89328.01</v>
      </c>
      <c r="P434" s="114">
        <f t="shared" si="370"/>
        <v>16.12866847222222</v>
      </c>
      <c r="Q434" s="396">
        <v>6400.92</v>
      </c>
      <c r="R434" s="398">
        <f t="shared" si="371"/>
        <v>1.4224266666666667</v>
      </c>
    </row>
    <row r="435" spans="2:18" x14ac:dyDescent="0.3">
      <c r="B435" s="393">
        <f t="shared" si="306"/>
        <v>45902</v>
      </c>
      <c r="C435" s="396">
        <v>1091085.6100000001</v>
      </c>
      <c r="D435" s="114">
        <f t="shared" si="337"/>
        <v>227.30950208333334</v>
      </c>
      <c r="E435" s="399">
        <v>12127017.039999999</v>
      </c>
      <c r="F435" s="114">
        <f t="shared" si="365"/>
        <v>2526.4618833333329</v>
      </c>
      <c r="G435" s="396">
        <v>20361.91</v>
      </c>
      <c r="H435" s="114">
        <f t="shared" si="366"/>
        <v>2.5452387499999998</v>
      </c>
      <c r="I435" s="399">
        <v>3931.78</v>
      </c>
      <c r="J435" s="114">
        <f t="shared" si="367"/>
        <v>0.49147250000000003</v>
      </c>
      <c r="K435" s="396">
        <v>75002.59</v>
      </c>
      <c r="L435" s="114">
        <f t="shared" si="368"/>
        <v>13.542134305555555</v>
      </c>
      <c r="M435" s="396">
        <v>2686.67</v>
      </c>
      <c r="N435" s="114">
        <f t="shared" si="369"/>
        <v>0.18657430555555557</v>
      </c>
      <c r="O435" s="396">
        <v>89328.01</v>
      </c>
      <c r="P435" s="114">
        <f t="shared" si="370"/>
        <v>16.12866847222222</v>
      </c>
      <c r="Q435" s="396">
        <v>6400.92</v>
      </c>
      <c r="R435" s="398">
        <f t="shared" si="371"/>
        <v>1.4224266666666667</v>
      </c>
    </row>
    <row r="436" spans="2:18" x14ac:dyDescent="0.3">
      <c r="B436" s="393">
        <f t="shared" si="306"/>
        <v>45903</v>
      </c>
      <c r="C436" s="396">
        <v>2130398.41</v>
      </c>
      <c r="D436" s="114">
        <f t="shared" si="337"/>
        <v>443.83300208333338</v>
      </c>
      <c r="E436" s="399">
        <v>13260735.98</v>
      </c>
      <c r="F436" s="114">
        <f t="shared" si="365"/>
        <v>2762.6533291666665</v>
      </c>
      <c r="G436" s="396">
        <v>20361.91</v>
      </c>
      <c r="H436" s="114">
        <f t="shared" si="366"/>
        <v>2.5452387499999998</v>
      </c>
      <c r="I436" s="399">
        <v>3931.78</v>
      </c>
      <c r="J436" s="114">
        <f t="shared" si="367"/>
        <v>0.49147250000000003</v>
      </c>
      <c r="K436" s="396">
        <v>75002.59</v>
      </c>
      <c r="L436" s="114">
        <f t="shared" si="368"/>
        <v>13.542134305555555</v>
      </c>
      <c r="M436" s="396">
        <v>2686.67</v>
      </c>
      <c r="N436" s="114">
        <f t="shared" si="369"/>
        <v>0.18657430555555557</v>
      </c>
      <c r="O436" s="396">
        <v>89328.01</v>
      </c>
      <c r="P436" s="114">
        <f t="shared" si="370"/>
        <v>16.12866847222222</v>
      </c>
      <c r="Q436" s="396">
        <v>6400.92</v>
      </c>
      <c r="R436" s="398">
        <f t="shared" si="371"/>
        <v>1.4224266666666667</v>
      </c>
    </row>
    <row r="437" spans="2:18" x14ac:dyDescent="0.3">
      <c r="B437" s="393">
        <f t="shared" ref="B437:B500" si="372">B436+1</f>
        <v>45904</v>
      </c>
      <c r="C437" s="396">
        <v>2230340.41</v>
      </c>
      <c r="D437" s="114">
        <f t="shared" si="337"/>
        <v>464.65425208333335</v>
      </c>
      <c r="E437" s="399">
        <v>6937558.5999999996</v>
      </c>
      <c r="F437" s="114">
        <f t="shared" si="365"/>
        <v>1445.3247083333333</v>
      </c>
      <c r="G437" s="396">
        <v>20361.91</v>
      </c>
      <c r="H437" s="114">
        <f t="shared" si="366"/>
        <v>2.5452387499999998</v>
      </c>
      <c r="I437" s="399">
        <v>3931.78</v>
      </c>
      <c r="J437" s="114">
        <f t="shared" si="367"/>
        <v>0.49147250000000003</v>
      </c>
      <c r="K437" s="396">
        <v>75002.59</v>
      </c>
      <c r="L437" s="114">
        <f t="shared" si="368"/>
        <v>13.542134305555555</v>
      </c>
      <c r="M437" s="396">
        <v>2686.67</v>
      </c>
      <c r="N437" s="114">
        <f t="shared" si="369"/>
        <v>0.18657430555555557</v>
      </c>
      <c r="O437" s="396">
        <v>89328.01</v>
      </c>
      <c r="P437" s="114">
        <f t="shared" si="370"/>
        <v>16.12866847222222</v>
      </c>
      <c r="Q437" s="396">
        <v>6400.92</v>
      </c>
      <c r="R437" s="398">
        <f t="shared" si="371"/>
        <v>1.4224266666666667</v>
      </c>
    </row>
    <row r="438" spans="2:18" x14ac:dyDescent="0.3">
      <c r="B438" s="393">
        <f t="shared" si="372"/>
        <v>45905</v>
      </c>
      <c r="C438" s="396">
        <v>2230340.41</v>
      </c>
      <c r="D438" s="114">
        <f t="shared" si="337"/>
        <v>464.65425208333335</v>
      </c>
      <c r="E438" s="399">
        <v>6937558.5999999996</v>
      </c>
      <c r="F438" s="114">
        <f t="shared" si="365"/>
        <v>1445.3247083333333</v>
      </c>
      <c r="G438" s="396">
        <v>20361.91</v>
      </c>
      <c r="H438" s="114">
        <f t="shared" si="366"/>
        <v>2.5452387499999998</v>
      </c>
      <c r="I438" s="399">
        <v>3931.78</v>
      </c>
      <c r="J438" s="114">
        <f t="shared" si="367"/>
        <v>0.49147250000000003</v>
      </c>
      <c r="K438" s="396">
        <v>75002.59</v>
      </c>
      <c r="L438" s="114">
        <f t="shared" si="368"/>
        <v>13.542134305555555</v>
      </c>
      <c r="M438" s="396">
        <v>2686.67</v>
      </c>
      <c r="N438" s="114">
        <f t="shared" si="369"/>
        <v>0.18657430555555557</v>
      </c>
      <c r="O438" s="396">
        <v>89328.01</v>
      </c>
      <c r="P438" s="114">
        <f t="shared" si="370"/>
        <v>16.12866847222222</v>
      </c>
      <c r="Q438" s="396">
        <v>6400.92</v>
      </c>
      <c r="R438" s="398">
        <f t="shared" si="371"/>
        <v>1.4224266666666667</v>
      </c>
    </row>
    <row r="439" spans="2:18" x14ac:dyDescent="0.3">
      <c r="B439" s="393">
        <f t="shared" si="372"/>
        <v>45906</v>
      </c>
      <c r="C439" s="396">
        <v>2230340.41</v>
      </c>
      <c r="D439" s="114">
        <f t="shared" si="337"/>
        <v>464.65425208333335</v>
      </c>
      <c r="E439" s="399">
        <v>6937558.5999999996</v>
      </c>
      <c r="F439" s="114">
        <f t="shared" si="365"/>
        <v>1445.3247083333333</v>
      </c>
      <c r="G439" s="396">
        <v>20361.91</v>
      </c>
      <c r="H439" s="114">
        <f t="shared" si="366"/>
        <v>2.5452387499999998</v>
      </c>
      <c r="I439" s="399">
        <v>3931.78</v>
      </c>
      <c r="J439" s="114">
        <f t="shared" si="367"/>
        <v>0.49147250000000003</v>
      </c>
      <c r="K439" s="396">
        <v>75002.59</v>
      </c>
      <c r="L439" s="114">
        <f t="shared" si="368"/>
        <v>13.542134305555555</v>
      </c>
      <c r="M439" s="396">
        <v>2686.67</v>
      </c>
      <c r="N439" s="114">
        <f t="shared" si="369"/>
        <v>0.18657430555555557</v>
      </c>
      <c r="O439" s="396">
        <v>89328.01</v>
      </c>
      <c r="P439" s="114">
        <f t="shared" si="370"/>
        <v>16.12866847222222</v>
      </c>
      <c r="Q439" s="396">
        <v>6400.92</v>
      </c>
      <c r="R439" s="398">
        <f t="shared" si="371"/>
        <v>1.4224266666666667</v>
      </c>
    </row>
    <row r="440" spans="2:18" x14ac:dyDescent="0.3">
      <c r="B440" s="393">
        <f t="shared" si="372"/>
        <v>45907</v>
      </c>
      <c r="C440" s="396">
        <v>2230340.41</v>
      </c>
      <c r="D440" s="114">
        <f t="shared" si="337"/>
        <v>464.65425208333335</v>
      </c>
      <c r="E440" s="399">
        <v>6937558.5999999996</v>
      </c>
      <c r="F440" s="114">
        <f t="shared" ref="F440:F446" si="373">(E440*7.5%)/360</f>
        <v>1445.3247083333333</v>
      </c>
      <c r="G440" s="396">
        <v>1001236.91</v>
      </c>
      <c r="H440" s="114">
        <f t="shared" ref="H440:H446" si="374">(G440*4.5%)/360</f>
        <v>125.15461375</v>
      </c>
      <c r="I440" s="399">
        <v>3931.78</v>
      </c>
      <c r="J440" s="114">
        <f t="shared" ref="J440:J446" si="375">(I440*4.5%)/360</f>
        <v>0.49147250000000003</v>
      </c>
      <c r="K440" s="396">
        <v>75002.59</v>
      </c>
      <c r="L440" s="114">
        <f t="shared" ref="L440:L446" si="376">(K440*6.5%)/360</f>
        <v>13.542134305555555</v>
      </c>
      <c r="M440" s="396">
        <v>2686.67</v>
      </c>
      <c r="N440" s="114">
        <f t="shared" ref="N440:N446" si="377">(M440*2.5%)/360</f>
        <v>0.18657430555555557</v>
      </c>
      <c r="O440" s="396">
        <v>89328.01</v>
      </c>
      <c r="P440" s="114">
        <f t="shared" ref="P440:P446" si="378">(O440*6.5%)/360</f>
        <v>16.12866847222222</v>
      </c>
      <c r="Q440" s="396">
        <v>6400.92</v>
      </c>
      <c r="R440" s="398">
        <f t="shared" ref="R440:R446" si="379">(Q440*8%)/360</f>
        <v>1.4224266666666667</v>
      </c>
    </row>
    <row r="441" spans="2:18" x14ac:dyDescent="0.3">
      <c r="B441" s="393">
        <f t="shared" si="372"/>
        <v>45908</v>
      </c>
      <c r="C441" s="396">
        <v>2230340.41</v>
      </c>
      <c r="D441" s="114">
        <f t="shared" si="337"/>
        <v>464.65425208333335</v>
      </c>
      <c r="E441" s="399">
        <v>6937558.5999999996</v>
      </c>
      <c r="F441" s="114">
        <f t="shared" si="373"/>
        <v>1445.3247083333333</v>
      </c>
      <c r="G441" s="396">
        <v>1001236.91</v>
      </c>
      <c r="H441" s="114">
        <f t="shared" si="374"/>
        <v>125.15461375</v>
      </c>
      <c r="I441" s="399">
        <v>3931.78</v>
      </c>
      <c r="J441" s="114">
        <f t="shared" si="375"/>
        <v>0.49147250000000003</v>
      </c>
      <c r="K441" s="396">
        <v>75002.59</v>
      </c>
      <c r="L441" s="114">
        <f t="shared" si="376"/>
        <v>13.542134305555555</v>
      </c>
      <c r="M441" s="396">
        <v>2686.67</v>
      </c>
      <c r="N441" s="114">
        <f t="shared" si="377"/>
        <v>0.18657430555555557</v>
      </c>
      <c r="O441" s="396">
        <v>89328.01</v>
      </c>
      <c r="P441" s="114">
        <f t="shared" si="378"/>
        <v>16.12866847222222</v>
      </c>
      <c r="Q441" s="396">
        <v>6400.92</v>
      </c>
      <c r="R441" s="398">
        <f t="shared" si="379"/>
        <v>1.4224266666666667</v>
      </c>
    </row>
    <row r="442" spans="2:18" x14ac:dyDescent="0.3">
      <c r="B442" s="393">
        <f t="shared" si="372"/>
        <v>45909</v>
      </c>
      <c r="C442" s="396">
        <v>1648361.82</v>
      </c>
      <c r="D442" s="114">
        <f t="shared" si="337"/>
        <v>343.40871249999998</v>
      </c>
      <c r="E442" s="399">
        <v>524710.30000000005</v>
      </c>
      <c r="F442" s="114">
        <f t="shared" si="373"/>
        <v>109.31464583333333</v>
      </c>
      <c r="G442" s="396">
        <v>1001236.91</v>
      </c>
      <c r="H442" s="114">
        <f t="shared" si="374"/>
        <v>125.15461375</v>
      </c>
      <c r="I442" s="399">
        <v>3931.78</v>
      </c>
      <c r="J442" s="114">
        <f t="shared" si="375"/>
        <v>0.49147250000000003</v>
      </c>
      <c r="K442" s="396">
        <v>75002.59</v>
      </c>
      <c r="L442" s="114">
        <f t="shared" si="376"/>
        <v>13.542134305555555</v>
      </c>
      <c r="M442" s="396">
        <v>2686.67</v>
      </c>
      <c r="N442" s="114">
        <f t="shared" si="377"/>
        <v>0.18657430555555557</v>
      </c>
      <c r="O442" s="396">
        <v>89328.01</v>
      </c>
      <c r="P442" s="114">
        <f t="shared" si="378"/>
        <v>16.12866847222222</v>
      </c>
      <c r="Q442" s="396">
        <v>6400.92</v>
      </c>
      <c r="R442" s="398">
        <f t="shared" si="379"/>
        <v>1.4224266666666667</v>
      </c>
    </row>
    <row r="443" spans="2:18" x14ac:dyDescent="0.3">
      <c r="B443" s="393">
        <f t="shared" si="372"/>
        <v>45910</v>
      </c>
      <c r="C443" s="396">
        <v>48361.82</v>
      </c>
      <c r="D443" s="114">
        <f t="shared" si="337"/>
        <v>10.075379166666666</v>
      </c>
      <c r="E443" s="399">
        <v>2836732.35</v>
      </c>
      <c r="F443" s="114">
        <f t="shared" si="373"/>
        <v>590.98590624999997</v>
      </c>
      <c r="G443" s="396">
        <v>101236.91</v>
      </c>
      <c r="H443" s="114">
        <f t="shared" si="374"/>
        <v>12.654613750000001</v>
      </c>
      <c r="I443" s="399">
        <v>3931.78</v>
      </c>
      <c r="J443" s="114">
        <f t="shared" si="375"/>
        <v>0.49147250000000003</v>
      </c>
      <c r="K443" s="396">
        <v>75002.59</v>
      </c>
      <c r="L443" s="114">
        <f t="shared" si="376"/>
        <v>13.542134305555555</v>
      </c>
      <c r="M443" s="396">
        <v>2686.67</v>
      </c>
      <c r="N443" s="114">
        <f t="shared" si="377"/>
        <v>0.18657430555555557</v>
      </c>
      <c r="O443" s="396">
        <v>89328.01</v>
      </c>
      <c r="P443" s="114">
        <f t="shared" si="378"/>
        <v>16.12866847222222</v>
      </c>
      <c r="Q443" s="396">
        <v>6400.92</v>
      </c>
      <c r="R443" s="398">
        <f t="shared" si="379"/>
        <v>1.4224266666666667</v>
      </c>
    </row>
    <row r="444" spans="2:18" x14ac:dyDescent="0.3">
      <c r="B444" s="393">
        <f t="shared" si="372"/>
        <v>45911</v>
      </c>
      <c r="C444" s="396">
        <v>48361.82</v>
      </c>
      <c r="D444" s="114">
        <f t="shared" si="337"/>
        <v>10.075379166666666</v>
      </c>
      <c r="E444" s="399">
        <v>1398047.55</v>
      </c>
      <c r="F444" s="114">
        <f t="shared" si="373"/>
        <v>291.25990625000003</v>
      </c>
      <c r="G444" s="396">
        <v>101236.91</v>
      </c>
      <c r="H444" s="114">
        <f t="shared" si="374"/>
        <v>12.654613750000001</v>
      </c>
      <c r="I444" s="399">
        <v>3931.78</v>
      </c>
      <c r="J444" s="114">
        <f t="shared" si="375"/>
        <v>0.49147250000000003</v>
      </c>
      <c r="K444" s="396">
        <v>75002.59</v>
      </c>
      <c r="L444" s="114">
        <f t="shared" si="376"/>
        <v>13.542134305555555</v>
      </c>
      <c r="M444" s="396">
        <v>2686.67</v>
      </c>
      <c r="N444" s="114">
        <f t="shared" si="377"/>
        <v>0.18657430555555557</v>
      </c>
      <c r="O444" s="396">
        <v>89328.01</v>
      </c>
      <c r="P444" s="114">
        <f t="shared" si="378"/>
        <v>16.12866847222222</v>
      </c>
      <c r="Q444" s="396">
        <v>6400.92</v>
      </c>
      <c r="R444" s="398">
        <f t="shared" si="379"/>
        <v>1.4224266666666667</v>
      </c>
    </row>
    <row r="445" spans="2:18" x14ac:dyDescent="0.3">
      <c r="B445" s="393">
        <f t="shared" si="372"/>
        <v>45912</v>
      </c>
      <c r="C445" s="396">
        <v>48361.82</v>
      </c>
      <c r="D445" s="114">
        <f t="shared" si="337"/>
        <v>10.075379166666666</v>
      </c>
      <c r="E445" s="399">
        <v>1398047.55</v>
      </c>
      <c r="F445" s="114">
        <f t="shared" si="373"/>
        <v>291.25990625000003</v>
      </c>
      <c r="G445" s="396">
        <v>101236.91</v>
      </c>
      <c r="H445" s="114">
        <f t="shared" si="374"/>
        <v>12.654613750000001</v>
      </c>
      <c r="I445" s="399">
        <v>3931.78</v>
      </c>
      <c r="J445" s="114">
        <f t="shared" si="375"/>
        <v>0.49147250000000003</v>
      </c>
      <c r="K445" s="396">
        <v>75002.59</v>
      </c>
      <c r="L445" s="114">
        <f t="shared" si="376"/>
        <v>13.542134305555555</v>
      </c>
      <c r="M445" s="396">
        <v>2686.67</v>
      </c>
      <c r="N445" s="114">
        <f t="shared" si="377"/>
        <v>0.18657430555555557</v>
      </c>
      <c r="O445" s="396">
        <v>89328.01</v>
      </c>
      <c r="P445" s="114">
        <f t="shared" si="378"/>
        <v>16.12866847222222</v>
      </c>
      <c r="Q445" s="396">
        <v>6400.92</v>
      </c>
      <c r="R445" s="398">
        <f t="shared" si="379"/>
        <v>1.4224266666666667</v>
      </c>
    </row>
    <row r="446" spans="2:18" x14ac:dyDescent="0.3">
      <c r="B446" s="393">
        <f t="shared" si="372"/>
        <v>45913</v>
      </c>
      <c r="C446" s="396">
        <v>48361.82</v>
      </c>
      <c r="D446" s="114">
        <f t="shared" si="337"/>
        <v>10.075379166666666</v>
      </c>
      <c r="E446" s="399">
        <v>1398047.55</v>
      </c>
      <c r="F446" s="114">
        <f t="shared" si="373"/>
        <v>291.25990625000003</v>
      </c>
      <c r="G446" s="396">
        <v>101236.91</v>
      </c>
      <c r="H446" s="114">
        <f t="shared" si="374"/>
        <v>12.654613750000001</v>
      </c>
      <c r="I446" s="399">
        <v>3931.78</v>
      </c>
      <c r="J446" s="114">
        <f t="shared" si="375"/>
        <v>0.49147250000000003</v>
      </c>
      <c r="K446" s="396">
        <v>75002.59</v>
      </c>
      <c r="L446" s="114">
        <f t="shared" si="376"/>
        <v>13.542134305555555</v>
      </c>
      <c r="M446" s="396">
        <v>2686.67</v>
      </c>
      <c r="N446" s="114">
        <f t="shared" si="377"/>
        <v>0.18657430555555557</v>
      </c>
      <c r="O446" s="396">
        <v>89328.01</v>
      </c>
      <c r="P446" s="114">
        <f t="shared" si="378"/>
        <v>16.12866847222222</v>
      </c>
      <c r="Q446" s="396">
        <v>6400.92</v>
      </c>
      <c r="R446" s="398">
        <f t="shared" si="379"/>
        <v>1.4224266666666667</v>
      </c>
    </row>
    <row r="447" spans="2:18" x14ac:dyDescent="0.3">
      <c r="B447" s="393">
        <f t="shared" si="372"/>
        <v>45914</v>
      </c>
      <c r="C447" s="396">
        <v>48361.82</v>
      </c>
      <c r="D447" s="114">
        <f t="shared" si="337"/>
        <v>10.075379166666666</v>
      </c>
      <c r="E447" s="399">
        <v>1398047.55</v>
      </c>
      <c r="F447" s="114">
        <f t="shared" ref="F447:F453" si="380">(E447*7.5%)/360</f>
        <v>291.25990625000003</v>
      </c>
      <c r="G447" s="396">
        <v>101236.91</v>
      </c>
      <c r="H447" s="114">
        <f t="shared" ref="H447:H453" si="381">(G447*4.5%)/360</f>
        <v>12.654613750000001</v>
      </c>
      <c r="I447" s="399">
        <v>3931.78</v>
      </c>
      <c r="J447" s="114">
        <f t="shared" ref="J447:J453" si="382">(I447*4.5%)/360</f>
        <v>0.49147250000000003</v>
      </c>
      <c r="K447" s="396">
        <v>75002.59</v>
      </c>
      <c r="L447" s="114">
        <f t="shared" ref="L447:L453" si="383">(K447*6.5%)/360</f>
        <v>13.542134305555555</v>
      </c>
      <c r="M447" s="396">
        <v>2686.67</v>
      </c>
      <c r="N447" s="114">
        <f t="shared" ref="N447:N453" si="384">(M447*2.5%)/360</f>
        <v>0.18657430555555557</v>
      </c>
      <c r="O447" s="396">
        <v>89328.01</v>
      </c>
      <c r="P447" s="114">
        <f t="shared" ref="P447:P453" si="385">(O447*6.5%)/360</f>
        <v>16.12866847222222</v>
      </c>
      <c r="Q447" s="396">
        <v>6400.92</v>
      </c>
      <c r="R447" s="398">
        <f t="shared" ref="R447:R453" si="386">(Q447*8%)/360</f>
        <v>1.4224266666666667</v>
      </c>
    </row>
    <row r="448" spans="2:18" x14ac:dyDescent="0.3">
      <c r="B448" s="393">
        <f t="shared" si="372"/>
        <v>45915</v>
      </c>
      <c r="C448" s="396">
        <v>48361.82</v>
      </c>
      <c r="D448" s="114">
        <f t="shared" si="337"/>
        <v>10.075379166666666</v>
      </c>
      <c r="E448" s="399">
        <v>594754.4</v>
      </c>
      <c r="F448" s="114">
        <f t="shared" si="380"/>
        <v>123.90716666666667</v>
      </c>
      <c r="G448" s="396">
        <v>101236.91</v>
      </c>
      <c r="H448" s="114">
        <f t="shared" si="381"/>
        <v>12.654613750000001</v>
      </c>
      <c r="I448" s="399">
        <v>3931.78</v>
      </c>
      <c r="J448" s="114">
        <f t="shared" si="382"/>
        <v>0.49147250000000003</v>
      </c>
      <c r="K448" s="396">
        <v>75002.59</v>
      </c>
      <c r="L448" s="114">
        <f t="shared" si="383"/>
        <v>13.542134305555555</v>
      </c>
      <c r="M448" s="396">
        <v>2686.67</v>
      </c>
      <c r="N448" s="114">
        <f t="shared" si="384"/>
        <v>0.18657430555555557</v>
      </c>
      <c r="O448" s="396">
        <v>89328.01</v>
      </c>
      <c r="P448" s="114">
        <f t="shared" si="385"/>
        <v>16.12866847222222</v>
      </c>
      <c r="Q448" s="396">
        <v>6400.92</v>
      </c>
      <c r="R448" s="398">
        <f t="shared" si="386"/>
        <v>1.4224266666666667</v>
      </c>
    </row>
    <row r="449" spans="2:18" x14ac:dyDescent="0.3">
      <c r="B449" s="393">
        <f t="shared" si="372"/>
        <v>45916</v>
      </c>
      <c r="C449" s="396">
        <v>48361.82</v>
      </c>
      <c r="D449" s="114">
        <f t="shared" si="337"/>
        <v>10.075379166666666</v>
      </c>
      <c r="E449" s="399">
        <v>594185.31999999995</v>
      </c>
      <c r="F449" s="114">
        <f t="shared" si="380"/>
        <v>123.78860833333333</v>
      </c>
      <c r="G449" s="396">
        <v>101236.91</v>
      </c>
      <c r="H449" s="114">
        <f t="shared" si="381"/>
        <v>12.654613750000001</v>
      </c>
      <c r="I449" s="399">
        <v>3931.78</v>
      </c>
      <c r="J449" s="114">
        <f t="shared" si="382"/>
        <v>0.49147250000000003</v>
      </c>
      <c r="K449" s="396">
        <v>75002.59</v>
      </c>
      <c r="L449" s="114">
        <f t="shared" si="383"/>
        <v>13.542134305555555</v>
      </c>
      <c r="M449" s="396">
        <v>2686.67</v>
      </c>
      <c r="N449" s="114">
        <f t="shared" si="384"/>
        <v>0.18657430555555557</v>
      </c>
      <c r="O449" s="396">
        <v>89328.01</v>
      </c>
      <c r="P449" s="114">
        <f t="shared" si="385"/>
        <v>16.12866847222222</v>
      </c>
      <c r="Q449" s="396">
        <v>6400.92</v>
      </c>
      <c r="R449" s="398">
        <f t="shared" si="386"/>
        <v>1.4224266666666667</v>
      </c>
    </row>
    <row r="450" spans="2:18" x14ac:dyDescent="0.3">
      <c r="B450" s="393">
        <f t="shared" si="372"/>
        <v>45917</v>
      </c>
      <c r="C450" s="396">
        <v>33361.82</v>
      </c>
      <c r="D450" s="114">
        <f t="shared" si="337"/>
        <v>6.950379166666667</v>
      </c>
      <c r="E450" s="399">
        <v>94185.32</v>
      </c>
      <c r="F450" s="114">
        <f t="shared" si="380"/>
        <v>19.621941666666668</v>
      </c>
      <c r="G450" s="396">
        <v>101236.91</v>
      </c>
      <c r="H450" s="114">
        <f t="shared" si="381"/>
        <v>12.654613750000001</v>
      </c>
      <c r="I450" s="399">
        <v>3931.78</v>
      </c>
      <c r="J450" s="114">
        <f t="shared" si="382"/>
        <v>0.49147250000000003</v>
      </c>
      <c r="K450" s="396">
        <v>75002.59</v>
      </c>
      <c r="L450" s="114">
        <f t="shared" si="383"/>
        <v>13.542134305555555</v>
      </c>
      <c r="M450" s="396">
        <v>2686.67</v>
      </c>
      <c r="N450" s="114">
        <f t="shared" si="384"/>
        <v>0.18657430555555557</v>
      </c>
      <c r="O450" s="396">
        <v>89328.01</v>
      </c>
      <c r="P450" s="114">
        <f t="shared" si="385"/>
        <v>16.12866847222222</v>
      </c>
      <c r="Q450" s="396">
        <v>6400.92</v>
      </c>
      <c r="R450" s="398">
        <f t="shared" si="386"/>
        <v>1.4224266666666667</v>
      </c>
    </row>
    <row r="451" spans="2:18" x14ac:dyDescent="0.3">
      <c r="B451" s="393">
        <f t="shared" si="372"/>
        <v>45918</v>
      </c>
      <c r="C451" s="396">
        <v>33361.82</v>
      </c>
      <c r="D451" s="114">
        <f t="shared" si="337"/>
        <v>6.950379166666667</v>
      </c>
      <c r="E451" s="399">
        <v>94185.32</v>
      </c>
      <c r="F451" s="114">
        <f t="shared" si="380"/>
        <v>19.621941666666668</v>
      </c>
      <c r="G451" s="396">
        <v>101236.91</v>
      </c>
      <c r="H451" s="114">
        <f t="shared" si="381"/>
        <v>12.654613750000001</v>
      </c>
      <c r="I451" s="399">
        <v>3931.78</v>
      </c>
      <c r="J451" s="114">
        <f t="shared" si="382"/>
        <v>0.49147250000000003</v>
      </c>
      <c r="K451" s="396">
        <v>75002.59</v>
      </c>
      <c r="L451" s="114">
        <f t="shared" si="383"/>
        <v>13.542134305555555</v>
      </c>
      <c r="M451" s="396">
        <v>2686.67</v>
      </c>
      <c r="N451" s="114">
        <f t="shared" si="384"/>
        <v>0.18657430555555557</v>
      </c>
      <c r="O451" s="396">
        <v>89328.01</v>
      </c>
      <c r="P451" s="114">
        <f t="shared" si="385"/>
        <v>16.12866847222222</v>
      </c>
      <c r="Q451" s="396">
        <v>6400.92</v>
      </c>
      <c r="R451" s="398">
        <f t="shared" si="386"/>
        <v>1.4224266666666667</v>
      </c>
    </row>
    <row r="452" spans="2:18" x14ac:dyDescent="0.3">
      <c r="B452" s="393">
        <f t="shared" si="372"/>
        <v>45919</v>
      </c>
      <c r="C452" s="396">
        <v>33361.82</v>
      </c>
      <c r="D452" s="114">
        <f t="shared" si="337"/>
        <v>6.950379166666667</v>
      </c>
      <c r="E452" s="399">
        <v>94185.32</v>
      </c>
      <c r="F452" s="114">
        <f t="shared" si="380"/>
        <v>19.621941666666668</v>
      </c>
      <c r="G452" s="396">
        <v>101236.91</v>
      </c>
      <c r="H452" s="114">
        <f t="shared" si="381"/>
        <v>12.654613750000001</v>
      </c>
      <c r="I452" s="399">
        <v>3931.78</v>
      </c>
      <c r="J452" s="114">
        <f t="shared" si="382"/>
        <v>0.49147250000000003</v>
      </c>
      <c r="K452" s="396">
        <v>75002.59</v>
      </c>
      <c r="L452" s="114">
        <f t="shared" si="383"/>
        <v>13.542134305555555</v>
      </c>
      <c r="M452" s="396">
        <v>2686.67</v>
      </c>
      <c r="N452" s="114">
        <f t="shared" si="384"/>
        <v>0.18657430555555557</v>
      </c>
      <c r="O452" s="396">
        <v>89328.01</v>
      </c>
      <c r="P452" s="114">
        <f t="shared" si="385"/>
        <v>16.12866847222222</v>
      </c>
      <c r="Q452" s="396">
        <v>6400.92</v>
      </c>
      <c r="R452" s="398">
        <f t="shared" si="386"/>
        <v>1.4224266666666667</v>
      </c>
    </row>
    <row r="453" spans="2:18" x14ac:dyDescent="0.3">
      <c r="B453" s="393">
        <f t="shared" si="372"/>
        <v>45920</v>
      </c>
      <c r="C453" s="396">
        <v>33361.82</v>
      </c>
      <c r="D453" s="114">
        <f t="shared" si="337"/>
        <v>6.950379166666667</v>
      </c>
      <c r="E453" s="399">
        <v>94185.32</v>
      </c>
      <c r="F453" s="114">
        <f t="shared" si="380"/>
        <v>19.621941666666668</v>
      </c>
      <c r="G453" s="396">
        <v>101236.91</v>
      </c>
      <c r="H453" s="114">
        <f t="shared" si="381"/>
        <v>12.654613750000001</v>
      </c>
      <c r="I453" s="399">
        <v>3931.78</v>
      </c>
      <c r="J453" s="114">
        <f t="shared" si="382"/>
        <v>0.49147250000000003</v>
      </c>
      <c r="K453" s="396">
        <v>75002.59</v>
      </c>
      <c r="L453" s="114">
        <f t="shared" si="383"/>
        <v>13.542134305555555</v>
      </c>
      <c r="M453" s="396">
        <v>2686.67</v>
      </c>
      <c r="N453" s="114">
        <f t="shared" si="384"/>
        <v>0.18657430555555557</v>
      </c>
      <c r="O453" s="396">
        <v>89328.01</v>
      </c>
      <c r="P453" s="114">
        <f t="shared" si="385"/>
        <v>16.12866847222222</v>
      </c>
      <c r="Q453" s="396">
        <v>6400.92</v>
      </c>
      <c r="R453" s="398">
        <f t="shared" si="386"/>
        <v>1.4224266666666667</v>
      </c>
    </row>
    <row r="454" spans="2:18" x14ac:dyDescent="0.3">
      <c r="B454" s="393">
        <f t="shared" si="372"/>
        <v>45921</v>
      </c>
      <c r="C454" s="396">
        <v>33109.339999999997</v>
      </c>
      <c r="D454" s="114">
        <f t="shared" si="337"/>
        <v>6.8977791666666652</v>
      </c>
      <c r="E454" s="399">
        <v>464382.82</v>
      </c>
      <c r="F454" s="114">
        <f t="shared" ref="F454:F467" si="387">(E454*7.5%)/360</f>
        <v>96.746420833333332</v>
      </c>
      <c r="G454" s="396">
        <v>41236.910000000003</v>
      </c>
      <c r="H454" s="114">
        <f t="shared" ref="H454:H460" si="388">(G454*4.5%)/360</f>
        <v>5.1546137500000002</v>
      </c>
      <c r="I454" s="399">
        <v>3931.78</v>
      </c>
      <c r="J454" s="114">
        <f t="shared" ref="J454:J460" si="389">(I454*4.5%)/360</f>
        <v>0.49147250000000003</v>
      </c>
      <c r="K454" s="396">
        <v>74648.59</v>
      </c>
      <c r="L454" s="114">
        <f t="shared" ref="L454:L460" si="390">(K454*6.5%)/360</f>
        <v>13.478217638888887</v>
      </c>
      <c r="M454" s="396">
        <v>2696.67</v>
      </c>
      <c r="N454" s="114">
        <f t="shared" ref="N454:N460" si="391">(M454*2.5%)/360</f>
        <v>0.18726875000000001</v>
      </c>
      <c r="O454" s="396">
        <v>88905.23</v>
      </c>
      <c r="P454" s="114">
        <f t="shared" ref="P454:P460" si="392">(O454*6.5%)/360</f>
        <v>16.052333194444444</v>
      </c>
      <c r="Q454" s="396">
        <v>296575.92</v>
      </c>
      <c r="R454" s="398">
        <f t="shared" ref="R454:R460" si="393">(Q454*8%)/360</f>
        <v>65.905760000000001</v>
      </c>
    </row>
    <row r="455" spans="2:18" x14ac:dyDescent="0.3">
      <c r="B455" s="393">
        <f t="shared" si="372"/>
        <v>45922</v>
      </c>
      <c r="C455" s="396">
        <v>33109.339999999997</v>
      </c>
      <c r="D455" s="114">
        <f t="shared" si="337"/>
        <v>6.8977791666666652</v>
      </c>
      <c r="E455" s="399">
        <v>462882.82</v>
      </c>
      <c r="F455" s="114">
        <f t="shared" si="387"/>
        <v>96.433920833333332</v>
      </c>
      <c r="G455" s="396">
        <v>41236.910000000003</v>
      </c>
      <c r="H455" s="114">
        <f t="shared" si="388"/>
        <v>5.1546137500000002</v>
      </c>
      <c r="I455" s="399">
        <v>3931.78</v>
      </c>
      <c r="J455" s="114">
        <f t="shared" si="389"/>
        <v>0.49147250000000003</v>
      </c>
      <c r="K455" s="396">
        <v>74648.59</v>
      </c>
      <c r="L455" s="114">
        <f t="shared" si="390"/>
        <v>13.478217638888887</v>
      </c>
      <c r="M455" s="396">
        <v>2696.67</v>
      </c>
      <c r="N455" s="114">
        <f t="shared" si="391"/>
        <v>0.18726875000000001</v>
      </c>
      <c r="O455" s="396">
        <v>88905.23</v>
      </c>
      <c r="P455" s="114">
        <f t="shared" si="392"/>
        <v>16.052333194444444</v>
      </c>
      <c r="Q455" s="396">
        <v>296575.92</v>
      </c>
      <c r="R455" s="398">
        <f t="shared" si="393"/>
        <v>65.905760000000001</v>
      </c>
    </row>
    <row r="456" spans="2:18" x14ac:dyDescent="0.3">
      <c r="B456" s="393">
        <f t="shared" si="372"/>
        <v>45923</v>
      </c>
      <c r="C456" s="396">
        <v>33109.339999999997</v>
      </c>
      <c r="D456" s="114">
        <f t="shared" si="337"/>
        <v>6.8977791666666652</v>
      </c>
      <c r="E456" s="399">
        <v>3211534.8</v>
      </c>
      <c r="F456" s="114">
        <f t="shared" si="387"/>
        <v>669.06975</v>
      </c>
      <c r="G456" s="396">
        <v>41236.910000000003</v>
      </c>
      <c r="H456" s="114">
        <f t="shared" si="388"/>
        <v>5.1546137500000002</v>
      </c>
      <c r="I456" s="399">
        <v>3931.78</v>
      </c>
      <c r="J456" s="114">
        <f t="shared" si="389"/>
        <v>0.49147250000000003</v>
      </c>
      <c r="K456" s="396">
        <v>74648.59</v>
      </c>
      <c r="L456" s="114">
        <f t="shared" si="390"/>
        <v>13.478217638888887</v>
      </c>
      <c r="M456" s="396">
        <v>2696.67</v>
      </c>
      <c r="N456" s="114">
        <f t="shared" si="391"/>
        <v>0.18726875000000001</v>
      </c>
      <c r="O456" s="396">
        <v>88905.23</v>
      </c>
      <c r="P456" s="114">
        <f t="shared" si="392"/>
        <v>16.052333194444444</v>
      </c>
      <c r="Q456" s="396">
        <v>296575.92</v>
      </c>
      <c r="R456" s="398">
        <f t="shared" si="393"/>
        <v>65.905760000000001</v>
      </c>
    </row>
    <row r="457" spans="2:18" x14ac:dyDescent="0.3">
      <c r="B457" s="393">
        <f t="shared" si="372"/>
        <v>45924</v>
      </c>
      <c r="C457" s="396">
        <v>98560.04</v>
      </c>
      <c r="D457" s="114">
        <f t="shared" si="337"/>
        <v>20.533341666666665</v>
      </c>
      <c r="E457" s="399">
        <v>3180845.85</v>
      </c>
      <c r="F457" s="114">
        <f t="shared" si="387"/>
        <v>662.67621874999998</v>
      </c>
      <c r="G457" s="396">
        <v>41236.910000000003</v>
      </c>
      <c r="H457" s="114">
        <f t="shared" si="388"/>
        <v>5.1546137500000002</v>
      </c>
      <c r="I457" s="399">
        <v>98810.02</v>
      </c>
      <c r="J457" s="114">
        <f t="shared" si="389"/>
        <v>12.351252499999999</v>
      </c>
      <c r="K457" s="396">
        <v>74648.59</v>
      </c>
      <c r="L457" s="114">
        <f t="shared" si="390"/>
        <v>13.478217638888887</v>
      </c>
      <c r="M457" s="396">
        <v>2696.67</v>
      </c>
      <c r="N457" s="114">
        <f t="shared" si="391"/>
        <v>0.18726875000000001</v>
      </c>
      <c r="O457" s="396">
        <v>88905.23</v>
      </c>
      <c r="P457" s="114">
        <f t="shared" si="392"/>
        <v>16.052333194444444</v>
      </c>
      <c r="Q457" s="396">
        <v>296575.92</v>
      </c>
      <c r="R457" s="398">
        <f t="shared" si="393"/>
        <v>65.905760000000001</v>
      </c>
    </row>
    <row r="458" spans="2:18" x14ac:dyDescent="0.3">
      <c r="B458" s="393">
        <f t="shared" si="372"/>
        <v>45925</v>
      </c>
      <c r="C458" s="396">
        <v>98560.04</v>
      </c>
      <c r="D458" s="114">
        <f t="shared" si="337"/>
        <v>20.533341666666665</v>
      </c>
      <c r="E458" s="399">
        <v>331532.18</v>
      </c>
      <c r="F458" s="114">
        <f t="shared" si="387"/>
        <v>69.069204166666665</v>
      </c>
      <c r="G458" s="396">
        <v>41236.910000000003</v>
      </c>
      <c r="H458" s="114">
        <f t="shared" si="388"/>
        <v>5.1546137500000002</v>
      </c>
      <c r="I458" s="399">
        <v>98810.02</v>
      </c>
      <c r="J458" s="114">
        <f t="shared" si="389"/>
        <v>12.351252499999999</v>
      </c>
      <c r="K458" s="396">
        <v>74648.59</v>
      </c>
      <c r="L458" s="114">
        <f t="shared" si="390"/>
        <v>13.478217638888887</v>
      </c>
      <c r="M458" s="396">
        <v>2696.67</v>
      </c>
      <c r="N458" s="114">
        <f t="shared" si="391"/>
        <v>0.18726875000000001</v>
      </c>
      <c r="O458" s="396">
        <v>88905.23</v>
      </c>
      <c r="P458" s="114">
        <f t="shared" si="392"/>
        <v>16.052333194444444</v>
      </c>
      <c r="Q458" s="396">
        <v>296575.92</v>
      </c>
      <c r="R458" s="398">
        <f t="shared" si="393"/>
        <v>65.905760000000001</v>
      </c>
    </row>
    <row r="459" spans="2:18" x14ac:dyDescent="0.3">
      <c r="B459" s="393">
        <f t="shared" si="372"/>
        <v>45926</v>
      </c>
      <c r="C459" s="396">
        <v>98560.04</v>
      </c>
      <c r="D459" s="114">
        <f t="shared" si="337"/>
        <v>20.533341666666665</v>
      </c>
      <c r="E459" s="399">
        <v>331532.18</v>
      </c>
      <c r="F459" s="114">
        <f t="shared" si="387"/>
        <v>69.069204166666665</v>
      </c>
      <c r="G459" s="396">
        <v>41236.910000000003</v>
      </c>
      <c r="H459" s="114">
        <f t="shared" si="388"/>
        <v>5.1546137500000002</v>
      </c>
      <c r="I459" s="399">
        <v>98810.02</v>
      </c>
      <c r="J459" s="114">
        <f t="shared" si="389"/>
        <v>12.351252499999999</v>
      </c>
      <c r="K459" s="396">
        <v>74648.59</v>
      </c>
      <c r="L459" s="114">
        <f t="shared" si="390"/>
        <v>13.478217638888887</v>
      </c>
      <c r="M459" s="396">
        <v>2696.67</v>
      </c>
      <c r="N459" s="114">
        <f t="shared" si="391"/>
        <v>0.18726875000000001</v>
      </c>
      <c r="O459" s="396">
        <v>88905.23</v>
      </c>
      <c r="P459" s="114">
        <f t="shared" si="392"/>
        <v>16.052333194444444</v>
      </c>
      <c r="Q459" s="396">
        <v>296575.92</v>
      </c>
      <c r="R459" s="398">
        <f t="shared" si="393"/>
        <v>65.905760000000001</v>
      </c>
    </row>
    <row r="460" spans="2:18" x14ac:dyDescent="0.3">
      <c r="B460" s="393">
        <f t="shared" si="372"/>
        <v>45927</v>
      </c>
      <c r="C460" s="396">
        <v>98560.04</v>
      </c>
      <c r="D460" s="114">
        <f t="shared" si="337"/>
        <v>20.533341666666665</v>
      </c>
      <c r="E460" s="399">
        <v>331532.18</v>
      </c>
      <c r="F460" s="114">
        <f t="shared" si="387"/>
        <v>69.069204166666665</v>
      </c>
      <c r="G460" s="396">
        <v>41236.910000000003</v>
      </c>
      <c r="H460" s="114">
        <f t="shared" si="388"/>
        <v>5.1546137500000002</v>
      </c>
      <c r="I460" s="399">
        <v>98810.02</v>
      </c>
      <c r="J460" s="114">
        <f t="shared" si="389"/>
        <v>12.351252499999999</v>
      </c>
      <c r="K460" s="396">
        <v>74648.59</v>
      </c>
      <c r="L460" s="114">
        <f t="shared" si="390"/>
        <v>13.478217638888887</v>
      </c>
      <c r="M460" s="396">
        <v>2696.67</v>
      </c>
      <c r="N460" s="114">
        <f t="shared" si="391"/>
        <v>0.18726875000000001</v>
      </c>
      <c r="O460" s="396">
        <v>88905.23</v>
      </c>
      <c r="P460" s="114">
        <f t="shared" si="392"/>
        <v>16.052333194444444</v>
      </c>
      <c r="Q460" s="396">
        <v>296575.92</v>
      </c>
      <c r="R460" s="398">
        <f t="shared" si="393"/>
        <v>65.905760000000001</v>
      </c>
    </row>
    <row r="461" spans="2:18" x14ac:dyDescent="0.3">
      <c r="B461" s="393">
        <f t="shared" si="372"/>
        <v>45928</v>
      </c>
      <c r="C461" s="396">
        <v>98560.04</v>
      </c>
      <c r="D461" s="114">
        <f t="shared" si="337"/>
        <v>20.533341666666665</v>
      </c>
      <c r="E461" s="399">
        <v>2222973.02</v>
      </c>
      <c r="F461" s="114">
        <f t="shared" si="387"/>
        <v>463.11937916666665</v>
      </c>
      <c r="G461" s="396">
        <v>53236.91</v>
      </c>
      <c r="H461" s="114">
        <f t="shared" ref="H461:H467" si="394">(G461*4.5%)/360</f>
        <v>6.6546137500000002</v>
      </c>
      <c r="I461" s="399">
        <v>98810.02</v>
      </c>
      <c r="J461" s="114">
        <f t="shared" ref="J461:J467" si="395">(I461*4.5%)/360</f>
        <v>12.351252499999999</v>
      </c>
      <c r="K461" s="396">
        <v>74648.59</v>
      </c>
      <c r="L461" s="114">
        <f t="shared" ref="L461:L467" si="396">(K461*6.5%)/360</f>
        <v>13.478217638888887</v>
      </c>
      <c r="M461" s="396">
        <v>2696.67</v>
      </c>
      <c r="N461" s="114">
        <f t="shared" ref="N461:N467" si="397">(M461*2.5%)/360</f>
        <v>0.18726875000000001</v>
      </c>
      <c r="O461" s="396">
        <v>88905.23</v>
      </c>
      <c r="P461" s="114">
        <f t="shared" ref="P461:P467" si="398">(O461*6.5%)/360</f>
        <v>16.052333194444444</v>
      </c>
      <c r="Q461" s="396">
        <v>296575.92</v>
      </c>
      <c r="R461" s="398">
        <f t="shared" ref="R461:R467" si="399">(Q461*8%)/360</f>
        <v>65.905760000000001</v>
      </c>
    </row>
    <row r="462" spans="2:18" x14ac:dyDescent="0.3">
      <c r="B462" s="393">
        <f t="shared" si="372"/>
        <v>45929</v>
      </c>
      <c r="C462" s="396">
        <v>98560.04</v>
      </c>
      <c r="D462" s="114">
        <f t="shared" si="337"/>
        <v>20.533341666666665</v>
      </c>
      <c r="E462" s="399">
        <v>1252164.81</v>
      </c>
      <c r="F462" s="114">
        <f t="shared" si="387"/>
        <v>260.86766875000001</v>
      </c>
      <c r="G462" s="396">
        <v>363226.91</v>
      </c>
      <c r="H462" s="114">
        <f t="shared" si="394"/>
        <v>45.403363749999997</v>
      </c>
      <c r="I462" s="399">
        <v>98810.02</v>
      </c>
      <c r="J462" s="114">
        <f t="shared" si="395"/>
        <v>12.351252499999999</v>
      </c>
      <c r="K462" s="396">
        <v>74648.59</v>
      </c>
      <c r="L462" s="114">
        <f t="shared" si="396"/>
        <v>13.478217638888887</v>
      </c>
      <c r="M462" s="396">
        <v>2696.67</v>
      </c>
      <c r="N462" s="114">
        <f t="shared" si="397"/>
        <v>0.18726875000000001</v>
      </c>
      <c r="O462" s="396">
        <v>88905.23</v>
      </c>
      <c r="P462" s="114">
        <f t="shared" si="398"/>
        <v>16.052333194444444</v>
      </c>
      <c r="Q462" s="396">
        <v>296575.92</v>
      </c>
      <c r="R462" s="398">
        <f t="shared" si="399"/>
        <v>65.905760000000001</v>
      </c>
    </row>
    <row r="463" spans="2:18" x14ac:dyDescent="0.3">
      <c r="B463" s="393">
        <f t="shared" si="372"/>
        <v>45930</v>
      </c>
      <c r="C463" s="396">
        <v>98560.04</v>
      </c>
      <c r="D463" s="114">
        <f t="shared" si="337"/>
        <v>20.533341666666665</v>
      </c>
      <c r="E463" s="399">
        <v>1392238.31</v>
      </c>
      <c r="F463" s="114">
        <f t="shared" si="387"/>
        <v>290.04964791666669</v>
      </c>
      <c r="G463" s="396">
        <v>363226.91</v>
      </c>
      <c r="H463" s="114">
        <f t="shared" si="394"/>
        <v>45.403363749999997</v>
      </c>
      <c r="I463" s="399">
        <v>98810.02</v>
      </c>
      <c r="J463" s="114">
        <f t="shared" si="395"/>
        <v>12.351252499999999</v>
      </c>
      <c r="K463" s="396">
        <v>74648.59</v>
      </c>
      <c r="L463" s="114">
        <f t="shared" si="396"/>
        <v>13.478217638888887</v>
      </c>
      <c r="M463" s="396">
        <v>2696.67</v>
      </c>
      <c r="N463" s="114">
        <f t="shared" si="397"/>
        <v>0.18726875000000001</v>
      </c>
      <c r="O463" s="396">
        <v>88905.23</v>
      </c>
      <c r="P463" s="114">
        <f t="shared" si="398"/>
        <v>16.052333194444444</v>
      </c>
      <c r="Q463" s="396">
        <v>296575.92</v>
      </c>
      <c r="R463" s="398">
        <f t="shared" si="399"/>
        <v>65.905760000000001</v>
      </c>
    </row>
    <row r="464" spans="2:18" x14ac:dyDescent="0.3">
      <c r="B464" s="393">
        <f t="shared" si="372"/>
        <v>45931</v>
      </c>
      <c r="C464" s="396">
        <v>98560.04</v>
      </c>
      <c r="D464" s="114">
        <f t="shared" si="337"/>
        <v>20.533341666666665</v>
      </c>
      <c r="E464" s="399">
        <v>1392238.31</v>
      </c>
      <c r="F464" s="114">
        <f t="shared" si="387"/>
        <v>290.04964791666669</v>
      </c>
      <c r="G464" s="396">
        <v>363226.91</v>
      </c>
      <c r="H464" s="114">
        <f t="shared" si="394"/>
        <v>45.403363749999997</v>
      </c>
      <c r="I464" s="399">
        <v>98810.02</v>
      </c>
      <c r="J464" s="114">
        <f t="shared" si="395"/>
        <v>12.351252499999999</v>
      </c>
      <c r="K464" s="396">
        <v>74648.59</v>
      </c>
      <c r="L464" s="114">
        <f t="shared" si="396"/>
        <v>13.478217638888887</v>
      </c>
      <c r="M464" s="396">
        <v>2696.67</v>
      </c>
      <c r="N464" s="114">
        <f t="shared" si="397"/>
        <v>0.18726875000000001</v>
      </c>
      <c r="O464" s="396">
        <v>88905.23</v>
      </c>
      <c r="P464" s="114">
        <f t="shared" si="398"/>
        <v>16.052333194444444</v>
      </c>
      <c r="Q464" s="396">
        <v>296575.92</v>
      </c>
      <c r="R464" s="398">
        <f t="shared" si="399"/>
        <v>65.905760000000001</v>
      </c>
    </row>
    <row r="465" spans="2:18" x14ac:dyDescent="0.3">
      <c r="B465" s="393">
        <f t="shared" si="372"/>
        <v>45932</v>
      </c>
      <c r="C465" s="396">
        <v>98560.04</v>
      </c>
      <c r="D465" s="114">
        <f t="shared" si="337"/>
        <v>20.533341666666665</v>
      </c>
      <c r="E465" s="399">
        <v>1392238.31</v>
      </c>
      <c r="F465" s="114">
        <f t="shared" si="387"/>
        <v>290.04964791666669</v>
      </c>
      <c r="G465" s="396">
        <v>363226.91</v>
      </c>
      <c r="H465" s="114">
        <f t="shared" si="394"/>
        <v>45.403363749999997</v>
      </c>
      <c r="I465" s="399">
        <v>98810.02</v>
      </c>
      <c r="J465" s="114">
        <f t="shared" si="395"/>
        <v>12.351252499999999</v>
      </c>
      <c r="K465" s="396">
        <v>74648.59</v>
      </c>
      <c r="L465" s="114">
        <f t="shared" si="396"/>
        <v>13.478217638888887</v>
      </c>
      <c r="M465" s="396">
        <v>2696.67</v>
      </c>
      <c r="N465" s="114">
        <f t="shared" si="397"/>
        <v>0.18726875000000001</v>
      </c>
      <c r="O465" s="396">
        <v>88905.23</v>
      </c>
      <c r="P465" s="114">
        <f t="shared" si="398"/>
        <v>16.052333194444444</v>
      </c>
      <c r="Q465" s="396">
        <v>296575.92</v>
      </c>
      <c r="R465" s="398">
        <f t="shared" si="399"/>
        <v>65.905760000000001</v>
      </c>
    </row>
    <row r="466" spans="2:18" x14ac:dyDescent="0.3">
      <c r="B466" s="393">
        <f t="shared" si="372"/>
        <v>45933</v>
      </c>
      <c r="C466" s="396">
        <v>98560.04</v>
      </c>
      <c r="D466" s="114">
        <f t="shared" si="337"/>
        <v>20.533341666666665</v>
      </c>
      <c r="E466" s="399">
        <v>1392238.31</v>
      </c>
      <c r="F466" s="114">
        <f t="shared" si="387"/>
        <v>290.04964791666669</v>
      </c>
      <c r="G466" s="396">
        <v>363226.91</v>
      </c>
      <c r="H466" s="114">
        <f t="shared" si="394"/>
        <v>45.403363749999997</v>
      </c>
      <c r="I466" s="399">
        <v>98810.02</v>
      </c>
      <c r="J466" s="114">
        <f t="shared" si="395"/>
        <v>12.351252499999999</v>
      </c>
      <c r="K466" s="396">
        <v>74648.59</v>
      </c>
      <c r="L466" s="114">
        <f t="shared" si="396"/>
        <v>13.478217638888887</v>
      </c>
      <c r="M466" s="396">
        <v>2696.67</v>
      </c>
      <c r="N466" s="114">
        <f t="shared" si="397"/>
        <v>0.18726875000000001</v>
      </c>
      <c r="O466" s="396">
        <v>88905.23</v>
      </c>
      <c r="P466" s="114">
        <f t="shared" si="398"/>
        <v>16.052333194444444</v>
      </c>
      <c r="Q466" s="396">
        <v>296575.92</v>
      </c>
      <c r="R466" s="398">
        <f t="shared" si="399"/>
        <v>65.905760000000001</v>
      </c>
    </row>
    <row r="467" spans="2:18" x14ac:dyDescent="0.3">
      <c r="B467" s="393">
        <f t="shared" si="372"/>
        <v>45934</v>
      </c>
      <c r="C467" s="396">
        <v>98560.04</v>
      </c>
      <c r="D467" s="114">
        <f t="shared" si="337"/>
        <v>20.533341666666665</v>
      </c>
      <c r="E467" s="399">
        <v>1392238.31</v>
      </c>
      <c r="F467" s="114">
        <f t="shared" si="387"/>
        <v>290.04964791666669</v>
      </c>
      <c r="G467" s="396">
        <v>363226.91</v>
      </c>
      <c r="H467" s="114">
        <f t="shared" si="394"/>
        <v>45.403363749999997</v>
      </c>
      <c r="I467" s="399">
        <v>98810.02</v>
      </c>
      <c r="J467" s="114">
        <f t="shared" si="395"/>
        <v>12.351252499999999</v>
      </c>
      <c r="K467" s="396">
        <v>74648.59</v>
      </c>
      <c r="L467" s="114">
        <f t="shared" si="396"/>
        <v>13.478217638888887</v>
      </c>
      <c r="M467" s="396">
        <v>2696.67</v>
      </c>
      <c r="N467" s="114">
        <f t="shared" si="397"/>
        <v>0.18726875000000001</v>
      </c>
      <c r="O467" s="396">
        <v>88905.23</v>
      </c>
      <c r="P467" s="114">
        <f t="shared" si="398"/>
        <v>16.052333194444444</v>
      </c>
      <c r="Q467" s="396">
        <v>296575.92</v>
      </c>
      <c r="R467" s="398">
        <f t="shared" si="399"/>
        <v>65.905760000000001</v>
      </c>
    </row>
    <row r="468" spans="2:18" x14ac:dyDescent="0.3">
      <c r="B468" s="393">
        <f t="shared" si="372"/>
        <v>45935</v>
      </c>
      <c r="C468" s="396">
        <v>98560.04</v>
      </c>
      <c r="D468" s="114">
        <f t="shared" si="337"/>
        <v>20.533341666666665</v>
      </c>
      <c r="E468" s="399">
        <v>1392238.31</v>
      </c>
      <c r="F468" s="114">
        <f t="shared" ref="F468:F474" si="400">(E468*7.5%)/360</f>
        <v>290.04964791666669</v>
      </c>
      <c r="G468" s="396">
        <v>364226.91</v>
      </c>
      <c r="H468" s="114">
        <f t="shared" ref="H468:H474" si="401">(G468*4.5%)/360</f>
        <v>45.52836374999999</v>
      </c>
      <c r="I468" s="399">
        <v>98810.02</v>
      </c>
      <c r="J468" s="114">
        <f t="shared" ref="J468:J474" si="402">(I468*4.5%)/360</f>
        <v>12.351252499999999</v>
      </c>
      <c r="K468" s="396">
        <v>74648.59</v>
      </c>
      <c r="L468" s="114">
        <f t="shared" ref="L468:L474" si="403">(K468*6.5%)/360</f>
        <v>13.478217638888887</v>
      </c>
      <c r="M468" s="396">
        <v>2696.67</v>
      </c>
      <c r="N468" s="114">
        <f t="shared" ref="N468:N474" si="404">(M468*2.5%)/360</f>
        <v>0.18726875000000001</v>
      </c>
      <c r="O468" s="396">
        <v>88905.23</v>
      </c>
      <c r="P468" s="114">
        <f t="shared" ref="P468:P474" si="405">(O468*6.5%)/360</f>
        <v>16.052333194444444</v>
      </c>
      <c r="Q468" s="396">
        <v>296575.92</v>
      </c>
      <c r="R468" s="398">
        <f t="shared" ref="R468:R474" si="406">(Q468*8%)/360</f>
        <v>65.905760000000001</v>
      </c>
    </row>
    <row r="469" spans="2:18" x14ac:dyDescent="0.3">
      <c r="B469" s="393">
        <f t="shared" si="372"/>
        <v>45936</v>
      </c>
      <c r="C469" s="396">
        <v>98560.04</v>
      </c>
      <c r="D469" s="114">
        <f t="shared" ref="D469:D524" si="407">(C469*7.5%)/360</f>
        <v>20.533341666666665</v>
      </c>
      <c r="E469" s="399">
        <v>14999946.060000001</v>
      </c>
      <c r="F469" s="114">
        <f t="shared" si="400"/>
        <v>3124.9887625000001</v>
      </c>
      <c r="G469" s="396">
        <v>369226.91</v>
      </c>
      <c r="H469" s="114">
        <f t="shared" si="401"/>
        <v>46.15336374999999</v>
      </c>
      <c r="I469" s="399">
        <v>98810.02</v>
      </c>
      <c r="J469" s="114">
        <f t="shared" si="402"/>
        <v>12.351252499999999</v>
      </c>
      <c r="K469" s="396">
        <v>74648.59</v>
      </c>
      <c r="L469" s="114">
        <f t="shared" si="403"/>
        <v>13.478217638888887</v>
      </c>
      <c r="M469" s="396">
        <v>2696.67</v>
      </c>
      <c r="N469" s="114">
        <f t="shared" si="404"/>
        <v>0.18726875000000001</v>
      </c>
      <c r="O469" s="396">
        <v>88905.23</v>
      </c>
      <c r="P469" s="114">
        <f t="shared" si="405"/>
        <v>16.052333194444444</v>
      </c>
      <c r="Q469" s="396">
        <v>296575.92</v>
      </c>
      <c r="R469" s="398">
        <f t="shared" si="406"/>
        <v>65.905760000000001</v>
      </c>
    </row>
    <row r="470" spans="2:18" x14ac:dyDescent="0.3">
      <c r="B470" s="393">
        <f t="shared" si="372"/>
        <v>45937</v>
      </c>
      <c r="C470" s="396">
        <v>98560.04</v>
      </c>
      <c r="D470" s="114">
        <f t="shared" si="407"/>
        <v>20.533341666666665</v>
      </c>
      <c r="E470" s="399">
        <v>15601738.140000001</v>
      </c>
      <c r="F470" s="114">
        <f t="shared" si="400"/>
        <v>3250.3621125</v>
      </c>
      <c r="G470" s="396">
        <v>9226.91</v>
      </c>
      <c r="H470" s="114">
        <f t="shared" si="401"/>
        <v>1.15336375</v>
      </c>
      <c r="I470" s="399">
        <v>98810.02</v>
      </c>
      <c r="J470" s="114">
        <f t="shared" si="402"/>
        <v>12.351252499999999</v>
      </c>
      <c r="K470" s="396">
        <v>74648.59</v>
      </c>
      <c r="L470" s="114">
        <f t="shared" si="403"/>
        <v>13.478217638888887</v>
      </c>
      <c r="M470" s="396">
        <v>2696.67</v>
      </c>
      <c r="N470" s="114">
        <f t="shared" si="404"/>
        <v>0.18726875000000001</v>
      </c>
      <c r="O470" s="396">
        <v>88905.23</v>
      </c>
      <c r="P470" s="114">
        <f t="shared" si="405"/>
        <v>16.052333194444444</v>
      </c>
      <c r="Q470" s="396">
        <v>296575.92</v>
      </c>
      <c r="R470" s="398">
        <f t="shared" si="406"/>
        <v>65.905760000000001</v>
      </c>
    </row>
    <row r="471" spans="2:18" x14ac:dyDescent="0.3">
      <c r="B471" s="393">
        <f t="shared" si="372"/>
        <v>45938</v>
      </c>
      <c r="C471" s="396">
        <v>98560.04</v>
      </c>
      <c r="D471" s="114">
        <f t="shared" si="407"/>
        <v>20.533341666666665</v>
      </c>
      <c r="E471" s="399">
        <v>591638.14</v>
      </c>
      <c r="F471" s="114">
        <f t="shared" si="400"/>
        <v>123.25794583333334</v>
      </c>
      <c r="G471" s="396">
        <v>9226.91</v>
      </c>
      <c r="H471" s="114">
        <f t="shared" si="401"/>
        <v>1.15336375</v>
      </c>
      <c r="I471" s="399">
        <v>98810.02</v>
      </c>
      <c r="J471" s="114">
        <f t="shared" si="402"/>
        <v>12.351252499999999</v>
      </c>
      <c r="K471" s="396">
        <v>74648.59</v>
      </c>
      <c r="L471" s="114">
        <f t="shared" si="403"/>
        <v>13.478217638888887</v>
      </c>
      <c r="M471" s="396">
        <v>2696.67</v>
      </c>
      <c r="N471" s="114">
        <f t="shared" si="404"/>
        <v>0.18726875000000001</v>
      </c>
      <c r="O471" s="396">
        <v>88905.23</v>
      </c>
      <c r="P471" s="114">
        <f t="shared" si="405"/>
        <v>16.052333194444444</v>
      </c>
      <c r="Q471" s="396">
        <v>296575.92</v>
      </c>
      <c r="R471" s="398">
        <f t="shared" si="406"/>
        <v>65.905760000000001</v>
      </c>
    </row>
    <row r="472" spans="2:18" x14ac:dyDescent="0.3">
      <c r="B472" s="393">
        <f t="shared" si="372"/>
        <v>45939</v>
      </c>
      <c r="C472" s="396">
        <v>98560.04</v>
      </c>
      <c r="D472" s="114">
        <f t="shared" si="407"/>
        <v>20.533341666666665</v>
      </c>
      <c r="E472" s="399">
        <v>731083.51</v>
      </c>
      <c r="F472" s="114">
        <f t="shared" si="400"/>
        <v>152.30906458333331</v>
      </c>
      <c r="G472" s="396">
        <v>9226.91</v>
      </c>
      <c r="H472" s="114">
        <f t="shared" si="401"/>
        <v>1.15336375</v>
      </c>
      <c r="I472" s="399">
        <v>98810.02</v>
      </c>
      <c r="J472" s="114">
        <f t="shared" si="402"/>
        <v>12.351252499999999</v>
      </c>
      <c r="K472" s="396">
        <v>74648.59</v>
      </c>
      <c r="L472" s="114">
        <f t="shared" si="403"/>
        <v>13.478217638888887</v>
      </c>
      <c r="M472" s="396">
        <v>2696.67</v>
      </c>
      <c r="N472" s="114">
        <f t="shared" si="404"/>
        <v>0.18726875000000001</v>
      </c>
      <c r="O472" s="396">
        <v>88905.23</v>
      </c>
      <c r="P472" s="114">
        <f t="shared" si="405"/>
        <v>16.052333194444444</v>
      </c>
      <c r="Q472" s="396">
        <v>296575.92</v>
      </c>
      <c r="R472" s="398">
        <f t="shared" si="406"/>
        <v>65.905760000000001</v>
      </c>
    </row>
    <row r="473" spans="2:18" x14ac:dyDescent="0.3">
      <c r="B473" s="393">
        <f t="shared" si="372"/>
        <v>45940</v>
      </c>
      <c r="C473" s="396">
        <v>98560.04</v>
      </c>
      <c r="D473" s="114">
        <f t="shared" si="407"/>
        <v>20.533341666666665</v>
      </c>
      <c r="E473" s="399">
        <v>731083.51</v>
      </c>
      <c r="F473" s="114">
        <f t="shared" si="400"/>
        <v>152.30906458333331</v>
      </c>
      <c r="G473" s="396">
        <v>9226.91</v>
      </c>
      <c r="H473" s="114">
        <f t="shared" si="401"/>
        <v>1.15336375</v>
      </c>
      <c r="I473" s="399">
        <v>98810.02</v>
      </c>
      <c r="J473" s="114">
        <f t="shared" si="402"/>
        <v>12.351252499999999</v>
      </c>
      <c r="K473" s="396">
        <v>74648.59</v>
      </c>
      <c r="L473" s="114">
        <f t="shared" si="403"/>
        <v>13.478217638888887</v>
      </c>
      <c r="M473" s="396">
        <v>2696.67</v>
      </c>
      <c r="N473" s="114">
        <f t="shared" si="404"/>
        <v>0.18726875000000001</v>
      </c>
      <c r="O473" s="396">
        <v>88905.23</v>
      </c>
      <c r="P473" s="114">
        <f t="shared" si="405"/>
        <v>16.052333194444444</v>
      </c>
      <c r="Q473" s="396">
        <v>296575.92</v>
      </c>
      <c r="R473" s="398">
        <f t="shared" si="406"/>
        <v>65.905760000000001</v>
      </c>
    </row>
    <row r="474" spans="2:18" x14ac:dyDescent="0.3">
      <c r="B474" s="393">
        <f t="shared" si="372"/>
        <v>45941</v>
      </c>
      <c r="C474" s="396">
        <v>98560.04</v>
      </c>
      <c r="D474" s="114">
        <f t="shared" si="407"/>
        <v>20.533341666666665</v>
      </c>
      <c r="E474" s="399">
        <v>731083.51</v>
      </c>
      <c r="F474" s="114">
        <f t="shared" si="400"/>
        <v>152.30906458333331</v>
      </c>
      <c r="G474" s="396">
        <v>9226.91</v>
      </c>
      <c r="H474" s="114">
        <f t="shared" si="401"/>
        <v>1.15336375</v>
      </c>
      <c r="I474" s="399">
        <v>98810.02</v>
      </c>
      <c r="J474" s="114">
        <f t="shared" si="402"/>
        <v>12.351252499999999</v>
      </c>
      <c r="K474" s="396">
        <v>74648.59</v>
      </c>
      <c r="L474" s="114">
        <f t="shared" si="403"/>
        <v>13.478217638888887</v>
      </c>
      <c r="M474" s="396">
        <v>2696.67</v>
      </c>
      <c r="N474" s="114">
        <f t="shared" si="404"/>
        <v>0.18726875000000001</v>
      </c>
      <c r="O474" s="396">
        <v>88905.23</v>
      </c>
      <c r="P474" s="114">
        <f t="shared" si="405"/>
        <v>16.052333194444444</v>
      </c>
      <c r="Q474" s="396">
        <v>296575.92</v>
      </c>
      <c r="R474" s="398">
        <f t="shared" si="406"/>
        <v>65.905760000000001</v>
      </c>
    </row>
    <row r="475" spans="2:18" x14ac:dyDescent="0.3">
      <c r="B475" s="393">
        <f t="shared" si="372"/>
        <v>45942</v>
      </c>
      <c r="C475" s="396">
        <v>1060.04</v>
      </c>
      <c r="D475" s="114">
        <f t="shared" si="407"/>
        <v>0.22084166666666666</v>
      </c>
      <c r="E475" s="399">
        <v>691631.1</v>
      </c>
      <c r="F475" s="114">
        <f t="shared" ref="F475:F481" si="408">(E475*7.5%)/360</f>
        <v>144.08981249999999</v>
      </c>
      <c r="G475" s="396">
        <v>9226.91</v>
      </c>
      <c r="H475" s="114">
        <f t="shared" ref="H475:H481" si="409">(G475*4.5%)/360</f>
        <v>1.15336375</v>
      </c>
      <c r="I475" s="399">
        <v>98810.02</v>
      </c>
      <c r="J475" s="114">
        <f t="shared" ref="J475:J481" si="410">(I475*4.5%)/360</f>
        <v>12.351252499999999</v>
      </c>
      <c r="K475" s="396">
        <v>74648.59</v>
      </c>
      <c r="L475" s="114">
        <f t="shared" ref="L475:L481" si="411">(K475*6.5%)/360</f>
        <v>13.478217638888887</v>
      </c>
      <c r="M475" s="396">
        <v>2696.67</v>
      </c>
      <c r="N475" s="114">
        <f t="shared" ref="N475:N481" si="412">(M475*2.5%)/360</f>
        <v>0.18726875000000001</v>
      </c>
      <c r="O475" s="396">
        <v>88905.23</v>
      </c>
      <c r="P475" s="114">
        <f t="shared" ref="P475:P481" si="413">(O475*6.5%)/360</f>
        <v>16.052333194444444</v>
      </c>
      <c r="Q475" s="396">
        <v>296575.92</v>
      </c>
      <c r="R475" s="398">
        <f t="shared" ref="R475:R481" si="414">(Q475*8%)/360</f>
        <v>65.905760000000001</v>
      </c>
    </row>
    <row r="476" spans="2:18" x14ac:dyDescent="0.3">
      <c r="B476" s="393">
        <f t="shared" si="372"/>
        <v>45943</v>
      </c>
      <c r="C476" s="396">
        <v>1060.04</v>
      </c>
      <c r="D476" s="114">
        <f t="shared" si="407"/>
        <v>0.22084166666666666</v>
      </c>
      <c r="E476" s="399">
        <v>474627.35</v>
      </c>
      <c r="F476" s="114">
        <f t="shared" si="408"/>
        <v>98.880697916666662</v>
      </c>
      <c r="G476" s="396">
        <v>9226.91</v>
      </c>
      <c r="H476" s="114">
        <f t="shared" si="409"/>
        <v>1.15336375</v>
      </c>
      <c r="I476" s="399">
        <v>98810.02</v>
      </c>
      <c r="J476" s="114">
        <f t="shared" si="410"/>
        <v>12.351252499999999</v>
      </c>
      <c r="K476" s="396">
        <v>74648.59</v>
      </c>
      <c r="L476" s="114">
        <f t="shared" si="411"/>
        <v>13.478217638888887</v>
      </c>
      <c r="M476" s="396">
        <v>2696.67</v>
      </c>
      <c r="N476" s="114">
        <f t="shared" si="412"/>
        <v>0.18726875000000001</v>
      </c>
      <c r="O476" s="396">
        <v>88905.23</v>
      </c>
      <c r="P476" s="114">
        <f t="shared" si="413"/>
        <v>16.052333194444444</v>
      </c>
      <c r="Q476" s="396">
        <v>296575.92</v>
      </c>
      <c r="R476" s="398">
        <f t="shared" si="414"/>
        <v>65.905760000000001</v>
      </c>
    </row>
    <row r="477" spans="2:18" x14ac:dyDescent="0.3">
      <c r="B477" s="393">
        <f t="shared" si="372"/>
        <v>45944</v>
      </c>
      <c r="C477" s="396">
        <v>1060.04</v>
      </c>
      <c r="D477" s="114">
        <f t="shared" si="407"/>
        <v>0.22084166666666666</v>
      </c>
      <c r="E477" s="399">
        <v>1117732.22</v>
      </c>
      <c r="F477" s="114">
        <f t="shared" si="408"/>
        <v>232.86087916666665</v>
      </c>
      <c r="G477" s="396">
        <v>9226.91</v>
      </c>
      <c r="H477" s="114">
        <f t="shared" si="409"/>
        <v>1.15336375</v>
      </c>
      <c r="I477" s="399">
        <v>98810.02</v>
      </c>
      <c r="J477" s="114">
        <f t="shared" si="410"/>
        <v>12.351252499999999</v>
      </c>
      <c r="K477" s="396">
        <v>74648.59</v>
      </c>
      <c r="L477" s="114">
        <f t="shared" si="411"/>
        <v>13.478217638888887</v>
      </c>
      <c r="M477" s="396">
        <v>2696.67</v>
      </c>
      <c r="N477" s="114">
        <f t="shared" si="412"/>
        <v>0.18726875000000001</v>
      </c>
      <c r="O477" s="396">
        <v>88905.23</v>
      </c>
      <c r="P477" s="114">
        <f t="shared" si="413"/>
        <v>16.052333194444444</v>
      </c>
      <c r="Q477" s="396">
        <v>296575.92</v>
      </c>
      <c r="R477" s="398">
        <f t="shared" si="414"/>
        <v>65.905760000000001</v>
      </c>
    </row>
    <row r="478" spans="2:18" x14ac:dyDescent="0.3">
      <c r="B478" s="393">
        <f t="shared" si="372"/>
        <v>45945</v>
      </c>
      <c r="C478" s="396">
        <v>1060.04</v>
      </c>
      <c r="D478" s="114">
        <f t="shared" si="407"/>
        <v>0.22084166666666666</v>
      </c>
      <c r="E478" s="399">
        <v>2571810.4500000002</v>
      </c>
      <c r="F478" s="114">
        <f t="shared" si="408"/>
        <v>535.79384374999995</v>
      </c>
      <c r="G478" s="396">
        <v>9226.91</v>
      </c>
      <c r="H478" s="114">
        <f t="shared" si="409"/>
        <v>1.15336375</v>
      </c>
      <c r="I478" s="399">
        <v>98810.02</v>
      </c>
      <c r="J478" s="114">
        <f t="shared" si="410"/>
        <v>12.351252499999999</v>
      </c>
      <c r="K478" s="396">
        <v>74648.59</v>
      </c>
      <c r="L478" s="114">
        <f t="shared" si="411"/>
        <v>13.478217638888887</v>
      </c>
      <c r="M478" s="396">
        <v>2696.67</v>
      </c>
      <c r="N478" s="114">
        <f t="shared" si="412"/>
        <v>0.18726875000000001</v>
      </c>
      <c r="O478" s="396">
        <v>88905.23</v>
      </c>
      <c r="P478" s="114">
        <f t="shared" si="413"/>
        <v>16.052333194444444</v>
      </c>
      <c r="Q478" s="396">
        <v>296575.92</v>
      </c>
      <c r="R478" s="398">
        <f t="shared" si="414"/>
        <v>65.905760000000001</v>
      </c>
    </row>
    <row r="479" spans="2:18" x14ac:dyDescent="0.3">
      <c r="B479" s="393">
        <f t="shared" si="372"/>
        <v>45946</v>
      </c>
      <c r="C479" s="396">
        <v>1060.04</v>
      </c>
      <c r="D479" s="114">
        <f t="shared" si="407"/>
        <v>0.22084166666666666</v>
      </c>
      <c r="E479" s="399">
        <v>2181515.2000000002</v>
      </c>
      <c r="F479" s="114">
        <f t="shared" si="408"/>
        <v>454.48233333333337</v>
      </c>
      <c r="G479" s="396">
        <v>9226.91</v>
      </c>
      <c r="H479" s="114">
        <f t="shared" si="409"/>
        <v>1.15336375</v>
      </c>
      <c r="I479" s="399">
        <v>98810.02</v>
      </c>
      <c r="J479" s="114">
        <f t="shared" si="410"/>
        <v>12.351252499999999</v>
      </c>
      <c r="K479" s="396">
        <v>74648.59</v>
      </c>
      <c r="L479" s="114">
        <f t="shared" si="411"/>
        <v>13.478217638888887</v>
      </c>
      <c r="M479" s="396">
        <v>2696.67</v>
      </c>
      <c r="N479" s="114">
        <f t="shared" si="412"/>
        <v>0.18726875000000001</v>
      </c>
      <c r="O479" s="396">
        <v>88905.23</v>
      </c>
      <c r="P479" s="114">
        <f t="shared" si="413"/>
        <v>16.052333194444444</v>
      </c>
      <c r="Q479" s="396">
        <v>296575.92</v>
      </c>
      <c r="R479" s="398">
        <f t="shared" si="414"/>
        <v>65.905760000000001</v>
      </c>
    </row>
    <row r="480" spans="2:18" x14ac:dyDescent="0.3">
      <c r="B480" s="393">
        <f t="shared" si="372"/>
        <v>45947</v>
      </c>
      <c r="C480" s="396">
        <v>1060.04</v>
      </c>
      <c r="D480" s="114">
        <f t="shared" si="407"/>
        <v>0.22084166666666666</v>
      </c>
      <c r="E480" s="399">
        <v>2181515.2000000002</v>
      </c>
      <c r="F480" s="114">
        <f t="shared" si="408"/>
        <v>454.48233333333337</v>
      </c>
      <c r="G480" s="396">
        <v>9226.91</v>
      </c>
      <c r="H480" s="114">
        <f t="shared" si="409"/>
        <v>1.15336375</v>
      </c>
      <c r="I480" s="399">
        <v>98810.02</v>
      </c>
      <c r="J480" s="114">
        <f t="shared" si="410"/>
        <v>12.351252499999999</v>
      </c>
      <c r="K480" s="396">
        <v>74648.59</v>
      </c>
      <c r="L480" s="114">
        <f t="shared" si="411"/>
        <v>13.478217638888887</v>
      </c>
      <c r="M480" s="396">
        <v>2696.67</v>
      </c>
      <c r="N480" s="114">
        <f t="shared" si="412"/>
        <v>0.18726875000000001</v>
      </c>
      <c r="O480" s="396">
        <v>88905.23</v>
      </c>
      <c r="P480" s="114">
        <f t="shared" si="413"/>
        <v>16.052333194444444</v>
      </c>
      <c r="Q480" s="396">
        <v>296575.92</v>
      </c>
      <c r="R480" s="398">
        <f t="shared" si="414"/>
        <v>65.905760000000001</v>
      </c>
    </row>
    <row r="481" spans="2:18" x14ac:dyDescent="0.3">
      <c r="B481" s="393">
        <f t="shared" si="372"/>
        <v>45948</v>
      </c>
      <c r="C481" s="396">
        <v>1060.04</v>
      </c>
      <c r="D481" s="114">
        <f t="shared" si="407"/>
        <v>0.22084166666666666</v>
      </c>
      <c r="E481" s="399">
        <v>2181515.2000000002</v>
      </c>
      <c r="F481" s="114">
        <f t="shared" si="408"/>
        <v>454.48233333333337</v>
      </c>
      <c r="G481" s="396">
        <v>9226.91</v>
      </c>
      <c r="H481" s="114">
        <f t="shared" si="409"/>
        <v>1.15336375</v>
      </c>
      <c r="I481" s="399">
        <v>98810.02</v>
      </c>
      <c r="J481" s="114">
        <f t="shared" si="410"/>
        <v>12.351252499999999</v>
      </c>
      <c r="K481" s="396">
        <v>74648.59</v>
      </c>
      <c r="L481" s="114">
        <f t="shared" si="411"/>
        <v>13.478217638888887</v>
      </c>
      <c r="M481" s="396">
        <v>2696.67</v>
      </c>
      <c r="N481" s="114">
        <f t="shared" si="412"/>
        <v>0.18726875000000001</v>
      </c>
      <c r="O481" s="396">
        <v>88905.23</v>
      </c>
      <c r="P481" s="114">
        <f t="shared" si="413"/>
        <v>16.052333194444444</v>
      </c>
      <c r="Q481" s="396">
        <v>296575.92</v>
      </c>
      <c r="R481" s="398">
        <f t="shared" si="414"/>
        <v>65.905760000000001</v>
      </c>
    </row>
    <row r="482" spans="2:18" x14ac:dyDescent="0.3">
      <c r="B482" s="393">
        <f t="shared" si="372"/>
        <v>45949</v>
      </c>
      <c r="C482" s="396">
        <v>1060.04</v>
      </c>
      <c r="D482" s="114">
        <f t="shared" si="407"/>
        <v>0.22084166666666666</v>
      </c>
      <c r="E482" s="399">
        <v>2181515.2000000002</v>
      </c>
      <c r="F482" s="114">
        <f t="shared" ref="F482:F488" si="415">(E482*7.5%)/360</f>
        <v>454.48233333333337</v>
      </c>
      <c r="G482" s="396">
        <v>9226.91</v>
      </c>
      <c r="H482" s="114">
        <f t="shared" ref="H482:H488" si="416">(G482*4.5%)/360</f>
        <v>1.15336375</v>
      </c>
      <c r="I482" s="399">
        <v>98810.02</v>
      </c>
      <c r="J482" s="114">
        <f t="shared" ref="J482:J488" si="417">(I482*4.5%)/360</f>
        <v>12.351252499999999</v>
      </c>
      <c r="K482" s="396">
        <v>74648.59</v>
      </c>
      <c r="L482" s="114">
        <f t="shared" ref="L482:L488" si="418">(K482*6.5%)/360</f>
        <v>13.478217638888887</v>
      </c>
      <c r="M482" s="396">
        <v>2696.67</v>
      </c>
      <c r="N482" s="114">
        <f t="shared" ref="N482:N488" si="419">(M482*2.5%)/360</f>
        <v>0.18726875000000001</v>
      </c>
      <c r="O482" s="396">
        <v>88905.23</v>
      </c>
      <c r="P482" s="114">
        <f t="shared" ref="P482:P488" si="420">(O482*6.5%)/360</f>
        <v>16.052333194444444</v>
      </c>
      <c r="Q482" s="396">
        <v>296575.92</v>
      </c>
      <c r="R482" s="398">
        <f t="shared" ref="R482:R488" si="421">(Q482*8%)/360</f>
        <v>65.905760000000001</v>
      </c>
    </row>
    <row r="483" spans="2:18" x14ac:dyDescent="0.3">
      <c r="B483" s="393">
        <f t="shared" si="372"/>
        <v>45950</v>
      </c>
      <c r="C483" s="396">
        <v>1060.04</v>
      </c>
      <c r="D483" s="114">
        <f t="shared" si="407"/>
        <v>0.22084166666666666</v>
      </c>
      <c r="E483" s="399">
        <v>2180774.19</v>
      </c>
      <c r="F483" s="114">
        <f t="shared" si="415"/>
        <v>454.32795625</v>
      </c>
      <c r="G483" s="396">
        <v>9226.91</v>
      </c>
      <c r="H483" s="114">
        <f t="shared" si="416"/>
        <v>1.15336375</v>
      </c>
      <c r="I483" s="399">
        <v>98810.02</v>
      </c>
      <c r="J483" s="114">
        <f t="shared" si="417"/>
        <v>12.351252499999999</v>
      </c>
      <c r="K483" s="396">
        <v>74648.59</v>
      </c>
      <c r="L483" s="114">
        <f t="shared" si="418"/>
        <v>13.478217638888887</v>
      </c>
      <c r="M483" s="396">
        <v>2696.67</v>
      </c>
      <c r="N483" s="114">
        <f t="shared" si="419"/>
        <v>0.18726875000000001</v>
      </c>
      <c r="O483" s="396">
        <v>88905.23</v>
      </c>
      <c r="P483" s="114">
        <f t="shared" si="420"/>
        <v>16.052333194444444</v>
      </c>
      <c r="Q483" s="396">
        <v>296575.92</v>
      </c>
      <c r="R483" s="398">
        <f t="shared" si="421"/>
        <v>65.905760000000001</v>
      </c>
    </row>
    <row r="484" spans="2:18" x14ac:dyDescent="0.3">
      <c r="B484" s="393">
        <f t="shared" si="372"/>
        <v>45951</v>
      </c>
      <c r="C484" s="396">
        <v>1060.04</v>
      </c>
      <c r="D484" s="114">
        <f t="shared" si="407"/>
        <v>0.22084166666666666</v>
      </c>
      <c r="E484" s="399">
        <v>3181010.99</v>
      </c>
      <c r="F484" s="114">
        <f t="shared" si="415"/>
        <v>662.71062291666669</v>
      </c>
      <c r="G484" s="396">
        <v>9226.91</v>
      </c>
      <c r="H484" s="114">
        <f t="shared" si="416"/>
        <v>1.15336375</v>
      </c>
      <c r="I484" s="399">
        <v>98810.02</v>
      </c>
      <c r="J484" s="114">
        <f t="shared" si="417"/>
        <v>12.351252499999999</v>
      </c>
      <c r="K484" s="396">
        <v>74648.59</v>
      </c>
      <c r="L484" s="114">
        <f t="shared" si="418"/>
        <v>13.478217638888887</v>
      </c>
      <c r="M484" s="396">
        <v>2696.67</v>
      </c>
      <c r="N484" s="114">
        <f t="shared" si="419"/>
        <v>0.18726875000000001</v>
      </c>
      <c r="O484" s="396">
        <v>88905.23</v>
      </c>
      <c r="P484" s="114">
        <f t="shared" si="420"/>
        <v>16.052333194444444</v>
      </c>
      <c r="Q484" s="396">
        <v>296575.92</v>
      </c>
      <c r="R484" s="398">
        <f t="shared" si="421"/>
        <v>65.905760000000001</v>
      </c>
    </row>
    <row r="485" spans="2:18" x14ac:dyDescent="0.3">
      <c r="B485" s="393">
        <f t="shared" si="372"/>
        <v>45952</v>
      </c>
      <c r="C485" s="396">
        <v>1060.04</v>
      </c>
      <c r="D485" s="114">
        <f t="shared" si="407"/>
        <v>0.22084166666666666</v>
      </c>
      <c r="E485" s="399">
        <v>2881010.99</v>
      </c>
      <c r="F485" s="114">
        <f t="shared" si="415"/>
        <v>600.21062291666669</v>
      </c>
      <c r="G485" s="396">
        <v>9226.91</v>
      </c>
      <c r="H485" s="114">
        <f t="shared" si="416"/>
        <v>1.15336375</v>
      </c>
      <c r="I485" s="399">
        <v>98810.02</v>
      </c>
      <c r="J485" s="114">
        <f t="shared" si="417"/>
        <v>12.351252499999999</v>
      </c>
      <c r="K485" s="396">
        <v>74648.59</v>
      </c>
      <c r="L485" s="114">
        <f t="shared" si="418"/>
        <v>13.478217638888887</v>
      </c>
      <c r="M485" s="396">
        <v>2696.67</v>
      </c>
      <c r="N485" s="114">
        <f t="shared" si="419"/>
        <v>0.18726875000000001</v>
      </c>
      <c r="O485" s="396">
        <v>88905.23</v>
      </c>
      <c r="P485" s="114">
        <f t="shared" si="420"/>
        <v>16.052333194444444</v>
      </c>
      <c r="Q485" s="396">
        <v>296575.92</v>
      </c>
      <c r="R485" s="398">
        <f t="shared" si="421"/>
        <v>65.905760000000001</v>
      </c>
    </row>
    <row r="486" spans="2:18" x14ac:dyDescent="0.3">
      <c r="B486" s="393">
        <f t="shared" si="372"/>
        <v>45953</v>
      </c>
      <c r="C486" s="396">
        <v>1060.04</v>
      </c>
      <c r="D486" s="114">
        <f t="shared" si="407"/>
        <v>0.22084166666666666</v>
      </c>
      <c r="E486" s="399">
        <v>54336.11</v>
      </c>
      <c r="F486" s="114">
        <f t="shared" si="415"/>
        <v>11.320022916666666</v>
      </c>
      <c r="G486" s="396">
        <v>9226.91</v>
      </c>
      <c r="H486" s="114">
        <f t="shared" si="416"/>
        <v>1.15336375</v>
      </c>
      <c r="I486" s="399">
        <v>92140.89</v>
      </c>
      <c r="J486" s="114">
        <f t="shared" si="417"/>
        <v>11.51761125</v>
      </c>
      <c r="K486" s="396">
        <v>74648.59</v>
      </c>
      <c r="L486" s="114">
        <f t="shared" si="418"/>
        <v>13.478217638888887</v>
      </c>
      <c r="M486" s="396">
        <v>2696.67</v>
      </c>
      <c r="N486" s="114">
        <f t="shared" si="419"/>
        <v>0.18726875000000001</v>
      </c>
      <c r="O486" s="396">
        <v>88905.23</v>
      </c>
      <c r="P486" s="114">
        <f t="shared" si="420"/>
        <v>16.052333194444444</v>
      </c>
      <c r="Q486" s="396">
        <v>296575.92</v>
      </c>
      <c r="R486" s="398">
        <f t="shared" si="421"/>
        <v>65.905760000000001</v>
      </c>
    </row>
    <row r="487" spans="2:18" x14ac:dyDescent="0.3">
      <c r="B487" s="393">
        <f t="shared" si="372"/>
        <v>45954</v>
      </c>
      <c r="C487" s="396">
        <v>1060.04</v>
      </c>
      <c r="D487" s="114">
        <f t="shared" si="407"/>
        <v>0.22084166666666666</v>
      </c>
      <c r="E487" s="399">
        <v>54336.11</v>
      </c>
      <c r="F487" s="114">
        <f t="shared" si="415"/>
        <v>11.320022916666666</v>
      </c>
      <c r="G487" s="396">
        <v>9226.91</v>
      </c>
      <c r="H487" s="114">
        <f t="shared" si="416"/>
        <v>1.15336375</v>
      </c>
      <c r="I487" s="399">
        <v>92140.89</v>
      </c>
      <c r="J487" s="114">
        <f t="shared" si="417"/>
        <v>11.51761125</v>
      </c>
      <c r="K487" s="396">
        <v>74648.59</v>
      </c>
      <c r="L487" s="114">
        <f t="shared" si="418"/>
        <v>13.478217638888887</v>
      </c>
      <c r="M487" s="396">
        <v>2696.67</v>
      </c>
      <c r="N487" s="114">
        <f t="shared" si="419"/>
        <v>0.18726875000000001</v>
      </c>
      <c r="O487" s="396">
        <v>88905.23</v>
      </c>
      <c r="P487" s="114">
        <f t="shared" si="420"/>
        <v>16.052333194444444</v>
      </c>
      <c r="Q487" s="396">
        <v>296575.92</v>
      </c>
      <c r="R487" s="398">
        <f t="shared" si="421"/>
        <v>65.905760000000001</v>
      </c>
    </row>
    <row r="488" spans="2:18" x14ac:dyDescent="0.3">
      <c r="B488" s="393">
        <f t="shared" si="372"/>
        <v>45955</v>
      </c>
      <c r="C488" s="396">
        <v>1060.04</v>
      </c>
      <c r="D488" s="114">
        <f t="shared" si="407"/>
        <v>0.22084166666666666</v>
      </c>
      <c r="E488" s="399">
        <v>54336.11</v>
      </c>
      <c r="F488" s="114">
        <f t="shared" si="415"/>
        <v>11.320022916666666</v>
      </c>
      <c r="G488" s="396">
        <v>9226.91</v>
      </c>
      <c r="H488" s="114">
        <f t="shared" si="416"/>
        <v>1.15336375</v>
      </c>
      <c r="I488" s="399">
        <v>92140.89</v>
      </c>
      <c r="J488" s="114">
        <f t="shared" si="417"/>
        <v>11.51761125</v>
      </c>
      <c r="K488" s="396">
        <v>74648.59</v>
      </c>
      <c r="L488" s="114">
        <f t="shared" si="418"/>
        <v>13.478217638888887</v>
      </c>
      <c r="M488" s="396">
        <v>2696.67</v>
      </c>
      <c r="N488" s="114">
        <f t="shared" si="419"/>
        <v>0.18726875000000001</v>
      </c>
      <c r="O488" s="396">
        <v>88905.23</v>
      </c>
      <c r="P488" s="114">
        <f t="shared" si="420"/>
        <v>16.052333194444444</v>
      </c>
      <c r="Q488" s="396">
        <v>296575.92</v>
      </c>
      <c r="R488" s="398">
        <f t="shared" si="421"/>
        <v>65.905760000000001</v>
      </c>
    </row>
    <row r="489" spans="2:18" x14ac:dyDescent="0.3">
      <c r="B489" s="393">
        <f t="shared" si="372"/>
        <v>45956</v>
      </c>
      <c r="C489" s="396">
        <v>1060.04</v>
      </c>
      <c r="D489" s="114">
        <f t="shared" si="407"/>
        <v>0.22084166666666666</v>
      </c>
      <c r="E489" s="399">
        <v>2072405.15</v>
      </c>
      <c r="F489" s="114">
        <f t="shared" ref="F489:F495" si="422">(E489*7.5%)/360</f>
        <v>431.7510729166666</v>
      </c>
      <c r="G489" s="396">
        <v>21226.91</v>
      </c>
      <c r="H489" s="114">
        <f t="shared" ref="H489:H495" si="423">(G489*4.5%)/360</f>
        <v>2.6533637499999996</v>
      </c>
      <c r="I489" s="399">
        <v>92140.89</v>
      </c>
      <c r="J489" s="114">
        <f t="shared" ref="J489:J495" si="424">(I489*4.5%)/360</f>
        <v>11.51761125</v>
      </c>
      <c r="K489" s="396">
        <v>74648.59</v>
      </c>
      <c r="L489" s="114">
        <f t="shared" ref="L489:L495" si="425">(K489*6.5%)/360</f>
        <v>13.478217638888887</v>
      </c>
      <c r="M489" s="396">
        <v>2696.67</v>
      </c>
      <c r="N489" s="114">
        <f t="shared" ref="N489:N495" si="426">(M489*2.5%)/360</f>
        <v>0.18726875000000001</v>
      </c>
      <c r="O489" s="396">
        <v>88905.23</v>
      </c>
      <c r="P489" s="114">
        <f t="shared" ref="P489:P495" si="427">(O489*6.5%)/360</f>
        <v>16.052333194444444</v>
      </c>
      <c r="Q489" s="396">
        <v>296575.92</v>
      </c>
      <c r="R489" s="398">
        <f t="shared" ref="R489:R495" si="428">(Q489*8%)/360</f>
        <v>65.905760000000001</v>
      </c>
    </row>
    <row r="490" spans="2:18" x14ac:dyDescent="0.3">
      <c r="B490" s="393">
        <f t="shared" si="372"/>
        <v>45957</v>
      </c>
      <c r="C490" s="396">
        <v>1060.04</v>
      </c>
      <c r="D490" s="114">
        <f t="shared" si="407"/>
        <v>0.22084166666666666</v>
      </c>
      <c r="E490" s="399">
        <v>1817179.57</v>
      </c>
      <c r="F490" s="114">
        <f t="shared" si="422"/>
        <v>378.57907708333335</v>
      </c>
      <c r="G490" s="396">
        <v>21226.91</v>
      </c>
      <c r="H490" s="114">
        <f t="shared" si="423"/>
        <v>2.6533637499999996</v>
      </c>
      <c r="I490" s="399">
        <v>92140.89</v>
      </c>
      <c r="J490" s="114">
        <f t="shared" si="424"/>
        <v>11.51761125</v>
      </c>
      <c r="K490" s="396">
        <v>74648.59</v>
      </c>
      <c r="L490" s="114">
        <f t="shared" si="425"/>
        <v>13.478217638888887</v>
      </c>
      <c r="M490" s="396">
        <v>2696.67</v>
      </c>
      <c r="N490" s="114">
        <f t="shared" si="426"/>
        <v>0.18726875000000001</v>
      </c>
      <c r="O490" s="396">
        <v>88905.23</v>
      </c>
      <c r="P490" s="114">
        <f t="shared" si="427"/>
        <v>16.052333194444444</v>
      </c>
      <c r="Q490" s="396">
        <v>296575.92</v>
      </c>
      <c r="R490" s="398">
        <f t="shared" si="428"/>
        <v>65.905760000000001</v>
      </c>
    </row>
    <row r="491" spans="2:18" x14ac:dyDescent="0.3">
      <c r="B491" s="393">
        <f t="shared" si="372"/>
        <v>45958</v>
      </c>
      <c r="C491" s="396">
        <v>81060.039999999994</v>
      </c>
      <c r="D491" s="114">
        <f t="shared" si="407"/>
        <v>16.887508333333333</v>
      </c>
      <c r="E491" s="399">
        <v>1717179.57</v>
      </c>
      <c r="F491" s="114">
        <f t="shared" si="422"/>
        <v>357.74574374999997</v>
      </c>
      <c r="G491" s="396">
        <v>21226.91</v>
      </c>
      <c r="H491" s="114">
        <f t="shared" si="423"/>
        <v>2.6533637499999996</v>
      </c>
      <c r="I491" s="399">
        <v>92140.89</v>
      </c>
      <c r="J491" s="114">
        <f t="shared" si="424"/>
        <v>11.51761125</v>
      </c>
      <c r="K491" s="396">
        <v>74648.59</v>
      </c>
      <c r="L491" s="114">
        <f t="shared" si="425"/>
        <v>13.478217638888887</v>
      </c>
      <c r="M491" s="396">
        <v>2696.67</v>
      </c>
      <c r="N491" s="114">
        <f t="shared" si="426"/>
        <v>0.18726875000000001</v>
      </c>
      <c r="O491" s="396">
        <v>88905.23</v>
      </c>
      <c r="P491" s="114">
        <f t="shared" si="427"/>
        <v>16.052333194444444</v>
      </c>
      <c r="Q491" s="396">
        <v>296575.92</v>
      </c>
      <c r="R491" s="398">
        <f t="shared" si="428"/>
        <v>65.905760000000001</v>
      </c>
    </row>
    <row r="492" spans="2:18" x14ac:dyDescent="0.3">
      <c r="B492" s="393">
        <f t="shared" si="372"/>
        <v>45959</v>
      </c>
      <c r="C492" s="396">
        <v>81060.039999999994</v>
      </c>
      <c r="D492" s="114">
        <f t="shared" si="407"/>
        <v>16.887508333333333</v>
      </c>
      <c r="E492" s="399">
        <v>6312940.1100000003</v>
      </c>
      <c r="F492" s="114">
        <f t="shared" si="422"/>
        <v>1315.1958562500001</v>
      </c>
      <c r="G492" s="396">
        <v>26226.91</v>
      </c>
      <c r="H492" s="114">
        <f t="shared" si="423"/>
        <v>3.2783637499999996</v>
      </c>
      <c r="I492" s="399">
        <v>92140.89</v>
      </c>
      <c r="J492" s="114">
        <f t="shared" si="424"/>
        <v>11.51761125</v>
      </c>
      <c r="K492" s="396">
        <v>74648.59</v>
      </c>
      <c r="L492" s="114">
        <f t="shared" si="425"/>
        <v>13.478217638888887</v>
      </c>
      <c r="M492" s="396">
        <v>2696.67</v>
      </c>
      <c r="N492" s="114">
        <f t="shared" si="426"/>
        <v>0.18726875000000001</v>
      </c>
      <c r="O492" s="396">
        <v>88905.23</v>
      </c>
      <c r="P492" s="114">
        <f t="shared" si="427"/>
        <v>16.052333194444444</v>
      </c>
      <c r="Q492" s="396">
        <v>296575.92</v>
      </c>
      <c r="R492" s="398">
        <f t="shared" si="428"/>
        <v>65.905760000000001</v>
      </c>
    </row>
    <row r="493" spans="2:18" x14ac:dyDescent="0.3">
      <c r="B493" s="393">
        <f t="shared" si="372"/>
        <v>45960</v>
      </c>
      <c r="C493" s="396">
        <v>81060.039999999994</v>
      </c>
      <c r="D493" s="114">
        <f t="shared" si="407"/>
        <v>16.887508333333333</v>
      </c>
      <c r="E493" s="399">
        <v>4109879.7899999619</v>
      </c>
      <c r="F493" s="114">
        <f t="shared" si="422"/>
        <v>856.22495624999203</v>
      </c>
      <c r="G493" s="396">
        <v>26226.91</v>
      </c>
      <c r="H493" s="114">
        <f t="shared" si="423"/>
        <v>3.2783637499999996</v>
      </c>
      <c r="I493" s="399">
        <v>92140.89</v>
      </c>
      <c r="J493" s="114">
        <f t="shared" si="424"/>
        <v>11.51761125</v>
      </c>
      <c r="K493" s="396">
        <v>74648.59</v>
      </c>
      <c r="L493" s="114">
        <f t="shared" si="425"/>
        <v>13.478217638888887</v>
      </c>
      <c r="M493" s="396">
        <v>2696.67</v>
      </c>
      <c r="N493" s="114">
        <f t="shared" si="426"/>
        <v>0.18726875000000001</v>
      </c>
      <c r="O493" s="396">
        <v>88905.23</v>
      </c>
      <c r="P493" s="114">
        <f t="shared" si="427"/>
        <v>16.052333194444444</v>
      </c>
      <c r="Q493" s="396">
        <v>296575.92</v>
      </c>
      <c r="R493" s="398">
        <f t="shared" si="428"/>
        <v>65.905760000000001</v>
      </c>
    </row>
    <row r="494" spans="2:18" x14ac:dyDescent="0.3">
      <c r="B494" s="393">
        <f t="shared" si="372"/>
        <v>45961</v>
      </c>
      <c r="C494" s="396">
        <v>81060.039999999994</v>
      </c>
      <c r="D494" s="114">
        <f t="shared" si="407"/>
        <v>16.887508333333333</v>
      </c>
      <c r="E494" s="399">
        <v>4109879.7899999619</v>
      </c>
      <c r="F494" s="114">
        <f t="shared" si="422"/>
        <v>856.22495624999203</v>
      </c>
      <c r="G494" s="396">
        <v>26226.91</v>
      </c>
      <c r="H494" s="114">
        <f t="shared" si="423"/>
        <v>3.2783637499999996</v>
      </c>
      <c r="I494" s="399">
        <v>92140.89</v>
      </c>
      <c r="J494" s="114">
        <f t="shared" si="424"/>
        <v>11.51761125</v>
      </c>
      <c r="K494" s="396">
        <v>74648.59</v>
      </c>
      <c r="L494" s="114">
        <f t="shared" si="425"/>
        <v>13.478217638888887</v>
      </c>
      <c r="M494" s="396">
        <v>2696.67</v>
      </c>
      <c r="N494" s="114">
        <f t="shared" si="426"/>
        <v>0.18726875000000001</v>
      </c>
      <c r="O494" s="396">
        <v>88905.23</v>
      </c>
      <c r="P494" s="114">
        <f t="shared" si="427"/>
        <v>16.052333194444444</v>
      </c>
      <c r="Q494" s="396">
        <v>296575.92</v>
      </c>
      <c r="R494" s="398">
        <f t="shared" si="428"/>
        <v>65.905760000000001</v>
      </c>
    </row>
    <row r="495" spans="2:18" x14ac:dyDescent="0.3">
      <c r="B495" s="393">
        <f t="shared" si="372"/>
        <v>45962</v>
      </c>
      <c r="C495" s="396">
        <v>81060.039999999994</v>
      </c>
      <c r="D495" s="114">
        <f t="shared" si="407"/>
        <v>16.887508333333333</v>
      </c>
      <c r="E495" s="399">
        <v>4109879.7899999619</v>
      </c>
      <c r="F495" s="114">
        <f t="shared" si="422"/>
        <v>856.22495624999203</v>
      </c>
      <c r="G495" s="396">
        <v>26226.91</v>
      </c>
      <c r="H495" s="114">
        <f t="shared" si="423"/>
        <v>3.2783637499999996</v>
      </c>
      <c r="I495" s="399">
        <v>92140.89</v>
      </c>
      <c r="J495" s="114">
        <f t="shared" si="424"/>
        <v>11.51761125</v>
      </c>
      <c r="K495" s="396">
        <v>74648.59</v>
      </c>
      <c r="L495" s="114">
        <f t="shared" si="425"/>
        <v>13.478217638888887</v>
      </c>
      <c r="M495" s="396">
        <v>2696.67</v>
      </c>
      <c r="N495" s="114">
        <f t="shared" si="426"/>
        <v>0.18726875000000001</v>
      </c>
      <c r="O495" s="396">
        <v>88905.23</v>
      </c>
      <c r="P495" s="114">
        <f t="shared" si="427"/>
        <v>16.052333194444444</v>
      </c>
      <c r="Q495" s="396">
        <v>296575.92</v>
      </c>
      <c r="R495" s="398">
        <f t="shared" si="428"/>
        <v>65.905760000000001</v>
      </c>
    </row>
    <row r="496" spans="2:18" x14ac:dyDescent="0.3">
      <c r="B496" s="393">
        <f t="shared" si="372"/>
        <v>45963</v>
      </c>
      <c r="C496" s="396">
        <v>81060.039999999994</v>
      </c>
      <c r="D496" s="114">
        <f t="shared" si="407"/>
        <v>16.887508333333333</v>
      </c>
      <c r="E496" s="399">
        <v>4109879.8</v>
      </c>
      <c r="F496" s="114">
        <f t="shared" ref="F496:F502" si="429">(E496*7.5%)/360</f>
        <v>856.22495833333335</v>
      </c>
      <c r="G496" s="396">
        <v>26226.91</v>
      </c>
      <c r="H496" s="114">
        <f t="shared" ref="H496:H502" si="430">(G496*4.5%)/360</f>
        <v>3.2783637499999996</v>
      </c>
      <c r="I496" s="399">
        <v>92140.89</v>
      </c>
      <c r="J496" s="114">
        <f t="shared" ref="J496:J502" si="431">(I496*4.5%)/360</f>
        <v>11.51761125</v>
      </c>
      <c r="K496" s="396">
        <v>74648.59</v>
      </c>
      <c r="L496" s="114">
        <f t="shared" ref="L496:L502" si="432">(K496*6.5%)/360</f>
        <v>13.478217638888887</v>
      </c>
      <c r="M496" s="396">
        <v>2696.67</v>
      </c>
      <c r="N496" s="114">
        <f t="shared" ref="N496:N502" si="433">(M496*2.5%)/360</f>
        <v>0.18726875000000001</v>
      </c>
      <c r="O496" s="396">
        <v>88905.23</v>
      </c>
      <c r="P496" s="114">
        <f t="shared" ref="P496:P502" si="434">(O496*6.5%)/360</f>
        <v>16.052333194444444</v>
      </c>
      <c r="Q496" s="396">
        <v>296575.92</v>
      </c>
      <c r="R496" s="398">
        <f t="shared" ref="R496:R502" si="435">(Q496*8%)/360</f>
        <v>65.905760000000001</v>
      </c>
    </row>
    <row r="497" spans="2:18" x14ac:dyDescent="0.3">
      <c r="B497" s="393">
        <f t="shared" si="372"/>
        <v>45964</v>
      </c>
      <c r="C497" s="396">
        <v>81060.039999999994</v>
      </c>
      <c r="D497" s="114">
        <f t="shared" si="407"/>
        <v>16.887508333333333</v>
      </c>
      <c r="E497" s="399">
        <v>4598714.76</v>
      </c>
      <c r="F497" s="114">
        <f t="shared" si="429"/>
        <v>958.06557499999985</v>
      </c>
      <c r="G497" s="396">
        <v>26226.91</v>
      </c>
      <c r="H497" s="114">
        <f t="shared" si="430"/>
        <v>3.2783637499999996</v>
      </c>
      <c r="I497" s="399">
        <v>92140.89</v>
      </c>
      <c r="J497" s="114">
        <f t="shared" si="431"/>
        <v>11.51761125</v>
      </c>
      <c r="K497" s="396">
        <v>74648.59</v>
      </c>
      <c r="L497" s="114">
        <f t="shared" si="432"/>
        <v>13.478217638888887</v>
      </c>
      <c r="M497" s="396">
        <v>2696.67</v>
      </c>
      <c r="N497" s="114">
        <f t="shared" si="433"/>
        <v>0.18726875000000001</v>
      </c>
      <c r="O497" s="396">
        <v>88905.23</v>
      </c>
      <c r="P497" s="114">
        <f t="shared" si="434"/>
        <v>16.052333194444444</v>
      </c>
      <c r="Q497" s="396">
        <v>296575.92</v>
      </c>
      <c r="R497" s="398">
        <f t="shared" si="435"/>
        <v>65.905760000000001</v>
      </c>
    </row>
    <row r="498" spans="2:18" x14ac:dyDescent="0.3">
      <c r="B498" s="393">
        <f t="shared" si="372"/>
        <v>45965</v>
      </c>
      <c r="C498" s="396">
        <v>81060.039999999994</v>
      </c>
      <c r="D498" s="114">
        <f t="shared" si="407"/>
        <v>16.887508333333333</v>
      </c>
      <c r="E498" s="399">
        <v>2825268.85</v>
      </c>
      <c r="F498" s="114">
        <f t="shared" si="429"/>
        <v>588.59767708333334</v>
      </c>
      <c r="G498" s="396">
        <v>26226.91</v>
      </c>
      <c r="H498" s="114">
        <f t="shared" si="430"/>
        <v>3.2783637499999996</v>
      </c>
      <c r="I498" s="399">
        <v>92140.89</v>
      </c>
      <c r="J498" s="114">
        <f t="shared" si="431"/>
        <v>11.51761125</v>
      </c>
      <c r="K498" s="396">
        <v>74648.59</v>
      </c>
      <c r="L498" s="114">
        <f t="shared" si="432"/>
        <v>13.478217638888887</v>
      </c>
      <c r="M498" s="396">
        <v>2696.67</v>
      </c>
      <c r="N498" s="114">
        <f t="shared" si="433"/>
        <v>0.18726875000000001</v>
      </c>
      <c r="O498" s="396">
        <v>88905.23</v>
      </c>
      <c r="P498" s="114">
        <f t="shared" si="434"/>
        <v>16.052333194444444</v>
      </c>
      <c r="Q498" s="396">
        <v>296575.92</v>
      </c>
      <c r="R498" s="398">
        <f t="shared" si="435"/>
        <v>65.905760000000001</v>
      </c>
    </row>
    <row r="499" spans="2:18" x14ac:dyDescent="0.3">
      <c r="B499" s="393">
        <f t="shared" si="372"/>
        <v>45966</v>
      </c>
      <c r="C499" s="396">
        <v>57812.480000000003</v>
      </c>
      <c r="D499" s="114">
        <f t="shared" si="407"/>
        <v>12.044266666666665</v>
      </c>
      <c r="E499" s="399">
        <v>3164896.01</v>
      </c>
      <c r="F499" s="114">
        <f t="shared" si="429"/>
        <v>659.3533354166666</v>
      </c>
      <c r="G499" s="396">
        <v>114226.91</v>
      </c>
      <c r="H499" s="114">
        <f t="shared" si="430"/>
        <v>14.278363749999999</v>
      </c>
      <c r="I499" s="399">
        <v>92140.89</v>
      </c>
      <c r="J499" s="114">
        <f t="shared" si="431"/>
        <v>11.51761125</v>
      </c>
      <c r="K499" s="396">
        <v>74648.59</v>
      </c>
      <c r="L499" s="114">
        <f t="shared" si="432"/>
        <v>13.478217638888887</v>
      </c>
      <c r="M499" s="396">
        <v>2696.67</v>
      </c>
      <c r="N499" s="114">
        <f t="shared" si="433"/>
        <v>0.18726875000000001</v>
      </c>
      <c r="O499" s="396">
        <v>88905.23</v>
      </c>
      <c r="P499" s="114">
        <f t="shared" si="434"/>
        <v>16.052333194444444</v>
      </c>
      <c r="Q499" s="396">
        <v>296575.92</v>
      </c>
      <c r="R499" s="398">
        <f t="shared" si="435"/>
        <v>65.905760000000001</v>
      </c>
    </row>
    <row r="500" spans="2:18" x14ac:dyDescent="0.3">
      <c r="B500" s="393">
        <f t="shared" si="372"/>
        <v>45967</v>
      </c>
      <c r="C500" s="396">
        <v>57812.480000000003</v>
      </c>
      <c r="D500" s="114">
        <f t="shared" si="407"/>
        <v>12.044266666666665</v>
      </c>
      <c r="E500" s="399">
        <v>3164896.01</v>
      </c>
      <c r="F500" s="114">
        <f t="shared" si="429"/>
        <v>659.3533354166666</v>
      </c>
      <c r="G500" s="396">
        <v>114226.91</v>
      </c>
      <c r="H500" s="114">
        <f t="shared" si="430"/>
        <v>14.278363749999999</v>
      </c>
      <c r="I500" s="399">
        <v>92140.89</v>
      </c>
      <c r="J500" s="114">
        <f t="shared" si="431"/>
        <v>11.51761125</v>
      </c>
      <c r="K500" s="396">
        <v>74648.59</v>
      </c>
      <c r="L500" s="114">
        <f t="shared" si="432"/>
        <v>13.478217638888887</v>
      </c>
      <c r="M500" s="396">
        <v>2696.67</v>
      </c>
      <c r="N500" s="114">
        <f t="shared" si="433"/>
        <v>0.18726875000000001</v>
      </c>
      <c r="O500" s="396">
        <v>88905.23</v>
      </c>
      <c r="P500" s="114">
        <f t="shared" si="434"/>
        <v>16.052333194444444</v>
      </c>
      <c r="Q500" s="396">
        <v>296575.92</v>
      </c>
      <c r="R500" s="398">
        <f t="shared" si="435"/>
        <v>65.905760000000001</v>
      </c>
    </row>
    <row r="501" spans="2:18" x14ac:dyDescent="0.3">
      <c r="B501" s="393">
        <f t="shared" ref="B501:B554" si="436">B500+1</f>
        <v>45968</v>
      </c>
      <c r="C501" s="396">
        <v>57812.480000000003</v>
      </c>
      <c r="D501" s="114">
        <f t="shared" si="407"/>
        <v>12.044266666666665</v>
      </c>
      <c r="E501" s="399">
        <v>3164896.01</v>
      </c>
      <c r="F501" s="114">
        <f t="shared" si="429"/>
        <v>659.3533354166666</v>
      </c>
      <c r="G501" s="396">
        <v>114226.91</v>
      </c>
      <c r="H501" s="114">
        <f t="shared" si="430"/>
        <v>14.278363749999999</v>
      </c>
      <c r="I501" s="399">
        <v>92140.89</v>
      </c>
      <c r="J501" s="114">
        <f t="shared" si="431"/>
        <v>11.51761125</v>
      </c>
      <c r="K501" s="396">
        <v>74648.59</v>
      </c>
      <c r="L501" s="114">
        <f t="shared" si="432"/>
        <v>13.478217638888887</v>
      </c>
      <c r="M501" s="396">
        <v>2696.67</v>
      </c>
      <c r="N501" s="114">
        <f t="shared" si="433"/>
        <v>0.18726875000000001</v>
      </c>
      <c r="O501" s="396">
        <v>88905.23</v>
      </c>
      <c r="P501" s="114">
        <f t="shared" si="434"/>
        <v>16.052333194444444</v>
      </c>
      <c r="Q501" s="396">
        <v>296575.92</v>
      </c>
      <c r="R501" s="398">
        <f t="shared" si="435"/>
        <v>65.905760000000001</v>
      </c>
    </row>
    <row r="502" spans="2:18" x14ac:dyDescent="0.3">
      <c r="B502" s="393">
        <f t="shared" si="436"/>
        <v>45969</v>
      </c>
      <c r="C502" s="396">
        <v>57812.480000000003</v>
      </c>
      <c r="D502" s="114">
        <f t="shared" si="407"/>
        <v>12.044266666666665</v>
      </c>
      <c r="E502" s="399">
        <v>3164896.01</v>
      </c>
      <c r="F502" s="114">
        <f t="shared" si="429"/>
        <v>659.3533354166666</v>
      </c>
      <c r="G502" s="396">
        <v>114226.91</v>
      </c>
      <c r="H502" s="114">
        <f t="shared" si="430"/>
        <v>14.278363749999999</v>
      </c>
      <c r="I502" s="399">
        <v>92140.89</v>
      </c>
      <c r="J502" s="114">
        <f t="shared" si="431"/>
        <v>11.51761125</v>
      </c>
      <c r="K502" s="396">
        <v>74648.59</v>
      </c>
      <c r="L502" s="114">
        <f t="shared" si="432"/>
        <v>13.478217638888887</v>
      </c>
      <c r="M502" s="396">
        <v>2696.67</v>
      </c>
      <c r="N502" s="114">
        <f t="shared" si="433"/>
        <v>0.18726875000000001</v>
      </c>
      <c r="O502" s="396">
        <v>88905.23</v>
      </c>
      <c r="P502" s="114">
        <f t="shared" si="434"/>
        <v>16.052333194444444</v>
      </c>
      <c r="Q502" s="396">
        <v>296575.92</v>
      </c>
      <c r="R502" s="398">
        <f t="shared" si="435"/>
        <v>65.905760000000001</v>
      </c>
    </row>
    <row r="503" spans="2:18" x14ac:dyDescent="0.3">
      <c r="B503" s="393">
        <f t="shared" si="436"/>
        <v>45970</v>
      </c>
      <c r="C503" s="396">
        <v>57812.480000000003</v>
      </c>
      <c r="D503" s="114">
        <f t="shared" si="407"/>
        <v>12.044266666666665</v>
      </c>
      <c r="E503" s="399">
        <v>4450735.9400000004</v>
      </c>
      <c r="F503" s="114">
        <f t="shared" ref="F503:F509" si="437">(E503*7.5%)/360</f>
        <v>927.23665416666677</v>
      </c>
      <c r="G503" s="396">
        <v>119226.91</v>
      </c>
      <c r="H503" s="114">
        <f t="shared" ref="H503:H509" si="438">(G503*4.5%)/360</f>
        <v>14.903363749999999</v>
      </c>
      <c r="I503" s="399">
        <v>92140.89</v>
      </c>
      <c r="J503" s="114">
        <f t="shared" ref="J503:J509" si="439">(I503*4.5%)/360</f>
        <v>11.51761125</v>
      </c>
      <c r="K503" s="396">
        <v>74648.59</v>
      </c>
      <c r="L503" s="114">
        <f t="shared" ref="L503:L509" si="440">(K503*6.5%)/360</f>
        <v>13.478217638888887</v>
      </c>
      <c r="M503" s="396">
        <v>2696.67</v>
      </c>
      <c r="N503" s="114">
        <f t="shared" ref="N503:N509" si="441">(M503*2.5%)/360</f>
        <v>0.18726875000000001</v>
      </c>
      <c r="O503" s="396">
        <v>88905.23</v>
      </c>
      <c r="P503" s="114">
        <f t="shared" ref="P503:P509" si="442">(O503*6.5%)/360</f>
        <v>16.052333194444444</v>
      </c>
      <c r="Q503" s="396">
        <v>296575.92</v>
      </c>
      <c r="R503" s="398">
        <f t="shared" ref="R503:R509" si="443">(Q503*8%)/360</f>
        <v>65.905760000000001</v>
      </c>
    </row>
    <row r="504" spans="2:18" x14ac:dyDescent="0.3">
      <c r="B504" s="393">
        <f t="shared" si="436"/>
        <v>45971</v>
      </c>
      <c r="C504" s="396">
        <v>57812.480000000003</v>
      </c>
      <c r="D504" s="114">
        <f t="shared" si="407"/>
        <v>12.044266666666665</v>
      </c>
      <c r="E504" s="399">
        <v>743303.99</v>
      </c>
      <c r="F504" s="114">
        <f t="shared" si="437"/>
        <v>154.85499791666666</v>
      </c>
      <c r="G504" s="396">
        <v>119226.91</v>
      </c>
      <c r="H504" s="114">
        <f t="shared" si="438"/>
        <v>14.903363749999999</v>
      </c>
      <c r="I504" s="399">
        <v>92140.89</v>
      </c>
      <c r="J504" s="114">
        <f t="shared" si="439"/>
        <v>11.51761125</v>
      </c>
      <c r="K504" s="396">
        <v>74648.59</v>
      </c>
      <c r="L504" s="114">
        <f t="shared" si="440"/>
        <v>13.478217638888887</v>
      </c>
      <c r="M504" s="396">
        <v>2696.67</v>
      </c>
      <c r="N504" s="114">
        <f t="shared" si="441"/>
        <v>0.18726875000000001</v>
      </c>
      <c r="O504" s="396">
        <v>88905.23</v>
      </c>
      <c r="P504" s="114">
        <f t="shared" si="442"/>
        <v>16.052333194444444</v>
      </c>
      <c r="Q504" s="396">
        <v>296575.92</v>
      </c>
      <c r="R504" s="398">
        <f t="shared" si="443"/>
        <v>65.905760000000001</v>
      </c>
    </row>
    <row r="505" spans="2:18" x14ac:dyDescent="0.3">
      <c r="B505" s="393">
        <f t="shared" si="436"/>
        <v>45972</v>
      </c>
      <c r="C505" s="396">
        <v>57812.480000000003</v>
      </c>
      <c r="D505" s="114">
        <f t="shared" si="407"/>
        <v>12.044266666666665</v>
      </c>
      <c r="E505" s="399">
        <v>743303.99</v>
      </c>
      <c r="F505" s="114">
        <f t="shared" si="437"/>
        <v>154.85499791666666</v>
      </c>
      <c r="G505" s="396">
        <v>119226.91</v>
      </c>
      <c r="H505" s="114">
        <f t="shared" si="438"/>
        <v>14.903363749999999</v>
      </c>
      <c r="I505" s="399">
        <v>92140.89</v>
      </c>
      <c r="J505" s="114">
        <f t="shared" si="439"/>
        <v>11.51761125</v>
      </c>
      <c r="K505" s="396">
        <v>74648.59</v>
      </c>
      <c r="L505" s="114">
        <f t="shared" si="440"/>
        <v>13.478217638888887</v>
      </c>
      <c r="M505" s="396">
        <v>2696.67</v>
      </c>
      <c r="N505" s="114">
        <f t="shared" si="441"/>
        <v>0.18726875000000001</v>
      </c>
      <c r="O505" s="396">
        <v>88905.23</v>
      </c>
      <c r="P505" s="114">
        <f t="shared" si="442"/>
        <v>16.052333194444444</v>
      </c>
      <c r="Q505" s="396">
        <v>296575.92</v>
      </c>
      <c r="R505" s="398">
        <f t="shared" si="443"/>
        <v>65.905760000000001</v>
      </c>
    </row>
    <row r="506" spans="2:18" x14ac:dyDescent="0.3">
      <c r="B506" s="393">
        <f t="shared" si="436"/>
        <v>45973</v>
      </c>
      <c r="C506" s="396">
        <v>57812.480000000003</v>
      </c>
      <c r="D506" s="114">
        <f t="shared" si="407"/>
        <v>12.044266666666665</v>
      </c>
      <c r="E506" s="399">
        <v>1017246.65</v>
      </c>
      <c r="F506" s="114">
        <f t="shared" si="437"/>
        <v>211.92638541666668</v>
      </c>
      <c r="G506" s="396">
        <v>119226.91</v>
      </c>
      <c r="H506" s="114">
        <f t="shared" si="438"/>
        <v>14.903363749999999</v>
      </c>
      <c r="I506" s="399">
        <v>92140.89</v>
      </c>
      <c r="J506" s="114">
        <f t="shared" si="439"/>
        <v>11.51761125</v>
      </c>
      <c r="K506" s="396">
        <v>74648.59</v>
      </c>
      <c r="L506" s="114">
        <f t="shared" si="440"/>
        <v>13.478217638888887</v>
      </c>
      <c r="M506" s="396">
        <v>2696.67</v>
      </c>
      <c r="N506" s="114">
        <f t="shared" si="441"/>
        <v>0.18726875000000001</v>
      </c>
      <c r="O506" s="396">
        <v>88905.23</v>
      </c>
      <c r="P506" s="114">
        <f t="shared" si="442"/>
        <v>16.052333194444444</v>
      </c>
      <c r="Q506" s="396">
        <v>296575.92</v>
      </c>
      <c r="R506" s="398">
        <f t="shared" si="443"/>
        <v>65.905760000000001</v>
      </c>
    </row>
    <row r="507" spans="2:18" x14ac:dyDescent="0.3">
      <c r="B507" s="393">
        <f t="shared" si="436"/>
        <v>45974</v>
      </c>
      <c r="C507" s="396">
        <v>57812.480000000003</v>
      </c>
      <c r="D507" s="114">
        <f t="shared" si="407"/>
        <v>12.044266666666665</v>
      </c>
      <c r="E507" s="399">
        <v>1017246.65</v>
      </c>
      <c r="F507" s="114">
        <f t="shared" si="437"/>
        <v>211.92638541666668</v>
      </c>
      <c r="G507" s="396">
        <v>119226.91</v>
      </c>
      <c r="H507" s="114">
        <f t="shared" si="438"/>
        <v>14.903363749999999</v>
      </c>
      <c r="I507" s="399">
        <v>92140.89</v>
      </c>
      <c r="J507" s="114">
        <f t="shared" si="439"/>
        <v>11.51761125</v>
      </c>
      <c r="K507" s="396">
        <v>74648.59</v>
      </c>
      <c r="L507" s="114">
        <f t="shared" si="440"/>
        <v>13.478217638888887</v>
      </c>
      <c r="M507" s="396">
        <v>2696.67</v>
      </c>
      <c r="N507" s="114">
        <f t="shared" si="441"/>
        <v>0.18726875000000001</v>
      </c>
      <c r="O507" s="396">
        <v>88905.23</v>
      </c>
      <c r="P507" s="114">
        <f t="shared" si="442"/>
        <v>16.052333194444444</v>
      </c>
      <c r="Q507" s="396">
        <v>296575.92</v>
      </c>
      <c r="R507" s="398">
        <f t="shared" si="443"/>
        <v>65.905760000000001</v>
      </c>
    </row>
    <row r="508" spans="2:18" x14ac:dyDescent="0.3">
      <c r="B508" s="393">
        <f t="shared" si="436"/>
        <v>45975</v>
      </c>
      <c r="C508" s="396">
        <v>57812.480000000003</v>
      </c>
      <c r="D508" s="114">
        <f t="shared" si="407"/>
        <v>12.044266666666665</v>
      </c>
      <c r="E508" s="399">
        <v>1017246.65</v>
      </c>
      <c r="F508" s="114">
        <f t="shared" si="437"/>
        <v>211.92638541666668</v>
      </c>
      <c r="G508" s="396">
        <v>119226.91</v>
      </c>
      <c r="H508" s="114">
        <f t="shared" si="438"/>
        <v>14.903363749999999</v>
      </c>
      <c r="I508" s="399">
        <v>92140.89</v>
      </c>
      <c r="J508" s="114">
        <f t="shared" si="439"/>
        <v>11.51761125</v>
      </c>
      <c r="K508" s="396">
        <v>74648.59</v>
      </c>
      <c r="L508" s="114">
        <f t="shared" si="440"/>
        <v>13.478217638888887</v>
      </c>
      <c r="M508" s="396">
        <v>2696.67</v>
      </c>
      <c r="N508" s="114">
        <f t="shared" si="441"/>
        <v>0.18726875000000001</v>
      </c>
      <c r="O508" s="396">
        <v>88905.23</v>
      </c>
      <c r="P508" s="114">
        <f t="shared" si="442"/>
        <v>16.052333194444444</v>
      </c>
      <c r="Q508" s="396">
        <v>296575.92</v>
      </c>
      <c r="R508" s="398">
        <f t="shared" si="443"/>
        <v>65.905760000000001</v>
      </c>
    </row>
    <row r="509" spans="2:18" x14ac:dyDescent="0.3">
      <c r="B509" s="393">
        <f t="shared" si="436"/>
        <v>45976</v>
      </c>
      <c r="C509" s="396">
        <v>57812.480000000003</v>
      </c>
      <c r="D509" s="114">
        <f t="shared" si="407"/>
        <v>12.044266666666665</v>
      </c>
      <c r="E509" s="399">
        <v>1017246.65</v>
      </c>
      <c r="F509" s="114">
        <f t="shared" si="437"/>
        <v>211.92638541666668</v>
      </c>
      <c r="G509" s="396">
        <v>119226.91</v>
      </c>
      <c r="H509" s="114">
        <f t="shared" si="438"/>
        <v>14.903363749999999</v>
      </c>
      <c r="I509" s="399">
        <v>92140.89</v>
      </c>
      <c r="J509" s="114">
        <f t="shared" si="439"/>
        <v>11.51761125</v>
      </c>
      <c r="K509" s="396">
        <v>74648.59</v>
      </c>
      <c r="L509" s="114">
        <f t="shared" si="440"/>
        <v>13.478217638888887</v>
      </c>
      <c r="M509" s="396">
        <v>2696.67</v>
      </c>
      <c r="N509" s="114">
        <f t="shared" si="441"/>
        <v>0.18726875000000001</v>
      </c>
      <c r="O509" s="396">
        <v>88905.23</v>
      </c>
      <c r="P509" s="114">
        <f t="shared" si="442"/>
        <v>16.052333194444444</v>
      </c>
      <c r="Q509" s="396">
        <v>296575.92</v>
      </c>
      <c r="R509" s="398">
        <f t="shared" si="443"/>
        <v>65.905760000000001</v>
      </c>
    </row>
    <row r="510" spans="2:18" x14ac:dyDescent="0.3">
      <c r="B510" s="393">
        <f t="shared" si="436"/>
        <v>45977</v>
      </c>
      <c r="C510" s="396">
        <v>57812.480000000003</v>
      </c>
      <c r="D510" s="114">
        <f t="shared" si="407"/>
        <v>12.044266666666665</v>
      </c>
      <c r="E510" s="399">
        <v>51786.38</v>
      </c>
      <c r="F510" s="114">
        <f t="shared" ref="F510:F516" si="444">(E510*7.5%)/360</f>
        <v>10.788829166666666</v>
      </c>
      <c r="G510" s="396">
        <v>144226.91</v>
      </c>
      <c r="H510" s="114">
        <f t="shared" ref="H510:H516" si="445">(G510*4.5%)/360</f>
        <v>18.02836375</v>
      </c>
      <c r="I510" s="399">
        <v>92140.89</v>
      </c>
      <c r="J510" s="114">
        <f t="shared" ref="J510:J516" si="446">(I510*4.5%)/360</f>
        <v>11.51761125</v>
      </c>
      <c r="K510" s="396">
        <v>74648.59</v>
      </c>
      <c r="L510" s="114">
        <f t="shared" ref="L510:L516" si="447">(K510*6.5%)/360</f>
        <v>13.478217638888887</v>
      </c>
      <c r="M510" s="396">
        <v>2696.67</v>
      </c>
      <c r="N510" s="114">
        <f t="shared" ref="N510:N516" si="448">(M510*2.5%)/360</f>
        <v>0.18726875000000001</v>
      </c>
      <c r="O510" s="396">
        <v>88905.23</v>
      </c>
      <c r="P510" s="114">
        <f t="shared" ref="P510:P516" si="449">(O510*6.5%)/360</f>
        <v>16.052333194444444</v>
      </c>
      <c r="Q510" s="396">
        <v>296575.92</v>
      </c>
      <c r="R510" s="398">
        <f t="shared" ref="R510:R516" si="450">(Q510*8%)/360</f>
        <v>65.905760000000001</v>
      </c>
    </row>
    <row r="511" spans="2:18" x14ac:dyDescent="0.3">
      <c r="B511" s="393">
        <f t="shared" si="436"/>
        <v>45978</v>
      </c>
      <c r="C511" s="396">
        <v>57812.480000000003</v>
      </c>
      <c r="D511" s="114">
        <f t="shared" si="407"/>
        <v>12.044266666666665</v>
      </c>
      <c r="E511" s="399">
        <v>477587.51</v>
      </c>
      <c r="F511" s="114">
        <f t="shared" si="444"/>
        <v>99.497397916666671</v>
      </c>
      <c r="G511" s="396">
        <v>144226.91</v>
      </c>
      <c r="H511" s="114">
        <f t="shared" si="445"/>
        <v>18.02836375</v>
      </c>
      <c r="I511" s="399">
        <v>92140.89</v>
      </c>
      <c r="J511" s="114">
        <f t="shared" si="446"/>
        <v>11.51761125</v>
      </c>
      <c r="K511" s="396">
        <v>74648.59</v>
      </c>
      <c r="L511" s="114">
        <f t="shared" si="447"/>
        <v>13.478217638888887</v>
      </c>
      <c r="M511" s="396">
        <v>2696.67</v>
      </c>
      <c r="N511" s="114">
        <f t="shared" si="448"/>
        <v>0.18726875000000001</v>
      </c>
      <c r="O511" s="396">
        <v>88905.23</v>
      </c>
      <c r="P511" s="114">
        <f t="shared" si="449"/>
        <v>16.052333194444444</v>
      </c>
      <c r="Q511" s="396">
        <v>296575.92</v>
      </c>
      <c r="R511" s="398">
        <f t="shared" si="450"/>
        <v>65.905760000000001</v>
      </c>
    </row>
    <row r="512" spans="2:18" x14ac:dyDescent="0.3">
      <c r="B512" s="393">
        <f t="shared" si="436"/>
        <v>45979</v>
      </c>
      <c r="C512" s="396">
        <v>2057752.48</v>
      </c>
      <c r="D512" s="114">
        <f t="shared" si="407"/>
        <v>428.6984333333333</v>
      </c>
      <c r="E512" s="399">
        <v>2977587.51</v>
      </c>
      <c r="F512" s="114">
        <f t="shared" si="444"/>
        <v>620.33073124999999</v>
      </c>
      <c r="G512" s="396">
        <v>144226.91</v>
      </c>
      <c r="H512" s="114">
        <f t="shared" si="445"/>
        <v>18.02836375</v>
      </c>
      <c r="I512" s="399">
        <v>86445.86</v>
      </c>
      <c r="J512" s="114">
        <f t="shared" si="446"/>
        <v>10.8057325</v>
      </c>
      <c r="K512" s="396">
        <v>74648.59</v>
      </c>
      <c r="L512" s="114">
        <f t="shared" si="447"/>
        <v>13.478217638888887</v>
      </c>
      <c r="M512" s="396">
        <v>2696.67</v>
      </c>
      <c r="N512" s="114">
        <f t="shared" si="448"/>
        <v>0.18726875000000001</v>
      </c>
      <c r="O512" s="396">
        <v>88905.23</v>
      </c>
      <c r="P512" s="114">
        <f t="shared" si="449"/>
        <v>16.052333194444444</v>
      </c>
      <c r="Q512" s="396">
        <v>296575.92</v>
      </c>
      <c r="R512" s="398">
        <f t="shared" si="450"/>
        <v>65.905760000000001</v>
      </c>
    </row>
    <row r="513" spans="1:18" x14ac:dyDescent="0.3">
      <c r="B513" s="393">
        <f t="shared" si="436"/>
        <v>45980</v>
      </c>
      <c r="C513" s="396">
        <v>7752.48</v>
      </c>
      <c r="D513" s="114">
        <f t="shared" si="407"/>
        <v>1.6150999999999998</v>
      </c>
      <c r="E513" s="399">
        <v>1085383.25</v>
      </c>
      <c r="F513" s="114">
        <f t="shared" si="444"/>
        <v>226.12151041666664</v>
      </c>
      <c r="G513" s="396">
        <v>144226.91</v>
      </c>
      <c r="H513" s="114">
        <f t="shared" si="445"/>
        <v>18.02836375</v>
      </c>
      <c r="I513" s="399">
        <v>86445.86</v>
      </c>
      <c r="J513" s="114">
        <f t="shared" si="446"/>
        <v>10.8057325</v>
      </c>
      <c r="K513" s="396">
        <v>74648.59</v>
      </c>
      <c r="L513" s="114">
        <f t="shared" si="447"/>
        <v>13.478217638888887</v>
      </c>
      <c r="M513" s="396">
        <v>2696.67</v>
      </c>
      <c r="N513" s="114">
        <f t="shared" si="448"/>
        <v>0.18726875000000001</v>
      </c>
      <c r="O513" s="396">
        <v>88905.23</v>
      </c>
      <c r="P513" s="114">
        <f t="shared" si="449"/>
        <v>16.052333194444444</v>
      </c>
      <c r="Q513" s="396">
        <v>296575.92</v>
      </c>
      <c r="R513" s="398">
        <f t="shared" si="450"/>
        <v>65.905760000000001</v>
      </c>
    </row>
    <row r="514" spans="1:18" x14ac:dyDescent="0.3">
      <c r="B514" s="393">
        <f t="shared" si="436"/>
        <v>45981</v>
      </c>
      <c r="C514" s="396">
        <v>8506352.4800000004</v>
      </c>
      <c r="D514" s="114">
        <f t="shared" si="407"/>
        <v>1772.1567666666667</v>
      </c>
      <c r="E514" s="399">
        <v>919777.8</v>
      </c>
      <c r="F514" s="114">
        <f t="shared" si="444"/>
        <v>191.62037500000002</v>
      </c>
      <c r="G514" s="396">
        <v>144226.91</v>
      </c>
      <c r="H514" s="114">
        <f t="shared" si="445"/>
        <v>18.02836375</v>
      </c>
      <c r="I514" s="399">
        <v>86445.86</v>
      </c>
      <c r="J514" s="114">
        <f t="shared" si="446"/>
        <v>10.8057325</v>
      </c>
      <c r="K514" s="396">
        <v>74648.59</v>
      </c>
      <c r="L514" s="114">
        <f t="shared" si="447"/>
        <v>13.478217638888887</v>
      </c>
      <c r="M514" s="396">
        <v>2696.67</v>
      </c>
      <c r="N514" s="114">
        <f t="shared" si="448"/>
        <v>0.18726875000000001</v>
      </c>
      <c r="O514" s="396">
        <v>88905.23</v>
      </c>
      <c r="P514" s="114">
        <f t="shared" si="449"/>
        <v>16.052333194444444</v>
      </c>
      <c r="Q514" s="396">
        <v>296575.92</v>
      </c>
      <c r="R514" s="398">
        <f t="shared" si="450"/>
        <v>65.905760000000001</v>
      </c>
    </row>
    <row r="515" spans="1:18" x14ac:dyDescent="0.3">
      <c r="B515" s="393">
        <f t="shared" si="436"/>
        <v>45982</v>
      </c>
      <c r="C515" s="396">
        <v>8506352.4800000004</v>
      </c>
      <c r="D515" s="114">
        <f t="shared" si="407"/>
        <v>1772.1567666666667</v>
      </c>
      <c r="E515" s="399">
        <v>919777.8</v>
      </c>
      <c r="F515" s="114">
        <f t="shared" si="444"/>
        <v>191.62037500000002</v>
      </c>
      <c r="G515" s="396">
        <v>144226.91</v>
      </c>
      <c r="H515" s="114">
        <f t="shared" si="445"/>
        <v>18.02836375</v>
      </c>
      <c r="I515" s="399">
        <v>86445.86</v>
      </c>
      <c r="J515" s="114">
        <f t="shared" si="446"/>
        <v>10.8057325</v>
      </c>
      <c r="K515" s="396">
        <v>74648.59</v>
      </c>
      <c r="L515" s="114">
        <f t="shared" si="447"/>
        <v>13.478217638888887</v>
      </c>
      <c r="M515" s="396">
        <v>2696.67</v>
      </c>
      <c r="N515" s="114">
        <f t="shared" si="448"/>
        <v>0.18726875000000001</v>
      </c>
      <c r="O515" s="396">
        <v>88905.23</v>
      </c>
      <c r="P515" s="114">
        <f t="shared" si="449"/>
        <v>16.052333194444444</v>
      </c>
      <c r="Q515" s="396">
        <v>296575.92</v>
      </c>
      <c r="R515" s="398">
        <f t="shared" si="450"/>
        <v>65.905760000000001</v>
      </c>
    </row>
    <row r="516" spans="1:18" x14ac:dyDescent="0.3">
      <c r="B516" s="393">
        <f t="shared" si="436"/>
        <v>45983</v>
      </c>
      <c r="C516" s="396">
        <v>8506352.4800000004</v>
      </c>
      <c r="D516" s="114">
        <f t="shared" si="407"/>
        <v>1772.1567666666667</v>
      </c>
      <c r="E516" s="399">
        <v>919777.8</v>
      </c>
      <c r="F516" s="114">
        <f t="shared" si="444"/>
        <v>191.62037500000002</v>
      </c>
      <c r="G516" s="396">
        <v>144226.91</v>
      </c>
      <c r="H516" s="114">
        <f t="shared" si="445"/>
        <v>18.02836375</v>
      </c>
      <c r="I516" s="399">
        <v>86445.86</v>
      </c>
      <c r="J516" s="114">
        <f t="shared" si="446"/>
        <v>10.8057325</v>
      </c>
      <c r="K516" s="396">
        <v>74648.59</v>
      </c>
      <c r="L516" s="114">
        <f t="shared" si="447"/>
        <v>13.478217638888887</v>
      </c>
      <c r="M516" s="396">
        <v>2696.67</v>
      </c>
      <c r="N516" s="114">
        <f t="shared" si="448"/>
        <v>0.18726875000000001</v>
      </c>
      <c r="O516" s="396">
        <v>88905.23</v>
      </c>
      <c r="P516" s="114">
        <f t="shared" si="449"/>
        <v>16.052333194444444</v>
      </c>
      <c r="Q516" s="396">
        <v>296575.92</v>
      </c>
      <c r="R516" s="398">
        <f t="shared" si="450"/>
        <v>65.905760000000001</v>
      </c>
    </row>
    <row r="517" spans="1:18" x14ac:dyDescent="0.3">
      <c r="B517" s="393">
        <f t="shared" si="436"/>
        <v>45984</v>
      </c>
      <c r="C517" s="396">
        <v>90232.48</v>
      </c>
      <c r="D517" s="114">
        <f t="shared" si="407"/>
        <v>18.798433333333332</v>
      </c>
      <c r="E517" s="399">
        <v>5018886.7699999996</v>
      </c>
      <c r="F517" s="114">
        <f t="shared" ref="F517:F523" si="451">(E517*7.5%)/360</f>
        <v>1045.6014104166666</v>
      </c>
      <c r="G517" s="396">
        <v>144226.91</v>
      </c>
      <c r="H517" s="114">
        <f t="shared" ref="H517:H523" si="452">(G517*4.5%)/360</f>
        <v>18.02836375</v>
      </c>
      <c r="I517" s="399">
        <v>86445.86</v>
      </c>
      <c r="J517" s="114">
        <f t="shared" ref="J517:J523" si="453">(I517*4.5%)/360</f>
        <v>10.8057325</v>
      </c>
      <c r="K517" s="396">
        <v>74648.59</v>
      </c>
      <c r="L517" s="114">
        <f t="shared" ref="L517:L523" si="454">(K517*6.5%)/360</f>
        <v>13.478217638888887</v>
      </c>
      <c r="M517" s="396">
        <v>2696.67</v>
      </c>
      <c r="N517" s="114">
        <f t="shared" ref="N517:N523" si="455">(M517*2.5%)/360</f>
        <v>0.18726875000000001</v>
      </c>
      <c r="O517" s="396">
        <v>88905.23</v>
      </c>
      <c r="P517" s="114">
        <f t="shared" ref="P517:P523" si="456">(O517*6.5%)/360</f>
        <v>16.052333194444444</v>
      </c>
      <c r="Q517" s="396">
        <v>296575.92</v>
      </c>
      <c r="R517" s="398">
        <f t="shared" ref="R517:R523" si="457">(Q517*8%)/360</f>
        <v>65.905760000000001</v>
      </c>
    </row>
    <row r="518" spans="1:18" x14ac:dyDescent="0.3">
      <c r="B518" s="393">
        <f t="shared" si="436"/>
        <v>45985</v>
      </c>
      <c r="C518" s="396">
        <v>120232.48</v>
      </c>
      <c r="D518" s="114">
        <f t="shared" si="407"/>
        <v>25.048433333333332</v>
      </c>
      <c r="E518" s="399">
        <v>2068850.74</v>
      </c>
      <c r="F518" s="114">
        <f t="shared" si="451"/>
        <v>431.0105708333333</v>
      </c>
      <c r="G518" s="396">
        <v>144226.91</v>
      </c>
      <c r="H518" s="114">
        <f t="shared" si="452"/>
        <v>18.02836375</v>
      </c>
      <c r="I518" s="399">
        <v>86445.86</v>
      </c>
      <c r="J518" s="114">
        <f t="shared" si="453"/>
        <v>10.8057325</v>
      </c>
      <c r="K518" s="396">
        <v>74648.59</v>
      </c>
      <c r="L518" s="114">
        <f t="shared" si="454"/>
        <v>13.478217638888887</v>
      </c>
      <c r="M518" s="396">
        <v>2696.67</v>
      </c>
      <c r="N518" s="114">
        <f t="shared" si="455"/>
        <v>0.18726875000000001</v>
      </c>
      <c r="O518" s="396">
        <v>88905.23</v>
      </c>
      <c r="P518" s="114">
        <f t="shared" si="456"/>
        <v>16.052333194444444</v>
      </c>
      <c r="Q518" s="396">
        <v>296575.92</v>
      </c>
      <c r="R518" s="398">
        <f t="shared" si="457"/>
        <v>65.905760000000001</v>
      </c>
    </row>
    <row r="519" spans="1:18" x14ac:dyDescent="0.3">
      <c r="B519" s="393">
        <f t="shared" si="436"/>
        <v>45986</v>
      </c>
      <c r="C519" s="396">
        <v>1232.48</v>
      </c>
      <c r="D519" s="114">
        <f t="shared" si="407"/>
        <v>0.25676666666666664</v>
      </c>
      <c r="E519" s="399">
        <v>109978.6</v>
      </c>
      <c r="F519" s="114">
        <f t="shared" si="451"/>
        <v>22.912208333333336</v>
      </c>
      <c r="G519" s="396">
        <v>144226.91</v>
      </c>
      <c r="H519" s="114">
        <f t="shared" si="452"/>
        <v>18.02836375</v>
      </c>
      <c r="I519" s="399">
        <v>86445.86</v>
      </c>
      <c r="J519" s="114">
        <f t="shared" si="453"/>
        <v>10.8057325</v>
      </c>
      <c r="K519" s="396">
        <v>74648.59</v>
      </c>
      <c r="L519" s="114">
        <f t="shared" si="454"/>
        <v>13.478217638888887</v>
      </c>
      <c r="M519" s="396">
        <v>2696.67</v>
      </c>
      <c r="N519" s="114">
        <f t="shared" si="455"/>
        <v>0.18726875000000001</v>
      </c>
      <c r="O519" s="396">
        <v>88905.23</v>
      </c>
      <c r="P519" s="114">
        <f t="shared" si="456"/>
        <v>16.052333194444444</v>
      </c>
      <c r="Q519" s="396">
        <v>296575.92</v>
      </c>
      <c r="R519" s="398">
        <f t="shared" si="457"/>
        <v>65.905760000000001</v>
      </c>
    </row>
    <row r="520" spans="1:18" x14ac:dyDescent="0.3">
      <c r="B520" s="393">
        <f t="shared" si="436"/>
        <v>45987</v>
      </c>
      <c r="C520" s="396">
        <v>28912.48</v>
      </c>
      <c r="D520" s="114">
        <f t="shared" si="407"/>
        <v>6.0234333333333323</v>
      </c>
      <c r="E520" s="399">
        <v>2918298.26</v>
      </c>
      <c r="F520" s="114">
        <f t="shared" si="451"/>
        <v>607.97880416666658</v>
      </c>
      <c r="G520" s="396">
        <v>161226.91</v>
      </c>
      <c r="H520" s="114">
        <f t="shared" si="452"/>
        <v>20.15336375</v>
      </c>
      <c r="I520" s="399">
        <v>86445.86</v>
      </c>
      <c r="J520" s="114">
        <f t="shared" si="453"/>
        <v>10.8057325</v>
      </c>
      <c r="K520" s="396">
        <v>74648.59</v>
      </c>
      <c r="L520" s="114">
        <f t="shared" si="454"/>
        <v>13.478217638888887</v>
      </c>
      <c r="M520" s="396">
        <v>2696.67</v>
      </c>
      <c r="N520" s="114">
        <f t="shared" si="455"/>
        <v>0.18726875000000001</v>
      </c>
      <c r="O520" s="396">
        <v>88905.23</v>
      </c>
      <c r="P520" s="114">
        <f t="shared" si="456"/>
        <v>16.052333194444444</v>
      </c>
      <c r="Q520" s="396">
        <v>296575.92</v>
      </c>
      <c r="R520" s="398">
        <f t="shared" si="457"/>
        <v>65.905760000000001</v>
      </c>
    </row>
    <row r="521" spans="1:18" x14ac:dyDescent="0.3">
      <c r="B521" s="393">
        <f t="shared" si="436"/>
        <v>45988</v>
      </c>
      <c r="C521" s="396">
        <v>28912.48</v>
      </c>
      <c r="D521" s="114">
        <f t="shared" si="407"/>
        <v>6.0234333333333323</v>
      </c>
      <c r="E521" s="399">
        <v>1397960</v>
      </c>
      <c r="F521" s="114">
        <f t="shared" si="451"/>
        <v>291.24166666666667</v>
      </c>
      <c r="G521" s="396">
        <v>161226.91</v>
      </c>
      <c r="H521" s="114">
        <f t="shared" si="452"/>
        <v>20.15336375</v>
      </c>
      <c r="I521" s="399">
        <v>86445.86</v>
      </c>
      <c r="J521" s="114">
        <f t="shared" si="453"/>
        <v>10.8057325</v>
      </c>
      <c r="K521" s="396">
        <v>74648.59</v>
      </c>
      <c r="L521" s="114">
        <f t="shared" si="454"/>
        <v>13.478217638888887</v>
      </c>
      <c r="M521" s="396">
        <v>2696.67</v>
      </c>
      <c r="N521" s="114">
        <f t="shared" si="455"/>
        <v>0.18726875000000001</v>
      </c>
      <c r="O521" s="396">
        <v>88905.23</v>
      </c>
      <c r="P521" s="114">
        <f t="shared" si="456"/>
        <v>16.052333194444444</v>
      </c>
      <c r="Q521" s="396">
        <v>296575.92</v>
      </c>
      <c r="R521" s="398">
        <f t="shared" si="457"/>
        <v>65.905760000000001</v>
      </c>
    </row>
    <row r="522" spans="1:18" x14ac:dyDescent="0.3">
      <c r="B522" s="393">
        <f t="shared" si="436"/>
        <v>45989</v>
      </c>
      <c r="C522" s="396">
        <v>28912.48</v>
      </c>
      <c r="D522" s="114">
        <f t="shared" si="407"/>
        <v>6.0234333333333323</v>
      </c>
      <c r="E522" s="399">
        <v>1397960</v>
      </c>
      <c r="F522" s="114">
        <f t="shared" si="451"/>
        <v>291.24166666666667</v>
      </c>
      <c r="G522" s="396">
        <v>161226.91</v>
      </c>
      <c r="H522" s="114">
        <f t="shared" si="452"/>
        <v>20.15336375</v>
      </c>
      <c r="I522" s="399">
        <v>86445.86</v>
      </c>
      <c r="J522" s="114">
        <f t="shared" si="453"/>
        <v>10.8057325</v>
      </c>
      <c r="K522" s="396">
        <v>74648.59</v>
      </c>
      <c r="L522" s="114">
        <f t="shared" si="454"/>
        <v>13.478217638888887</v>
      </c>
      <c r="M522" s="396">
        <v>2696.67</v>
      </c>
      <c r="N522" s="114">
        <f t="shared" si="455"/>
        <v>0.18726875000000001</v>
      </c>
      <c r="O522" s="396">
        <v>88905.23</v>
      </c>
      <c r="P522" s="114">
        <f t="shared" si="456"/>
        <v>16.052333194444444</v>
      </c>
      <c r="Q522" s="396">
        <v>296575.92</v>
      </c>
      <c r="R522" s="398">
        <f t="shared" si="457"/>
        <v>65.905760000000001</v>
      </c>
    </row>
    <row r="523" spans="1:18" x14ac:dyDescent="0.3">
      <c r="B523" s="393">
        <f t="shared" si="436"/>
        <v>45990</v>
      </c>
      <c r="C523" s="396">
        <v>28912.48</v>
      </c>
      <c r="D523" s="114">
        <f t="shared" si="407"/>
        <v>6.0234333333333323</v>
      </c>
      <c r="E523" s="399">
        <v>1397960</v>
      </c>
      <c r="F523" s="114">
        <f t="shared" si="451"/>
        <v>291.24166666666667</v>
      </c>
      <c r="G523" s="396">
        <v>161226.91</v>
      </c>
      <c r="H523" s="114">
        <f t="shared" si="452"/>
        <v>20.15336375</v>
      </c>
      <c r="I523" s="399">
        <v>86445.86</v>
      </c>
      <c r="J523" s="114">
        <f t="shared" si="453"/>
        <v>10.8057325</v>
      </c>
      <c r="K523" s="396">
        <v>74648.59</v>
      </c>
      <c r="L523" s="114">
        <f t="shared" si="454"/>
        <v>13.478217638888887</v>
      </c>
      <c r="M523" s="396">
        <v>2696.67</v>
      </c>
      <c r="N523" s="114">
        <f t="shared" si="455"/>
        <v>0.18726875000000001</v>
      </c>
      <c r="O523" s="396">
        <v>88905.23</v>
      </c>
      <c r="P523" s="114">
        <f t="shared" si="456"/>
        <v>16.052333194444444</v>
      </c>
      <c r="Q523" s="396">
        <v>296575.92</v>
      </c>
      <c r="R523" s="398">
        <f t="shared" si="457"/>
        <v>65.905760000000001</v>
      </c>
    </row>
    <row r="524" spans="1:18" x14ac:dyDescent="0.3">
      <c r="B524" s="393">
        <f t="shared" si="436"/>
        <v>45991</v>
      </c>
      <c r="C524" s="396">
        <v>28912.48</v>
      </c>
      <c r="D524" s="114">
        <f t="shared" si="407"/>
        <v>6.0234333333333323</v>
      </c>
      <c r="E524" s="399">
        <v>1470081.64</v>
      </c>
      <c r="F524" s="114">
        <f t="shared" ref="F524" si="458">(E524*7.5%)/360</f>
        <v>306.26700833333331</v>
      </c>
      <c r="G524" s="396">
        <v>161226.91</v>
      </c>
      <c r="H524" s="114">
        <f t="shared" ref="H524" si="459">(G524*4.5%)/360</f>
        <v>20.15336375</v>
      </c>
      <c r="I524" s="399">
        <v>86445.86</v>
      </c>
      <c r="J524" s="114">
        <f t="shared" ref="J524" si="460">(I524*4.5%)/360</f>
        <v>10.8057325</v>
      </c>
      <c r="K524" s="396">
        <v>74648.59</v>
      </c>
      <c r="L524" s="114">
        <f t="shared" ref="L524" si="461">(K524*6.5%)/360</f>
        <v>13.478217638888887</v>
      </c>
      <c r="M524" s="396">
        <v>2696.67</v>
      </c>
      <c r="N524" s="114">
        <f t="shared" ref="N524" si="462">(M524*2.5%)/360</f>
        <v>0.18726875000000001</v>
      </c>
      <c r="O524" s="396">
        <v>88905.23</v>
      </c>
      <c r="P524" s="114">
        <f t="shared" ref="P524" si="463">(O524*6.5%)/360</f>
        <v>16.052333194444444</v>
      </c>
      <c r="Q524" s="396">
        <v>296575.92</v>
      </c>
      <c r="R524" s="398">
        <f t="shared" ref="R524" si="464">(Q524*8%)/360</f>
        <v>65.905760000000001</v>
      </c>
    </row>
    <row r="525" spans="1:18" x14ac:dyDescent="0.3">
      <c r="B525" s="393">
        <f t="shared" si="436"/>
        <v>45992</v>
      </c>
      <c r="C525" s="396">
        <v>28912.48</v>
      </c>
      <c r="D525" s="114">
        <f t="shared" ref="D525" si="465">(C525*7.5%)/360</f>
        <v>6.0234333333333323</v>
      </c>
      <c r="E525" s="399">
        <v>1635741.98</v>
      </c>
      <c r="F525" s="114">
        <f t="shared" ref="F525" si="466">(E525*7.5%)/360</f>
        <v>340.77957916666668</v>
      </c>
      <c r="G525" s="396">
        <v>161226.91</v>
      </c>
      <c r="H525" s="114">
        <f t="shared" ref="H525" si="467">(G525*4.5%)/360</f>
        <v>20.15336375</v>
      </c>
      <c r="I525" s="399">
        <v>86445.86</v>
      </c>
      <c r="J525" s="114">
        <f t="shared" ref="J525" si="468">(I525*4.5%)/360</f>
        <v>10.8057325</v>
      </c>
      <c r="K525" s="396">
        <v>74648.59</v>
      </c>
      <c r="L525" s="114">
        <f t="shared" ref="L525" si="469">(K525*6.5%)/360</f>
        <v>13.478217638888887</v>
      </c>
      <c r="M525" s="396">
        <v>2696.67</v>
      </c>
      <c r="N525" s="114">
        <f t="shared" ref="N525" si="470">(M525*2.5%)/360</f>
        <v>0.18726875000000001</v>
      </c>
      <c r="O525" s="396">
        <v>88905.23</v>
      </c>
      <c r="P525" s="114">
        <f t="shared" ref="P525" si="471">(O525*6.5%)/360</f>
        <v>16.052333194444444</v>
      </c>
      <c r="Q525" s="396">
        <v>296575.92</v>
      </c>
      <c r="R525" s="398">
        <f t="shared" ref="R525" si="472">(Q525*8%)/360</f>
        <v>65.905760000000001</v>
      </c>
    </row>
    <row r="526" spans="1:18" x14ac:dyDescent="0.3">
      <c r="A526" s="449">
        <f>D526+F526+H526+J526+L526+N526+P526+R526</f>
        <v>815.10911749999991</v>
      </c>
      <c r="B526" s="393">
        <f t="shared" si="436"/>
        <v>45993</v>
      </c>
      <c r="C526" s="396">
        <v>28912.48</v>
      </c>
      <c r="D526" s="114">
        <f t="shared" ref="D526" si="473">(C526*7.5%)/360</f>
        <v>6.0234333333333323</v>
      </c>
      <c r="E526" s="399">
        <v>3276014.44</v>
      </c>
      <c r="F526" s="114">
        <f t="shared" ref="F526" si="474">(E526*7.5%)/360</f>
        <v>682.50300833333324</v>
      </c>
      <c r="G526" s="396">
        <v>161226.91</v>
      </c>
      <c r="H526" s="114">
        <f t="shared" ref="H526" si="475">(G526*4.5%)/360</f>
        <v>20.15336375</v>
      </c>
      <c r="I526" s="399">
        <v>86445.86</v>
      </c>
      <c r="J526" s="114">
        <f t="shared" ref="J526" si="476">(I526*4.5%)/360</f>
        <v>10.8057325</v>
      </c>
      <c r="K526" s="396">
        <v>74648.59</v>
      </c>
      <c r="L526" s="114">
        <f t="shared" ref="L526" si="477">(K526*6.5%)/360</f>
        <v>13.478217638888887</v>
      </c>
      <c r="M526" s="396">
        <v>2696.67</v>
      </c>
      <c r="N526" s="114">
        <f t="shared" ref="N526" si="478">(M526*2.5%)/360</f>
        <v>0.18726875000000001</v>
      </c>
      <c r="O526" s="396">
        <v>88905.23</v>
      </c>
      <c r="P526" s="114">
        <f t="shared" ref="P526" si="479">(O526*6.5%)/360</f>
        <v>16.052333194444444</v>
      </c>
      <c r="Q526" s="396">
        <v>296575.92</v>
      </c>
      <c r="R526" s="398">
        <f t="shared" ref="R526" si="480">(Q526*8%)/360</f>
        <v>65.905760000000001</v>
      </c>
    </row>
    <row r="527" spans="1:18" x14ac:dyDescent="0.3">
      <c r="A527" s="449">
        <f>D527+F527+H527+J527+L527+N527+P527+R527</f>
        <v>1483.8591174999999</v>
      </c>
      <c r="B527" s="393">
        <f t="shared" si="436"/>
        <v>45994</v>
      </c>
      <c r="C527" s="396">
        <v>28912.48</v>
      </c>
      <c r="D527" s="114">
        <f t="shared" ref="D527" si="481">(C527*7.5%)/360</f>
        <v>6.0234333333333323</v>
      </c>
      <c r="E527" s="399">
        <v>6486014.4400000004</v>
      </c>
      <c r="F527" s="114">
        <f t="shared" ref="F527" si="482">(E527*7.5%)/360</f>
        <v>1351.2530083333334</v>
      </c>
      <c r="G527" s="396">
        <v>161226.91</v>
      </c>
      <c r="H527" s="114">
        <f t="shared" ref="H527" si="483">(G527*4.5%)/360</f>
        <v>20.15336375</v>
      </c>
      <c r="I527" s="399">
        <v>86445.86</v>
      </c>
      <c r="J527" s="114">
        <f t="shared" ref="J527" si="484">(I527*4.5%)/360</f>
        <v>10.8057325</v>
      </c>
      <c r="K527" s="396">
        <v>74648.59</v>
      </c>
      <c r="L527" s="114">
        <f t="shared" ref="L527" si="485">(K527*6.5%)/360</f>
        <v>13.478217638888887</v>
      </c>
      <c r="M527" s="396">
        <v>2696.67</v>
      </c>
      <c r="N527" s="114">
        <f t="shared" ref="N527" si="486">(M527*2.5%)/360</f>
        <v>0.18726875000000001</v>
      </c>
      <c r="O527" s="396">
        <v>88905.23</v>
      </c>
      <c r="P527" s="114">
        <f t="shared" ref="P527" si="487">(O527*6.5%)/360</f>
        <v>16.052333194444444</v>
      </c>
      <c r="Q527" s="396">
        <v>296575.92</v>
      </c>
      <c r="R527" s="398">
        <f t="shared" ref="R527" si="488">(Q527*8%)/360</f>
        <v>65.905760000000001</v>
      </c>
    </row>
    <row r="528" spans="1:18" x14ac:dyDescent="0.3">
      <c r="A528" s="449">
        <f>D528+F528+H528+J528+L528+N528+P528+R528</f>
        <v>1823.6938862499997</v>
      </c>
      <c r="B528" s="393">
        <f t="shared" si="436"/>
        <v>45995</v>
      </c>
      <c r="C528" s="396">
        <v>28912.48</v>
      </c>
      <c r="D528" s="114">
        <f t="shared" ref="D528" si="489">(C528*7.5%)/360</f>
        <v>6.0234333333333323</v>
      </c>
      <c r="E528" s="399">
        <v>8117221.3300000001</v>
      </c>
      <c r="F528" s="114">
        <f t="shared" ref="F528" si="490">(E528*7.5%)/360</f>
        <v>1691.0877770833331</v>
      </c>
      <c r="G528" s="396">
        <v>161226.91</v>
      </c>
      <c r="H528" s="114">
        <f t="shared" ref="H528" si="491">(G528*4.5%)/360</f>
        <v>20.15336375</v>
      </c>
      <c r="I528" s="399">
        <v>86445.86</v>
      </c>
      <c r="J528" s="114">
        <f t="shared" ref="J528" si="492">(I528*4.5%)/360</f>
        <v>10.8057325</v>
      </c>
      <c r="K528" s="396">
        <v>74648.59</v>
      </c>
      <c r="L528" s="114">
        <f t="shared" ref="L528" si="493">(K528*6.5%)/360</f>
        <v>13.478217638888887</v>
      </c>
      <c r="M528" s="396">
        <v>2696.67</v>
      </c>
      <c r="N528" s="114">
        <f t="shared" ref="N528" si="494">(M528*2.5%)/360</f>
        <v>0.18726875000000001</v>
      </c>
      <c r="O528" s="396">
        <v>88905.23</v>
      </c>
      <c r="P528" s="114">
        <f t="shared" ref="P528" si="495">(O528*6.5%)/360</f>
        <v>16.052333194444444</v>
      </c>
      <c r="Q528" s="396">
        <v>296575.92</v>
      </c>
      <c r="R528" s="398">
        <f t="shared" ref="R528" si="496">(Q528*8%)/360</f>
        <v>65.905760000000001</v>
      </c>
    </row>
    <row r="529" spans="1:18" x14ac:dyDescent="0.3">
      <c r="A529" s="449">
        <f t="shared" ref="A529:A531" si="497">D529+F529+H529+J529+L529+N529+P529+R529</f>
        <v>1899.545594583333</v>
      </c>
      <c r="B529" s="393">
        <f t="shared" si="436"/>
        <v>45996</v>
      </c>
      <c r="C529" s="396">
        <v>28912.48</v>
      </c>
      <c r="D529" s="114">
        <f t="shared" ref="D529:D531" si="498">(C529*7.5%)/360</f>
        <v>6.0234333333333323</v>
      </c>
      <c r="E529" s="399">
        <v>8481309.5299999993</v>
      </c>
      <c r="F529" s="114">
        <f t="shared" ref="F529:F531" si="499">(E529*7.5%)/360</f>
        <v>1766.9394854166665</v>
      </c>
      <c r="G529" s="396">
        <v>161226.91</v>
      </c>
      <c r="H529" s="114">
        <f t="shared" ref="H529:H531" si="500">(G529*4.5%)/360</f>
        <v>20.15336375</v>
      </c>
      <c r="I529" s="399">
        <v>86445.86</v>
      </c>
      <c r="J529" s="114">
        <f t="shared" ref="J529:J531" si="501">(I529*4.5%)/360</f>
        <v>10.8057325</v>
      </c>
      <c r="K529" s="396">
        <v>74648.59</v>
      </c>
      <c r="L529" s="114">
        <f t="shared" ref="L529:L531" si="502">(K529*6.5%)/360</f>
        <v>13.478217638888887</v>
      </c>
      <c r="M529" s="396">
        <v>2696.67</v>
      </c>
      <c r="N529" s="114">
        <f t="shared" ref="N529:N531" si="503">(M529*2.5%)/360</f>
        <v>0.18726875000000001</v>
      </c>
      <c r="O529" s="396">
        <v>88905.23</v>
      </c>
      <c r="P529" s="114">
        <f t="shared" ref="P529:P531" si="504">(O529*6.5%)/360</f>
        <v>16.052333194444444</v>
      </c>
      <c r="Q529" s="396">
        <v>296575.92</v>
      </c>
      <c r="R529" s="398">
        <f t="shared" ref="R529:R531" si="505">(Q529*8%)/360</f>
        <v>65.905760000000001</v>
      </c>
    </row>
    <row r="530" spans="1:18" x14ac:dyDescent="0.3">
      <c r="A530" s="449">
        <f t="shared" si="497"/>
        <v>1899.545594583333</v>
      </c>
      <c r="B530" s="393">
        <f t="shared" si="436"/>
        <v>45997</v>
      </c>
      <c r="C530" s="396">
        <v>28912.48</v>
      </c>
      <c r="D530" s="114">
        <f t="shared" si="498"/>
        <v>6.0234333333333323</v>
      </c>
      <c r="E530" s="399">
        <v>8481309.5299999993</v>
      </c>
      <c r="F530" s="114">
        <f t="shared" si="499"/>
        <v>1766.9394854166665</v>
      </c>
      <c r="G530" s="396">
        <v>161226.91</v>
      </c>
      <c r="H530" s="114">
        <f t="shared" si="500"/>
        <v>20.15336375</v>
      </c>
      <c r="I530" s="399">
        <v>86445.86</v>
      </c>
      <c r="J530" s="114">
        <f t="shared" si="501"/>
        <v>10.8057325</v>
      </c>
      <c r="K530" s="396">
        <v>74648.59</v>
      </c>
      <c r="L530" s="114">
        <f t="shared" si="502"/>
        <v>13.478217638888887</v>
      </c>
      <c r="M530" s="396">
        <v>2696.67</v>
      </c>
      <c r="N530" s="114">
        <f t="shared" si="503"/>
        <v>0.18726875000000001</v>
      </c>
      <c r="O530" s="396">
        <v>88905.23</v>
      </c>
      <c r="P530" s="114">
        <f t="shared" si="504"/>
        <v>16.052333194444444</v>
      </c>
      <c r="Q530" s="396">
        <v>296575.92</v>
      </c>
      <c r="R530" s="398">
        <f t="shared" si="505"/>
        <v>65.905760000000001</v>
      </c>
    </row>
    <row r="531" spans="1:18" x14ac:dyDescent="0.3">
      <c r="A531" s="449">
        <f t="shared" si="497"/>
        <v>1760.2716674999997</v>
      </c>
      <c r="B531" s="393">
        <f t="shared" si="436"/>
        <v>45998</v>
      </c>
      <c r="C531" s="396">
        <v>28912.48</v>
      </c>
      <c r="D531" s="114">
        <f t="shared" si="498"/>
        <v>6.0234333333333323</v>
      </c>
      <c r="E531" s="399">
        <v>7812794.6799999997</v>
      </c>
      <c r="F531" s="114">
        <f t="shared" si="499"/>
        <v>1627.6655583333331</v>
      </c>
      <c r="G531" s="396">
        <v>161226.91</v>
      </c>
      <c r="H531" s="114">
        <f t="shared" si="500"/>
        <v>20.15336375</v>
      </c>
      <c r="I531" s="399">
        <v>86445.86</v>
      </c>
      <c r="J531" s="114">
        <f t="shared" si="501"/>
        <v>10.8057325</v>
      </c>
      <c r="K531" s="396">
        <v>74648.59</v>
      </c>
      <c r="L531" s="114">
        <f t="shared" si="502"/>
        <v>13.478217638888887</v>
      </c>
      <c r="M531" s="396">
        <v>2696.67</v>
      </c>
      <c r="N531" s="114">
        <f t="shared" si="503"/>
        <v>0.18726875000000001</v>
      </c>
      <c r="O531" s="396">
        <v>88905.23</v>
      </c>
      <c r="P531" s="114">
        <f t="shared" si="504"/>
        <v>16.052333194444444</v>
      </c>
      <c r="Q531" s="396">
        <v>296575.92</v>
      </c>
      <c r="R531" s="398">
        <f t="shared" si="505"/>
        <v>65.905760000000001</v>
      </c>
    </row>
    <row r="532" spans="1:18" x14ac:dyDescent="0.3">
      <c r="A532" s="449">
        <f t="shared" ref="A532" si="506">D532+F532+H532+J532+L532+N532+P532+R532</f>
        <v>1567.2913674999998</v>
      </c>
      <c r="B532" s="393">
        <f t="shared" si="436"/>
        <v>45999</v>
      </c>
      <c r="C532" s="396">
        <v>28912.48</v>
      </c>
      <c r="D532" s="114">
        <f t="shared" ref="D532" si="507">(C532*7.5%)/360</f>
        <v>6.0234333333333323</v>
      </c>
      <c r="E532" s="399">
        <v>6863689.2400000002</v>
      </c>
      <c r="F532" s="114">
        <f t="shared" ref="F532" si="508">(E532*7.5%)/360</f>
        <v>1429.9352583333332</v>
      </c>
      <c r="G532" s="396">
        <v>199226.91</v>
      </c>
      <c r="H532" s="114">
        <f t="shared" ref="H532" si="509">(G532*4.5%)/360</f>
        <v>24.90336375</v>
      </c>
      <c r="I532" s="399">
        <v>86445.86</v>
      </c>
      <c r="J532" s="114">
        <f t="shared" ref="J532" si="510">(I532*4.5%)/360</f>
        <v>10.8057325</v>
      </c>
      <c r="K532" s="396">
        <v>74648.59</v>
      </c>
      <c r="L532" s="114">
        <f t="shared" ref="L532" si="511">(K532*6.5%)/360</f>
        <v>13.478217638888887</v>
      </c>
      <c r="M532" s="396">
        <v>2696.67</v>
      </c>
      <c r="N532" s="114">
        <f t="shared" ref="N532" si="512">(M532*2.5%)/360</f>
        <v>0.18726875000000001</v>
      </c>
      <c r="O532" s="396">
        <v>88905.23</v>
      </c>
      <c r="P532" s="114">
        <f t="shared" ref="P532" si="513">(O532*6.5%)/360</f>
        <v>16.052333194444444</v>
      </c>
      <c r="Q532" s="396">
        <v>296575.92</v>
      </c>
      <c r="R532" s="398">
        <f t="shared" ref="R532" si="514">(Q532*8%)/360</f>
        <v>65.905760000000001</v>
      </c>
    </row>
    <row r="533" spans="1:18" x14ac:dyDescent="0.3">
      <c r="A533" s="449">
        <f t="shared" ref="A533" si="515">D533+F533+H533+J533+L533+N533+P533+R533</f>
        <v>1567.2913674999998</v>
      </c>
      <c r="B533" s="393">
        <f t="shared" si="436"/>
        <v>46000</v>
      </c>
      <c r="C533" s="396">
        <v>28912.48</v>
      </c>
      <c r="D533" s="114">
        <f t="shared" ref="D533" si="516">(C533*7.5%)/360</f>
        <v>6.0234333333333323</v>
      </c>
      <c r="E533" s="399">
        <v>6863689.2400000002</v>
      </c>
      <c r="F533" s="114">
        <f t="shared" ref="F533" si="517">(E533*7.5%)/360</f>
        <v>1429.9352583333332</v>
      </c>
      <c r="G533" s="396">
        <v>199226.91</v>
      </c>
      <c r="H533" s="114">
        <f t="shared" ref="H533" si="518">(G533*4.5%)/360</f>
        <v>24.90336375</v>
      </c>
      <c r="I533" s="399">
        <v>86445.86</v>
      </c>
      <c r="J533" s="114">
        <f t="shared" ref="J533" si="519">(I533*4.5%)/360</f>
        <v>10.8057325</v>
      </c>
      <c r="K533" s="396">
        <v>74648.59</v>
      </c>
      <c r="L533" s="114">
        <f t="shared" ref="L533" si="520">(K533*6.5%)/360</f>
        <v>13.478217638888887</v>
      </c>
      <c r="M533" s="396">
        <v>2696.67</v>
      </c>
      <c r="N533" s="114">
        <f t="shared" ref="N533" si="521">(M533*2.5%)/360</f>
        <v>0.18726875000000001</v>
      </c>
      <c r="O533" s="396">
        <v>88905.23</v>
      </c>
      <c r="P533" s="114">
        <f t="shared" ref="P533" si="522">(O533*6.5%)/360</f>
        <v>16.052333194444444</v>
      </c>
      <c r="Q533" s="396">
        <v>296575.92</v>
      </c>
      <c r="R533" s="398">
        <f t="shared" ref="R533" si="523">(Q533*8%)/360</f>
        <v>65.905760000000001</v>
      </c>
    </row>
    <row r="534" spans="1:18" x14ac:dyDescent="0.3">
      <c r="A534" s="449">
        <f t="shared" ref="A534" si="524">D534+F534+H534+J534+L534+N534+P534+R534</f>
        <v>1076.4372008333335</v>
      </c>
      <c r="B534" s="393">
        <f t="shared" si="436"/>
        <v>46001</v>
      </c>
      <c r="C534" s="396">
        <v>72812.479999999996</v>
      </c>
      <c r="D534" s="114">
        <f t="shared" ref="D534" si="525">(C534*7.5%)/360</f>
        <v>15.169266666666665</v>
      </c>
      <c r="E534" s="399">
        <v>4463689.24</v>
      </c>
      <c r="F534" s="114">
        <f t="shared" ref="F534" si="526">(E534*7.5%)/360</f>
        <v>929.93525833333342</v>
      </c>
      <c r="G534" s="396">
        <v>199226.91</v>
      </c>
      <c r="H534" s="114">
        <f t="shared" ref="H534" si="527">(G534*4.5%)/360</f>
        <v>24.90336375</v>
      </c>
      <c r="I534" s="399">
        <v>86445.86</v>
      </c>
      <c r="J534" s="114">
        <f t="shared" ref="J534" si="528">(I534*4.5%)/360</f>
        <v>10.8057325</v>
      </c>
      <c r="K534" s="396">
        <v>74648.59</v>
      </c>
      <c r="L534" s="114">
        <f t="shared" ref="L534" si="529">(K534*6.5%)/360</f>
        <v>13.478217638888887</v>
      </c>
      <c r="M534" s="396">
        <v>2696.67</v>
      </c>
      <c r="N534" s="114">
        <f t="shared" ref="N534" si="530">(M534*2.5%)/360</f>
        <v>0.18726875000000001</v>
      </c>
      <c r="O534" s="396">
        <v>88905.23</v>
      </c>
      <c r="P534" s="114">
        <f t="shared" ref="P534" si="531">(O534*6.5%)/360</f>
        <v>16.052333194444444</v>
      </c>
      <c r="Q534" s="396">
        <v>296575.92</v>
      </c>
      <c r="R534" s="398">
        <f t="shared" ref="R534" si="532">(Q534*8%)/360</f>
        <v>65.905760000000001</v>
      </c>
    </row>
    <row r="535" spans="1:18" x14ac:dyDescent="0.3">
      <c r="A535" s="449">
        <f t="shared" ref="A535" si="533">D535+F535+H535+J535+L535+N535+P535+R535</f>
        <v>1014.9506091666667</v>
      </c>
      <c r="B535" s="393">
        <f t="shared" si="436"/>
        <v>46002</v>
      </c>
      <c r="C535" s="396">
        <v>72812.479999999996</v>
      </c>
      <c r="D535" s="114">
        <f t="shared" ref="D535" si="534">(C535*7.5%)/360</f>
        <v>15.169266666666665</v>
      </c>
      <c r="E535" s="399">
        <v>4165553.6</v>
      </c>
      <c r="F535" s="114">
        <f t="shared" ref="F535" si="535">(E535*7.5%)/360</f>
        <v>867.82366666666667</v>
      </c>
      <c r="G535" s="396">
        <v>204226.91</v>
      </c>
      <c r="H535" s="114">
        <f t="shared" ref="H535" si="536">(G535*4.5%)/360</f>
        <v>25.52836375</v>
      </c>
      <c r="I535" s="399">
        <v>86445.86</v>
      </c>
      <c r="J535" s="114">
        <f t="shared" ref="J535" si="537">(I535*4.5%)/360</f>
        <v>10.8057325</v>
      </c>
      <c r="K535" s="396">
        <v>74648.59</v>
      </c>
      <c r="L535" s="114">
        <f t="shared" ref="L535" si="538">(K535*6.5%)/360</f>
        <v>13.478217638888887</v>
      </c>
      <c r="M535" s="396">
        <v>2696.67</v>
      </c>
      <c r="N535" s="114">
        <f t="shared" ref="N535" si="539">(M535*2.5%)/360</f>
        <v>0.18726875000000001</v>
      </c>
      <c r="O535" s="396">
        <v>88905.23</v>
      </c>
      <c r="P535" s="114">
        <f t="shared" ref="P535" si="540">(O535*6.5%)/360</f>
        <v>16.052333194444444</v>
      </c>
      <c r="Q535" s="396">
        <v>296575.92</v>
      </c>
      <c r="R535" s="398">
        <f t="shared" ref="R535" si="541">(Q535*8%)/360</f>
        <v>65.905760000000001</v>
      </c>
    </row>
    <row r="536" spans="1:18" x14ac:dyDescent="0.3">
      <c r="A536" s="449">
        <f t="shared" ref="A536" si="542">D536+F536+H536+J536+L536+N536+P536+R536</f>
        <v>1014.9506091666667</v>
      </c>
      <c r="B536" s="393">
        <f t="shared" si="436"/>
        <v>46003</v>
      </c>
      <c r="C536" s="396">
        <v>72812.479999999996</v>
      </c>
      <c r="D536" s="114">
        <f t="shared" ref="D536" si="543">(C536*7.5%)/360</f>
        <v>15.169266666666665</v>
      </c>
      <c r="E536" s="399">
        <v>4165553.6</v>
      </c>
      <c r="F536" s="114">
        <f t="shared" ref="F536" si="544">(E536*7.5%)/360</f>
        <v>867.82366666666667</v>
      </c>
      <c r="G536" s="396">
        <v>204226.91</v>
      </c>
      <c r="H536" s="114">
        <f t="shared" ref="H536" si="545">(G536*4.5%)/360</f>
        <v>25.52836375</v>
      </c>
      <c r="I536" s="399">
        <v>86445.86</v>
      </c>
      <c r="J536" s="114">
        <f t="shared" ref="J536" si="546">(I536*4.5%)/360</f>
        <v>10.8057325</v>
      </c>
      <c r="K536" s="396">
        <v>74648.59</v>
      </c>
      <c r="L536" s="114">
        <f t="shared" ref="L536" si="547">(K536*6.5%)/360</f>
        <v>13.478217638888887</v>
      </c>
      <c r="M536" s="396">
        <v>2696.67</v>
      </c>
      <c r="N536" s="114">
        <f t="shared" ref="N536" si="548">(M536*2.5%)/360</f>
        <v>0.18726875000000001</v>
      </c>
      <c r="O536" s="396">
        <v>88905.23</v>
      </c>
      <c r="P536" s="114">
        <f t="shared" ref="P536" si="549">(O536*6.5%)/360</f>
        <v>16.052333194444444</v>
      </c>
      <c r="Q536" s="396">
        <v>296575.92</v>
      </c>
      <c r="R536" s="398">
        <f t="shared" ref="R536" si="550">(Q536*8%)/360</f>
        <v>65.905760000000001</v>
      </c>
    </row>
    <row r="537" spans="1:18" x14ac:dyDescent="0.3">
      <c r="A537" s="449">
        <f t="shared" ref="A537" si="551">D537+F537+H537+J537+L537+N537+P537+R537</f>
        <v>1014.9506091666667</v>
      </c>
      <c r="B537" s="393">
        <f t="shared" si="436"/>
        <v>46004</v>
      </c>
      <c r="C537" s="396">
        <v>72812.479999999996</v>
      </c>
      <c r="D537" s="114">
        <f t="shared" ref="D537" si="552">(C537*7.5%)/360</f>
        <v>15.169266666666665</v>
      </c>
      <c r="E537" s="399">
        <v>4165553.6</v>
      </c>
      <c r="F537" s="114">
        <f t="shared" ref="F537" si="553">(E537*7.5%)/360</f>
        <v>867.82366666666667</v>
      </c>
      <c r="G537" s="396">
        <v>204226.91</v>
      </c>
      <c r="H537" s="114">
        <f t="shared" ref="H537" si="554">(G537*4.5%)/360</f>
        <v>25.52836375</v>
      </c>
      <c r="I537" s="399">
        <v>86445.86</v>
      </c>
      <c r="J537" s="114">
        <f t="shared" ref="J537" si="555">(I537*4.5%)/360</f>
        <v>10.8057325</v>
      </c>
      <c r="K537" s="396">
        <v>74648.59</v>
      </c>
      <c r="L537" s="114">
        <f t="shared" ref="L537" si="556">(K537*6.5%)/360</f>
        <v>13.478217638888887</v>
      </c>
      <c r="M537" s="396">
        <v>2696.67</v>
      </c>
      <c r="N537" s="114">
        <f t="shared" ref="N537" si="557">(M537*2.5%)/360</f>
        <v>0.18726875000000001</v>
      </c>
      <c r="O537" s="396">
        <v>88905.23</v>
      </c>
      <c r="P537" s="114">
        <f t="shared" ref="P537" si="558">(O537*6.5%)/360</f>
        <v>16.052333194444444</v>
      </c>
      <c r="Q537" s="396">
        <v>296575.92</v>
      </c>
      <c r="R537" s="398">
        <f t="shared" ref="R537" si="559">(Q537*8%)/360</f>
        <v>65.905760000000001</v>
      </c>
    </row>
    <row r="538" spans="1:18" x14ac:dyDescent="0.3">
      <c r="A538" s="449">
        <f t="shared" ref="A538" si="560">D538+F538+H538+J538+L538+N538+P538+R538</f>
        <v>1135.1711299999999</v>
      </c>
      <c r="B538" s="393">
        <f t="shared" si="436"/>
        <v>46005</v>
      </c>
      <c r="C538" s="396">
        <v>72812.479999999996</v>
      </c>
      <c r="D538" s="114">
        <f t="shared" ref="D538" si="561">(C538*7.5%)/360</f>
        <v>15.169266666666665</v>
      </c>
      <c r="E538" s="399">
        <v>4742612.0999999996</v>
      </c>
      <c r="F538" s="114">
        <f t="shared" ref="F538" si="562">(E538*7.5%)/360</f>
        <v>988.04418749999991</v>
      </c>
      <c r="G538" s="396">
        <v>204226.91</v>
      </c>
      <c r="H538" s="114">
        <f t="shared" ref="H538" si="563">(G538*4.5%)/360</f>
        <v>25.52836375</v>
      </c>
      <c r="I538" s="399">
        <v>86445.86</v>
      </c>
      <c r="J538" s="114">
        <f t="shared" ref="J538" si="564">(I538*4.5%)/360</f>
        <v>10.8057325</v>
      </c>
      <c r="K538" s="396">
        <v>74648.59</v>
      </c>
      <c r="L538" s="114">
        <f t="shared" ref="L538" si="565">(K538*6.5%)/360</f>
        <v>13.478217638888887</v>
      </c>
      <c r="M538" s="396">
        <v>2696.67</v>
      </c>
      <c r="N538" s="114">
        <f t="shared" ref="N538" si="566">(M538*2.5%)/360</f>
        <v>0.18726875000000001</v>
      </c>
      <c r="O538" s="396">
        <v>88905.23</v>
      </c>
      <c r="P538" s="114">
        <f t="shared" ref="P538" si="567">(O538*6.5%)/360</f>
        <v>16.052333194444444</v>
      </c>
      <c r="Q538" s="396">
        <v>296575.92</v>
      </c>
      <c r="R538" s="398">
        <f t="shared" ref="R538" si="568">(Q538*8%)/360</f>
        <v>65.905760000000001</v>
      </c>
    </row>
    <row r="539" spans="1:18" x14ac:dyDescent="0.3">
      <c r="A539" s="449">
        <f t="shared" ref="A539" si="569">D539+F539+H539+J539+L539+N539+P539+R539</f>
        <v>747.66063208333333</v>
      </c>
      <c r="B539" s="393">
        <f t="shared" si="436"/>
        <v>46006</v>
      </c>
      <c r="C539" s="396">
        <v>72812.479999999996</v>
      </c>
      <c r="D539" s="114">
        <f t="shared" ref="D539" si="570">(C539*7.5%)/360</f>
        <v>15.169266666666665</v>
      </c>
      <c r="E539" s="399">
        <v>2882561.71</v>
      </c>
      <c r="F539" s="114">
        <f t="shared" ref="F539" si="571">(E539*7.5%)/360</f>
        <v>600.53368958333328</v>
      </c>
      <c r="G539" s="396">
        <v>204226.91</v>
      </c>
      <c r="H539" s="114">
        <f t="shared" ref="H539" si="572">(G539*4.5%)/360</f>
        <v>25.52836375</v>
      </c>
      <c r="I539" s="399">
        <v>86445.86</v>
      </c>
      <c r="J539" s="114">
        <f t="shared" ref="J539" si="573">(I539*4.5%)/360</f>
        <v>10.8057325</v>
      </c>
      <c r="K539" s="396">
        <v>74648.59</v>
      </c>
      <c r="L539" s="114">
        <f t="shared" ref="L539" si="574">(K539*6.5%)/360</f>
        <v>13.478217638888887</v>
      </c>
      <c r="M539" s="396">
        <v>2696.67</v>
      </c>
      <c r="N539" s="114">
        <f t="shared" ref="N539" si="575">(M539*2.5%)/360</f>
        <v>0.18726875000000001</v>
      </c>
      <c r="O539" s="396">
        <v>88905.23</v>
      </c>
      <c r="P539" s="114">
        <f t="shared" ref="P539" si="576">(O539*6.5%)/360</f>
        <v>16.052333194444444</v>
      </c>
      <c r="Q539" s="396">
        <v>296575.92</v>
      </c>
      <c r="R539" s="398">
        <f t="shared" ref="R539" si="577">(Q539*8%)/360</f>
        <v>65.905760000000001</v>
      </c>
    </row>
    <row r="540" spans="1:18" x14ac:dyDescent="0.3">
      <c r="A540" s="449">
        <f t="shared" ref="A540" si="578">D540+F540+H540+J540+L540+N540+P540+R540</f>
        <v>747.66063208333333</v>
      </c>
      <c r="B540" s="393">
        <f t="shared" si="436"/>
        <v>46007</v>
      </c>
      <c r="C540" s="396">
        <v>72812.479999999996</v>
      </c>
      <c r="D540" s="114">
        <f t="shared" ref="D540" si="579">(C540*7.5%)/360</f>
        <v>15.169266666666665</v>
      </c>
      <c r="E540" s="399">
        <v>2882561.71</v>
      </c>
      <c r="F540" s="114">
        <f t="shared" ref="F540" si="580">(E540*7.5%)/360</f>
        <v>600.53368958333328</v>
      </c>
      <c r="G540" s="396">
        <v>204226.91</v>
      </c>
      <c r="H540" s="114">
        <f t="shared" ref="H540" si="581">(G540*4.5%)/360</f>
        <v>25.52836375</v>
      </c>
      <c r="I540" s="399">
        <v>86445.86</v>
      </c>
      <c r="J540" s="114">
        <f t="shared" ref="J540" si="582">(I540*4.5%)/360</f>
        <v>10.8057325</v>
      </c>
      <c r="K540" s="396">
        <v>74648.59</v>
      </c>
      <c r="L540" s="114">
        <f t="shared" ref="L540" si="583">(K540*6.5%)/360</f>
        <v>13.478217638888887</v>
      </c>
      <c r="M540" s="396">
        <v>2696.67</v>
      </c>
      <c r="N540" s="114">
        <f t="shared" ref="N540" si="584">(M540*2.5%)/360</f>
        <v>0.18726875000000001</v>
      </c>
      <c r="O540" s="396">
        <v>88905.23</v>
      </c>
      <c r="P540" s="114">
        <f t="shared" ref="P540" si="585">(O540*6.5%)/360</f>
        <v>16.052333194444444</v>
      </c>
      <c r="Q540" s="396">
        <v>296575.92</v>
      </c>
      <c r="R540" s="398">
        <f t="shared" ref="R540" si="586">(Q540*8%)/360</f>
        <v>65.905760000000001</v>
      </c>
    </row>
    <row r="541" spans="1:18" x14ac:dyDescent="0.3">
      <c r="A541" s="449">
        <f t="shared" ref="A541" si="587">D541+F541+H541+J541+L541+N541+P541+R541</f>
        <v>747.66063208333333</v>
      </c>
      <c r="B541" s="393">
        <f t="shared" si="436"/>
        <v>46008</v>
      </c>
      <c r="C541" s="396">
        <v>72812.479999999996</v>
      </c>
      <c r="D541" s="114">
        <f t="shared" ref="D541" si="588">(C541*7.5%)/360</f>
        <v>15.169266666666665</v>
      </c>
      <c r="E541" s="399">
        <v>2882561.71</v>
      </c>
      <c r="F541" s="114">
        <f t="shared" ref="F541" si="589">(E541*7.5%)/360</f>
        <v>600.53368958333328</v>
      </c>
      <c r="G541" s="396">
        <v>204226.91</v>
      </c>
      <c r="H541" s="114">
        <f t="shared" ref="H541" si="590">(G541*4.5%)/360</f>
        <v>25.52836375</v>
      </c>
      <c r="I541" s="399">
        <v>86445.86</v>
      </c>
      <c r="J541" s="114">
        <f t="shared" ref="J541" si="591">(I541*4.5%)/360</f>
        <v>10.8057325</v>
      </c>
      <c r="K541" s="396">
        <v>74648.59</v>
      </c>
      <c r="L541" s="114">
        <f t="shared" ref="L541" si="592">(K541*6.5%)/360</f>
        <v>13.478217638888887</v>
      </c>
      <c r="M541" s="396">
        <v>2696.67</v>
      </c>
      <c r="N541" s="114">
        <f t="shared" ref="N541" si="593">(M541*2.5%)/360</f>
        <v>0.18726875000000001</v>
      </c>
      <c r="O541" s="396">
        <v>88905.23</v>
      </c>
      <c r="P541" s="114">
        <f t="shared" ref="P541" si="594">(O541*6.5%)/360</f>
        <v>16.052333194444444</v>
      </c>
      <c r="Q541" s="396">
        <v>296575.92</v>
      </c>
      <c r="R541" s="398">
        <f t="shared" ref="R541" si="595">(Q541*8%)/360</f>
        <v>65.905760000000001</v>
      </c>
    </row>
    <row r="542" spans="1:18" x14ac:dyDescent="0.3">
      <c r="A542" s="449">
        <f t="shared" ref="A542" si="596">D542+F542+H542+J542+L542+N542+P542+R542</f>
        <v>687.85153833333334</v>
      </c>
      <c r="B542" s="393">
        <f t="shared" si="436"/>
        <v>46009</v>
      </c>
      <c r="C542" s="396">
        <v>85128.83</v>
      </c>
      <c r="D542" s="114">
        <f t="shared" ref="D542" si="597">(C542*7.5%)/360</f>
        <v>17.735172916666667</v>
      </c>
      <c r="E542" s="399">
        <v>2582561.71</v>
      </c>
      <c r="F542" s="114">
        <f t="shared" ref="F542" si="598">(E542*7.5%)/360</f>
        <v>538.03368958333328</v>
      </c>
      <c r="G542" s="396">
        <v>205226.91</v>
      </c>
      <c r="H542" s="114">
        <f t="shared" ref="H542" si="599">(G542*4.5%)/360</f>
        <v>25.65336375</v>
      </c>
      <c r="I542" s="399">
        <v>86445.86</v>
      </c>
      <c r="J542" s="114">
        <f t="shared" ref="J542" si="600">(I542*4.5%)/360</f>
        <v>10.8057325</v>
      </c>
      <c r="K542" s="396">
        <v>74648.59</v>
      </c>
      <c r="L542" s="114">
        <f t="shared" ref="L542" si="601">(K542*6.5%)/360</f>
        <v>13.478217638888887</v>
      </c>
      <c r="M542" s="396">
        <v>2696.67</v>
      </c>
      <c r="N542" s="114">
        <f t="shared" ref="N542" si="602">(M542*2.5%)/360</f>
        <v>0.18726875000000001</v>
      </c>
      <c r="O542" s="396">
        <v>88905.23</v>
      </c>
      <c r="P542" s="114">
        <f t="shared" ref="P542" si="603">(O542*6.5%)/360</f>
        <v>16.052333194444444</v>
      </c>
      <c r="Q542" s="396">
        <v>296575.92</v>
      </c>
      <c r="R542" s="398">
        <f t="shared" ref="R542" si="604">(Q542*8%)/360</f>
        <v>65.905760000000001</v>
      </c>
    </row>
    <row r="543" spans="1:18" x14ac:dyDescent="0.3">
      <c r="A543" s="449">
        <f t="shared" ref="A543" si="605">D543+F543+H543+J543+L543+N543+P543+R543</f>
        <v>817.49907166666674</v>
      </c>
      <c r="B543" s="393">
        <f t="shared" si="436"/>
        <v>46010</v>
      </c>
      <c r="C543" s="396">
        <v>85128.83</v>
      </c>
      <c r="D543" s="114">
        <f t="shared" ref="D543" si="606">(C543*7.5%)/360</f>
        <v>17.735172916666667</v>
      </c>
      <c r="E543" s="399">
        <v>3204869.87</v>
      </c>
      <c r="F543" s="114">
        <f t="shared" ref="F543" si="607">(E543*7.5%)/360</f>
        <v>667.68122291666668</v>
      </c>
      <c r="G543" s="396">
        <v>205226.91</v>
      </c>
      <c r="H543" s="114">
        <f t="shared" ref="H543" si="608">(G543*4.5%)/360</f>
        <v>25.65336375</v>
      </c>
      <c r="I543" s="399">
        <v>86445.86</v>
      </c>
      <c r="J543" s="114">
        <f t="shared" ref="J543" si="609">(I543*4.5%)/360</f>
        <v>10.8057325</v>
      </c>
      <c r="K543" s="396">
        <v>74648.59</v>
      </c>
      <c r="L543" s="114">
        <f t="shared" ref="L543" si="610">(K543*6.5%)/360</f>
        <v>13.478217638888887</v>
      </c>
      <c r="M543" s="396">
        <v>2696.67</v>
      </c>
      <c r="N543" s="114">
        <f t="shared" ref="N543" si="611">(M543*2.5%)/360</f>
        <v>0.18726875000000001</v>
      </c>
      <c r="O543" s="396">
        <v>88905.23</v>
      </c>
      <c r="P543" s="114">
        <f t="shared" ref="P543" si="612">(O543*6.5%)/360</f>
        <v>16.052333194444444</v>
      </c>
      <c r="Q543" s="396">
        <v>296575.92</v>
      </c>
      <c r="R543" s="398">
        <f t="shared" ref="R543" si="613">(Q543*8%)/360</f>
        <v>65.905760000000001</v>
      </c>
    </row>
    <row r="544" spans="1:18" x14ac:dyDescent="0.3">
      <c r="A544" s="449">
        <f t="shared" ref="A544" si="614">D544+F544+H544+J544+L544+N544+P544+R544</f>
        <v>817.49907166666674</v>
      </c>
      <c r="B544" s="393">
        <f t="shared" si="436"/>
        <v>46011</v>
      </c>
      <c r="C544" s="396">
        <v>85128.83</v>
      </c>
      <c r="D544" s="114">
        <f t="shared" ref="D544" si="615">(C544*7.5%)/360</f>
        <v>17.735172916666667</v>
      </c>
      <c r="E544" s="399">
        <v>3204869.87</v>
      </c>
      <c r="F544" s="114">
        <f t="shared" ref="F544" si="616">(E544*7.5%)/360</f>
        <v>667.68122291666668</v>
      </c>
      <c r="G544" s="396">
        <v>205226.91</v>
      </c>
      <c r="H544" s="114">
        <f t="shared" ref="H544" si="617">(G544*4.5%)/360</f>
        <v>25.65336375</v>
      </c>
      <c r="I544" s="399">
        <v>86445.86</v>
      </c>
      <c r="J544" s="114">
        <f t="shared" ref="J544" si="618">(I544*4.5%)/360</f>
        <v>10.8057325</v>
      </c>
      <c r="K544" s="396">
        <v>74648.59</v>
      </c>
      <c r="L544" s="114">
        <f t="shared" ref="L544" si="619">(K544*6.5%)/360</f>
        <v>13.478217638888887</v>
      </c>
      <c r="M544" s="396">
        <v>2696.67</v>
      </c>
      <c r="N544" s="114">
        <f t="shared" ref="N544" si="620">(M544*2.5%)/360</f>
        <v>0.18726875000000001</v>
      </c>
      <c r="O544" s="396">
        <v>88905.23</v>
      </c>
      <c r="P544" s="114">
        <f t="shared" ref="P544" si="621">(O544*6.5%)/360</f>
        <v>16.052333194444444</v>
      </c>
      <c r="Q544" s="396">
        <v>296575.92</v>
      </c>
      <c r="R544" s="398">
        <f t="shared" ref="R544" si="622">(Q544*8%)/360</f>
        <v>65.905760000000001</v>
      </c>
    </row>
    <row r="545" spans="1:18" x14ac:dyDescent="0.3">
      <c r="A545" s="449">
        <f t="shared" ref="A545" si="623">D545+F545+H545+J545+L545+N545+P545+R545</f>
        <v>592.44659250000007</v>
      </c>
      <c r="B545" s="393">
        <f t="shared" si="436"/>
        <v>46012</v>
      </c>
      <c r="C545" s="396">
        <v>85128.83</v>
      </c>
      <c r="D545" s="114">
        <f t="shared" ref="D545" si="624">(C545*7.5%)/360</f>
        <v>17.735172916666667</v>
      </c>
      <c r="E545" s="399">
        <v>2124617.9700000002</v>
      </c>
      <c r="F545" s="114">
        <f t="shared" ref="F545" si="625">(E545*7.5%)/360</f>
        <v>442.62874375000007</v>
      </c>
      <c r="G545" s="396">
        <v>205226.91</v>
      </c>
      <c r="H545" s="114">
        <f t="shared" ref="H545" si="626">(G545*4.5%)/360</f>
        <v>25.65336375</v>
      </c>
      <c r="I545" s="399">
        <v>86445.86</v>
      </c>
      <c r="J545" s="114">
        <f t="shared" ref="J545" si="627">(I545*4.5%)/360</f>
        <v>10.8057325</v>
      </c>
      <c r="K545" s="396">
        <v>74648.59</v>
      </c>
      <c r="L545" s="114">
        <f t="shared" ref="L545" si="628">(K545*6.5%)/360</f>
        <v>13.478217638888887</v>
      </c>
      <c r="M545" s="396">
        <v>2696.67</v>
      </c>
      <c r="N545" s="114">
        <f t="shared" ref="N545" si="629">(M545*2.5%)/360</f>
        <v>0.18726875000000001</v>
      </c>
      <c r="O545" s="396">
        <v>88905.23</v>
      </c>
      <c r="P545" s="114">
        <f t="shared" ref="P545" si="630">(O545*6.5%)/360</f>
        <v>16.052333194444444</v>
      </c>
      <c r="Q545" s="396">
        <v>296575.92</v>
      </c>
      <c r="R545" s="398">
        <f t="shared" ref="R545" si="631">(Q545*8%)/360</f>
        <v>65.905760000000001</v>
      </c>
    </row>
    <row r="546" spans="1:18" x14ac:dyDescent="0.3">
      <c r="A546" s="449">
        <f t="shared" ref="A546" si="632">D546+F546+H546+J546+L546+N546+P546+R546</f>
        <v>414.67860499999995</v>
      </c>
      <c r="B546" s="393">
        <f t="shared" si="436"/>
        <v>46013</v>
      </c>
      <c r="C546" s="396">
        <v>385353.83</v>
      </c>
      <c r="D546" s="114">
        <f t="shared" ref="D546" si="633">(C546*7.5%)/360</f>
        <v>80.28204791666667</v>
      </c>
      <c r="E546" s="399">
        <v>971106.63</v>
      </c>
      <c r="F546" s="114">
        <f t="shared" ref="F546" si="634">(E546*7.5%)/360</f>
        <v>202.31388125000001</v>
      </c>
      <c r="G546" s="396">
        <v>205226.91</v>
      </c>
      <c r="H546" s="114">
        <f t="shared" ref="H546" si="635">(G546*4.5%)/360</f>
        <v>25.65336375</v>
      </c>
      <c r="I546" s="399">
        <v>86445.86</v>
      </c>
      <c r="J546" s="114">
        <f t="shared" ref="J546" si="636">(I546*4.5%)/360</f>
        <v>10.8057325</v>
      </c>
      <c r="K546" s="396">
        <v>74648.59</v>
      </c>
      <c r="L546" s="114">
        <f t="shared" ref="L546" si="637">(K546*6.5%)/360</f>
        <v>13.478217638888887</v>
      </c>
      <c r="M546" s="396">
        <v>2696.67</v>
      </c>
      <c r="N546" s="114">
        <f t="shared" ref="N546" si="638">(M546*2.5%)/360</f>
        <v>0.18726875000000001</v>
      </c>
      <c r="O546" s="396">
        <v>88905.23</v>
      </c>
      <c r="P546" s="114">
        <f t="shared" ref="P546" si="639">(O546*6.5%)/360</f>
        <v>16.052333194444444</v>
      </c>
      <c r="Q546" s="396">
        <v>296575.92</v>
      </c>
      <c r="R546" s="398">
        <f t="shared" ref="R546" si="640">(Q546*8%)/360</f>
        <v>65.905760000000001</v>
      </c>
    </row>
    <row r="547" spans="1:18" x14ac:dyDescent="0.3">
      <c r="A547" s="449">
        <f t="shared" ref="A547" si="641">D547+F547+H547+J547+L547+N547+P547+R547</f>
        <v>669.65964666666673</v>
      </c>
      <c r="B547" s="393">
        <f t="shared" si="436"/>
        <v>46014</v>
      </c>
      <c r="C547" s="396">
        <v>1610762.83</v>
      </c>
      <c r="D547" s="114">
        <f t="shared" ref="D547" si="642">(C547*7.5%)/360</f>
        <v>335.57558958333334</v>
      </c>
      <c r="E547" s="399">
        <v>969606.63</v>
      </c>
      <c r="F547" s="114">
        <f t="shared" ref="F547" si="643">(E547*7.5%)/360</f>
        <v>202.00138125000001</v>
      </c>
      <c r="G547" s="396">
        <v>205226.91</v>
      </c>
      <c r="H547" s="114">
        <f t="shared" ref="H547" si="644">(G547*4.5%)/360</f>
        <v>25.65336375</v>
      </c>
      <c r="I547" s="399">
        <v>86445.86</v>
      </c>
      <c r="J547" s="114">
        <f t="shared" ref="J547" si="645">(I547*4.5%)/360</f>
        <v>10.8057325</v>
      </c>
      <c r="K547" s="396">
        <v>74648.59</v>
      </c>
      <c r="L547" s="114">
        <f t="shared" ref="L547" si="646">(K547*6.5%)/360</f>
        <v>13.478217638888887</v>
      </c>
      <c r="M547" s="396">
        <v>2696.67</v>
      </c>
      <c r="N547" s="114">
        <f t="shared" ref="N547" si="647">(M547*2.5%)/360</f>
        <v>0.18726875000000001</v>
      </c>
      <c r="O547" s="396">
        <v>88905.23</v>
      </c>
      <c r="P547" s="114">
        <f t="shared" ref="P547" si="648">(O547*6.5%)/360</f>
        <v>16.052333194444444</v>
      </c>
      <c r="Q547" s="396">
        <v>296575.92</v>
      </c>
      <c r="R547" s="398">
        <f t="shared" ref="R547" si="649">(Q547*8%)/360</f>
        <v>65.905760000000001</v>
      </c>
    </row>
    <row r="548" spans="1:18" x14ac:dyDescent="0.3">
      <c r="A548" s="449">
        <f t="shared" ref="A548" si="650">D548+F548+H548+J548+L548+N548+P548+R548</f>
        <v>688.09506333333331</v>
      </c>
      <c r="B548" s="393">
        <f t="shared" si="436"/>
        <v>46015</v>
      </c>
      <c r="C548" s="396">
        <v>1699252.83</v>
      </c>
      <c r="D548" s="114">
        <f t="shared" ref="D548" si="651">(C548*7.5%)/360</f>
        <v>354.01100624999998</v>
      </c>
      <c r="E548" s="399">
        <v>969606.63</v>
      </c>
      <c r="F548" s="114">
        <f t="shared" ref="F548" si="652">(E548*7.5%)/360</f>
        <v>202.00138125000001</v>
      </c>
      <c r="G548" s="396">
        <v>205226.91</v>
      </c>
      <c r="H548" s="114">
        <f t="shared" ref="H548" si="653">(G548*4.5%)/360</f>
        <v>25.65336375</v>
      </c>
      <c r="I548" s="399">
        <v>86445.86</v>
      </c>
      <c r="J548" s="114">
        <f t="shared" ref="J548" si="654">(I548*4.5%)/360</f>
        <v>10.8057325</v>
      </c>
      <c r="K548" s="396">
        <v>74648.59</v>
      </c>
      <c r="L548" s="114">
        <f t="shared" ref="L548" si="655">(K548*6.5%)/360</f>
        <v>13.478217638888887</v>
      </c>
      <c r="M548" s="396">
        <v>2696.67</v>
      </c>
      <c r="N548" s="114">
        <f t="shared" ref="N548" si="656">(M548*2.5%)/360</f>
        <v>0.18726875000000001</v>
      </c>
      <c r="O548" s="396">
        <v>88905.23</v>
      </c>
      <c r="P548" s="114">
        <f t="shared" ref="P548" si="657">(O548*6.5%)/360</f>
        <v>16.052333194444444</v>
      </c>
      <c r="Q548" s="396">
        <v>296575.92</v>
      </c>
      <c r="R548" s="398">
        <f t="shared" ref="R548" si="658">(Q548*8%)/360</f>
        <v>65.905760000000001</v>
      </c>
    </row>
    <row r="549" spans="1:18" x14ac:dyDescent="0.3">
      <c r="A549" s="449">
        <f t="shared" ref="A549:A552" si="659">D549+F549+H549+J549+L549+N549+P549+R549</f>
        <v>688.09506333333331</v>
      </c>
      <c r="B549" s="393">
        <f t="shared" si="436"/>
        <v>46016</v>
      </c>
      <c r="C549" s="396">
        <v>1699252.83</v>
      </c>
      <c r="D549" s="114">
        <f t="shared" ref="D549:D552" si="660">(C549*7.5%)/360</f>
        <v>354.01100624999998</v>
      </c>
      <c r="E549" s="399">
        <v>969606.63</v>
      </c>
      <c r="F549" s="114">
        <f t="shared" ref="F549:F552" si="661">(E549*7.5%)/360</f>
        <v>202.00138125000001</v>
      </c>
      <c r="G549" s="396">
        <v>205226.91</v>
      </c>
      <c r="H549" s="114">
        <f t="shared" ref="H549:H552" si="662">(G549*4.5%)/360</f>
        <v>25.65336375</v>
      </c>
      <c r="I549" s="399">
        <v>86445.86</v>
      </c>
      <c r="J549" s="114">
        <f t="shared" ref="J549:J552" si="663">(I549*4.5%)/360</f>
        <v>10.8057325</v>
      </c>
      <c r="K549" s="396">
        <v>74648.59</v>
      </c>
      <c r="L549" s="114">
        <f t="shared" ref="L549:L552" si="664">(K549*6.5%)/360</f>
        <v>13.478217638888887</v>
      </c>
      <c r="M549" s="396">
        <v>2696.67</v>
      </c>
      <c r="N549" s="114">
        <f t="shared" ref="N549:N552" si="665">(M549*2.5%)/360</f>
        <v>0.18726875000000001</v>
      </c>
      <c r="O549" s="396">
        <v>88905.23</v>
      </c>
      <c r="P549" s="114">
        <f t="shared" ref="P549:P552" si="666">(O549*6.5%)/360</f>
        <v>16.052333194444444</v>
      </c>
      <c r="Q549" s="396">
        <v>296575.92</v>
      </c>
      <c r="R549" s="398">
        <f t="shared" ref="R549:R552" si="667">(Q549*8%)/360</f>
        <v>65.905760000000001</v>
      </c>
    </row>
    <row r="550" spans="1:18" x14ac:dyDescent="0.3">
      <c r="A550" s="449">
        <f t="shared" si="659"/>
        <v>688.09506333333331</v>
      </c>
      <c r="B550" s="393">
        <f t="shared" si="436"/>
        <v>46017</v>
      </c>
      <c r="C550" s="396">
        <v>1699252.83</v>
      </c>
      <c r="D550" s="114">
        <f t="shared" si="660"/>
        <v>354.01100624999998</v>
      </c>
      <c r="E550" s="399">
        <v>969606.63</v>
      </c>
      <c r="F550" s="114">
        <f t="shared" si="661"/>
        <v>202.00138125000001</v>
      </c>
      <c r="G550" s="396">
        <v>205226.91</v>
      </c>
      <c r="H550" s="114">
        <f t="shared" si="662"/>
        <v>25.65336375</v>
      </c>
      <c r="I550" s="399">
        <v>86445.86</v>
      </c>
      <c r="J550" s="114">
        <f t="shared" si="663"/>
        <v>10.8057325</v>
      </c>
      <c r="K550" s="396">
        <v>74648.59</v>
      </c>
      <c r="L550" s="114">
        <f t="shared" si="664"/>
        <v>13.478217638888887</v>
      </c>
      <c r="M550" s="396">
        <v>2696.67</v>
      </c>
      <c r="N550" s="114">
        <f t="shared" si="665"/>
        <v>0.18726875000000001</v>
      </c>
      <c r="O550" s="396">
        <v>88905.23</v>
      </c>
      <c r="P550" s="114">
        <f t="shared" si="666"/>
        <v>16.052333194444444</v>
      </c>
      <c r="Q550" s="396">
        <v>296575.92</v>
      </c>
      <c r="R550" s="398">
        <f t="shared" si="667"/>
        <v>65.905760000000001</v>
      </c>
    </row>
    <row r="551" spans="1:18" x14ac:dyDescent="0.3">
      <c r="A551" s="449">
        <f t="shared" si="659"/>
        <v>688.09506333333331</v>
      </c>
      <c r="B551" s="393">
        <f t="shared" si="436"/>
        <v>46018</v>
      </c>
      <c r="C551" s="396">
        <v>1699252.83</v>
      </c>
      <c r="D551" s="114">
        <f t="shared" si="660"/>
        <v>354.01100624999998</v>
      </c>
      <c r="E551" s="399">
        <v>969606.63</v>
      </c>
      <c r="F551" s="114">
        <f t="shared" si="661"/>
        <v>202.00138125000001</v>
      </c>
      <c r="G551" s="396">
        <v>205226.91</v>
      </c>
      <c r="H551" s="114">
        <f t="shared" si="662"/>
        <v>25.65336375</v>
      </c>
      <c r="I551" s="399">
        <v>86445.86</v>
      </c>
      <c r="J551" s="114">
        <f t="shared" si="663"/>
        <v>10.8057325</v>
      </c>
      <c r="K551" s="396">
        <v>74648.59</v>
      </c>
      <c r="L551" s="114">
        <f t="shared" si="664"/>
        <v>13.478217638888887</v>
      </c>
      <c r="M551" s="396">
        <v>2696.67</v>
      </c>
      <c r="N551" s="114">
        <f t="shared" si="665"/>
        <v>0.18726875000000001</v>
      </c>
      <c r="O551" s="396">
        <v>88905.23</v>
      </c>
      <c r="P551" s="114">
        <f t="shared" si="666"/>
        <v>16.052333194444444</v>
      </c>
      <c r="Q551" s="396">
        <v>296575.92</v>
      </c>
      <c r="R551" s="398">
        <f t="shared" si="667"/>
        <v>65.905760000000001</v>
      </c>
    </row>
    <row r="552" spans="1:18" x14ac:dyDescent="0.3">
      <c r="A552" s="449">
        <f t="shared" si="659"/>
        <v>648.75298833333329</v>
      </c>
      <c r="B552" s="393">
        <f t="shared" si="436"/>
        <v>46019</v>
      </c>
      <c r="C552" s="396">
        <v>1699252.83</v>
      </c>
      <c r="D552" s="114">
        <f t="shared" si="660"/>
        <v>354.01100624999998</v>
      </c>
      <c r="E552" s="399">
        <v>698978.67</v>
      </c>
      <c r="F552" s="114">
        <f t="shared" si="661"/>
        <v>145.62055624999999</v>
      </c>
      <c r="G552" s="396">
        <v>341536.91</v>
      </c>
      <c r="H552" s="114">
        <f t="shared" si="662"/>
        <v>42.69211374999999</v>
      </c>
      <c r="I552" s="399">
        <v>86445.86</v>
      </c>
      <c r="J552" s="114">
        <f t="shared" si="663"/>
        <v>10.8057325</v>
      </c>
      <c r="K552" s="396">
        <v>74648.59</v>
      </c>
      <c r="L552" s="114">
        <f t="shared" si="664"/>
        <v>13.478217638888887</v>
      </c>
      <c r="M552" s="396">
        <v>2696.67</v>
      </c>
      <c r="N552" s="114">
        <f t="shared" si="665"/>
        <v>0.18726875000000001</v>
      </c>
      <c r="O552" s="396">
        <v>88905.23</v>
      </c>
      <c r="P552" s="114">
        <f t="shared" si="666"/>
        <v>16.052333194444444</v>
      </c>
      <c r="Q552" s="396">
        <v>296575.92</v>
      </c>
      <c r="R552" s="398">
        <f t="shared" si="667"/>
        <v>65.905760000000001</v>
      </c>
    </row>
    <row r="553" spans="1:18" x14ac:dyDescent="0.3">
      <c r="A553" s="449">
        <f t="shared" ref="A553" si="668">D553+F553+H553+J553+L553+N553+P553+R553</f>
        <v>383.03300083333329</v>
      </c>
      <c r="B553" s="393">
        <f t="shared" si="436"/>
        <v>46020</v>
      </c>
      <c r="C553" s="396">
        <v>1152.83</v>
      </c>
      <c r="D553" s="114">
        <f t="shared" ref="D553" si="669">(C553*7.5%)/360</f>
        <v>0.24017291666666665</v>
      </c>
      <c r="E553" s="399">
        <v>1301628.73</v>
      </c>
      <c r="F553" s="114">
        <f t="shared" ref="F553" si="670">(E553*7.5%)/360</f>
        <v>271.17265208333333</v>
      </c>
      <c r="G553" s="396">
        <v>41526.910000000003</v>
      </c>
      <c r="H553" s="114">
        <f t="shared" ref="H553" si="671">(G553*4.5%)/360</f>
        <v>5.1908637500000001</v>
      </c>
      <c r="I553" s="399">
        <v>86445.86</v>
      </c>
      <c r="J553" s="114">
        <f t="shared" ref="J553" si="672">(I553*4.5%)/360</f>
        <v>10.8057325</v>
      </c>
      <c r="K553" s="396">
        <v>74648.59</v>
      </c>
      <c r="L553" s="114">
        <f t="shared" ref="L553" si="673">(K553*6.5%)/360</f>
        <v>13.478217638888887</v>
      </c>
      <c r="M553" s="396">
        <v>2696.67</v>
      </c>
      <c r="N553" s="114">
        <f t="shared" ref="N553" si="674">(M553*2.5%)/360</f>
        <v>0.18726875000000001</v>
      </c>
      <c r="O553" s="396">
        <v>88905.23</v>
      </c>
      <c r="P553" s="114">
        <f t="shared" ref="P553" si="675">(O553*6.5%)/360</f>
        <v>16.052333194444444</v>
      </c>
      <c r="Q553" s="396">
        <v>296575.92</v>
      </c>
      <c r="R553" s="398">
        <f t="shared" ref="R553" si="676">(Q553*8%)/360</f>
        <v>65.905760000000001</v>
      </c>
    </row>
    <row r="554" spans="1:18" ht="15" thickBot="1" x14ac:dyDescent="0.35">
      <c r="A554" s="449">
        <f t="shared" ref="A554" si="677">D554+F554+H554+J554+L554+N554+P554+R554</f>
        <v>108.70596958333334</v>
      </c>
      <c r="B554" s="393">
        <f t="shared" si="436"/>
        <v>46021</v>
      </c>
      <c r="C554" s="396">
        <v>1681.56</v>
      </c>
      <c r="D554" s="114">
        <f t="shared" ref="D554" si="678">(C554*7.5%)/360</f>
        <v>0.350325</v>
      </c>
      <c r="E554" s="399">
        <v>1280.25</v>
      </c>
      <c r="F554" s="114">
        <f t="shared" ref="F554" si="679">(E554*7.5%)/360</f>
        <v>0.26671875</v>
      </c>
      <c r="G554" s="396">
        <v>13276.91</v>
      </c>
      <c r="H554" s="114">
        <f t="shared" ref="H554" si="680">(G554*4.5%)/360</f>
        <v>1.6596137500000001</v>
      </c>
      <c r="I554" s="399">
        <v>86445.86</v>
      </c>
      <c r="J554" s="114">
        <f t="shared" ref="J554" si="681">(I554*4.5%)/360</f>
        <v>10.8057325</v>
      </c>
      <c r="K554" s="396">
        <v>74648.59</v>
      </c>
      <c r="L554" s="114">
        <f t="shared" ref="L554" si="682">(K554*6.5%)/360</f>
        <v>13.478217638888887</v>
      </c>
      <c r="M554" s="396">
        <v>2696.67</v>
      </c>
      <c r="N554" s="114">
        <f t="shared" ref="N554" si="683">(M554*2.5%)/360</f>
        <v>0.18726875000000001</v>
      </c>
      <c r="O554" s="396">
        <v>88905.23</v>
      </c>
      <c r="P554" s="114">
        <f t="shared" ref="P554" si="684">(O554*6.5%)/360</f>
        <v>16.052333194444444</v>
      </c>
      <c r="Q554" s="396">
        <v>296575.92</v>
      </c>
      <c r="R554" s="398">
        <f t="shared" ref="R554" si="685">(Q554*8%)/360</f>
        <v>65.905760000000001</v>
      </c>
    </row>
    <row r="555" spans="1:18" ht="15" thickBot="1" x14ac:dyDescent="0.35">
      <c r="B555" s="439" t="s">
        <v>145</v>
      </c>
      <c r="C555" s="440"/>
      <c r="D555" s="441">
        <f>SUM(D372:D554)</f>
        <v>22919.879916666647</v>
      </c>
      <c r="E555" s="442"/>
      <c r="F555" s="441">
        <f>SUM(F372:F554)</f>
        <v>157636.86485416663</v>
      </c>
      <c r="G555" s="440"/>
      <c r="H555" s="441">
        <f>SUM(H372:H554)</f>
        <v>2338.0593162499954</v>
      </c>
      <c r="I555" s="442"/>
      <c r="J555" s="441">
        <f>SUM(J372:J554)</f>
        <v>1834.1927449999994</v>
      </c>
      <c r="K555" s="440"/>
      <c r="L555" s="441">
        <f>SUM(L372:L554)</f>
        <v>2471.7549945833412</v>
      </c>
      <c r="M555" s="440"/>
      <c r="N555" s="441">
        <f>SUM(N372:N554)</f>
        <v>34.213236805555695</v>
      </c>
      <c r="O555" s="440"/>
      <c r="P555" s="441">
        <f>SUM(P372:P554)</f>
        <v>2943.8364673611163</v>
      </c>
      <c r="Q555" s="440"/>
      <c r="R555" s="441">
        <f>SUM(R372:R554)</f>
        <v>11524.514515555527</v>
      </c>
    </row>
    <row r="557" spans="1:18" x14ac:dyDescent="0.3">
      <c r="A557" s="449">
        <f t="shared" ref="A557:A562" si="686">D557+F557+H557+J557+L557+N557+P557+R557</f>
        <v>188.62644888888889</v>
      </c>
      <c r="B557" s="393">
        <v>46023</v>
      </c>
      <c r="C557" s="396">
        <v>13528.56</v>
      </c>
      <c r="D557" s="114">
        <f t="shared" ref="D557:D562" si="687">(C557*7.5%)/360</f>
        <v>2.8184499999999999</v>
      </c>
      <c r="E557" s="399">
        <v>358769.41</v>
      </c>
      <c r="F557" s="114">
        <f t="shared" ref="F557:F562" si="688">(E557*7.5%)/360</f>
        <v>74.743627083333323</v>
      </c>
      <c r="G557" s="396">
        <v>195620.42</v>
      </c>
      <c r="H557" s="114">
        <f>(G557*2.5%)/360</f>
        <v>13.58475138888889</v>
      </c>
      <c r="I557" s="399">
        <v>86445.86</v>
      </c>
      <c r="J557" s="114">
        <f>(I557*2.5%)/360</f>
        <v>6.0031847222222234</v>
      </c>
      <c r="K557" s="396">
        <v>74648.59</v>
      </c>
      <c r="L557" s="114">
        <f>(K557*4.5%)/360</f>
        <v>9.3310737499999998</v>
      </c>
      <c r="M557" s="396">
        <v>2696.67</v>
      </c>
      <c r="N557" s="114">
        <f>(M557*2.5%)/360</f>
        <v>0.18726875000000001</v>
      </c>
      <c r="O557" s="396">
        <v>88905.23</v>
      </c>
      <c r="P557" s="114">
        <f t="shared" ref="P557:P562" si="689">(O557*6.5%)/360</f>
        <v>16.052333194444444</v>
      </c>
      <c r="Q557" s="396">
        <v>296575.92</v>
      </c>
      <c r="R557" s="398">
        <f t="shared" ref="R557:R562" si="690">(Q557*8%)/360</f>
        <v>65.905760000000001</v>
      </c>
    </row>
    <row r="558" spans="1:18" x14ac:dyDescent="0.3">
      <c r="A558" s="449">
        <f t="shared" si="686"/>
        <v>188.62644888888889</v>
      </c>
      <c r="B558" s="393">
        <f t="shared" ref="B558:B640" si="691">B557+1</f>
        <v>46024</v>
      </c>
      <c r="C558" s="396">
        <v>13528.56</v>
      </c>
      <c r="D558" s="114">
        <f t="shared" si="687"/>
        <v>2.8184499999999999</v>
      </c>
      <c r="E558" s="399">
        <v>358769.41</v>
      </c>
      <c r="F558" s="114">
        <f t="shared" si="688"/>
        <v>74.743627083333323</v>
      </c>
      <c r="G558" s="396">
        <v>86445.86</v>
      </c>
      <c r="H558" s="114">
        <f t="shared" ref="H558:H564" si="692">(G558*2.5%)/360</f>
        <v>6.0031847222222234</v>
      </c>
      <c r="I558" s="399">
        <v>195620.42</v>
      </c>
      <c r="J558" s="114">
        <f t="shared" ref="J558:J564" si="693">(I558*2.5%)/360</f>
        <v>13.58475138888889</v>
      </c>
      <c r="K558" s="396">
        <v>74648.59</v>
      </c>
      <c r="L558" s="114">
        <f t="shared" ref="L558:L568" si="694">(K558*4.5%)/360</f>
        <v>9.3310737499999998</v>
      </c>
      <c r="M558" s="396">
        <v>2696.67</v>
      </c>
      <c r="N558" s="114">
        <f t="shared" ref="N558:N568" si="695">(M558*2.5%)/360</f>
        <v>0.18726875000000001</v>
      </c>
      <c r="O558" s="396">
        <v>88905.23</v>
      </c>
      <c r="P558" s="114">
        <f t="shared" si="689"/>
        <v>16.052333194444444</v>
      </c>
      <c r="Q558" s="396">
        <v>296575.92</v>
      </c>
      <c r="R558" s="398">
        <f t="shared" si="690"/>
        <v>65.905760000000001</v>
      </c>
    </row>
    <row r="559" spans="1:18" x14ac:dyDescent="0.3">
      <c r="A559" s="449">
        <f t="shared" si="686"/>
        <v>188.62644888888889</v>
      </c>
      <c r="B559" s="393">
        <f t="shared" si="691"/>
        <v>46025</v>
      </c>
      <c r="C559" s="396">
        <v>13528.56</v>
      </c>
      <c r="D559" s="114">
        <f t="shared" si="687"/>
        <v>2.8184499999999999</v>
      </c>
      <c r="E559" s="399">
        <v>358769.41</v>
      </c>
      <c r="F559" s="114">
        <f t="shared" si="688"/>
        <v>74.743627083333323</v>
      </c>
      <c r="G559" s="396">
        <v>86445.86</v>
      </c>
      <c r="H559" s="114">
        <f t="shared" si="692"/>
        <v>6.0031847222222234</v>
      </c>
      <c r="I559" s="399">
        <v>195620.42</v>
      </c>
      <c r="J559" s="114">
        <f t="shared" si="693"/>
        <v>13.58475138888889</v>
      </c>
      <c r="K559" s="396">
        <v>74648.59</v>
      </c>
      <c r="L559" s="114">
        <f t="shared" si="694"/>
        <v>9.3310737499999998</v>
      </c>
      <c r="M559" s="396">
        <v>2696.67</v>
      </c>
      <c r="N559" s="114">
        <f t="shared" si="695"/>
        <v>0.18726875000000001</v>
      </c>
      <c r="O559" s="396">
        <v>88905.23</v>
      </c>
      <c r="P559" s="114">
        <f t="shared" si="689"/>
        <v>16.052333194444444</v>
      </c>
      <c r="Q559" s="396">
        <v>296575.92</v>
      </c>
      <c r="R559" s="398">
        <f t="shared" si="690"/>
        <v>65.905760000000001</v>
      </c>
    </row>
    <row r="560" spans="1:18" x14ac:dyDescent="0.3">
      <c r="A560" s="449">
        <f t="shared" si="686"/>
        <v>288.36320305555552</v>
      </c>
      <c r="B560" s="393">
        <f t="shared" si="691"/>
        <v>46026</v>
      </c>
      <c r="C560" s="396">
        <v>13528.56</v>
      </c>
      <c r="D560" s="114">
        <f t="shared" si="687"/>
        <v>2.8184499999999999</v>
      </c>
      <c r="E560" s="399">
        <v>837505.83</v>
      </c>
      <c r="F560" s="114">
        <f t="shared" si="688"/>
        <v>174.48038124999999</v>
      </c>
      <c r="G560" s="396">
        <v>86445.86</v>
      </c>
      <c r="H560" s="114">
        <f t="shared" si="692"/>
        <v>6.0031847222222234</v>
      </c>
      <c r="I560" s="399">
        <v>195620.42</v>
      </c>
      <c r="J560" s="114">
        <f t="shared" si="693"/>
        <v>13.58475138888889</v>
      </c>
      <c r="K560" s="396">
        <v>74648.59</v>
      </c>
      <c r="L560" s="114">
        <f t="shared" si="694"/>
        <v>9.3310737499999998</v>
      </c>
      <c r="M560" s="396">
        <v>2696.67</v>
      </c>
      <c r="N560" s="114">
        <f t="shared" si="695"/>
        <v>0.18726875000000001</v>
      </c>
      <c r="O560" s="396">
        <v>88905.23</v>
      </c>
      <c r="P560" s="114">
        <f t="shared" si="689"/>
        <v>16.052333194444444</v>
      </c>
      <c r="Q560" s="396">
        <v>296575.92</v>
      </c>
      <c r="R560" s="398">
        <f t="shared" si="690"/>
        <v>65.905760000000001</v>
      </c>
    </row>
    <row r="561" spans="1:18" x14ac:dyDescent="0.3">
      <c r="A561" s="449">
        <f t="shared" si="686"/>
        <v>463.05386763888879</v>
      </c>
      <c r="B561" s="393">
        <f t="shared" si="691"/>
        <v>46027</v>
      </c>
      <c r="C561" s="396">
        <v>63528.56</v>
      </c>
      <c r="D561" s="114">
        <f t="shared" si="687"/>
        <v>13.235116666666666</v>
      </c>
      <c r="E561" s="399">
        <v>1615525.67</v>
      </c>
      <c r="F561" s="114">
        <f t="shared" si="688"/>
        <v>336.56784791666661</v>
      </c>
      <c r="G561" s="396">
        <v>117931.91</v>
      </c>
      <c r="H561" s="114">
        <f t="shared" si="692"/>
        <v>8.1897159722222224</v>
      </c>
      <c r="I561" s="399">
        <v>195620.42</v>
      </c>
      <c r="J561" s="114">
        <f t="shared" si="693"/>
        <v>13.58475138888889</v>
      </c>
      <c r="K561" s="396">
        <v>74648.59</v>
      </c>
      <c r="L561" s="114">
        <f t="shared" si="694"/>
        <v>9.3310737499999998</v>
      </c>
      <c r="M561" s="396">
        <v>2696.67</v>
      </c>
      <c r="N561" s="114">
        <f t="shared" si="695"/>
        <v>0.18726875000000001</v>
      </c>
      <c r="O561" s="396">
        <v>88905.23</v>
      </c>
      <c r="P561" s="114">
        <f t="shared" si="689"/>
        <v>16.052333194444444</v>
      </c>
      <c r="Q561" s="396">
        <v>296575.92</v>
      </c>
      <c r="R561" s="398">
        <f t="shared" si="690"/>
        <v>65.905760000000001</v>
      </c>
    </row>
    <row r="562" spans="1:18" x14ac:dyDescent="0.3">
      <c r="A562" s="449">
        <f t="shared" si="686"/>
        <v>398.52489888888886</v>
      </c>
      <c r="B562" s="393">
        <f t="shared" si="691"/>
        <v>46028</v>
      </c>
      <c r="C562" s="396">
        <v>63470.559999999998</v>
      </c>
      <c r="D562" s="114">
        <f t="shared" si="687"/>
        <v>13.223033333333332</v>
      </c>
      <c r="E562" s="399">
        <v>1305844.6200000001</v>
      </c>
      <c r="F562" s="114">
        <f t="shared" si="688"/>
        <v>272.05096250000003</v>
      </c>
      <c r="G562" s="396">
        <v>117931.91</v>
      </c>
      <c r="H562" s="114">
        <f t="shared" si="692"/>
        <v>8.1897159722222224</v>
      </c>
      <c r="I562" s="399">
        <v>195620.42</v>
      </c>
      <c r="J562" s="114">
        <f t="shared" si="693"/>
        <v>13.58475138888889</v>
      </c>
      <c r="K562" s="396">
        <v>74648.59</v>
      </c>
      <c r="L562" s="114">
        <f t="shared" si="694"/>
        <v>9.3310737499999998</v>
      </c>
      <c r="M562" s="396">
        <v>2696.67</v>
      </c>
      <c r="N562" s="114">
        <f t="shared" si="695"/>
        <v>0.18726875000000001</v>
      </c>
      <c r="O562" s="396">
        <v>88905.23</v>
      </c>
      <c r="P562" s="114">
        <f t="shared" si="689"/>
        <v>16.052333194444444</v>
      </c>
      <c r="Q562" s="396">
        <v>296575.92</v>
      </c>
      <c r="R562" s="398">
        <f t="shared" si="690"/>
        <v>65.905760000000001</v>
      </c>
    </row>
    <row r="563" spans="1:18" x14ac:dyDescent="0.3">
      <c r="A563" s="449">
        <f t="shared" ref="A563" si="696">D563+F563+H563+J563+L563+N563+P563+R563</f>
        <v>683.83940722222223</v>
      </c>
      <c r="B563" s="393">
        <f t="shared" si="691"/>
        <v>46029</v>
      </c>
      <c r="C563" s="396">
        <v>763445.56</v>
      </c>
      <c r="D563" s="114">
        <f t="shared" ref="D563" si="697">(C563*7.5%)/360</f>
        <v>159.05115833333335</v>
      </c>
      <c r="E563" s="399">
        <v>1975379.26</v>
      </c>
      <c r="F563" s="114">
        <f t="shared" ref="F563" si="698">(E563*7.5%)/360</f>
        <v>411.53734583333329</v>
      </c>
      <c r="G563" s="396">
        <v>117931.91</v>
      </c>
      <c r="H563" s="114">
        <f t="shared" si="692"/>
        <v>8.1897159722222224</v>
      </c>
      <c r="I563" s="399">
        <v>195620.42</v>
      </c>
      <c r="J563" s="114">
        <f t="shared" si="693"/>
        <v>13.58475138888889</v>
      </c>
      <c r="K563" s="396">
        <v>74648.59</v>
      </c>
      <c r="L563" s="114">
        <f t="shared" si="694"/>
        <v>9.3310737499999998</v>
      </c>
      <c r="M563" s="396">
        <v>2696.67</v>
      </c>
      <c r="N563" s="114">
        <f t="shared" si="695"/>
        <v>0.18726875000000001</v>
      </c>
      <c r="O563" s="396">
        <v>88905.23</v>
      </c>
      <c r="P563" s="114">
        <f t="shared" ref="P563" si="699">(O563*6.5%)/360</f>
        <v>16.052333194444444</v>
      </c>
      <c r="Q563" s="396">
        <v>296575.92</v>
      </c>
      <c r="R563" s="398">
        <f t="shared" ref="R563" si="700">(Q563*8%)/360</f>
        <v>65.905760000000001</v>
      </c>
    </row>
    <row r="564" spans="1:18" x14ac:dyDescent="0.3">
      <c r="A564" s="449">
        <f t="shared" ref="A564" si="701">D564+F564+H564+J564+L564+N564+P564+R564</f>
        <v>637.03327180555561</v>
      </c>
      <c r="B564" s="393">
        <f t="shared" si="691"/>
        <v>46030</v>
      </c>
      <c r="C564" s="396">
        <v>763445.56</v>
      </c>
      <c r="D564" s="114">
        <f t="shared" ref="D564" si="702">(C564*7.5%)/360</f>
        <v>159.05115833333335</v>
      </c>
      <c r="E564" s="399">
        <v>1750709.81</v>
      </c>
      <c r="F564" s="114">
        <f t="shared" ref="F564" si="703">(E564*7.5%)/360</f>
        <v>364.73121041666667</v>
      </c>
      <c r="G564" s="396">
        <v>117931.91</v>
      </c>
      <c r="H564" s="114">
        <f t="shared" si="692"/>
        <v>8.1897159722222224</v>
      </c>
      <c r="I564" s="399">
        <v>195620.42</v>
      </c>
      <c r="J564" s="114">
        <f t="shared" si="693"/>
        <v>13.58475138888889</v>
      </c>
      <c r="K564" s="396">
        <v>74648.59</v>
      </c>
      <c r="L564" s="114">
        <f t="shared" si="694"/>
        <v>9.3310737499999998</v>
      </c>
      <c r="M564" s="396">
        <v>2696.67</v>
      </c>
      <c r="N564" s="114">
        <f t="shared" si="695"/>
        <v>0.18726875000000001</v>
      </c>
      <c r="O564" s="396">
        <v>88905.23</v>
      </c>
      <c r="P564" s="114">
        <f t="shared" ref="P564" si="704">(O564*6.5%)/360</f>
        <v>16.052333194444444</v>
      </c>
      <c r="Q564" s="396">
        <v>296575.92</v>
      </c>
      <c r="R564" s="398">
        <f t="shared" ref="R564" si="705">(Q564*8%)/360</f>
        <v>65.905760000000001</v>
      </c>
    </row>
    <row r="565" spans="1:18" x14ac:dyDescent="0.3">
      <c r="A565" s="449">
        <f t="shared" ref="A565" si="706">D565+F565+H565+J565+L565+N565+P565+R565</f>
        <v>637.03327180555561</v>
      </c>
      <c r="B565" s="393">
        <f t="shared" si="691"/>
        <v>46031</v>
      </c>
      <c r="C565" s="396">
        <v>763445.56</v>
      </c>
      <c r="D565" s="114">
        <f t="shared" ref="D565" si="707">(C565*7.5%)/360</f>
        <v>159.05115833333335</v>
      </c>
      <c r="E565" s="399">
        <v>1750709.81</v>
      </c>
      <c r="F565" s="114">
        <f t="shared" ref="F565" si="708">(E565*7.5%)/360</f>
        <v>364.73121041666667</v>
      </c>
      <c r="G565" s="396">
        <v>117931.91</v>
      </c>
      <c r="H565" s="114">
        <f t="shared" ref="H565" si="709">(G565*2.5%)/360</f>
        <v>8.1897159722222224</v>
      </c>
      <c r="I565" s="399">
        <v>195620.42</v>
      </c>
      <c r="J565" s="114">
        <f t="shared" ref="J565" si="710">(I565*2.5%)/360</f>
        <v>13.58475138888889</v>
      </c>
      <c r="K565" s="396">
        <v>74648.59</v>
      </c>
      <c r="L565" s="114">
        <f t="shared" si="694"/>
        <v>9.3310737499999998</v>
      </c>
      <c r="M565" s="396">
        <v>2696.67</v>
      </c>
      <c r="N565" s="114">
        <f t="shared" si="695"/>
        <v>0.18726875000000001</v>
      </c>
      <c r="O565" s="396">
        <v>88905.23</v>
      </c>
      <c r="P565" s="114">
        <f t="shared" ref="P565" si="711">(O565*6.5%)/360</f>
        <v>16.052333194444444</v>
      </c>
      <c r="Q565" s="396">
        <v>296575.92</v>
      </c>
      <c r="R565" s="398">
        <f t="shared" ref="R565" si="712">(Q565*8%)/360</f>
        <v>65.905760000000001</v>
      </c>
    </row>
    <row r="566" spans="1:18" x14ac:dyDescent="0.3">
      <c r="A566" s="449">
        <f t="shared" ref="A566:A567" si="713">D566+F566+H566+J566+L566+N566+P566+R566</f>
        <v>637.03327180555561</v>
      </c>
      <c r="B566" s="393">
        <f t="shared" si="691"/>
        <v>46032</v>
      </c>
      <c r="C566" s="396">
        <v>763445.56</v>
      </c>
      <c r="D566" s="114">
        <f t="shared" ref="D566:D567" si="714">(C566*7.5%)/360</f>
        <v>159.05115833333335</v>
      </c>
      <c r="E566" s="399">
        <v>1750709.81</v>
      </c>
      <c r="F566" s="114">
        <f t="shared" ref="F566:F567" si="715">(E566*7.5%)/360</f>
        <v>364.73121041666667</v>
      </c>
      <c r="G566" s="396">
        <v>117931.91</v>
      </c>
      <c r="H566" s="114">
        <f t="shared" ref="H566:H567" si="716">(G566*2.5%)/360</f>
        <v>8.1897159722222224</v>
      </c>
      <c r="I566" s="399">
        <v>195620.42</v>
      </c>
      <c r="J566" s="114">
        <f t="shared" ref="J566:J567" si="717">(I566*2.5%)/360</f>
        <v>13.58475138888889</v>
      </c>
      <c r="K566" s="396">
        <v>74648.59</v>
      </c>
      <c r="L566" s="114">
        <f t="shared" si="694"/>
        <v>9.3310737499999998</v>
      </c>
      <c r="M566" s="396">
        <v>2696.67</v>
      </c>
      <c r="N566" s="114">
        <f t="shared" si="695"/>
        <v>0.18726875000000001</v>
      </c>
      <c r="O566" s="396">
        <v>88905.23</v>
      </c>
      <c r="P566" s="114">
        <f t="shared" ref="P566:P567" si="718">(O566*6.5%)/360</f>
        <v>16.052333194444444</v>
      </c>
      <c r="Q566" s="396">
        <v>296575.92</v>
      </c>
      <c r="R566" s="398">
        <f t="shared" ref="R566:R567" si="719">(Q566*8%)/360</f>
        <v>65.905760000000001</v>
      </c>
    </row>
    <row r="567" spans="1:18" x14ac:dyDescent="0.3">
      <c r="A567" s="449">
        <f t="shared" si="713"/>
        <v>490.82371972222222</v>
      </c>
      <c r="B567" s="393">
        <f t="shared" si="691"/>
        <v>46033</v>
      </c>
      <c r="C567" s="396">
        <v>863445.56</v>
      </c>
      <c r="D567" s="114">
        <f t="shared" si="714"/>
        <v>179.88449166666666</v>
      </c>
      <c r="E567" s="399">
        <v>113963.96</v>
      </c>
      <c r="F567" s="114">
        <f t="shared" si="715"/>
        <v>23.74249166666667</v>
      </c>
      <c r="G567" s="396">
        <v>2622751.91</v>
      </c>
      <c r="H567" s="114">
        <f t="shared" si="716"/>
        <v>182.1355493055556</v>
      </c>
      <c r="I567" s="399">
        <v>195620.42</v>
      </c>
      <c r="J567" s="114">
        <f t="shared" si="717"/>
        <v>13.58475138888889</v>
      </c>
      <c r="K567" s="396">
        <v>74648.59</v>
      </c>
      <c r="L567" s="114">
        <f t="shared" si="694"/>
        <v>9.3310737499999998</v>
      </c>
      <c r="M567" s="396">
        <v>2696.67</v>
      </c>
      <c r="N567" s="114">
        <f t="shared" si="695"/>
        <v>0.18726875000000001</v>
      </c>
      <c r="O567" s="396">
        <v>88905.23</v>
      </c>
      <c r="P567" s="114">
        <f t="shared" si="718"/>
        <v>16.052333194444444</v>
      </c>
      <c r="Q567" s="396">
        <v>296575.92</v>
      </c>
      <c r="R567" s="398">
        <f t="shared" si="719"/>
        <v>65.905760000000001</v>
      </c>
    </row>
    <row r="568" spans="1:18" x14ac:dyDescent="0.3">
      <c r="A568" s="449">
        <f t="shared" ref="A568:A569" si="720">D568+F568+H568+J568+L568+N568+P568+R568</f>
        <v>350.9557072222222</v>
      </c>
      <c r="B568" s="393">
        <f t="shared" si="691"/>
        <v>46034</v>
      </c>
      <c r="C568" s="396">
        <v>3445.56</v>
      </c>
      <c r="D568" s="114">
        <f t="shared" ref="D568:D569" si="721">(C568*7.5%)/360</f>
        <v>0.71782499999999994</v>
      </c>
      <c r="E568" s="399">
        <v>302597.5</v>
      </c>
      <c r="F568" s="114">
        <f t="shared" ref="F568:F569" si="722">(E568*7.5%)/360</f>
        <v>63.041145833333331</v>
      </c>
      <c r="G568" s="396">
        <v>2622751.91</v>
      </c>
      <c r="H568" s="114">
        <f t="shared" ref="H568:H569" si="723">(G568*2.5%)/360</f>
        <v>182.1355493055556</v>
      </c>
      <c r="I568" s="399">
        <v>195620.42</v>
      </c>
      <c r="J568" s="114">
        <f t="shared" ref="J568:J569" si="724">(I568*2.5%)/360</f>
        <v>13.58475138888889</v>
      </c>
      <c r="K568" s="396">
        <v>74648.59</v>
      </c>
      <c r="L568" s="114">
        <f t="shared" si="694"/>
        <v>9.3310737499999998</v>
      </c>
      <c r="M568" s="396">
        <v>2696.67</v>
      </c>
      <c r="N568" s="114">
        <f t="shared" si="695"/>
        <v>0.18726875000000001</v>
      </c>
      <c r="O568" s="396">
        <v>88905.23</v>
      </c>
      <c r="P568" s="114">
        <f t="shared" ref="P568:P569" si="725">(O568*6.5%)/360</f>
        <v>16.052333194444444</v>
      </c>
      <c r="Q568" s="396">
        <v>296575.92</v>
      </c>
      <c r="R568" s="398">
        <f t="shared" ref="R568:R569" si="726">(Q568*8%)/360</f>
        <v>65.905760000000001</v>
      </c>
    </row>
    <row r="569" spans="1:18" x14ac:dyDescent="0.3">
      <c r="A569" s="449">
        <f t="shared" si="720"/>
        <v>660.1405258333333</v>
      </c>
      <c r="B569" s="393">
        <f t="shared" si="691"/>
        <v>46035</v>
      </c>
      <c r="C569" s="396">
        <v>3445.56</v>
      </c>
      <c r="D569" s="114">
        <f t="shared" si="721"/>
        <v>0.71782499999999994</v>
      </c>
      <c r="E569" s="399">
        <v>2902597.5</v>
      </c>
      <c r="F569" s="114">
        <f t="shared" si="722"/>
        <v>604.70781250000005</v>
      </c>
      <c r="G569" s="396">
        <v>22751.91</v>
      </c>
      <c r="H569" s="114">
        <f t="shared" si="723"/>
        <v>1.5799937500000001</v>
      </c>
      <c r="I569" s="399">
        <v>195620.42</v>
      </c>
      <c r="J569" s="114">
        <f t="shared" si="724"/>
        <v>13.58475138888889</v>
      </c>
      <c r="K569" s="396">
        <v>74188.59</v>
      </c>
      <c r="L569" s="114">
        <f t="shared" ref="L569" si="727">(K569*0.5%)/360</f>
        <v>1.0303970833333334</v>
      </c>
      <c r="M569" s="396">
        <v>2715.57</v>
      </c>
      <c r="N569" s="114">
        <f t="shared" ref="N569" si="728">(M569*0.5%)/360</f>
        <v>3.7716250000000007E-2</v>
      </c>
      <c r="O569" s="396">
        <v>88488.83</v>
      </c>
      <c r="P569" s="114">
        <f t="shared" si="725"/>
        <v>15.977149861111114</v>
      </c>
      <c r="Q569" s="396">
        <v>101271.96</v>
      </c>
      <c r="R569" s="398">
        <f t="shared" si="726"/>
        <v>22.504880000000004</v>
      </c>
    </row>
    <row r="570" spans="1:18" x14ac:dyDescent="0.3">
      <c r="A570" s="449">
        <f t="shared" ref="A570" si="729">D570+F570+H570+J570+L570+N570+P570+R570</f>
        <v>681.04260916666669</v>
      </c>
      <c r="B570" s="393">
        <f t="shared" si="691"/>
        <v>46036</v>
      </c>
      <c r="C570" s="396">
        <v>3445.56</v>
      </c>
      <c r="D570" s="114">
        <f t="shared" ref="D570" si="730">(C570*7.5%)/360</f>
        <v>0.71782499999999994</v>
      </c>
      <c r="E570" s="399">
        <v>2902597.5</v>
      </c>
      <c r="F570" s="114">
        <f t="shared" ref="F570" si="731">(E570*7.5%)/360</f>
        <v>604.70781250000005</v>
      </c>
      <c r="G570" s="396">
        <v>323741.90999999997</v>
      </c>
      <c r="H570" s="114">
        <f t="shared" ref="H570" si="732">(G570*2.5%)/360</f>
        <v>22.482077083333333</v>
      </c>
      <c r="I570" s="399">
        <v>195620.42</v>
      </c>
      <c r="J570" s="114">
        <f t="shared" ref="J570" si="733">(I570*2.5%)/360</f>
        <v>13.58475138888889</v>
      </c>
      <c r="K570" s="396">
        <v>74188.59</v>
      </c>
      <c r="L570" s="114">
        <f t="shared" ref="L570" si="734">(K570*0.5%)/360</f>
        <v>1.0303970833333334</v>
      </c>
      <c r="M570" s="396">
        <v>2715.57</v>
      </c>
      <c r="N570" s="114">
        <f t="shared" ref="N570" si="735">(M570*0.5%)/360</f>
        <v>3.7716250000000007E-2</v>
      </c>
      <c r="O570" s="396">
        <v>88488.83</v>
      </c>
      <c r="P570" s="114">
        <f t="shared" ref="P570" si="736">(O570*6.5%)/360</f>
        <v>15.977149861111114</v>
      </c>
      <c r="Q570" s="396">
        <v>101271.96</v>
      </c>
      <c r="R570" s="398">
        <f t="shared" ref="R570" si="737">(Q570*8%)/360</f>
        <v>22.504880000000004</v>
      </c>
    </row>
    <row r="571" spans="1:18" x14ac:dyDescent="0.3">
      <c r="A571" s="449">
        <f t="shared" ref="A571:A574" si="738">D571+F571+H571+J571+L571+N571+P571+R571</f>
        <v>681.29069944444439</v>
      </c>
      <c r="B571" s="393">
        <f t="shared" si="691"/>
        <v>46037</v>
      </c>
      <c r="C571" s="396">
        <v>3445.56</v>
      </c>
      <c r="D571" s="114">
        <f t="shared" ref="D571" si="739">(C571*7.5%)/360</f>
        <v>0.71782499999999994</v>
      </c>
      <c r="E571" s="399">
        <v>2903455</v>
      </c>
      <c r="F571" s="114">
        <f t="shared" ref="F571" si="740">(E571*7.5%)/360</f>
        <v>604.88645833333328</v>
      </c>
      <c r="G571" s="396">
        <v>324741.90999999997</v>
      </c>
      <c r="H571" s="114">
        <f t="shared" ref="H571" si="741">(G571*2.5%)/360</f>
        <v>22.551521527777776</v>
      </c>
      <c r="I571" s="399">
        <v>195620.42</v>
      </c>
      <c r="J571" s="114">
        <f t="shared" ref="J571" si="742">(I571*2.5%)/360</f>
        <v>13.58475138888889</v>
      </c>
      <c r="K571" s="396">
        <v>74188.59</v>
      </c>
      <c r="L571" s="114">
        <f t="shared" ref="L571" si="743">(K571*0.5%)/360</f>
        <v>1.0303970833333334</v>
      </c>
      <c r="M571" s="396">
        <v>2715.57</v>
      </c>
      <c r="N571" s="114">
        <f t="shared" ref="N571" si="744">(M571*0.5%)/360</f>
        <v>3.7716250000000007E-2</v>
      </c>
      <c r="O571" s="396">
        <v>88488.83</v>
      </c>
      <c r="P571" s="114">
        <f t="shared" ref="P571" si="745">(O571*6.5%)/360</f>
        <v>15.977149861111114</v>
      </c>
      <c r="Q571" s="396">
        <v>101271.96</v>
      </c>
      <c r="R571" s="398">
        <f t="shared" ref="R571" si="746">(Q571*8%)/360</f>
        <v>22.504880000000004</v>
      </c>
    </row>
    <row r="572" spans="1:18" x14ac:dyDescent="0.3">
      <c r="A572" s="449">
        <f t="shared" si="738"/>
        <v>681.29168555555543</v>
      </c>
      <c r="B572" s="393">
        <f t="shared" si="691"/>
        <v>46038</v>
      </c>
      <c r="C572" s="396">
        <v>3446.56</v>
      </c>
      <c r="D572" s="114">
        <f t="shared" ref="D572:D573" si="747">(C572*7.5%)/360</f>
        <v>0.71803333333333319</v>
      </c>
      <c r="E572" s="399">
        <v>2903456</v>
      </c>
      <c r="F572" s="114">
        <f t="shared" ref="F572:F575" si="748">(E572*7.5%)/360</f>
        <v>604.88666666666666</v>
      </c>
      <c r="G572" s="396">
        <v>324742.90999999997</v>
      </c>
      <c r="H572" s="114">
        <f t="shared" ref="H572:H575" si="749">(G572*2.5%)/360</f>
        <v>22.551590972222222</v>
      </c>
      <c r="I572" s="399">
        <v>195621.42</v>
      </c>
      <c r="J572" s="114">
        <f t="shared" ref="J572:J573" si="750">(I572*2.5%)/360</f>
        <v>13.584820833333335</v>
      </c>
      <c r="K572" s="396">
        <v>74189.59</v>
      </c>
      <c r="L572" s="114">
        <f t="shared" ref="L572:L573" si="751">(K572*0.5%)/360</f>
        <v>1.0304109722222221</v>
      </c>
      <c r="M572" s="396">
        <v>2716.57</v>
      </c>
      <c r="N572" s="114">
        <f t="shared" ref="N572:N573" si="752">(M572*0.5%)/360</f>
        <v>3.7730138888888889E-2</v>
      </c>
      <c r="O572" s="396">
        <v>88489.83</v>
      </c>
      <c r="P572" s="114">
        <f t="shared" ref="P572:P573" si="753">(O572*6.5%)/360</f>
        <v>15.977330416666668</v>
      </c>
      <c r="Q572" s="396">
        <v>101272.96000000001</v>
      </c>
      <c r="R572" s="398">
        <f t="shared" ref="R572:R573" si="754">(Q572*8%)/360</f>
        <v>22.505102222222224</v>
      </c>
    </row>
    <row r="573" spans="1:18" x14ac:dyDescent="0.3">
      <c r="A573" s="449">
        <f t="shared" si="738"/>
        <v>681.29267166666671</v>
      </c>
      <c r="B573" s="393">
        <f t="shared" si="691"/>
        <v>46039</v>
      </c>
      <c r="C573" s="396">
        <v>3447.56</v>
      </c>
      <c r="D573" s="114">
        <f t="shared" si="747"/>
        <v>0.71824166666666667</v>
      </c>
      <c r="E573" s="399">
        <v>2903457</v>
      </c>
      <c r="F573" s="114">
        <f t="shared" si="748"/>
        <v>604.88687500000003</v>
      </c>
      <c r="G573" s="396">
        <v>324743.90999999997</v>
      </c>
      <c r="H573" s="114">
        <f t="shared" si="749"/>
        <v>22.551660416666667</v>
      </c>
      <c r="I573" s="399">
        <v>195622.42</v>
      </c>
      <c r="J573" s="114">
        <f t="shared" si="750"/>
        <v>13.584890277777779</v>
      </c>
      <c r="K573" s="396">
        <v>74190.59</v>
      </c>
      <c r="L573" s="114">
        <f t="shared" si="751"/>
        <v>1.0304248611111111</v>
      </c>
      <c r="M573" s="396">
        <v>2717.57</v>
      </c>
      <c r="N573" s="114">
        <f t="shared" si="752"/>
        <v>3.7744027777777779E-2</v>
      </c>
      <c r="O573" s="396">
        <v>88490.83</v>
      </c>
      <c r="P573" s="114">
        <f t="shared" si="753"/>
        <v>15.977510972222221</v>
      </c>
      <c r="Q573" s="396">
        <v>101273.96</v>
      </c>
      <c r="R573" s="398">
        <f t="shared" si="754"/>
        <v>22.505324444444447</v>
      </c>
    </row>
    <row r="574" spans="1:18" x14ac:dyDescent="0.3">
      <c r="A574" s="449">
        <f t="shared" si="738"/>
        <v>168.80112236111111</v>
      </c>
      <c r="B574" s="393">
        <f t="shared" si="691"/>
        <v>46040</v>
      </c>
      <c r="C574" s="396">
        <v>3448.56</v>
      </c>
      <c r="D574" s="114">
        <f t="shared" ref="D574:D575" si="755">(C574*7.5%)/360</f>
        <v>0.71845000000000003</v>
      </c>
      <c r="E574" s="399">
        <v>443494.83</v>
      </c>
      <c r="F574" s="114">
        <f t="shared" si="748"/>
        <v>92.39475625</v>
      </c>
      <c r="G574" s="396">
        <v>324741.90999999997</v>
      </c>
      <c r="H574" s="114">
        <f t="shared" si="749"/>
        <v>22.551521527777776</v>
      </c>
      <c r="I574" s="399">
        <v>195623.42</v>
      </c>
      <c r="J574" s="114">
        <f t="shared" ref="J574:J575" si="756">(I574*2.5%)/360</f>
        <v>13.584959722222223</v>
      </c>
      <c r="K574" s="396">
        <v>74191.59</v>
      </c>
      <c r="L574" s="114">
        <f t="shared" ref="L574" si="757">(K574*0.5%)/360</f>
        <v>1.0304387499999998</v>
      </c>
      <c r="M574" s="396">
        <v>2718.57</v>
      </c>
      <c r="N574" s="114">
        <f t="shared" ref="N574" si="758">(M574*0.5%)/360</f>
        <v>3.7757916666666669E-2</v>
      </c>
      <c r="O574" s="396">
        <v>88491.83</v>
      </c>
      <c r="P574" s="114">
        <f t="shared" ref="P574" si="759">(O574*6.5%)/360</f>
        <v>15.977691527777779</v>
      </c>
      <c r="Q574" s="396">
        <v>101274.96</v>
      </c>
      <c r="R574" s="398">
        <f t="shared" ref="R574" si="760">(Q574*8%)/360</f>
        <v>22.505546666666667</v>
      </c>
    </row>
    <row r="575" spans="1:18" x14ac:dyDescent="0.3">
      <c r="A575" s="449">
        <f t="shared" ref="A575" si="761">D575+F575+H575+J575+L575+N575+P575+R575</f>
        <v>63.720717500000006</v>
      </c>
      <c r="B575" s="393">
        <f t="shared" si="691"/>
        <v>46041</v>
      </c>
      <c r="C575" s="396">
        <v>3445.56</v>
      </c>
      <c r="D575" s="114">
        <f t="shared" si="755"/>
        <v>0.71782499999999994</v>
      </c>
      <c r="E575" s="399">
        <v>39110.82</v>
      </c>
      <c r="F575" s="114">
        <f t="shared" si="748"/>
        <v>8.148087499999999</v>
      </c>
      <c r="G575" s="396">
        <v>24741.91</v>
      </c>
      <c r="H575" s="114">
        <f t="shared" si="749"/>
        <v>1.7181881944444446</v>
      </c>
      <c r="I575" s="399">
        <v>195620.42</v>
      </c>
      <c r="J575" s="114">
        <f t="shared" si="756"/>
        <v>13.58475138888889</v>
      </c>
      <c r="K575" s="396">
        <v>74192.59</v>
      </c>
      <c r="L575" s="114">
        <f t="shared" ref="L575" si="762">(K575*0.5%)/360</f>
        <v>1.0304526388888888</v>
      </c>
      <c r="M575" s="396">
        <v>2719.57</v>
      </c>
      <c r="N575" s="114">
        <f t="shared" ref="N575" si="763">(M575*0.5%)/360</f>
        <v>3.7771805555555558E-2</v>
      </c>
      <c r="O575" s="396">
        <v>88492.83</v>
      </c>
      <c r="P575" s="114">
        <f t="shared" ref="P575" si="764">(O575*6.5%)/360</f>
        <v>15.977872083333333</v>
      </c>
      <c r="Q575" s="396">
        <v>101275.96</v>
      </c>
      <c r="R575" s="398">
        <f t="shared" ref="R575" si="765">(Q575*8%)/360</f>
        <v>22.505768888888891</v>
      </c>
    </row>
    <row r="576" spans="1:18" x14ac:dyDescent="0.3">
      <c r="A576" s="449">
        <f t="shared" ref="A576" si="766">D576+F576+H576+J576+L576+N576+P576+R576</f>
        <v>139.88197166666669</v>
      </c>
      <c r="B576" s="393">
        <f t="shared" si="691"/>
        <v>46042</v>
      </c>
      <c r="C576" s="396">
        <v>3445.56</v>
      </c>
      <c r="D576" s="114">
        <f t="shared" ref="D576:D577" si="767">(C576*7.5%)/360</f>
        <v>0.71782499999999994</v>
      </c>
      <c r="E576" s="399">
        <v>404684.84</v>
      </c>
      <c r="F576" s="114">
        <f t="shared" ref="F576:F577" si="768">(E576*7.5%)/360</f>
        <v>84.309341666666668</v>
      </c>
      <c r="G576" s="396">
        <v>24741.91</v>
      </c>
      <c r="H576" s="114">
        <f t="shared" ref="H576" si="769">(G576*2.5%)/360</f>
        <v>1.7181881944444446</v>
      </c>
      <c r="I576" s="399">
        <v>195620.42</v>
      </c>
      <c r="J576" s="114">
        <f t="shared" ref="J576" si="770">(I576*2.5%)/360</f>
        <v>13.58475138888889</v>
      </c>
      <c r="K576" s="396">
        <v>74192.59</v>
      </c>
      <c r="L576" s="114">
        <f t="shared" ref="L576" si="771">(K576*0.5%)/360</f>
        <v>1.0304526388888888</v>
      </c>
      <c r="M576" s="396">
        <v>2719.57</v>
      </c>
      <c r="N576" s="114">
        <f t="shared" ref="N576" si="772">(M576*0.5%)/360</f>
        <v>3.7771805555555558E-2</v>
      </c>
      <c r="O576" s="396">
        <v>88492.83</v>
      </c>
      <c r="P576" s="114">
        <f t="shared" ref="P576" si="773">(O576*6.5%)/360</f>
        <v>15.977872083333333</v>
      </c>
      <c r="Q576" s="396">
        <v>101275.96</v>
      </c>
      <c r="R576" s="398">
        <f t="shared" ref="R576" si="774">(Q576*8%)/360</f>
        <v>22.505768888888891</v>
      </c>
    </row>
    <row r="577" spans="1:18" x14ac:dyDescent="0.3">
      <c r="A577" s="449">
        <f t="shared" ref="A577" si="775">D577+F577+H577+J577+L577+N577+P577+R577</f>
        <v>2372.3046445833334</v>
      </c>
      <c r="B577" s="393">
        <f t="shared" si="691"/>
        <v>46043</v>
      </c>
      <c r="C577" s="396">
        <v>10018445.560000001</v>
      </c>
      <c r="D577" s="114">
        <f t="shared" si="767"/>
        <v>2087.1761583333332</v>
      </c>
      <c r="E577" s="399">
        <v>1105313.67</v>
      </c>
      <c r="F577" s="114">
        <f t="shared" si="768"/>
        <v>230.27368124999998</v>
      </c>
      <c r="G577" s="396">
        <v>24741.91</v>
      </c>
      <c r="H577" s="114">
        <f t="shared" ref="H577" si="776">(G577*2.5%)/360</f>
        <v>1.7181881944444446</v>
      </c>
      <c r="I577" s="399">
        <v>195620.42</v>
      </c>
      <c r="J577" s="114">
        <f t="shared" ref="J577" si="777">(I577*2.5%)/360</f>
        <v>13.58475138888889</v>
      </c>
      <c r="K577" s="396">
        <v>74192.59</v>
      </c>
      <c r="L577" s="114">
        <f t="shared" ref="L577" si="778">(K577*0.5%)/360</f>
        <v>1.0304526388888888</v>
      </c>
      <c r="M577" s="396">
        <v>2719.57</v>
      </c>
      <c r="N577" s="114">
        <f t="shared" ref="N577" si="779">(M577*0.5%)/360</f>
        <v>3.7771805555555558E-2</v>
      </c>
      <c r="O577" s="396">
        <v>88492.83</v>
      </c>
      <c r="P577" s="114">
        <f t="shared" ref="P577" si="780">(O577*6.5%)/360</f>
        <v>15.977872083333333</v>
      </c>
      <c r="Q577" s="396">
        <v>101275.96</v>
      </c>
      <c r="R577" s="398">
        <f t="shared" ref="R577" si="781">(Q577*8%)/360</f>
        <v>22.505768888888891</v>
      </c>
    </row>
    <row r="578" spans="1:18" x14ac:dyDescent="0.3">
      <c r="A578" s="449">
        <f t="shared" ref="A578:A581" si="782">D578+F578+H578+J578+L578+N578+P578+R578</f>
        <v>1582.3293487499996</v>
      </c>
      <c r="B578" s="393">
        <f t="shared" si="691"/>
        <v>46044</v>
      </c>
      <c r="C578" s="396">
        <v>7018420.5599999996</v>
      </c>
      <c r="D578" s="114">
        <f t="shared" ref="D578" si="783">(C578*7.5%)/360</f>
        <v>1462.1709499999997</v>
      </c>
      <c r="E578" s="399">
        <v>313457.25</v>
      </c>
      <c r="F578" s="114">
        <f t="shared" ref="F578" si="784">(E578*7.5%)/360</f>
        <v>65.303593750000005</v>
      </c>
      <c r="G578" s="396">
        <v>24741.91</v>
      </c>
      <c r="H578" s="114">
        <f t="shared" ref="H578" si="785">(G578*2.5%)/360</f>
        <v>1.7181881944444446</v>
      </c>
      <c r="I578" s="399">
        <v>195620.42</v>
      </c>
      <c r="J578" s="114">
        <f t="shared" ref="J578" si="786">(I578*2.5%)/360</f>
        <v>13.58475138888889</v>
      </c>
      <c r="K578" s="396">
        <v>74192.59</v>
      </c>
      <c r="L578" s="114">
        <f t="shared" ref="L578" si="787">(K578*0.5%)/360</f>
        <v>1.0304526388888888</v>
      </c>
      <c r="M578" s="396">
        <v>2719.57</v>
      </c>
      <c r="N578" s="114">
        <f t="shared" ref="N578" si="788">(M578*0.5%)/360</f>
        <v>3.7771805555555558E-2</v>
      </c>
      <c r="O578" s="396">
        <v>88492.83</v>
      </c>
      <c r="P578" s="114">
        <f t="shared" ref="P578" si="789">(O578*6.5%)/360</f>
        <v>15.977872083333333</v>
      </c>
      <c r="Q578" s="396">
        <v>101275.96</v>
      </c>
      <c r="R578" s="398">
        <f t="shared" ref="R578" si="790">(Q578*8%)/360</f>
        <v>22.505768888888891</v>
      </c>
    </row>
    <row r="579" spans="1:18" x14ac:dyDescent="0.3">
      <c r="A579" s="449">
        <f t="shared" si="782"/>
        <v>1582.3297654166665</v>
      </c>
      <c r="B579" s="393">
        <f t="shared" si="691"/>
        <v>46045</v>
      </c>
      <c r="C579" s="396">
        <v>7018421.5599999996</v>
      </c>
      <c r="D579" s="114">
        <f t="shared" ref="D579:D582" si="791">(C579*7.5%)/360</f>
        <v>1462.1711583333333</v>
      </c>
      <c r="E579" s="399">
        <v>313458.25</v>
      </c>
      <c r="F579" s="114">
        <f t="shared" ref="F579:F582" si="792">(E579*7.5%)/360</f>
        <v>65.303802083333323</v>
      </c>
      <c r="G579" s="396">
        <v>24741.91</v>
      </c>
      <c r="H579" s="114">
        <f t="shared" ref="H579:H581" si="793">(G579*2.5%)/360</f>
        <v>1.7181881944444446</v>
      </c>
      <c r="I579" s="399">
        <v>195620.42</v>
      </c>
      <c r="J579" s="114">
        <f t="shared" ref="J579:J581" si="794">(I579*2.5%)/360</f>
        <v>13.58475138888889</v>
      </c>
      <c r="K579" s="396">
        <v>74192.59</v>
      </c>
      <c r="L579" s="114">
        <f t="shared" ref="L579:L581" si="795">(K579*0.5%)/360</f>
        <v>1.0304526388888888</v>
      </c>
      <c r="M579" s="396">
        <v>2719.57</v>
      </c>
      <c r="N579" s="114">
        <f t="shared" ref="N579:N581" si="796">(M579*0.5%)/360</f>
        <v>3.7771805555555558E-2</v>
      </c>
      <c r="O579" s="396">
        <v>88492.83</v>
      </c>
      <c r="P579" s="114">
        <f t="shared" ref="P579:P581" si="797">(O579*6.5%)/360</f>
        <v>15.977872083333333</v>
      </c>
      <c r="Q579" s="396">
        <v>101275.96</v>
      </c>
      <c r="R579" s="398">
        <f t="shared" ref="R579:R581" si="798">(Q579*8%)/360</f>
        <v>22.505768888888891</v>
      </c>
    </row>
    <row r="580" spans="1:18" x14ac:dyDescent="0.3">
      <c r="A580" s="449">
        <f t="shared" si="782"/>
        <v>1582.3301820833331</v>
      </c>
      <c r="B580" s="393">
        <f t="shared" si="691"/>
        <v>46046</v>
      </c>
      <c r="C580" s="396">
        <v>7018422.5599999996</v>
      </c>
      <c r="D580" s="114">
        <f t="shared" si="791"/>
        <v>1462.1713666666665</v>
      </c>
      <c r="E580" s="399">
        <v>313459.25</v>
      </c>
      <c r="F580" s="114">
        <f t="shared" si="792"/>
        <v>65.304010416666657</v>
      </c>
      <c r="G580" s="396">
        <v>24741.91</v>
      </c>
      <c r="H580" s="114">
        <f t="shared" si="793"/>
        <v>1.7181881944444446</v>
      </c>
      <c r="I580" s="399">
        <v>195620.42</v>
      </c>
      <c r="J580" s="114">
        <f t="shared" si="794"/>
        <v>13.58475138888889</v>
      </c>
      <c r="K580" s="396">
        <v>74192.59</v>
      </c>
      <c r="L580" s="114">
        <f t="shared" si="795"/>
        <v>1.0304526388888888</v>
      </c>
      <c r="M580" s="396">
        <v>2719.57</v>
      </c>
      <c r="N580" s="114">
        <f t="shared" si="796"/>
        <v>3.7771805555555558E-2</v>
      </c>
      <c r="O580" s="396">
        <v>88492.83</v>
      </c>
      <c r="P580" s="114">
        <f t="shared" si="797"/>
        <v>15.977872083333333</v>
      </c>
      <c r="Q580" s="396">
        <v>101275.96</v>
      </c>
      <c r="R580" s="398">
        <f t="shared" si="798"/>
        <v>22.505768888888891</v>
      </c>
    </row>
    <row r="581" spans="1:18" x14ac:dyDescent="0.3">
      <c r="A581" s="449">
        <f t="shared" si="782"/>
        <v>1135.7688945833331</v>
      </c>
      <c r="B581" s="393">
        <f t="shared" si="691"/>
        <v>46047</v>
      </c>
      <c r="C581" s="396">
        <v>3018420.56</v>
      </c>
      <c r="D581" s="114">
        <f t="shared" si="791"/>
        <v>628.83761666666658</v>
      </c>
      <c r="E581" s="399">
        <v>2169967.0699999998</v>
      </c>
      <c r="F581" s="114">
        <f t="shared" si="792"/>
        <v>452.0764729166666</v>
      </c>
      <c r="G581" s="396">
        <v>24741.91</v>
      </c>
      <c r="H581" s="114">
        <f t="shared" si="793"/>
        <v>1.7181881944444446</v>
      </c>
      <c r="I581" s="399">
        <v>195620.42</v>
      </c>
      <c r="J581" s="114">
        <f t="shared" si="794"/>
        <v>13.58475138888889</v>
      </c>
      <c r="K581" s="396">
        <v>74192.59</v>
      </c>
      <c r="L581" s="114">
        <f t="shared" si="795"/>
        <v>1.0304526388888888</v>
      </c>
      <c r="M581" s="396">
        <v>2719.57</v>
      </c>
      <c r="N581" s="114">
        <f t="shared" si="796"/>
        <v>3.7771805555555558E-2</v>
      </c>
      <c r="O581" s="396">
        <v>88492.83</v>
      </c>
      <c r="P581" s="114">
        <f t="shared" si="797"/>
        <v>15.977872083333333</v>
      </c>
      <c r="Q581" s="396">
        <v>101275.96</v>
      </c>
      <c r="R581" s="398">
        <f t="shared" si="798"/>
        <v>22.505768888888891</v>
      </c>
    </row>
    <row r="582" spans="1:18" x14ac:dyDescent="0.3">
      <c r="A582" s="449">
        <f t="shared" ref="A582" si="799">D582+F582+H582+J582+L582+N582+P582+R582</f>
        <v>1008.0763369444443</v>
      </c>
      <c r="B582" s="393">
        <f t="shared" si="691"/>
        <v>46048</v>
      </c>
      <c r="C582" s="396">
        <v>3018420.56</v>
      </c>
      <c r="D582" s="114">
        <f t="shared" si="791"/>
        <v>628.83761666666658</v>
      </c>
      <c r="E582" s="399">
        <v>1557040.06</v>
      </c>
      <c r="F582" s="114">
        <f t="shared" si="792"/>
        <v>324.38334583333329</v>
      </c>
      <c r="G582" s="396">
        <v>24742.91</v>
      </c>
      <c r="H582" s="114">
        <f t="shared" ref="H582" si="800">(G582*2.5%)/360</f>
        <v>1.718257638888889</v>
      </c>
      <c r="I582" s="399">
        <v>195621.42</v>
      </c>
      <c r="J582" s="114">
        <f t="shared" ref="J582" si="801">(I582*2.5%)/360</f>
        <v>13.584820833333335</v>
      </c>
      <c r="K582" s="396">
        <v>74193.59</v>
      </c>
      <c r="L582" s="114">
        <f t="shared" ref="L582" si="802">(K582*0.5%)/360</f>
        <v>1.0304665277777778</v>
      </c>
      <c r="M582" s="396">
        <v>2720.57</v>
      </c>
      <c r="N582" s="114">
        <f t="shared" ref="N582" si="803">(M582*0.5%)/360</f>
        <v>3.7785694444444448E-2</v>
      </c>
      <c r="O582" s="396">
        <v>88493.83</v>
      </c>
      <c r="P582" s="114">
        <f t="shared" ref="P582" si="804">(O582*6.5%)/360</f>
        <v>15.97805263888889</v>
      </c>
      <c r="Q582" s="396">
        <v>101276.96</v>
      </c>
      <c r="R582" s="398">
        <f t="shared" ref="R582" si="805">(Q582*8%)/360</f>
        <v>22.505991111111111</v>
      </c>
    </row>
    <row r="583" spans="1:18" x14ac:dyDescent="0.3">
      <c r="A583" s="449">
        <f t="shared" ref="A583" si="806">D583+F583+H583+J583+L583+N583+P583+R583</f>
        <v>897.38236402777761</v>
      </c>
      <c r="B583" s="393">
        <f t="shared" si="691"/>
        <v>46049</v>
      </c>
      <c r="C583" s="396">
        <v>3018420.56</v>
      </c>
      <c r="D583" s="114">
        <f t="shared" ref="D583:D584" si="807">(C583*7.5%)/360</f>
        <v>628.83761666666658</v>
      </c>
      <c r="E583" s="399">
        <v>1003373.59</v>
      </c>
      <c r="F583" s="114">
        <f t="shared" ref="F583:F584" si="808">(E583*7.5%)/360</f>
        <v>209.03616458333332</v>
      </c>
      <c r="G583" s="396">
        <v>91741.91</v>
      </c>
      <c r="H583" s="114">
        <f t="shared" ref="H583:H584" si="809">(G583*2.5%)/360</f>
        <v>6.3709659722222227</v>
      </c>
      <c r="I583" s="399">
        <v>195622.42</v>
      </c>
      <c r="J583" s="114">
        <f t="shared" ref="J583:J584" si="810">(I583*2.5%)/360</f>
        <v>13.584890277777779</v>
      </c>
      <c r="K583" s="396">
        <v>74194.59</v>
      </c>
      <c r="L583" s="114">
        <f t="shared" ref="L583" si="811">(K583*0.5%)/360</f>
        <v>1.0304804166666666</v>
      </c>
      <c r="M583" s="396">
        <v>2721.57</v>
      </c>
      <c r="N583" s="114">
        <f t="shared" ref="N583" si="812">(M583*0.5%)/360</f>
        <v>3.7799583333333338E-2</v>
      </c>
      <c r="O583" s="396">
        <v>88494.83</v>
      </c>
      <c r="P583" s="114">
        <f t="shared" ref="P583" si="813">(O583*6.5%)/360</f>
        <v>15.978233194444444</v>
      </c>
      <c r="Q583" s="396">
        <v>101277.96</v>
      </c>
      <c r="R583" s="398">
        <f t="shared" ref="R583" si="814">(Q583*8%)/360</f>
        <v>22.506213333333335</v>
      </c>
    </row>
    <row r="584" spans="1:18" x14ac:dyDescent="0.3">
      <c r="A584" s="449">
        <f t="shared" ref="A584" si="815">D584+F584+H584+J584+L584+N584+P584+R584</f>
        <v>1328.7116327777778</v>
      </c>
      <c r="B584" s="393">
        <f t="shared" si="691"/>
        <v>46050</v>
      </c>
      <c r="C584" s="396">
        <v>3018420.56</v>
      </c>
      <c r="D584" s="114">
        <f t="shared" si="807"/>
        <v>628.83761666666658</v>
      </c>
      <c r="E584" s="399">
        <v>3035426.56</v>
      </c>
      <c r="F584" s="114">
        <f t="shared" si="808"/>
        <v>632.38053333333335</v>
      </c>
      <c r="G584" s="396">
        <v>211741.91</v>
      </c>
      <c r="H584" s="114">
        <f t="shared" si="809"/>
        <v>14.704299305555557</v>
      </c>
      <c r="I584" s="399">
        <v>190598.78</v>
      </c>
      <c r="J584" s="114">
        <f t="shared" si="810"/>
        <v>13.23602638888889</v>
      </c>
      <c r="K584" s="396">
        <v>74195.59</v>
      </c>
      <c r="L584" s="114">
        <f t="shared" ref="L584" si="816">(K584*0.5%)/360</f>
        <v>1.0304943055555555</v>
      </c>
      <c r="M584" s="396">
        <v>2722.57</v>
      </c>
      <c r="N584" s="114">
        <f t="shared" ref="N584" si="817">(M584*0.5%)/360</f>
        <v>3.7813472222222227E-2</v>
      </c>
      <c r="O584" s="396">
        <v>88495.83</v>
      </c>
      <c r="P584" s="114">
        <f t="shared" ref="P584" si="818">(O584*6.5%)/360</f>
        <v>15.978413750000001</v>
      </c>
      <c r="Q584" s="396">
        <v>101278.96</v>
      </c>
      <c r="R584" s="398">
        <f t="shared" ref="R584" si="819">(Q584*8%)/360</f>
        <v>22.506435555555559</v>
      </c>
    </row>
    <row r="585" spans="1:18" x14ac:dyDescent="0.3">
      <c r="A585" s="449">
        <f t="shared" ref="A585" si="820">D585+F585+H585+J585+L585+N585+P585+R585</f>
        <v>1169.808320972222</v>
      </c>
      <c r="B585" s="393">
        <f t="shared" si="691"/>
        <v>46051</v>
      </c>
      <c r="C585" s="396">
        <v>3018420.56</v>
      </c>
      <c r="D585" s="114">
        <f t="shared" ref="D585" si="821">(C585*7.5%)/360</f>
        <v>628.83761666666658</v>
      </c>
      <c r="E585" s="399">
        <v>2272705.13</v>
      </c>
      <c r="F585" s="114">
        <f t="shared" ref="F585" si="822">(E585*7.5%)/360</f>
        <v>473.48023541666669</v>
      </c>
      <c r="G585" s="396">
        <v>211741.91</v>
      </c>
      <c r="H585" s="114">
        <f t="shared" ref="H585" si="823">(G585*2.5%)/360</f>
        <v>14.704299305555557</v>
      </c>
      <c r="I585" s="399">
        <v>190598.78</v>
      </c>
      <c r="J585" s="114">
        <f t="shared" ref="J585" si="824">(I585*2.5%)/360</f>
        <v>13.23602638888889</v>
      </c>
      <c r="K585" s="396">
        <v>74188.59</v>
      </c>
      <c r="L585" s="114">
        <f t="shared" ref="L585" si="825">(K585*0.5%)/360</f>
        <v>1.0303970833333334</v>
      </c>
      <c r="M585" s="396">
        <v>2715.57</v>
      </c>
      <c r="N585" s="114">
        <f t="shared" ref="N585" si="826">(M585*0.5%)/360</f>
        <v>3.7716250000000007E-2</v>
      </c>
      <c r="O585" s="396">
        <v>88488.83</v>
      </c>
      <c r="P585" s="114">
        <f t="shared" ref="P585" si="827">(O585*6.5%)/360</f>
        <v>15.977149861111114</v>
      </c>
      <c r="Q585" s="396">
        <v>101271.96</v>
      </c>
      <c r="R585" s="398">
        <f t="shared" ref="R585" si="828">(Q585*8%)/360</f>
        <v>22.504880000000004</v>
      </c>
    </row>
    <row r="586" spans="1:18" x14ac:dyDescent="0.3">
      <c r="A586" s="449">
        <f t="shared" ref="A586:A588" si="829">D586+F586+H586+J586+L586+N586+P586+R586</f>
        <v>1169.8093070833331</v>
      </c>
      <c r="B586" s="393">
        <f t="shared" si="691"/>
        <v>46052</v>
      </c>
      <c r="C586" s="396">
        <v>3018421.56</v>
      </c>
      <c r="D586" s="114">
        <f t="shared" ref="D586:D590" si="830">(C586*7.5%)/360</f>
        <v>628.83782499999995</v>
      </c>
      <c r="E586" s="399">
        <v>2272706.13</v>
      </c>
      <c r="F586" s="114">
        <f t="shared" ref="F586:F590" si="831">(E586*7.5%)/360</f>
        <v>473.48044374999995</v>
      </c>
      <c r="G586" s="396">
        <v>211742.91</v>
      </c>
      <c r="H586" s="114">
        <f t="shared" ref="H586:H590" si="832">(G586*2.5%)/360</f>
        <v>14.70436875</v>
      </c>
      <c r="I586" s="399">
        <v>190599.78</v>
      </c>
      <c r="J586" s="114">
        <f t="shared" ref="J586:J587" si="833">(I586*2.5%)/360</f>
        <v>13.236095833333334</v>
      </c>
      <c r="K586" s="396">
        <v>74189.59</v>
      </c>
      <c r="L586" s="114">
        <f t="shared" ref="L586:L587" si="834">(K586*0.5%)/360</f>
        <v>1.0304109722222221</v>
      </c>
      <c r="M586" s="396">
        <v>2716.57</v>
      </c>
      <c r="N586" s="114">
        <f t="shared" ref="N586:N587" si="835">(M586*0.5%)/360</f>
        <v>3.7730138888888889E-2</v>
      </c>
      <c r="O586" s="396">
        <v>88489.83</v>
      </c>
      <c r="P586" s="114">
        <f t="shared" ref="P586:P587" si="836">(O586*6.5%)/360</f>
        <v>15.977330416666668</v>
      </c>
      <c r="Q586" s="396">
        <v>101272.96000000001</v>
      </c>
      <c r="R586" s="398">
        <f t="shared" ref="R586:R587" si="837">(Q586*8%)/360</f>
        <v>22.505102222222224</v>
      </c>
    </row>
    <row r="587" spans="1:18" x14ac:dyDescent="0.3">
      <c r="A587" s="449">
        <f t="shared" si="829"/>
        <v>1169.8102931944443</v>
      </c>
      <c r="B587" s="393">
        <f t="shared" si="691"/>
        <v>46053</v>
      </c>
      <c r="C587" s="396">
        <v>3018422.56</v>
      </c>
      <c r="D587" s="114">
        <f t="shared" si="830"/>
        <v>628.83803333333333</v>
      </c>
      <c r="E587" s="399">
        <v>2272707.13</v>
      </c>
      <c r="F587" s="114">
        <f t="shared" si="831"/>
        <v>473.48065208333333</v>
      </c>
      <c r="G587" s="396">
        <v>211743.91</v>
      </c>
      <c r="H587" s="114">
        <f t="shared" si="832"/>
        <v>14.704438194444446</v>
      </c>
      <c r="I587" s="399">
        <v>190600.78</v>
      </c>
      <c r="J587" s="114">
        <f t="shared" si="833"/>
        <v>13.236165277777779</v>
      </c>
      <c r="K587" s="396">
        <v>74190.59</v>
      </c>
      <c r="L587" s="114">
        <f t="shared" si="834"/>
        <v>1.0304248611111111</v>
      </c>
      <c r="M587" s="396">
        <v>2717.57</v>
      </c>
      <c r="N587" s="114">
        <f t="shared" si="835"/>
        <v>3.7744027777777779E-2</v>
      </c>
      <c r="O587" s="396">
        <v>88490.83</v>
      </c>
      <c r="P587" s="114">
        <f t="shared" si="836"/>
        <v>15.977510972222221</v>
      </c>
      <c r="Q587" s="396">
        <v>101273.96</v>
      </c>
      <c r="R587" s="398">
        <f t="shared" si="837"/>
        <v>22.505324444444447</v>
      </c>
    </row>
    <row r="588" spans="1:18" x14ac:dyDescent="0.3">
      <c r="A588" s="449">
        <f t="shared" si="829"/>
        <v>852.99126055555553</v>
      </c>
      <c r="B588" s="393">
        <f t="shared" si="691"/>
        <v>46054</v>
      </c>
      <c r="C588" s="396">
        <v>3018420.56</v>
      </c>
      <c r="D588" s="114">
        <f t="shared" si="830"/>
        <v>628.83761666666658</v>
      </c>
      <c r="E588" s="399">
        <v>451977.04</v>
      </c>
      <c r="F588" s="114">
        <f t="shared" si="831"/>
        <v>94.161883333333336</v>
      </c>
      <c r="G588" s="396">
        <v>1111741.9099999999</v>
      </c>
      <c r="H588" s="114">
        <f t="shared" si="832"/>
        <v>77.204299305555551</v>
      </c>
      <c r="I588" s="399">
        <v>190598.78</v>
      </c>
      <c r="J588" s="114">
        <f t="shared" ref="J588:J590" si="838">(I588*2.5%)/360</f>
        <v>13.23602638888889</v>
      </c>
      <c r="K588" s="396">
        <v>74191.59</v>
      </c>
      <c r="L588" s="114">
        <f t="shared" ref="L588" si="839">(K588*0.5%)/360</f>
        <v>1.0304387499999998</v>
      </c>
      <c r="M588" s="396">
        <v>2718.57</v>
      </c>
      <c r="N588" s="114">
        <f t="shared" ref="N588" si="840">(M588*0.5%)/360</f>
        <v>3.7757916666666669E-2</v>
      </c>
      <c r="O588" s="396">
        <v>88491.83</v>
      </c>
      <c r="P588" s="114">
        <f t="shared" ref="P588" si="841">(O588*6.5%)/360</f>
        <v>15.977691527777779</v>
      </c>
      <c r="Q588" s="396">
        <v>101274.96</v>
      </c>
      <c r="R588" s="398">
        <f t="shared" ref="R588" si="842">(Q588*8%)/360</f>
        <v>22.505546666666667</v>
      </c>
    </row>
    <row r="589" spans="1:18" x14ac:dyDescent="0.3">
      <c r="A589" s="449">
        <f t="shared" ref="A589" si="843">D589+F589+H589+J589+L589+N589+P589+R589</f>
        <v>976.50682652777743</v>
      </c>
      <c r="B589" s="393">
        <f t="shared" si="691"/>
        <v>46055</v>
      </c>
      <c r="C589" s="396">
        <v>3018420.56</v>
      </c>
      <c r="D589" s="114">
        <f t="shared" si="830"/>
        <v>628.83761666666658</v>
      </c>
      <c r="E589" s="399">
        <v>724849.69</v>
      </c>
      <c r="F589" s="114">
        <f t="shared" si="831"/>
        <v>151.01035208333332</v>
      </c>
      <c r="G589" s="396">
        <v>2071741.91</v>
      </c>
      <c r="H589" s="114">
        <f t="shared" si="832"/>
        <v>143.87096597222222</v>
      </c>
      <c r="I589" s="399">
        <v>190598.78</v>
      </c>
      <c r="J589" s="114">
        <f t="shared" si="838"/>
        <v>13.23602638888889</v>
      </c>
      <c r="K589" s="396">
        <v>74192.59</v>
      </c>
      <c r="L589" s="114">
        <f t="shared" ref="L589" si="844">(K589*0.5%)/360</f>
        <v>1.0304526388888888</v>
      </c>
      <c r="M589" s="396">
        <v>2719.57</v>
      </c>
      <c r="N589" s="114">
        <f t="shared" ref="N589" si="845">(M589*0.5%)/360</f>
        <v>3.7771805555555558E-2</v>
      </c>
      <c r="O589" s="396">
        <v>88492.83</v>
      </c>
      <c r="P589" s="114">
        <f t="shared" ref="P589" si="846">(O589*6.5%)/360</f>
        <v>15.977872083333333</v>
      </c>
      <c r="Q589" s="396">
        <v>101275.96</v>
      </c>
      <c r="R589" s="398">
        <f t="shared" ref="R589" si="847">(Q589*8%)/360</f>
        <v>22.505768888888891</v>
      </c>
    </row>
    <row r="590" spans="1:18" x14ac:dyDescent="0.3">
      <c r="A590" s="449">
        <f t="shared" ref="A590" si="848">D590+F590+H590+J590+L590+N590+P590+R590</f>
        <v>1397.1109147222221</v>
      </c>
      <c r="B590" s="393">
        <f t="shared" si="691"/>
        <v>46056</v>
      </c>
      <c r="C590" s="396">
        <v>3018420.56</v>
      </c>
      <c r="D590" s="114">
        <f t="shared" si="830"/>
        <v>628.83761666666658</v>
      </c>
      <c r="E590" s="399">
        <v>2510415.98</v>
      </c>
      <c r="F590" s="114">
        <f t="shared" si="831"/>
        <v>523.00332916666662</v>
      </c>
      <c r="G590" s="396">
        <v>2771741.91</v>
      </c>
      <c r="H590" s="114">
        <f t="shared" si="832"/>
        <v>192.48207708333337</v>
      </c>
      <c r="I590" s="399">
        <v>190598.78</v>
      </c>
      <c r="J590" s="114">
        <f t="shared" si="838"/>
        <v>13.23602638888889</v>
      </c>
      <c r="K590" s="396">
        <v>74192.59</v>
      </c>
      <c r="L590" s="114">
        <f t="shared" ref="L590" si="849">(K590*0.5%)/360</f>
        <v>1.0304526388888888</v>
      </c>
      <c r="M590" s="396">
        <v>2719.57</v>
      </c>
      <c r="N590" s="114">
        <f t="shared" ref="N590" si="850">(M590*0.5%)/360</f>
        <v>3.7771805555555558E-2</v>
      </c>
      <c r="O590" s="396">
        <v>88492.83</v>
      </c>
      <c r="P590" s="114">
        <f t="shared" ref="P590" si="851">(O590*6.5%)/360</f>
        <v>15.977872083333333</v>
      </c>
      <c r="Q590" s="396">
        <v>101275.96</v>
      </c>
      <c r="R590" s="398">
        <f t="shared" ref="R590" si="852">(Q590*8%)/360</f>
        <v>22.505768888888891</v>
      </c>
    </row>
    <row r="591" spans="1:18" x14ac:dyDescent="0.3">
      <c r="A591" s="449">
        <f t="shared" ref="A591" si="853">D591+F591+H591+J591+L591+N591+P591+R591</f>
        <v>1397.1109147222221</v>
      </c>
      <c r="B591" s="393">
        <f t="shared" si="691"/>
        <v>46057</v>
      </c>
      <c r="C591" s="396">
        <v>3018420.56</v>
      </c>
      <c r="D591" s="114">
        <f t="shared" ref="D591" si="854">(C591*7.5%)/360</f>
        <v>628.83761666666658</v>
      </c>
      <c r="E591" s="399">
        <v>2510415.98</v>
      </c>
      <c r="F591" s="114">
        <f t="shared" ref="F591" si="855">(E591*7.5%)/360</f>
        <v>523.00332916666662</v>
      </c>
      <c r="G591" s="396">
        <v>2771741.91</v>
      </c>
      <c r="H591" s="114">
        <f t="shared" ref="H591" si="856">(G591*2.5%)/360</f>
        <v>192.48207708333337</v>
      </c>
      <c r="I591" s="399">
        <v>190598.78</v>
      </c>
      <c r="J591" s="114">
        <f t="shared" ref="J591" si="857">(I591*2.5%)/360</f>
        <v>13.23602638888889</v>
      </c>
      <c r="K591" s="396">
        <v>74192.59</v>
      </c>
      <c r="L591" s="114">
        <f t="shared" ref="L591" si="858">(K591*0.5%)/360</f>
        <v>1.0304526388888888</v>
      </c>
      <c r="M591" s="396">
        <v>2719.57</v>
      </c>
      <c r="N591" s="114">
        <f t="shared" ref="N591" si="859">(M591*0.5%)/360</f>
        <v>3.7771805555555558E-2</v>
      </c>
      <c r="O591" s="396">
        <v>88492.83</v>
      </c>
      <c r="P591" s="114">
        <f t="shared" ref="P591" si="860">(O591*6.5%)/360</f>
        <v>15.977872083333333</v>
      </c>
      <c r="Q591" s="396">
        <v>101275.96</v>
      </c>
      <c r="R591" s="398">
        <f t="shared" ref="R591" si="861">(Q591*8%)/360</f>
        <v>22.505768888888891</v>
      </c>
    </row>
    <row r="592" spans="1:18" x14ac:dyDescent="0.3">
      <c r="A592" s="449">
        <f t="shared" ref="A592" si="862">D592+F592+H592+J592+L592+N592+P592+R592</f>
        <v>1088.0719674999998</v>
      </c>
      <c r="B592" s="393">
        <f t="shared" si="691"/>
        <v>46058</v>
      </c>
      <c r="C592" s="396">
        <v>3018420.56</v>
      </c>
      <c r="D592" s="114">
        <f t="shared" ref="D592" si="863">(C592*7.5%)/360</f>
        <v>628.83761666666658</v>
      </c>
      <c r="E592" s="399">
        <v>1023695.7</v>
      </c>
      <c r="F592" s="114">
        <f t="shared" ref="F592" si="864">(E592*7.5%)/360</f>
        <v>213.26993749999997</v>
      </c>
      <c r="G592" s="396">
        <v>2781741.91</v>
      </c>
      <c r="H592" s="114">
        <f t="shared" ref="H592" si="865">(G592*2.5%)/360</f>
        <v>193.17652152777782</v>
      </c>
      <c r="I592" s="399">
        <v>190598.78</v>
      </c>
      <c r="J592" s="114">
        <f t="shared" ref="J592" si="866">(I592*2.5%)/360</f>
        <v>13.23602638888889</v>
      </c>
      <c r="K592" s="396">
        <v>74192.59</v>
      </c>
      <c r="L592" s="114">
        <f t="shared" ref="L592" si="867">(K592*0.5%)/360</f>
        <v>1.0304526388888888</v>
      </c>
      <c r="M592" s="396">
        <v>2719.57</v>
      </c>
      <c r="N592" s="114">
        <f t="shared" ref="N592" si="868">(M592*0.5%)/360</f>
        <v>3.7771805555555558E-2</v>
      </c>
      <c r="O592" s="396">
        <v>88492.83</v>
      </c>
      <c r="P592" s="114">
        <f t="shared" ref="P592" si="869">(O592*6.5%)/360</f>
        <v>15.977872083333333</v>
      </c>
      <c r="Q592" s="396">
        <v>101275.96</v>
      </c>
      <c r="R592" s="398">
        <f t="shared" ref="R592" si="870">(Q592*8%)/360</f>
        <v>22.505768888888891</v>
      </c>
    </row>
    <row r="593" spans="1:18" x14ac:dyDescent="0.3">
      <c r="A593" s="449">
        <f t="shared" ref="A593:A595" si="871">D593+F593+H593+J593+L593+N593+P593+R593</f>
        <v>465.78030083333334</v>
      </c>
      <c r="B593" s="393">
        <f t="shared" si="691"/>
        <v>46059</v>
      </c>
      <c r="C593" s="396">
        <v>18420.560000000001</v>
      </c>
      <c r="D593" s="114">
        <f t="shared" ref="D593:D595" si="872">(C593*7.5%)/360</f>
        <v>3.8376166666666669</v>
      </c>
      <c r="E593" s="399">
        <v>1023695.7</v>
      </c>
      <c r="F593" s="114">
        <f t="shared" ref="F593:F595" si="873">(E593*7.5%)/360</f>
        <v>213.26993749999997</v>
      </c>
      <c r="G593" s="396">
        <v>2820741.91</v>
      </c>
      <c r="H593" s="114">
        <f t="shared" ref="H593:H595" si="874">(G593*2.5%)/360</f>
        <v>195.88485486111114</v>
      </c>
      <c r="I593" s="399">
        <v>190598.78</v>
      </c>
      <c r="J593" s="114">
        <f t="shared" ref="J593:J595" si="875">(I593*2.5%)/360</f>
        <v>13.23602638888889</v>
      </c>
      <c r="K593" s="396">
        <v>74192.59</v>
      </c>
      <c r="L593" s="114">
        <f t="shared" ref="L593:L595" si="876">(K593*0.5%)/360</f>
        <v>1.0304526388888888</v>
      </c>
      <c r="M593" s="396">
        <v>2719.57</v>
      </c>
      <c r="N593" s="114">
        <f t="shared" ref="N593:N595" si="877">(M593*0.5%)/360</f>
        <v>3.7771805555555558E-2</v>
      </c>
      <c r="O593" s="396">
        <v>88492.83</v>
      </c>
      <c r="P593" s="114">
        <f t="shared" ref="P593:P595" si="878">(O593*6.5%)/360</f>
        <v>15.977872083333333</v>
      </c>
      <c r="Q593" s="396">
        <v>101275.96</v>
      </c>
      <c r="R593" s="398">
        <f t="shared" ref="R593:R595" si="879">(Q593*8%)/360</f>
        <v>22.505768888888891</v>
      </c>
    </row>
    <row r="594" spans="1:18" x14ac:dyDescent="0.3">
      <c r="A594" s="449">
        <f t="shared" si="871"/>
        <v>465.78030083333334</v>
      </c>
      <c r="B594" s="393">
        <f t="shared" si="691"/>
        <v>46060</v>
      </c>
      <c r="C594" s="396">
        <v>18420.560000000001</v>
      </c>
      <c r="D594" s="114">
        <f t="shared" si="872"/>
        <v>3.8376166666666669</v>
      </c>
      <c r="E594" s="399">
        <v>1023695.7</v>
      </c>
      <c r="F594" s="114">
        <f t="shared" si="873"/>
        <v>213.26993749999997</v>
      </c>
      <c r="G594" s="396">
        <v>2820741.91</v>
      </c>
      <c r="H594" s="114">
        <f t="shared" si="874"/>
        <v>195.88485486111114</v>
      </c>
      <c r="I594" s="399">
        <v>190598.78</v>
      </c>
      <c r="J594" s="114">
        <f t="shared" si="875"/>
        <v>13.23602638888889</v>
      </c>
      <c r="K594" s="396">
        <v>74192.59</v>
      </c>
      <c r="L594" s="114">
        <f t="shared" si="876"/>
        <v>1.0304526388888888</v>
      </c>
      <c r="M594" s="396">
        <v>2719.57</v>
      </c>
      <c r="N594" s="114">
        <f t="shared" si="877"/>
        <v>3.7771805555555558E-2</v>
      </c>
      <c r="O594" s="396">
        <v>88492.83</v>
      </c>
      <c r="P594" s="114">
        <f t="shared" si="878"/>
        <v>15.977872083333333</v>
      </c>
      <c r="Q594" s="396">
        <v>101275.96</v>
      </c>
      <c r="R594" s="398">
        <f t="shared" si="879"/>
        <v>22.505768888888891</v>
      </c>
    </row>
    <row r="595" spans="1:18" x14ac:dyDescent="0.3">
      <c r="A595" s="449">
        <f t="shared" si="871"/>
        <v>465.78030083333334</v>
      </c>
      <c r="B595" s="393">
        <f t="shared" si="691"/>
        <v>46061</v>
      </c>
      <c r="C595" s="396">
        <v>18420.560000000001</v>
      </c>
      <c r="D595" s="114">
        <f t="shared" si="872"/>
        <v>3.8376166666666669</v>
      </c>
      <c r="E595" s="399">
        <v>1023695.7</v>
      </c>
      <c r="F595" s="114">
        <f t="shared" si="873"/>
        <v>213.26993749999997</v>
      </c>
      <c r="G595" s="396">
        <v>2820741.91</v>
      </c>
      <c r="H595" s="114">
        <f t="shared" si="874"/>
        <v>195.88485486111114</v>
      </c>
      <c r="I595" s="399">
        <v>190598.78</v>
      </c>
      <c r="J595" s="114">
        <f t="shared" si="875"/>
        <v>13.23602638888889</v>
      </c>
      <c r="K595" s="396">
        <v>74192.59</v>
      </c>
      <c r="L595" s="114">
        <f t="shared" si="876"/>
        <v>1.0304526388888888</v>
      </c>
      <c r="M595" s="396">
        <v>2719.57</v>
      </c>
      <c r="N595" s="114">
        <f t="shared" si="877"/>
        <v>3.7771805555555558E-2</v>
      </c>
      <c r="O595" s="396">
        <v>88492.83</v>
      </c>
      <c r="P595" s="114">
        <f t="shared" si="878"/>
        <v>15.977872083333333</v>
      </c>
      <c r="Q595" s="396">
        <v>101275.96</v>
      </c>
      <c r="R595" s="398">
        <f t="shared" si="879"/>
        <v>22.505768888888891</v>
      </c>
    </row>
    <row r="596" spans="1:18" x14ac:dyDescent="0.3">
      <c r="A596" s="449">
        <f t="shared" ref="A596" si="880">D596+F596+H596+J596+L596+N596+P596+R596</f>
        <v>949.02655291666645</v>
      </c>
      <c r="B596" s="393">
        <f t="shared" si="691"/>
        <v>46062</v>
      </c>
      <c r="C596" s="396">
        <v>18420.560000000001</v>
      </c>
      <c r="D596" s="114">
        <f t="shared" ref="D596" si="881">(C596*7.5%)/360</f>
        <v>3.8376166666666669</v>
      </c>
      <c r="E596" s="399">
        <v>4276277.71</v>
      </c>
      <c r="F596" s="114">
        <f t="shared" ref="F596" si="882">(E596*7.5%)/360</f>
        <v>890.89118958333324</v>
      </c>
      <c r="G596" s="396">
        <v>21741.91</v>
      </c>
      <c r="H596" s="114">
        <f t="shared" ref="H596" si="883">(G596*2.5%)/360</f>
        <v>1.5098548611111113</v>
      </c>
      <c r="I596" s="399">
        <v>190598.78</v>
      </c>
      <c r="J596" s="114">
        <f t="shared" ref="J596" si="884">(I596*2.5%)/360</f>
        <v>13.23602638888889</v>
      </c>
      <c r="K596" s="396">
        <v>74192.59</v>
      </c>
      <c r="L596" s="114">
        <f t="shared" ref="L596" si="885">(K596*0.5%)/360</f>
        <v>1.0304526388888888</v>
      </c>
      <c r="M596" s="396">
        <v>2719.57</v>
      </c>
      <c r="N596" s="114">
        <f t="shared" ref="N596" si="886">(M596*0.5%)/360</f>
        <v>3.7771805555555558E-2</v>
      </c>
      <c r="O596" s="396">
        <v>88492.83</v>
      </c>
      <c r="P596" s="114">
        <f t="shared" ref="P596" si="887">(O596*6.5%)/360</f>
        <v>15.977872083333333</v>
      </c>
      <c r="Q596" s="396">
        <v>101275.96</v>
      </c>
      <c r="R596" s="398">
        <f t="shared" ref="R596" si="888">(Q596*8%)/360</f>
        <v>22.505768888888891</v>
      </c>
    </row>
    <row r="597" spans="1:18" x14ac:dyDescent="0.3">
      <c r="A597" s="449">
        <f t="shared" ref="A597" si="889">D597+F597+H597+J597+L597+N597+P597+R597</f>
        <v>599.82120708333309</v>
      </c>
      <c r="B597" s="393">
        <f t="shared" si="691"/>
        <v>46063</v>
      </c>
      <c r="C597" s="396">
        <v>118420.56</v>
      </c>
      <c r="D597" s="114">
        <f t="shared" ref="D597" si="890">(C597*7.5%)/360</f>
        <v>24.670949999999998</v>
      </c>
      <c r="E597" s="399">
        <v>2500092.0499999998</v>
      </c>
      <c r="F597" s="114">
        <f t="shared" ref="F597" si="891">(E597*7.5%)/360</f>
        <v>520.85251041666663</v>
      </c>
      <c r="G597" s="396">
        <v>21741.91</v>
      </c>
      <c r="H597" s="114">
        <f t="shared" ref="H597" si="892">(G597*2.5%)/360</f>
        <v>1.5098548611111113</v>
      </c>
      <c r="I597" s="399">
        <v>190598.78</v>
      </c>
      <c r="J597" s="114">
        <f t="shared" ref="J597" si="893">(I597*2.5%)/360</f>
        <v>13.23602638888889</v>
      </c>
      <c r="K597" s="396">
        <v>74192.59</v>
      </c>
      <c r="L597" s="114">
        <f t="shared" ref="L597" si="894">(K597*0.5%)/360</f>
        <v>1.0304526388888888</v>
      </c>
      <c r="M597" s="396">
        <v>2719.57</v>
      </c>
      <c r="N597" s="114">
        <f t="shared" ref="N597" si="895">(M597*0.5%)/360</f>
        <v>3.7771805555555558E-2</v>
      </c>
      <c r="O597" s="396">
        <v>88492.83</v>
      </c>
      <c r="P597" s="114">
        <f t="shared" ref="P597" si="896">(O597*6.5%)/360</f>
        <v>15.977872083333333</v>
      </c>
      <c r="Q597" s="396">
        <v>101275.96</v>
      </c>
      <c r="R597" s="398">
        <f t="shared" ref="R597" si="897">(Q597*8%)/360</f>
        <v>22.505768888888891</v>
      </c>
    </row>
    <row r="598" spans="1:18" x14ac:dyDescent="0.3">
      <c r="A598" s="449">
        <f t="shared" ref="A598:A602" si="898">D598+F598+H598+J598+L598+N598+P598+R598</f>
        <v>599.82120708333309</v>
      </c>
      <c r="B598" s="393">
        <f t="shared" si="691"/>
        <v>46064</v>
      </c>
      <c r="C598" s="396">
        <v>118420.56</v>
      </c>
      <c r="D598" s="114">
        <f t="shared" ref="D598:D602" si="899">(C598*7.5%)/360</f>
        <v>24.670949999999998</v>
      </c>
      <c r="E598" s="399">
        <v>2500092.0499999998</v>
      </c>
      <c r="F598" s="114">
        <f t="shared" ref="F598:F602" si="900">(E598*7.5%)/360</f>
        <v>520.85251041666663</v>
      </c>
      <c r="G598" s="396">
        <v>21741.91</v>
      </c>
      <c r="H598" s="114">
        <f t="shared" ref="H598:H602" si="901">(G598*2.5%)/360</f>
        <v>1.5098548611111113</v>
      </c>
      <c r="I598" s="399">
        <v>190598.78</v>
      </c>
      <c r="J598" s="114">
        <f t="shared" ref="J598:J602" si="902">(I598*2.5%)/360</f>
        <v>13.23602638888889</v>
      </c>
      <c r="K598" s="396">
        <v>74192.59</v>
      </c>
      <c r="L598" s="114">
        <f t="shared" ref="L598:L602" si="903">(K598*0.5%)/360</f>
        <v>1.0304526388888888</v>
      </c>
      <c r="M598" s="396">
        <v>2719.57</v>
      </c>
      <c r="N598" s="114">
        <f t="shared" ref="N598:N602" si="904">(M598*0.5%)/360</f>
        <v>3.7771805555555558E-2</v>
      </c>
      <c r="O598" s="396">
        <v>88492.83</v>
      </c>
      <c r="P598" s="114">
        <f t="shared" ref="P598:P602" si="905">(O598*6.5%)/360</f>
        <v>15.977872083333333</v>
      </c>
      <c r="Q598" s="396">
        <v>101275.96</v>
      </c>
      <c r="R598" s="398">
        <f t="shared" ref="R598:R602" si="906">(Q598*8%)/360</f>
        <v>22.505768888888891</v>
      </c>
    </row>
    <row r="599" spans="1:18" x14ac:dyDescent="0.3">
      <c r="A599" s="449">
        <f t="shared" si="898"/>
        <v>599.82120708333309</v>
      </c>
      <c r="B599" s="393">
        <f t="shared" si="691"/>
        <v>46065</v>
      </c>
      <c r="C599" s="396">
        <v>118420.56</v>
      </c>
      <c r="D599" s="114">
        <f t="shared" si="899"/>
        <v>24.670949999999998</v>
      </c>
      <c r="E599" s="399">
        <v>2500092.0499999998</v>
      </c>
      <c r="F599" s="114">
        <f t="shared" si="900"/>
        <v>520.85251041666663</v>
      </c>
      <c r="G599" s="396">
        <v>21741.91</v>
      </c>
      <c r="H599" s="114">
        <f t="shared" si="901"/>
        <v>1.5098548611111113</v>
      </c>
      <c r="I599" s="399">
        <v>190598.78</v>
      </c>
      <c r="J599" s="114">
        <f t="shared" si="902"/>
        <v>13.23602638888889</v>
      </c>
      <c r="K599" s="396">
        <v>74192.59</v>
      </c>
      <c r="L599" s="114">
        <f t="shared" si="903"/>
        <v>1.0304526388888888</v>
      </c>
      <c r="M599" s="396">
        <v>2719.57</v>
      </c>
      <c r="N599" s="114">
        <f t="shared" si="904"/>
        <v>3.7771805555555558E-2</v>
      </c>
      <c r="O599" s="396">
        <v>88492.83</v>
      </c>
      <c r="P599" s="114">
        <f t="shared" si="905"/>
        <v>15.977872083333333</v>
      </c>
      <c r="Q599" s="396">
        <v>101275.96</v>
      </c>
      <c r="R599" s="398">
        <f t="shared" si="906"/>
        <v>22.505768888888891</v>
      </c>
    </row>
    <row r="600" spans="1:18" x14ac:dyDescent="0.3">
      <c r="A600" s="449">
        <f t="shared" si="898"/>
        <v>599.82120708333309</v>
      </c>
      <c r="B600" s="393">
        <f t="shared" si="691"/>
        <v>46066</v>
      </c>
      <c r="C600" s="396">
        <v>118420.56</v>
      </c>
      <c r="D600" s="114">
        <f t="shared" si="899"/>
        <v>24.670949999999998</v>
      </c>
      <c r="E600" s="399">
        <v>2500092.0499999998</v>
      </c>
      <c r="F600" s="114">
        <f t="shared" si="900"/>
        <v>520.85251041666663</v>
      </c>
      <c r="G600" s="396">
        <v>21741.91</v>
      </c>
      <c r="H600" s="114">
        <f t="shared" si="901"/>
        <v>1.5098548611111113</v>
      </c>
      <c r="I600" s="399">
        <v>190598.78</v>
      </c>
      <c r="J600" s="114">
        <f t="shared" si="902"/>
        <v>13.23602638888889</v>
      </c>
      <c r="K600" s="396">
        <v>74192.59</v>
      </c>
      <c r="L600" s="114">
        <f t="shared" si="903"/>
        <v>1.0304526388888888</v>
      </c>
      <c r="M600" s="396">
        <v>2719.57</v>
      </c>
      <c r="N600" s="114">
        <f t="shared" si="904"/>
        <v>3.7771805555555558E-2</v>
      </c>
      <c r="O600" s="396">
        <v>88492.83</v>
      </c>
      <c r="P600" s="114">
        <f t="shared" si="905"/>
        <v>15.977872083333333</v>
      </c>
      <c r="Q600" s="396">
        <v>101275.96</v>
      </c>
      <c r="R600" s="398">
        <f t="shared" si="906"/>
        <v>22.505768888888891</v>
      </c>
    </row>
    <row r="601" spans="1:18" x14ac:dyDescent="0.3">
      <c r="A601" s="449">
        <f t="shared" si="898"/>
        <v>599.82120708333309</v>
      </c>
      <c r="B601" s="393">
        <f t="shared" si="691"/>
        <v>46067</v>
      </c>
      <c r="C601" s="396">
        <v>118420.56</v>
      </c>
      <c r="D601" s="114">
        <f t="shared" si="899"/>
        <v>24.670949999999998</v>
      </c>
      <c r="E601" s="399">
        <v>2500092.0499999998</v>
      </c>
      <c r="F601" s="114">
        <f t="shared" si="900"/>
        <v>520.85251041666663</v>
      </c>
      <c r="G601" s="396">
        <v>21741.91</v>
      </c>
      <c r="H601" s="114">
        <f t="shared" si="901"/>
        <v>1.5098548611111113</v>
      </c>
      <c r="I601" s="399">
        <v>190598.78</v>
      </c>
      <c r="J601" s="114">
        <f t="shared" si="902"/>
        <v>13.23602638888889</v>
      </c>
      <c r="K601" s="396">
        <v>74192.59</v>
      </c>
      <c r="L601" s="114">
        <f t="shared" si="903"/>
        <v>1.0304526388888888</v>
      </c>
      <c r="M601" s="396">
        <v>2719.57</v>
      </c>
      <c r="N601" s="114">
        <f t="shared" si="904"/>
        <v>3.7771805555555558E-2</v>
      </c>
      <c r="O601" s="396">
        <v>88492.83</v>
      </c>
      <c r="P601" s="114">
        <f t="shared" si="905"/>
        <v>15.977872083333333</v>
      </c>
      <c r="Q601" s="396">
        <v>101275.96</v>
      </c>
      <c r="R601" s="398">
        <f t="shared" si="906"/>
        <v>22.505768888888891</v>
      </c>
    </row>
    <row r="602" spans="1:18" x14ac:dyDescent="0.3">
      <c r="A602" s="449">
        <f t="shared" si="898"/>
        <v>2991.8020036111111</v>
      </c>
      <c r="B602" s="393">
        <f t="shared" si="691"/>
        <v>46068</v>
      </c>
      <c r="C602" s="396">
        <v>7906909.0199999996</v>
      </c>
      <c r="D602" s="114">
        <f t="shared" si="899"/>
        <v>1647.2727124999999</v>
      </c>
      <c r="E602" s="399">
        <v>6187778.0800000001</v>
      </c>
      <c r="F602" s="114">
        <f t="shared" si="900"/>
        <v>1289.1204333333333</v>
      </c>
      <c r="G602" s="396">
        <v>37741.910000000003</v>
      </c>
      <c r="H602" s="114">
        <f t="shared" si="901"/>
        <v>2.6209659722222227</v>
      </c>
      <c r="I602" s="399">
        <v>190598.78</v>
      </c>
      <c r="J602" s="114">
        <f t="shared" si="902"/>
        <v>13.23602638888889</v>
      </c>
      <c r="K602" s="396">
        <v>74192.59</v>
      </c>
      <c r="L602" s="114">
        <f t="shared" si="903"/>
        <v>1.0304526388888888</v>
      </c>
      <c r="M602" s="396">
        <v>2719.57</v>
      </c>
      <c r="N602" s="114">
        <f t="shared" si="904"/>
        <v>3.7771805555555558E-2</v>
      </c>
      <c r="O602" s="396">
        <v>88492.83</v>
      </c>
      <c r="P602" s="114">
        <f t="shared" si="905"/>
        <v>15.977872083333333</v>
      </c>
      <c r="Q602" s="396">
        <v>101275.96</v>
      </c>
      <c r="R602" s="398">
        <f t="shared" si="906"/>
        <v>22.505768888888891</v>
      </c>
    </row>
    <row r="603" spans="1:18" x14ac:dyDescent="0.3">
      <c r="A603" s="449">
        <f t="shared" ref="A603" si="907">D603+F603+H603+J603+L603+N603+P603+R603</f>
        <v>1932.866459861111</v>
      </c>
      <c r="B603" s="393">
        <f t="shared" si="691"/>
        <v>46069</v>
      </c>
      <c r="C603" s="396">
        <v>3038325.84</v>
      </c>
      <c r="D603" s="114">
        <f t="shared" ref="D603" si="908">(C603*7.5%)/360</f>
        <v>632.98455000000001</v>
      </c>
      <c r="E603" s="399">
        <v>5973470.6500000004</v>
      </c>
      <c r="F603" s="114">
        <f t="shared" ref="F603" si="909">(E603*7.5%)/360</f>
        <v>1244.4730520833334</v>
      </c>
      <c r="G603" s="396">
        <v>37741.910000000003</v>
      </c>
      <c r="H603" s="114">
        <f t="shared" ref="H603" si="910">(G603*2.5%)/360</f>
        <v>2.6209659722222227</v>
      </c>
      <c r="I603" s="399">
        <v>190598.78</v>
      </c>
      <c r="J603" s="114">
        <f t="shared" ref="J603" si="911">(I603*2.5%)/360</f>
        <v>13.23602638888889</v>
      </c>
      <c r="K603" s="396">
        <v>74192.59</v>
      </c>
      <c r="L603" s="114">
        <f t="shared" ref="L603" si="912">(K603*0.5%)/360</f>
        <v>1.0304526388888888</v>
      </c>
      <c r="M603" s="396">
        <v>2719.57</v>
      </c>
      <c r="N603" s="114">
        <f t="shared" ref="N603" si="913">(M603*0.5%)/360</f>
        <v>3.7771805555555558E-2</v>
      </c>
      <c r="O603" s="396">
        <v>88492.83</v>
      </c>
      <c r="P603" s="114">
        <f t="shared" ref="P603" si="914">(O603*6.5%)/360</f>
        <v>15.977872083333333</v>
      </c>
      <c r="Q603" s="396">
        <v>101275.96</v>
      </c>
      <c r="R603" s="398">
        <f t="shared" ref="R603" si="915">(Q603*8%)/360</f>
        <v>22.505768888888891</v>
      </c>
    </row>
    <row r="604" spans="1:18" x14ac:dyDescent="0.3">
      <c r="A604" s="449">
        <f t="shared" ref="A604" si="916">D604+F604+H604+J604+L604+N604+P604+R604</f>
        <v>1291.5439286111111</v>
      </c>
      <c r="B604" s="393">
        <f t="shared" si="691"/>
        <v>46070</v>
      </c>
      <c r="C604" s="396">
        <v>814923.69</v>
      </c>
      <c r="D604" s="114">
        <f t="shared" ref="D604" si="917">(C604*7.5%)/360</f>
        <v>169.77576874999997</v>
      </c>
      <c r="E604" s="399">
        <v>5118524.6500000004</v>
      </c>
      <c r="F604" s="114">
        <f t="shared" ref="F604" si="918">(E604*7.5%)/360</f>
        <v>1066.3593020833334</v>
      </c>
      <c r="G604" s="396">
        <v>37741.910000000003</v>
      </c>
      <c r="H604" s="114">
        <f t="shared" ref="H604" si="919">(G604*2.5%)/360</f>
        <v>2.6209659722222227</v>
      </c>
      <c r="I604" s="399">
        <v>190598.78</v>
      </c>
      <c r="J604" s="114">
        <f t="shared" ref="J604" si="920">(I604*2.5%)/360</f>
        <v>13.23602638888889</v>
      </c>
      <c r="K604" s="396">
        <v>74192.59</v>
      </c>
      <c r="L604" s="114">
        <f t="shared" ref="L604" si="921">(K604*0.5%)/360</f>
        <v>1.0304526388888888</v>
      </c>
      <c r="M604" s="396">
        <v>2719.57</v>
      </c>
      <c r="N604" s="114">
        <f t="shared" ref="N604" si="922">(M604*0.5%)/360</f>
        <v>3.7771805555555558E-2</v>
      </c>
      <c r="O604" s="396">
        <v>88492.83</v>
      </c>
      <c r="P604" s="114">
        <f t="shared" ref="P604" si="923">(O604*6.5%)/360</f>
        <v>15.977872083333333</v>
      </c>
      <c r="Q604" s="396">
        <v>101275.96</v>
      </c>
      <c r="R604" s="398">
        <f t="shared" ref="R604" si="924">(Q604*8%)/360</f>
        <v>22.505768888888891</v>
      </c>
    </row>
    <row r="605" spans="1:18" x14ac:dyDescent="0.3">
      <c r="A605" s="449">
        <f t="shared" ref="A605:A606" si="925">D605+F605+H605+J605+L605+N605+P605+R605</f>
        <v>1291.5439286111111</v>
      </c>
      <c r="B605" s="393">
        <f t="shared" si="691"/>
        <v>46071</v>
      </c>
      <c r="C605" s="396">
        <v>814923.69</v>
      </c>
      <c r="D605" s="114">
        <f t="shared" ref="D605:D606" si="926">(C605*7.5%)/360</f>
        <v>169.77576874999997</v>
      </c>
      <c r="E605" s="399">
        <v>5118524.6500000004</v>
      </c>
      <c r="F605" s="114">
        <f t="shared" ref="F605:F606" si="927">(E605*7.5%)/360</f>
        <v>1066.3593020833334</v>
      </c>
      <c r="G605" s="396">
        <v>37741.910000000003</v>
      </c>
      <c r="H605" s="114">
        <f t="shared" ref="H605:H606" si="928">(G605*2.5%)/360</f>
        <v>2.6209659722222227</v>
      </c>
      <c r="I605" s="399">
        <v>190598.78</v>
      </c>
      <c r="J605" s="114">
        <f t="shared" ref="J605:J606" si="929">(I605*2.5%)/360</f>
        <v>13.23602638888889</v>
      </c>
      <c r="K605" s="396">
        <v>74192.59</v>
      </c>
      <c r="L605" s="114">
        <f t="shared" ref="L605:L606" si="930">(K605*0.5%)/360</f>
        <v>1.0304526388888888</v>
      </c>
      <c r="M605" s="396">
        <v>2719.57</v>
      </c>
      <c r="N605" s="114">
        <f t="shared" ref="N605:N606" si="931">(M605*0.5%)/360</f>
        <v>3.7771805555555558E-2</v>
      </c>
      <c r="O605" s="396">
        <v>88492.83</v>
      </c>
      <c r="P605" s="114">
        <f t="shared" ref="P605:P606" si="932">(O605*6.5%)/360</f>
        <v>15.977872083333333</v>
      </c>
      <c r="Q605" s="396">
        <v>101275.96</v>
      </c>
      <c r="R605" s="398">
        <f t="shared" ref="R605:R606" si="933">(Q605*8%)/360</f>
        <v>22.505768888888891</v>
      </c>
    </row>
    <row r="606" spans="1:18" x14ac:dyDescent="0.3">
      <c r="A606" s="449">
        <f t="shared" si="925"/>
        <v>1247.8137619444442</v>
      </c>
      <c r="B606" s="393">
        <f t="shared" si="691"/>
        <v>46072</v>
      </c>
      <c r="C606" s="396">
        <v>814923.69</v>
      </c>
      <c r="D606" s="114">
        <f t="shared" si="926"/>
        <v>169.77576874999997</v>
      </c>
      <c r="E606" s="399">
        <v>4908619.8499999996</v>
      </c>
      <c r="F606" s="114">
        <f t="shared" si="927"/>
        <v>1022.6291354166666</v>
      </c>
      <c r="G606" s="396">
        <v>37741.910000000003</v>
      </c>
      <c r="H606" s="114">
        <f t="shared" si="928"/>
        <v>2.6209659722222227</v>
      </c>
      <c r="I606" s="399">
        <v>190598.78</v>
      </c>
      <c r="J606" s="114">
        <f t="shared" si="929"/>
        <v>13.23602638888889</v>
      </c>
      <c r="K606" s="396">
        <v>74192.59</v>
      </c>
      <c r="L606" s="114">
        <f t="shared" si="930"/>
        <v>1.0304526388888888</v>
      </c>
      <c r="M606" s="396">
        <v>2719.57</v>
      </c>
      <c r="N606" s="114">
        <f t="shared" si="931"/>
        <v>3.7771805555555558E-2</v>
      </c>
      <c r="O606" s="396">
        <v>88492.83</v>
      </c>
      <c r="P606" s="114">
        <f t="shared" si="932"/>
        <v>15.977872083333333</v>
      </c>
      <c r="Q606" s="396">
        <v>101275.96</v>
      </c>
      <c r="R606" s="398">
        <f t="shared" si="933"/>
        <v>22.505768888888891</v>
      </c>
    </row>
    <row r="607" spans="1:18" x14ac:dyDescent="0.3">
      <c r="A607" s="449">
        <f t="shared" ref="A607:A609" si="934">D607+F607+H607+J607+L607+N607+P607+R607</f>
        <v>1247.8137619444442</v>
      </c>
      <c r="B607" s="393">
        <f t="shared" si="691"/>
        <v>46073</v>
      </c>
      <c r="C607" s="396">
        <v>814923.69</v>
      </c>
      <c r="D607" s="114">
        <f t="shared" ref="D607:D609" si="935">(C607*7.5%)/360</f>
        <v>169.77576874999997</v>
      </c>
      <c r="E607" s="399">
        <v>4908619.8499999996</v>
      </c>
      <c r="F607" s="114">
        <f t="shared" ref="F607:F609" si="936">(E607*7.5%)/360</f>
        <v>1022.6291354166666</v>
      </c>
      <c r="G607" s="396">
        <v>37741.910000000003</v>
      </c>
      <c r="H607" s="114">
        <f t="shared" ref="H607:H609" si="937">(G607*2.5%)/360</f>
        <v>2.6209659722222227</v>
      </c>
      <c r="I607" s="399">
        <v>190598.78</v>
      </c>
      <c r="J607" s="114">
        <f t="shared" ref="J607:J609" si="938">(I607*2.5%)/360</f>
        <v>13.23602638888889</v>
      </c>
      <c r="K607" s="396">
        <v>74192.59</v>
      </c>
      <c r="L607" s="114">
        <f t="shared" ref="L607:L609" si="939">(K607*0.5%)/360</f>
        <v>1.0304526388888888</v>
      </c>
      <c r="M607" s="396">
        <v>2719.57</v>
      </c>
      <c r="N607" s="114">
        <f t="shared" ref="N607:N609" si="940">(M607*0.5%)/360</f>
        <v>3.7771805555555558E-2</v>
      </c>
      <c r="O607" s="396">
        <v>88492.83</v>
      </c>
      <c r="P607" s="114">
        <f t="shared" ref="P607:P609" si="941">(O607*6.5%)/360</f>
        <v>15.977872083333333</v>
      </c>
      <c r="Q607" s="396">
        <v>101275.96</v>
      </c>
      <c r="R607" s="398">
        <f t="shared" ref="R607:R609" si="942">(Q607*8%)/360</f>
        <v>22.505768888888891</v>
      </c>
    </row>
    <row r="608" spans="1:18" x14ac:dyDescent="0.3">
      <c r="A608" s="449">
        <f t="shared" si="934"/>
        <v>1247.8137619444442</v>
      </c>
      <c r="B608" s="393">
        <f t="shared" si="691"/>
        <v>46074</v>
      </c>
      <c r="C608" s="396">
        <v>814923.69</v>
      </c>
      <c r="D608" s="114">
        <f t="shared" si="935"/>
        <v>169.77576874999997</v>
      </c>
      <c r="E608" s="399">
        <v>4908619.8499999996</v>
      </c>
      <c r="F608" s="114">
        <f t="shared" si="936"/>
        <v>1022.6291354166666</v>
      </c>
      <c r="G608" s="396">
        <v>37741.910000000003</v>
      </c>
      <c r="H608" s="114">
        <f t="shared" si="937"/>
        <v>2.6209659722222227</v>
      </c>
      <c r="I608" s="399">
        <v>190598.78</v>
      </c>
      <c r="J608" s="114">
        <f t="shared" si="938"/>
        <v>13.23602638888889</v>
      </c>
      <c r="K608" s="396">
        <v>74192.59</v>
      </c>
      <c r="L608" s="114">
        <f t="shared" si="939"/>
        <v>1.0304526388888888</v>
      </c>
      <c r="M608" s="396">
        <v>2719.57</v>
      </c>
      <c r="N608" s="114">
        <f t="shared" si="940"/>
        <v>3.7771805555555558E-2</v>
      </c>
      <c r="O608" s="396">
        <v>88492.83</v>
      </c>
      <c r="P608" s="114">
        <f t="shared" si="941"/>
        <v>15.977872083333333</v>
      </c>
      <c r="Q608" s="396">
        <v>101275.96</v>
      </c>
      <c r="R608" s="398">
        <f t="shared" si="942"/>
        <v>22.505768888888891</v>
      </c>
    </row>
    <row r="609" spans="1:18" x14ac:dyDescent="0.3">
      <c r="A609" s="449">
        <f t="shared" si="934"/>
        <v>1189.3684723611109</v>
      </c>
      <c r="B609" s="393">
        <f t="shared" si="691"/>
        <v>46075</v>
      </c>
      <c r="C609" s="396">
        <v>774923.69</v>
      </c>
      <c r="D609" s="114">
        <f t="shared" si="935"/>
        <v>161.44243541666665</v>
      </c>
      <c r="E609" s="399">
        <v>4668082.46</v>
      </c>
      <c r="F609" s="114">
        <f t="shared" si="936"/>
        <v>972.51717916666655</v>
      </c>
      <c r="G609" s="396">
        <v>37741.910000000003</v>
      </c>
      <c r="H609" s="114">
        <f t="shared" si="937"/>
        <v>2.6209659722222227</v>
      </c>
      <c r="I609" s="399">
        <v>190598.78</v>
      </c>
      <c r="J609" s="114">
        <f t="shared" si="938"/>
        <v>13.23602638888889</v>
      </c>
      <c r="K609" s="396">
        <v>74192.59</v>
      </c>
      <c r="L609" s="114">
        <f t="shared" si="939"/>
        <v>1.0304526388888888</v>
      </c>
      <c r="M609" s="396">
        <v>2719.57</v>
      </c>
      <c r="N609" s="114">
        <f t="shared" si="940"/>
        <v>3.7771805555555558E-2</v>
      </c>
      <c r="O609" s="396">
        <v>88492.83</v>
      </c>
      <c r="P609" s="114">
        <f t="shared" si="941"/>
        <v>15.977872083333333</v>
      </c>
      <c r="Q609" s="396">
        <v>101275.96</v>
      </c>
      <c r="R609" s="398">
        <f t="shared" si="942"/>
        <v>22.505768888888891</v>
      </c>
    </row>
    <row r="610" spans="1:18" x14ac:dyDescent="0.3">
      <c r="A610" s="449">
        <f t="shared" ref="A610" si="943">D610+F610+H610+J610+L610+N610+P610+R610</f>
        <v>2022.7018056944441</v>
      </c>
      <c r="B610" s="393">
        <f t="shared" si="691"/>
        <v>46076</v>
      </c>
      <c r="C610" s="396">
        <v>4774923.6900000004</v>
      </c>
      <c r="D610" s="114">
        <f t="shared" ref="D610" si="944">(C610*7.5%)/360</f>
        <v>994.77576875</v>
      </c>
      <c r="E610" s="399">
        <v>4668082.46</v>
      </c>
      <c r="F610" s="114">
        <f t="shared" ref="F610" si="945">(E610*7.5%)/360</f>
        <v>972.51717916666655</v>
      </c>
      <c r="G610" s="396">
        <v>37741.910000000003</v>
      </c>
      <c r="H610" s="114">
        <f t="shared" ref="H610" si="946">(G610*2.5%)/360</f>
        <v>2.6209659722222227</v>
      </c>
      <c r="I610" s="399">
        <v>190598.78</v>
      </c>
      <c r="J610" s="114">
        <f t="shared" ref="J610" si="947">(I610*2.5%)/360</f>
        <v>13.23602638888889</v>
      </c>
      <c r="K610" s="396">
        <v>74192.59</v>
      </c>
      <c r="L610" s="114">
        <f t="shared" ref="L610" si="948">(K610*0.5%)/360</f>
        <v>1.0304526388888888</v>
      </c>
      <c r="M610" s="396">
        <v>2719.57</v>
      </c>
      <c r="N610" s="114">
        <f t="shared" ref="N610" si="949">(M610*0.5%)/360</f>
        <v>3.7771805555555558E-2</v>
      </c>
      <c r="O610" s="396">
        <v>88492.83</v>
      </c>
      <c r="P610" s="114">
        <f t="shared" ref="P610" si="950">(O610*6.5%)/360</f>
        <v>15.977872083333333</v>
      </c>
      <c r="Q610" s="396">
        <v>101275.96</v>
      </c>
      <c r="R610" s="398">
        <f t="shared" ref="R610" si="951">(Q610*8%)/360</f>
        <v>22.505768888888891</v>
      </c>
    </row>
    <row r="611" spans="1:18" x14ac:dyDescent="0.3">
      <c r="A611" s="449">
        <f t="shared" ref="A611" si="952">D611+F611+H611+J611+L611+N611+P611+R611</f>
        <v>1801.9068105555555</v>
      </c>
      <c r="B611" s="393">
        <f t="shared" si="691"/>
        <v>46077</v>
      </c>
      <c r="C611" s="396">
        <v>74923.69</v>
      </c>
      <c r="D611" s="114">
        <f t="shared" ref="D611" si="953">(C611*7.5%)/360</f>
        <v>15.609102083333333</v>
      </c>
      <c r="E611" s="399">
        <v>8307933.1500000004</v>
      </c>
      <c r="F611" s="114">
        <f t="shared" ref="F611" si="954">(E611*7.5%)/360</f>
        <v>1730.8194062499999</v>
      </c>
      <c r="G611" s="396">
        <v>38741.910000000003</v>
      </c>
      <c r="H611" s="114">
        <f t="shared" ref="H611" si="955">(G611*2.5%)/360</f>
        <v>2.6904104166666674</v>
      </c>
      <c r="I611" s="399">
        <v>190598.78</v>
      </c>
      <c r="J611" s="114">
        <f t="shared" ref="J611" si="956">(I611*2.5%)/360</f>
        <v>13.23602638888889</v>
      </c>
      <c r="K611" s="396">
        <v>74192.59</v>
      </c>
      <c r="L611" s="114">
        <f t="shared" ref="L611" si="957">(K611*0.5%)/360</f>
        <v>1.0304526388888888</v>
      </c>
      <c r="M611" s="396">
        <v>2719.57</v>
      </c>
      <c r="N611" s="114">
        <f t="shared" ref="N611" si="958">(M611*0.5%)/360</f>
        <v>3.7771805555555558E-2</v>
      </c>
      <c r="O611" s="396">
        <v>88492.83</v>
      </c>
      <c r="P611" s="114">
        <f t="shared" ref="P611" si="959">(O611*6.5%)/360</f>
        <v>15.977872083333333</v>
      </c>
      <c r="Q611" s="396">
        <v>101275.96</v>
      </c>
      <c r="R611" s="398">
        <f t="shared" ref="R611" si="960">(Q611*8%)/360</f>
        <v>22.505768888888891</v>
      </c>
    </row>
    <row r="612" spans="1:18" x14ac:dyDescent="0.3">
      <c r="A612" s="449">
        <f t="shared" ref="A612" si="961">D612+F612+H612+J612+L612+N612+P612+R612</f>
        <v>130.06246680555554</v>
      </c>
      <c r="B612" s="393">
        <f t="shared" si="691"/>
        <v>46078</v>
      </c>
      <c r="C612" s="396">
        <v>74923.69</v>
      </c>
      <c r="D612" s="114">
        <f t="shared" ref="D612" si="962">(C612*7.5%)/360</f>
        <v>15.609102083333333</v>
      </c>
      <c r="E612" s="399">
        <v>283080.3</v>
      </c>
      <c r="F612" s="114">
        <f t="shared" ref="F612" si="963">(E612*7.5%)/360</f>
        <v>58.9750625</v>
      </c>
      <c r="G612" s="396">
        <v>38741.910000000003</v>
      </c>
      <c r="H612" s="114">
        <f t="shared" ref="H612" si="964">(G612*2.5%)/360</f>
        <v>2.6904104166666674</v>
      </c>
      <c r="I612" s="399">
        <v>190598.78</v>
      </c>
      <c r="J612" s="114">
        <f t="shared" ref="J612" si="965">(I612*2.5%)/360</f>
        <v>13.23602638888889</v>
      </c>
      <c r="K612" s="396">
        <v>74192.59</v>
      </c>
      <c r="L612" s="114">
        <f t="shared" ref="L612" si="966">(K612*0.5%)/360</f>
        <v>1.0304526388888888</v>
      </c>
      <c r="M612" s="396">
        <v>2719.57</v>
      </c>
      <c r="N612" s="114">
        <f t="shared" ref="N612" si="967">(M612*0.5%)/360</f>
        <v>3.7771805555555558E-2</v>
      </c>
      <c r="O612" s="396">
        <v>88492.83</v>
      </c>
      <c r="P612" s="114">
        <f t="shared" ref="P612" si="968">(O612*6.5%)/360</f>
        <v>15.977872083333333</v>
      </c>
      <c r="Q612" s="396">
        <v>101275.96</v>
      </c>
      <c r="R612" s="398">
        <f t="shared" ref="R612" si="969">(Q612*8%)/360</f>
        <v>22.505768888888891</v>
      </c>
    </row>
    <row r="613" spans="1:18" x14ac:dyDescent="0.3">
      <c r="A613" s="449">
        <f t="shared" ref="A613" si="970">D613+F613+H613+J613+L613+N613+P613+R613</f>
        <v>992.12979874999996</v>
      </c>
      <c r="B613" s="393">
        <f t="shared" si="691"/>
        <v>46079</v>
      </c>
      <c r="C613" s="396">
        <v>74923.69</v>
      </c>
      <c r="D613" s="114">
        <f t="shared" ref="D613" si="971">(C613*7.5%)/360</f>
        <v>15.609102083333333</v>
      </c>
      <c r="E613" s="399">
        <v>1463807.76</v>
      </c>
      <c r="F613" s="114">
        <f t="shared" ref="F613" si="972">(E613*7.5%)/360</f>
        <v>304.95994999999999</v>
      </c>
      <c r="G613" s="396">
        <v>38741.910000000003</v>
      </c>
      <c r="H613" s="114">
        <f t="shared" ref="H613" si="973">(G613*2.5%)/360</f>
        <v>2.6904104166666674</v>
      </c>
      <c r="I613" s="399">
        <v>190598.78</v>
      </c>
      <c r="J613" s="114">
        <f t="shared" ref="J613" si="974">(I613*2.5%)/360</f>
        <v>13.23602638888889</v>
      </c>
      <c r="K613" s="396">
        <v>74192.59</v>
      </c>
      <c r="L613" s="114">
        <f t="shared" ref="L613" si="975">(K613*0.5%)/360</f>
        <v>1.0304526388888888</v>
      </c>
      <c r="M613" s="396">
        <v>2719.57</v>
      </c>
      <c r="N613" s="114">
        <f t="shared" ref="N613" si="976">(M613*0.5%)/360</f>
        <v>3.7771805555555558E-2</v>
      </c>
      <c r="O613" s="396">
        <v>88492.83</v>
      </c>
      <c r="P613" s="114">
        <f t="shared" ref="P613" si="977">(O613*6.5%)/360</f>
        <v>15.977872083333333</v>
      </c>
      <c r="Q613" s="396">
        <v>2873646.96</v>
      </c>
      <c r="R613" s="398">
        <f t="shared" ref="R613" si="978">(Q613*8%)/360</f>
        <v>638.58821333333333</v>
      </c>
    </row>
    <row r="614" spans="1:18" x14ac:dyDescent="0.3">
      <c r="A614" s="449">
        <f t="shared" ref="A614" si="979">D614+F614+H614+J614+L614+N614+P614+R614</f>
        <v>992.12979874999996</v>
      </c>
      <c r="B614" s="393">
        <f t="shared" si="691"/>
        <v>46080</v>
      </c>
      <c r="C614" s="396">
        <v>74923.69</v>
      </c>
      <c r="D614" s="114">
        <f t="shared" ref="D614" si="980">(C614*7.5%)/360</f>
        <v>15.609102083333333</v>
      </c>
      <c r="E614" s="399">
        <v>1463807.76</v>
      </c>
      <c r="F614" s="114">
        <f t="shared" ref="F614" si="981">(E614*7.5%)/360</f>
        <v>304.95994999999999</v>
      </c>
      <c r="G614" s="396">
        <v>38741.910000000003</v>
      </c>
      <c r="H614" s="114">
        <f t="shared" ref="H614" si="982">(G614*2.5%)/360</f>
        <v>2.6904104166666674</v>
      </c>
      <c r="I614" s="399">
        <v>190598.78</v>
      </c>
      <c r="J614" s="114">
        <f t="shared" ref="J614" si="983">(I614*2.5%)/360</f>
        <v>13.23602638888889</v>
      </c>
      <c r="K614" s="396">
        <v>74192.59</v>
      </c>
      <c r="L614" s="114">
        <f t="shared" ref="L614" si="984">(K614*0.5%)/360</f>
        <v>1.0304526388888888</v>
      </c>
      <c r="M614" s="396">
        <v>2719.57</v>
      </c>
      <c r="N614" s="114">
        <f t="shared" ref="N614" si="985">(M614*0.5%)/360</f>
        <v>3.7771805555555558E-2</v>
      </c>
      <c r="O614" s="396">
        <v>88492.83</v>
      </c>
      <c r="P614" s="114">
        <f t="shared" ref="P614" si="986">(O614*6.5%)/360</f>
        <v>15.977872083333333</v>
      </c>
      <c r="Q614" s="396">
        <v>2873646.96</v>
      </c>
      <c r="R614" s="398">
        <f t="shared" ref="R614" si="987">(Q614*8%)/360</f>
        <v>638.58821333333333</v>
      </c>
    </row>
    <row r="615" spans="1:18" x14ac:dyDescent="0.3">
      <c r="A615" s="449">
        <f t="shared" ref="A615" si="988">D615+F615+H615+J615+L615+N615+P615+R615</f>
        <v>992.12979874999996</v>
      </c>
      <c r="B615" s="393">
        <f t="shared" si="691"/>
        <v>46081</v>
      </c>
      <c r="C615" s="396">
        <v>74923.69</v>
      </c>
      <c r="D615" s="114">
        <f t="shared" ref="D615" si="989">(C615*7.5%)/360</f>
        <v>15.609102083333333</v>
      </c>
      <c r="E615" s="399">
        <v>1463807.76</v>
      </c>
      <c r="F615" s="114">
        <f t="shared" ref="F615" si="990">(E615*7.5%)/360</f>
        <v>304.95994999999999</v>
      </c>
      <c r="G615" s="396">
        <v>38741.910000000003</v>
      </c>
      <c r="H615" s="114">
        <f t="shared" ref="H615" si="991">(G615*2.5%)/360</f>
        <v>2.6904104166666674</v>
      </c>
      <c r="I615" s="399">
        <v>190598.78</v>
      </c>
      <c r="J615" s="114">
        <f t="shared" ref="J615" si="992">(I615*2.5%)/360</f>
        <v>13.23602638888889</v>
      </c>
      <c r="K615" s="396">
        <v>74192.59</v>
      </c>
      <c r="L615" s="114">
        <f t="shared" ref="L615" si="993">(K615*0.5%)/360</f>
        <v>1.0304526388888888</v>
      </c>
      <c r="M615" s="396">
        <v>2719.57</v>
      </c>
      <c r="N615" s="114">
        <f t="shared" ref="N615" si="994">(M615*0.5%)/360</f>
        <v>3.7771805555555558E-2</v>
      </c>
      <c r="O615" s="396">
        <v>88492.83</v>
      </c>
      <c r="P615" s="114">
        <f t="shared" ref="P615" si="995">(O615*6.5%)/360</f>
        <v>15.977872083333333</v>
      </c>
      <c r="Q615" s="396">
        <v>2873646.96</v>
      </c>
      <c r="R615" s="398">
        <f t="shared" ref="R615" si="996">(Q615*8%)/360</f>
        <v>638.58821333333333</v>
      </c>
    </row>
    <row r="616" spans="1:18" x14ac:dyDescent="0.3">
      <c r="A616" s="449">
        <f t="shared" ref="A616" si="997">D616+F616+H616+J616+L616+N616+P616+R616</f>
        <v>808.86464875000001</v>
      </c>
      <c r="B616" s="393">
        <f t="shared" si="691"/>
        <v>46082</v>
      </c>
      <c r="C616" s="396">
        <v>84398.07</v>
      </c>
      <c r="D616" s="114">
        <f t="shared" ref="D616" si="998">(C616*7.5%)/360</f>
        <v>17.582931250000001</v>
      </c>
      <c r="E616" s="399">
        <v>574660.66</v>
      </c>
      <c r="F616" s="114">
        <f t="shared" ref="F616" si="999">(E616*7.5%)/360</f>
        <v>119.72097083333334</v>
      </c>
      <c r="G616" s="396">
        <v>38741.910000000003</v>
      </c>
      <c r="H616" s="114">
        <f t="shared" ref="H616" si="1000">(G616*2.5%)/360</f>
        <v>2.6904104166666674</v>
      </c>
      <c r="I616" s="399">
        <v>190598.78</v>
      </c>
      <c r="J616" s="114">
        <f t="shared" ref="J616" si="1001">(I616*2.5%)/360</f>
        <v>13.23602638888889</v>
      </c>
      <c r="K616" s="396">
        <v>74192.59</v>
      </c>
      <c r="L616" s="114">
        <f t="shared" ref="L616" si="1002">(K616*0.5%)/360</f>
        <v>1.0304526388888888</v>
      </c>
      <c r="M616" s="396">
        <v>2719.57</v>
      </c>
      <c r="N616" s="114">
        <f t="shared" ref="N616" si="1003">(M616*0.5%)/360</f>
        <v>3.7771805555555558E-2</v>
      </c>
      <c r="O616" s="396">
        <v>88492.83</v>
      </c>
      <c r="P616" s="114">
        <f t="shared" ref="P616" si="1004">(O616*6.5%)/360</f>
        <v>15.977872083333333</v>
      </c>
      <c r="Q616" s="396">
        <v>2873646.96</v>
      </c>
      <c r="R616" s="398">
        <f t="shared" ref="R616" si="1005">(Q616*8%)/360</f>
        <v>638.58821333333333</v>
      </c>
    </row>
    <row r="617" spans="1:18" x14ac:dyDescent="0.3">
      <c r="A617" s="449">
        <f t="shared" ref="A617" si="1006">D617+F617+H617+J617+L617+N617+P617+R617</f>
        <v>897.77168416666666</v>
      </c>
      <c r="B617" s="393">
        <f t="shared" si="691"/>
        <v>46083</v>
      </c>
      <c r="C617" s="396">
        <v>84398.07</v>
      </c>
      <c r="D617" s="114">
        <f t="shared" ref="D617" si="1007">(C617*7.5%)/360</f>
        <v>17.582931250000001</v>
      </c>
      <c r="E617" s="399">
        <v>3072414.43</v>
      </c>
      <c r="F617" s="114">
        <f t="shared" ref="F617" si="1008">(E617*7.5%)/360</f>
        <v>640.08633958333337</v>
      </c>
      <c r="G617" s="396">
        <v>225741.91</v>
      </c>
      <c r="H617" s="114">
        <f t="shared" ref="H617" si="1009">(G617*2.5%)/360</f>
        <v>15.67652152777778</v>
      </c>
      <c r="I617" s="399">
        <v>190598.78</v>
      </c>
      <c r="J617" s="114">
        <f t="shared" ref="J617" si="1010">(I617*2.5%)/360</f>
        <v>13.23602638888889</v>
      </c>
      <c r="K617" s="396">
        <v>74192.59</v>
      </c>
      <c r="L617" s="114">
        <f t="shared" ref="L617" si="1011">(K617*0.5%)/360</f>
        <v>1.0304526388888888</v>
      </c>
      <c r="M617" s="396">
        <v>2719.57</v>
      </c>
      <c r="N617" s="114">
        <f t="shared" ref="N617" si="1012">(M617*0.5%)/360</f>
        <v>3.7771805555555558E-2</v>
      </c>
      <c r="O617" s="396">
        <v>88492.83</v>
      </c>
      <c r="P617" s="114">
        <f t="shared" ref="P617" si="1013">(O617*6.5%)/360</f>
        <v>15.977872083333333</v>
      </c>
      <c r="Q617" s="396">
        <v>873646.96</v>
      </c>
      <c r="R617" s="398">
        <f t="shared" ref="R617" si="1014">(Q617*8%)/360</f>
        <v>194.1437688888889</v>
      </c>
    </row>
    <row r="618" spans="1:18" x14ac:dyDescent="0.3">
      <c r="A618" s="449">
        <f t="shared" ref="A618" si="1015">D618+F618+H618+J618+L618+N618+P618+R618</f>
        <v>537.4304258333334</v>
      </c>
      <c r="B618" s="393">
        <f t="shared" si="691"/>
        <v>46084</v>
      </c>
      <c r="C618" s="396">
        <v>84398.07</v>
      </c>
      <c r="D618" s="114">
        <f t="shared" ref="D618" si="1016">(C618*7.5%)/360</f>
        <v>17.582931250000001</v>
      </c>
      <c r="E618" s="399">
        <v>1342776.39</v>
      </c>
      <c r="F618" s="114">
        <f t="shared" ref="F618" si="1017">(E618*7.5%)/360</f>
        <v>279.74508125</v>
      </c>
      <c r="G618" s="396">
        <v>225741.91</v>
      </c>
      <c r="H618" s="114">
        <f t="shared" ref="H618" si="1018">(G618*2.5%)/360</f>
        <v>15.67652152777778</v>
      </c>
      <c r="I618" s="399">
        <v>190598.78</v>
      </c>
      <c r="J618" s="114">
        <f t="shared" ref="J618" si="1019">(I618*2.5%)/360</f>
        <v>13.23602638888889</v>
      </c>
      <c r="K618" s="396">
        <v>74192.59</v>
      </c>
      <c r="L618" s="114">
        <f t="shared" ref="L618" si="1020">(K618*0.5%)/360</f>
        <v>1.0304526388888888</v>
      </c>
      <c r="M618" s="396">
        <v>2719.57</v>
      </c>
      <c r="N618" s="114">
        <f t="shared" ref="N618" si="1021">(M618*0.5%)/360</f>
        <v>3.7771805555555558E-2</v>
      </c>
      <c r="O618" s="396">
        <v>88492.83</v>
      </c>
      <c r="P618" s="114">
        <f t="shared" ref="P618" si="1022">(O618*6.5%)/360</f>
        <v>15.977872083333333</v>
      </c>
      <c r="Q618" s="396">
        <v>873646.96</v>
      </c>
      <c r="R618" s="398">
        <f t="shared" ref="R618" si="1023">(Q618*8%)/360</f>
        <v>194.1437688888889</v>
      </c>
    </row>
    <row r="619" spans="1:18" x14ac:dyDescent="0.3">
      <c r="A619" s="449">
        <f t="shared" ref="A619" si="1024">D619+F619+H619+J619+L619+N619+P619+R619</f>
        <v>809.32003624999993</v>
      </c>
      <c r="B619" s="393">
        <f t="shared" si="691"/>
        <v>46085</v>
      </c>
      <c r="C619" s="396">
        <v>91078.07</v>
      </c>
      <c r="D619" s="114">
        <f t="shared" ref="D619" si="1025">(C619*7.5%)/360</f>
        <v>18.974597916666667</v>
      </c>
      <c r="E619" s="399">
        <v>2641166.52</v>
      </c>
      <c r="F619" s="114">
        <f t="shared" ref="F619" si="1026">(E619*7.5%)/360</f>
        <v>550.24302499999999</v>
      </c>
      <c r="G619" s="396">
        <v>225741.91</v>
      </c>
      <c r="H619" s="114">
        <f t="shared" ref="H619" si="1027">(G619*2.5%)/360</f>
        <v>15.67652152777778</v>
      </c>
      <c r="I619" s="399">
        <v>190598.78</v>
      </c>
      <c r="J619" s="114">
        <f t="shared" ref="J619" si="1028">(I619*2.5%)/360</f>
        <v>13.23602638888889</v>
      </c>
      <c r="K619" s="396">
        <v>74192.59</v>
      </c>
      <c r="L619" s="114">
        <f t="shared" ref="L619" si="1029">(K619*0.5%)/360</f>
        <v>1.0304526388888888</v>
      </c>
      <c r="M619" s="396">
        <v>2719.57</v>
      </c>
      <c r="N619" s="114">
        <f t="shared" ref="N619" si="1030">(M619*0.5%)/360</f>
        <v>3.7771805555555558E-2</v>
      </c>
      <c r="O619" s="396">
        <v>88492.83</v>
      </c>
      <c r="P619" s="114">
        <f t="shared" ref="P619" si="1031">(O619*6.5%)/360</f>
        <v>15.977872083333333</v>
      </c>
      <c r="Q619" s="396">
        <v>873646.96</v>
      </c>
      <c r="R619" s="398">
        <f t="shared" ref="R619" si="1032">(Q619*8%)/360</f>
        <v>194.1437688888889</v>
      </c>
    </row>
    <row r="620" spans="1:18" x14ac:dyDescent="0.3">
      <c r="A620" s="449">
        <f t="shared" ref="A620" si="1033">D620+F620+H620+J620+L620+N620+P620+R620</f>
        <v>318.87567791666669</v>
      </c>
      <c r="B620" s="393">
        <f t="shared" si="691"/>
        <v>46086</v>
      </c>
      <c r="C620" s="396">
        <v>55724.7</v>
      </c>
      <c r="D620" s="114">
        <f t="shared" ref="D620" si="1034">(C620*7.5%)/360</f>
        <v>11.6093125</v>
      </c>
      <c r="E620" s="399">
        <v>322386.96999999997</v>
      </c>
      <c r="F620" s="114">
        <f t="shared" ref="F620" si="1035">(E620*7.5%)/360</f>
        <v>67.163952083333328</v>
      </c>
      <c r="G620" s="396">
        <v>225741.91</v>
      </c>
      <c r="H620" s="114">
        <f t="shared" ref="H620" si="1036">(G620*2.5%)/360</f>
        <v>15.67652152777778</v>
      </c>
      <c r="I620" s="399">
        <v>190598.78</v>
      </c>
      <c r="J620" s="114">
        <f t="shared" ref="J620" si="1037">(I620*2.5%)/360</f>
        <v>13.23602638888889</v>
      </c>
      <c r="K620" s="396">
        <v>74192.59</v>
      </c>
      <c r="L620" s="114">
        <f t="shared" ref="L620" si="1038">(K620*0.5%)/360</f>
        <v>1.0304526388888888</v>
      </c>
      <c r="M620" s="396">
        <v>2719.57</v>
      </c>
      <c r="N620" s="114">
        <f t="shared" ref="N620" si="1039">(M620*0.5%)/360</f>
        <v>3.7771805555555558E-2</v>
      </c>
      <c r="O620" s="396">
        <v>88492.83</v>
      </c>
      <c r="P620" s="114">
        <f t="shared" ref="P620" si="1040">(O620*6.5%)/360</f>
        <v>15.977872083333333</v>
      </c>
      <c r="Q620" s="396">
        <v>873646.96</v>
      </c>
      <c r="R620" s="398">
        <f t="shared" ref="R620" si="1041">(Q620*8%)/360</f>
        <v>194.1437688888889</v>
      </c>
    </row>
    <row r="621" spans="1:18" x14ac:dyDescent="0.3">
      <c r="A621" s="449">
        <f t="shared" ref="A621:A623" si="1042">D621+F621+H621+J621+L621+N621+P621+R621</f>
        <v>318.87567791666669</v>
      </c>
      <c r="B621" s="393">
        <f t="shared" si="691"/>
        <v>46087</v>
      </c>
      <c r="C621" s="396">
        <v>55724.7</v>
      </c>
      <c r="D621" s="114">
        <f t="shared" ref="D621:D623" si="1043">(C621*7.5%)/360</f>
        <v>11.6093125</v>
      </c>
      <c r="E621" s="399">
        <v>322386.96999999997</v>
      </c>
      <c r="F621" s="114">
        <f t="shared" ref="F621:F623" si="1044">(E621*7.5%)/360</f>
        <v>67.163952083333328</v>
      </c>
      <c r="G621" s="396">
        <v>225741.91</v>
      </c>
      <c r="H621" s="114">
        <f t="shared" ref="H621:H623" si="1045">(G621*2.5%)/360</f>
        <v>15.67652152777778</v>
      </c>
      <c r="I621" s="399">
        <v>190598.78</v>
      </c>
      <c r="J621" s="114">
        <f t="shared" ref="J621:J623" si="1046">(I621*2.5%)/360</f>
        <v>13.23602638888889</v>
      </c>
      <c r="K621" s="396">
        <v>74192.59</v>
      </c>
      <c r="L621" s="114">
        <f t="shared" ref="L621:L623" si="1047">(K621*0.5%)/360</f>
        <v>1.0304526388888888</v>
      </c>
      <c r="M621" s="396">
        <v>2719.57</v>
      </c>
      <c r="N621" s="114">
        <f t="shared" ref="N621:N623" si="1048">(M621*0.5%)/360</f>
        <v>3.7771805555555558E-2</v>
      </c>
      <c r="O621" s="396">
        <v>88492.83</v>
      </c>
      <c r="P621" s="114">
        <f t="shared" ref="P621:P623" si="1049">(O621*6.5%)/360</f>
        <v>15.977872083333333</v>
      </c>
      <c r="Q621" s="396">
        <v>873646.96</v>
      </c>
      <c r="R621" s="398">
        <f t="shared" ref="R621:R623" si="1050">(Q621*8%)/360</f>
        <v>194.1437688888889</v>
      </c>
    </row>
    <row r="622" spans="1:18" x14ac:dyDescent="0.3">
      <c r="A622" s="449">
        <f t="shared" si="1042"/>
        <v>318.87567791666669</v>
      </c>
      <c r="B622" s="393">
        <f t="shared" si="691"/>
        <v>46088</v>
      </c>
      <c r="C622" s="396">
        <v>55724.7</v>
      </c>
      <c r="D622" s="114">
        <f t="shared" si="1043"/>
        <v>11.6093125</v>
      </c>
      <c r="E622" s="399">
        <v>322386.96999999997</v>
      </c>
      <c r="F622" s="114">
        <f t="shared" si="1044"/>
        <v>67.163952083333328</v>
      </c>
      <c r="G622" s="396">
        <v>225741.91</v>
      </c>
      <c r="H622" s="114">
        <f t="shared" si="1045"/>
        <v>15.67652152777778</v>
      </c>
      <c r="I622" s="399">
        <v>190598.78</v>
      </c>
      <c r="J622" s="114">
        <f t="shared" si="1046"/>
        <v>13.23602638888889</v>
      </c>
      <c r="K622" s="396">
        <v>74192.59</v>
      </c>
      <c r="L622" s="114">
        <f t="shared" si="1047"/>
        <v>1.0304526388888888</v>
      </c>
      <c r="M622" s="396">
        <v>2719.57</v>
      </c>
      <c r="N622" s="114">
        <f t="shared" si="1048"/>
        <v>3.7771805555555558E-2</v>
      </c>
      <c r="O622" s="396">
        <v>88492.83</v>
      </c>
      <c r="P622" s="114">
        <f t="shared" si="1049"/>
        <v>15.977872083333333</v>
      </c>
      <c r="Q622" s="396">
        <v>873646.96</v>
      </c>
      <c r="R622" s="398">
        <f t="shared" si="1050"/>
        <v>194.1437688888889</v>
      </c>
    </row>
    <row r="623" spans="1:18" x14ac:dyDescent="0.3">
      <c r="A623" s="449">
        <f t="shared" si="1042"/>
        <v>539.70901125000012</v>
      </c>
      <c r="B623" s="393">
        <f t="shared" si="691"/>
        <v>46089</v>
      </c>
      <c r="C623" s="396">
        <v>115724.7</v>
      </c>
      <c r="D623" s="114">
        <f t="shared" si="1043"/>
        <v>24.109312499999998</v>
      </c>
      <c r="E623" s="399">
        <v>322386.96999999997</v>
      </c>
      <c r="F623" s="114">
        <f t="shared" si="1044"/>
        <v>67.163952083333328</v>
      </c>
      <c r="G623" s="396">
        <v>3225741.91</v>
      </c>
      <c r="H623" s="114">
        <f t="shared" si="1045"/>
        <v>224.00985486111114</v>
      </c>
      <c r="I623" s="399">
        <v>190598.78</v>
      </c>
      <c r="J623" s="114">
        <f t="shared" si="1046"/>
        <v>13.23602638888889</v>
      </c>
      <c r="K623" s="396">
        <v>74192.59</v>
      </c>
      <c r="L623" s="114">
        <f t="shared" si="1047"/>
        <v>1.0304526388888888</v>
      </c>
      <c r="M623" s="396">
        <v>2719.57</v>
      </c>
      <c r="N623" s="114">
        <f t="shared" si="1048"/>
        <v>3.7771805555555558E-2</v>
      </c>
      <c r="O623" s="396">
        <v>88492.83</v>
      </c>
      <c r="P623" s="114">
        <f t="shared" si="1049"/>
        <v>15.977872083333333</v>
      </c>
      <c r="Q623" s="396">
        <v>873646.96</v>
      </c>
      <c r="R623" s="398">
        <f t="shared" si="1050"/>
        <v>194.1437688888889</v>
      </c>
    </row>
    <row r="624" spans="1:18" x14ac:dyDescent="0.3">
      <c r="A624" s="449">
        <f t="shared" ref="A624" si="1051">D624+F624+H624+J624+L624+N624+P624+R624</f>
        <v>928.41387027777773</v>
      </c>
      <c r="B624" s="393">
        <f t="shared" si="691"/>
        <v>46090</v>
      </c>
      <c r="C624" s="396">
        <v>394046.8</v>
      </c>
      <c r="D624" s="114">
        <f t="shared" ref="D624" si="1052">(C624*7.5%)/360</f>
        <v>82.093083333333325</v>
      </c>
      <c r="E624" s="399">
        <v>2872386.97</v>
      </c>
      <c r="F624" s="114">
        <f t="shared" ref="F624" si="1053">(E624*7.5%)/360</f>
        <v>598.41395208333336</v>
      </c>
      <c r="G624" s="396">
        <v>3065656.91</v>
      </c>
      <c r="H624" s="114">
        <f t="shared" ref="H624" si="1054">(G624*2.5%)/360</f>
        <v>212.89284097222225</v>
      </c>
      <c r="I624" s="399">
        <v>183067.45</v>
      </c>
      <c r="J624" s="114">
        <f t="shared" ref="J624" si="1055">(I624*2.5%)/360</f>
        <v>12.713017361111113</v>
      </c>
      <c r="K624" s="396">
        <v>74192.59</v>
      </c>
      <c r="L624" s="114">
        <f t="shared" ref="L624" si="1056">(K624*0.5%)/360</f>
        <v>1.0304526388888888</v>
      </c>
      <c r="M624" s="396">
        <v>2719.57</v>
      </c>
      <c r="N624" s="114">
        <f t="shared" ref="N624" si="1057">(M624*0.5%)/360</f>
        <v>3.7771805555555558E-2</v>
      </c>
      <c r="O624" s="396">
        <v>88492.83</v>
      </c>
      <c r="P624" s="114">
        <f t="shared" ref="P624" si="1058">(O624*6.5%)/360</f>
        <v>15.977872083333333</v>
      </c>
      <c r="Q624" s="396">
        <v>23646.959999999999</v>
      </c>
      <c r="R624" s="398">
        <f t="shared" ref="R624" si="1059">(Q624*8%)/360</f>
        <v>5.25488</v>
      </c>
    </row>
    <row r="625" spans="1:18" x14ac:dyDescent="0.3">
      <c r="A625" s="449">
        <f t="shared" ref="A625" si="1060">D625+F625+H625+J625+L625+N625+P625+R625</f>
        <v>1313.0787175</v>
      </c>
      <c r="B625" s="393">
        <f t="shared" si="691"/>
        <v>46091</v>
      </c>
      <c r="C625" s="396">
        <v>352046.8</v>
      </c>
      <c r="D625" s="114">
        <f t="shared" ref="D625" si="1061">(C625*7.5%)/360</f>
        <v>73.343083333333325</v>
      </c>
      <c r="E625" s="399">
        <v>5779111.5700000003</v>
      </c>
      <c r="F625" s="114">
        <f t="shared" ref="F625" si="1062">(E625*7.5%)/360</f>
        <v>1203.9815770833334</v>
      </c>
      <c r="G625" s="396">
        <v>10656.91</v>
      </c>
      <c r="H625" s="114">
        <f t="shared" ref="H625" si="1063">(G625*2.5%)/360</f>
        <v>0.74006319444444446</v>
      </c>
      <c r="I625" s="399">
        <v>183067.45</v>
      </c>
      <c r="J625" s="114">
        <f t="shared" ref="J625" si="1064">(I625*2.5%)/360</f>
        <v>12.713017361111113</v>
      </c>
      <c r="K625" s="396">
        <v>74192.59</v>
      </c>
      <c r="L625" s="114">
        <f t="shared" ref="L625" si="1065">(K625*0.5%)/360</f>
        <v>1.0304526388888888</v>
      </c>
      <c r="M625" s="396">
        <v>2719.57</v>
      </c>
      <c r="N625" s="114">
        <f t="shared" ref="N625" si="1066">(M625*0.5%)/360</f>
        <v>3.7771805555555558E-2</v>
      </c>
      <c r="O625" s="396">
        <v>88492.83</v>
      </c>
      <c r="P625" s="114">
        <f t="shared" ref="P625" si="1067">(O625*6.5%)/360</f>
        <v>15.977872083333333</v>
      </c>
      <c r="Q625" s="396">
        <v>23646.959999999999</v>
      </c>
      <c r="R625" s="398">
        <f t="shared" ref="R625" si="1068">(Q625*8%)/360</f>
        <v>5.25488</v>
      </c>
    </row>
    <row r="626" spans="1:18" x14ac:dyDescent="0.3">
      <c r="A626" s="449">
        <f t="shared" ref="A626" si="1069">D626+F626+H626+J626+L626+N626+P626+R626</f>
        <v>362.89456541666664</v>
      </c>
      <c r="B626" s="393">
        <f t="shared" si="691"/>
        <v>46092</v>
      </c>
      <c r="C626" s="396">
        <v>352046.8</v>
      </c>
      <c r="D626" s="114">
        <f t="shared" ref="D626" si="1070">(C626*7.5%)/360</f>
        <v>73.343083333333325</v>
      </c>
      <c r="E626" s="399">
        <v>1218227.6399999999</v>
      </c>
      <c r="F626" s="114">
        <f t="shared" ref="F626" si="1071">(E626*7.5%)/360</f>
        <v>253.79742499999998</v>
      </c>
      <c r="G626" s="396">
        <v>10656.91</v>
      </c>
      <c r="H626" s="114">
        <f t="shared" ref="H626" si="1072">(G626*2.5%)/360</f>
        <v>0.74006319444444446</v>
      </c>
      <c r="I626" s="399">
        <v>183067.45</v>
      </c>
      <c r="J626" s="114">
        <f t="shared" ref="J626" si="1073">(I626*2.5%)/360</f>
        <v>12.713017361111113</v>
      </c>
      <c r="K626" s="396">
        <v>74192.59</v>
      </c>
      <c r="L626" s="114">
        <f t="shared" ref="L626" si="1074">(K626*0.5%)/360</f>
        <v>1.0304526388888888</v>
      </c>
      <c r="M626" s="396">
        <v>2719.57</v>
      </c>
      <c r="N626" s="114">
        <f t="shared" ref="N626" si="1075">(M626*0.5%)/360</f>
        <v>3.7771805555555558E-2</v>
      </c>
      <c r="O626" s="396">
        <v>88492.83</v>
      </c>
      <c r="P626" s="114">
        <f t="shared" ref="P626" si="1076">(O626*6.5%)/360</f>
        <v>15.977872083333333</v>
      </c>
      <c r="Q626" s="396">
        <v>23646.959999999999</v>
      </c>
      <c r="R626" s="398">
        <f t="shared" ref="R626" si="1077">(Q626*8%)/360</f>
        <v>5.25488</v>
      </c>
    </row>
    <row r="627" spans="1:18" x14ac:dyDescent="0.3">
      <c r="A627" s="449">
        <f t="shared" ref="A627" si="1078">D627+F627+H627+J627+L627+N627+P627+R627</f>
        <v>1280.3030779166668</v>
      </c>
      <c r="B627" s="393">
        <f t="shared" si="691"/>
        <v>46093</v>
      </c>
      <c r="C627" s="396">
        <v>352046.8</v>
      </c>
      <c r="D627" s="114">
        <f t="shared" ref="D627" si="1079">(C627*7.5%)/360</f>
        <v>73.343083333333325</v>
      </c>
      <c r="E627" s="399">
        <v>5621788.5</v>
      </c>
      <c r="F627" s="114">
        <f t="shared" ref="F627" si="1080">(E627*7.5%)/360</f>
        <v>1171.2059375000001</v>
      </c>
      <c r="G627" s="396">
        <v>10656.91</v>
      </c>
      <c r="H627" s="114">
        <f t="shared" ref="H627" si="1081">(G627*2.5%)/360</f>
        <v>0.74006319444444446</v>
      </c>
      <c r="I627" s="399">
        <v>183067.45</v>
      </c>
      <c r="J627" s="114">
        <f t="shared" ref="J627" si="1082">(I627*2.5%)/360</f>
        <v>12.713017361111113</v>
      </c>
      <c r="K627" s="396">
        <v>74192.59</v>
      </c>
      <c r="L627" s="114">
        <f t="shared" ref="L627" si="1083">(K627*0.5%)/360</f>
        <v>1.0304526388888888</v>
      </c>
      <c r="M627" s="396">
        <v>2719.57</v>
      </c>
      <c r="N627" s="114">
        <f t="shared" ref="N627" si="1084">(M627*0.5%)/360</f>
        <v>3.7771805555555558E-2</v>
      </c>
      <c r="O627" s="396">
        <v>88492.83</v>
      </c>
      <c r="P627" s="114">
        <f t="shared" ref="P627" si="1085">(O627*6.5%)/360</f>
        <v>15.977872083333333</v>
      </c>
      <c r="Q627" s="396">
        <v>23646.959999999999</v>
      </c>
      <c r="R627" s="398">
        <f t="shared" ref="R627" si="1086">(Q627*8%)/360</f>
        <v>5.25488</v>
      </c>
    </row>
    <row r="628" spans="1:18" x14ac:dyDescent="0.3">
      <c r="A628" s="449">
        <f t="shared" ref="A628:A630" si="1087">D628+F628+H628+J628+L628+N628+P628+R628</f>
        <v>1280.3030779166668</v>
      </c>
      <c r="B628" s="393">
        <f t="shared" si="691"/>
        <v>46094</v>
      </c>
      <c r="C628" s="396">
        <v>352046.8</v>
      </c>
      <c r="D628" s="114">
        <f t="shared" ref="D628:D630" si="1088">(C628*7.5%)/360</f>
        <v>73.343083333333325</v>
      </c>
      <c r="E628" s="399">
        <v>5621788.5</v>
      </c>
      <c r="F628" s="114">
        <f t="shared" ref="F628:F630" si="1089">(E628*7.5%)/360</f>
        <v>1171.2059375000001</v>
      </c>
      <c r="G628" s="396">
        <v>10656.91</v>
      </c>
      <c r="H628" s="114">
        <f t="shared" ref="H628:H630" si="1090">(G628*2.5%)/360</f>
        <v>0.74006319444444446</v>
      </c>
      <c r="I628" s="399">
        <v>183067.45</v>
      </c>
      <c r="J628" s="114">
        <f t="shared" ref="J628:J630" si="1091">(I628*2.5%)/360</f>
        <v>12.713017361111113</v>
      </c>
      <c r="K628" s="396">
        <v>74192.59</v>
      </c>
      <c r="L628" s="114">
        <f t="shared" ref="L628:L630" si="1092">(K628*0.5%)/360</f>
        <v>1.0304526388888888</v>
      </c>
      <c r="M628" s="396">
        <v>2719.57</v>
      </c>
      <c r="N628" s="114">
        <f t="shared" ref="N628:N630" si="1093">(M628*0.5%)/360</f>
        <v>3.7771805555555558E-2</v>
      </c>
      <c r="O628" s="396">
        <v>88492.83</v>
      </c>
      <c r="P628" s="114">
        <f t="shared" ref="P628:P630" si="1094">(O628*6.5%)/360</f>
        <v>15.977872083333333</v>
      </c>
      <c r="Q628" s="396">
        <v>23646.959999999999</v>
      </c>
      <c r="R628" s="398">
        <f t="shared" ref="R628:R630" si="1095">(Q628*8%)/360</f>
        <v>5.25488</v>
      </c>
    </row>
    <row r="629" spans="1:18" x14ac:dyDescent="0.3">
      <c r="A629" s="449">
        <f t="shared" si="1087"/>
        <v>1280.3030779166668</v>
      </c>
      <c r="B629" s="393">
        <f t="shared" si="691"/>
        <v>46095</v>
      </c>
      <c r="C629" s="396">
        <v>352046.8</v>
      </c>
      <c r="D629" s="114">
        <f t="shared" si="1088"/>
        <v>73.343083333333325</v>
      </c>
      <c r="E629" s="399">
        <v>5621788.5</v>
      </c>
      <c r="F629" s="114">
        <f t="shared" si="1089"/>
        <v>1171.2059375000001</v>
      </c>
      <c r="G629" s="396">
        <v>10656.91</v>
      </c>
      <c r="H629" s="114">
        <f t="shared" si="1090"/>
        <v>0.74006319444444446</v>
      </c>
      <c r="I629" s="399">
        <v>183067.45</v>
      </c>
      <c r="J629" s="114">
        <f t="shared" si="1091"/>
        <v>12.713017361111113</v>
      </c>
      <c r="K629" s="396">
        <v>74192.59</v>
      </c>
      <c r="L629" s="114">
        <f t="shared" si="1092"/>
        <v>1.0304526388888888</v>
      </c>
      <c r="M629" s="396">
        <v>2719.57</v>
      </c>
      <c r="N629" s="114">
        <f t="shared" si="1093"/>
        <v>3.7771805555555558E-2</v>
      </c>
      <c r="O629" s="396">
        <v>88492.83</v>
      </c>
      <c r="P629" s="114">
        <f t="shared" si="1094"/>
        <v>15.977872083333333</v>
      </c>
      <c r="Q629" s="396">
        <v>23646.959999999999</v>
      </c>
      <c r="R629" s="398">
        <f t="shared" si="1095"/>
        <v>5.25488</v>
      </c>
    </row>
    <row r="630" spans="1:18" x14ac:dyDescent="0.3">
      <c r="A630" s="449">
        <f t="shared" si="1087"/>
        <v>1285.1641890277779</v>
      </c>
      <c r="B630" s="393">
        <f t="shared" si="691"/>
        <v>46096</v>
      </c>
      <c r="C630" s="396">
        <v>352046.8</v>
      </c>
      <c r="D630" s="114">
        <f t="shared" si="1088"/>
        <v>73.343083333333325</v>
      </c>
      <c r="E630" s="399">
        <v>5621788.5</v>
      </c>
      <c r="F630" s="114">
        <f t="shared" si="1089"/>
        <v>1171.2059375000001</v>
      </c>
      <c r="G630" s="396">
        <v>80656.91</v>
      </c>
      <c r="H630" s="114">
        <f t="shared" si="1090"/>
        <v>5.6011743055555563</v>
      </c>
      <c r="I630" s="399">
        <v>183067.45</v>
      </c>
      <c r="J630" s="114">
        <f t="shared" si="1091"/>
        <v>12.713017361111113</v>
      </c>
      <c r="K630" s="396">
        <v>74192.59</v>
      </c>
      <c r="L630" s="114">
        <f t="shared" si="1092"/>
        <v>1.0304526388888888</v>
      </c>
      <c r="M630" s="396">
        <v>2719.57</v>
      </c>
      <c r="N630" s="114">
        <f t="shared" si="1093"/>
        <v>3.7771805555555558E-2</v>
      </c>
      <c r="O630" s="396">
        <v>88492.83</v>
      </c>
      <c r="P630" s="114">
        <f t="shared" si="1094"/>
        <v>15.977872083333333</v>
      </c>
      <c r="Q630" s="396">
        <v>23646.959999999999</v>
      </c>
      <c r="R630" s="398">
        <f t="shared" si="1095"/>
        <v>5.25488</v>
      </c>
    </row>
    <row r="631" spans="1:18" x14ac:dyDescent="0.3">
      <c r="A631" s="449">
        <f t="shared" ref="A631" si="1096">D631+F631+H631+J631+L631+N631+P631+R631</f>
        <v>777.53649111111099</v>
      </c>
      <c r="B631" s="393">
        <f t="shared" si="691"/>
        <v>46097</v>
      </c>
      <c r="C631" s="396">
        <v>81988.800000000003</v>
      </c>
      <c r="D631" s="114">
        <f t="shared" ref="D631" si="1097">(C631*7.5%)/360</f>
        <v>17.081</v>
      </c>
      <c r="E631" s="399">
        <v>3451233.55</v>
      </c>
      <c r="F631" s="114">
        <f t="shared" ref="F631" si="1098">(E631*7.5%)/360</f>
        <v>719.00698958333328</v>
      </c>
      <c r="G631" s="396">
        <v>92656.91</v>
      </c>
      <c r="H631" s="114">
        <f t="shared" ref="H631" si="1099">(G631*2.5%)/360</f>
        <v>6.4345076388888893</v>
      </c>
      <c r="I631" s="399">
        <v>183067.45</v>
      </c>
      <c r="J631" s="114">
        <f t="shared" ref="J631" si="1100">(I631*2.5%)/360</f>
        <v>12.713017361111113</v>
      </c>
      <c r="K631" s="396">
        <v>74192.59</v>
      </c>
      <c r="L631" s="114">
        <f t="shared" ref="L631" si="1101">(K631*0.5%)/360</f>
        <v>1.0304526388888888</v>
      </c>
      <c r="M631" s="396">
        <v>2719.57</v>
      </c>
      <c r="N631" s="114">
        <f t="shared" ref="N631" si="1102">(M631*0.5%)/360</f>
        <v>3.7771805555555558E-2</v>
      </c>
      <c r="O631" s="396">
        <v>88492.83</v>
      </c>
      <c r="P631" s="114">
        <f t="shared" ref="P631" si="1103">(O631*6.5%)/360</f>
        <v>15.977872083333333</v>
      </c>
      <c r="Q631" s="396">
        <v>23646.959999999999</v>
      </c>
      <c r="R631" s="398">
        <f t="shared" ref="R631" si="1104">(Q631*8%)/360</f>
        <v>5.25488</v>
      </c>
    </row>
    <row r="632" spans="1:18" x14ac:dyDescent="0.3">
      <c r="A632" s="449">
        <f t="shared" ref="A632:A639" si="1105">D632+F632+H632+J632+L632+N632+P632+R632</f>
        <v>777.53649111111099</v>
      </c>
      <c r="B632" s="393">
        <f t="shared" si="691"/>
        <v>46098</v>
      </c>
      <c r="C632" s="396">
        <v>81988.800000000003</v>
      </c>
      <c r="D632" s="114">
        <f t="shared" ref="D632:D639" si="1106">(C632*7.5%)/360</f>
        <v>17.081</v>
      </c>
      <c r="E632" s="399">
        <v>3451233.55</v>
      </c>
      <c r="F632" s="114">
        <f t="shared" ref="F632:F639" si="1107">(E632*7.5%)/360</f>
        <v>719.00698958333328</v>
      </c>
      <c r="G632" s="396">
        <v>92656.91</v>
      </c>
      <c r="H632" s="114">
        <f t="shared" ref="H632:H639" si="1108">(G632*2.5%)/360</f>
        <v>6.4345076388888893</v>
      </c>
      <c r="I632" s="399">
        <v>183067.45</v>
      </c>
      <c r="J632" s="114">
        <f t="shared" ref="J632:J639" si="1109">(I632*2.5%)/360</f>
        <v>12.713017361111113</v>
      </c>
      <c r="K632" s="396">
        <v>74192.59</v>
      </c>
      <c r="L632" s="114">
        <f t="shared" ref="L632:L639" si="1110">(K632*0.5%)/360</f>
        <v>1.0304526388888888</v>
      </c>
      <c r="M632" s="396">
        <v>2719.57</v>
      </c>
      <c r="N632" s="114">
        <f t="shared" ref="N632:N639" si="1111">(M632*0.5%)/360</f>
        <v>3.7771805555555558E-2</v>
      </c>
      <c r="O632" s="396">
        <v>88492.83</v>
      </c>
      <c r="P632" s="114">
        <f t="shared" ref="P632:P639" si="1112">(O632*6.5%)/360</f>
        <v>15.977872083333333</v>
      </c>
      <c r="Q632" s="396">
        <v>23646.959999999999</v>
      </c>
      <c r="R632" s="398">
        <f t="shared" ref="R632:R639" si="1113">(Q632*8%)/360</f>
        <v>5.25488</v>
      </c>
    </row>
    <row r="633" spans="1:18" x14ac:dyDescent="0.3">
      <c r="A633" s="449">
        <f t="shared" si="1105"/>
        <v>777.53649111111099</v>
      </c>
      <c r="B633" s="393">
        <f t="shared" si="691"/>
        <v>46099</v>
      </c>
      <c r="C633" s="396">
        <v>81988.800000000003</v>
      </c>
      <c r="D633" s="114">
        <f t="shared" si="1106"/>
        <v>17.081</v>
      </c>
      <c r="E633" s="399">
        <v>3451233.55</v>
      </c>
      <c r="F633" s="114">
        <f t="shared" si="1107"/>
        <v>719.00698958333328</v>
      </c>
      <c r="G633" s="396">
        <v>92656.91</v>
      </c>
      <c r="H633" s="114">
        <f t="shared" si="1108"/>
        <v>6.4345076388888893</v>
      </c>
      <c r="I633" s="399">
        <v>183067.45</v>
      </c>
      <c r="J633" s="114">
        <f t="shared" si="1109"/>
        <v>12.713017361111113</v>
      </c>
      <c r="K633" s="396">
        <v>74192.59</v>
      </c>
      <c r="L633" s="114">
        <f t="shared" si="1110"/>
        <v>1.0304526388888888</v>
      </c>
      <c r="M633" s="396">
        <v>2719.57</v>
      </c>
      <c r="N633" s="114">
        <f t="shared" si="1111"/>
        <v>3.7771805555555558E-2</v>
      </c>
      <c r="O633" s="396">
        <v>88492.83</v>
      </c>
      <c r="P633" s="114">
        <f t="shared" si="1112"/>
        <v>15.977872083333333</v>
      </c>
      <c r="Q633" s="396">
        <v>23646.959999999999</v>
      </c>
      <c r="R633" s="398">
        <f t="shared" si="1113"/>
        <v>5.25488</v>
      </c>
    </row>
    <row r="634" spans="1:18" x14ac:dyDescent="0.3">
      <c r="A634" s="449">
        <f t="shared" si="1105"/>
        <v>777.53649111111099</v>
      </c>
      <c r="B634" s="393">
        <f t="shared" si="691"/>
        <v>46100</v>
      </c>
      <c r="C634" s="396">
        <v>81988.800000000003</v>
      </c>
      <c r="D634" s="114">
        <f t="shared" si="1106"/>
        <v>17.081</v>
      </c>
      <c r="E634" s="399">
        <v>3451233.55</v>
      </c>
      <c r="F634" s="114">
        <f t="shared" si="1107"/>
        <v>719.00698958333328</v>
      </c>
      <c r="G634" s="396">
        <v>92656.91</v>
      </c>
      <c r="H634" s="114">
        <f t="shared" si="1108"/>
        <v>6.4345076388888893</v>
      </c>
      <c r="I634" s="399">
        <v>183067.45</v>
      </c>
      <c r="J634" s="114">
        <f t="shared" si="1109"/>
        <v>12.713017361111113</v>
      </c>
      <c r="K634" s="396">
        <v>74192.59</v>
      </c>
      <c r="L634" s="114">
        <f t="shared" si="1110"/>
        <v>1.0304526388888888</v>
      </c>
      <c r="M634" s="396">
        <v>2719.57</v>
      </c>
      <c r="N634" s="114">
        <f t="shared" si="1111"/>
        <v>3.7771805555555558E-2</v>
      </c>
      <c r="O634" s="396">
        <v>88492.83</v>
      </c>
      <c r="P634" s="114">
        <f t="shared" si="1112"/>
        <v>15.977872083333333</v>
      </c>
      <c r="Q634" s="396">
        <v>23646.959999999999</v>
      </c>
      <c r="R634" s="398">
        <f t="shared" si="1113"/>
        <v>5.25488</v>
      </c>
    </row>
    <row r="635" spans="1:18" x14ac:dyDescent="0.3">
      <c r="A635" s="449">
        <f t="shared" si="1105"/>
        <v>777.53649111111099</v>
      </c>
      <c r="B635" s="393">
        <f t="shared" si="691"/>
        <v>46101</v>
      </c>
      <c r="C635" s="396">
        <v>81988.800000000003</v>
      </c>
      <c r="D635" s="114">
        <f t="shared" si="1106"/>
        <v>17.081</v>
      </c>
      <c r="E635" s="399">
        <v>3451233.55</v>
      </c>
      <c r="F635" s="114">
        <f t="shared" si="1107"/>
        <v>719.00698958333328</v>
      </c>
      <c r="G635" s="396">
        <v>92656.91</v>
      </c>
      <c r="H635" s="114">
        <f t="shared" si="1108"/>
        <v>6.4345076388888893</v>
      </c>
      <c r="I635" s="399">
        <v>183067.45</v>
      </c>
      <c r="J635" s="114">
        <f t="shared" si="1109"/>
        <v>12.713017361111113</v>
      </c>
      <c r="K635" s="396">
        <v>74192.59</v>
      </c>
      <c r="L635" s="114">
        <f t="shared" si="1110"/>
        <v>1.0304526388888888</v>
      </c>
      <c r="M635" s="396">
        <v>2719.57</v>
      </c>
      <c r="N635" s="114">
        <f t="shared" si="1111"/>
        <v>3.7771805555555558E-2</v>
      </c>
      <c r="O635" s="396">
        <v>88492.83</v>
      </c>
      <c r="P635" s="114">
        <f t="shared" si="1112"/>
        <v>15.977872083333333</v>
      </c>
      <c r="Q635" s="396">
        <v>23646.959999999999</v>
      </c>
      <c r="R635" s="398">
        <f t="shared" si="1113"/>
        <v>5.25488</v>
      </c>
    </row>
    <row r="636" spans="1:18" x14ac:dyDescent="0.3">
      <c r="A636" s="449">
        <f t="shared" si="1105"/>
        <v>777.53649111111099</v>
      </c>
      <c r="B636" s="393">
        <f t="shared" si="691"/>
        <v>46102</v>
      </c>
      <c r="C636" s="396">
        <v>81988.800000000003</v>
      </c>
      <c r="D636" s="114">
        <f t="shared" si="1106"/>
        <v>17.081</v>
      </c>
      <c r="E636" s="399">
        <v>3451233.55</v>
      </c>
      <c r="F636" s="114">
        <f t="shared" si="1107"/>
        <v>719.00698958333328</v>
      </c>
      <c r="G636" s="396">
        <v>92656.91</v>
      </c>
      <c r="H636" s="114">
        <f t="shared" si="1108"/>
        <v>6.4345076388888893</v>
      </c>
      <c r="I636" s="399">
        <v>183067.45</v>
      </c>
      <c r="J636" s="114">
        <f t="shared" si="1109"/>
        <v>12.713017361111113</v>
      </c>
      <c r="K636" s="396">
        <v>74192.59</v>
      </c>
      <c r="L636" s="114">
        <f t="shared" si="1110"/>
        <v>1.0304526388888888</v>
      </c>
      <c r="M636" s="396">
        <v>2719.57</v>
      </c>
      <c r="N636" s="114">
        <f t="shared" si="1111"/>
        <v>3.7771805555555558E-2</v>
      </c>
      <c r="O636" s="396">
        <v>88492.83</v>
      </c>
      <c r="P636" s="114">
        <f t="shared" si="1112"/>
        <v>15.977872083333333</v>
      </c>
      <c r="Q636" s="396">
        <v>23646.959999999999</v>
      </c>
      <c r="R636" s="398">
        <f t="shared" si="1113"/>
        <v>5.25488</v>
      </c>
    </row>
    <row r="637" spans="1:18" x14ac:dyDescent="0.3">
      <c r="A637" s="449">
        <f t="shared" si="1105"/>
        <v>777.53649111111099</v>
      </c>
      <c r="B637" s="393">
        <f t="shared" si="691"/>
        <v>46103</v>
      </c>
      <c r="C637" s="396">
        <v>81988.800000000003</v>
      </c>
      <c r="D637" s="114">
        <f t="shared" si="1106"/>
        <v>17.081</v>
      </c>
      <c r="E637" s="399">
        <v>3451233.55</v>
      </c>
      <c r="F637" s="114">
        <f t="shared" si="1107"/>
        <v>719.00698958333328</v>
      </c>
      <c r="G637" s="396">
        <v>92656.91</v>
      </c>
      <c r="H637" s="114">
        <f t="shared" si="1108"/>
        <v>6.4345076388888893</v>
      </c>
      <c r="I637" s="399">
        <v>183067.45</v>
      </c>
      <c r="J637" s="114">
        <f t="shared" si="1109"/>
        <v>12.713017361111113</v>
      </c>
      <c r="K637" s="396">
        <v>74192.59</v>
      </c>
      <c r="L637" s="114">
        <f t="shared" si="1110"/>
        <v>1.0304526388888888</v>
      </c>
      <c r="M637" s="396">
        <v>2719.57</v>
      </c>
      <c r="N637" s="114">
        <f t="shared" si="1111"/>
        <v>3.7771805555555558E-2</v>
      </c>
      <c r="O637" s="396">
        <v>88492.83</v>
      </c>
      <c r="P637" s="114">
        <f t="shared" si="1112"/>
        <v>15.977872083333333</v>
      </c>
      <c r="Q637" s="396">
        <v>23646.959999999999</v>
      </c>
      <c r="R637" s="398">
        <f t="shared" si="1113"/>
        <v>5.25488</v>
      </c>
    </row>
    <row r="638" spans="1:18" x14ac:dyDescent="0.3">
      <c r="A638" s="449">
        <f t="shared" si="1105"/>
        <v>777.53649111111099</v>
      </c>
      <c r="B638" s="393">
        <f t="shared" si="691"/>
        <v>46104</v>
      </c>
      <c r="C638" s="396">
        <v>81988.800000000003</v>
      </c>
      <c r="D638" s="114">
        <f t="shared" si="1106"/>
        <v>17.081</v>
      </c>
      <c r="E638" s="399">
        <v>3451233.55</v>
      </c>
      <c r="F638" s="114">
        <f t="shared" si="1107"/>
        <v>719.00698958333328</v>
      </c>
      <c r="G638" s="396">
        <v>92656.91</v>
      </c>
      <c r="H638" s="114">
        <f t="shared" si="1108"/>
        <v>6.4345076388888893</v>
      </c>
      <c r="I638" s="399">
        <v>183067.45</v>
      </c>
      <c r="J638" s="114">
        <f t="shared" si="1109"/>
        <v>12.713017361111113</v>
      </c>
      <c r="K638" s="396">
        <v>74192.59</v>
      </c>
      <c r="L638" s="114">
        <f t="shared" si="1110"/>
        <v>1.0304526388888888</v>
      </c>
      <c r="M638" s="396">
        <v>2719.57</v>
      </c>
      <c r="N638" s="114">
        <f t="shared" si="1111"/>
        <v>3.7771805555555558E-2</v>
      </c>
      <c r="O638" s="396">
        <v>88492.83</v>
      </c>
      <c r="P638" s="114">
        <f t="shared" si="1112"/>
        <v>15.977872083333333</v>
      </c>
      <c r="Q638" s="396">
        <v>23646.959999999999</v>
      </c>
      <c r="R638" s="398">
        <f t="shared" si="1113"/>
        <v>5.25488</v>
      </c>
    </row>
    <row r="639" spans="1:18" x14ac:dyDescent="0.3">
      <c r="A639" s="449">
        <f t="shared" si="1105"/>
        <v>434.00803694444448</v>
      </c>
      <c r="B639" s="393">
        <f t="shared" si="691"/>
        <v>46105</v>
      </c>
      <c r="C639" s="396">
        <v>81988.800000000003</v>
      </c>
      <c r="D639" s="114">
        <f t="shared" si="1106"/>
        <v>17.081</v>
      </c>
      <c r="E639" s="399">
        <v>1802296.97</v>
      </c>
      <c r="F639" s="114">
        <f t="shared" si="1107"/>
        <v>375.47853541666666</v>
      </c>
      <c r="G639" s="396">
        <v>92656.91</v>
      </c>
      <c r="H639" s="114">
        <f t="shared" si="1108"/>
        <v>6.4345076388888893</v>
      </c>
      <c r="I639" s="399">
        <v>183067.45</v>
      </c>
      <c r="J639" s="114">
        <f t="shared" si="1109"/>
        <v>12.713017361111113</v>
      </c>
      <c r="K639" s="396">
        <v>74192.59</v>
      </c>
      <c r="L639" s="114">
        <f t="shared" si="1110"/>
        <v>1.0304526388888888</v>
      </c>
      <c r="M639" s="396">
        <v>2719.57</v>
      </c>
      <c r="N639" s="114">
        <f t="shared" si="1111"/>
        <v>3.7771805555555558E-2</v>
      </c>
      <c r="O639" s="396">
        <v>88492.83</v>
      </c>
      <c r="P639" s="114">
        <f t="shared" si="1112"/>
        <v>15.977872083333333</v>
      </c>
      <c r="Q639" s="396">
        <v>23646.959999999999</v>
      </c>
      <c r="R639" s="398">
        <f t="shared" si="1113"/>
        <v>5.25488</v>
      </c>
    </row>
    <row r="640" spans="1:18" x14ac:dyDescent="0.3">
      <c r="A640" s="449">
        <f t="shared" ref="A640" si="1114">D640+F640+H640+J640+L640+N640+P640+R640</f>
        <v>423.50456472222231</v>
      </c>
      <c r="B640" s="393">
        <f t="shared" si="691"/>
        <v>46106</v>
      </c>
      <c r="C640" s="396">
        <v>81988.800000000003</v>
      </c>
      <c r="D640" s="114">
        <f t="shared" ref="D640" si="1115">(C640*7.5%)/360</f>
        <v>17.081</v>
      </c>
      <c r="E640" s="399">
        <v>1748546.97</v>
      </c>
      <c r="F640" s="114">
        <f t="shared" ref="F640" si="1116">(E640*7.5%)/360</f>
        <v>364.28061875000003</v>
      </c>
      <c r="G640" s="396">
        <v>102656.91</v>
      </c>
      <c r="H640" s="114">
        <f t="shared" ref="H640" si="1117">(G640*2.5%)/360</f>
        <v>7.128952083333334</v>
      </c>
      <c r="I640" s="399">
        <v>183067.45</v>
      </c>
      <c r="J640" s="114">
        <f t="shared" ref="J640" si="1118">(I640*2.5%)/360</f>
        <v>12.713017361111113</v>
      </c>
      <c r="K640" s="396">
        <v>74192.59</v>
      </c>
      <c r="L640" s="114">
        <f t="shared" ref="L640" si="1119">(K640*0.5%)/360</f>
        <v>1.0304526388888888</v>
      </c>
      <c r="M640" s="396">
        <v>2719.57</v>
      </c>
      <c r="N640" s="114">
        <f t="shared" ref="N640" si="1120">(M640*0.5%)/360</f>
        <v>3.7771805555555558E-2</v>
      </c>
      <c r="O640" s="396">
        <v>88492.83</v>
      </c>
      <c r="P640" s="114">
        <f t="shared" ref="P640" si="1121">(O640*6.5%)/360</f>
        <v>15.977872083333333</v>
      </c>
      <c r="Q640" s="396">
        <v>23646.959999999999</v>
      </c>
      <c r="R640" s="398">
        <f t="shared" ref="R640" si="1122">(Q640*8%)/360</f>
        <v>5.25488</v>
      </c>
    </row>
  </sheetData>
  <mergeCells count="15">
    <mergeCell ref="C1:F1"/>
    <mergeCell ref="G1:J1"/>
    <mergeCell ref="B2:B3"/>
    <mergeCell ref="O2:P2"/>
    <mergeCell ref="Q2:R2"/>
    <mergeCell ref="K1:L1"/>
    <mergeCell ref="M1:N1"/>
    <mergeCell ref="O1:P1"/>
    <mergeCell ref="Q1:R1"/>
    <mergeCell ref="C2:D2"/>
    <mergeCell ref="E2:F2"/>
    <mergeCell ref="G2:H2"/>
    <mergeCell ref="I2:J2"/>
    <mergeCell ref="K2:L2"/>
    <mergeCell ref="M2:N2"/>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pageSetUpPr fitToPage="1"/>
  </sheetPr>
  <dimension ref="A1:I143"/>
  <sheetViews>
    <sheetView showGridLines="0" topLeftCell="A2" zoomScale="80" zoomScaleNormal="80" workbookViewId="0">
      <selection activeCell="C30" sqref="C30"/>
    </sheetView>
  </sheetViews>
  <sheetFormatPr defaultColWidth="9.109375" defaultRowHeight="13.2" x14ac:dyDescent="0.25"/>
  <cols>
    <col min="1" max="1" width="4.5546875" style="4" customWidth="1"/>
    <col min="2" max="2" width="48.5546875" style="71" customWidth="1"/>
    <col min="3" max="3" width="18.33203125" style="3" bestFit="1" customWidth="1"/>
    <col min="4" max="4" width="0.33203125" style="68" customWidth="1"/>
    <col min="5" max="5" width="18.33203125" style="3" bestFit="1" customWidth="1"/>
    <col min="6" max="7" width="9.109375" style="2"/>
    <col min="8" max="8" width="12.5546875" style="2" bestFit="1" customWidth="1"/>
    <col min="9" max="9" width="15.109375" style="2" bestFit="1" customWidth="1"/>
    <col min="10" max="16384" width="9.109375" style="2"/>
  </cols>
  <sheetData>
    <row r="1" spans="1:5" ht="27" customHeight="1" x14ac:dyDescent="0.25">
      <c r="A1" s="531" t="s">
        <v>180</v>
      </c>
      <c r="B1" s="532"/>
      <c r="C1" s="532"/>
      <c r="D1" s="532"/>
      <c r="E1" s="532"/>
    </row>
    <row r="3" spans="1:5" x14ac:dyDescent="0.25">
      <c r="C3" s="123" t="s">
        <v>260</v>
      </c>
      <c r="D3" s="124"/>
      <c r="E3" s="123" t="s">
        <v>182</v>
      </c>
    </row>
    <row r="4" spans="1:5" x14ac:dyDescent="0.25">
      <c r="C4" s="125" t="s">
        <v>20</v>
      </c>
      <c r="D4" s="126"/>
      <c r="E4" s="125" t="s">
        <v>20</v>
      </c>
    </row>
    <row r="5" spans="1:5" s="1" customFormat="1" x14ac:dyDescent="0.25">
      <c r="A5" s="4">
        <f>BS!B19</f>
        <v>2</v>
      </c>
      <c r="B5" s="72" t="s">
        <v>148</v>
      </c>
      <c r="C5" s="25"/>
      <c r="D5" s="73"/>
      <c r="E5" s="25"/>
    </row>
    <row r="6" spans="1:5" ht="4.5" customHeight="1" x14ac:dyDescent="0.25"/>
    <row r="7" spans="1:5" x14ac:dyDescent="0.25">
      <c r="B7" s="71" t="s">
        <v>147</v>
      </c>
      <c r="C7" s="74">
        <f>BS!C19</f>
        <v>4000000.0070447922</v>
      </c>
      <c r="E7" s="74">
        <f>BS!E19</f>
        <v>13000000.007044792</v>
      </c>
    </row>
    <row r="8" spans="1:5" s="1" customFormat="1" ht="13.8" thickBot="1" x14ac:dyDescent="0.3">
      <c r="A8" s="4"/>
      <c r="B8" s="75" t="s">
        <v>145</v>
      </c>
      <c r="C8" s="76">
        <f>SUM(C7)</f>
        <v>4000000.0070447922</v>
      </c>
      <c r="D8" s="73">
        <f>SUM(D7)</f>
        <v>0</v>
      </c>
      <c r="E8" s="76">
        <f>SUM(E7)</f>
        <v>13000000.007044792</v>
      </c>
    </row>
    <row r="9" spans="1:5" ht="7.5" customHeight="1" thickTop="1" x14ac:dyDescent="0.25"/>
    <row r="10" spans="1:5" ht="12" hidden="1" customHeight="1" x14ac:dyDescent="0.25">
      <c r="A10" s="4">
        <v>3</v>
      </c>
      <c r="B10" s="72" t="s">
        <v>196</v>
      </c>
    </row>
    <row r="11" spans="1:5" ht="4.5" hidden="1" customHeight="1" x14ac:dyDescent="0.25"/>
    <row r="12" spans="1:5" ht="14.25" hidden="1" customHeight="1" x14ac:dyDescent="0.25">
      <c r="B12" s="71" t="s">
        <v>203</v>
      </c>
      <c r="C12" s="25">
        <f>BS!C20</f>
        <v>0</v>
      </c>
      <c r="D12" s="73"/>
      <c r="E12" s="25">
        <v>0</v>
      </c>
    </row>
    <row r="13" spans="1:5" ht="7.5" hidden="1" customHeight="1" x14ac:dyDescent="0.25"/>
    <row r="14" spans="1:5" ht="7.5" customHeight="1" x14ac:dyDescent="0.25"/>
    <row r="15" spans="1:5" ht="12" customHeight="1" x14ac:dyDescent="0.25">
      <c r="A15" s="4">
        <v>3</v>
      </c>
      <c r="B15" s="72" t="s">
        <v>204</v>
      </c>
    </row>
    <row r="16" spans="1:5" ht="3.75" customHeight="1" x14ac:dyDescent="0.25"/>
    <row r="17" spans="1:9" ht="16.5" customHeight="1" x14ac:dyDescent="0.25">
      <c r="B17" s="71" t="s">
        <v>261</v>
      </c>
      <c r="C17" s="77">
        <v>7500</v>
      </c>
      <c r="D17" s="67"/>
      <c r="E17" s="77">
        <v>0</v>
      </c>
    </row>
    <row r="18" spans="1:9" ht="12" customHeight="1" x14ac:dyDescent="0.25">
      <c r="B18" s="71" t="s">
        <v>230</v>
      </c>
      <c r="C18" s="78">
        <v>600000</v>
      </c>
      <c r="D18" s="66"/>
      <c r="E18" s="171">
        <v>0</v>
      </c>
    </row>
    <row r="19" spans="1:9" ht="12" customHeight="1" x14ac:dyDescent="0.25">
      <c r="C19" s="7">
        <f>C17+C18</f>
        <v>607500</v>
      </c>
      <c r="D19" s="73"/>
      <c r="E19" s="7">
        <f>SUM(E17:E18)</f>
        <v>0</v>
      </c>
    </row>
    <row r="20" spans="1:9" ht="1.5" customHeight="1" x14ac:dyDescent="0.25">
      <c r="C20" s="81"/>
      <c r="E20" s="81"/>
    </row>
    <row r="21" spans="1:9" s="1" customFormat="1" x14ac:dyDescent="0.25">
      <c r="A21" s="4">
        <v>4</v>
      </c>
      <c r="B21" s="72" t="s">
        <v>149</v>
      </c>
      <c r="C21" s="25"/>
      <c r="D21" s="73"/>
      <c r="E21" s="25"/>
    </row>
    <row r="22" spans="1:9" ht="3" customHeight="1" x14ac:dyDescent="0.25"/>
    <row r="23" spans="1:9" x14ac:dyDescent="0.25">
      <c r="B23" s="71" t="s">
        <v>150</v>
      </c>
    </row>
    <row r="24" spans="1:9" ht="3" customHeight="1" x14ac:dyDescent="0.25"/>
    <row r="25" spans="1:9" x14ac:dyDescent="0.25">
      <c r="B25" s="71" t="s">
        <v>151</v>
      </c>
    </row>
    <row r="26" spans="1:9" x14ac:dyDescent="0.25">
      <c r="B26" s="71" t="s">
        <v>152</v>
      </c>
      <c r="C26" s="77">
        <v>7605069.0300000003</v>
      </c>
      <c r="E26" s="77">
        <v>11293556</v>
      </c>
    </row>
    <row r="27" spans="1:9" x14ac:dyDescent="0.25">
      <c r="B27" s="71" t="s">
        <v>153</v>
      </c>
      <c r="C27" s="79">
        <v>5284563.21</v>
      </c>
      <c r="E27" s="79">
        <v>0</v>
      </c>
    </row>
    <row r="28" spans="1:9" x14ac:dyDescent="0.25">
      <c r="B28" s="71" t="s">
        <v>231</v>
      </c>
      <c r="C28" s="79">
        <v>0</v>
      </c>
      <c r="E28" s="79">
        <v>0</v>
      </c>
    </row>
    <row r="29" spans="1:9" x14ac:dyDescent="0.25">
      <c r="B29" s="71" t="s">
        <v>232</v>
      </c>
      <c r="C29" s="78">
        <v>106.06</v>
      </c>
      <c r="E29" s="78">
        <v>0</v>
      </c>
    </row>
    <row r="30" spans="1:9" s="1" customFormat="1" ht="13.8" thickBot="1" x14ac:dyDescent="0.3">
      <c r="A30" s="4"/>
      <c r="B30" s="75" t="s">
        <v>145</v>
      </c>
      <c r="C30" s="76">
        <f>SUM(C26:C29)</f>
        <v>12889738.300000001</v>
      </c>
      <c r="D30" s="73"/>
      <c r="E30" s="76">
        <f>SUM(E26:E27)</f>
        <v>11293556</v>
      </c>
      <c r="I30" s="73"/>
    </row>
    <row r="31" spans="1:9" ht="8.25" customHeight="1" thickTop="1" x14ac:dyDescent="0.25"/>
    <row r="32" spans="1:9" ht="8.25" customHeight="1" x14ac:dyDescent="0.25"/>
    <row r="33" spans="1:5" s="1" customFormat="1" x14ac:dyDescent="0.25">
      <c r="A33" s="4">
        <v>5</v>
      </c>
      <c r="B33" s="72" t="s">
        <v>118</v>
      </c>
      <c r="C33" s="25"/>
      <c r="D33" s="73"/>
      <c r="E33" s="25"/>
    </row>
    <row r="34" spans="1:5" ht="4.5" customHeight="1" x14ac:dyDescent="0.25"/>
    <row r="35" spans="1:5" x14ac:dyDescent="0.25">
      <c r="B35" s="71" t="s">
        <v>233</v>
      </c>
      <c r="C35" s="77">
        <v>1000000</v>
      </c>
      <c r="E35" s="77">
        <v>0</v>
      </c>
    </row>
    <row r="36" spans="1:5" x14ac:dyDescent="0.25">
      <c r="B36" s="71" t="s">
        <v>154</v>
      </c>
      <c r="C36" s="78">
        <f>-'TB-C'!H32</f>
        <v>-32967.032967032952</v>
      </c>
      <c r="E36" s="78">
        <v>0</v>
      </c>
    </row>
    <row r="37" spans="1:5" s="1" customFormat="1" ht="13.8" thickBot="1" x14ac:dyDescent="0.3">
      <c r="A37" s="4"/>
      <c r="B37" s="75" t="s">
        <v>145</v>
      </c>
      <c r="C37" s="76">
        <f>SUM(C35:C36)</f>
        <v>967032.96703296702</v>
      </c>
      <c r="D37" s="73"/>
      <c r="E37" s="76">
        <f>SUM(E35:E36)</f>
        <v>0</v>
      </c>
    </row>
    <row r="38" spans="1:5" ht="13.8" thickTop="1" x14ac:dyDescent="0.25"/>
    <row r="39" spans="1:5" x14ac:dyDescent="0.25">
      <c r="A39" s="4">
        <v>6</v>
      </c>
      <c r="B39" s="72" t="s">
        <v>14</v>
      </c>
    </row>
    <row r="40" spans="1:5" ht="6" customHeight="1" x14ac:dyDescent="0.25"/>
    <row r="41" spans="1:5" x14ac:dyDescent="0.25">
      <c r="B41" s="71" t="s">
        <v>155</v>
      </c>
      <c r="C41" s="77">
        <f>E!B8</f>
        <v>188935970</v>
      </c>
      <c r="E41" s="77">
        <f>E!B22</f>
        <v>160875820</v>
      </c>
    </row>
    <row r="42" spans="1:5" x14ac:dyDescent="0.25">
      <c r="B42" s="71" t="s">
        <v>156</v>
      </c>
      <c r="C42" s="79">
        <f>E!B9</f>
        <v>0</v>
      </c>
      <c r="E42" s="79">
        <f>E!B23</f>
        <v>40652580</v>
      </c>
    </row>
    <row r="43" spans="1:5" x14ac:dyDescent="0.25">
      <c r="B43" s="71" t="s">
        <v>188</v>
      </c>
      <c r="C43" s="78">
        <f>E!B10</f>
        <v>0</v>
      </c>
      <c r="E43" s="78">
        <f>E!B24</f>
        <v>-12592430</v>
      </c>
    </row>
    <row r="44" spans="1:5" s="1" customFormat="1" ht="13.8" thickBot="1" x14ac:dyDescent="0.3">
      <c r="A44" s="4"/>
      <c r="B44" s="75" t="s">
        <v>145</v>
      </c>
      <c r="C44" s="80">
        <f>SUM(C41:C43)</f>
        <v>188935970</v>
      </c>
      <c r="D44" s="73"/>
      <c r="E44" s="80">
        <f>SUM(E41:E43)</f>
        <v>188935970</v>
      </c>
    </row>
    <row r="45" spans="1:5" ht="13.8" thickTop="1" x14ac:dyDescent="0.25"/>
    <row r="46" spans="1:5" x14ac:dyDescent="0.25">
      <c r="A46" s="4">
        <v>7</v>
      </c>
      <c r="B46" s="72" t="s">
        <v>157</v>
      </c>
    </row>
    <row r="47" spans="1:5" ht="4.5" customHeight="1" x14ac:dyDescent="0.25"/>
    <row r="48" spans="1:5" x14ac:dyDescent="0.25">
      <c r="B48" s="71" t="s">
        <v>155</v>
      </c>
      <c r="C48" s="77">
        <f>E!C8</f>
        <v>2503906.2700000005</v>
      </c>
      <c r="E48" s="77">
        <v>0</v>
      </c>
    </row>
    <row r="49" spans="1:5" x14ac:dyDescent="0.25">
      <c r="B49" s="71" t="s">
        <v>158</v>
      </c>
      <c r="C49" s="79">
        <f>'TB-C'!I19</f>
        <v>7480353.8999999994</v>
      </c>
      <c r="E49" s="79">
        <v>0</v>
      </c>
    </row>
    <row r="50" spans="1:5" x14ac:dyDescent="0.25">
      <c r="B50" s="71" t="s">
        <v>159</v>
      </c>
      <c r="C50" s="78">
        <f>-'TB-C'!H19</f>
        <v>-2739914.0100000002</v>
      </c>
      <c r="E50" s="78">
        <v>0</v>
      </c>
    </row>
    <row r="51" spans="1:5" s="1" customFormat="1" ht="13.8" thickBot="1" x14ac:dyDescent="0.3">
      <c r="A51" s="4"/>
      <c r="B51" s="75" t="s">
        <v>145</v>
      </c>
      <c r="C51" s="80">
        <f>C48+C49+C50</f>
        <v>7244346.1600000001</v>
      </c>
      <c r="D51" s="73"/>
      <c r="E51" s="80">
        <f>SUM(E48:E50)</f>
        <v>0</v>
      </c>
    </row>
    <row r="52" spans="1:5" s="1" customFormat="1" ht="13.8" thickTop="1" x14ac:dyDescent="0.25">
      <c r="A52" s="4"/>
      <c r="B52" s="75"/>
      <c r="C52" s="7"/>
      <c r="D52" s="73"/>
      <c r="E52" s="7"/>
    </row>
    <row r="53" spans="1:5" s="1" customFormat="1" x14ac:dyDescent="0.25">
      <c r="A53" s="4"/>
      <c r="B53" s="75"/>
      <c r="C53" s="7"/>
      <c r="D53" s="73"/>
      <c r="E53" s="7"/>
    </row>
    <row r="54" spans="1:5" s="1" customFormat="1" x14ac:dyDescent="0.25">
      <c r="A54" s="4">
        <v>8</v>
      </c>
      <c r="B54" s="168" t="s">
        <v>256</v>
      </c>
      <c r="C54" s="7"/>
      <c r="D54" s="73"/>
      <c r="E54" s="7"/>
    </row>
    <row r="55" spans="1:5" s="1" customFormat="1" ht="4.5" customHeight="1" x14ac:dyDescent="0.25">
      <c r="A55" s="4"/>
      <c r="B55" s="75"/>
      <c r="C55" s="7"/>
      <c r="D55" s="73"/>
      <c r="E55" s="7"/>
    </row>
    <row r="56" spans="1:5" s="1" customFormat="1" x14ac:dyDescent="0.25">
      <c r="A56" s="4"/>
      <c r="B56" s="169" t="s">
        <v>257</v>
      </c>
      <c r="C56" s="170">
        <v>8097907.0426000003</v>
      </c>
      <c r="D56" s="73"/>
      <c r="E56" s="170">
        <v>0</v>
      </c>
    </row>
    <row r="57" spans="1:5" s="1" customFormat="1" x14ac:dyDescent="0.25">
      <c r="A57" s="4"/>
      <c r="B57" s="169" t="s">
        <v>258</v>
      </c>
      <c r="C57" s="171">
        <v>1968872.8034000001</v>
      </c>
      <c r="D57" s="73"/>
      <c r="E57" s="171">
        <v>0</v>
      </c>
    </row>
    <row r="58" spans="1:5" x14ac:dyDescent="0.25">
      <c r="C58" s="3">
        <f>SUM(C56:C57)</f>
        <v>10066779.846000001</v>
      </c>
      <c r="E58" s="3">
        <f>SUM(E56:E57)</f>
        <v>0</v>
      </c>
    </row>
    <row r="59" spans="1:5" s="1" customFormat="1" x14ac:dyDescent="0.25">
      <c r="A59" s="4">
        <v>9</v>
      </c>
      <c r="B59" s="72" t="s">
        <v>160</v>
      </c>
      <c r="C59" s="25"/>
      <c r="D59" s="73"/>
      <c r="E59" s="25"/>
    </row>
    <row r="60" spans="1:5" x14ac:dyDescent="0.25">
      <c r="B60" s="71" t="s">
        <v>161</v>
      </c>
      <c r="C60" s="77">
        <f>'TB-C'!I10</f>
        <v>1183783.6499910913</v>
      </c>
      <c r="E60" s="77">
        <f>'TB-P'!I10</f>
        <v>165061.78301026439</v>
      </c>
    </row>
    <row r="61" spans="1:5" x14ac:dyDescent="0.25">
      <c r="B61" s="71" t="s">
        <v>162</v>
      </c>
      <c r="C61" s="79">
        <f>'TB-C'!I11</f>
        <v>56977.770188301845</v>
      </c>
      <c r="E61" s="79">
        <f>'TB-P'!I11</f>
        <v>19610.443132601562</v>
      </c>
    </row>
    <row r="62" spans="1:5" hidden="1" x14ac:dyDescent="0.25">
      <c r="B62" s="71" t="s">
        <v>163</v>
      </c>
      <c r="C62" s="79">
        <f>'TB-C'!I13</f>
        <v>0</v>
      </c>
      <c r="E62" s="79">
        <f>'TB-P'!I13</f>
        <v>0</v>
      </c>
    </row>
    <row r="63" spans="1:5" x14ac:dyDescent="0.25">
      <c r="B63" s="71" t="s">
        <v>164</v>
      </c>
      <c r="C63" s="79">
        <f>'TB-C'!I14</f>
        <v>0</v>
      </c>
      <c r="E63" s="79">
        <f>'TB-P'!I14</f>
        <v>17250</v>
      </c>
    </row>
    <row r="64" spans="1:5" hidden="1" x14ac:dyDescent="0.25">
      <c r="B64" s="71" t="s">
        <v>165</v>
      </c>
      <c r="C64" s="78">
        <f>'TB-C'!I15</f>
        <v>0</v>
      </c>
      <c r="E64" s="78">
        <f>'TB-P'!I15</f>
        <v>0</v>
      </c>
    </row>
    <row r="65" spans="1:5" s="1" customFormat="1" ht="13.8" thickBot="1" x14ac:dyDescent="0.3">
      <c r="A65" s="4"/>
      <c r="B65" s="75" t="s">
        <v>145</v>
      </c>
      <c r="C65" s="80">
        <f>SUM(C60:C64)</f>
        <v>1240761.4201793931</v>
      </c>
      <c r="D65" s="73"/>
      <c r="E65" s="80">
        <f>SUM(E60:E64)</f>
        <v>201922.22614286595</v>
      </c>
    </row>
    <row r="66" spans="1:5" ht="13.8" thickTop="1" x14ac:dyDescent="0.25"/>
    <row r="67" spans="1:5" s="1" customFormat="1" x14ac:dyDescent="0.25">
      <c r="A67" s="4">
        <v>10</v>
      </c>
      <c r="B67" s="72" t="s">
        <v>166</v>
      </c>
      <c r="C67" s="25"/>
      <c r="D67" s="73"/>
      <c r="E67" s="25"/>
    </row>
    <row r="68" spans="1:5" x14ac:dyDescent="0.25">
      <c r="B68" s="71" t="s">
        <v>167</v>
      </c>
      <c r="C68" s="77">
        <f>BS!C43</f>
        <v>261802171.14393228</v>
      </c>
      <c r="E68" s="77">
        <f>BS!E43</f>
        <v>223873983.88893643</v>
      </c>
    </row>
    <row r="69" spans="1:5" x14ac:dyDescent="0.25">
      <c r="B69" s="71" t="s">
        <v>168</v>
      </c>
      <c r="C69" s="78">
        <f>IS!C15</f>
        <v>8735993.5599994808</v>
      </c>
      <c r="E69" s="78">
        <f>BS!E11</f>
        <v>4659957.2899999022</v>
      </c>
    </row>
    <row r="70" spans="1:5" s="1" customFormat="1" x14ac:dyDescent="0.25">
      <c r="A70" s="4"/>
      <c r="B70" s="72" t="s">
        <v>169</v>
      </c>
      <c r="C70" s="90">
        <f>C68-C69</f>
        <v>253066177.58393282</v>
      </c>
      <c r="D70" s="73"/>
      <c r="E70" s="90">
        <f>SUM(E68:E69)</f>
        <v>228533941.17893633</v>
      </c>
    </row>
    <row r="71" spans="1:5" ht="6" customHeight="1" x14ac:dyDescent="0.25"/>
    <row r="72" spans="1:5" x14ac:dyDescent="0.25">
      <c r="B72" s="71" t="s">
        <v>170</v>
      </c>
      <c r="C72" s="3">
        <f>BS!C50</f>
        <v>20857304</v>
      </c>
      <c r="E72" s="3">
        <f>BS!E50</f>
        <v>18893597</v>
      </c>
    </row>
    <row r="73" spans="1:5" s="1" customFormat="1" ht="13.8" thickBot="1" x14ac:dyDescent="0.3">
      <c r="A73" s="4"/>
      <c r="B73" s="75" t="s">
        <v>171</v>
      </c>
      <c r="C73" s="111">
        <f>C70/C72</f>
        <v>12.133216142600828</v>
      </c>
      <c r="D73" s="73"/>
      <c r="E73" s="111">
        <f>IFERROR(E70/E72,0)</f>
        <v>12.095840785581291</v>
      </c>
    </row>
    <row r="74" spans="1:5" ht="9" customHeight="1" thickTop="1" x14ac:dyDescent="0.25"/>
    <row r="75" spans="1:5" x14ac:dyDescent="0.25">
      <c r="A75" s="4">
        <v>11</v>
      </c>
      <c r="B75" s="72" t="s">
        <v>172</v>
      </c>
    </row>
    <row r="76" spans="1:5" x14ac:dyDescent="0.25">
      <c r="B76" s="71" t="s">
        <v>167</v>
      </c>
      <c r="C76" s="3">
        <f>C68</f>
        <v>261802171.14393228</v>
      </c>
      <c r="E76" s="3">
        <f>E68</f>
        <v>223873983.88893643</v>
      </c>
    </row>
    <row r="77" spans="1:5" x14ac:dyDescent="0.25">
      <c r="B77" s="71" t="s">
        <v>170</v>
      </c>
      <c r="C77" s="82">
        <f>C72</f>
        <v>20857304</v>
      </c>
      <c r="E77" s="82">
        <f>E72</f>
        <v>18893597</v>
      </c>
    </row>
    <row r="78" spans="1:5" s="1" customFormat="1" ht="13.8" thickBot="1" x14ac:dyDescent="0.3">
      <c r="A78" s="4"/>
      <c r="B78" s="75" t="s">
        <v>173</v>
      </c>
      <c r="C78" s="111">
        <f>C76/C77</f>
        <v>12.552061912888275</v>
      </c>
      <c r="D78" s="73"/>
      <c r="E78" s="111">
        <f>E76/E77</f>
        <v>11.849198640626051</v>
      </c>
    </row>
    <row r="79" spans="1:5" ht="8.25" customHeight="1" thickTop="1" x14ac:dyDescent="0.25"/>
    <row r="80" spans="1:5" ht="12.6" customHeight="1" x14ac:dyDescent="0.25">
      <c r="C80" s="533" t="s">
        <v>255</v>
      </c>
      <c r="D80" s="73"/>
      <c r="E80" s="533" t="s">
        <v>255</v>
      </c>
    </row>
    <row r="81" spans="1:9" ht="14.4" customHeight="1" x14ac:dyDescent="0.25">
      <c r="C81" s="533"/>
      <c r="D81" s="73"/>
      <c r="E81" s="533"/>
    </row>
    <row r="82" spans="1:9" ht="35.25" customHeight="1" x14ac:dyDescent="0.25">
      <c r="C82" s="533"/>
      <c r="D82" s="73"/>
      <c r="E82" s="533"/>
    </row>
    <row r="83" spans="1:9" ht="3.6" customHeight="1" x14ac:dyDescent="0.25">
      <c r="C83" s="137"/>
      <c r="D83" s="73"/>
      <c r="E83" s="137"/>
    </row>
    <row r="84" spans="1:9" ht="15" customHeight="1" x14ac:dyDescent="0.25">
      <c r="C84" s="138" t="s">
        <v>20</v>
      </c>
      <c r="D84" s="73"/>
      <c r="E84" s="138" t="s">
        <v>20</v>
      </c>
    </row>
    <row r="85" spans="1:9" s="1" customFormat="1" x14ac:dyDescent="0.25">
      <c r="A85" s="4">
        <v>12</v>
      </c>
      <c r="B85" s="72" t="s">
        <v>174</v>
      </c>
      <c r="C85" s="25"/>
      <c r="D85" s="73"/>
      <c r="E85" s="25"/>
    </row>
    <row r="86" spans="1:9" x14ac:dyDescent="0.25">
      <c r="B86" s="71" t="s">
        <v>205</v>
      </c>
      <c r="C86" s="77" t="e">
        <f>C88-C87</f>
        <v>#REF!</v>
      </c>
      <c r="D86" s="3">
        <f>IS!D9</f>
        <v>0</v>
      </c>
      <c r="E86" s="77">
        <f>IS!E9</f>
        <v>5098115.6073100492</v>
      </c>
      <c r="I86" s="68"/>
    </row>
    <row r="87" spans="1:9" x14ac:dyDescent="0.25">
      <c r="B87" s="71" t="s">
        <v>206</v>
      </c>
      <c r="C87" s="78" t="e">
        <f>Journals!#REF!+Journals!#REF!+Journals!#REF!+Journals!#REF!+Journals!#REF!+Journals!#REF!+Journals!#REF!+Journals!#REF!+Journals!#REF!+Journals!#REF!+Journals!#REF!+Journals!#REF!+Journals!#REF!</f>
        <v>#REF!</v>
      </c>
      <c r="D87" s="3"/>
      <c r="E87" s="78"/>
    </row>
    <row r="88" spans="1:9" s="1" customFormat="1" ht="13.8" thickBot="1" x14ac:dyDescent="0.3">
      <c r="A88" s="4"/>
      <c r="B88" s="75" t="s">
        <v>145</v>
      </c>
      <c r="C88" s="80">
        <f>IS!C9</f>
        <v>929986.81808733894</v>
      </c>
      <c r="D88" s="25">
        <f>SUM(D86)</f>
        <v>0</v>
      </c>
      <c r="E88" s="80">
        <f>SUM(E86)</f>
        <v>5098115.6073100492</v>
      </c>
    </row>
    <row r="89" spans="1:9" ht="13.8" thickTop="1" x14ac:dyDescent="0.25"/>
    <row r="90" spans="1:9" x14ac:dyDescent="0.25">
      <c r="A90" s="4">
        <v>13</v>
      </c>
      <c r="B90" s="72" t="s">
        <v>207</v>
      </c>
    </row>
    <row r="91" spans="1:9" ht="4.2" customHeight="1" x14ac:dyDescent="0.25">
      <c r="B91" s="72"/>
    </row>
    <row r="92" spans="1:9" x14ac:dyDescent="0.25">
      <c r="B92" s="72" t="s">
        <v>243</v>
      </c>
    </row>
    <row r="93" spans="1:9" ht="14.4" x14ac:dyDescent="0.3">
      <c r="B93" t="s">
        <v>234</v>
      </c>
      <c r="C93" s="117">
        <v>1392900.2000000014</v>
      </c>
      <c r="E93" s="77">
        <v>0</v>
      </c>
    </row>
    <row r="94" spans="1:9" ht="14.4" x14ac:dyDescent="0.3">
      <c r="B94" t="s">
        <v>235</v>
      </c>
      <c r="C94" s="118">
        <v>917602.89999999944</v>
      </c>
      <c r="E94" s="79">
        <v>0</v>
      </c>
    </row>
    <row r="95" spans="1:9" ht="14.4" x14ac:dyDescent="0.3">
      <c r="B95" t="s">
        <v>236</v>
      </c>
      <c r="C95" s="118">
        <v>689312.70669856493</v>
      </c>
      <c r="E95" s="79">
        <v>0</v>
      </c>
    </row>
    <row r="96" spans="1:9" ht="14.4" x14ac:dyDescent="0.3">
      <c r="B96" t="s">
        <v>237</v>
      </c>
      <c r="C96" s="118">
        <v>333709.2</v>
      </c>
      <c r="E96" s="79">
        <v>0</v>
      </c>
    </row>
    <row r="97" spans="1:5" ht="14.4" x14ac:dyDescent="0.3">
      <c r="B97" t="s">
        <v>238</v>
      </c>
      <c r="C97" s="118">
        <v>133453.84571428804</v>
      </c>
      <c r="E97" s="79">
        <v>0</v>
      </c>
    </row>
    <row r="98" spans="1:5" ht="14.4" x14ac:dyDescent="0.3">
      <c r="B98" t="s">
        <v>239</v>
      </c>
      <c r="C98" s="118">
        <v>2940000</v>
      </c>
      <c r="E98" s="79">
        <v>0</v>
      </c>
    </row>
    <row r="99" spans="1:5" ht="14.4" x14ac:dyDescent="0.3">
      <c r="B99" t="s">
        <v>240</v>
      </c>
      <c r="C99" s="118">
        <v>1210152.7777777778</v>
      </c>
      <c r="E99" s="79">
        <v>0</v>
      </c>
    </row>
    <row r="100" spans="1:5" ht="14.4" x14ac:dyDescent="0.3">
      <c r="B100" t="s">
        <v>241</v>
      </c>
      <c r="C100" s="118">
        <v>1224573.1000000001</v>
      </c>
      <c r="E100" s="79">
        <v>0</v>
      </c>
    </row>
    <row r="101" spans="1:5" ht="14.4" x14ac:dyDescent="0.3">
      <c r="B101" t="s">
        <v>242</v>
      </c>
      <c r="C101" s="119">
        <v>844872.90000000061</v>
      </c>
      <c r="E101" s="79">
        <v>0</v>
      </c>
    </row>
    <row r="102" spans="1:5" s="1" customFormat="1" ht="13.8" thickBot="1" x14ac:dyDescent="0.3">
      <c r="A102" s="4"/>
      <c r="B102" s="75" t="s">
        <v>145</v>
      </c>
      <c r="C102" s="80">
        <f>SUM(C93:C101)</f>
        <v>9686577.6301906314</v>
      </c>
      <c r="D102" s="73"/>
      <c r="E102" s="80">
        <f>SUM(E93:E101)</f>
        <v>0</v>
      </c>
    </row>
    <row r="103" spans="1:5" s="1" customFormat="1" ht="7.2" customHeight="1" thickTop="1" x14ac:dyDescent="0.25">
      <c r="A103" s="4"/>
      <c r="B103" s="75"/>
      <c r="C103" s="7"/>
      <c r="D103" s="73"/>
      <c r="E103" s="7"/>
    </row>
    <row r="104" spans="1:5" s="1" customFormat="1" x14ac:dyDescent="0.25">
      <c r="A104" s="4"/>
      <c r="B104" s="72" t="s">
        <v>244</v>
      </c>
      <c r="C104" s="3"/>
      <c r="D104" s="68"/>
      <c r="E104" s="3"/>
    </row>
    <row r="105" spans="1:5" ht="14.4" x14ac:dyDescent="0.3">
      <c r="A105" s="9"/>
      <c r="B105" t="s">
        <v>245</v>
      </c>
      <c r="C105" s="120">
        <v>-1334.87100442477</v>
      </c>
      <c r="E105" s="74">
        <v>0</v>
      </c>
    </row>
    <row r="106" spans="1:5" s="1" customFormat="1" ht="4.95" customHeight="1" x14ac:dyDescent="0.3">
      <c r="A106" s="4"/>
      <c r="B106" s="121"/>
      <c r="C106" s="122"/>
      <c r="D106" s="73"/>
      <c r="E106" s="7"/>
    </row>
    <row r="107" spans="1:5" s="1" customFormat="1" ht="13.8" thickBot="1" x14ac:dyDescent="0.3">
      <c r="A107" s="4"/>
      <c r="B107" s="72" t="s">
        <v>246</v>
      </c>
      <c r="C107" s="76">
        <f>C102+C105</f>
        <v>9685242.7591862064</v>
      </c>
      <c r="D107" s="73"/>
      <c r="E107" s="25">
        <f>SUM(E105)</f>
        <v>0</v>
      </c>
    </row>
    <row r="108" spans="1:5" s="1" customFormat="1" ht="13.8" thickTop="1" x14ac:dyDescent="0.25">
      <c r="A108" s="4"/>
      <c r="B108" s="72"/>
      <c r="C108" s="25"/>
      <c r="D108" s="73"/>
      <c r="E108" s="25"/>
    </row>
    <row r="109" spans="1:5" x14ac:dyDescent="0.25">
      <c r="A109" s="4">
        <v>14</v>
      </c>
      <c r="B109" s="72" t="s">
        <v>208</v>
      </c>
    </row>
    <row r="110" spans="1:5" x14ac:dyDescent="0.25">
      <c r="B110" s="2" t="s">
        <v>209</v>
      </c>
      <c r="C110" s="77">
        <v>390000</v>
      </c>
      <c r="D110" s="67"/>
      <c r="E110" s="77">
        <v>0</v>
      </c>
    </row>
    <row r="111" spans="1:5" x14ac:dyDescent="0.25">
      <c r="B111" s="2" t="s">
        <v>247</v>
      </c>
      <c r="C111" s="79">
        <v>600000</v>
      </c>
      <c r="D111" s="67"/>
      <c r="E111" s="79">
        <v>0</v>
      </c>
    </row>
    <row r="112" spans="1:5" x14ac:dyDescent="0.25">
      <c r="B112" s="2" t="s">
        <v>210</v>
      </c>
      <c r="C112" s="79">
        <v>217500</v>
      </c>
      <c r="D112" s="67"/>
      <c r="E112" s="79">
        <v>0</v>
      </c>
    </row>
    <row r="113" spans="1:5" x14ac:dyDescent="0.25">
      <c r="B113" s="2" t="s">
        <v>211</v>
      </c>
      <c r="C113" s="79">
        <v>190000</v>
      </c>
      <c r="D113" s="67"/>
      <c r="E113" s="79">
        <v>0</v>
      </c>
    </row>
    <row r="114" spans="1:5" x14ac:dyDescent="0.25">
      <c r="B114" s="2" t="s">
        <v>262</v>
      </c>
      <c r="C114" s="78">
        <v>7500</v>
      </c>
      <c r="D114" s="67"/>
      <c r="E114" s="78"/>
    </row>
    <row r="115" spans="1:5" ht="13.8" thickBot="1" x14ac:dyDescent="0.3">
      <c r="A115" s="9"/>
      <c r="B115" s="75" t="s">
        <v>145</v>
      </c>
      <c r="C115" s="76">
        <f>SUM(C110:C114)</f>
        <v>1405000</v>
      </c>
      <c r="D115" s="73"/>
      <c r="E115" s="76">
        <f>SUM(E110:E113)</f>
        <v>0</v>
      </c>
    </row>
    <row r="116" spans="1:5" ht="13.8" thickTop="1" x14ac:dyDescent="0.25"/>
    <row r="117" spans="1:5" s="1" customFormat="1" x14ac:dyDescent="0.25">
      <c r="A117" s="4">
        <v>15</v>
      </c>
      <c r="B117" s="72" t="s">
        <v>248</v>
      </c>
      <c r="C117" s="25"/>
      <c r="D117" s="73"/>
      <c r="E117" s="25"/>
    </row>
    <row r="118" spans="1:5" x14ac:dyDescent="0.25">
      <c r="B118" s="71" t="s">
        <v>249</v>
      </c>
      <c r="C118" s="77">
        <v>0</v>
      </c>
      <c r="E118" s="77">
        <v>0</v>
      </c>
    </row>
    <row r="119" spans="1:5" x14ac:dyDescent="0.25">
      <c r="B119" s="71" t="s">
        <v>254</v>
      </c>
      <c r="C119" s="78" t="e">
        <f>#REF!+#REF!</f>
        <v>#REF!</v>
      </c>
      <c r="E119" s="78">
        <v>0</v>
      </c>
    </row>
    <row r="120" spans="1:5" s="1" customFormat="1" x14ac:dyDescent="0.25">
      <c r="A120" s="4"/>
      <c r="B120" s="72"/>
      <c r="C120" s="25" t="e">
        <f>C119-C118</f>
        <v>#REF!</v>
      </c>
      <c r="D120" s="73"/>
      <c r="E120" s="25">
        <f>E119-E118</f>
        <v>0</v>
      </c>
    </row>
    <row r="122" spans="1:5" x14ac:dyDescent="0.25">
      <c r="A122" s="4">
        <v>16</v>
      </c>
      <c r="B122" s="72" t="s">
        <v>212</v>
      </c>
    </row>
    <row r="123" spans="1:5" x14ac:dyDescent="0.25">
      <c r="B123" s="71" t="s">
        <v>213</v>
      </c>
      <c r="C123" s="3">
        <f>IS!C36</f>
        <v>20163436.314995948</v>
      </c>
      <c r="E123" s="3">
        <f>IS!E36</f>
        <v>25756744.265420623</v>
      </c>
    </row>
    <row r="124" spans="1:5" x14ac:dyDescent="0.25">
      <c r="B124" s="71" t="s">
        <v>170</v>
      </c>
      <c r="C124" s="82">
        <f>BS!C50</f>
        <v>20857304</v>
      </c>
      <c r="E124" s="82">
        <f>BS!E50</f>
        <v>18893597</v>
      </c>
    </row>
    <row r="125" spans="1:5" ht="13.8" thickBot="1" x14ac:dyDescent="0.3">
      <c r="B125" s="75" t="s">
        <v>259</v>
      </c>
      <c r="C125" s="111">
        <f>C123/C124</f>
        <v>0.96673262829155426</v>
      </c>
      <c r="E125" s="111">
        <f>E123/E124</f>
        <v>1.3632525487561009</v>
      </c>
    </row>
    <row r="126" spans="1:5" ht="13.8" thickTop="1" x14ac:dyDescent="0.25"/>
    <row r="132" spans="8:8" ht="14.4" x14ac:dyDescent="0.25">
      <c r="H132" s="116">
        <v>1392900.2000000014</v>
      </c>
    </row>
    <row r="133" spans="8:8" ht="14.4" x14ac:dyDescent="0.25">
      <c r="H133" s="116">
        <v>917602.89999999944</v>
      </c>
    </row>
    <row r="134" spans="8:8" ht="14.4" x14ac:dyDescent="0.25">
      <c r="H134" s="116">
        <v>689312.70669856493</v>
      </c>
    </row>
    <row r="135" spans="8:8" ht="14.4" x14ac:dyDescent="0.25">
      <c r="H135" s="116">
        <v>333709.2</v>
      </c>
    </row>
    <row r="136" spans="8:8" ht="14.4" x14ac:dyDescent="0.25">
      <c r="H136" s="116">
        <v>133453.84571428804</v>
      </c>
    </row>
    <row r="137" spans="8:8" ht="14.4" x14ac:dyDescent="0.25">
      <c r="H137" s="116">
        <v>2940000</v>
      </c>
    </row>
    <row r="138" spans="8:8" ht="14.4" x14ac:dyDescent="0.25">
      <c r="H138" s="116">
        <v>1210152.7777777778</v>
      </c>
    </row>
    <row r="139" spans="8:8" ht="14.4" x14ac:dyDescent="0.25">
      <c r="H139" s="116">
        <v>1224573.1000000001</v>
      </c>
    </row>
    <row r="140" spans="8:8" ht="14.4" x14ac:dyDescent="0.25">
      <c r="H140" s="116">
        <v>844872.90000000061</v>
      </c>
    </row>
    <row r="143" spans="8:8" ht="14.4" x14ac:dyDescent="0.25">
      <c r="H143" s="113">
        <v>-1334.87100442477</v>
      </c>
    </row>
  </sheetData>
  <mergeCells count="3">
    <mergeCell ref="A1:E1"/>
    <mergeCell ref="C80:C82"/>
    <mergeCell ref="E80:E82"/>
  </mergeCells>
  <pageMargins left="0.7" right="0.7" top="0.75" bottom="0.75" header="0.3" footer="0.3"/>
  <pageSetup paperSize="9" scale="72" fitToHeight="0"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7"/>
  <dimension ref="E2:F82"/>
  <sheetViews>
    <sheetView showGridLines="0" topLeftCell="A6" zoomScale="115" zoomScaleNormal="115" workbookViewId="0">
      <selection activeCell="F48" sqref="F48"/>
    </sheetView>
  </sheetViews>
  <sheetFormatPr defaultRowHeight="14.4" x14ac:dyDescent="0.3"/>
  <cols>
    <col min="5" max="5" width="6" customWidth="1"/>
    <col min="6" max="6" width="75.5546875" customWidth="1"/>
  </cols>
  <sheetData>
    <row r="2" spans="5:6" ht="15.6" x14ac:dyDescent="0.3">
      <c r="E2" s="534" t="s">
        <v>263</v>
      </c>
      <c r="F2" s="535"/>
    </row>
    <row r="3" spans="5:6" x14ac:dyDescent="0.3">
      <c r="E3" s="536" t="s">
        <v>264</v>
      </c>
      <c r="F3" s="537"/>
    </row>
    <row r="4" spans="5:6" x14ac:dyDescent="0.3">
      <c r="E4" s="538" t="s">
        <v>265</v>
      </c>
      <c r="F4" s="539"/>
    </row>
    <row r="6" spans="5:6" x14ac:dyDescent="0.3">
      <c r="E6" s="178">
        <v>1</v>
      </c>
      <c r="F6" s="179" t="s">
        <v>266</v>
      </c>
    </row>
    <row r="7" spans="5:6" x14ac:dyDescent="0.3">
      <c r="E7" s="180"/>
      <c r="F7" s="180"/>
    </row>
    <row r="8" spans="5:6" x14ac:dyDescent="0.3">
      <c r="E8" s="181">
        <v>1.01</v>
      </c>
      <c r="F8" s="182" t="s">
        <v>267</v>
      </c>
    </row>
    <row r="9" spans="5:6" ht="350.25" customHeight="1" x14ac:dyDescent="0.3">
      <c r="E9" s="183"/>
      <c r="F9" s="177" t="s">
        <v>309</v>
      </c>
    </row>
    <row r="10" spans="5:6" x14ac:dyDescent="0.3">
      <c r="E10" s="180"/>
      <c r="F10" s="180"/>
    </row>
    <row r="11" spans="5:6" x14ac:dyDescent="0.3">
      <c r="E11" s="181">
        <v>1.02</v>
      </c>
      <c r="F11" s="182" t="s">
        <v>268</v>
      </c>
    </row>
    <row r="12" spans="5:6" ht="57.6" x14ac:dyDescent="0.3">
      <c r="E12" s="183"/>
      <c r="F12" s="177" t="s">
        <v>269</v>
      </c>
    </row>
    <row r="13" spans="5:6" x14ac:dyDescent="0.3">
      <c r="E13" s="180"/>
      <c r="F13" s="180"/>
    </row>
    <row r="14" spans="5:6" x14ac:dyDescent="0.3">
      <c r="E14" s="181">
        <v>1.03</v>
      </c>
      <c r="F14" s="182" t="s">
        <v>270</v>
      </c>
    </row>
    <row r="15" spans="5:6" ht="43.2" x14ac:dyDescent="0.3">
      <c r="E15" s="183"/>
      <c r="F15" s="177" t="s">
        <v>271</v>
      </c>
    </row>
    <row r="16" spans="5:6" ht="7.5" customHeight="1" x14ac:dyDescent="0.3">
      <c r="E16" s="180"/>
      <c r="F16" s="180"/>
    </row>
    <row r="17" spans="5:6" x14ac:dyDescent="0.3">
      <c r="E17" s="180"/>
      <c r="F17" s="180"/>
    </row>
    <row r="18" spans="5:6" x14ac:dyDescent="0.3">
      <c r="E18" s="180"/>
      <c r="F18" s="180"/>
    </row>
    <row r="19" spans="5:6" x14ac:dyDescent="0.3">
      <c r="E19" s="180"/>
      <c r="F19" s="180"/>
    </row>
    <row r="20" spans="5:6" x14ac:dyDescent="0.3">
      <c r="E20" s="178">
        <v>2</v>
      </c>
      <c r="F20" s="179" t="s">
        <v>272</v>
      </c>
    </row>
    <row r="21" spans="5:6" x14ac:dyDescent="0.3">
      <c r="E21" s="180"/>
      <c r="F21" s="180"/>
    </row>
    <row r="22" spans="5:6" x14ac:dyDescent="0.3">
      <c r="E22" s="180"/>
      <c r="F22" s="180"/>
    </row>
    <row r="23" spans="5:6" x14ac:dyDescent="0.3">
      <c r="E23" s="181">
        <v>2.0099999999999998</v>
      </c>
      <c r="F23" s="182" t="s">
        <v>274</v>
      </c>
    </row>
    <row r="24" spans="5:6" ht="115.2" x14ac:dyDescent="0.3">
      <c r="E24" s="183"/>
      <c r="F24" s="177" t="s">
        <v>273</v>
      </c>
    </row>
    <row r="25" spans="5:6" x14ac:dyDescent="0.3">
      <c r="E25" s="180"/>
      <c r="F25" s="180"/>
    </row>
    <row r="26" spans="5:6" x14ac:dyDescent="0.3">
      <c r="E26" s="181">
        <v>2.02</v>
      </c>
      <c r="F26" s="182" t="s">
        <v>276</v>
      </c>
    </row>
    <row r="27" spans="5:6" ht="129.6" x14ac:dyDescent="0.3">
      <c r="E27" s="183"/>
      <c r="F27" s="177" t="s">
        <v>275</v>
      </c>
    </row>
    <row r="28" spans="5:6" x14ac:dyDescent="0.3">
      <c r="E28" s="180"/>
      <c r="F28" s="180"/>
    </row>
    <row r="29" spans="5:6" x14ac:dyDescent="0.3">
      <c r="E29" s="181">
        <v>2.0299999999999998</v>
      </c>
      <c r="F29" s="182" t="s">
        <v>277</v>
      </c>
    </row>
    <row r="30" spans="5:6" ht="28.8" x14ac:dyDescent="0.3">
      <c r="E30" s="183"/>
      <c r="F30" s="177" t="s">
        <v>278</v>
      </c>
    </row>
    <row r="31" spans="5:6" x14ac:dyDescent="0.3">
      <c r="E31" s="180"/>
      <c r="F31" s="180"/>
    </row>
    <row r="32" spans="5:6" x14ac:dyDescent="0.3">
      <c r="E32" s="181">
        <v>2.04</v>
      </c>
      <c r="F32" s="182" t="s">
        <v>279</v>
      </c>
    </row>
    <row r="33" spans="5:6" x14ac:dyDescent="0.3">
      <c r="E33" s="183"/>
      <c r="F33" s="177" t="s">
        <v>280</v>
      </c>
    </row>
    <row r="34" spans="5:6" x14ac:dyDescent="0.3">
      <c r="E34" s="180"/>
      <c r="F34" s="180"/>
    </row>
    <row r="35" spans="5:6" x14ac:dyDescent="0.3">
      <c r="E35" s="181">
        <v>2.0499999999999998</v>
      </c>
      <c r="F35" s="182" t="s">
        <v>281</v>
      </c>
    </row>
    <row r="36" spans="5:6" x14ac:dyDescent="0.3">
      <c r="E36" s="183"/>
      <c r="F36" s="177" t="s">
        <v>282</v>
      </c>
    </row>
    <row r="37" spans="5:6" x14ac:dyDescent="0.3">
      <c r="E37" s="180"/>
      <c r="F37" s="180"/>
    </row>
    <row r="38" spans="5:6" x14ac:dyDescent="0.3">
      <c r="E38" s="181">
        <v>2.06</v>
      </c>
      <c r="F38" s="182" t="s">
        <v>283</v>
      </c>
    </row>
    <row r="39" spans="5:6" ht="345.6" x14ac:dyDescent="0.3">
      <c r="E39" s="183"/>
      <c r="F39" s="177" t="s">
        <v>310</v>
      </c>
    </row>
    <row r="40" spans="5:6" x14ac:dyDescent="0.3">
      <c r="E40" s="180"/>
      <c r="F40" s="180"/>
    </row>
    <row r="41" spans="5:6" x14ac:dyDescent="0.3">
      <c r="E41" s="181">
        <v>2.0699999999999998</v>
      </c>
      <c r="F41" s="182" t="s">
        <v>284</v>
      </c>
    </row>
    <row r="42" spans="5:6" ht="28.8" x14ac:dyDescent="0.3">
      <c r="E42" s="183"/>
      <c r="F42" s="177" t="s">
        <v>285</v>
      </c>
    </row>
    <row r="43" spans="5:6" x14ac:dyDescent="0.3">
      <c r="E43" s="180"/>
      <c r="F43" s="180"/>
    </row>
    <row r="44" spans="5:6" x14ac:dyDescent="0.3">
      <c r="E44" s="181">
        <v>2.08</v>
      </c>
      <c r="F44" s="182" t="s">
        <v>286</v>
      </c>
    </row>
    <row r="45" spans="5:6" ht="158.25" customHeight="1" x14ac:dyDescent="0.3">
      <c r="E45" s="183"/>
      <c r="F45" s="177" t="s">
        <v>287</v>
      </c>
    </row>
    <row r="46" spans="5:6" x14ac:dyDescent="0.3">
      <c r="E46" s="180"/>
      <c r="F46" s="180"/>
    </row>
    <row r="47" spans="5:6" x14ac:dyDescent="0.3">
      <c r="E47" s="181">
        <v>2.09</v>
      </c>
      <c r="F47" s="182" t="s">
        <v>89</v>
      </c>
    </row>
    <row r="48" spans="5:6" ht="78" customHeight="1" x14ac:dyDescent="0.3">
      <c r="E48" s="183"/>
      <c r="F48" s="177" t="s">
        <v>288</v>
      </c>
    </row>
    <row r="49" spans="5:6" x14ac:dyDescent="0.3">
      <c r="E49" s="180"/>
      <c r="F49" s="180"/>
    </row>
    <row r="50" spans="5:6" x14ac:dyDescent="0.3">
      <c r="E50" s="184">
        <v>2.1</v>
      </c>
      <c r="F50" s="185" t="s">
        <v>127</v>
      </c>
    </row>
    <row r="51" spans="5:6" ht="30.75" customHeight="1" x14ac:dyDescent="0.3">
      <c r="E51" s="186"/>
      <c r="F51" s="187" t="s">
        <v>289</v>
      </c>
    </row>
    <row r="52" spans="5:6" ht="57.6" x14ac:dyDescent="0.3">
      <c r="E52" s="183"/>
      <c r="F52" s="177" t="s">
        <v>290</v>
      </c>
    </row>
    <row r="53" spans="5:6" x14ac:dyDescent="0.3">
      <c r="E53" s="180"/>
      <c r="F53" s="180"/>
    </row>
    <row r="54" spans="5:6" x14ac:dyDescent="0.3">
      <c r="E54" s="181">
        <v>2.11</v>
      </c>
      <c r="F54" s="185" t="s">
        <v>292</v>
      </c>
    </row>
    <row r="55" spans="5:6" ht="144" x14ac:dyDescent="0.3">
      <c r="E55" s="183"/>
      <c r="F55" s="177" t="s">
        <v>291</v>
      </c>
    </row>
    <row r="56" spans="5:6" x14ac:dyDescent="0.3">
      <c r="E56" s="180"/>
      <c r="F56" s="180"/>
    </row>
    <row r="57" spans="5:6" x14ac:dyDescent="0.3">
      <c r="E57" s="181">
        <v>2.12</v>
      </c>
      <c r="F57" s="185" t="s">
        <v>129</v>
      </c>
    </row>
    <row r="58" spans="5:6" ht="100.8" x14ac:dyDescent="0.3">
      <c r="E58" s="183"/>
      <c r="F58" s="177" t="s">
        <v>293</v>
      </c>
    </row>
    <row r="59" spans="5:6" x14ac:dyDescent="0.3">
      <c r="E59" s="180"/>
      <c r="F59" s="180"/>
    </row>
    <row r="60" spans="5:6" x14ac:dyDescent="0.3">
      <c r="E60" s="181">
        <v>2.13</v>
      </c>
      <c r="F60" s="185" t="s">
        <v>295</v>
      </c>
    </row>
    <row r="61" spans="5:6" ht="43.2" x14ac:dyDescent="0.3">
      <c r="E61" s="183"/>
      <c r="F61" s="177" t="s">
        <v>294</v>
      </c>
    </row>
    <row r="62" spans="5:6" x14ac:dyDescent="0.3">
      <c r="E62" s="180"/>
      <c r="F62" s="180"/>
    </row>
    <row r="63" spans="5:6" x14ac:dyDescent="0.3">
      <c r="E63" s="181">
        <v>2.14</v>
      </c>
      <c r="F63" s="185" t="s">
        <v>297</v>
      </c>
    </row>
    <row r="64" spans="5:6" ht="134.25" customHeight="1" x14ac:dyDescent="0.3">
      <c r="E64" s="183"/>
      <c r="F64" s="177" t="s">
        <v>296</v>
      </c>
    </row>
    <row r="65" spans="5:6" x14ac:dyDescent="0.3">
      <c r="E65" s="180"/>
      <c r="F65" s="180"/>
    </row>
    <row r="66" spans="5:6" x14ac:dyDescent="0.3">
      <c r="E66" s="181">
        <v>2.15</v>
      </c>
      <c r="F66" s="185" t="s">
        <v>298</v>
      </c>
    </row>
    <row r="67" spans="5:6" ht="57.6" x14ac:dyDescent="0.3">
      <c r="E67" s="183"/>
      <c r="F67" s="177" t="s">
        <v>299</v>
      </c>
    </row>
    <row r="68" spans="5:6" x14ac:dyDescent="0.3">
      <c r="E68" s="180"/>
      <c r="F68" s="180"/>
    </row>
    <row r="69" spans="5:6" x14ac:dyDescent="0.3">
      <c r="E69" s="181">
        <v>2.16</v>
      </c>
      <c r="F69" s="185" t="s">
        <v>118</v>
      </c>
    </row>
    <row r="70" spans="5:6" ht="28.8" x14ac:dyDescent="0.3">
      <c r="E70" s="183"/>
      <c r="F70" s="177" t="s">
        <v>300</v>
      </c>
    </row>
    <row r="71" spans="5:6" x14ac:dyDescent="0.3">
      <c r="E71" s="180"/>
      <c r="F71" s="180"/>
    </row>
    <row r="72" spans="5:6" x14ac:dyDescent="0.3">
      <c r="E72" s="181">
        <v>2.17</v>
      </c>
      <c r="F72" s="185" t="s">
        <v>302</v>
      </c>
    </row>
    <row r="73" spans="5:6" ht="46.5" customHeight="1" x14ac:dyDescent="0.3">
      <c r="E73" s="183"/>
      <c r="F73" s="177" t="s">
        <v>301</v>
      </c>
    </row>
    <row r="74" spans="5:6" x14ac:dyDescent="0.3">
      <c r="E74" s="180"/>
      <c r="F74" s="180"/>
    </row>
    <row r="75" spans="5:6" x14ac:dyDescent="0.3">
      <c r="E75" s="181">
        <v>2.1800000000000002</v>
      </c>
      <c r="F75" s="185" t="s">
        <v>304</v>
      </c>
    </row>
    <row r="76" spans="5:6" ht="28.8" x14ac:dyDescent="0.3">
      <c r="E76" s="183"/>
      <c r="F76" s="177" t="s">
        <v>303</v>
      </c>
    </row>
    <row r="77" spans="5:6" x14ac:dyDescent="0.3">
      <c r="E77" s="180"/>
      <c r="F77" s="180"/>
    </row>
    <row r="78" spans="5:6" x14ac:dyDescent="0.3">
      <c r="E78" s="181">
        <v>2.19</v>
      </c>
      <c r="F78" s="185" t="s">
        <v>305</v>
      </c>
    </row>
    <row r="79" spans="5:6" x14ac:dyDescent="0.3">
      <c r="E79" s="183"/>
      <c r="F79" s="177" t="s">
        <v>306</v>
      </c>
    </row>
    <row r="80" spans="5:6" x14ac:dyDescent="0.3">
      <c r="E80" s="180"/>
      <c r="F80" s="180"/>
    </row>
    <row r="81" spans="5:6" x14ac:dyDescent="0.3">
      <c r="E81" s="184">
        <v>2.2000000000000002</v>
      </c>
      <c r="F81" s="185" t="s">
        <v>307</v>
      </c>
    </row>
    <row r="82" spans="5:6" x14ac:dyDescent="0.3">
      <c r="E82" s="183"/>
      <c r="F82" s="177" t="s">
        <v>308</v>
      </c>
    </row>
  </sheetData>
  <mergeCells count="3">
    <mergeCell ref="E2:F2"/>
    <mergeCell ref="E3:F3"/>
    <mergeCell ref="E4:F4"/>
  </mergeCells>
  <pageMargins left="1" right="1" top="1" bottom="1" header="0.5" footer="0.5"/>
  <pageSetup paperSize="9"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E2:M16"/>
  <sheetViews>
    <sheetView showGridLines="0" workbookViewId="0">
      <selection activeCell="H23" sqref="H23"/>
    </sheetView>
  </sheetViews>
  <sheetFormatPr defaultRowHeight="14.4" x14ac:dyDescent="0.3"/>
  <cols>
    <col min="5" max="5" width="8.33203125" bestFit="1" customWidth="1"/>
    <col min="6" max="6" width="43.5546875" bestFit="1" customWidth="1"/>
    <col min="7" max="7" width="9" bestFit="1" customWidth="1"/>
    <col min="8" max="8" width="7.5546875" bestFit="1" customWidth="1"/>
    <col min="9" max="9" width="18.33203125" bestFit="1" customWidth="1"/>
    <col min="10" max="10" width="17.6640625" bestFit="1" customWidth="1"/>
    <col min="11" max="11" width="19.33203125" bestFit="1" customWidth="1"/>
    <col min="13" max="13" width="23.109375" bestFit="1" customWidth="1"/>
  </cols>
  <sheetData>
    <row r="2" spans="5:13" x14ac:dyDescent="0.3">
      <c r="E2" s="202" t="s">
        <v>116</v>
      </c>
      <c r="F2" s="202" t="s">
        <v>312</v>
      </c>
      <c r="G2" s="202" t="s">
        <v>146</v>
      </c>
      <c r="H2" s="202" t="s">
        <v>144</v>
      </c>
      <c r="I2" s="202" t="s">
        <v>311</v>
      </c>
      <c r="J2" s="202" t="s">
        <v>313</v>
      </c>
      <c r="K2" s="196" t="s">
        <v>215</v>
      </c>
    </row>
    <row r="3" spans="5:13" x14ac:dyDescent="0.3">
      <c r="E3" s="203">
        <v>44199</v>
      </c>
      <c r="F3" s="172" t="s">
        <v>223</v>
      </c>
      <c r="G3" s="189">
        <v>50000</v>
      </c>
      <c r="H3" s="197">
        <v>45.076000000000001</v>
      </c>
      <c r="I3" s="114">
        <v>2253800</v>
      </c>
      <c r="J3" s="114">
        <v>2046371.3022328548</v>
      </c>
      <c r="K3" s="198">
        <v>207428.6977671452</v>
      </c>
    </row>
    <row r="4" spans="5:13" x14ac:dyDescent="0.3">
      <c r="E4" s="203">
        <v>44199</v>
      </c>
      <c r="F4" s="172" t="s">
        <v>216</v>
      </c>
      <c r="G4" s="189">
        <v>70677</v>
      </c>
      <c r="H4" s="197">
        <v>35.441451957496781</v>
      </c>
      <c r="I4" s="114">
        <v>2504895.5</v>
      </c>
      <c r="J4" s="114">
        <v>2518099.2325353981</v>
      </c>
      <c r="K4" s="198">
        <v>-13203.732535398256</v>
      </c>
      <c r="M4" s="195"/>
    </row>
    <row r="5" spans="5:13" x14ac:dyDescent="0.3">
      <c r="E5" s="203">
        <v>44199</v>
      </c>
      <c r="F5" s="172" t="s">
        <v>224</v>
      </c>
      <c r="G5" s="189">
        <v>1500</v>
      </c>
      <c r="H5" s="197">
        <v>1272.884</v>
      </c>
      <c r="I5" s="114">
        <v>1909326</v>
      </c>
      <c r="J5" s="114">
        <v>1923450</v>
      </c>
      <c r="K5" s="198">
        <v>-14123.999999999909</v>
      </c>
    </row>
    <row r="6" spans="5:13" x14ac:dyDescent="0.3">
      <c r="E6" s="203">
        <v>44199</v>
      </c>
      <c r="F6" s="172" t="s">
        <v>175</v>
      </c>
      <c r="G6" s="189">
        <v>24000</v>
      </c>
      <c r="H6" s="197">
        <v>41</v>
      </c>
      <c r="I6" s="114">
        <v>984000</v>
      </c>
      <c r="J6" s="114">
        <v>910339.17165714293</v>
      </c>
      <c r="K6" s="198">
        <v>73660.828342857028</v>
      </c>
    </row>
    <row r="7" spans="5:13" x14ac:dyDescent="0.3">
      <c r="E7" s="203">
        <v>44199</v>
      </c>
      <c r="F7" s="172" t="s">
        <v>217</v>
      </c>
      <c r="G7" s="189">
        <v>5000</v>
      </c>
      <c r="H7" s="197">
        <v>78.983699999999999</v>
      </c>
      <c r="I7" s="114">
        <v>394918.5</v>
      </c>
      <c r="J7" s="114">
        <v>348380.48</v>
      </c>
      <c r="K7" s="198">
        <v>46538.01999999999</v>
      </c>
    </row>
    <row r="8" spans="5:13" x14ac:dyDescent="0.3">
      <c r="E8" s="203">
        <v>44199</v>
      </c>
      <c r="F8" s="172" t="s">
        <v>220</v>
      </c>
      <c r="G8" s="189">
        <v>10000</v>
      </c>
      <c r="H8" s="197">
        <v>195.01</v>
      </c>
      <c r="I8" s="114">
        <v>1950100</v>
      </c>
      <c r="J8" s="114">
        <v>1889096.0666666664</v>
      </c>
      <c r="K8" s="198">
        <v>61003.933333333574</v>
      </c>
    </row>
    <row r="9" spans="5:13" x14ac:dyDescent="0.3">
      <c r="E9" s="203">
        <v>44199</v>
      </c>
      <c r="F9" s="172" t="s">
        <v>175</v>
      </c>
      <c r="G9" s="189">
        <v>8500</v>
      </c>
      <c r="H9" s="197">
        <v>41.1</v>
      </c>
      <c r="I9" s="114">
        <v>349350</v>
      </c>
      <c r="J9" s="114">
        <v>322411.78996190481</v>
      </c>
      <c r="K9" s="198">
        <v>26938.210038095211</v>
      </c>
    </row>
    <row r="10" spans="5:13" x14ac:dyDescent="0.3">
      <c r="E10" s="203">
        <v>44199</v>
      </c>
      <c r="F10" s="172" t="s">
        <v>218</v>
      </c>
      <c r="G10" s="189">
        <v>5000</v>
      </c>
      <c r="H10" s="197">
        <v>178</v>
      </c>
      <c r="I10" s="114">
        <v>890000</v>
      </c>
      <c r="J10" s="114">
        <v>855586.85555555567</v>
      </c>
      <c r="K10" s="198">
        <v>34413.144444444297</v>
      </c>
    </row>
    <row r="11" spans="5:13" x14ac:dyDescent="0.3">
      <c r="E11" s="203">
        <v>44200</v>
      </c>
      <c r="F11" s="172" t="s">
        <v>222</v>
      </c>
      <c r="G11" s="189">
        <v>3550</v>
      </c>
      <c r="H11" s="197">
        <v>1256.036338028169</v>
      </c>
      <c r="I11" s="114">
        <v>4458929</v>
      </c>
      <c r="J11" s="114">
        <v>3849624.2950617275</v>
      </c>
      <c r="K11" s="198">
        <v>609304.7049382726</v>
      </c>
    </row>
    <row r="12" spans="5:13" x14ac:dyDescent="0.3">
      <c r="E12" s="203">
        <v>44200</v>
      </c>
      <c r="F12" s="172" t="s">
        <v>216</v>
      </c>
      <c r="G12" s="189">
        <v>40000</v>
      </c>
      <c r="H12" s="197">
        <v>35.791915000000003</v>
      </c>
      <c r="I12" s="114">
        <v>1431676.6</v>
      </c>
      <c r="J12" s="114">
        <v>1425130.7964601771</v>
      </c>
      <c r="K12" s="198">
        <v>6545.8035398231114</v>
      </c>
    </row>
    <row r="13" spans="5:13" x14ac:dyDescent="0.3">
      <c r="E13" s="203">
        <v>44200</v>
      </c>
      <c r="F13" s="172" t="s">
        <v>226</v>
      </c>
      <c r="G13" s="189">
        <v>68000</v>
      </c>
      <c r="H13" s="197">
        <v>35.9</v>
      </c>
      <c r="I13" s="114">
        <v>2441200</v>
      </c>
      <c r="J13" s="114">
        <v>680000</v>
      </c>
      <c r="K13" s="198">
        <v>1761200</v>
      </c>
    </row>
    <row r="14" spans="5:13" x14ac:dyDescent="0.3">
      <c r="E14" s="203">
        <v>44200</v>
      </c>
      <c r="F14" s="172" t="s">
        <v>221</v>
      </c>
      <c r="G14" s="189">
        <v>27500</v>
      </c>
      <c r="H14" s="197">
        <v>242</v>
      </c>
      <c r="I14" s="114">
        <v>6655000</v>
      </c>
      <c r="J14" s="114">
        <v>6109065.6312056733</v>
      </c>
      <c r="K14" s="198">
        <v>545934.36879432667</v>
      </c>
    </row>
    <row r="15" spans="5:13" x14ac:dyDescent="0.3">
      <c r="E15" s="203">
        <v>44201</v>
      </c>
      <c r="F15" s="172" t="s">
        <v>226</v>
      </c>
      <c r="G15" s="189">
        <v>200000</v>
      </c>
      <c r="H15" s="197">
        <v>39.4</v>
      </c>
      <c r="I15" s="114">
        <v>7880000</v>
      </c>
      <c r="J15" s="114">
        <v>2000000</v>
      </c>
      <c r="K15" s="198">
        <v>5880000</v>
      </c>
    </row>
    <row r="16" spans="5:13" x14ac:dyDescent="0.3">
      <c r="E16" s="204">
        <v>44202</v>
      </c>
      <c r="F16" s="188" t="s">
        <v>219</v>
      </c>
      <c r="G16" s="190">
        <v>19000</v>
      </c>
      <c r="H16" s="199">
        <v>52.2</v>
      </c>
      <c r="I16" s="200">
        <v>991800</v>
      </c>
      <c r="J16" s="200">
        <v>190000</v>
      </c>
      <c r="K16" s="201">
        <v>801800</v>
      </c>
    </row>
  </sheetData>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578008-AC72-497A-8516-6A195809FF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Chart of Accounts</vt:lpstr>
      <vt:lpstr>INVESTORS_LIST</vt:lpstr>
      <vt:lpstr>Journals</vt:lpstr>
      <vt:lpstr>TB-C</vt:lpstr>
      <vt:lpstr>TB-P</vt:lpstr>
      <vt:lpstr>IS</vt:lpstr>
      <vt:lpstr>BS</vt:lpstr>
      <vt:lpstr>E</vt:lpstr>
      <vt:lpstr>CF</vt:lpstr>
      <vt:lpstr>W C &amp; I</vt:lpstr>
      <vt:lpstr>Bank Interest</vt:lpstr>
      <vt:lpstr>Notes</vt:lpstr>
      <vt:lpstr>Policy Notes</vt:lpstr>
      <vt:lpstr>Trade-2021</vt:lpstr>
      <vt:lpstr>CURRENT_NAV</vt:lpstr>
      <vt:lpstr>NAV</vt:lpstr>
      <vt:lpstr>NAV_MKT</vt:lpstr>
      <vt:lpstr>CF!Print_Area</vt:lpstr>
      <vt:lpstr>E!Print_Area</vt:lpstr>
      <vt:lpstr>IS!Print_Area</vt:lpstr>
      <vt:lpstr>Notes!Print_Titles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2026-03-25T09:46:14Z</dcterms:modified>
</cp:coreProperties>
</file>